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3\"/>
    </mc:Choice>
  </mc:AlternateContent>
  <xr:revisionPtr revIDLastSave="0" documentId="13_ncr:1_{89D84A0E-DFF2-4944-B22D-2E375C757C7E}" xr6:coauthVersionLast="47" xr6:coauthVersionMax="47" xr10:uidLastSave="{00000000-0000-0000-0000-000000000000}"/>
  <bookViews>
    <workbookView xWindow="-28440" yWindow="-765" windowWidth="28770" windowHeight="15450" xr2:uid="{00000000-000D-0000-FFFF-FFFF00000000}"/>
  </bookViews>
  <sheets>
    <sheet name="决策看板" sheetId="1" r:id="rId1"/>
    <sheet name="核心参数输入" sheetId="2" r:id="rId2"/>
    <sheet name="指标与情景" sheetId="3" r:id="rId3"/>
    <sheet name="年度汇总" sheetId="4" r:id="rId4"/>
    <sheet name="季度投融资" sheetId="5" r:id="rId5"/>
    <sheet name="季度经营税费" sheetId="6" r:id="rId6"/>
    <sheet name="季度现金流" sheetId="7" r:id="rId7"/>
    <sheet name="年度所得税" sheetId="8" r:id="rId8"/>
    <sheet name="季度计划" sheetId="9" r:id="rId9"/>
    <sheet name="敏感性与边界" sheetId="10" r:id="rId10"/>
    <sheet name="模型校验" sheetId="11" r:id="rId11"/>
    <sheet name="使用说明" sheetId="12" r:id="rId12"/>
    <sheet name="关键月份核对" sheetId="13" r:id="rId13"/>
  </sheets>
  <definedNames>
    <definedName name="V3ChartCash">决策看板!$D$81:INDEX(决策看板!$D$81:$D$111,核心参数输入!$B$9+1)</definedName>
    <definedName name="V3ChartCFADS">决策看板!$B$81:INDEX(决策看板!$B$81:$B$111,核心参数输入!$B$9+1)</definedName>
    <definedName name="V3ChartDistribution">决策看板!$G$81:INDEX(决策看板!$G$81:$G$111,核心参数输入!$B$9+1)</definedName>
    <definedName name="V3ChartEquity">决策看板!$F$81:INDEX(决策看板!$F$81:$F$111,核心参数输入!$B$9+1)</definedName>
    <definedName name="V3ChartGap">决策看板!$E$81:INDEX(决策看板!$E$81:$E$111,核心参数输入!$B$9+1)</definedName>
    <definedName name="V3ChartService">决策看板!$C$81:INDEX(决策看板!$C$81:$C$111,核心参数输入!$B$9+1)</definedName>
    <definedName name="V3ChartYear">决策看板!$A$81:INDEX(决策看板!$A$81:$A$111,核心参数输入!$B$9+1)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3" l="1"/>
  <c r="E15" i="13"/>
  <c r="E14" i="13"/>
  <c r="E13" i="13"/>
  <c r="E12" i="13"/>
  <c r="E11" i="13"/>
  <c r="B114" i="10"/>
  <c r="B113" i="10"/>
  <c r="B112" i="10"/>
  <c r="B111" i="10"/>
  <c r="B110" i="10"/>
  <c r="B109" i="10"/>
  <c r="B108" i="10"/>
  <c r="B107" i="10"/>
  <c r="B106" i="10"/>
  <c r="B105" i="10"/>
  <c r="D59" i="10"/>
  <c r="D58" i="10"/>
  <c r="D57" i="10"/>
  <c r="D56" i="10"/>
  <c r="G55" i="10"/>
  <c r="F55" i="10"/>
  <c r="E55" i="10"/>
  <c r="D50" i="10"/>
  <c r="D49" i="10"/>
  <c r="D48" i="10"/>
  <c r="D47" i="10"/>
  <c r="D46" i="10"/>
  <c r="I45" i="10"/>
  <c r="H45" i="10"/>
  <c r="G45" i="10"/>
  <c r="F45" i="10"/>
  <c r="E45" i="10"/>
  <c r="D40" i="10"/>
  <c r="D39" i="10"/>
  <c r="D38" i="10"/>
  <c r="D37" i="10"/>
  <c r="D36" i="10"/>
  <c r="I35" i="10"/>
  <c r="H35" i="10"/>
  <c r="G35" i="10"/>
  <c r="F35" i="10"/>
  <c r="E35" i="10"/>
  <c r="D30" i="10"/>
  <c r="D29" i="10"/>
  <c r="D28" i="10"/>
  <c r="D27" i="10"/>
  <c r="D26" i="10"/>
  <c r="I25" i="10"/>
  <c r="H25" i="10"/>
  <c r="G25" i="10"/>
  <c r="F25" i="10"/>
  <c r="E25" i="10"/>
  <c r="D20" i="10"/>
  <c r="D19" i="10"/>
  <c r="D18" i="10"/>
  <c r="D17" i="10"/>
  <c r="D16" i="10"/>
  <c r="I15" i="10"/>
  <c r="H15" i="10"/>
  <c r="G15" i="10"/>
  <c r="F15" i="10"/>
  <c r="E15" i="10"/>
  <c r="DT127" i="9"/>
  <c r="DS127" i="9"/>
  <c r="DR127" i="9"/>
  <c r="DQ127" i="9"/>
  <c r="DP127" i="9"/>
  <c r="DO127" i="9"/>
  <c r="DN127" i="9"/>
  <c r="DM127" i="9"/>
  <c r="DL127" i="9"/>
  <c r="DK127" i="9"/>
  <c r="DJ127" i="9"/>
  <c r="DI127" i="9"/>
  <c r="DH127" i="9"/>
  <c r="DG127" i="9"/>
  <c r="DF127" i="9"/>
  <c r="DE127" i="9"/>
  <c r="DD127" i="9"/>
  <c r="DC127" i="9"/>
  <c r="DB127" i="9"/>
  <c r="DA127" i="9"/>
  <c r="CZ127" i="9"/>
  <c r="CY127" i="9"/>
  <c r="CX127" i="9"/>
  <c r="CW127" i="9"/>
  <c r="CV127" i="9"/>
  <c r="CU127" i="9"/>
  <c r="CT127" i="9"/>
  <c r="CS127" i="9"/>
  <c r="CR127" i="9"/>
  <c r="CQ127" i="9"/>
  <c r="CP127" i="9"/>
  <c r="CO127" i="9"/>
  <c r="CN127" i="9"/>
  <c r="CM127" i="9"/>
  <c r="CL127" i="9"/>
  <c r="CK127" i="9"/>
  <c r="CJ127" i="9"/>
  <c r="CI127" i="9"/>
  <c r="CH127" i="9"/>
  <c r="CG127" i="9"/>
  <c r="DT126" i="9"/>
  <c r="DS126" i="9"/>
  <c r="DR126" i="9"/>
  <c r="DQ126" i="9"/>
  <c r="DP126" i="9"/>
  <c r="DO126" i="9"/>
  <c r="DN126" i="9"/>
  <c r="DM126" i="9"/>
  <c r="DL126" i="9"/>
  <c r="DK126" i="9"/>
  <c r="DJ126" i="9"/>
  <c r="DI126" i="9"/>
  <c r="DH126" i="9"/>
  <c r="DG126" i="9"/>
  <c r="DF126" i="9"/>
  <c r="DE126" i="9"/>
  <c r="DD126" i="9"/>
  <c r="DC126" i="9"/>
  <c r="DB126" i="9"/>
  <c r="DA126" i="9"/>
  <c r="CZ126" i="9"/>
  <c r="CY126" i="9"/>
  <c r="CX126" i="9"/>
  <c r="CW126" i="9"/>
  <c r="CV126" i="9"/>
  <c r="CU126" i="9"/>
  <c r="CT126" i="9"/>
  <c r="CS126" i="9"/>
  <c r="CR126" i="9"/>
  <c r="CQ126" i="9"/>
  <c r="CP126" i="9"/>
  <c r="CO126" i="9"/>
  <c r="CN126" i="9"/>
  <c r="CM126" i="9"/>
  <c r="CL126" i="9"/>
  <c r="CK126" i="9"/>
  <c r="CJ126" i="9"/>
  <c r="CI126" i="9"/>
  <c r="CH126" i="9"/>
  <c r="CG126" i="9"/>
  <c r="DT125" i="9"/>
  <c r="DS125" i="9"/>
  <c r="DR125" i="9"/>
  <c r="DQ125" i="9"/>
  <c r="DP125" i="9"/>
  <c r="DO125" i="9"/>
  <c r="DN125" i="9"/>
  <c r="DM125" i="9"/>
  <c r="DL125" i="9"/>
  <c r="DK125" i="9"/>
  <c r="DJ125" i="9"/>
  <c r="DI125" i="9"/>
  <c r="DH125" i="9"/>
  <c r="DG125" i="9"/>
  <c r="DF125" i="9"/>
  <c r="DE125" i="9"/>
  <c r="DD125" i="9"/>
  <c r="DC125" i="9"/>
  <c r="DB125" i="9"/>
  <c r="DA125" i="9"/>
  <c r="CZ125" i="9"/>
  <c r="CY125" i="9"/>
  <c r="CX125" i="9"/>
  <c r="CW125" i="9"/>
  <c r="CV125" i="9"/>
  <c r="CU125" i="9"/>
  <c r="CT125" i="9"/>
  <c r="CS125" i="9"/>
  <c r="CR125" i="9"/>
  <c r="CQ125" i="9"/>
  <c r="CP125" i="9"/>
  <c r="CO125" i="9"/>
  <c r="CN125" i="9"/>
  <c r="CM125" i="9"/>
  <c r="CL125" i="9"/>
  <c r="CK125" i="9"/>
  <c r="CJ125" i="9"/>
  <c r="CI125" i="9"/>
  <c r="CH125" i="9"/>
  <c r="CG125" i="9"/>
  <c r="DT124" i="9"/>
  <c r="DS124" i="9"/>
  <c r="DR124" i="9"/>
  <c r="DQ124" i="9"/>
  <c r="DP124" i="9"/>
  <c r="DO124" i="9"/>
  <c r="DN124" i="9"/>
  <c r="DM124" i="9"/>
  <c r="DL124" i="9"/>
  <c r="DK124" i="9"/>
  <c r="DJ124" i="9"/>
  <c r="DI124" i="9"/>
  <c r="DH124" i="9"/>
  <c r="DG124" i="9"/>
  <c r="DF124" i="9"/>
  <c r="DE124" i="9"/>
  <c r="DD124" i="9"/>
  <c r="DC124" i="9"/>
  <c r="DB124" i="9"/>
  <c r="DA124" i="9"/>
  <c r="CZ124" i="9"/>
  <c r="CY124" i="9"/>
  <c r="CX124" i="9"/>
  <c r="CW124" i="9"/>
  <c r="CV124" i="9"/>
  <c r="CU124" i="9"/>
  <c r="CT124" i="9"/>
  <c r="CS124" i="9"/>
  <c r="CR124" i="9"/>
  <c r="CQ124" i="9"/>
  <c r="CP124" i="9"/>
  <c r="CO124" i="9"/>
  <c r="CN124" i="9"/>
  <c r="CM124" i="9"/>
  <c r="CL124" i="9"/>
  <c r="CK124" i="9"/>
  <c r="CJ124" i="9"/>
  <c r="CI124" i="9"/>
  <c r="CH124" i="9"/>
  <c r="CG124" i="9"/>
  <c r="D124" i="9"/>
  <c r="D125" i="9" s="1"/>
  <c r="D200" i="3" s="1"/>
  <c r="DT123" i="9"/>
  <c r="DS123" i="9"/>
  <c r="DR123" i="9"/>
  <c r="DQ123" i="9"/>
  <c r="DP123" i="9"/>
  <c r="DO123" i="9"/>
  <c r="DN123" i="9"/>
  <c r="DM123" i="9"/>
  <c r="DL123" i="9"/>
  <c r="DK123" i="9"/>
  <c r="DJ123" i="9"/>
  <c r="DI123" i="9"/>
  <c r="DH123" i="9"/>
  <c r="DG123" i="9"/>
  <c r="DF123" i="9"/>
  <c r="DE123" i="9"/>
  <c r="DD123" i="9"/>
  <c r="DC123" i="9"/>
  <c r="DB123" i="9"/>
  <c r="DA123" i="9"/>
  <c r="CZ123" i="9"/>
  <c r="CY123" i="9"/>
  <c r="CX123" i="9"/>
  <c r="CW123" i="9"/>
  <c r="CV123" i="9"/>
  <c r="CU123" i="9"/>
  <c r="CT123" i="9"/>
  <c r="CS123" i="9"/>
  <c r="CR123" i="9"/>
  <c r="CQ123" i="9"/>
  <c r="CP123" i="9"/>
  <c r="CO123" i="9"/>
  <c r="CN123" i="9"/>
  <c r="CM123" i="9"/>
  <c r="CL123" i="9"/>
  <c r="CK123" i="9"/>
  <c r="CJ123" i="9"/>
  <c r="CI123" i="9"/>
  <c r="CH123" i="9"/>
  <c r="CG123" i="9"/>
  <c r="D123" i="9"/>
  <c r="DT122" i="9"/>
  <c r="DS122" i="9"/>
  <c r="DR122" i="9"/>
  <c r="DQ122" i="9"/>
  <c r="DP122" i="9"/>
  <c r="DO122" i="9"/>
  <c r="DN122" i="9"/>
  <c r="DM122" i="9"/>
  <c r="DL122" i="9"/>
  <c r="DK122" i="9"/>
  <c r="DJ122" i="9"/>
  <c r="DI122" i="9"/>
  <c r="DH122" i="9"/>
  <c r="DG122" i="9"/>
  <c r="DF122" i="9"/>
  <c r="DE122" i="9"/>
  <c r="DD122" i="9"/>
  <c r="DC122" i="9"/>
  <c r="DB122" i="9"/>
  <c r="DA122" i="9"/>
  <c r="CZ122" i="9"/>
  <c r="CY122" i="9"/>
  <c r="CX122" i="9"/>
  <c r="CW122" i="9"/>
  <c r="CV122" i="9"/>
  <c r="CU122" i="9"/>
  <c r="CT122" i="9"/>
  <c r="CS122" i="9"/>
  <c r="CR122" i="9"/>
  <c r="CQ122" i="9"/>
  <c r="CP122" i="9"/>
  <c r="CO122" i="9"/>
  <c r="CN122" i="9"/>
  <c r="CM122" i="9"/>
  <c r="CL122" i="9"/>
  <c r="CK122" i="9"/>
  <c r="CJ122" i="9"/>
  <c r="CI122" i="9"/>
  <c r="CH122" i="9"/>
  <c r="CG122" i="9"/>
  <c r="D122" i="9"/>
  <c r="DT121" i="9"/>
  <c r="DS121" i="9"/>
  <c r="DR121" i="9"/>
  <c r="DQ121" i="9"/>
  <c r="DP121" i="9"/>
  <c r="DO121" i="9"/>
  <c r="DN121" i="9"/>
  <c r="DM121" i="9"/>
  <c r="DL121" i="9"/>
  <c r="DK121" i="9"/>
  <c r="DJ121" i="9"/>
  <c r="DI121" i="9"/>
  <c r="DH121" i="9"/>
  <c r="DG121" i="9"/>
  <c r="DF121" i="9"/>
  <c r="DE121" i="9"/>
  <c r="DD121" i="9"/>
  <c r="DC121" i="9"/>
  <c r="DB121" i="9"/>
  <c r="DA121" i="9"/>
  <c r="CZ121" i="9"/>
  <c r="CY121" i="9"/>
  <c r="CX121" i="9"/>
  <c r="CW121" i="9"/>
  <c r="CV121" i="9"/>
  <c r="CU121" i="9"/>
  <c r="CT121" i="9"/>
  <c r="CS121" i="9"/>
  <c r="CR121" i="9"/>
  <c r="CQ121" i="9"/>
  <c r="CP121" i="9"/>
  <c r="CO121" i="9"/>
  <c r="CN121" i="9"/>
  <c r="CM121" i="9"/>
  <c r="CL121" i="9"/>
  <c r="CK121" i="9"/>
  <c r="CJ121" i="9"/>
  <c r="CI121" i="9"/>
  <c r="CH121" i="9"/>
  <c r="CG121" i="9"/>
  <c r="D121" i="9"/>
  <c r="DT120" i="9"/>
  <c r="DS120" i="9"/>
  <c r="DR120" i="9"/>
  <c r="DQ120" i="9"/>
  <c r="DP120" i="9"/>
  <c r="DO120" i="9"/>
  <c r="DN120" i="9"/>
  <c r="DM120" i="9"/>
  <c r="DL120" i="9"/>
  <c r="DK120" i="9"/>
  <c r="DJ120" i="9"/>
  <c r="DI120" i="9"/>
  <c r="DH120" i="9"/>
  <c r="DG120" i="9"/>
  <c r="DF120" i="9"/>
  <c r="DE120" i="9"/>
  <c r="DD120" i="9"/>
  <c r="DC120" i="9"/>
  <c r="DB120" i="9"/>
  <c r="DA120" i="9"/>
  <c r="CZ120" i="9"/>
  <c r="CY120" i="9"/>
  <c r="CX120" i="9"/>
  <c r="CW120" i="9"/>
  <c r="CV120" i="9"/>
  <c r="CU120" i="9"/>
  <c r="CT120" i="9"/>
  <c r="CS120" i="9"/>
  <c r="CR120" i="9"/>
  <c r="CQ120" i="9"/>
  <c r="CP120" i="9"/>
  <c r="CO120" i="9"/>
  <c r="CN120" i="9"/>
  <c r="CM120" i="9"/>
  <c r="CL120" i="9"/>
  <c r="CK120" i="9"/>
  <c r="CJ120" i="9"/>
  <c r="CI120" i="9"/>
  <c r="CH120" i="9"/>
  <c r="CG120" i="9"/>
  <c r="D120" i="9"/>
  <c r="DT17" i="9"/>
  <c r="DS17" i="9"/>
  <c r="DR17" i="9"/>
  <c r="DQ17" i="9"/>
  <c r="DP17" i="9"/>
  <c r="DO17" i="9"/>
  <c r="DN17" i="9"/>
  <c r="DM17" i="9"/>
  <c r="DL17" i="9"/>
  <c r="DK17" i="9"/>
  <c r="DJ17" i="9"/>
  <c r="DI17" i="9"/>
  <c r="DH17" i="9"/>
  <c r="DG17" i="9"/>
  <c r="DF17" i="9"/>
  <c r="DE17" i="9"/>
  <c r="DD17" i="9"/>
  <c r="DC17" i="9"/>
  <c r="DB17" i="9"/>
  <c r="DA17" i="9"/>
  <c r="CZ17" i="9"/>
  <c r="CY17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DT16" i="9"/>
  <c r="DS16" i="9"/>
  <c r="DR16" i="9"/>
  <c r="DQ16" i="9"/>
  <c r="DP16" i="9"/>
  <c r="DO16" i="9"/>
  <c r="DN16" i="9"/>
  <c r="DM16" i="9"/>
  <c r="DL16" i="9"/>
  <c r="DK16" i="9"/>
  <c r="DJ16" i="9"/>
  <c r="DI16" i="9"/>
  <c r="DH16" i="9"/>
  <c r="DG16" i="9"/>
  <c r="DF16" i="9"/>
  <c r="DE16" i="9"/>
  <c r="DD16" i="9"/>
  <c r="DC16" i="9"/>
  <c r="DB16" i="9"/>
  <c r="DA16" i="9"/>
  <c r="CZ16" i="9"/>
  <c r="CY16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DT15" i="9"/>
  <c r="DS15" i="9"/>
  <c r="DR15" i="9"/>
  <c r="DQ15" i="9"/>
  <c r="DP15" i="9"/>
  <c r="DO15" i="9"/>
  <c r="DN15" i="9"/>
  <c r="DM15" i="9"/>
  <c r="DL15" i="9"/>
  <c r="DK15" i="9"/>
  <c r="DJ15" i="9"/>
  <c r="DI15" i="9"/>
  <c r="DH15" i="9"/>
  <c r="DG15" i="9"/>
  <c r="DF15" i="9"/>
  <c r="DE15" i="9"/>
  <c r="DD15" i="9"/>
  <c r="DC15" i="9"/>
  <c r="DB15" i="9"/>
  <c r="DA15" i="9"/>
  <c r="CZ15" i="9"/>
  <c r="CY15" i="9"/>
  <c r="CX15" i="9"/>
  <c r="CW15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D15" i="9"/>
  <c r="D90" i="3" s="1"/>
  <c r="DT14" i="9"/>
  <c r="DS14" i="9"/>
  <c r="DR14" i="9"/>
  <c r="DQ14" i="9"/>
  <c r="DP14" i="9"/>
  <c r="DO14" i="9"/>
  <c r="DN14" i="9"/>
  <c r="DM14" i="9"/>
  <c r="DL14" i="9"/>
  <c r="DK14" i="9"/>
  <c r="DJ14" i="9"/>
  <c r="DI14" i="9"/>
  <c r="DH14" i="9"/>
  <c r="DG14" i="9"/>
  <c r="DF14" i="9"/>
  <c r="DE14" i="9"/>
  <c r="DD14" i="9"/>
  <c r="DC14" i="9"/>
  <c r="DB14" i="9"/>
  <c r="DA14" i="9"/>
  <c r="CZ14" i="9"/>
  <c r="CY14" i="9"/>
  <c r="CX14" i="9"/>
  <c r="CW14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D14" i="9"/>
  <c r="DT13" i="9"/>
  <c r="DS13" i="9"/>
  <c r="DR13" i="9"/>
  <c r="DQ13" i="9"/>
  <c r="DP13" i="9"/>
  <c r="DO13" i="9"/>
  <c r="DN13" i="9"/>
  <c r="DM13" i="9"/>
  <c r="DL13" i="9"/>
  <c r="DK13" i="9"/>
  <c r="DJ13" i="9"/>
  <c r="DI13" i="9"/>
  <c r="DH13" i="9"/>
  <c r="DG13" i="9"/>
  <c r="DF13" i="9"/>
  <c r="DE13" i="9"/>
  <c r="DD13" i="9"/>
  <c r="DC13" i="9"/>
  <c r="DB13" i="9"/>
  <c r="DA13" i="9"/>
  <c r="CZ13" i="9"/>
  <c r="CY13" i="9"/>
  <c r="CX13" i="9"/>
  <c r="CW13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D13" i="9"/>
  <c r="D39" i="5" s="1"/>
  <c r="D60" i="5" s="1"/>
  <c r="DT12" i="9"/>
  <c r="DS12" i="9"/>
  <c r="DR12" i="9"/>
  <c r="DQ12" i="9"/>
  <c r="DP12" i="9"/>
  <c r="DO12" i="9"/>
  <c r="DN12" i="9"/>
  <c r="DM12" i="9"/>
  <c r="DL12" i="9"/>
  <c r="DK12" i="9"/>
  <c r="DJ12" i="9"/>
  <c r="DI12" i="9"/>
  <c r="DH12" i="9"/>
  <c r="DG12" i="9"/>
  <c r="DF12" i="9"/>
  <c r="DE12" i="9"/>
  <c r="DD12" i="9"/>
  <c r="DC12" i="9"/>
  <c r="DB12" i="9"/>
  <c r="DA12" i="9"/>
  <c r="CZ12" i="9"/>
  <c r="CY12" i="9"/>
  <c r="CX12" i="9"/>
  <c r="CW12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D12" i="9"/>
  <c r="DT11" i="9"/>
  <c r="DS11" i="9"/>
  <c r="DR11" i="9"/>
  <c r="DQ11" i="9"/>
  <c r="DP11" i="9"/>
  <c r="DO11" i="9"/>
  <c r="DN11" i="9"/>
  <c r="DM11" i="9"/>
  <c r="DL11" i="9"/>
  <c r="DK11" i="9"/>
  <c r="DJ11" i="9"/>
  <c r="DI11" i="9"/>
  <c r="DH11" i="9"/>
  <c r="DG11" i="9"/>
  <c r="DF11" i="9"/>
  <c r="DE11" i="9"/>
  <c r="DD11" i="9"/>
  <c r="DC11" i="9"/>
  <c r="DB11" i="9"/>
  <c r="DA11" i="9"/>
  <c r="CZ11" i="9"/>
  <c r="CY11" i="9"/>
  <c r="CX11" i="9"/>
  <c r="CW11" i="9"/>
  <c r="CV11" i="9"/>
  <c r="CU11" i="9"/>
  <c r="CT11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D11" i="9"/>
  <c r="DT10" i="9"/>
  <c r="DS10" i="9"/>
  <c r="DR10" i="9"/>
  <c r="DQ10" i="9"/>
  <c r="DP10" i="9"/>
  <c r="DO10" i="9"/>
  <c r="DN10" i="9"/>
  <c r="DM10" i="9"/>
  <c r="DL10" i="9"/>
  <c r="DK10" i="9"/>
  <c r="DJ10" i="9"/>
  <c r="DI10" i="9"/>
  <c r="DH10" i="9"/>
  <c r="DG10" i="9"/>
  <c r="DF10" i="9"/>
  <c r="DE10" i="9"/>
  <c r="DD10" i="9"/>
  <c r="DC10" i="9"/>
  <c r="DB10" i="9"/>
  <c r="DA10" i="9"/>
  <c r="CZ10" i="9"/>
  <c r="CY10" i="9"/>
  <c r="CX10" i="9"/>
  <c r="CW10" i="9"/>
  <c r="CV10" i="9"/>
  <c r="CU10" i="9"/>
  <c r="CT10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D10" i="9"/>
  <c r="DO6" i="9"/>
  <c r="BS6" i="9"/>
  <c r="BC6" i="9"/>
  <c r="AM6" i="9"/>
  <c r="AM6" i="7" s="1"/>
  <c r="CY5" i="9"/>
  <c r="BR5" i="9"/>
  <c r="BQ5" i="9"/>
  <c r="U5" i="9"/>
  <c r="E5" i="9"/>
  <c r="DT4" i="9"/>
  <c r="DS4" i="9"/>
  <c r="DR4" i="9"/>
  <c r="DR5" i="9" s="1"/>
  <c r="DR5" i="5" s="1"/>
  <c r="DQ4" i="9"/>
  <c r="DQ5" i="9" s="1"/>
  <c r="DP4" i="9"/>
  <c r="DP5" i="9" s="1"/>
  <c r="DO4" i="9"/>
  <c r="DO5" i="9" s="1"/>
  <c r="DN4" i="9"/>
  <c r="DN6" i="9" s="1"/>
  <c r="DM4" i="9"/>
  <c r="DM6" i="9" s="1"/>
  <c r="DL4" i="9"/>
  <c r="DL6" i="9" s="1"/>
  <c r="DK4" i="9"/>
  <c r="DK6" i="9" s="1"/>
  <c r="DJ4" i="9"/>
  <c r="DJ5" i="9" s="1"/>
  <c r="DI4" i="9"/>
  <c r="DI6" i="9" s="1"/>
  <c r="DH4" i="9"/>
  <c r="DH6" i="9" s="1"/>
  <c r="DG4" i="9"/>
  <c r="DG5" i="9" s="1"/>
  <c r="DF4" i="9"/>
  <c r="DE4" i="9"/>
  <c r="DE5" i="9" s="1"/>
  <c r="DD4" i="9"/>
  <c r="DC4" i="9"/>
  <c r="DB4" i="9"/>
  <c r="DB5" i="9" s="1"/>
  <c r="DB5" i="6" s="1"/>
  <c r="DA4" i="9"/>
  <c r="DA5" i="9" s="1"/>
  <c r="CZ4" i="9"/>
  <c r="CZ5" i="9" s="1"/>
  <c r="CY4" i="9"/>
  <c r="CY6" i="9" s="1"/>
  <c r="CX4" i="9"/>
  <c r="CX6" i="9" s="1"/>
  <c r="CW4" i="9"/>
  <c r="CW6" i="9" s="1"/>
  <c r="CV4" i="9"/>
  <c r="CV6" i="9" s="1"/>
  <c r="CU4" i="9"/>
  <c r="CU6" i="9" s="1"/>
  <c r="CT4" i="9"/>
  <c r="CT6" i="9" s="1"/>
  <c r="CS4" i="9"/>
  <c r="CS6" i="9" s="1"/>
  <c r="CR4" i="9"/>
  <c r="CR6" i="9" s="1"/>
  <c r="CQ4" i="9"/>
  <c r="CQ5" i="9" s="1"/>
  <c r="CP4" i="9"/>
  <c r="CO4" i="9"/>
  <c r="CO5" i="9" s="1"/>
  <c r="CN4" i="9"/>
  <c r="CM4" i="9"/>
  <c r="CL4" i="9"/>
  <c r="CL5" i="9" s="1"/>
  <c r="CL5" i="5" s="1"/>
  <c r="CK4" i="9"/>
  <c r="CK5" i="9" s="1"/>
  <c r="CJ4" i="9"/>
  <c r="CJ6" i="9" s="1"/>
  <c r="CI4" i="9"/>
  <c r="CI5" i="9" s="1"/>
  <c r="CH4" i="9"/>
  <c r="CH6" i="9" s="1"/>
  <c r="CG4" i="9"/>
  <c r="CG6" i="9" s="1"/>
  <c r="CF4" i="9"/>
  <c r="CF6" i="9" s="1"/>
  <c r="CE4" i="9"/>
  <c r="CE6" i="9" s="1"/>
  <c r="CD4" i="9"/>
  <c r="CD6" i="9" s="1"/>
  <c r="CC4" i="9"/>
  <c r="CC6" i="9" s="1"/>
  <c r="CB4" i="9"/>
  <c r="CB6" i="9" s="1"/>
  <c r="CA4" i="9"/>
  <c r="CA5" i="9" s="1"/>
  <c r="BZ4" i="9"/>
  <c r="BY4" i="9"/>
  <c r="BY5" i="9" s="1"/>
  <c r="BX4" i="9"/>
  <c r="BW4" i="9"/>
  <c r="BV4" i="9"/>
  <c r="BV5" i="9" s="1"/>
  <c r="BV5" i="5" s="1"/>
  <c r="BU4" i="9"/>
  <c r="BU5" i="9" s="1"/>
  <c r="BT4" i="9"/>
  <c r="BT6" i="9" s="1"/>
  <c r="BS4" i="9"/>
  <c r="BS5" i="9" s="1"/>
  <c r="BR4" i="9"/>
  <c r="BR6" i="9" s="1"/>
  <c r="BQ4" i="9"/>
  <c r="BQ6" i="9" s="1"/>
  <c r="BP4" i="9"/>
  <c r="BP6" i="9" s="1"/>
  <c r="BO4" i="9"/>
  <c r="BO6" i="9" s="1"/>
  <c r="BN4" i="9"/>
  <c r="BN5" i="9" s="1"/>
  <c r="BM4" i="9"/>
  <c r="BM6" i="9" s="1"/>
  <c r="BL4" i="9"/>
  <c r="BL6" i="9" s="1"/>
  <c r="BK4" i="9"/>
  <c r="BK5" i="9" s="1"/>
  <c r="BJ4" i="9"/>
  <c r="BI4" i="9"/>
  <c r="BI5" i="9" s="1"/>
  <c r="BH4" i="9"/>
  <c r="BG4" i="9"/>
  <c r="BF4" i="9"/>
  <c r="BF5" i="9" s="1"/>
  <c r="BF5" i="5" s="1"/>
  <c r="BE4" i="9"/>
  <c r="BE5" i="9" s="1"/>
  <c r="BD4" i="9"/>
  <c r="BD5" i="9" s="1"/>
  <c r="BC4" i="9"/>
  <c r="BC5" i="9" s="1"/>
  <c r="BB4" i="9"/>
  <c r="BB6" i="9" s="1"/>
  <c r="BA4" i="9"/>
  <c r="BA6" i="9" s="1"/>
  <c r="AZ4" i="9"/>
  <c r="AZ6" i="9" s="1"/>
  <c r="AY4" i="9"/>
  <c r="AY6" i="9" s="1"/>
  <c r="AX4" i="9"/>
  <c r="AX5" i="9" s="1"/>
  <c r="AW4" i="9"/>
  <c r="AW6" i="9" s="1"/>
  <c r="AV4" i="9"/>
  <c r="AV6" i="9" s="1"/>
  <c r="AU4" i="9"/>
  <c r="AU5" i="9" s="1"/>
  <c r="AT4" i="9"/>
  <c r="AS4" i="9"/>
  <c r="AS5" i="9" s="1"/>
  <c r="AR4" i="9"/>
  <c r="AQ4" i="9"/>
  <c r="AP4" i="9"/>
  <c r="AP5" i="9" s="1"/>
  <c r="AP5" i="5" s="1"/>
  <c r="AO4" i="9"/>
  <c r="AO5" i="9" s="1"/>
  <c r="AN4" i="9"/>
  <c r="AN5" i="9" s="1"/>
  <c r="AM4" i="9"/>
  <c r="AM5" i="9" s="1"/>
  <c r="AL4" i="9"/>
  <c r="AL6" i="9" s="1"/>
  <c r="AK4" i="9"/>
  <c r="AK6" i="9" s="1"/>
  <c r="AJ4" i="9"/>
  <c r="AJ6" i="9" s="1"/>
  <c r="AI4" i="9"/>
  <c r="AI6" i="9" s="1"/>
  <c r="AH4" i="9"/>
  <c r="AH6" i="9" s="1"/>
  <c r="AG4" i="9"/>
  <c r="AG6" i="9" s="1"/>
  <c r="AF4" i="9"/>
  <c r="AF6" i="9" s="1"/>
  <c r="AE4" i="9"/>
  <c r="AE5" i="9" s="1"/>
  <c r="AD4" i="9"/>
  <c r="AC4" i="9"/>
  <c r="AC5" i="9" s="1"/>
  <c r="AB4" i="9"/>
  <c r="AA4" i="9"/>
  <c r="Z4" i="9"/>
  <c r="Z5" i="9" s="1"/>
  <c r="Z5" i="5" s="1"/>
  <c r="Y4" i="9"/>
  <c r="Y5" i="9" s="1"/>
  <c r="X4" i="9"/>
  <c r="X6" i="9" s="1"/>
  <c r="W4" i="9"/>
  <c r="W6" i="9" s="1"/>
  <c r="V4" i="9"/>
  <c r="V6" i="9" s="1"/>
  <c r="U4" i="9"/>
  <c r="U6" i="9" s="1"/>
  <c r="T4" i="9"/>
  <c r="T6" i="9" s="1"/>
  <c r="S4" i="9"/>
  <c r="S6" i="9" s="1"/>
  <c r="R4" i="9"/>
  <c r="R6" i="9" s="1"/>
  <c r="Q4" i="9"/>
  <c r="Q6" i="9" s="1"/>
  <c r="P4" i="9"/>
  <c r="P6" i="9" s="1"/>
  <c r="O4" i="9"/>
  <c r="O5" i="9" s="1"/>
  <c r="N4" i="9"/>
  <c r="M4" i="9"/>
  <c r="M5" i="9" s="1"/>
  <c r="L4" i="9"/>
  <c r="K4" i="9"/>
  <c r="J4" i="9"/>
  <c r="J5" i="9" s="1"/>
  <c r="J5" i="5" s="1"/>
  <c r="I4" i="9"/>
  <c r="I5" i="9" s="1"/>
  <c r="H4" i="9"/>
  <c r="H6" i="9" s="1"/>
  <c r="G4" i="9"/>
  <c r="G6" i="9" s="1"/>
  <c r="F4" i="9"/>
  <c r="F6" i="9" s="1"/>
  <c r="E4" i="9"/>
  <c r="E6" i="9" s="1"/>
  <c r="D4" i="9"/>
  <c r="D6" i="9" s="1"/>
  <c r="AH290" i="8"/>
  <c r="AG290" i="8"/>
  <c r="AF290" i="8"/>
  <c r="AE290" i="8"/>
  <c r="AD290" i="8"/>
  <c r="AC290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D290" i="8"/>
  <c r="AH289" i="8"/>
  <c r="AG289" i="8"/>
  <c r="AF289" i="8"/>
  <c r="AE289" i="8"/>
  <c r="AD289" i="8"/>
  <c r="AC289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O289" i="8"/>
  <c r="N289" i="8"/>
  <c r="M289" i="8"/>
  <c r="L289" i="8"/>
  <c r="K289" i="8"/>
  <c r="J289" i="8"/>
  <c r="I289" i="8"/>
  <c r="H289" i="8"/>
  <c r="G289" i="8"/>
  <c r="F289" i="8"/>
  <c r="E289" i="8"/>
  <c r="D289" i="8"/>
  <c r="AH288" i="8"/>
  <c r="AG288" i="8"/>
  <c r="AF288" i="8"/>
  <c r="AE288" i="8"/>
  <c r="AD288" i="8"/>
  <c r="AC288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O288" i="8"/>
  <c r="N288" i="8"/>
  <c r="M288" i="8"/>
  <c r="L288" i="8"/>
  <c r="K288" i="8"/>
  <c r="J288" i="8"/>
  <c r="I288" i="8"/>
  <c r="H288" i="8"/>
  <c r="G288" i="8"/>
  <c r="F288" i="8"/>
  <c r="E288" i="8"/>
  <c r="D288" i="8"/>
  <c r="AH287" i="8"/>
  <c r="AG287" i="8"/>
  <c r="AF287" i="8"/>
  <c r="AE287" i="8"/>
  <c r="AD287" i="8"/>
  <c r="AC287" i="8"/>
  <c r="AB287" i="8"/>
  <c r="AA287" i="8"/>
  <c r="Z287" i="8"/>
  <c r="Y287" i="8"/>
  <c r="X287" i="8"/>
  <c r="W287" i="8"/>
  <c r="V287" i="8"/>
  <c r="U287" i="8"/>
  <c r="T287" i="8"/>
  <c r="S287" i="8"/>
  <c r="R287" i="8"/>
  <c r="Q287" i="8"/>
  <c r="P287" i="8"/>
  <c r="O287" i="8"/>
  <c r="N287" i="8"/>
  <c r="M287" i="8"/>
  <c r="L287" i="8"/>
  <c r="K287" i="8"/>
  <c r="J287" i="8"/>
  <c r="I287" i="8"/>
  <c r="H287" i="8"/>
  <c r="G287" i="8"/>
  <c r="F287" i="8"/>
  <c r="E287" i="8"/>
  <c r="D287" i="8"/>
  <c r="AH286" i="8"/>
  <c r="AG286" i="8"/>
  <c r="AF286" i="8"/>
  <c r="AE286" i="8"/>
  <c r="AD286" i="8"/>
  <c r="AC286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D286" i="8"/>
  <c r="AH285" i="8"/>
  <c r="AG285" i="8"/>
  <c r="AF285" i="8"/>
  <c r="AE285" i="8"/>
  <c r="AD285" i="8"/>
  <c r="AC285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D285" i="8"/>
  <c r="AH284" i="8"/>
  <c r="AG284" i="8"/>
  <c r="AF284" i="8"/>
  <c r="AE284" i="8"/>
  <c r="AD284" i="8"/>
  <c r="AC284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O284" i="8"/>
  <c r="N284" i="8"/>
  <c r="M284" i="8"/>
  <c r="L284" i="8"/>
  <c r="K284" i="8"/>
  <c r="J284" i="8"/>
  <c r="I284" i="8"/>
  <c r="H284" i="8"/>
  <c r="G284" i="8"/>
  <c r="F284" i="8"/>
  <c r="E284" i="8"/>
  <c r="D284" i="8"/>
  <c r="AH283" i="8"/>
  <c r="AG283" i="8"/>
  <c r="AF283" i="8"/>
  <c r="AE283" i="8"/>
  <c r="AD283" i="8"/>
  <c r="AC283" i="8"/>
  <c r="AB283" i="8"/>
  <c r="AA283" i="8"/>
  <c r="Z283" i="8"/>
  <c r="Y283" i="8"/>
  <c r="X283" i="8"/>
  <c r="W283" i="8"/>
  <c r="V283" i="8"/>
  <c r="U283" i="8"/>
  <c r="T283" i="8"/>
  <c r="S283" i="8"/>
  <c r="R283" i="8"/>
  <c r="Q283" i="8"/>
  <c r="P283" i="8"/>
  <c r="O283" i="8"/>
  <c r="N283" i="8"/>
  <c r="M283" i="8"/>
  <c r="L283" i="8"/>
  <c r="K283" i="8"/>
  <c r="J283" i="8"/>
  <c r="I283" i="8"/>
  <c r="H283" i="8"/>
  <c r="G283" i="8"/>
  <c r="F283" i="8"/>
  <c r="E283" i="8"/>
  <c r="D283" i="8"/>
  <c r="AH282" i="8"/>
  <c r="AG282" i="8"/>
  <c r="AF282" i="8"/>
  <c r="AE282" i="8"/>
  <c r="AD282" i="8"/>
  <c r="AC282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D282" i="8"/>
  <c r="AH281" i="8"/>
  <c r="AG281" i="8"/>
  <c r="AF281" i="8"/>
  <c r="AE281" i="8"/>
  <c r="AD281" i="8"/>
  <c r="AC281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D281" i="8"/>
  <c r="AH280" i="8"/>
  <c r="AG280" i="8"/>
  <c r="AF280" i="8"/>
  <c r="AE280" i="8"/>
  <c r="AD280" i="8"/>
  <c r="AC280" i="8"/>
  <c r="AB280" i="8"/>
  <c r="AA280" i="8"/>
  <c r="Z280" i="8"/>
  <c r="Y280" i="8"/>
  <c r="W280" i="8"/>
  <c r="V280" i="8"/>
  <c r="U280" i="8"/>
  <c r="T280" i="8"/>
  <c r="S280" i="8"/>
  <c r="R280" i="8"/>
  <c r="Q280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D280" i="8"/>
  <c r="AH279" i="8"/>
  <c r="AG279" i="8"/>
  <c r="AF279" i="8"/>
  <c r="AE279" i="8"/>
  <c r="AD279" i="8"/>
  <c r="AC279" i="8"/>
  <c r="AB279" i="8"/>
  <c r="AA279" i="8"/>
  <c r="Z279" i="8"/>
  <c r="Y279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AH278" i="8"/>
  <c r="AG278" i="8"/>
  <c r="AF278" i="8"/>
  <c r="AE278" i="8"/>
  <c r="AD278" i="8"/>
  <c r="AC278" i="8"/>
  <c r="AB278" i="8"/>
  <c r="AA278" i="8"/>
  <c r="Z278" i="8"/>
  <c r="Y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AH277" i="8"/>
  <c r="AG277" i="8"/>
  <c r="AF277" i="8"/>
  <c r="AE277" i="8"/>
  <c r="AD277" i="8"/>
  <c r="AC277" i="8"/>
  <c r="AB277" i="8"/>
  <c r="AA277" i="8"/>
  <c r="Z277" i="8"/>
  <c r="Y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D277" i="8"/>
  <c r="AH276" i="8"/>
  <c r="AG276" i="8"/>
  <c r="AF276" i="8"/>
  <c r="AE276" i="8"/>
  <c r="AD276" i="8"/>
  <c r="AC276" i="8"/>
  <c r="AB276" i="8"/>
  <c r="AA276" i="8"/>
  <c r="Z276" i="8"/>
  <c r="Y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AH275" i="8"/>
  <c r="AG275" i="8"/>
  <c r="AF275" i="8"/>
  <c r="AE275" i="8"/>
  <c r="AD275" i="8"/>
  <c r="AC275" i="8"/>
  <c r="AB275" i="8"/>
  <c r="AA275" i="8"/>
  <c r="Z275" i="8"/>
  <c r="Y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AH274" i="8"/>
  <c r="AG274" i="8"/>
  <c r="AF274" i="8"/>
  <c r="AE274" i="8"/>
  <c r="AD274" i="8"/>
  <c r="AC274" i="8"/>
  <c r="AB274" i="8"/>
  <c r="AA274" i="8"/>
  <c r="Z274" i="8"/>
  <c r="Y274" i="8"/>
  <c r="X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AH273" i="8"/>
  <c r="AG273" i="8"/>
  <c r="AF273" i="8"/>
  <c r="AE273" i="8"/>
  <c r="AD273" i="8"/>
  <c r="AC273" i="8"/>
  <c r="AB273" i="8"/>
  <c r="AA273" i="8"/>
  <c r="Z273" i="8"/>
  <c r="Y273" i="8"/>
  <c r="X273" i="8"/>
  <c r="W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AH272" i="8"/>
  <c r="AG272" i="8"/>
  <c r="AF272" i="8"/>
  <c r="AE272" i="8"/>
  <c r="AD272" i="8"/>
  <c r="AC272" i="8"/>
  <c r="AB272" i="8"/>
  <c r="AA272" i="8"/>
  <c r="Z272" i="8"/>
  <c r="Y272" i="8"/>
  <c r="X272" i="8"/>
  <c r="W272" i="8"/>
  <c r="V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AH271" i="8"/>
  <c r="AG271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N271" i="8"/>
  <c r="M271" i="8"/>
  <c r="L271" i="8"/>
  <c r="K271" i="8"/>
  <c r="J271" i="8"/>
  <c r="I271" i="8"/>
  <c r="H271" i="8"/>
  <c r="G271" i="8"/>
  <c r="F271" i="8"/>
  <c r="E271" i="8"/>
  <c r="D271" i="8"/>
  <c r="AH270" i="8"/>
  <c r="AG270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M270" i="8"/>
  <c r="L270" i="8"/>
  <c r="K270" i="8"/>
  <c r="J270" i="8"/>
  <c r="I270" i="8"/>
  <c r="H270" i="8"/>
  <c r="G270" i="8"/>
  <c r="F270" i="8"/>
  <c r="E270" i="8"/>
  <c r="D270" i="8"/>
  <c r="AH269" i="8"/>
  <c r="AG269" i="8"/>
  <c r="AF269" i="8"/>
  <c r="AE269" i="8"/>
  <c r="AD269" i="8"/>
  <c r="AC269" i="8"/>
  <c r="AB269" i="8"/>
  <c r="AA269" i="8"/>
  <c r="Z269" i="8"/>
  <c r="Y269" i="8"/>
  <c r="X269" i="8"/>
  <c r="W269" i="8"/>
  <c r="V269" i="8"/>
  <c r="U269" i="8"/>
  <c r="T269" i="8"/>
  <c r="S269" i="8"/>
  <c r="L269" i="8"/>
  <c r="K269" i="8"/>
  <c r="J269" i="8"/>
  <c r="I269" i="8"/>
  <c r="H269" i="8"/>
  <c r="G269" i="8"/>
  <c r="F269" i="8"/>
  <c r="E269" i="8"/>
  <c r="D269" i="8"/>
  <c r="AH268" i="8"/>
  <c r="AG268" i="8"/>
  <c r="AF268" i="8"/>
  <c r="AE268" i="8"/>
  <c r="AD268" i="8"/>
  <c r="AC268" i="8"/>
  <c r="AB268" i="8"/>
  <c r="AA268" i="8"/>
  <c r="Z268" i="8"/>
  <c r="Y268" i="8"/>
  <c r="X268" i="8"/>
  <c r="W268" i="8"/>
  <c r="V268" i="8"/>
  <c r="U268" i="8"/>
  <c r="T268" i="8"/>
  <c r="S268" i="8"/>
  <c r="R268" i="8"/>
  <c r="K268" i="8"/>
  <c r="J268" i="8"/>
  <c r="I268" i="8"/>
  <c r="H268" i="8"/>
  <c r="G268" i="8"/>
  <c r="F268" i="8"/>
  <c r="E268" i="8"/>
  <c r="D268" i="8"/>
  <c r="AH267" i="8"/>
  <c r="AG267" i="8"/>
  <c r="AF267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J267" i="8"/>
  <c r="I267" i="8"/>
  <c r="H267" i="8"/>
  <c r="G267" i="8"/>
  <c r="F267" i="8"/>
  <c r="E267" i="8"/>
  <c r="D267" i="8"/>
  <c r="AH266" i="8"/>
  <c r="AG266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I266" i="8"/>
  <c r="H266" i="8"/>
  <c r="G266" i="8"/>
  <c r="F266" i="8"/>
  <c r="E266" i="8"/>
  <c r="D266" i="8"/>
  <c r="AH265" i="8"/>
  <c r="AG265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H265" i="8"/>
  <c r="G265" i="8"/>
  <c r="F265" i="8"/>
  <c r="E265" i="8"/>
  <c r="D265" i="8"/>
  <c r="AH264" i="8"/>
  <c r="AG264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G264" i="8"/>
  <c r="F264" i="8"/>
  <c r="E264" i="8"/>
  <c r="D264" i="8"/>
  <c r="AH263" i="8"/>
  <c r="AG263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F263" i="8"/>
  <c r="E263" i="8"/>
  <c r="D263" i="8"/>
  <c r="AH262" i="8"/>
  <c r="AG262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E262" i="8"/>
  <c r="D262" i="8"/>
  <c r="AH261" i="8"/>
  <c r="AG261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D261" i="8"/>
  <c r="AH260" i="8"/>
  <c r="AG260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AH246" i="8"/>
  <c r="AG246" i="8"/>
  <c r="AF246" i="8"/>
  <c r="AE246" i="8"/>
  <c r="AD246" i="8"/>
  <c r="AC246" i="8"/>
  <c r="AB246" i="8"/>
  <c r="AA246" i="8"/>
  <c r="Z246" i="8"/>
  <c r="Y246" i="8"/>
  <c r="AH245" i="8"/>
  <c r="AG245" i="8"/>
  <c r="AF245" i="8"/>
  <c r="AE245" i="8"/>
  <c r="AD245" i="8"/>
  <c r="AC245" i="8"/>
  <c r="AB245" i="8"/>
  <c r="AA245" i="8"/>
  <c r="Z245" i="8"/>
  <c r="Y245" i="8"/>
  <c r="AH244" i="8"/>
  <c r="AG244" i="8"/>
  <c r="AF244" i="8"/>
  <c r="AE244" i="8"/>
  <c r="AD244" i="8"/>
  <c r="AC244" i="8"/>
  <c r="AB244" i="8"/>
  <c r="AA244" i="8"/>
  <c r="Z244" i="8"/>
  <c r="Y244" i="8"/>
  <c r="AH243" i="8"/>
  <c r="AG243" i="8"/>
  <c r="AF243" i="8"/>
  <c r="AE243" i="8"/>
  <c r="AD243" i="8"/>
  <c r="AC243" i="8"/>
  <c r="AB243" i="8"/>
  <c r="AA243" i="8"/>
  <c r="Z243" i="8"/>
  <c r="Y243" i="8"/>
  <c r="D243" i="8"/>
  <c r="AH242" i="8"/>
  <c r="AG242" i="8"/>
  <c r="AF242" i="8"/>
  <c r="AE242" i="8"/>
  <c r="AD242" i="8"/>
  <c r="AC242" i="8"/>
  <c r="AB242" i="8"/>
  <c r="AA242" i="8"/>
  <c r="Z242" i="8"/>
  <c r="Y242" i="8"/>
  <c r="AH241" i="8"/>
  <c r="AG241" i="8"/>
  <c r="AF241" i="8"/>
  <c r="AE241" i="8"/>
  <c r="AD241" i="8"/>
  <c r="AC241" i="8"/>
  <c r="AB241" i="8"/>
  <c r="AA241" i="8"/>
  <c r="Z241" i="8"/>
  <c r="Y241" i="8"/>
  <c r="AH240" i="8"/>
  <c r="AG240" i="8"/>
  <c r="AF240" i="8"/>
  <c r="AE240" i="8"/>
  <c r="AD240" i="8"/>
  <c r="AC240" i="8"/>
  <c r="AB240" i="8"/>
  <c r="AA240" i="8"/>
  <c r="Z240" i="8"/>
  <c r="Y240" i="8"/>
  <c r="AH239" i="8"/>
  <c r="AG239" i="8"/>
  <c r="AF239" i="8"/>
  <c r="AE239" i="8"/>
  <c r="AD239" i="8"/>
  <c r="AC239" i="8"/>
  <c r="AB239" i="8"/>
  <c r="AA239" i="8"/>
  <c r="Z239" i="8"/>
  <c r="Y239" i="8"/>
  <c r="AH238" i="8"/>
  <c r="AG238" i="8"/>
  <c r="AF238" i="8"/>
  <c r="AE238" i="8"/>
  <c r="AD238" i="8"/>
  <c r="AC238" i="8"/>
  <c r="AB238" i="8"/>
  <c r="AA238" i="8"/>
  <c r="Z238" i="8"/>
  <c r="Y238" i="8"/>
  <c r="AH237" i="8"/>
  <c r="AG237" i="8"/>
  <c r="AF237" i="8"/>
  <c r="AE237" i="8"/>
  <c r="AD237" i="8"/>
  <c r="AC237" i="8"/>
  <c r="AB237" i="8"/>
  <c r="AA237" i="8"/>
  <c r="Z237" i="8"/>
  <c r="Y237" i="8"/>
  <c r="D237" i="8"/>
  <c r="AH236" i="8"/>
  <c r="AG236" i="8"/>
  <c r="AF236" i="8"/>
  <c r="AE236" i="8"/>
  <c r="AD236" i="8"/>
  <c r="AC236" i="8"/>
  <c r="AB236" i="8"/>
  <c r="AA236" i="8"/>
  <c r="Z236" i="8"/>
  <c r="Y236" i="8"/>
  <c r="AH235" i="8"/>
  <c r="AG235" i="8"/>
  <c r="AF235" i="8"/>
  <c r="AE235" i="8"/>
  <c r="AD235" i="8"/>
  <c r="AC235" i="8"/>
  <c r="AB235" i="8"/>
  <c r="AA235" i="8"/>
  <c r="Z235" i="8"/>
  <c r="Y235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AH214" i="8"/>
  <c r="AG214" i="8"/>
  <c r="AF214" i="8"/>
  <c r="AE214" i="8"/>
  <c r="AD214" i="8"/>
  <c r="AC214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AH213" i="8"/>
  <c r="AG213" i="8"/>
  <c r="AF213" i="8"/>
  <c r="AE213" i="8"/>
  <c r="AD213" i="8"/>
  <c r="AC213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AH212" i="8"/>
  <c r="AG212" i="8"/>
  <c r="AF212" i="8"/>
  <c r="AE212" i="8"/>
  <c r="AD212" i="8"/>
  <c r="AC212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AH211" i="8"/>
  <c r="AG211" i="8"/>
  <c r="AF211" i="8"/>
  <c r="AE211" i="8"/>
  <c r="AD211" i="8"/>
  <c r="AC211" i="8"/>
  <c r="AB211" i="8"/>
  <c r="AA211" i="8"/>
  <c r="Z211" i="8"/>
  <c r="Y211" i="8"/>
  <c r="X211" i="8"/>
  <c r="W211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D211" i="8"/>
  <c r="AH210" i="8"/>
  <c r="AG210" i="8"/>
  <c r="AF210" i="8"/>
  <c r="AE210" i="8"/>
  <c r="AD210" i="8"/>
  <c r="AC210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O210" i="8"/>
  <c r="N210" i="8"/>
  <c r="M210" i="8"/>
  <c r="L210" i="8"/>
  <c r="K210" i="8"/>
  <c r="J210" i="8"/>
  <c r="I210" i="8"/>
  <c r="H210" i="8"/>
  <c r="G210" i="8"/>
  <c r="F210" i="8"/>
  <c r="E210" i="8"/>
  <c r="D210" i="8"/>
  <c r="AH209" i="8"/>
  <c r="AG209" i="8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D209" i="8"/>
  <c r="AH208" i="8"/>
  <c r="AG208" i="8"/>
  <c r="AF208" i="8"/>
  <c r="AE208" i="8"/>
  <c r="AD208" i="8"/>
  <c r="AC208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O208" i="8"/>
  <c r="N208" i="8"/>
  <c r="M208" i="8"/>
  <c r="L208" i="8"/>
  <c r="K208" i="8"/>
  <c r="J208" i="8"/>
  <c r="I208" i="8"/>
  <c r="H208" i="8"/>
  <c r="G208" i="8"/>
  <c r="F208" i="8"/>
  <c r="E208" i="8"/>
  <c r="D208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AH206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AH205" i="8"/>
  <c r="AG205" i="8"/>
  <c r="AF205" i="8"/>
  <c r="AE205" i="8"/>
  <c r="AD205" i="8"/>
  <c r="AC205" i="8"/>
  <c r="AB205" i="8"/>
  <c r="AA205" i="8"/>
  <c r="Z205" i="8"/>
  <c r="Y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AH204" i="8"/>
  <c r="AG204" i="8"/>
  <c r="AF204" i="8"/>
  <c r="AE204" i="8"/>
  <c r="AD204" i="8"/>
  <c r="AC204" i="8"/>
  <c r="AB204" i="8"/>
  <c r="AA204" i="8"/>
  <c r="Z204" i="8"/>
  <c r="Y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AH203" i="8"/>
  <c r="AG203" i="8"/>
  <c r="AF203" i="8"/>
  <c r="AE203" i="8"/>
  <c r="AD203" i="8"/>
  <c r="AC203" i="8"/>
  <c r="AB203" i="8"/>
  <c r="AA203" i="8"/>
  <c r="Z203" i="8"/>
  <c r="Y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AH202" i="8"/>
  <c r="AG202" i="8"/>
  <c r="AF202" i="8"/>
  <c r="AE202" i="8"/>
  <c r="AD202" i="8"/>
  <c r="AC202" i="8"/>
  <c r="AB202" i="8"/>
  <c r="AA202" i="8"/>
  <c r="Z202" i="8"/>
  <c r="Y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AH201" i="8"/>
  <c r="AG201" i="8"/>
  <c r="AF201" i="8"/>
  <c r="AE201" i="8"/>
  <c r="AD201" i="8"/>
  <c r="AC201" i="8"/>
  <c r="AB201" i="8"/>
  <c r="AA201" i="8"/>
  <c r="Z201" i="8"/>
  <c r="Y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AH200" i="8"/>
  <c r="AG200" i="8"/>
  <c r="AF200" i="8"/>
  <c r="AE200" i="8"/>
  <c r="AD200" i="8"/>
  <c r="AC200" i="8"/>
  <c r="AB200" i="8"/>
  <c r="AA200" i="8"/>
  <c r="Z200" i="8"/>
  <c r="Y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AH199" i="8"/>
  <c r="AG199" i="8"/>
  <c r="AF199" i="8"/>
  <c r="AE199" i="8"/>
  <c r="AD199" i="8"/>
  <c r="AC199" i="8"/>
  <c r="AB199" i="8"/>
  <c r="AA199" i="8"/>
  <c r="Z199" i="8"/>
  <c r="Y199" i="8"/>
  <c r="X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AH198" i="8"/>
  <c r="AG198" i="8"/>
  <c r="AF198" i="8"/>
  <c r="AE198" i="8"/>
  <c r="AD198" i="8"/>
  <c r="AC198" i="8"/>
  <c r="AB198" i="8"/>
  <c r="AA198" i="8"/>
  <c r="Z198" i="8"/>
  <c r="Y198" i="8"/>
  <c r="X198" i="8"/>
  <c r="W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AH197" i="8"/>
  <c r="AG197" i="8"/>
  <c r="AF197" i="8"/>
  <c r="AE197" i="8"/>
  <c r="AD197" i="8"/>
  <c r="AC197" i="8"/>
  <c r="AB197" i="8"/>
  <c r="AA197" i="8"/>
  <c r="Z197" i="8"/>
  <c r="Y197" i="8"/>
  <c r="X197" i="8"/>
  <c r="W197" i="8"/>
  <c r="V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AH196" i="8"/>
  <c r="AG196" i="8"/>
  <c r="AF196" i="8"/>
  <c r="AE196" i="8"/>
  <c r="AD196" i="8"/>
  <c r="AC196" i="8"/>
  <c r="AB196" i="8"/>
  <c r="AA196" i="8"/>
  <c r="Z196" i="8"/>
  <c r="Y196" i="8"/>
  <c r="X196" i="8"/>
  <c r="W196" i="8"/>
  <c r="V196" i="8"/>
  <c r="U196" i="8"/>
  <c r="N196" i="8"/>
  <c r="M196" i="8"/>
  <c r="L196" i="8"/>
  <c r="K196" i="8"/>
  <c r="J196" i="8"/>
  <c r="I196" i="8"/>
  <c r="H196" i="8"/>
  <c r="G196" i="8"/>
  <c r="F196" i="8"/>
  <c r="E196" i="8"/>
  <c r="D196" i="8"/>
  <c r="AH195" i="8"/>
  <c r="AG195" i="8"/>
  <c r="AF195" i="8"/>
  <c r="AE195" i="8"/>
  <c r="AD195" i="8"/>
  <c r="AC195" i="8"/>
  <c r="AB195" i="8"/>
  <c r="AA195" i="8"/>
  <c r="Z195" i="8"/>
  <c r="Y195" i="8"/>
  <c r="X195" i="8"/>
  <c r="W195" i="8"/>
  <c r="V195" i="8"/>
  <c r="U195" i="8"/>
  <c r="T195" i="8"/>
  <c r="M195" i="8"/>
  <c r="L195" i="8"/>
  <c r="K195" i="8"/>
  <c r="J195" i="8"/>
  <c r="I195" i="8"/>
  <c r="H195" i="8"/>
  <c r="G195" i="8"/>
  <c r="F195" i="8"/>
  <c r="E195" i="8"/>
  <c r="D195" i="8"/>
  <c r="AH194" i="8"/>
  <c r="AG194" i="8"/>
  <c r="AF194" i="8"/>
  <c r="AE194" i="8"/>
  <c r="AD194" i="8"/>
  <c r="AC194" i="8"/>
  <c r="AB194" i="8"/>
  <c r="AA194" i="8"/>
  <c r="Z194" i="8"/>
  <c r="Y194" i="8"/>
  <c r="X194" i="8"/>
  <c r="W194" i="8"/>
  <c r="V194" i="8"/>
  <c r="U194" i="8"/>
  <c r="T194" i="8"/>
  <c r="S194" i="8"/>
  <c r="L194" i="8"/>
  <c r="K194" i="8"/>
  <c r="J194" i="8"/>
  <c r="I194" i="8"/>
  <c r="H194" i="8"/>
  <c r="G194" i="8"/>
  <c r="F194" i="8"/>
  <c r="E194" i="8"/>
  <c r="D194" i="8"/>
  <c r="AH193" i="8"/>
  <c r="AG193" i="8"/>
  <c r="AF193" i="8"/>
  <c r="AE193" i="8"/>
  <c r="AD193" i="8"/>
  <c r="AC193" i="8"/>
  <c r="AB193" i="8"/>
  <c r="AA193" i="8"/>
  <c r="Z193" i="8"/>
  <c r="Y193" i="8"/>
  <c r="X193" i="8"/>
  <c r="W193" i="8"/>
  <c r="V193" i="8"/>
  <c r="U193" i="8"/>
  <c r="T193" i="8"/>
  <c r="S193" i="8"/>
  <c r="R193" i="8"/>
  <c r="K193" i="8"/>
  <c r="J193" i="8"/>
  <c r="I193" i="8"/>
  <c r="H193" i="8"/>
  <c r="G193" i="8"/>
  <c r="F193" i="8"/>
  <c r="E193" i="8"/>
  <c r="D193" i="8"/>
  <c r="AH192" i="8"/>
  <c r="AG192" i="8"/>
  <c r="AF192" i="8"/>
  <c r="AE192" i="8"/>
  <c r="AD192" i="8"/>
  <c r="AC192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J192" i="8"/>
  <c r="I192" i="8"/>
  <c r="H192" i="8"/>
  <c r="G192" i="8"/>
  <c r="F192" i="8"/>
  <c r="E192" i="8"/>
  <c r="D192" i="8"/>
  <c r="AH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I191" i="8"/>
  <c r="H191" i="8"/>
  <c r="G191" i="8"/>
  <c r="F191" i="8"/>
  <c r="E191" i="8"/>
  <c r="D191" i="8"/>
  <c r="AH190" i="8"/>
  <c r="AG190" i="8"/>
  <c r="AF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H190" i="8"/>
  <c r="G190" i="8"/>
  <c r="F190" i="8"/>
  <c r="E190" i="8"/>
  <c r="D190" i="8"/>
  <c r="AH189" i="8"/>
  <c r="AG189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G189" i="8"/>
  <c r="F189" i="8"/>
  <c r="E189" i="8"/>
  <c r="D189" i="8"/>
  <c r="AH188" i="8"/>
  <c r="AG188" i="8"/>
  <c r="AF188" i="8"/>
  <c r="AE188" i="8"/>
  <c r="AD188" i="8"/>
  <c r="AC188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F188" i="8"/>
  <c r="E188" i="8"/>
  <c r="D188" i="8"/>
  <c r="AH187" i="8"/>
  <c r="AG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E187" i="8"/>
  <c r="D187" i="8"/>
  <c r="AH186" i="8"/>
  <c r="AG186" i="8"/>
  <c r="AF186" i="8"/>
  <c r="AE186" i="8"/>
  <c r="AD186" i="8"/>
  <c r="AC186" i="8"/>
  <c r="AB186" i="8"/>
  <c r="AA186" i="8"/>
  <c r="Z186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D186" i="8"/>
  <c r="AH185" i="8"/>
  <c r="AG185" i="8"/>
  <c r="AF185" i="8"/>
  <c r="AE185" i="8"/>
  <c r="AD185" i="8"/>
  <c r="AC185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AH171" i="8"/>
  <c r="AG171" i="8"/>
  <c r="AF171" i="8"/>
  <c r="AE171" i="8"/>
  <c r="AD171" i="8"/>
  <c r="AC171" i="8"/>
  <c r="AB171" i="8"/>
  <c r="AA171" i="8"/>
  <c r="Z171" i="8"/>
  <c r="Y171" i="8"/>
  <c r="AH170" i="8"/>
  <c r="AG170" i="8"/>
  <c r="AF170" i="8"/>
  <c r="AE170" i="8"/>
  <c r="AD170" i="8"/>
  <c r="AC170" i="8"/>
  <c r="AB170" i="8"/>
  <c r="AA170" i="8"/>
  <c r="Z170" i="8"/>
  <c r="Y170" i="8"/>
  <c r="AH169" i="8"/>
  <c r="AG169" i="8"/>
  <c r="AF169" i="8"/>
  <c r="AE169" i="8"/>
  <c r="AD169" i="8"/>
  <c r="AC169" i="8"/>
  <c r="AB169" i="8"/>
  <c r="AA169" i="8"/>
  <c r="Z169" i="8"/>
  <c r="Y169" i="8"/>
  <c r="AH168" i="8"/>
  <c r="AG168" i="8"/>
  <c r="AF168" i="8"/>
  <c r="AE168" i="8"/>
  <c r="AD168" i="8"/>
  <c r="AC168" i="8"/>
  <c r="AB168" i="8"/>
  <c r="AA168" i="8"/>
  <c r="Z168" i="8"/>
  <c r="Y168" i="8"/>
  <c r="D168" i="8"/>
  <c r="AH167" i="8"/>
  <c r="AG167" i="8"/>
  <c r="AF167" i="8"/>
  <c r="AE167" i="8"/>
  <c r="AD167" i="8"/>
  <c r="AC167" i="8"/>
  <c r="AB167" i="8"/>
  <c r="AA167" i="8"/>
  <c r="Z167" i="8"/>
  <c r="Y167" i="8"/>
  <c r="AH166" i="8"/>
  <c r="AG166" i="8"/>
  <c r="AF166" i="8"/>
  <c r="AE166" i="8"/>
  <c r="AD166" i="8"/>
  <c r="AC166" i="8"/>
  <c r="AB166" i="8"/>
  <c r="AA166" i="8"/>
  <c r="Z166" i="8"/>
  <c r="Y166" i="8"/>
  <c r="AH165" i="8"/>
  <c r="AG165" i="8"/>
  <c r="AF165" i="8"/>
  <c r="AE165" i="8"/>
  <c r="AD165" i="8"/>
  <c r="AC165" i="8"/>
  <c r="AB165" i="8"/>
  <c r="AA165" i="8"/>
  <c r="Z165" i="8"/>
  <c r="Y165" i="8"/>
  <c r="AH164" i="8"/>
  <c r="AG164" i="8"/>
  <c r="AF164" i="8"/>
  <c r="AE164" i="8"/>
  <c r="AD164" i="8"/>
  <c r="AC164" i="8"/>
  <c r="AB164" i="8"/>
  <c r="AA164" i="8"/>
  <c r="Z164" i="8"/>
  <c r="Y164" i="8"/>
  <c r="AH163" i="8"/>
  <c r="AG163" i="8"/>
  <c r="AF163" i="8"/>
  <c r="AE163" i="8"/>
  <c r="AD163" i="8"/>
  <c r="AC163" i="8"/>
  <c r="AB163" i="8"/>
  <c r="AA163" i="8"/>
  <c r="Z163" i="8"/>
  <c r="Y163" i="8"/>
  <c r="AH162" i="8"/>
  <c r="AG162" i="8"/>
  <c r="AF162" i="8"/>
  <c r="AE162" i="8"/>
  <c r="AD162" i="8"/>
  <c r="AC162" i="8"/>
  <c r="AB162" i="8"/>
  <c r="AA162" i="8"/>
  <c r="Z162" i="8"/>
  <c r="Y162" i="8"/>
  <c r="D162" i="8"/>
  <c r="AH161" i="8"/>
  <c r="AG161" i="8"/>
  <c r="AF161" i="8"/>
  <c r="AE161" i="8"/>
  <c r="AD161" i="8"/>
  <c r="AC161" i="8"/>
  <c r="AB161" i="8"/>
  <c r="AA161" i="8"/>
  <c r="Z161" i="8"/>
  <c r="Y161" i="8"/>
  <c r="AH160" i="8"/>
  <c r="AG160" i="8"/>
  <c r="AF160" i="8"/>
  <c r="AE160" i="8"/>
  <c r="AD160" i="8"/>
  <c r="AC160" i="8"/>
  <c r="AB160" i="8"/>
  <c r="AA160" i="8"/>
  <c r="Z160" i="8"/>
  <c r="Y160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AH130" i="8"/>
  <c r="AG130" i="8"/>
  <c r="AF130" i="8"/>
  <c r="AE130" i="8"/>
  <c r="AD130" i="8"/>
  <c r="AC130" i="8"/>
  <c r="AB130" i="8"/>
  <c r="AA130" i="8"/>
  <c r="Z130" i="8"/>
  <c r="Y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AH129" i="8"/>
  <c r="AG129" i="8"/>
  <c r="AF129" i="8"/>
  <c r="AE129" i="8"/>
  <c r="AD129" i="8"/>
  <c r="AC129" i="8"/>
  <c r="AB129" i="8"/>
  <c r="AA129" i="8"/>
  <c r="Z129" i="8"/>
  <c r="Y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AH128" i="8"/>
  <c r="AG128" i="8"/>
  <c r="AF128" i="8"/>
  <c r="AE128" i="8"/>
  <c r="AD128" i="8"/>
  <c r="AC128" i="8"/>
  <c r="AB128" i="8"/>
  <c r="AA128" i="8"/>
  <c r="Z128" i="8"/>
  <c r="Y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AH127" i="8"/>
  <c r="AG127" i="8"/>
  <c r="AF127" i="8"/>
  <c r="AE127" i="8"/>
  <c r="AD127" i="8"/>
  <c r="AC127" i="8"/>
  <c r="AB127" i="8"/>
  <c r="AA127" i="8"/>
  <c r="Z127" i="8"/>
  <c r="Y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AH126" i="8"/>
  <c r="AG126" i="8"/>
  <c r="AF126" i="8"/>
  <c r="AE126" i="8"/>
  <c r="AD126" i="8"/>
  <c r="AC126" i="8"/>
  <c r="AB126" i="8"/>
  <c r="AA126" i="8"/>
  <c r="Z126" i="8"/>
  <c r="Y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AH125" i="8"/>
  <c r="AG125" i="8"/>
  <c r="AF125" i="8"/>
  <c r="AE125" i="8"/>
  <c r="AD125" i="8"/>
  <c r="AC125" i="8"/>
  <c r="AB125" i="8"/>
  <c r="AA125" i="8"/>
  <c r="Z125" i="8"/>
  <c r="Y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AH124" i="8"/>
  <c r="AG124" i="8"/>
  <c r="AF124" i="8"/>
  <c r="AE124" i="8"/>
  <c r="AD124" i="8"/>
  <c r="AC124" i="8"/>
  <c r="AB124" i="8"/>
  <c r="AA124" i="8"/>
  <c r="Z124" i="8"/>
  <c r="Y124" i="8"/>
  <c r="X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N121" i="8"/>
  <c r="M121" i="8"/>
  <c r="L121" i="8"/>
  <c r="K121" i="8"/>
  <c r="J121" i="8"/>
  <c r="I121" i="8"/>
  <c r="H121" i="8"/>
  <c r="G121" i="8"/>
  <c r="F121" i="8"/>
  <c r="E121" i="8"/>
  <c r="D121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M120" i="8"/>
  <c r="L120" i="8"/>
  <c r="K120" i="8"/>
  <c r="J120" i="8"/>
  <c r="I120" i="8"/>
  <c r="H120" i="8"/>
  <c r="G120" i="8"/>
  <c r="F120" i="8"/>
  <c r="E120" i="8"/>
  <c r="D120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L119" i="8"/>
  <c r="K119" i="8"/>
  <c r="J119" i="8"/>
  <c r="I119" i="8"/>
  <c r="H119" i="8"/>
  <c r="G119" i="8"/>
  <c r="F119" i="8"/>
  <c r="E119" i="8"/>
  <c r="D119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K118" i="8"/>
  <c r="J118" i="8"/>
  <c r="I118" i="8"/>
  <c r="H118" i="8"/>
  <c r="G118" i="8"/>
  <c r="F118" i="8"/>
  <c r="E118" i="8"/>
  <c r="D118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J117" i="8"/>
  <c r="I117" i="8"/>
  <c r="H117" i="8"/>
  <c r="G117" i="8"/>
  <c r="F117" i="8"/>
  <c r="E117" i="8"/>
  <c r="D117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I116" i="8"/>
  <c r="H116" i="8"/>
  <c r="G116" i="8"/>
  <c r="F116" i="8"/>
  <c r="E116" i="8"/>
  <c r="D116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H115" i="8"/>
  <c r="G115" i="8"/>
  <c r="F115" i="8"/>
  <c r="E115" i="8"/>
  <c r="D115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G114" i="8"/>
  <c r="F114" i="8"/>
  <c r="E114" i="8"/>
  <c r="D114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F113" i="8"/>
  <c r="E113" i="8"/>
  <c r="D113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E112" i="8"/>
  <c r="D112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D111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AH96" i="8"/>
  <c r="AG96" i="8"/>
  <c r="AF96" i="8"/>
  <c r="AE96" i="8"/>
  <c r="AD96" i="8"/>
  <c r="AC96" i="8"/>
  <c r="AB96" i="8"/>
  <c r="AA96" i="8"/>
  <c r="Z96" i="8"/>
  <c r="Y96" i="8"/>
  <c r="AH95" i="8"/>
  <c r="AG95" i="8"/>
  <c r="AF95" i="8"/>
  <c r="AE95" i="8"/>
  <c r="AD95" i="8"/>
  <c r="AC95" i="8"/>
  <c r="AB95" i="8"/>
  <c r="AA95" i="8"/>
  <c r="Z95" i="8"/>
  <c r="Y95" i="8"/>
  <c r="AH94" i="8"/>
  <c r="AG94" i="8"/>
  <c r="AF94" i="8"/>
  <c r="AE94" i="8"/>
  <c r="AD94" i="8"/>
  <c r="AC94" i="8"/>
  <c r="AB94" i="8"/>
  <c r="AA94" i="8"/>
  <c r="Z94" i="8"/>
  <c r="Y94" i="8"/>
  <c r="AH93" i="8"/>
  <c r="AG93" i="8"/>
  <c r="AF93" i="8"/>
  <c r="AE93" i="8"/>
  <c r="AD93" i="8"/>
  <c r="AC93" i="8"/>
  <c r="AB93" i="8"/>
  <c r="AA93" i="8"/>
  <c r="Z93" i="8"/>
  <c r="Y93" i="8"/>
  <c r="D93" i="8"/>
  <c r="AH92" i="8"/>
  <c r="AG92" i="8"/>
  <c r="AF92" i="8"/>
  <c r="AE92" i="8"/>
  <c r="AD92" i="8"/>
  <c r="AC92" i="8"/>
  <c r="AB92" i="8"/>
  <c r="AA92" i="8"/>
  <c r="Z92" i="8"/>
  <c r="Y92" i="8"/>
  <c r="AH91" i="8"/>
  <c r="AG91" i="8"/>
  <c r="AF91" i="8"/>
  <c r="AE91" i="8"/>
  <c r="AD91" i="8"/>
  <c r="AC91" i="8"/>
  <c r="AB91" i="8"/>
  <c r="AA91" i="8"/>
  <c r="Z91" i="8"/>
  <c r="Y91" i="8"/>
  <c r="AH90" i="8"/>
  <c r="AG90" i="8"/>
  <c r="AF90" i="8"/>
  <c r="AE90" i="8"/>
  <c r="AD90" i="8"/>
  <c r="AC90" i="8"/>
  <c r="AB90" i="8"/>
  <c r="AA90" i="8"/>
  <c r="Z90" i="8"/>
  <c r="Y90" i="8"/>
  <c r="AH89" i="8"/>
  <c r="AG89" i="8"/>
  <c r="AF89" i="8"/>
  <c r="AE89" i="8"/>
  <c r="AD89" i="8"/>
  <c r="AC89" i="8"/>
  <c r="AB89" i="8"/>
  <c r="AA89" i="8"/>
  <c r="Z89" i="8"/>
  <c r="Y89" i="8"/>
  <c r="AH88" i="8"/>
  <c r="AG88" i="8"/>
  <c r="AF88" i="8"/>
  <c r="AE88" i="8"/>
  <c r="AD88" i="8"/>
  <c r="AC88" i="8"/>
  <c r="AB88" i="8"/>
  <c r="AA88" i="8"/>
  <c r="Z88" i="8"/>
  <c r="Y88" i="8"/>
  <c r="AH87" i="8"/>
  <c r="AG87" i="8"/>
  <c r="AF87" i="8"/>
  <c r="AE87" i="8"/>
  <c r="AD87" i="8"/>
  <c r="AC87" i="8"/>
  <c r="AB87" i="8"/>
  <c r="AA87" i="8"/>
  <c r="Z87" i="8"/>
  <c r="Y87" i="8"/>
  <c r="D87" i="8"/>
  <c r="AH86" i="8"/>
  <c r="AG86" i="8"/>
  <c r="AF86" i="8"/>
  <c r="AE86" i="8"/>
  <c r="AD86" i="8"/>
  <c r="AC86" i="8"/>
  <c r="AB86" i="8"/>
  <c r="AA86" i="8"/>
  <c r="Z86" i="8"/>
  <c r="Y86" i="8"/>
  <c r="AH85" i="8"/>
  <c r="AG85" i="8"/>
  <c r="AF85" i="8"/>
  <c r="AE85" i="8"/>
  <c r="AD85" i="8"/>
  <c r="AC85" i="8"/>
  <c r="AB85" i="8"/>
  <c r="AA85" i="8"/>
  <c r="Z85" i="8"/>
  <c r="Y8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AH55" i="8"/>
  <c r="AG55" i="8"/>
  <c r="AF55" i="8"/>
  <c r="AE55" i="8"/>
  <c r="AD55" i="8"/>
  <c r="AC55" i="8"/>
  <c r="AB55" i="8"/>
  <c r="AA55" i="8"/>
  <c r="Z55" i="8"/>
  <c r="Y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AH54" i="8"/>
  <c r="AG54" i="8"/>
  <c r="AF54" i="8"/>
  <c r="AE54" i="8"/>
  <c r="AD54" i="8"/>
  <c r="AC54" i="8"/>
  <c r="AB54" i="8"/>
  <c r="AA54" i="8"/>
  <c r="Z54" i="8"/>
  <c r="Y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AH53" i="8"/>
  <c r="AG53" i="8"/>
  <c r="AF53" i="8"/>
  <c r="AE53" i="8"/>
  <c r="AD53" i="8"/>
  <c r="AC53" i="8"/>
  <c r="AB53" i="8"/>
  <c r="AA53" i="8"/>
  <c r="Z53" i="8"/>
  <c r="Y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AH52" i="8"/>
  <c r="AG52" i="8"/>
  <c r="AF52" i="8"/>
  <c r="AE52" i="8"/>
  <c r="AD52" i="8"/>
  <c r="AC52" i="8"/>
  <c r="AB52" i="8"/>
  <c r="AA52" i="8"/>
  <c r="Z52" i="8"/>
  <c r="Y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AH51" i="8"/>
  <c r="AG51" i="8"/>
  <c r="AF51" i="8"/>
  <c r="AE51" i="8"/>
  <c r="AD51" i="8"/>
  <c r="AC51" i="8"/>
  <c r="AB51" i="8"/>
  <c r="AA51" i="8"/>
  <c r="Z51" i="8"/>
  <c r="Y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AH50" i="8"/>
  <c r="AG50" i="8"/>
  <c r="AF50" i="8"/>
  <c r="AE50" i="8"/>
  <c r="AD50" i="8"/>
  <c r="AC50" i="8"/>
  <c r="AB50" i="8"/>
  <c r="AA50" i="8"/>
  <c r="Z50" i="8"/>
  <c r="Y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AH49" i="8"/>
  <c r="AG49" i="8"/>
  <c r="AF49" i="8"/>
  <c r="AE49" i="8"/>
  <c r="AD49" i="8"/>
  <c r="AC49" i="8"/>
  <c r="AB49" i="8"/>
  <c r="AA49" i="8"/>
  <c r="Z49" i="8"/>
  <c r="Y49" i="8"/>
  <c r="X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H48" i="8"/>
  <c r="AG48" i="8"/>
  <c r="AF48" i="8"/>
  <c r="AE48" i="8"/>
  <c r="AD48" i="8"/>
  <c r="AC48" i="8"/>
  <c r="AB48" i="8"/>
  <c r="AA48" i="8"/>
  <c r="Z48" i="8"/>
  <c r="Y48" i="8"/>
  <c r="X48" i="8"/>
  <c r="W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O47" i="8"/>
  <c r="N47" i="8"/>
  <c r="M47" i="8"/>
  <c r="L47" i="8"/>
  <c r="K47" i="8"/>
  <c r="J47" i="8"/>
  <c r="I47" i="8"/>
  <c r="H47" i="8"/>
  <c r="G47" i="8"/>
  <c r="F47" i="8"/>
  <c r="E47" i="8"/>
  <c r="D47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N46" i="8"/>
  <c r="M46" i="8"/>
  <c r="L46" i="8"/>
  <c r="K46" i="8"/>
  <c r="J46" i="8"/>
  <c r="I46" i="8"/>
  <c r="H46" i="8"/>
  <c r="G46" i="8"/>
  <c r="F46" i="8"/>
  <c r="E46" i="8"/>
  <c r="D46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M45" i="8"/>
  <c r="L45" i="8"/>
  <c r="K45" i="8"/>
  <c r="J45" i="8"/>
  <c r="I45" i="8"/>
  <c r="H45" i="8"/>
  <c r="G45" i="8"/>
  <c r="F45" i="8"/>
  <c r="E45" i="8"/>
  <c r="D45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L44" i="8"/>
  <c r="K44" i="8"/>
  <c r="J44" i="8"/>
  <c r="I44" i="8"/>
  <c r="H44" i="8"/>
  <c r="G44" i="8"/>
  <c r="F44" i="8"/>
  <c r="E44" i="8"/>
  <c r="D44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K43" i="8"/>
  <c r="J43" i="8"/>
  <c r="I43" i="8"/>
  <c r="H43" i="8"/>
  <c r="G43" i="8"/>
  <c r="F43" i="8"/>
  <c r="E43" i="8"/>
  <c r="D43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J42" i="8"/>
  <c r="I42" i="8"/>
  <c r="H42" i="8"/>
  <c r="G42" i="8"/>
  <c r="F42" i="8"/>
  <c r="E42" i="8"/>
  <c r="D42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I41" i="8"/>
  <c r="H41" i="8"/>
  <c r="G41" i="8"/>
  <c r="F41" i="8"/>
  <c r="E41" i="8"/>
  <c r="D41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H40" i="8"/>
  <c r="G40" i="8"/>
  <c r="F40" i="8"/>
  <c r="E40" i="8"/>
  <c r="D40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G39" i="8"/>
  <c r="F39" i="8"/>
  <c r="E39" i="8"/>
  <c r="D39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F38" i="8"/>
  <c r="E38" i="8"/>
  <c r="D38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E37" i="8"/>
  <c r="D37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D36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AH21" i="8"/>
  <c r="AG21" i="8"/>
  <c r="AF21" i="8"/>
  <c r="AE21" i="8"/>
  <c r="AD21" i="8"/>
  <c r="AC21" i="8"/>
  <c r="AB21" i="8"/>
  <c r="AA21" i="8"/>
  <c r="Z21" i="8"/>
  <c r="Y21" i="8"/>
  <c r="AH20" i="8"/>
  <c r="AG20" i="8"/>
  <c r="AF20" i="8"/>
  <c r="AE20" i="8"/>
  <c r="AD20" i="8"/>
  <c r="AC20" i="8"/>
  <c r="AB20" i="8"/>
  <c r="AA20" i="8"/>
  <c r="Z20" i="8"/>
  <c r="Y20" i="8"/>
  <c r="AH19" i="8"/>
  <c r="AG19" i="8"/>
  <c r="AF19" i="8"/>
  <c r="AE19" i="8"/>
  <c r="AD19" i="8"/>
  <c r="AC19" i="8"/>
  <c r="AB19" i="8"/>
  <c r="AA19" i="8"/>
  <c r="Z19" i="8"/>
  <c r="Y19" i="8"/>
  <c r="AH18" i="8"/>
  <c r="AG18" i="8"/>
  <c r="AF18" i="8"/>
  <c r="AE18" i="8"/>
  <c r="AD18" i="8"/>
  <c r="AC18" i="8"/>
  <c r="AB18" i="8"/>
  <c r="AA18" i="8"/>
  <c r="Z18" i="8"/>
  <c r="Y18" i="8"/>
  <c r="D18" i="8"/>
  <c r="AH17" i="8"/>
  <c r="AG17" i="8"/>
  <c r="AF17" i="8"/>
  <c r="AE17" i="8"/>
  <c r="AD17" i="8"/>
  <c r="AC17" i="8"/>
  <c r="AB17" i="8"/>
  <c r="AA17" i="8"/>
  <c r="Z17" i="8"/>
  <c r="Y17" i="8"/>
  <c r="AH16" i="8"/>
  <c r="AG16" i="8"/>
  <c r="AF16" i="8"/>
  <c r="AE16" i="8"/>
  <c r="AD16" i="8"/>
  <c r="AC16" i="8"/>
  <c r="AB16" i="8"/>
  <c r="AA16" i="8"/>
  <c r="Z16" i="8"/>
  <c r="Y16" i="8"/>
  <c r="AH15" i="8"/>
  <c r="AG15" i="8"/>
  <c r="AF15" i="8"/>
  <c r="AE15" i="8"/>
  <c r="AD15" i="8"/>
  <c r="AC15" i="8"/>
  <c r="AB15" i="8"/>
  <c r="AA15" i="8"/>
  <c r="Z15" i="8"/>
  <c r="Y15" i="8"/>
  <c r="AH14" i="8"/>
  <c r="AG14" i="8"/>
  <c r="AF14" i="8"/>
  <c r="AE14" i="8"/>
  <c r="AD14" i="8"/>
  <c r="AC14" i="8"/>
  <c r="AB14" i="8"/>
  <c r="AA14" i="8"/>
  <c r="Z14" i="8"/>
  <c r="Y14" i="8"/>
  <c r="AH13" i="8"/>
  <c r="AG13" i="8"/>
  <c r="AF13" i="8"/>
  <c r="AE13" i="8"/>
  <c r="AD13" i="8"/>
  <c r="AC13" i="8"/>
  <c r="AB13" i="8"/>
  <c r="AA13" i="8"/>
  <c r="Z13" i="8"/>
  <c r="Y13" i="8"/>
  <c r="AH12" i="8"/>
  <c r="AG12" i="8"/>
  <c r="AF12" i="8"/>
  <c r="AE12" i="8"/>
  <c r="AD12" i="8"/>
  <c r="AC12" i="8"/>
  <c r="AB12" i="8"/>
  <c r="AA12" i="8"/>
  <c r="Z12" i="8"/>
  <c r="Y12" i="8"/>
  <c r="D12" i="8"/>
  <c r="AH11" i="8"/>
  <c r="AG11" i="8"/>
  <c r="AF11" i="8"/>
  <c r="AE11" i="8"/>
  <c r="AD11" i="8"/>
  <c r="AC11" i="8"/>
  <c r="AB11" i="8"/>
  <c r="AA11" i="8"/>
  <c r="Z11" i="8"/>
  <c r="Y11" i="8"/>
  <c r="AH10" i="8"/>
  <c r="AG10" i="8"/>
  <c r="AF10" i="8"/>
  <c r="AE10" i="8"/>
  <c r="AD10" i="8"/>
  <c r="AC10" i="8"/>
  <c r="AB10" i="8"/>
  <c r="AA10" i="8"/>
  <c r="Z10" i="8"/>
  <c r="Y10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DT189" i="7"/>
  <c r="DS189" i="7"/>
  <c r="DR189" i="7"/>
  <c r="DQ189" i="7"/>
  <c r="DP189" i="7"/>
  <c r="DO189" i="7"/>
  <c r="DN189" i="7"/>
  <c r="DM189" i="7"/>
  <c r="DL189" i="7"/>
  <c r="DK189" i="7"/>
  <c r="DJ189" i="7"/>
  <c r="DI189" i="7"/>
  <c r="DH189" i="7"/>
  <c r="DG189" i="7"/>
  <c r="DF189" i="7"/>
  <c r="DE189" i="7"/>
  <c r="DD189" i="7"/>
  <c r="DC189" i="7"/>
  <c r="DB189" i="7"/>
  <c r="DA189" i="7"/>
  <c r="CZ189" i="7"/>
  <c r="CY189" i="7"/>
  <c r="CX189" i="7"/>
  <c r="CW189" i="7"/>
  <c r="CV189" i="7"/>
  <c r="CU189" i="7"/>
  <c r="CT189" i="7"/>
  <c r="CS189" i="7"/>
  <c r="CR189" i="7"/>
  <c r="CQ189" i="7"/>
  <c r="CP189" i="7"/>
  <c r="CO189" i="7"/>
  <c r="CN189" i="7"/>
  <c r="CM189" i="7"/>
  <c r="CL189" i="7"/>
  <c r="CK189" i="7"/>
  <c r="CJ189" i="7"/>
  <c r="CI189" i="7"/>
  <c r="CH189" i="7"/>
  <c r="CG189" i="7"/>
  <c r="DT188" i="7"/>
  <c r="DS188" i="7"/>
  <c r="DR188" i="7"/>
  <c r="DQ188" i="7"/>
  <c r="DP188" i="7"/>
  <c r="DO188" i="7"/>
  <c r="DN188" i="7"/>
  <c r="DM188" i="7"/>
  <c r="DL188" i="7"/>
  <c r="DK188" i="7"/>
  <c r="DJ188" i="7"/>
  <c r="DI188" i="7"/>
  <c r="DH188" i="7"/>
  <c r="DG188" i="7"/>
  <c r="DF188" i="7"/>
  <c r="DE188" i="7"/>
  <c r="DD188" i="7"/>
  <c r="DC188" i="7"/>
  <c r="DB188" i="7"/>
  <c r="DA188" i="7"/>
  <c r="CZ188" i="7"/>
  <c r="CY188" i="7"/>
  <c r="CX188" i="7"/>
  <c r="CW188" i="7"/>
  <c r="CV188" i="7"/>
  <c r="CU188" i="7"/>
  <c r="CT188" i="7"/>
  <c r="CS188" i="7"/>
  <c r="CR188" i="7"/>
  <c r="CQ188" i="7"/>
  <c r="CP188" i="7"/>
  <c r="CO188" i="7"/>
  <c r="CN188" i="7"/>
  <c r="CM188" i="7"/>
  <c r="CL188" i="7"/>
  <c r="CK188" i="7"/>
  <c r="CJ188" i="7"/>
  <c r="CI188" i="7"/>
  <c r="CH188" i="7"/>
  <c r="CG188" i="7"/>
  <c r="DT187" i="7"/>
  <c r="DS187" i="7"/>
  <c r="DR187" i="7"/>
  <c r="DQ187" i="7"/>
  <c r="DP187" i="7"/>
  <c r="DO187" i="7"/>
  <c r="DN187" i="7"/>
  <c r="DM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W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DT186" i="7"/>
  <c r="DS186" i="7"/>
  <c r="DR186" i="7"/>
  <c r="DQ186" i="7"/>
  <c r="DP186" i="7"/>
  <c r="DO186" i="7"/>
  <c r="DN186" i="7"/>
  <c r="DM186" i="7"/>
  <c r="DL186" i="7"/>
  <c r="DK186" i="7"/>
  <c r="DJ186" i="7"/>
  <c r="DI186" i="7"/>
  <c r="DH186" i="7"/>
  <c r="DG186" i="7"/>
  <c r="DF186" i="7"/>
  <c r="DE186" i="7"/>
  <c r="DD186" i="7"/>
  <c r="DC186" i="7"/>
  <c r="DB186" i="7"/>
  <c r="DA186" i="7"/>
  <c r="CZ186" i="7"/>
  <c r="CY186" i="7"/>
  <c r="CX186" i="7"/>
  <c r="CW186" i="7"/>
  <c r="CV186" i="7"/>
  <c r="CU186" i="7"/>
  <c r="CT186" i="7"/>
  <c r="CS186" i="7"/>
  <c r="CR186" i="7"/>
  <c r="CQ186" i="7"/>
  <c r="CP186" i="7"/>
  <c r="CO186" i="7"/>
  <c r="CN186" i="7"/>
  <c r="CM186" i="7"/>
  <c r="CL186" i="7"/>
  <c r="CK186" i="7"/>
  <c r="CJ186" i="7"/>
  <c r="CI186" i="7"/>
  <c r="CH186" i="7"/>
  <c r="CG186" i="7"/>
  <c r="DT185" i="7"/>
  <c r="DS185" i="7"/>
  <c r="DR185" i="7"/>
  <c r="DQ185" i="7"/>
  <c r="DP185" i="7"/>
  <c r="DO185" i="7"/>
  <c r="DN185" i="7"/>
  <c r="DM185" i="7"/>
  <c r="DL185" i="7"/>
  <c r="DK185" i="7"/>
  <c r="DJ185" i="7"/>
  <c r="DI185" i="7"/>
  <c r="DH185" i="7"/>
  <c r="DG185" i="7"/>
  <c r="DF185" i="7"/>
  <c r="DE185" i="7"/>
  <c r="DD185" i="7"/>
  <c r="DC185" i="7"/>
  <c r="DB185" i="7"/>
  <c r="DA185" i="7"/>
  <c r="CZ185" i="7"/>
  <c r="CY185" i="7"/>
  <c r="CX185" i="7"/>
  <c r="CW185" i="7"/>
  <c r="CV185" i="7"/>
  <c r="CU185" i="7"/>
  <c r="CT185" i="7"/>
  <c r="CS185" i="7"/>
  <c r="CR185" i="7"/>
  <c r="CQ185" i="7"/>
  <c r="CP185" i="7"/>
  <c r="CO185" i="7"/>
  <c r="CN185" i="7"/>
  <c r="CM185" i="7"/>
  <c r="CL185" i="7"/>
  <c r="CK185" i="7"/>
  <c r="CJ185" i="7"/>
  <c r="CI185" i="7"/>
  <c r="CH185" i="7"/>
  <c r="CG185" i="7"/>
  <c r="D185" i="7"/>
  <c r="DT184" i="7"/>
  <c r="DS184" i="7"/>
  <c r="DR184" i="7"/>
  <c r="DQ184" i="7"/>
  <c r="DP184" i="7"/>
  <c r="DO184" i="7"/>
  <c r="DN184" i="7"/>
  <c r="DM184" i="7"/>
  <c r="DL184" i="7"/>
  <c r="DK184" i="7"/>
  <c r="DJ184" i="7"/>
  <c r="DI184" i="7"/>
  <c r="DH184" i="7"/>
  <c r="DG184" i="7"/>
  <c r="DF184" i="7"/>
  <c r="DE184" i="7"/>
  <c r="DD184" i="7"/>
  <c r="DC184" i="7"/>
  <c r="DB184" i="7"/>
  <c r="DA184" i="7"/>
  <c r="CZ184" i="7"/>
  <c r="CY184" i="7"/>
  <c r="CX184" i="7"/>
  <c r="CW184" i="7"/>
  <c r="CV184" i="7"/>
  <c r="CU184" i="7"/>
  <c r="CT184" i="7"/>
  <c r="CS184" i="7"/>
  <c r="CR184" i="7"/>
  <c r="CQ184" i="7"/>
  <c r="CP184" i="7"/>
  <c r="CO184" i="7"/>
  <c r="CN184" i="7"/>
  <c r="CM184" i="7"/>
  <c r="CL184" i="7"/>
  <c r="CK184" i="7"/>
  <c r="CJ184" i="7"/>
  <c r="CI184" i="7"/>
  <c r="CH184" i="7"/>
  <c r="CG184" i="7"/>
  <c r="DT183" i="7"/>
  <c r="DS183" i="7"/>
  <c r="DR183" i="7"/>
  <c r="DQ183" i="7"/>
  <c r="DP183" i="7"/>
  <c r="DO183" i="7"/>
  <c r="DN183" i="7"/>
  <c r="DM183" i="7"/>
  <c r="DL183" i="7"/>
  <c r="DK183" i="7"/>
  <c r="DJ183" i="7"/>
  <c r="DI183" i="7"/>
  <c r="DH183" i="7"/>
  <c r="DG183" i="7"/>
  <c r="DF183" i="7"/>
  <c r="DE183" i="7"/>
  <c r="DD183" i="7"/>
  <c r="DC183" i="7"/>
  <c r="DB183" i="7"/>
  <c r="DA183" i="7"/>
  <c r="CZ183" i="7"/>
  <c r="CY183" i="7"/>
  <c r="CX183" i="7"/>
  <c r="CW183" i="7"/>
  <c r="CV183" i="7"/>
  <c r="CU183" i="7"/>
  <c r="CT183" i="7"/>
  <c r="CS183" i="7"/>
  <c r="CR183" i="7"/>
  <c r="CQ183" i="7"/>
  <c r="CP183" i="7"/>
  <c r="CO183" i="7"/>
  <c r="CN183" i="7"/>
  <c r="CM183" i="7"/>
  <c r="CL183" i="7"/>
  <c r="CK183" i="7"/>
  <c r="CJ183" i="7"/>
  <c r="CI183" i="7"/>
  <c r="CH183" i="7"/>
  <c r="CG183" i="7"/>
  <c r="DT182" i="7"/>
  <c r="DS182" i="7"/>
  <c r="DR182" i="7"/>
  <c r="DQ182" i="7"/>
  <c r="DP182" i="7"/>
  <c r="DO182" i="7"/>
  <c r="DN182" i="7"/>
  <c r="DM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W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D182" i="7"/>
  <c r="DT181" i="7"/>
  <c r="DS181" i="7"/>
  <c r="DR181" i="7"/>
  <c r="DQ181" i="7"/>
  <c r="DP181" i="7"/>
  <c r="DO181" i="7"/>
  <c r="DN181" i="7"/>
  <c r="DM181" i="7"/>
  <c r="DL181" i="7"/>
  <c r="DK181" i="7"/>
  <c r="DJ181" i="7"/>
  <c r="DI181" i="7"/>
  <c r="DH181" i="7"/>
  <c r="DG181" i="7"/>
  <c r="DF181" i="7"/>
  <c r="DE181" i="7"/>
  <c r="DD181" i="7"/>
  <c r="DC181" i="7"/>
  <c r="DB181" i="7"/>
  <c r="DA181" i="7"/>
  <c r="CZ181" i="7"/>
  <c r="CY181" i="7"/>
  <c r="CX181" i="7"/>
  <c r="CW181" i="7"/>
  <c r="CV181" i="7"/>
  <c r="CU181" i="7"/>
  <c r="CT181" i="7"/>
  <c r="CS181" i="7"/>
  <c r="CR181" i="7"/>
  <c r="CQ181" i="7"/>
  <c r="CP181" i="7"/>
  <c r="CO181" i="7"/>
  <c r="CN181" i="7"/>
  <c r="CM181" i="7"/>
  <c r="CL181" i="7"/>
  <c r="CK181" i="7"/>
  <c r="CJ181" i="7"/>
  <c r="CI181" i="7"/>
  <c r="CH181" i="7"/>
  <c r="CG181" i="7"/>
  <c r="D181" i="7"/>
  <c r="DT180" i="7"/>
  <c r="DS180" i="7"/>
  <c r="DR180" i="7"/>
  <c r="DQ180" i="7"/>
  <c r="DP180" i="7"/>
  <c r="DO180" i="7"/>
  <c r="DN180" i="7"/>
  <c r="DM180" i="7"/>
  <c r="DL180" i="7"/>
  <c r="DK180" i="7"/>
  <c r="DJ180" i="7"/>
  <c r="DI180" i="7"/>
  <c r="DH180" i="7"/>
  <c r="DG180" i="7"/>
  <c r="DF180" i="7"/>
  <c r="DE180" i="7"/>
  <c r="DD180" i="7"/>
  <c r="DC180" i="7"/>
  <c r="DB180" i="7"/>
  <c r="DA180" i="7"/>
  <c r="CZ180" i="7"/>
  <c r="CY180" i="7"/>
  <c r="CX180" i="7"/>
  <c r="CW180" i="7"/>
  <c r="CV180" i="7"/>
  <c r="CU180" i="7"/>
  <c r="CT180" i="7"/>
  <c r="CS180" i="7"/>
  <c r="CR180" i="7"/>
  <c r="CQ180" i="7"/>
  <c r="CP180" i="7"/>
  <c r="CO180" i="7"/>
  <c r="CN180" i="7"/>
  <c r="CM180" i="7"/>
  <c r="CL180" i="7"/>
  <c r="CK180" i="7"/>
  <c r="CJ180" i="7"/>
  <c r="CI180" i="7"/>
  <c r="CH180" i="7"/>
  <c r="CG180" i="7"/>
  <c r="DT179" i="7"/>
  <c r="DS179" i="7"/>
  <c r="DR179" i="7"/>
  <c r="DQ179" i="7"/>
  <c r="DP179" i="7"/>
  <c r="DO179" i="7"/>
  <c r="DN179" i="7"/>
  <c r="DM179" i="7"/>
  <c r="DL179" i="7"/>
  <c r="DK179" i="7"/>
  <c r="DJ179" i="7"/>
  <c r="DI179" i="7"/>
  <c r="DH179" i="7"/>
  <c r="DG179" i="7"/>
  <c r="DF179" i="7"/>
  <c r="DE179" i="7"/>
  <c r="DD179" i="7"/>
  <c r="DC179" i="7"/>
  <c r="DB179" i="7"/>
  <c r="DA179" i="7"/>
  <c r="CZ179" i="7"/>
  <c r="CY179" i="7"/>
  <c r="CX179" i="7"/>
  <c r="CW179" i="7"/>
  <c r="CV179" i="7"/>
  <c r="CU179" i="7"/>
  <c r="CT179" i="7"/>
  <c r="CS179" i="7"/>
  <c r="CR179" i="7"/>
  <c r="CQ179" i="7"/>
  <c r="CP179" i="7"/>
  <c r="CO179" i="7"/>
  <c r="CN179" i="7"/>
  <c r="CM179" i="7"/>
  <c r="CL179" i="7"/>
  <c r="CK179" i="7"/>
  <c r="CJ179" i="7"/>
  <c r="CI179" i="7"/>
  <c r="CH179" i="7"/>
  <c r="CG179" i="7"/>
  <c r="DT178" i="7"/>
  <c r="DS178" i="7"/>
  <c r="DR178" i="7"/>
  <c r="DQ178" i="7"/>
  <c r="DP178" i="7"/>
  <c r="DO178" i="7"/>
  <c r="DN178" i="7"/>
  <c r="DM178" i="7"/>
  <c r="DL178" i="7"/>
  <c r="DK178" i="7"/>
  <c r="DJ178" i="7"/>
  <c r="DI178" i="7"/>
  <c r="DH178" i="7"/>
  <c r="DG178" i="7"/>
  <c r="DF178" i="7"/>
  <c r="DE178" i="7"/>
  <c r="DD178" i="7"/>
  <c r="DC178" i="7"/>
  <c r="DB178" i="7"/>
  <c r="DA178" i="7"/>
  <c r="CZ178" i="7"/>
  <c r="CY178" i="7"/>
  <c r="CX178" i="7"/>
  <c r="CW178" i="7"/>
  <c r="CV178" i="7"/>
  <c r="CU178" i="7"/>
  <c r="CT178" i="7"/>
  <c r="CS178" i="7"/>
  <c r="CR178" i="7"/>
  <c r="CQ178" i="7"/>
  <c r="CP178" i="7"/>
  <c r="CO178" i="7"/>
  <c r="CN178" i="7"/>
  <c r="CM178" i="7"/>
  <c r="CL178" i="7"/>
  <c r="CK178" i="7"/>
  <c r="CJ178" i="7"/>
  <c r="CI178" i="7"/>
  <c r="CH178" i="7"/>
  <c r="CG178" i="7"/>
  <c r="DT177" i="7"/>
  <c r="DS177" i="7"/>
  <c r="DR177" i="7"/>
  <c r="DQ177" i="7"/>
  <c r="DP177" i="7"/>
  <c r="DO177" i="7"/>
  <c r="DN177" i="7"/>
  <c r="DM177" i="7"/>
  <c r="DL177" i="7"/>
  <c r="DK177" i="7"/>
  <c r="DJ177" i="7"/>
  <c r="DI177" i="7"/>
  <c r="DH177" i="7"/>
  <c r="DG177" i="7"/>
  <c r="DF177" i="7"/>
  <c r="DE177" i="7"/>
  <c r="DD177" i="7"/>
  <c r="DC177" i="7"/>
  <c r="DB177" i="7"/>
  <c r="DA177" i="7"/>
  <c r="CZ177" i="7"/>
  <c r="CY177" i="7"/>
  <c r="CX177" i="7"/>
  <c r="CW177" i="7"/>
  <c r="CV177" i="7"/>
  <c r="CU177" i="7"/>
  <c r="CT177" i="7"/>
  <c r="CS177" i="7"/>
  <c r="CR177" i="7"/>
  <c r="CQ177" i="7"/>
  <c r="CP177" i="7"/>
  <c r="CO177" i="7"/>
  <c r="CN177" i="7"/>
  <c r="CM177" i="7"/>
  <c r="CL177" i="7"/>
  <c r="CK177" i="7"/>
  <c r="CJ177" i="7"/>
  <c r="CI177" i="7"/>
  <c r="CH177" i="7"/>
  <c r="CG177" i="7"/>
  <c r="DT176" i="7"/>
  <c r="DS176" i="7"/>
  <c r="DR176" i="7"/>
  <c r="DQ176" i="7"/>
  <c r="DP176" i="7"/>
  <c r="DO176" i="7"/>
  <c r="DN176" i="7"/>
  <c r="DM176" i="7"/>
  <c r="DL176" i="7"/>
  <c r="DK176" i="7"/>
  <c r="DJ176" i="7"/>
  <c r="DI176" i="7"/>
  <c r="DH176" i="7"/>
  <c r="DG176" i="7"/>
  <c r="DF176" i="7"/>
  <c r="DE176" i="7"/>
  <c r="DD176" i="7"/>
  <c r="DC176" i="7"/>
  <c r="DB176" i="7"/>
  <c r="DA176" i="7"/>
  <c r="CZ176" i="7"/>
  <c r="CY176" i="7"/>
  <c r="CX176" i="7"/>
  <c r="CW176" i="7"/>
  <c r="CV176" i="7"/>
  <c r="CU176" i="7"/>
  <c r="CT176" i="7"/>
  <c r="CS176" i="7"/>
  <c r="CR176" i="7"/>
  <c r="CQ176" i="7"/>
  <c r="CP176" i="7"/>
  <c r="CO176" i="7"/>
  <c r="CN176" i="7"/>
  <c r="CM176" i="7"/>
  <c r="CL176" i="7"/>
  <c r="CK176" i="7"/>
  <c r="CJ176" i="7"/>
  <c r="CI176" i="7"/>
  <c r="CH176" i="7"/>
  <c r="CG176" i="7"/>
  <c r="DT175" i="7"/>
  <c r="DS175" i="7"/>
  <c r="DR175" i="7"/>
  <c r="DQ175" i="7"/>
  <c r="DP175" i="7"/>
  <c r="DO175" i="7"/>
  <c r="DN175" i="7"/>
  <c r="DM175" i="7"/>
  <c r="DL175" i="7"/>
  <c r="DK175" i="7"/>
  <c r="DJ175" i="7"/>
  <c r="DI175" i="7"/>
  <c r="DH175" i="7"/>
  <c r="DG175" i="7"/>
  <c r="DF175" i="7"/>
  <c r="DE175" i="7"/>
  <c r="DD175" i="7"/>
  <c r="DC175" i="7"/>
  <c r="DB175" i="7"/>
  <c r="DA175" i="7"/>
  <c r="CZ175" i="7"/>
  <c r="CY175" i="7"/>
  <c r="CX175" i="7"/>
  <c r="CW175" i="7"/>
  <c r="CV175" i="7"/>
  <c r="CU175" i="7"/>
  <c r="CT175" i="7"/>
  <c r="CS175" i="7"/>
  <c r="CR175" i="7"/>
  <c r="CQ175" i="7"/>
  <c r="CP175" i="7"/>
  <c r="CO175" i="7"/>
  <c r="CN175" i="7"/>
  <c r="CM175" i="7"/>
  <c r="CL175" i="7"/>
  <c r="CK175" i="7"/>
  <c r="CJ175" i="7"/>
  <c r="CI175" i="7"/>
  <c r="CH175" i="7"/>
  <c r="CG175" i="7"/>
  <c r="DT174" i="7"/>
  <c r="DS174" i="7"/>
  <c r="DR174" i="7"/>
  <c r="DQ174" i="7"/>
  <c r="DP174" i="7"/>
  <c r="DO174" i="7"/>
  <c r="DN174" i="7"/>
  <c r="DM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W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D174" i="7"/>
  <c r="DT173" i="7"/>
  <c r="DS173" i="7"/>
  <c r="DR173" i="7"/>
  <c r="DQ173" i="7"/>
  <c r="DP173" i="7"/>
  <c r="DO173" i="7"/>
  <c r="DN173" i="7"/>
  <c r="DM173" i="7"/>
  <c r="DL173" i="7"/>
  <c r="DK173" i="7"/>
  <c r="DJ173" i="7"/>
  <c r="DI173" i="7"/>
  <c r="DH173" i="7"/>
  <c r="DG173" i="7"/>
  <c r="DF173" i="7"/>
  <c r="DE173" i="7"/>
  <c r="DD173" i="7"/>
  <c r="DC173" i="7"/>
  <c r="DB173" i="7"/>
  <c r="DA173" i="7"/>
  <c r="CZ173" i="7"/>
  <c r="CY173" i="7"/>
  <c r="CX173" i="7"/>
  <c r="CW173" i="7"/>
  <c r="CV173" i="7"/>
  <c r="CU173" i="7"/>
  <c r="CT173" i="7"/>
  <c r="CS173" i="7"/>
  <c r="CR173" i="7"/>
  <c r="CQ173" i="7"/>
  <c r="CP173" i="7"/>
  <c r="CO173" i="7"/>
  <c r="CN173" i="7"/>
  <c r="CM173" i="7"/>
  <c r="CL173" i="7"/>
  <c r="CK173" i="7"/>
  <c r="CJ173" i="7"/>
  <c r="CI173" i="7"/>
  <c r="CH173" i="7"/>
  <c r="CG173" i="7"/>
  <c r="DT172" i="7"/>
  <c r="DS172" i="7"/>
  <c r="DR172" i="7"/>
  <c r="DQ172" i="7"/>
  <c r="DP172" i="7"/>
  <c r="DO172" i="7"/>
  <c r="DN172" i="7"/>
  <c r="DM172" i="7"/>
  <c r="DL172" i="7"/>
  <c r="DK172" i="7"/>
  <c r="DJ172" i="7"/>
  <c r="DI172" i="7"/>
  <c r="DH172" i="7"/>
  <c r="DG172" i="7"/>
  <c r="DF172" i="7"/>
  <c r="DE172" i="7"/>
  <c r="DD172" i="7"/>
  <c r="DC172" i="7"/>
  <c r="DB172" i="7"/>
  <c r="DA172" i="7"/>
  <c r="CZ172" i="7"/>
  <c r="CY172" i="7"/>
  <c r="CX172" i="7"/>
  <c r="CW172" i="7"/>
  <c r="CV172" i="7"/>
  <c r="CU172" i="7"/>
  <c r="CT172" i="7"/>
  <c r="CS172" i="7"/>
  <c r="CR172" i="7"/>
  <c r="CQ172" i="7"/>
  <c r="CP172" i="7"/>
  <c r="CO172" i="7"/>
  <c r="CN172" i="7"/>
  <c r="CM172" i="7"/>
  <c r="CL172" i="7"/>
  <c r="CK172" i="7"/>
  <c r="CJ172" i="7"/>
  <c r="CI172" i="7"/>
  <c r="CH172" i="7"/>
  <c r="CG172" i="7"/>
  <c r="DT171" i="7"/>
  <c r="DS171" i="7"/>
  <c r="DR171" i="7"/>
  <c r="DQ171" i="7"/>
  <c r="DP171" i="7"/>
  <c r="DO171" i="7"/>
  <c r="DN171" i="7"/>
  <c r="DM171" i="7"/>
  <c r="DL171" i="7"/>
  <c r="DK171" i="7"/>
  <c r="DJ171" i="7"/>
  <c r="DI171" i="7"/>
  <c r="DH171" i="7"/>
  <c r="DG171" i="7"/>
  <c r="DF171" i="7"/>
  <c r="DE171" i="7"/>
  <c r="DD171" i="7"/>
  <c r="DC171" i="7"/>
  <c r="DB171" i="7"/>
  <c r="DA171" i="7"/>
  <c r="CZ171" i="7"/>
  <c r="CY171" i="7"/>
  <c r="CX171" i="7"/>
  <c r="CW171" i="7"/>
  <c r="CV171" i="7"/>
  <c r="CU171" i="7"/>
  <c r="CT171" i="7"/>
  <c r="CS171" i="7"/>
  <c r="CR171" i="7"/>
  <c r="CQ171" i="7"/>
  <c r="CP171" i="7"/>
  <c r="CO171" i="7"/>
  <c r="CN171" i="7"/>
  <c r="CM171" i="7"/>
  <c r="CL171" i="7"/>
  <c r="CK171" i="7"/>
  <c r="CJ171" i="7"/>
  <c r="CI171" i="7"/>
  <c r="CH171" i="7"/>
  <c r="CG171" i="7"/>
  <c r="DT170" i="7"/>
  <c r="DS170" i="7"/>
  <c r="DR170" i="7"/>
  <c r="DQ170" i="7"/>
  <c r="DP170" i="7"/>
  <c r="DO170" i="7"/>
  <c r="DN170" i="7"/>
  <c r="DM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W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DT169" i="7"/>
  <c r="DS169" i="7"/>
  <c r="DR169" i="7"/>
  <c r="DQ169" i="7"/>
  <c r="DP169" i="7"/>
  <c r="DO169" i="7"/>
  <c r="DN169" i="7"/>
  <c r="DM169" i="7"/>
  <c r="DL169" i="7"/>
  <c r="DK169" i="7"/>
  <c r="DJ169" i="7"/>
  <c r="DI169" i="7"/>
  <c r="DH169" i="7"/>
  <c r="DG169" i="7"/>
  <c r="DF169" i="7"/>
  <c r="DE169" i="7"/>
  <c r="DD169" i="7"/>
  <c r="DC169" i="7"/>
  <c r="DB169" i="7"/>
  <c r="DA169" i="7"/>
  <c r="CZ169" i="7"/>
  <c r="CY169" i="7"/>
  <c r="CX169" i="7"/>
  <c r="CW169" i="7"/>
  <c r="CV169" i="7"/>
  <c r="CU169" i="7"/>
  <c r="CT169" i="7"/>
  <c r="CS169" i="7"/>
  <c r="CR169" i="7"/>
  <c r="CQ169" i="7"/>
  <c r="CP169" i="7"/>
  <c r="CO169" i="7"/>
  <c r="CN169" i="7"/>
  <c r="CM169" i="7"/>
  <c r="CL169" i="7"/>
  <c r="CK169" i="7"/>
  <c r="CJ169" i="7"/>
  <c r="CI169" i="7"/>
  <c r="CH169" i="7"/>
  <c r="CG169" i="7"/>
  <c r="DT168" i="7"/>
  <c r="DS168" i="7"/>
  <c r="DR168" i="7"/>
  <c r="DQ168" i="7"/>
  <c r="DP168" i="7"/>
  <c r="DO168" i="7"/>
  <c r="DN168" i="7"/>
  <c r="DM168" i="7"/>
  <c r="DL168" i="7"/>
  <c r="DK168" i="7"/>
  <c r="DJ168" i="7"/>
  <c r="DI168" i="7"/>
  <c r="DH168" i="7"/>
  <c r="DG168" i="7"/>
  <c r="DF168" i="7"/>
  <c r="DE168" i="7"/>
  <c r="DD168" i="7"/>
  <c r="DC168" i="7"/>
  <c r="DB168" i="7"/>
  <c r="DA168" i="7"/>
  <c r="CZ168" i="7"/>
  <c r="CY168" i="7"/>
  <c r="CX168" i="7"/>
  <c r="CW168" i="7"/>
  <c r="CV168" i="7"/>
  <c r="CU168" i="7"/>
  <c r="CT168" i="7"/>
  <c r="CS168" i="7"/>
  <c r="CR168" i="7"/>
  <c r="CQ168" i="7"/>
  <c r="CP168" i="7"/>
  <c r="CO168" i="7"/>
  <c r="CN168" i="7"/>
  <c r="CM168" i="7"/>
  <c r="CL168" i="7"/>
  <c r="CK168" i="7"/>
  <c r="CJ168" i="7"/>
  <c r="CI168" i="7"/>
  <c r="CH168" i="7"/>
  <c r="CG168" i="7"/>
  <c r="DT167" i="7"/>
  <c r="DS167" i="7"/>
  <c r="DR167" i="7"/>
  <c r="DQ167" i="7"/>
  <c r="DP167" i="7"/>
  <c r="DO167" i="7"/>
  <c r="DN167" i="7"/>
  <c r="DM167" i="7"/>
  <c r="DL167" i="7"/>
  <c r="DK167" i="7"/>
  <c r="DJ167" i="7"/>
  <c r="DI167" i="7"/>
  <c r="DH167" i="7"/>
  <c r="DG167" i="7"/>
  <c r="DF167" i="7"/>
  <c r="DE167" i="7"/>
  <c r="DD167" i="7"/>
  <c r="DC167" i="7"/>
  <c r="DB167" i="7"/>
  <c r="DA167" i="7"/>
  <c r="CZ167" i="7"/>
  <c r="CY167" i="7"/>
  <c r="CX167" i="7"/>
  <c r="CW167" i="7"/>
  <c r="CV167" i="7"/>
  <c r="CU167" i="7"/>
  <c r="CT167" i="7"/>
  <c r="CS167" i="7"/>
  <c r="CR167" i="7"/>
  <c r="CQ167" i="7"/>
  <c r="CP167" i="7"/>
  <c r="CO167" i="7"/>
  <c r="CN167" i="7"/>
  <c r="CM167" i="7"/>
  <c r="CL167" i="7"/>
  <c r="CK167" i="7"/>
  <c r="CJ167" i="7"/>
  <c r="CI167" i="7"/>
  <c r="CH167" i="7"/>
  <c r="CG167" i="7"/>
  <c r="DT166" i="7"/>
  <c r="DS166" i="7"/>
  <c r="DR166" i="7"/>
  <c r="DQ166" i="7"/>
  <c r="DP166" i="7"/>
  <c r="DO166" i="7"/>
  <c r="DN166" i="7"/>
  <c r="DM166" i="7"/>
  <c r="DL166" i="7"/>
  <c r="DK166" i="7"/>
  <c r="DJ166" i="7"/>
  <c r="DI166" i="7"/>
  <c r="DH166" i="7"/>
  <c r="DG166" i="7"/>
  <c r="DF166" i="7"/>
  <c r="DE166" i="7"/>
  <c r="DD166" i="7"/>
  <c r="DC166" i="7"/>
  <c r="DB166" i="7"/>
  <c r="DA166" i="7"/>
  <c r="CZ166" i="7"/>
  <c r="CY166" i="7"/>
  <c r="CX166" i="7"/>
  <c r="CW166" i="7"/>
  <c r="CV166" i="7"/>
  <c r="CU166" i="7"/>
  <c r="CT166" i="7"/>
  <c r="CS166" i="7"/>
  <c r="CR166" i="7"/>
  <c r="CQ166" i="7"/>
  <c r="CP166" i="7"/>
  <c r="CO166" i="7"/>
  <c r="CN166" i="7"/>
  <c r="CM166" i="7"/>
  <c r="CL166" i="7"/>
  <c r="CK166" i="7"/>
  <c r="CJ166" i="7"/>
  <c r="CI166" i="7"/>
  <c r="CH166" i="7"/>
  <c r="CG166" i="7"/>
  <c r="DT165" i="7"/>
  <c r="DS165" i="7"/>
  <c r="DR165" i="7"/>
  <c r="DQ165" i="7"/>
  <c r="DP165" i="7"/>
  <c r="DO165" i="7"/>
  <c r="DN165" i="7"/>
  <c r="DM165" i="7"/>
  <c r="DL165" i="7"/>
  <c r="DK165" i="7"/>
  <c r="DJ165" i="7"/>
  <c r="DI165" i="7"/>
  <c r="DH165" i="7"/>
  <c r="DG165" i="7"/>
  <c r="DF165" i="7"/>
  <c r="DE165" i="7"/>
  <c r="DD165" i="7"/>
  <c r="DC165" i="7"/>
  <c r="DB165" i="7"/>
  <c r="DA165" i="7"/>
  <c r="CZ165" i="7"/>
  <c r="CY165" i="7"/>
  <c r="CX165" i="7"/>
  <c r="CW165" i="7"/>
  <c r="CV165" i="7"/>
  <c r="CU165" i="7"/>
  <c r="CT165" i="7"/>
  <c r="CS165" i="7"/>
  <c r="CR165" i="7"/>
  <c r="CQ165" i="7"/>
  <c r="CP165" i="7"/>
  <c r="CO165" i="7"/>
  <c r="CN165" i="7"/>
  <c r="CM165" i="7"/>
  <c r="CL165" i="7"/>
  <c r="CK165" i="7"/>
  <c r="CJ165" i="7"/>
  <c r="CI165" i="7"/>
  <c r="CH165" i="7"/>
  <c r="CG165" i="7"/>
  <c r="DT164" i="7"/>
  <c r="DS164" i="7"/>
  <c r="DR164" i="7"/>
  <c r="DQ164" i="7"/>
  <c r="DP164" i="7"/>
  <c r="DO164" i="7"/>
  <c r="DN164" i="7"/>
  <c r="DM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W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DT163" i="7"/>
  <c r="DS163" i="7"/>
  <c r="DR163" i="7"/>
  <c r="DQ163" i="7"/>
  <c r="DP163" i="7"/>
  <c r="DO163" i="7"/>
  <c r="DN163" i="7"/>
  <c r="DM163" i="7"/>
  <c r="DL163" i="7"/>
  <c r="DK163" i="7"/>
  <c r="DJ163" i="7"/>
  <c r="DI163" i="7"/>
  <c r="DH163" i="7"/>
  <c r="DG163" i="7"/>
  <c r="DF163" i="7"/>
  <c r="DE163" i="7"/>
  <c r="DD163" i="7"/>
  <c r="DC163" i="7"/>
  <c r="DB163" i="7"/>
  <c r="DA163" i="7"/>
  <c r="CZ163" i="7"/>
  <c r="CY163" i="7"/>
  <c r="CX163" i="7"/>
  <c r="CW163" i="7"/>
  <c r="CV163" i="7"/>
  <c r="CU163" i="7"/>
  <c r="CT163" i="7"/>
  <c r="CS163" i="7"/>
  <c r="CR163" i="7"/>
  <c r="CQ163" i="7"/>
  <c r="CP163" i="7"/>
  <c r="CO163" i="7"/>
  <c r="CN163" i="7"/>
  <c r="CM163" i="7"/>
  <c r="CL163" i="7"/>
  <c r="CK163" i="7"/>
  <c r="CJ163" i="7"/>
  <c r="CI163" i="7"/>
  <c r="CH163" i="7"/>
  <c r="CG163" i="7"/>
  <c r="D163" i="7"/>
  <c r="DT162" i="7"/>
  <c r="DS162" i="7"/>
  <c r="DR162" i="7"/>
  <c r="DQ162" i="7"/>
  <c r="DP162" i="7"/>
  <c r="DO162" i="7"/>
  <c r="DN162" i="7"/>
  <c r="DM162" i="7"/>
  <c r="DL162" i="7"/>
  <c r="DK162" i="7"/>
  <c r="DJ162" i="7"/>
  <c r="DI162" i="7"/>
  <c r="DH162" i="7"/>
  <c r="DG162" i="7"/>
  <c r="DF162" i="7"/>
  <c r="DE162" i="7"/>
  <c r="DD162" i="7"/>
  <c r="DC162" i="7"/>
  <c r="DB162" i="7"/>
  <c r="DA162" i="7"/>
  <c r="CZ162" i="7"/>
  <c r="CY162" i="7"/>
  <c r="CX162" i="7"/>
  <c r="CW162" i="7"/>
  <c r="CV162" i="7"/>
  <c r="CU162" i="7"/>
  <c r="CT162" i="7"/>
  <c r="CS162" i="7"/>
  <c r="CR162" i="7"/>
  <c r="CQ162" i="7"/>
  <c r="CP162" i="7"/>
  <c r="CO162" i="7"/>
  <c r="CN162" i="7"/>
  <c r="CM162" i="7"/>
  <c r="CL162" i="7"/>
  <c r="CK162" i="7"/>
  <c r="CJ162" i="7"/>
  <c r="CI162" i="7"/>
  <c r="CH162" i="7"/>
  <c r="CG162" i="7"/>
  <c r="D162" i="7"/>
  <c r="DT161" i="7"/>
  <c r="DS161" i="7"/>
  <c r="DR161" i="7"/>
  <c r="DQ161" i="7"/>
  <c r="DP161" i="7"/>
  <c r="DO161" i="7"/>
  <c r="DN161" i="7"/>
  <c r="DM161" i="7"/>
  <c r="DL161" i="7"/>
  <c r="DK161" i="7"/>
  <c r="DJ161" i="7"/>
  <c r="DI161" i="7"/>
  <c r="DH161" i="7"/>
  <c r="DG161" i="7"/>
  <c r="DF161" i="7"/>
  <c r="DE161" i="7"/>
  <c r="DD161" i="7"/>
  <c r="DC161" i="7"/>
  <c r="DB161" i="7"/>
  <c r="DA161" i="7"/>
  <c r="CZ161" i="7"/>
  <c r="CY161" i="7"/>
  <c r="CX161" i="7"/>
  <c r="CW161" i="7"/>
  <c r="CV161" i="7"/>
  <c r="CU161" i="7"/>
  <c r="CT161" i="7"/>
  <c r="CS161" i="7"/>
  <c r="CR161" i="7"/>
  <c r="CQ161" i="7"/>
  <c r="CP161" i="7"/>
  <c r="CO161" i="7"/>
  <c r="CN161" i="7"/>
  <c r="CM161" i="7"/>
  <c r="CL161" i="7"/>
  <c r="CK161" i="7"/>
  <c r="CJ161" i="7"/>
  <c r="CI161" i="7"/>
  <c r="CH161" i="7"/>
  <c r="CG161" i="7"/>
  <c r="DT160" i="7"/>
  <c r="DS160" i="7"/>
  <c r="DR160" i="7"/>
  <c r="DQ160" i="7"/>
  <c r="DP160" i="7"/>
  <c r="DO160" i="7"/>
  <c r="DN160" i="7"/>
  <c r="DM160" i="7"/>
  <c r="DL160" i="7"/>
  <c r="DK160" i="7"/>
  <c r="DJ160" i="7"/>
  <c r="DI160" i="7"/>
  <c r="DH160" i="7"/>
  <c r="DG160" i="7"/>
  <c r="DF160" i="7"/>
  <c r="DE160" i="7"/>
  <c r="DD160" i="7"/>
  <c r="DC160" i="7"/>
  <c r="DB160" i="7"/>
  <c r="DA160" i="7"/>
  <c r="CZ160" i="7"/>
  <c r="CY160" i="7"/>
  <c r="CX160" i="7"/>
  <c r="CW160" i="7"/>
  <c r="CV160" i="7"/>
  <c r="CU160" i="7"/>
  <c r="CT160" i="7"/>
  <c r="CS160" i="7"/>
  <c r="CR160" i="7"/>
  <c r="CQ160" i="7"/>
  <c r="CP160" i="7"/>
  <c r="CO160" i="7"/>
  <c r="CN160" i="7"/>
  <c r="CM160" i="7"/>
  <c r="CL160" i="7"/>
  <c r="CK160" i="7"/>
  <c r="CJ160" i="7"/>
  <c r="CI160" i="7"/>
  <c r="CH160" i="7"/>
  <c r="CG160" i="7"/>
  <c r="DT159" i="7"/>
  <c r="DS159" i="7"/>
  <c r="DR159" i="7"/>
  <c r="DQ159" i="7"/>
  <c r="DP159" i="7"/>
  <c r="DO159" i="7"/>
  <c r="DN159" i="7"/>
  <c r="DM159" i="7"/>
  <c r="DL159" i="7"/>
  <c r="DK159" i="7"/>
  <c r="DJ159" i="7"/>
  <c r="DI159" i="7"/>
  <c r="DH159" i="7"/>
  <c r="DG159" i="7"/>
  <c r="DF159" i="7"/>
  <c r="DE159" i="7"/>
  <c r="DD159" i="7"/>
  <c r="DC159" i="7"/>
  <c r="DB159" i="7"/>
  <c r="DA159" i="7"/>
  <c r="CZ159" i="7"/>
  <c r="CY159" i="7"/>
  <c r="CX159" i="7"/>
  <c r="CW159" i="7"/>
  <c r="CV159" i="7"/>
  <c r="CU159" i="7"/>
  <c r="CT159" i="7"/>
  <c r="CS159" i="7"/>
  <c r="CR159" i="7"/>
  <c r="CQ159" i="7"/>
  <c r="CP159" i="7"/>
  <c r="CO159" i="7"/>
  <c r="CN159" i="7"/>
  <c r="CM159" i="7"/>
  <c r="CL159" i="7"/>
  <c r="CK159" i="7"/>
  <c r="CJ159" i="7"/>
  <c r="CI159" i="7"/>
  <c r="CH159" i="7"/>
  <c r="CG159" i="7"/>
  <c r="DT158" i="7"/>
  <c r="DS158" i="7"/>
  <c r="DR158" i="7"/>
  <c r="DQ158" i="7"/>
  <c r="DP158" i="7"/>
  <c r="DO158" i="7"/>
  <c r="DN158" i="7"/>
  <c r="DM158" i="7"/>
  <c r="DL158" i="7"/>
  <c r="DK158" i="7"/>
  <c r="DJ158" i="7"/>
  <c r="DI158" i="7"/>
  <c r="DH158" i="7"/>
  <c r="DG158" i="7"/>
  <c r="DF158" i="7"/>
  <c r="DE158" i="7"/>
  <c r="DD158" i="7"/>
  <c r="DC158" i="7"/>
  <c r="DB158" i="7"/>
  <c r="DA158" i="7"/>
  <c r="CZ158" i="7"/>
  <c r="CY158" i="7"/>
  <c r="CX158" i="7"/>
  <c r="CW158" i="7"/>
  <c r="CV158" i="7"/>
  <c r="CU158" i="7"/>
  <c r="CT158" i="7"/>
  <c r="CS158" i="7"/>
  <c r="CR158" i="7"/>
  <c r="CQ158" i="7"/>
  <c r="CP158" i="7"/>
  <c r="CO158" i="7"/>
  <c r="CN158" i="7"/>
  <c r="CM158" i="7"/>
  <c r="CL158" i="7"/>
  <c r="CK158" i="7"/>
  <c r="CJ158" i="7"/>
  <c r="CI158" i="7"/>
  <c r="CH158" i="7"/>
  <c r="CG158" i="7"/>
  <c r="DT157" i="7"/>
  <c r="DS157" i="7"/>
  <c r="DR157" i="7"/>
  <c r="DQ157" i="7"/>
  <c r="DP157" i="7"/>
  <c r="DO157" i="7"/>
  <c r="DN157" i="7"/>
  <c r="DM157" i="7"/>
  <c r="DL157" i="7"/>
  <c r="DK157" i="7"/>
  <c r="DJ157" i="7"/>
  <c r="DI157" i="7"/>
  <c r="DH157" i="7"/>
  <c r="DG157" i="7"/>
  <c r="DF157" i="7"/>
  <c r="DE157" i="7"/>
  <c r="DD157" i="7"/>
  <c r="DC157" i="7"/>
  <c r="DB157" i="7"/>
  <c r="DA157" i="7"/>
  <c r="CZ157" i="7"/>
  <c r="CY157" i="7"/>
  <c r="CX157" i="7"/>
  <c r="CW157" i="7"/>
  <c r="CV157" i="7"/>
  <c r="CU157" i="7"/>
  <c r="CT157" i="7"/>
  <c r="CS157" i="7"/>
  <c r="CR157" i="7"/>
  <c r="CQ157" i="7"/>
  <c r="CP157" i="7"/>
  <c r="CO157" i="7"/>
  <c r="CN157" i="7"/>
  <c r="CM157" i="7"/>
  <c r="CL157" i="7"/>
  <c r="CK157" i="7"/>
  <c r="CJ157" i="7"/>
  <c r="CI157" i="7"/>
  <c r="CH157" i="7"/>
  <c r="CG157" i="7"/>
  <c r="DT156" i="7"/>
  <c r="DS156" i="7"/>
  <c r="DR156" i="7"/>
  <c r="DQ156" i="7"/>
  <c r="DP156" i="7"/>
  <c r="DO156" i="7"/>
  <c r="DN156" i="7"/>
  <c r="DM156" i="7"/>
  <c r="DL156" i="7"/>
  <c r="DK156" i="7"/>
  <c r="DJ156" i="7"/>
  <c r="DI156" i="7"/>
  <c r="DH156" i="7"/>
  <c r="DG156" i="7"/>
  <c r="DF156" i="7"/>
  <c r="DE156" i="7"/>
  <c r="DD156" i="7"/>
  <c r="DC156" i="7"/>
  <c r="DB156" i="7"/>
  <c r="DA156" i="7"/>
  <c r="CZ156" i="7"/>
  <c r="CY156" i="7"/>
  <c r="CX156" i="7"/>
  <c r="CW156" i="7"/>
  <c r="CV156" i="7"/>
  <c r="CU156" i="7"/>
  <c r="CT156" i="7"/>
  <c r="CS156" i="7"/>
  <c r="CR156" i="7"/>
  <c r="CQ156" i="7"/>
  <c r="CP156" i="7"/>
  <c r="CO156" i="7"/>
  <c r="CN156" i="7"/>
  <c r="CM156" i="7"/>
  <c r="CL156" i="7"/>
  <c r="CK156" i="7"/>
  <c r="CJ156" i="7"/>
  <c r="CI156" i="7"/>
  <c r="CH156" i="7"/>
  <c r="CG156" i="7"/>
  <c r="DT155" i="7"/>
  <c r="DS155" i="7"/>
  <c r="DR155" i="7"/>
  <c r="DQ155" i="7"/>
  <c r="DP155" i="7"/>
  <c r="DO155" i="7"/>
  <c r="DN155" i="7"/>
  <c r="DM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W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DT152" i="7"/>
  <c r="DS152" i="7"/>
  <c r="DR152" i="7"/>
  <c r="DQ152" i="7"/>
  <c r="DP152" i="7"/>
  <c r="DO152" i="7"/>
  <c r="DN152" i="7"/>
  <c r="DM152" i="7"/>
  <c r="DL152" i="7"/>
  <c r="DK152" i="7"/>
  <c r="DJ152" i="7"/>
  <c r="DI152" i="7"/>
  <c r="DH152" i="7"/>
  <c r="DG152" i="7"/>
  <c r="DF152" i="7"/>
  <c r="DE152" i="7"/>
  <c r="DD152" i="7"/>
  <c r="DC152" i="7"/>
  <c r="DB152" i="7"/>
  <c r="DA152" i="7"/>
  <c r="CZ152" i="7"/>
  <c r="CY152" i="7"/>
  <c r="CX152" i="7"/>
  <c r="CW152" i="7"/>
  <c r="CV152" i="7"/>
  <c r="CU152" i="7"/>
  <c r="CT152" i="7"/>
  <c r="CS152" i="7"/>
  <c r="CR152" i="7"/>
  <c r="CQ152" i="7"/>
  <c r="CP152" i="7"/>
  <c r="CO152" i="7"/>
  <c r="CN152" i="7"/>
  <c r="CM152" i="7"/>
  <c r="CL152" i="7"/>
  <c r="CK152" i="7"/>
  <c r="CJ152" i="7"/>
  <c r="CI152" i="7"/>
  <c r="CH152" i="7"/>
  <c r="CG152" i="7"/>
  <c r="DT151" i="7"/>
  <c r="DS151" i="7"/>
  <c r="DR151" i="7"/>
  <c r="DQ151" i="7"/>
  <c r="DP151" i="7"/>
  <c r="DO151" i="7"/>
  <c r="DN151" i="7"/>
  <c r="DM151" i="7"/>
  <c r="DL151" i="7"/>
  <c r="DK151" i="7"/>
  <c r="DJ151" i="7"/>
  <c r="DI151" i="7"/>
  <c r="DH151" i="7"/>
  <c r="DG151" i="7"/>
  <c r="DF151" i="7"/>
  <c r="DE151" i="7"/>
  <c r="DD151" i="7"/>
  <c r="DC151" i="7"/>
  <c r="DB151" i="7"/>
  <c r="DA151" i="7"/>
  <c r="CZ151" i="7"/>
  <c r="CY151" i="7"/>
  <c r="CX151" i="7"/>
  <c r="CW151" i="7"/>
  <c r="CV151" i="7"/>
  <c r="CU151" i="7"/>
  <c r="CT151" i="7"/>
  <c r="CS151" i="7"/>
  <c r="CR151" i="7"/>
  <c r="CQ151" i="7"/>
  <c r="CP151" i="7"/>
  <c r="CO151" i="7"/>
  <c r="CN151" i="7"/>
  <c r="CM151" i="7"/>
  <c r="CL151" i="7"/>
  <c r="CK151" i="7"/>
  <c r="CJ151" i="7"/>
  <c r="CI151" i="7"/>
  <c r="CH151" i="7"/>
  <c r="CG151" i="7"/>
  <c r="DT150" i="7"/>
  <c r="DS150" i="7"/>
  <c r="DR150" i="7"/>
  <c r="DQ150" i="7"/>
  <c r="DP150" i="7"/>
  <c r="DO150" i="7"/>
  <c r="DN150" i="7"/>
  <c r="DM150" i="7"/>
  <c r="DL150" i="7"/>
  <c r="DK150" i="7"/>
  <c r="DJ150" i="7"/>
  <c r="DI150" i="7"/>
  <c r="DH150" i="7"/>
  <c r="DG150" i="7"/>
  <c r="DF150" i="7"/>
  <c r="DE150" i="7"/>
  <c r="DD150" i="7"/>
  <c r="DC150" i="7"/>
  <c r="DB150" i="7"/>
  <c r="DA150" i="7"/>
  <c r="CZ150" i="7"/>
  <c r="CY150" i="7"/>
  <c r="CX150" i="7"/>
  <c r="CW150" i="7"/>
  <c r="CV150" i="7"/>
  <c r="CU150" i="7"/>
  <c r="CT150" i="7"/>
  <c r="CS150" i="7"/>
  <c r="CR150" i="7"/>
  <c r="CQ150" i="7"/>
  <c r="CP150" i="7"/>
  <c r="CO150" i="7"/>
  <c r="CN150" i="7"/>
  <c r="CM150" i="7"/>
  <c r="CL150" i="7"/>
  <c r="CK150" i="7"/>
  <c r="CJ150" i="7"/>
  <c r="CI150" i="7"/>
  <c r="CH150" i="7"/>
  <c r="CG150" i="7"/>
  <c r="DT149" i="7"/>
  <c r="DS149" i="7"/>
  <c r="DR149" i="7"/>
  <c r="DQ149" i="7"/>
  <c r="DP149" i="7"/>
  <c r="DO149" i="7"/>
  <c r="DN149" i="7"/>
  <c r="DM149" i="7"/>
  <c r="DL149" i="7"/>
  <c r="DK149" i="7"/>
  <c r="DJ149" i="7"/>
  <c r="DI149" i="7"/>
  <c r="DH149" i="7"/>
  <c r="DG149" i="7"/>
  <c r="DF149" i="7"/>
  <c r="DE149" i="7"/>
  <c r="DD149" i="7"/>
  <c r="DC149" i="7"/>
  <c r="DB149" i="7"/>
  <c r="DA149" i="7"/>
  <c r="CZ149" i="7"/>
  <c r="CY149" i="7"/>
  <c r="CX149" i="7"/>
  <c r="CW149" i="7"/>
  <c r="CV149" i="7"/>
  <c r="CU149" i="7"/>
  <c r="CT149" i="7"/>
  <c r="CS149" i="7"/>
  <c r="CR149" i="7"/>
  <c r="CQ149" i="7"/>
  <c r="CP149" i="7"/>
  <c r="CO149" i="7"/>
  <c r="CN149" i="7"/>
  <c r="CM149" i="7"/>
  <c r="CL149" i="7"/>
  <c r="CK149" i="7"/>
  <c r="CJ149" i="7"/>
  <c r="CI149" i="7"/>
  <c r="CH149" i="7"/>
  <c r="CG149" i="7"/>
  <c r="DT148" i="7"/>
  <c r="DS148" i="7"/>
  <c r="DR148" i="7"/>
  <c r="DQ148" i="7"/>
  <c r="DP148" i="7"/>
  <c r="DO148" i="7"/>
  <c r="DN148" i="7"/>
  <c r="DM148" i="7"/>
  <c r="DL148" i="7"/>
  <c r="DK148" i="7"/>
  <c r="DJ148" i="7"/>
  <c r="DI148" i="7"/>
  <c r="DH148" i="7"/>
  <c r="DG148" i="7"/>
  <c r="DF148" i="7"/>
  <c r="DE148" i="7"/>
  <c r="DD148" i="7"/>
  <c r="DC148" i="7"/>
  <c r="DB148" i="7"/>
  <c r="DA148" i="7"/>
  <c r="CZ148" i="7"/>
  <c r="CY148" i="7"/>
  <c r="CX148" i="7"/>
  <c r="CW148" i="7"/>
  <c r="CV148" i="7"/>
  <c r="CU148" i="7"/>
  <c r="CT148" i="7"/>
  <c r="CS148" i="7"/>
  <c r="CR148" i="7"/>
  <c r="CQ148" i="7"/>
  <c r="CP148" i="7"/>
  <c r="CO148" i="7"/>
  <c r="CN148" i="7"/>
  <c r="CM148" i="7"/>
  <c r="CL148" i="7"/>
  <c r="CK148" i="7"/>
  <c r="CJ148" i="7"/>
  <c r="CI148" i="7"/>
  <c r="CH148" i="7"/>
  <c r="CG148" i="7"/>
  <c r="DT147" i="7"/>
  <c r="DS147" i="7"/>
  <c r="DR147" i="7"/>
  <c r="DQ147" i="7"/>
  <c r="DP147" i="7"/>
  <c r="DO147" i="7"/>
  <c r="DN147" i="7"/>
  <c r="DM147" i="7"/>
  <c r="DL147" i="7"/>
  <c r="DK147" i="7"/>
  <c r="DJ147" i="7"/>
  <c r="DI147" i="7"/>
  <c r="DH147" i="7"/>
  <c r="DG147" i="7"/>
  <c r="DF147" i="7"/>
  <c r="DE147" i="7"/>
  <c r="DD147" i="7"/>
  <c r="DC147" i="7"/>
  <c r="DB147" i="7"/>
  <c r="DA147" i="7"/>
  <c r="CZ147" i="7"/>
  <c r="CY147" i="7"/>
  <c r="CX147" i="7"/>
  <c r="CW147" i="7"/>
  <c r="CV147" i="7"/>
  <c r="CU147" i="7"/>
  <c r="CT147" i="7"/>
  <c r="CS147" i="7"/>
  <c r="CR147" i="7"/>
  <c r="CQ147" i="7"/>
  <c r="CP147" i="7"/>
  <c r="CO147" i="7"/>
  <c r="CN147" i="7"/>
  <c r="CM147" i="7"/>
  <c r="CL147" i="7"/>
  <c r="CK147" i="7"/>
  <c r="CJ147" i="7"/>
  <c r="CI147" i="7"/>
  <c r="CH147" i="7"/>
  <c r="CG147" i="7"/>
  <c r="DT146" i="7"/>
  <c r="DS146" i="7"/>
  <c r="DR146" i="7"/>
  <c r="DQ146" i="7"/>
  <c r="DP146" i="7"/>
  <c r="DO146" i="7"/>
  <c r="DN146" i="7"/>
  <c r="DM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W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D146" i="7"/>
  <c r="DT145" i="7"/>
  <c r="DS145" i="7"/>
  <c r="DR145" i="7"/>
  <c r="DQ145" i="7"/>
  <c r="DP145" i="7"/>
  <c r="DO145" i="7"/>
  <c r="DN145" i="7"/>
  <c r="DM145" i="7"/>
  <c r="DL145" i="7"/>
  <c r="DK145" i="7"/>
  <c r="DJ145" i="7"/>
  <c r="DI145" i="7"/>
  <c r="DH145" i="7"/>
  <c r="DG145" i="7"/>
  <c r="DF145" i="7"/>
  <c r="DE145" i="7"/>
  <c r="DD145" i="7"/>
  <c r="DC145" i="7"/>
  <c r="DB145" i="7"/>
  <c r="DA145" i="7"/>
  <c r="CZ145" i="7"/>
  <c r="CY145" i="7"/>
  <c r="CX145" i="7"/>
  <c r="CW145" i="7"/>
  <c r="CV145" i="7"/>
  <c r="CU145" i="7"/>
  <c r="CT145" i="7"/>
  <c r="CS145" i="7"/>
  <c r="CR145" i="7"/>
  <c r="CQ145" i="7"/>
  <c r="CP145" i="7"/>
  <c r="CO145" i="7"/>
  <c r="CN145" i="7"/>
  <c r="CM145" i="7"/>
  <c r="CL145" i="7"/>
  <c r="CK145" i="7"/>
  <c r="CJ145" i="7"/>
  <c r="CI145" i="7"/>
  <c r="CH145" i="7"/>
  <c r="CG145" i="7"/>
  <c r="CF145" i="7"/>
  <c r="DT142" i="7"/>
  <c r="DS142" i="7"/>
  <c r="DR142" i="7"/>
  <c r="DQ142" i="7"/>
  <c r="DP142" i="7"/>
  <c r="DO142" i="7"/>
  <c r="DN142" i="7"/>
  <c r="DM142" i="7"/>
  <c r="DL142" i="7"/>
  <c r="DK142" i="7"/>
  <c r="DJ142" i="7"/>
  <c r="DI142" i="7"/>
  <c r="DH142" i="7"/>
  <c r="DG142" i="7"/>
  <c r="DF142" i="7"/>
  <c r="DE142" i="7"/>
  <c r="DD142" i="7"/>
  <c r="DC142" i="7"/>
  <c r="DB142" i="7"/>
  <c r="DA142" i="7"/>
  <c r="CZ142" i="7"/>
  <c r="CY142" i="7"/>
  <c r="CX142" i="7"/>
  <c r="CW142" i="7"/>
  <c r="CV142" i="7"/>
  <c r="CU142" i="7"/>
  <c r="CT142" i="7"/>
  <c r="CS142" i="7"/>
  <c r="CR142" i="7"/>
  <c r="CQ142" i="7"/>
  <c r="CP142" i="7"/>
  <c r="CO142" i="7"/>
  <c r="CN142" i="7"/>
  <c r="CM142" i="7"/>
  <c r="CL142" i="7"/>
  <c r="CK142" i="7"/>
  <c r="CJ142" i="7"/>
  <c r="CI142" i="7"/>
  <c r="CH142" i="7"/>
  <c r="CG142" i="7"/>
  <c r="DT141" i="7"/>
  <c r="DS141" i="7"/>
  <c r="DR141" i="7"/>
  <c r="DQ141" i="7"/>
  <c r="DP141" i="7"/>
  <c r="DO141" i="7"/>
  <c r="DN141" i="7"/>
  <c r="DM141" i="7"/>
  <c r="DL141" i="7"/>
  <c r="DK141" i="7"/>
  <c r="DJ141" i="7"/>
  <c r="DI141" i="7"/>
  <c r="DH141" i="7"/>
  <c r="DG141" i="7"/>
  <c r="DF141" i="7"/>
  <c r="DE141" i="7"/>
  <c r="DD141" i="7"/>
  <c r="DC141" i="7"/>
  <c r="DB141" i="7"/>
  <c r="DA141" i="7"/>
  <c r="CZ141" i="7"/>
  <c r="CY141" i="7"/>
  <c r="CX141" i="7"/>
  <c r="CW141" i="7"/>
  <c r="CV141" i="7"/>
  <c r="CU141" i="7"/>
  <c r="CT141" i="7"/>
  <c r="CS141" i="7"/>
  <c r="CR141" i="7"/>
  <c r="CQ141" i="7"/>
  <c r="CP141" i="7"/>
  <c r="CO141" i="7"/>
  <c r="CN141" i="7"/>
  <c r="CM141" i="7"/>
  <c r="CL141" i="7"/>
  <c r="CK141" i="7"/>
  <c r="CJ141" i="7"/>
  <c r="CI141" i="7"/>
  <c r="CH141" i="7"/>
  <c r="CG141" i="7"/>
  <c r="DT140" i="7"/>
  <c r="DS140" i="7"/>
  <c r="DR140" i="7"/>
  <c r="DQ140" i="7"/>
  <c r="DP140" i="7"/>
  <c r="DO140" i="7"/>
  <c r="DN140" i="7"/>
  <c r="DM140" i="7"/>
  <c r="DL140" i="7"/>
  <c r="DK140" i="7"/>
  <c r="DJ140" i="7"/>
  <c r="DI140" i="7"/>
  <c r="DH140" i="7"/>
  <c r="DG140" i="7"/>
  <c r="DF140" i="7"/>
  <c r="DE140" i="7"/>
  <c r="DD140" i="7"/>
  <c r="DC140" i="7"/>
  <c r="DB140" i="7"/>
  <c r="DA140" i="7"/>
  <c r="CZ140" i="7"/>
  <c r="CY140" i="7"/>
  <c r="CX140" i="7"/>
  <c r="CW140" i="7"/>
  <c r="CV140" i="7"/>
  <c r="CU140" i="7"/>
  <c r="CT140" i="7"/>
  <c r="CS140" i="7"/>
  <c r="CR140" i="7"/>
  <c r="CQ140" i="7"/>
  <c r="CP140" i="7"/>
  <c r="CO140" i="7"/>
  <c r="CN140" i="7"/>
  <c r="CM140" i="7"/>
  <c r="CL140" i="7"/>
  <c r="CK140" i="7"/>
  <c r="CJ140" i="7"/>
  <c r="CI140" i="7"/>
  <c r="CH140" i="7"/>
  <c r="CG140" i="7"/>
  <c r="DT139" i="7"/>
  <c r="DS139" i="7"/>
  <c r="DR139" i="7"/>
  <c r="DQ139" i="7"/>
  <c r="DP139" i="7"/>
  <c r="DO139" i="7"/>
  <c r="DN139" i="7"/>
  <c r="DM139" i="7"/>
  <c r="DL139" i="7"/>
  <c r="DK139" i="7"/>
  <c r="DJ139" i="7"/>
  <c r="DI139" i="7"/>
  <c r="DH139" i="7"/>
  <c r="DG139" i="7"/>
  <c r="DF139" i="7"/>
  <c r="DE139" i="7"/>
  <c r="DD139" i="7"/>
  <c r="DC139" i="7"/>
  <c r="DB139" i="7"/>
  <c r="DA139" i="7"/>
  <c r="CZ139" i="7"/>
  <c r="CY139" i="7"/>
  <c r="CX139" i="7"/>
  <c r="CW139" i="7"/>
  <c r="CV139" i="7"/>
  <c r="CU139" i="7"/>
  <c r="CT139" i="7"/>
  <c r="CS139" i="7"/>
  <c r="CR139" i="7"/>
  <c r="CQ139" i="7"/>
  <c r="CP139" i="7"/>
  <c r="CO139" i="7"/>
  <c r="CN139" i="7"/>
  <c r="CM139" i="7"/>
  <c r="CL139" i="7"/>
  <c r="CK139" i="7"/>
  <c r="CJ139" i="7"/>
  <c r="CI139" i="7"/>
  <c r="CH139" i="7"/>
  <c r="CG139" i="7"/>
  <c r="DT138" i="7"/>
  <c r="DS138" i="7"/>
  <c r="DR138" i="7"/>
  <c r="DQ138" i="7"/>
  <c r="DP138" i="7"/>
  <c r="DO138" i="7"/>
  <c r="DN138" i="7"/>
  <c r="DM138" i="7"/>
  <c r="DL138" i="7"/>
  <c r="DK138" i="7"/>
  <c r="DJ138" i="7"/>
  <c r="DI138" i="7"/>
  <c r="DH138" i="7"/>
  <c r="DG138" i="7"/>
  <c r="DF138" i="7"/>
  <c r="DE138" i="7"/>
  <c r="DD138" i="7"/>
  <c r="DC138" i="7"/>
  <c r="DB138" i="7"/>
  <c r="DA138" i="7"/>
  <c r="CZ138" i="7"/>
  <c r="CY138" i="7"/>
  <c r="CX138" i="7"/>
  <c r="CW138" i="7"/>
  <c r="CV138" i="7"/>
  <c r="CU138" i="7"/>
  <c r="CT138" i="7"/>
  <c r="CS138" i="7"/>
  <c r="CR138" i="7"/>
  <c r="CQ138" i="7"/>
  <c r="CP138" i="7"/>
  <c r="CO138" i="7"/>
  <c r="CN138" i="7"/>
  <c r="CM138" i="7"/>
  <c r="CL138" i="7"/>
  <c r="CK138" i="7"/>
  <c r="CJ138" i="7"/>
  <c r="CI138" i="7"/>
  <c r="CH138" i="7"/>
  <c r="CG138" i="7"/>
  <c r="DT137" i="7"/>
  <c r="DS137" i="7"/>
  <c r="DR137" i="7"/>
  <c r="DQ137" i="7"/>
  <c r="DP137" i="7"/>
  <c r="DO137" i="7"/>
  <c r="DN137" i="7"/>
  <c r="DM137" i="7"/>
  <c r="DL137" i="7"/>
  <c r="DK137" i="7"/>
  <c r="DJ137" i="7"/>
  <c r="DI137" i="7"/>
  <c r="DH137" i="7"/>
  <c r="DG137" i="7"/>
  <c r="DF137" i="7"/>
  <c r="DE137" i="7"/>
  <c r="DD137" i="7"/>
  <c r="DC137" i="7"/>
  <c r="DB137" i="7"/>
  <c r="DA137" i="7"/>
  <c r="CZ137" i="7"/>
  <c r="CY137" i="7"/>
  <c r="CX137" i="7"/>
  <c r="CW137" i="7"/>
  <c r="CV137" i="7"/>
  <c r="CU137" i="7"/>
  <c r="CT137" i="7"/>
  <c r="CS137" i="7"/>
  <c r="CR137" i="7"/>
  <c r="CQ137" i="7"/>
  <c r="CP137" i="7"/>
  <c r="CO137" i="7"/>
  <c r="CN137" i="7"/>
  <c r="CM137" i="7"/>
  <c r="CL137" i="7"/>
  <c r="CK137" i="7"/>
  <c r="CJ137" i="7"/>
  <c r="CI137" i="7"/>
  <c r="CH137" i="7"/>
  <c r="CG137" i="7"/>
  <c r="DT136" i="7"/>
  <c r="DS136" i="7"/>
  <c r="DR136" i="7"/>
  <c r="DQ136" i="7"/>
  <c r="DP136" i="7"/>
  <c r="DO136" i="7"/>
  <c r="DN136" i="7"/>
  <c r="DM136" i="7"/>
  <c r="DL136" i="7"/>
  <c r="DK136" i="7"/>
  <c r="DJ136" i="7"/>
  <c r="DI136" i="7"/>
  <c r="DH136" i="7"/>
  <c r="DG136" i="7"/>
  <c r="DF136" i="7"/>
  <c r="DE136" i="7"/>
  <c r="DD136" i="7"/>
  <c r="DC136" i="7"/>
  <c r="DB136" i="7"/>
  <c r="DA136" i="7"/>
  <c r="CZ136" i="7"/>
  <c r="CY136" i="7"/>
  <c r="CX136" i="7"/>
  <c r="CW136" i="7"/>
  <c r="CV136" i="7"/>
  <c r="CU136" i="7"/>
  <c r="CT136" i="7"/>
  <c r="CS136" i="7"/>
  <c r="CR136" i="7"/>
  <c r="CQ136" i="7"/>
  <c r="CP136" i="7"/>
  <c r="CO136" i="7"/>
  <c r="CN136" i="7"/>
  <c r="CM136" i="7"/>
  <c r="CL136" i="7"/>
  <c r="CK136" i="7"/>
  <c r="CJ136" i="7"/>
  <c r="CI136" i="7"/>
  <c r="CH136" i="7"/>
  <c r="CG136" i="7"/>
  <c r="D136" i="7"/>
  <c r="DT135" i="7"/>
  <c r="DS135" i="7"/>
  <c r="DR135" i="7"/>
  <c r="DQ135" i="7"/>
  <c r="DP135" i="7"/>
  <c r="DO135" i="7"/>
  <c r="DN135" i="7"/>
  <c r="DM135" i="7"/>
  <c r="DL135" i="7"/>
  <c r="DK135" i="7"/>
  <c r="DJ135" i="7"/>
  <c r="DI135" i="7"/>
  <c r="DH135" i="7"/>
  <c r="DG135" i="7"/>
  <c r="DF135" i="7"/>
  <c r="DE135" i="7"/>
  <c r="DD135" i="7"/>
  <c r="DC135" i="7"/>
  <c r="DB135" i="7"/>
  <c r="DA135" i="7"/>
  <c r="CZ135" i="7"/>
  <c r="CY135" i="7"/>
  <c r="CX135" i="7"/>
  <c r="CW135" i="7"/>
  <c r="CV135" i="7"/>
  <c r="CU135" i="7"/>
  <c r="CT135" i="7"/>
  <c r="CS135" i="7"/>
  <c r="CR135" i="7"/>
  <c r="CQ135" i="7"/>
  <c r="CP135" i="7"/>
  <c r="CO135" i="7"/>
  <c r="CN135" i="7"/>
  <c r="CM135" i="7"/>
  <c r="CL135" i="7"/>
  <c r="CK135" i="7"/>
  <c r="CJ135" i="7"/>
  <c r="CI135" i="7"/>
  <c r="CH135" i="7"/>
  <c r="CG135" i="7"/>
  <c r="CF135" i="7"/>
  <c r="CF158" i="7" s="1"/>
  <c r="DT131" i="7"/>
  <c r="DS131" i="7"/>
  <c r="DR131" i="7"/>
  <c r="DQ131" i="7"/>
  <c r="DP131" i="7"/>
  <c r="DO131" i="7"/>
  <c r="DN131" i="7"/>
  <c r="DM131" i="7"/>
  <c r="DL131" i="7"/>
  <c r="DK131" i="7"/>
  <c r="DJ131" i="7"/>
  <c r="DI131" i="7"/>
  <c r="DH131" i="7"/>
  <c r="DG131" i="7"/>
  <c r="DF131" i="7"/>
  <c r="DE131" i="7"/>
  <c r="DD131" i="7"/>
  <c r="DC131" i="7"/>
  <c r="DB131" i="7"/>
  <c r="DA131" i="7"/>
  <c r="CZ131" i="7"/>
  <c r="CY131" i="7"/>
  <c r="CX131" i="7"/>
  <c r="CW131" i="7"/>
  <c r="CV131" i="7"/>
  <c r="CU131" i="7"/>
  <c r="CT131" i="7"/>
  <c r="CS131" i="7"/>
  <c r="CR131" i="7"/>
  <c r="CQ131" i="7"/>
  <c r="CP131" i="7"/>
  <c r="CO131" i="7"/>
  <c r="CN131" i="7"/>
  <c r="CM131" i="7"/>
  <c r="CL131" i="7"/>
  <c r="CK131" i="7"/>
  <c r="CJ131" i="7"/>
  <c r="CI131" i="7"/>
  <c r="CH131" i="7"/>
  <c r="CG131" i="7"/>
  <c r="DT130" i="7"/>
  <c r="DS130" i="7"/>
  <c r="DR130" i="7"/>
  <c r="DQ130" i="7"/>
  <c r="DP130" i="7"/>
  <c r="DO130" i="7"/>
  <c r="DN130" i="7"/>
  <c r="DM130" i="7"/>
  <c r="DL130" i="7"/>
  <c r="DK130" i="7"/>
  <c r="DJ130" i="7"/>
  <c r="DI130" i="7"/>
  <c r="DH130" i="7"/>
  <c r="DG130" i="7"/>
  <c r="DF130" i="7"/>
  <c r="DE130" i="7"/>
  <c r="DD130" i="7"/>
  <c r="DC130" i="7"/>
  <c r="DB130" i="7"/>
  <c r="DA130" i="7"/>
  <c r="CZ130" i="7"/>
  <c r="CY130" i="7"/>
  <c r="CX130" i="7"/>
  <c r="CW130" i="7"/>
  <c r="CV130" i="7"/>
  <c r="CU130" i="7"/>
  <c r="CT130" i="7"/>
  <c r="CS130" i="7"/>
  <c r="CR130" i="7"/>
  <c r="CQ130" i="7"/>
  <c r="CP130" i="7"/>
  <c r="CO130" i="7"/>
  <c r="CN130" i="7"/>
  <c r="CM130" i="7"/>
  <c r="CL130" i="7"/>
  <c r="CK130" i="7"/>
  <c r="CJ130" i="7"/>
  <c r="CI130" i="7"/>
  <c r="CH130" i="7"/>
  <c r="CG130" i="7"/>
  <c r="DT129" i="7"/>
  <c r="DS129" i="7"/>
  <c r="DR129" i="7"/>
  <c r="DQ129" i="7"/>
  <c r="DP129" i="7"/>
  <c r="DO129" i="7"/>
  <c r="DN129" i="7"/>
  <c r="DM129" i="7"/>
  <c r="DL129" i="7"/>
  <c r="DK129" i="7"/>
  <c r="DJ129" i="7"/>
  <c r="DI129" i="7"/>
  <c r="DH129" i="7"/>
  <c r="DG129" i="7"/>
  <c r="DF129" i="7"/>
  <c r="DE129" i="7"/>
  <c r="DD129" i="7"/>
  <c r="DC129" i="7"/>
  <c r="DB129" i="7"/>
  <c r="DA129" i="7"/>
  <c r="CZ129" i="7"/>
  <c r="CY129" i="7"/>
  <c r="CX129" i="7"/>
  <c r="CW129" i="7"/>
  <c r="CV129" i="7"/>
  <c r="CU129" i="7"/>
  <c r="CT129" i="7"/>
  <c r="CS129" i="7"/>
  <c r="CR129" i="7"/>
  <c r="CQ129" i="7"/>
  <c r="CP129" i="7"/>
  <c r="CO129" i="7"/>
  <c r="CN129" i="7"/>
  <c r="CM129" i="7"/>
  <c r="CL129" i="7"/>
  <c r="CK129" i="7"/>
  <c r="CJ129" i="7"/>
  <c r="CI129" i="7"/>
  <c r="CH129" i="7"/>
  <c r="CG129" i="7"/>
  <c r="DT128" i="7"/>
  <c r="DS128" i="7"/>
  <c r="DR128" i="7"/>
  <c r="DQ128" i="7"/>
  <c r="DP128" i="7"/>
  <c r="DO128" i="7"/>
  <c r="DN128" i="7"/>
  <c r="DM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W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DT127" i="7"/>
  <c r="DS127" i="7"/>
  <c r="DR127" i="7"/>
  <c r="DQ127" i="7"/>
  <c r="DP127" i="7"/>
  <c r="DO127" i="7"/>
  <c r="DN127" i="7"/>
  <c r="DM127" i="7"/>
  <c r="DL127" i="7"/>
  <c r="DK127" i="7"/>
  <c r="DJ127" i="7"/>
  <c r="DI127" i="7"/>
  <c r="DH127" i="7"/>
  <c r="DG127" i="7"/>
  <c r="DF127" i="7"/>
  <c r="DE127" i="7"/>
  <c r="DD127" i="7"/>
  <c r="DC127" i="7"/>
  <c r="DB127" i="7"/>
  <c r="DA127" i="7"/>
  <c r="CZ127" i="7"/>
  <c r="CY127" i="7"/>
  <c r="CX127" i="7"/>
  <c r="CW127" i="7"/>
  <c r="CV127" i="7"/>
  <c r="CU127" i="7"/>
  <c r="CT127" i="7"/>
  <c r="CS127" i="7"/>
  <c r="CR127" i="7"/>
  <c r="CQ127" i="7"/>
  <c r="CP127" i="7"/>
  <c r="CO127" i="7"/>
  <c r="CN127" i="7"/>
  <c r="CM127" i="7"/>
  <c r="CL127" i="7"/>
  <c r="CK127" i="7"/>
  <c r="CJ127" i="7"/>
  <c r="CI127" i="7"/>
  <c r="CH127" i="7"/>
  <c r="CG127" i="7"/>
  <c r="CE127" i="7"/>
  <c r="CD127" i="7"/>
  <c r="CC127" i="7"/>
  <c r="CB127" i="7"/>
  <c r="CA127" i="7"/>
  <c r="BZ127" i="7"/>
  <c r="BY127" i="7"/>
  <c r="BX127" i="7"/>
  <c r="BW127" i="7"/>
  <c r="BV127" i="7"/>
  <c r="BU127" i="7"/>
  <c r="BT127" i="7"/>
  <c r="BS127" i="7"/>
  <c r="BR127" i="7"/>
  <c r="BQ127" i="7"/>
  <c r="BP127" i="7"/>
  <c r="BO127" i="7"/>
  <c r="BN127" i="7"/>
  <c r="BM127" i="7"/>
  <c r="BL127" i="7"/>
  <c r="BK127" i="7"/>
  <c r="BJ127" i="7"/>
  <c r="BI127" i="7"/>
  <c r="BH127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DT126" i="7"/>
  <c r="DS126" i="7"/>
  <c r="DR126" i="7"/>
  <c r="DQ126" i="7"/>
  <c r="DP126" i="7"/>
  <c r="DO126" i="7"/>
  <c r="DN126" i="7"/>
  <c r="DM126" i="7"/>
  <c r="DL126" i="7"/>
  <c r="DK126" i="7"/>
  <c r="DJ126" i="7"/>
  <c r="DI126" i="7"/>
  <c r="DH126" i="7"/>
  <c r="DG126" i="7"/>
  <c r="DF126" i="7"/>
  <c r="DE126" i="7"/>
  <c r="DD126" i="7"/>
  <c r="DC126" i="7"/>
  <c r="DB126" i="7"/>
  <c r="DA126" i="7"/>
  <c r="CZ126" i="7"/>
  <c r="CY126" i="7"/>
  <c r="CX126" i="7"/>
  <c r="CW126" i="7"/>
  <c r="CV126" i="7"/>
  <c r="CU126" i="7"/>
  <c r="CT126" i="7"/>
  <c r="CS126" i="7"/>
  <c r="CR126" i="7"/>
  <c r="CQ126" i="7"/>
  <c r="CP126" i="7"/>
  <c r="CO126" i="7"/>
  <c r="CN126" i="7"/>
  <c r="CM126" i="7"/>
  <c r="CL126" i="7"/>
  <c r="CK126" i="7"/>
  <c r="CJ126" i="7"/>
  <c r="CI126" i="7"/>
  <c r="CH126" i="7"/>
  <c r="CG126" i="7"/>
  <c r="CE126" i="7"/>
  <c r="CD126" i="7"/>
  <c r="CC126" i="7"/>
  <c r="CB126" i="7"/>
  <c r="CA126" i="7"/>
  <c r="BZ126" i="7"/>
  <c r="BY126" i="7"/>
  <c r="BX126" i="7"/>
  <c r="BW126" i="7"/>
  <c r="BV126" i="7"/>
  <c r="BU126" i="7"/>
  <c r="BT126" i="7"/>
  <c r="BS126" i="7"/>
  <c r="BR126" i="7"/>
  <c r="BQ126" i="7"/>
  <c r="BP126" i="7"/>
  <c r="BO126" i="7"/>
  <c r="BN126" i="7"/>
  <c r="BM126" i="7"/>
  <c r="BL126" i="7"/>
  <c r="BK126" i="7"/>
  <c r="BJ126" i="7"/>
  <c r="BI126" i="7"/>
  <c r="BH126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DT125" i="7"/>
  <c r="DS125" i="7"/>
  <c r="DR125" i="7"/>
  <c r="DQ125" i="7"/>
  <c r="DP125" i="7"/>
  <c r="DO125" i="7"/>
  <c r="DN125" i="7"/>
  <c r="DM125" i="7"/>
  <c r="DL125" i="7"/>
  <c r="DK125" i="7"/>
  <c r="DJ125" i="7"/>
  <c r="DI125" i="7"/>
  <c r="DH125" i="7"/>
  <c r="DG125" i="7"/>
  <c r="DF125" i="7"/>
  <c r="DE125" i="7"/>
  <c r="DD125" i="7"/>
  <c r="DC125" i="7"/>
  <c r="DB125" i="7"/>
  <c r="DA125" i="7"/>
  <c r="CZ125" i="7"/>
  <c r="CY125" i="7"/>
  <c r="CX125" i="7"/>
  <c r="CW125" i="7"/>
  <c r="CV125" i="7"/>
  <c r="CU125" i="7"/>
  <c r="CT125" i="7"/>
  <c r="CS125" i="7"/>
  <c r="CR125" i="7"/>
  <c r="CQ125" i="7"/>
  <c r="CP125" i="7"/>
  <c r="CO125" i="7"/>
  <c r="CN125" i="7"/>
  <c r="CM125" i="7"/>
  <c r="CL125" i="7"/>
  <c r="CK125" i="7"/>
  <c r="CJ125" i="7"/>
  <c r="CI125" i="7"/>
  <c r="CH125" i="7"/>
  <c r="CG125" i="7"/>
  <c r="DT124" i="7"/>
  <c r="DS124" i="7"/>
  <c r="DR124" i="7"/>
  <c r="DQ124" i="7"/>
  <c r="DP124" i="7"/>
  <c r="DO124" i="7"/>
  <c r="DN124" i="7"/>
  <c r="DM124" i="7"/>
  <c r="DL124" i="7"/>
  <c r="DK124" i="7"/>
  <c r="DJ124" i="7"/>
  <c r="DI124" i="7"/>
  <c r="DH124" i="7"/>
  <c r="DG124" i="7"/>
  <c r="DF124" i="7"/>
  <c r="DE124" i="7"/>
  <c r="DD124" i="7"/>
  <c r="DC124" i="7"/>
  <c r="DB124" i="7"/>
  <c r="DA124" i="7"/>
  <c r="CZ124" i="7"/>
  <c r="CY124" i="7"/>
  <c r="CX124" i="7"/>
  <c r="CW124" i="7"/>
  <c r="CV124" i="7"/>
  <c r="CU124" i="7"/>
  <c r="CT124" i="7"/>
  <c r="CS124" i="7"/>
  <c r="CR124" i="7"/>
  <c r="CQ124" i="7"/>
  <c r="CP124" i="7"/>
  <c r="CO124" i="7"/>
  <c r="CN124" i="7"/>
  <c r="CM124" i="7"/>
  <c r="CL124" i="7"/>
  <c r="CK124" i="7"/>
  <c r="CJ124" i="7"/>
  <c r="CI124" i="7"/>
  <c r="CH124" i="7"/>
  <c r="CG124" i="7"/>
  <c r="DT123" i="7"/>
  <c r="DS123" i="7"/>
  <c r="DR123" i="7"/>
  <c r="DQ123" i="7"/>
  <c r="DP123" i="7"/>
  <c r="DO123" i="7"/>
  <c r="DN123" i="7"/>
  <c r="DM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W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DT122" i="7"/>
  <c r="DS122" i="7"/>
  <c r="DR122" i="7"/>
  <c r="DQ122" i="7"/>
  <c r="DP122" i="7"/>
  <c r="DO122" i="7"/>
  <c r="DN122" i="7"/>
  <c r="DM122" i="7"/>
  <c r="DL122" i="7"/>
  <c r="DK122" i="7"/>
  <c r="DJ122" i="7"/>
  <c r="DI122" i="7"/>
  <c r="DH122" i="7"/>
  <c r="DG122" i="7"/>
  <c r="DF122" i="7"/>
  <c r="DE122" i="7"/>
  <c r="DD122" i="7"/>
  <c r="DC122" i="7"/>
  <c r="DB122" i="7"/>
  <c r="DA122" i="7"/>
  <c r="CZ122" i="7"/>
  <c r="CY122" i="7"/>
  <c r="CX122" i="7"/>
  <c r="CW122" i="7"/>
  <c r="CV122" i="7"/>
  <c r="CU122" i="7"/>
  <c r="CT122" i="7"/>
  <c r="CS122" i="7"/>
  <c r="CR122" i="7"/>
  <c r="CQ122" i="7"/>
  <c r="CP122" i="7"/>
  <c r="CO122" i="7"/>
  <c r="CN122" i="7"/>
  <c r="CM122" i="7"/>
  <c r="CL122" i="7"/>
  <c r="CK122" i="7"/>
  <c r="CJ122" i="7"/>
  <c r="CI122" i="7"/>
  <c r="CH122" i="7"/>
  <c r="CG122" i="7"/>
  <c r="DT121" i="7"/>
  <c r="DS121" i="7"/>
  <c r="DR121" i="7"/>
  <c r="DQ121" i="7"/>
  <c r="DP121" i="7"/>
  <c r="DO121" i="7"/>
  <c r="DN121" i="7"/>
  <c r="DM121" i="7"/>
  <c r="DL121" i="7"/>
  <c r="DK121" i="7"/>
  <c r="DJ121" i="7"/>
  <c r="DI121" i="7"/>
  <c r="DH121" i="7"/>
  <c r="DG121" i="7"/>
  <c r="DF121" i="7"/>
  <c r="DE121" i="7"/>
  <c r="DD121" i="7"/>
  <c r="DC121" i="7"/>
  <c r="DB121" i="7"/>
  <c r="DA121" i="7"/>
  <c r="CZ121" i="7"/>
  <c r="CY121" i="7"/>
  <c r="CX121" i="7"/>
  <c r="CW121" i="7"/>
  <c r="CV121" i="7"/>
  <c r="CU121" i="7"/>
  <c r="CT121" i="7"/>
  <c r="CS121" i="7"/>
  <c r="CR121" i="7"/>
  <c r="CQ121" i="7"/>
  <c r="CP121" i="7"/>
  <c r="CO121" i="7"/>
  <c r="CN121" i="7"/>
  <c r="CM121" i="7"/>
  <c r="CL121" i="7"/>
  <c r="CK121" i="7"/>
  <c r="CJ121" i="7"/>
  <c r="CI121" i="7"/>
  <c r="CH121" i="7"/>
  <c r="CG121" i="7"/>
  <c r="DT120" i="7"/>
  <c r="DS120" i="7"/>
  <c r="DR120" i="7"/>
  <c r="DQ120" i="7"/>
  <c r="DP120" i="7"/>
  <c r="DO120" i="7"/>
  <c r="DN120" i="7"/>
  <c r="DM120" i="7"/>
  <c r="DL120" i="7"/>
  <c r="DK120" i="7"/>
  <c r="DJ120" i="7"/>
  <c r="DI120" i="7"/>
  <c r="DH120" i="7"/>
  <c r="DG120" i="7"/>
  <c r="DF120" i="7"/>
  <c r="DE120" i="7"/>
  <c r="DD120" i="7"/>
  <c r="DC120" i="7"/>
  <c r="DB120" i="7"/>
  <c r="DA120" i="7"/>
  <c r="CZ120" i="7"/>
  <c r="CY120" i="7"/>
  <c r="CX120" i="7"/>
  <c r="CW120" i="7"/>
  <c r="CV120" i="7"/>
  <c r="CU120" i="7"/>
  <c r="CT120" i="7"/>
  <c r="CS120" i="7"/>
  <c r="CR120" i="7"/>
  <c r="CQ120" i="7"/>
  <c r="CP120" i="7"/>
  <c r="CO120" i="7"/>
  <c r="CN120" i="7"/>
  <c r="CM120" i="7"/>
  <c r="CL120" i="7"/>
  <c r="CK120" i="7"/>
  <c r="CJ120" i="7"/>
  <c r="CI120" i="7"/>
  <c r="CH120" i="7"/>
  <c r="CG120" i="7"/>
  <c r="DT79" i="7"/>
  <c r="DS79" i="7"/>
  <c r="DR79" i="7"/>
  <c r="DQ79" i="7"/>
  <c r="DP79" i="7"/>
  <c r="DO79" i="7"/>
  <c r="DN79" i="7"/>
  <c r="DM79" i="7"/>
  <c r="DL79" i="7"/>
  <c r="DK79" i="7"/>
  <c r="DJ79" i="7"/>
  <c r="DI79" i="7"/>
  <c r="DH79" i="7"/>
  <c r="DG79" i="7"/>
  <c r="DF79" i="7"/>
  <c r="DE79" i="7"/>
  <c r="DD79" i="7"/>
  <c r="DC79" i="7"/>
  <c r="DB79" i="7"/>
  <c r="DA79" i="7"/>
  <c r="CZ79" i="7"/>
  <c r="CY79" i="7"/>
  <c r="CX79" i="7"/>
  <c r="CW79" i="7"/>
  <c r="CV79" i="7"/>
  <c r="CU79" i="7"/>
  <c r="CT79" i="7"/>
  <c r="CS79" i="7"/>
  <c r="CR79" i="7"/>
  <c r="CQ79" i="7"/>
  <c r="CP79" i="7"/>
  <c r="CO79" i="7"/>
  <c r="CN79" i="7"/>
  <c r="CM79" i="7"/>
  <c r="CL79" i="7"/>
  <c r="CK79" i="7"/>
  <c r="CJ79" i="7"/>
  <c r="CI79" i="7"/>
  <c r="CH79" i="7"/>
  <c r="CG79" i="7"/>
  <c r="DT78" i="7"/>
  <c r="DS78" i="7"/>
  <c r="DR78" i="7"/>
  <c r="DQ78" i="7"/>
  <c r="DP78" i="7"/>
  <c r="DO78" i="7"/>
  <c r="DN78" i="7"/>
  <c r="DM78" i="7"/>
  <c r="DL78" i="7"/>
  <c r="DK78" i="7"/>
  <c r="DJ78" i="7"/>
  <c r="DI78" i="7"/>
  <c r="DH78" i="7"/>
  <c r="DG78" i="7"/>
  <c r="DF78" i="7"/>
  <c r="DE78" i="7"/>
  <c r="DD78" i="7"/>
  <c r="DC78" i="7"/>
  <c r="DB78" i="7"/>
  <c r="DA78" i="7"/>
  <c r="CZ78" i="7"/>
  <c r="CY78" i="7"/>
  <c r="CX78" i="7"/>
  <c r="CW78" i="7"/>
  <c r="CV78" i="7"/>
  <c r="CU78" i="7"/>
  <c r="CT78" i="7"/>
  <c r="CS78" i="7"/>
  <c r="CR78" i="7"/>
  <c r="CQ78" i="7"/>
  <c r="CP78" i="7"/>
  <c r="CO78" i="7"/>
  <c r="CN78" i="7"/>
  <c r="CM78" i="7"/>
  <c r="CL78" i="7"/>
  <c r="CK78" i="7"/>
  <c r="CJ78" i="7"/>
  <c r="CI78" i="7"/>
  <c r="CH78" i="7"/>
  <c r="CG78" i="7"/>
  <c r="DT77" i="7"/>
  <c r="DS77" i="7"/>
  <c r="DR77" i="7"/>
  <c r="DQ77" i="7"/>
  <c r="DP77" i="7"/>
  <c r="DO77" i="7"/>
  <c r="DN77" i="7"/>
  <c r="DM77" i="7"/>
  <c r="DL77" i="7"/>
  <c r="DK77" i="7"/>
  <c r="DJ77" i="7"/>
  <c r="DI77" i="7"/>
  <c r="DH77" i="7"/>
  <c r="DG77" i="7"/>
  <c r="DF77" i="7"/>
  <c r="DE77" i="7"/>
  <c r="DD77" i="7"/>
  <c r="DC77" i="7"/>
  <c r="DB77" i="7"/>
  <c r="DA77" i="7"/>
  <c r="CZ77" i="7"/>
  <c r="CY77" i="7"/>
  <c r="CX77" i="7"/>
  <c r="CW77" i="7"/>
  <c r="CV77" i="7"/>
  <c r="CU77" i="7"/>
  <c r="CT77" i="7"/>
  <c r="CS77" i="7"/>
  <c r="CR77" i="7"/>
  <c r="CQ77" i="7"/>
  <c r="CP77" i="7"/>
  <c r="CO77" i="7"/>
  <c r="CN77" i="7"/>
  <c r="CM77" i="7"/>
  <c r="CL77" i="7"/>
  <c r="CK77" i="7"/>
  <c r="CJ77" i="7"/>
  <c r="CI77" i="7"/>
  <c r="CH77" i="7"/>
  <c r="CG77" i="7"/>
  <c r="DT76" i="7"/>
  <c r="DS76" i="7"/>
  <c r="DR76" i="7"/>
  <c r="DQ76" i="7"/>
  <c r="DP76" i="7"/>
  <c r="DO76" i="7"/>
  <c r="DN76" i="7"/>
  <c r="DM76" i="7"/>
  <c r="DL76" i="7"/>
  <c r="DK76" i="7"/>
  <c r="DJ76" i="7"/>
  <c r="DI76" i="7"/>
  <c r="DH76" i="7"/>
  <c r="DG76" i="7"/>
  <c r="DF76" i="7"/>
  <c r="DE76" i="7"/>
  <c r="DD76" i="7"/>
  <c r="DC76" i="7"/>
  <c r="DB76" i="7"/>
  <c r="DA76" i="7"/>
  <c r="CZ76" i="7"/>
  <c r="CY76" i="7"/>
  <c r="CX76" i="7"/>
  <c r="CW76" i="7"/>
  <c r="CV76" i="7"/>
  <c r="CU76" i="7"/>
  <c r="CT76" i="7"/>
  <c r="CS76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DT75" i="7"/>
  <c r="DS75" i="7"/>
  <c r="DR75" i="7"/>
  <c r="DQ75" i="7"/>
  <c r="DP75" i="7"/>
  <c r="DO75" i="7"/>
  <c r="DN75" i="7"/>
  <c r="DM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W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D75" i="7"/>
  <c r="DT74" i="7"/>
  <c r="DS74" i="7"/>
  <c r="DR74" i="7"/>
  <c r="DQ74" i="7"/>
  <c r="DP74" i="7"/>
  <c r="DO74" i="7"/>
  <c r="DN74" i="7"/>
  <c r="DM74" i="7"/>
  <c r="DL74" i="7"/>
  <c r="DK74" i="7"/>
  <c r="DJ74" i="7"/>
  <c r="DI74" i="7"/>
  <c r="DH74" i="7"/>
  <c r="DG74" i="7"/>
  <c r="DF74" i="7"/>
  <c r="DE74" i="7"/>
  <c r="DD74" i="7"/>
  <c r="DC74" i="7"/>
  <c r="DB74" i="7"/>
  <c r="DA74" i="7"/>
  <c r="CZ74" i="7"/>
  <c r="CY74" i="7"/>
  <c r="CX74" i="7"/>
  <c r="CW74" i="7"/>
  <c r="CV74" i="7"/>
  <c r="CU74" i="7"/>
  <c r="CT74" i="7"/>
  <c r="CS74" i="7"/>
  <c r="CR74" i="7"/>
  <c r="CQ74" i="7"/>
  <c r="CP74" i="7"/>
  <c r="CO74" i="7"/>
  <c r="CN74" i="7"/>
  <c r="CM74" i="7"/>
  <c r="CL74" i="7"/>
  <c r="CK74" i="7"/>
  <c r="CJ74" i="7"/>
  <c r="CI74" i="7"/>
  <c r="CH74" i="7"/>
  <c r="CG74" i="7"/>
  <c r="DT73" i="7"/>
  <c r="DS73" i="7"/>
  <c r="DR73" i="7"/>
  <c r="DQ73" i="7"/>
  <c r="DP73" i="7"/>
  <c r="DO73" i="7"/>
  <c r="DN73" i="7"/>
  <c r="DM73" i="7"/>
  <c r="DL73" i="7"/>
  <c r="DK73" i="7"/>
  <c r="DJ73" i="7"/>
  <c r="DI73" i="7"/>
  <c r="DH73" i="7"/>
  <c r="DG73" i="7"/>
  <c r="DF73" i="7"/>
  <c r="DE73" i="7"/>
  <c r="DD73" i="7"/>
  <c r="DC73" i="7"/>
  <c r="DB73" i="7"/>
  <c r="DA73" i="7"/>
  <c r="CZ73" i="7"/>
  <c r="CY73" i="7"/>
  <c r="CX73" i="7"/>
  <c r="CW73" i="7"/>
  <c r="CV73" i="7"/>
  <c r="CU73" i="7"/>
  <c r="CT73" i="7"/>
  <c r="CS73" i="7"/>
  <c r="CR73" i="7"/>
  <c r="CQ73" i="7"/>
  <c r="CP73" i="7"/>
  <c r="CO73" i="7"/>
  <c r="CN73" i="7"/>
  <c r="CM73" i="7"/>
  <c r="CL73" i="7"/>
  <c r="CK73" i="7"/>
  <c r="CJ73" i="7"/>
  <c r="CI73" i="7"/>
  <c r="CH73" i="7"/>
  <c r="CG73" i="7"/>
  <c r="DT72" i="7"/>
  <c r="DS72" i="7"/>
  <c r="DR72" i="7"/>
  <c r="DQ72" i="7"/>
  <c r="DP72" i="7"/>
  <c r="DO72" i="7"/>
  <c r="DN72" i="7"/>
  <c r="DM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W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D72" i="7"/>
  <c r="DT71" i="7"/>
  <c r="DS71" i="7"/>
  <c r="DR71" i="7"/>
  <c r="DQ71" i="7"/>
  <c r="DP71" i="7"/>
  <c r="DO71" i="7"/>
  <c r="DN71" i="7"/>
  <c r="DM71" i="7"/>
  <c r="DL71" i="7"/>
  <c r="DK71" i="7"/>
  <c r="DJ71" i="7"/>
  <c r="DI71" i="7"/>
  <c r="DH71" i="7"/>
  <c r="DG71" i="7"/>
  <c r="DF71" i="7"/>
  <c r="DE71" i="7"/>
  <c r="DD71" i="7"/>
  <c r="DC71" i="7"/>
  <c r="DB71" i="7"/>
  <c r="DA71" i="7"/>
  <c r="CZ71" i="7"/>
  <c r="CY71" i="7"/>
  <c r="CX71" i="7"/>
  <c r="CW71" i="7"/>
  <c r="CV71" i="7"/>
  <c r="CU71" i="7"/>
  <c r="CT71" i="7"/>
  <c r="CS71" i="7"/>
  <c r="CR71" i="7"/>
  <c r="CQ71" i="7"/>
  <c r="CP71" i="7"/>
  <c r="CO71" i="7"/>
  <c r="CN71" i="7"/>
  <c r="CM71" i="7"/>
  <c r="CL71" i="7"/>
  <c r="CK71" i="7"/>
  <c r="CJ71" i="7"/>
  <c r="CI71" i="7"/>
  <c r="CH71" i="7"/>
  <c r="CG71" i="7"/>
  <c r="D71" i="7"/>
  <c r="DT70" i="7"/>
  <c r="DS70" i="7"/>
  <c r="DR70" i="7"/>
  <c r="DQ70" i="7"/>
  <c r="DP70" i="7"/>
  <c r="DO70" i="7"/>
  <c r="DN70" i="7"/>
  <c r="DM70" i="7"/>
  <c r="DL70" i="7"/>
  <c r="DK70" i="7"/>
  <c r="DJ70" i="7"/>
  <c r="DI70" i="7"/>
  <c r="DH70" i="7"/>
  <c r="DG70" i="7"/>
  <c r="DF70" i="7"/>
  <c r="DE70" i="7"/>
  <c r="DD70" i="7"/>
  <c r="DC70" i="7"/>
  <c r="DB70" i="7"/>
  <c r="DA70" i="7"/>
  <c r="CZ70" i="7"/>
  <c r="CY70" i="7"/>
  <c r="CX70" i="7"/>
  <c r="CW70" i="7"/>
  <c r="CV70" i="7"/>
  <c r="CU70" i="7"/>
  <c r="CT70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DT69" i="7"/>
  <c r="DS69" i="7"/>
  <c r="DR69" i="7"/>
  <c r="DQ69" i="7"/>
  <c r="DP69" i="7"/>
  <c r="DO69" i="7"/>
  <c r="DN69" i="7"/>
  <c r="DM69" i="7"/>
  <c r="DL69" i="7"/>
  <c r="DK69" i="7"/>
  <c r="DJ69" i="7"/>
  <c r="DI69" i="7"/>
  <c r="DH69" i="7"/>
  <c r="DG69" i="7"/>
  <c r="DF69" i="7"/>
  <c r="DE69" i="7"/>
  <c r="DD69" i="7"/>
  <c r="DC69" i="7"/>
  <c r="DB69" i="7"/>
  <c r="DA69" i="7"/>
  <c r="CZ69" i="7"/>
  <c r="CY69" i="7"/>
  <c r="CX69" i="7"/>
  <c r="CW69" i="7"/>
  <c r="CV69" i="7"/>
  <c r="CU69" i="7"/>
  <c r="CT69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DT68" i="7"/>
  <c r="DS68" i="7"/>
  <c r="DR68" i="7"/>
  <c r="DQ68" i="7"/>
  <c r="DP68" i="7"/>
  <c r="DO68" i="7"/>
  <c r="DN68" i="7"/>
  <c r="DM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W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DT67" i="7"/>
  <c r="DS67" i="7"/>
  <c r="DR67" i="7"/>
  <c r="DQ67" i="7"/>
  <c r="DP67" i="7"/>
  <c r="DO67" i="7"/>
  <c r="DN67" i="7"/>
  <c r="DM67" i="7"/>
  <c r="DL67" i="7"/>
  <c r="DK67" i="7"/>
  <c r="DJ67" i="7"/>
  <c r="DI67" i="7"/>
  <c r="DH67" i="7"/>
  <c r="DG67" i="7"/>
  <c r="DF67" i="7"/>
  <c r="DE67" i="7"/>
  <c r="DD67" i="7"/>
  <c r="DC67" i="7"/>
  <c r="DB67" i="7"/>
  <c r="DA67" i="7"/>
  <c r="CZ67" i="7"/>
  <c r="CY67" i="7"/>
  <c r="CX67" i="7"/>
  <c r="CW67" i="7"/>
  <c r="CV67" i="7"/>
  <c r="CU67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DT66" i="7"/>
  <c r="DS66" i="7"/>
  <c r="DR66" i="7"/>
  <c r="DQ66" i="7"/>
  <c r="DP66" i="7"/>
  <c r="DO66" i="7"/>
  <c r="DN66" i="7"/>
  <c r="DM66" i="7"/>
  <c r="DL66" i="7"/>
  <c r="DK66" i="7"/>
  <c r="DJ66" i="7"/>
  <c r="DI66" i="7"/>
  <c r="DH66" i="7"/>
  <c r="DG66" i="7"/>
  <c r="DF66" i="7"/>
  <c r="DE66" i="7"/>
  <c r="DD66" i="7"/>
  <c r="DC66" i="7"/>
  <c r="DB66" i="7"/>
  <c r="DA66" i="7"/>
  <c r="CZ66" i="7"/>
  <c r="CY66" i="7"/>
  <c r="CX66" i="7"/>
  <c r="CW66" i="7"/>
  <c r="CV66" i="7"/>
  <c r="CU66" i="7"/>
  <c r="CT66" i="7"/>
  <c r="CS66" i="7"/>
  <c r="CR66" i="7"/>
  <c r="CQ66" i="7"/>
  <c r="CP66" i="7"/>
  <c r="CO66" i="7"/>
  <c r="CN66" i="7"/>
  <c r="CM66" i="7"/>
  <c r="CL66" i="7"/>
  <c r="CK66" i="7"/>
  <c r="CJ66" i="7"/>
  <c r="CI66" i="7"/>
  <c r="CH66" i="7"/>
  <c r="CG66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DT64" i="7"/>
  <c r="DS64" i="7"/>
  <c r="DR64" i="7"/>
  <c r="DQ64" i="7"/>
  <c r="DP64" i="7"/>
  <c r="DO64" i="7"/>
  <c r="DN64" i="7"/>
  <c r="DM64" i="7"/>
  <c r="DL64" i="7"/>
  <c r="DK64" i="7"/>
  <c r="DJ64" i="7"/>
  <c r="DI64" i="7"/>
  <c r="DH64" i="7"/>
  <c r="DG64" i="7"/>
  <c r="DF64" i="7"/>
  <c r="DE64" i="7"/>
  <c r="DD64" i="7"/>
  <c r="DC64" i="7"/>
  <c r="DB64" i="7"/>
  <c r="DA64" i="7"/>
  <c r="CZ64" i="7"/>
  <c r="CY64" i="7"/>
  <c r="CX64" i="7"/>
  <c r="CW64" i="7"/>
  <c r="CV64" i="7"/>
  <c r="CU64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D64" i="7"/>
  <c r="DT63" i="7"/>
  <c r="DS63" i="7"/>
  <c r="DR63" i="7"/>
  <c r="DQ63" i="7"/>
  <c r="DP63" i="7"/>
  <c r="DO63" i="7"/>
  <c r="DN63" i="7"/>
  <c r="DM63" i="7"/>
  <c r="DL63" i="7"/>
  <c r="DK63" i="7"/>
  <c r="DJ63" i="7"/>
  <c r="DI63" i="7"/>
  <c r="DH63" i="7"/>
  <c r="DG63" i="7"/>
  <c r="DF63" i="7"/>
  <c r="DE63" i="7"/>
  <c r="DD63" i="7"/>
  <c r="DC63" i="7"/>
  <c r="DB63" i="7"/>
  <c r="DA63" i="7"/>
  <c r="CZ63" i="7"/>
  <c r="CY63" i="7"/>
  <c r="CX63" i="7"/>
  <c r="CW63" i="7"/>
  <c r="CV63" i="7"/>
  <c r="CU63" i="7"/>
  <c r="CT63" i="7"/>
  <c r="CS63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DT62" i="7"/>
  <c r="DS62" i="7"/>
  <c r="DR62" i="7"/>
  <c r="DQ62" i="7"/>
  <c r="DP62" i="7"/>
  <c r="DO62" i="7"/>
  <c r="DN62" i="7"/>
  <c r="DM62" i="7"/>
  <c r="DL62" i="7"/>
  <c r="DK62" i="7"/>
  <c r="DJ62" i="7"/>
  <c r="DI62" i="7"/>
  <c r="DH62" i="7"/>
  <c r="DG62" i="7"/>
  <c r="DF62" i="7"/>
  <c r="DE62" i="7"/>
  <c r="DD62" i="7"/>
  <c r="DC62" i="7"/>
  <c r="DB62" i="7"/>
  <c r="DA62" i="7"/>
  <c r="CZ62" i="7"/>
  <c r="CY62" i="7"/>
  <c r="CX62" i="7"/>
  <c r="CW62" i="7"/>
  <c r="CV62" i="7"/>
  <c r="CU62" i="7"/>
  <c r="CT62" i="7"/>
  <c r="CS62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DT61" i="7"/>
  <c r="DS61" i="7"/>
  <c r="DR61" i="7"/>
  <c r="DQ61" i="7"/>
  <c r="DP61" i="7"/>
  <c r="DO61" i="7"/>
  <c r="DN61" i="7"/>
  <c r="DM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W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DT60" i="7"/>
  <c r="DS60" i="7"/>
  <c r="DR60" i="7"/>
  <c r="DQ60" i="7"/>
  <c r="DP60" i="7"/>
  <c r="DO60" i="7"/>
  <c r="DN60" i="7"/>
  <c r="DM60" i="7"/>
  <c r="DL60" i="7"/>
  <c r="DK60" i="7"/>
  <c r="DJ60" i="7"/>
  <c r="DI60" i="7"/>
  <c r="DH60" i="7"/>
  <c r="DG60" i="7"/>
  <c r="DF60" i="7"/>
  <c r="DE60" i="7"/>
  <c r="DD60" i="7"/>
  <c r="DC60" i="7"/>
  <c r="DB60" i="7"/>
  <c r="DA60" i="7"/>
  <c r="CZ60" i="7"/>
  <c r="CY60" i="7"/>
  <c r="CX60" i="7"/>
  <c r="CW60" i="7"/>
  <c r="CV60" i="7"/>
  <c r="CU60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DT59" i="7"/>
  <c r="DS59" i="7"/>
  <c r="DR59" i="7"/>
  <c r="DQ59" i="7"/>
  <c r="DP59" i="7"/>
  <c r="DO59" i="7"/>
  <c r="DN59" i="7"/>
  <c r="DM59" i="7"/>
  <c r="DL59" i="7"/>
  <c r="DK59" i="7"/>
  <c r="DJ59" i="7"/>
  <c r="DI59" i="7"/>
  <c r="DH59" i="7"/>
  <c r="DG59" i="7"/>
  <c r="DF59" i="7"/>
  <c r="DE59" i="7"/>
  <c r="DD59" i="7"/>
  <c r="DC59" i="7"/>
  <c r="DB59" i="7"/>
  <c r="DA59" i="7"/>
  <c r="CZ59" i="7"/>
  <c r="CY59" i="7"/>
  <c r="CX59" i="7"/>
  <c r="CW59" i="7"/>
  <c r="CV59" i="7"/>
  <c r="CU59" i="7"/>
  <c r="CT59" i="7"/>
  <c r="CS59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DT57" i="7"/>
  <c r="DS57" i="7"/>
  <c r="DR57" i="7"/>
  <c r="DQ57" i="7"/>
  <c r="DP57" i="7"/>
  <c r="DO57" i="7"/>
  <c r="DN57" i="7"/>
  <c r="DM57" i="7"/>
  <c r="DL57" i="7"/>
  <c r="DK57" i="7"/>
  <c r="DJ57" i="7"/>
  <c r="DI57" i="7"/>
  <c r="DH57" i="7"/>
  <c r="DG57" i="7"/>
  <c r="DF57" i="7"/>
  <c r="DE57" i="7"/>
  <c r="DD57" i="7"/>
  <c r="DC57" i="7"/>
  <c r="DB57" i="7"/>
  <c r="DA57" i="7"/>
  <c r="CZ57" i="7"/>
  <c r="CY57" i="7"/>
  <c r="CX57" i="7"/>
  <c r="CW57" i="7"/>
  <c r="CV57" i="7"/>
  <c r="CU57" i="7"/>
  <c r="CT57" i="7"/>
  <c r="CS57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DT56" i="7"/>
  <c r="DS56" i="7"/>
  <c r="DR56" i="7"/>
  <c r="DQ56" i="7"/>
  <c r="DP56" i="7"/>
  <c r="DO56" i="7"/>
  <c r="DN56" i="7"/>
  <c r="DM56" i="7"/>
  <c r="DL56" i="7"/>
  <c r="DK56" i="7"/>
  <c r="DJ56" i="7"/>
  <c r="DI56" i="7"/>
  <c r="DH56" i="7"/>
  <c r="DG56" i="7"/>
  <c r="DF56" i="7"/>
  <c r="DE56" i="7"/>
  <c r="DD56" i="7"/>
  <c r="DC56" i="7"/>
  <c r="DB56" i="7"/>
  <c r="DA56" i="7"/>
  <c r="CZ56" i="7"/>
  <c r="CY56" i="7"/>
  <c r="CX56" i="7"/>
  <c r="CW56" i="7"/>
  <c r="CV56" i="7"/>
  <c r="CU56" i="7"/>
  <c r="CT56" i="7"/>
  <c r="CS56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DT55" i="7"/>
  <c r="DS55" i="7"/>
  <c r="DR55" i="7"/>
  <c r="DQ55" i="7"/>
  <c r="DP55" i="7"/>
  <c r="DO55" i="7"/>
  <c r="DN55" i="7"/>
  <c r="DM55" i="7"/>
  <c r="DL55" i="7"/>
  <c r="DK55" i="7"/>
  <c r="DJ55" i="7"/>
  <c r="DI55" i="7"/>
  <c r="DH55" i="7"/>
  <c r="DG55" i="7"/>
  <c r="DF55" i="7"/>
  <c r="DE55" i="7"/>
  <c r="DD55" i="7"/>
  <c r="DC55" i="7"/>
  <c r="DB55" i="7"/>
  <c r="DA55" i="7"/>
  <c r="CZ55" i="7"/>
  <c r="CY55" i="7"/>
  <c r="CX55" i="7"/>
  <c r="CW55" i="7"/>
  <c r="CV55" i="7"/>
  <c r="CU55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DT54" i="7"/>
  <c r="DS54" i="7"/>
  <c r="DR54" i="7"/>
  <c r="DQ54" i="7"/>
  <c r="DP54" i="7"/>
  <c r="DO54" i="7"/>
  <c r="DN54" i="7"/>
  <c r="DM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W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DT53" i="7"/>
  <c r="DS53" i="7"/>
  <c r="DR53" i="7"/>
  <c r="DQ53" i="7"/>
  <c r="DP53" i="7"/>
  <c r="DO53" i="7"/>
  <c r="DN53" i="7"/>
  <c r="DM53" i="7"/>
  <c r="DL53" i="7"/>
  <c r="DK53" i="7"/>
  <c r="DJ53" i="7"/>
  <c r="DI53" i="7"/>
  <c r="DH53" i="7"/>
  <c r="DG53" i="7"/>
  <c r="DF53" i="7"/>
  <c r="DE53" i="7"/>
  <c r="DD53" i="7"/>
  <c r="DC53" i="7"/>
  <c r="DB53" i="7"/>
  <c r="DA53" i="7"/>
  <c r="CZ53" i="7"/>
  <c r="CY53" i="7"/>
  <c r="CX53" i="7"/>
  <c r="CW53" i="7"/>
  <c r="CV53" i="7"/>
  <c r="CU53" i="7"/>
  <c r="CT53" i="7"/>
  <c r="CS53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D53" i="7"/>
  <c r="DT52" i="7"/>
  <c r="DS52" i="7"/>
  <c r="DR52" i="7"/>
  <c r="DQ52" i="7"/>
  <c r="DP52" i="7"/>
  <c r="DO52" i="7"/>
  <c r="DN52" i="7"/>
  <c r="DM52" i="7"/>
  <c r="DL52" i="7"/>
  <c r="DK52" i="7"/>
  <c r="DJ52" i="7"/>
  <c r="DI52" i="7"/>
  <c r="DH52" i="7"/>
  <c r="DG52" i="7"/>
  <c r="DF52" i="7"/>
  <c r="DE52" i="7"/>
  <c r="DD52" i="7"/>
  <c r="DC52" i="7"/>
  <c r="DB52" i="7"/>
  <c r="DA52" i="7"/>
  <c r="CZ52" i="7"/>
  <c r="CY52" i="7"/>
  <c r="CX52" i="7"/>
  <c r="CW52" i="7"/>
  <c r="CV52" i="7"/>
  <c r="CU52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D52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DT50" i="7"/>
  <c r="DS50" i="7"/>
  <c r="DR50" i="7"/>
  <c r="DQ50" i="7"/>
  <c r="DP50" i="7"/>
  <c r="DO50" i="7"/>
  <c r="DN50" i="7"/>
  <c r="DM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W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DT49" i="7"/>
  <c r="DS49" i="7"/>
  <c r="DR49" i="7"/>
  <c r="DQ49" i="7"/>
  <c r="DP49" i="7"/>
  <c r="DO49" i="7"/>
  <c r="DN49" i="7"/>
  <c r="DM49" i="7"/>
  <c r="DL49" i="7"/>
  <c r="DK49" i="7"/>
  <c r="DJ49" i="7"/>
  <c r="DI49" i="7"/>
  <c r="DH49" i="7"/>
  <c r="DG49" i="7"/>
  <c r="DF49" i="7"/>
  <c r="DE49" i="7"/>
  <c r="DD49" i="7"/>
  <c r="DC49" i="7"/>
  <c r="DB49" i="7"/>
  <c r="DA49" i="7"/>
  <c r="CZ49" i="7"/>
  <c r="CY49" i="7"/>
  <c r="CX49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DT48" i="7"/>
  <c r="DS48" i="7"/>
  <c r="DR48" i="7"/>
  <c r="DQ48" i="7"/>
  <c r="DP48" i="7"/>
  <c r="DO48" i="7"/>
  <c r="DN48" i="7"/>
  <c r="DM48" i="7"/>
  <c r="DL48" i="7"/>
  <c r="DK48" i="7"/>
  <c r="DJ48" i="7"/>
  <c r="DI48" i="7"/>
  <c r="DH48" i="7"/>
  <c r="DG48" i="7"/>
  <c r="DF48" i="7"/>
  <c r="DE48" i="7"/>
  <c r="DD48" i="7"/>
  <c r="DC48" i="7"/>
  <c r="DB48" i="7"/>
  <c r="DA48" i="7"/>
  <c r="CZ48" i="7"/>
  <c r="CY48" i="7"/>
  <c r="CX48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DT47" i="7"/>
  <c r="DS47" i="7"/>
  <c r="DR47" i="7"/>
  <c r="DQ47" i="7"/>
  <c r="DP47" i="7"/>
  <c r="DO47" i="7"/>
  <c r="DN47" i="7"/>
  <c r="DM47" i="7"/>
  <c r="DL47" i="7"/>
  <c r="DK47" i="7"/>
  <c r="DJ47" i="7"/>
  <c r="DI47" i="7"/>
  <c r="DH47" i="7"/>
  <c r="DG47" i="7"/>
  <c r="DF47" i="7"/>
  <c r="DE47" i="7"/>
  <c r="DD47" i="7"/>
  <c r="DC47" i="7"/>
  <c r="DB47" i="7"/>
  <c r="DA47" i="7"/>
  <c r="CZ47" i="7"/>
  <c r="CY47" i="7"/>
  <c r="CX47" i="7"/>
  <c r="CW47" i="7"/>
  <c r="CV47" i="7"/>
  <c r="CU47" i="7"/>
  <c r="CT47" i="7"/>
  <c r="CS47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DT46" i="7"/>
  <c r="DS46" i="7"/>
  <c r="DR46" i="7"/>
  <c r="DQ46" i="7"/>
  <c r="DP46" i="7"/>
  <c r="DO46" i="7"/>
  <c r="DN46" i="7"/>
  <c r="DM46" i="7"/>
  <c r="DL46" i="7"/>
  <c r="DK46" i="7"/>
  <c r="DJ46" i="7"/>
  <c r="DI46" i="7"/>
  <c r="DH46" i="7"/>
  <c r="DG46" i="7"/>
  <c r="DF46" i="7"/>
  <c r="DE46" i="7"/>
  <c r="DD46" i="7"/>
  <c r="DC46" i="7"/>
  <c r="DB46" i="7"/>
  <c r="DA46" i="7"/>
  <c r="CZ46" i="7"/>
  <c r="CY46" i="7"/>
  <c r="CX46" i="7"/>
  <c r="CW46" i="7"/>
  <c r="CV46" i="7"/>
  <c r="CU46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DT45" i="7"/>
  <c r="DS45" i="7"/>
  <c r="DR45" i="7"/>
  <c r="DQ45" i="7"/>
  <c r="DP45" i="7"/>
  <c r="DO45" i="7"/>
  <c r="DN45" i="7"/>
  <c r="DM45" i="7"/>
  <c r="DL45" i="7"/>
  <c r="DK45" i="7"/>
  <c r="DJ45" i="7"/>
  <c r="DI45" i="7"/>
  <c r="DH45" i="7"/>
  <c r="DG45" i="7"/>
  <c r="DF45" i="7"/>
  <c r="DE45" i="7"/>
  <c r="DD45" i="7"/>
  <c r="DC45" i="7"/>
  <c r="DB45" i="7"/>
  <c r="DA45" i="7"/>
  <c r="CZ45" i="7"/>
  <c r="CY45" i="7"/>
  <c r="CX45" i="7"/>
  <c r="CW45" i="7"/>
  <c r="CV45" i="7"/>
  <c r="CU45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DT42" i="7"/>
  <c r="DS42" i="7"/>
  <c r="DR42" i="7"/>
  <c r="DQ42" i="7"/>
  <c r="DP42" i="7"/>
  <c r="DO42" i="7"/>
  <c r="DN42" i="7"/>
  <c r="DM42" i="7"/>
  <c r="DL42" i="7"/>
  <c r="DK42" i="7"/>
  <c r="DJ42" i="7"/>
  <c r="DI42" i="7"/>
  <c r="DH42" i="7"/>
  <c r="DG42" i="7"/>
  <c r="DF42" i="7"/>
  <c r="DE42" i="7"/>
  <c r="DD42" i="7"/>
  <c r="DC42" i="7"/>
  <c r="DB42" i="7"/>
  <c r="DA42" i="7"/>
  <c r="CZ42" i="7"/>
  <c r="CY42" i="7"/>
  <c r="CX42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DT41" i="7"/>
  <c r="DS41" i="7"/>
  <c r="DR41" i="7"/>
  <c r="DQ41" i="7"/>
  <c r="DP41" i="7"/>
  <c r="DO41" i="7"/>
  <c r="DN41" i="7"/>
  <c r="DM41" i="7"/>
  <c r="DL41" i="7"/>
  <c r="DK41" i="7"/>
  <c r="DJ41" i="7"/>
  <c r="DI41" i="7"/>
  <c r="DH41" i="7"/>
  <c r="DG41" i="7"/>
  <c r="DF41" i="7"/>
  <c r="DE41" i="7"/>
  <c r="DD41" i="7"/>
  <c r="DC41" i="7"/>
  <c r="DB41" i="7"/>
  <c r="DA41" i="7"/>
  <c r="CZ41" i="7"/>
  <c r="CY41" i="7"/>
  <c r="CX41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DT40" i="7"/>
  <c r="DS40" i="7"/>
  <c r="DR40" i="7"/>
  <c r="DQ40" i="7"/>
  <c r="DP40" i="7"/>
  <c r="DO40" i="7"/>
  <c r="DN40" i="7"/>
  <c r="DM40" i="7"/>
  <c r="DL40" i="7"/>
  <c r="DK40" i="7"/>
  <c r="DJ40" i="7"/>
  <c r="DI40" i="7"/>
  <c r="DH40" i="7"/>
  <c r="DG40" i="7"/>
  <c r="DF40" i="7"/>
  <c r="DE40" i="7"/>
  <c r="DD40" i="7"/>
  <c r="DC40" i="7"/>
  <c r="DB40" i="7"/>
  <c r="DA40" i="7"/>
  <c r="CZ40" i="7"/>
  <c r="CY40" i="7"/>
  <c r="CX40" i="7"/>
  <c r="CW40" i="7"/>
  <c r="CV40" i="7"/>
  <c r="CU40" i="7"/>
  <c r="CT40" i="7"/>
  <c r="CS40" i="7"/>
  <c r="CR40" i="7"/>
  <c r="CQ40" i="7"/>
  <c r="CP40" i="7"/>
  <c r="CO40" i="7"/>
  <c r="CN40" i="7"/>
  <c r="CM40" i="7"/>
  <c r="CL40" i="7"/>
  <c r="CK40" i="7"/>
  <c r="CJ40" i="7"/>
  <c r="CI40" i="7"/>
  <c r="CH40" i="7"/>
  <c r="CG40" i="7"/>
  <c r="DT39" i="7"/>
  <c r="DS39" i="7"/>
  <c r="DR39" i="7"/>
  <c r="DQ39" i="7"/>
  <c r="DP39" i="7"/>
  <c r="DO39" i="7"/>
  <c r="DN39" i="7"/>
  <c r="DM39" i="7"/>
  <c r="DL39" i="7"/>
  <c r="DK39" i="7"/>
  <c r="DJ39" i="7"/>
  <c r="DI39" i="7"/>
  <c r="DH39" i="7"/>
  <c r="DG39" i="7"/>
  <c r="DF39" i="7"/>
  <c r="DE39" i="7"/>
  <c r="DD39" i="7"/>
  <c r="DC39" i="7"/>
  <c r="DB39" i="7"/>
  <c r="DA39" i="7"/>
  <c r="CZ39" i="7"/>
  <c r="CY39" i="7"/>
  <c r="CX39" i="7"/>
  <c r="CW39" i="7"/>
  <c r="CV39" i="7"/>
  <c r="CU39" i="7"/>
  <c r="CT39" i="7"/>
  <c r="CS39" i="7"/>
  <c r="CR39" i="7"/>
  <c r="CQ39" i="7"/>
  <c r="CP39" i="7"/>
  <c r="CO39" i="7"/>
  <c r="CN39" i="7"/>
  <c r="CM39" i="7"/>
  <c r="CL39" i="7"/>
  <c r="CK39" i="7"/>
  <c r="CJ39" i="7"/>
  <c r="CI39" i="7"/>
  <c r="CH39" i="7"/>
  <c r="CG39" i="7"/>
  <c r="DT38" i="7"/>
  <c r="DS38" i="7"/>
  <c r="DR38" i="7"/>
  <c r="DQ38" i="7"/>
  <c r="DP38" i="7"/>
  <c r="DO38" i="7"/>
  <c r="DN38" i="7"/>
  <c r="DM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W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DT36" i="7"/>
  <c r="DS36" i="7"/>
  <c r="DR36" i="7"/>
  <c r="DQ36" i="7"/>
  <c r="DP36" i="7"/>
  <c r="DO36" i="7"/>
  <c r="DN36" i="7"/>
  <c r="DM36" i="7"/>
  <c r="DL36" i="7"/>
  <c r="DK36" i="7"/>
  <c r="DJ36" i="7"/>
  <c r="DI36" i="7"/>
  <c r="DH36" i="7"/>
  <c r="DG36" i="7"/>
  <c r="DF36" i="7"/>
  <c r="DE36" i="7"/>
  <c r="DD36" i="7"/>
  <c r="DC36" i="7"/>
  <c r="DB36" i="7"/>
  <c r="DA36" i="7"/>
  <c r="CZ36" i="7"/>
  <c r="CY36" i="7"/>
  <c r="CX36" i="7"/>
  <c r="CW36" i="7"/>
  <c r="CV36" i="7"/>
  <c r="CU36" i="7"/>
  <c r="CT36" i="7"/>
  <c r="CS36" i="7"/>
  <c r="CR36" i="7"/>
  <c r="CQ36" i="7"/>
  <c r="CP36" i="7"/>
  <c r="CO36" i="7"/>
  <c r="CN36" i="7"/>
  <c r="CM36" i="7"/>
  <c r="CL36" i="7"/>
  <c r="CK36" i="7"/>
  <c r="CJ36" i="7"/>
  <c r="CI36" i="7"/>
  <c r="CH36" i="7"/>
  <c r="CG36" i="7"/>
  <c r="D36" i="7"/>
  <c r="DT35" i="7"/>
  <c r="DS35" i="7"/>
  <c r="DR35" i="7"/>
  <c r="DQ35" i="7"/>
  <c r="DP35" i="7"/>
  <c r="DO35" i="7"/>
  <c r="DN35" i="7"/>
  <c r="DM35" i="7"/>
  <c r="DL35" i="7"/>
  <c r="DK35" i="7"/>
  <c r="DJ35" i="7"/>
  <c r="DI35" i="7"/>
  <c r="DH35" i="7"/>
  <c r="DG35" i="7"/>
  <c r="DF35" i="7"/>
  <c r="DE35" i="7"/>
  <c r="DD35" i="7"/>
  <c r="DC35" i="7"/>
  <c r="DB35" i="7"/>
  <c r="DA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DT32" i="7"/>
  <c r="DS32" i="7"/>
  <c r="DR32" i="7"/>
  <c r="DQ32" i="7"/>
  <c r="DP32" i="7"/>
  <c r="DO32" i="7"/>
  <c r="DN32" i="7"/>
  <c r="DM32" i="7"/>
  <c r="DL32" i="7"/>
  <c r="DK32" i="7"/>
  <c r="DJ32" i="7"/>
  <c r="DI32" i="7"/>
  <c r="DH32" i="7"/>
  <c r="DG32" i="7"/>
  <c r="DF32" i="7"/>
  <c r="DE32" i="7"/>
  <c r="DD32" i="7"/>
  <c r="DC32" i="7"/>
  <c r="DB32" i="7"/>
  <c r="DA32" i="7"/>
  <c r="CZ32" i="7"/>
  <c r="CY32" i="7"/>
  <c r="CX32" i="7"/>
  <c r="CW32" i="7"/>
  <c r="CV32" i="7"/>
  <c r="CU32" i="7"/>
  <c r="CT32" i="7"/>
  <c r="CS32" i="7"/>
  <c r="CR32" i="7"/>
  <c r="CQ32" i="7"/>
  <c r="CP32" i="7"/>
  <c r="CO32" i="7"/>
  <c r="CN32" i="7"/>
  <c r="CM32" i="7"/>
  <c r="CL32" i="7"/>
  <c r="CK32" i="7"/>
  <c r="CJ32" i="7"/>
  <c r="CI32" i="7"/>
  <c r="CH32" i="7"/>
  <c r="CG32" i="7"/>
  <c r="DT31" i="7"/>
  <c r="DS31" i="7"/>
  <c r="DR31" i="7"/>
  <c r="DQ31" i="7"/>
  <c r="DP31" i="7"/>
  <c r="DO31" i="7"/>
  <c r="DN31" i="7"/>
  <c r="DM31" i="7"/>
  <c r="DL31" i="7"/>
  <c r="DK31" i="7"/>
  <c r="DJ31" i="7"/>
  <c r="DI31" i="7"/>
  <c r="DH31" i="7"/>
  <c r="DG31" i="7"/>
  <c r="DF31" i="7"/>
  <c r="DE31" i="7"/>
  <c r="DD31" i="7"/>
  <c r="DC31" i="7"/>
  <c r="DB31" i="7"/>
  <c r="DA31" i="7"/>
  <c r="CZ31" i="7"/>
  <c r="CY31" i="7"/>
  <c r="CX31" i="7"/>
  <c r="CW31" i="7"/>
  <c r="CV31" i="7"/>
  <c r="CU31" i="7"/>
  <c r="CT31" i="7"/>
  <c r="CS31" i="7"/>
  <c r="CR31" i="7"/>
  <c r="CQ31" i="7"/>
  <c r="CP31" i="7"/>
  <c r="CO31" i="7"/>
  <c r="CN31" i="7"/>
  <c r="CM31" i="7"/>
  <c r="CL31" i="7"/>
  <c r="CK31" i="7"/>
  <c r="CJ31" i="7"/>
  <c r="CI31" i="7"/>
  <c r="CH31" i="7"/>
  <c r="CG31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DT29" i="7"/>
  <c r="DS29" i="7"/>
  <c r="DR29" i="7"/>
  <c r="DQ29" i="7"/>
  <c r="DP29" i="7"/>
  <c r="DO29" i="7"/>
  <c r="DN29" i="7"/>
  <c r="DM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W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DT27" i="7"/>
  <c r="DS27" i="7"/>
  <c r="DR27" i="7"/>
  <c r="DQ27" i="7"/>
  <c r="DP27" i="7"/>
  <c r="DO27" i="7"/>
  <c r="DN27" i="7"/>
  <c r="DM27" i="7"/>
  <c r="DL27" i="7"/>
  <c r="DK27" i="7"/>
  <c r="DJ27" i="7"/>
  <c r="DI27" i="7"/>
  <c r="DH27" i="7"/>
  <c r="DG27" i="7"/>
  <c r="DF27" i="7"/>
  <c r="DE27" i="7"/>
  <c r="DD27" i="7"/>
  <c r="DC27" i="7"/>
  <c r="DB27" i="7"/>
  <c r="DA27" i="7"/>
  <c r="CZ27" i="7"/>
  <c r="CY27" i="7"/>
  <c r="CX27" i="7"/>
  <c r="CW27" i="7"/>
  <c r="CV27" i="7"/>
  <c r="CU27" i="7"/>
  <c r="CT27" i="7"/>
  <c r="CS27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DT26" i="7"/>
  <c r="DS26" i="7"/>
  <c r="DR26" i="7"/>
  <c r="DQ26" i="7"/>
  <c r="DP26" i="7"/>
  <c r="DO26" i="7"/>
  <c r="DN26" i="7"/>
  <c r="DM26" i="7"/>
  <c r="DL26" i="7"/>
  <c r="DK26" i="7"/>
  <c r="DJ26" i="7"/>
  <c r="DI26" i="7"/>
  <c r="DH26" i="7"/>
  <c r="DG26" i="7"/>
  <c r="DF26" i="7"/>
  <c r="DE26" i="7"/>
  <c r="DD26" i="7"/>
  <c r="DC26" i="7"/>
  <c r="DB26" i="7"/>
  <c r="DA26" i="7"/>
  <c r="CZ26" i="7"/>
  <c r="CY26" i="7"/>
  <c r="CX26" i="7"/>
  <c r="CW26" i="7"/>
  <c r="CV26" i="7"/>
  <c r="CU26" i="7"/>
  <c r="CT26" i="7"/>
  <c r="CS26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D26" i="7"/>
  <c r="DT25" i="7"/>
  <c r="DS25" i="7"/>
  <c r="DR25" i="7"/>
  <c r="DQ25" i="7"/>
  <c r="DP25" i="7"/>
  <c r="DO25" i="7"/>
  <c r="DN25" i="7"/>
  <c r="DM25" i="7"/>
  <c r="DL25" i="7"/>
  <c r="DK25" i="7"/>
  <c r="DJ25" i="7"/>
  <c r="DI25" i="7"/>
  <c r="DH25" i="7"/>
  <c r="DG25" i="7"/>
  <c r="DF25" i="7"/>
  <c r="DE25" i="7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F48" i="7" s="1"/>
  <c r="DT21" i="7"/>
  <c r="DS21" i="7"/>
  <c r="DR21" i="7"/>
  <c r="DQ21" i="7"/>
  <c r="DP21" i="7"/>
  <c r="DO21" i="7"/>
  <c r="DN21" i="7"/>
  <c r="DM21" i="7"/>
  <c r="DL21" i="7"/>
  <c r="DK21" i="7"/>
  <c r="DJ21" i="7"/>
  <c r="DI21" i="7"/>
  <c r="DH21" i="7"/>
  <c r="DG21" i="7"/>
  <c r="DF21" i="7"/>
  <c r="DE21" i="7"/>
  <c r="DD21" i="7"/>
  <c r="DC21" i="7"/>
  <c r="DB21" i="7"/>
  <c r="DA21" i="7"/>
  <c r="CZ21" i="7"/>
  <c r="CY21" i="7"/>
  <c r="CX21" i="7"/>
  <c r="CW21" i="7"/>
  <c r="CV21" i="7"/>
  <c r="CU21" i="7"/>
  <c r="CT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DT19" i="7"/>
  <c r="DS19" i="7"/>
  <c r="DR19" i="7"/>
  <c r="DQ19" i="7"/>
  <c r="DP19" i="7"/>
  <c r="DO19" i="7"/>
  <c r="DN19" i="7"/>
  <c r="DM19" i="7"/>
  <c r="DL19" i="7"/>
  <c r="DK19" i="7"/>
  <c r="DJ19" i="7"/>
  <c r="DI19" i="7"/>
  <c r="DH19" i="7"/>
  <c r="DG19" i="7"/>
  <c r="DF19" i="7"/>
  <c r="DE19" i="7"/>
  <c r="DD19" i="7"/>
  <c r="DC19" i="7"/>
  <c r="DB19" i="7"/>
  <c r="DA19" i="7"/>
  <c r="CZ19" i="7"/>
  <c r="CY19" i="7"/>
  <c r="CX19" i="7"/>
  <c r="CW19" i="7"/>
  <c r="CV19" i="7"/>
  <c r="CU19" i="7"/>
  <c r="CT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DT18" i="7"/>
  <c r="DS18" i="7"/>
  <c r="DR18" i="7"/>
  <c r="DQ18" i="7"/>
  <c r="DP18" i="7"/>
  <c r="DO18" i="7"/>
  <c r="DN18" i="7"/>
  <c r="DM18" i="7"/>
  <c r="DL18" i="7"/>
  <c r="DK18" i="7"/>
  <c r="DJ18" i="7"/>
  <c r="DI18" i="7"/>
  <c r="DH18" i="7"/>
  <c r="DG18" i="7"/>
  <c r="DF18" i="7"/>
  <c r="DE18" i="7"/>
  <c r="DD18" i="7"/>
  <c r="DC18" i="7"/>
  <c r="DB18" i="7"/>
  <c r="DA18" i="7"/>
  <c r="CZ18" i="7"/>
  <c r="CY18" i="7"/>
  <c r="CX18" i="7"/>
  <c r="CW18" i="7"/>
  <c r="CV18" i="7"/>
  <c r="CU18" i="7"/>
  <c r="CT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DT17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W17" i="7"/>
  <c r="CV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E17" i="7"/>
  <c r="CD17" i="7"/>
  <c r="CC17" i="7"/>
  <c r="CB17" i="7"/>
  <c r="CA17" i="7"/>
  <c r="BZ17" i="7"/>
  <c r="BY17" i="7"/>
  <c r="BX17" i="7"/>
  <c r="BW17" i="7"/>
  <c r="BV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DT15" i="7"/>
  <c r="DS15" i="7"/>
  <c r="DR15" i="7"/>
  <c r="DQ15" i="7"/>
  <c r="DP15" i="7"/>
  <c r="DO15" i="7"/>
  <c r="DN15" i="7"/>
  <c r="DM15" i="7"/>
  <c r="DL15" i="7"/>
  <c r="DK15" i="7"/>
  <c r="DJ15" i="7"/>
  <c r="DI15" i="7"/>
  <c r="DH15" i="7"/>
  <c r="DG15" i="7"/>
  <c r="DF15" i="7"/>
  <c r="DE15" i="7"/>
  <c r="DD15" i="7"/>
  <c r="DC15" i="7"/>
  <c r="DB15" i="7"/>
  <c r="DA15" i="7"/>
  <c r="CZ15" i="7"/>
  <c r="CY15" i="7"/>
  <c r="CX15" i="7"/>
  <c r="CW15" i="7"/>
  <c r="CV15" i="7"/>
  <c r="CU15" i="7"/>
  <c r="CT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DT14" i="7"/>
  <c r="DS14" i="7"/>
  <c r="DR14" i="7"/>
  <c r="DQ14" i="7"/>
  <c r="DP14" i="7"/>
  <c r="DO14" i="7"/>
  <c r="DN14" i="7"/>
  <c r="DM14" i="7"/>
  <c r="DL14" i="7"/>
  <c r="DK14" i="7"/>
  <c r="DJ14" i="7"/>
  <c r="DI14" i="7"/>
  <c r="DH14" i="7"/>
  <c r="DG14" i="7"/>
  <c r="DF14" i="7"/>
  <c r="DE14" i="7"/>
  <c r="DD14" i="7"/>
  <c r="DC14" i="7"/>
  <c r="DB14" i="7"/>
  <c r="DA14" i="7"/>
  <c r="CZ14" i="7"/>
  <c r="CY14" i="7"/>
  <c r="CX14" i="7"/>
  <c r="CW14" i="7"/>
  <c r="CV14" i="7"/>
  <c r="CU14" i="7"/>
  <c r="CT14" i="7"/>
  <c r="CS14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DT13" i="7"/>
  <c r="DS13" i="7"/>
  <c r="DR13" i="7"/>
  <c r="DQ13" i="7"/>
  <c r="DP13" i="7"/>
  <c r="DO13" i="7"/>
  <c r="DN13" i="7"/>
  <c r="DM13" i="7"/>
  <c r="DL13" i="7"/>
  <c r="DK13" i="7"/>
  <c r="DJ13" i="7"/>
  <c r="DI13" i="7"/>
  <c r="DH13" i="7"/>
  <c r="DG13" i="7"/>
  <c r="DF13" i="7"/>
  <c r="DE13" i="7"/>
  <c r="DD13" i="7"/>
  <c r="DC13" i="7"/>
  <c r="DB13" i="7"/>
  <c r="DA13" i="7"/>
  <c r="CZ13" i="7"/>
  <c r="CY13" i="7"/>
  <c r="CX13" i="7"/>
  <c r="CW13" i="7"/>
  <c r="CV13" i="7"/>
  <c r="CU13" i="7"/>
  <c r="CT13" i="7"/>
  <c r="CS13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DT12" i="7"/>
  <c r="DS12" i="7"/>
  <c r="DR12" i="7"/>
  <c r="DQ12" i="7"/>
  <c r="DP12" i="7"/>
  <c r="DO12" i="7"/>
  <c r="DN12" i="7"/>
  <c r="DM12" i="7"/>
  <c r="DL12" i="7"/>
  <c r="DK12" i="7"/>
  <c r="DJ12" i="7"/>
  <c r="DI12" i="7"/>
  <c r="DH12" i="7"/>
  <c r="DG12" i="7"/>
  <c r="DF12" i="7"/>
  <c r="DE12" i="7"/>
  <c r="DD12" i="7"/>
  <c r="DC12" i="7"/>
  <c r="DB12" i="7"/>
  <c r="DA12" i="7"/>
  <c r="CZ12" i="7"/>
  <c r="CY12" i="7"/>
  <c r="CX12" i="7"/>
  <c r="CW12" i="7"/>
  <c r="CV12" i="7"/>
  <c r="CU12" i="7"/>
  <c r="CT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DT11" i="7"/>
  <c r="DS11" i="7"/>
  <c r="DR11" i="7"/>
  <c r="DQ11" i="7"/>
  <c r="DP11" i="7"/>
  <c r="DO11" i="7"/>
  <c r="DN11" i="7"/>
  <c r="DM11" i="7"/>
  <c r="DL11" i="7"/>
  <c r="DK11" i="7"/>
  <c r="DJ11" i="7"/>
  <c r="DI11" i="7"/>
  <c r="DH11" i="7"/>
  <c r="DG11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DT10" i="7"/>
  <c r="DS10" i="7"/>
  <c r="DR10" i="7"/>
  <c r="DQ10" i="7"/>
  <c r="DP10" i="7"/>
  <c r="DO10" i="7"/>
  <c r="DN10" i="7"/>
  <c r="DM10" i="7"/>
  <c r="DL10" i="7"/>
  <c r="DK10" i="7"/>
  <c r="DJ10" i="7"/>
  <c r="DI10" i="7"/>
  <c r="DH10" i="7"/>
  <c r="DG10" i="7"/>
  <c r="DF10" i="7"/>
  <c r="DE10" i="7"/>
  <c r="DD10" i="7"/>
  <c r="DC10" i="7"/>
  <c r="DB10" i="7"/>
  <c r="DA10" i="7"/>
  <c r="CZ10" i="7"/>
  <c r="CY10" i="7"/>
  <c r="CX10" i="7"/>
  <c r="CW10" i="7"/>
  <c r="CV10" i="7"/>
  <c r="CU10" i="7"/>
  <c r="CT10" i="7"/>
  <c r="CS10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DO6" i="7"/>
  <c r="DN6" i="7"/>
  <c r="DM6" i="7"/>
  <c r="DL6" i="7"/>
  <c r="DK6" i="7"/>
  <c r="DI6" i="7"/>
  <c r="DH6" i="7"/>
  <c r="CX6" i="7"/>
  <c r="CW6" i="7"/>
  <c r="CV6" i="7"/>
  <c r="CU6" i="7"/>
  <c r="CS6" i="7"/>
  <c r="CR6" i="7"/>
  <c r="CH6" i="7"/>
  <c r="CG6" i="7"/>
  <c r="CF6" i="7"/>
  <c r="CE6" i="7"/>
  <c r="CC6" i="7"/>
  <c r="CB6" i="7"/>
  <c r="BS6" i="7"/>
  <c r="BR6" i="7"/>
  <c r="BQ6" i="7"/>
  <c r="BP6" i="7"/>
  <c r="BO6" i="7"/>
  <c r="BM6" i="7"/>
  <c r="BL6" i="7"/>
  <c r="BC6" i="7"/>
  <c r="BB6" i="7"/>
  <c r="BA6" i="7"/>
  <c r="AZ6" i="7"/>
  <c r="AY6" i="7"/>
  <c r="AW6" i="7"/>
  <c r="AV6" i="7"/>
  <c r="AL6" i="7"/>
  <c r="AK6" i="7"/>
  <c r="AJ6" i="7"/>
  <c r="AI6" i="7"/>
  <c r="AG6" i="7"/>
  <c r="AF6" i="7"/>
  <c r="V6" i="7"/>
  <c r="U6" i="7"/>
  <c r="T6" i="7"/>
  <c r="S6" i="7"/>
  <c r="Q6" i="7"/>
  <c r="P6" i="7"/>
  <c r="F6" i="7"/>
  <c r="E6" i="7"/>
  <c r="D6" i="7"/>
  <c r="DQ5" i="7"/>
  <c r="DG5" i="7"/>
  <c r="DE5" i="7"/>
  <c r="DB5" i="7"/>
  <c r="DA5" i="7"/>
  <c r="CY5" i="7"/>
  <c r="CQ5" i="7"/>
  <c r="CO5" i="7"/>
  <c r="CK5" i="7"/>
  <c r="CA5" i="7"/>
  <c r="BY5" i="7"/>
  <c r="BU5" i="7"/>
  <c r="BR5" i="7"/>
  <c r="BQ5" i="7"/>
  <c r="BK5" i="7"/>
  <c r="BI5" i="7"/>
  <c r="BE5" i="7"/>
  <c r="AU5" i="7"/>
  <c r="AS5" i="7"/>
  <c r="AO5" i="7"/>
  <c r="AE5" i="7"/>
  <c r="AC5" i="7"/>
  <c r="Y5" i="7"/>
  <c r="U5" i="7"/>
  <c r="O5" i="7"/>
  <c r="M5" i="7"/>
  <c r="I5" i="7"/>
  <c r="E5" i="7"/>
  <c r="DT4" i="7"/>
  <c r="DS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I4" i="7"/>
  <c r="H4" i="7"/>
  <c r="G4" i="7"/>
  <c r="F4" i="7"/>
  <c r="E4" i="7"/>
  <c r="D4" i="7"/>
  <c r="DT186" i="6"/>
  <c r="DS186" i="6"/>
  <c r="DR186" i="6"/>
  <c r="DQ186" i="6"/>
  <c r="DP186" i="6"/>
  <c r="DO186" i="6"/>
  <c r="DN186" i="6"/>
  <c r="DM186" i="6"/>
  <c r="DL186" i="6"/>
  <c r="DK186" i="6"/>
  <c r="DJ186" i="6"/>
  <c r="DI186" i="6"/>
  <c r="DH186" i="6"/>
  <c r="DG186" i="6"/>
  <c r="DF186" i="6"/>
  <c r="DE186" i="6"/>
  <c r="DD186" i="6"/>
  <c r="DC186" i="6"/>
  <c r="DB186" i="6"/>
  <c r="DA186" i="6"/>
  <c r="CZ186" i="6"/>
  <c r="CY186" i="6"/>
  <c r="CX186" i="6"/>
  <c r="CW186" i="6"/>
  <c r="CV186" i="6"/>
  <c r="CU186" i="6"/>
  <c r="CT186" i="6"/>
  <c r="CS186" i="6"/>
  <c r="CR186" i="6"/>
  <c r="CQ186" i="6"/>
  <c r="CP186" i="6"/>
  <c r="CO186" i="6"/>
  <c r="CN186" i="6"/>
  <c r="CM186" i="6"/>
  <c r="CL186" i="6"/>
  <c r="CK186" i="6"/>
  <c r="CJ186" i="6"/>
  <c r="CI186" i="6"/>
  <c r="CH186" i="6"/>
  <c r="CG186" i="6"/>
  <c r="CE186" i="6"/>
  <c r="CD186" i="6"/>
  <c r="CC186" i="6"/>
  <c r="CB186" i="6"/>
  <c r="CA186" i="6"/>
  <c r="BZ186" i="6"/>
  <c r="BY186" i="6"/>
  <c r="BX186" i="6"/>
  <c r="BW186" i="6"/>
  <c r="BV186" i="6"/>
  <c r="BU186" i="6"/>
  <c r="BT186" i="6"/>
  <c r="BS186" i="6"/>
  <c r="BR186" i="6"/>
  <c r="BQ186" i="6"/>
  <c r="BP186" i="6"/>
  <c r="BO186" i="6"/>
  <c r="BN186" i="6"/>
  <c r="BM186" i="6"/>
  <c r="BL186" i="6"/>
  <c r="BK186" i="6"/>
  <c r="BJ186" i="6"/>
  <c r="BI186" i="6"/>
  <c r="BH186" i="6"/>
  <c r="BG186" i="6"/>
  <c r="BF186" i="6"/>
  <c r="BE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AE186" i="6"/>
  <c r="AD186" i="6"/>
  <c r="AC186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DT185" i="6"/>
  <c r="DS185" i="6"/>
  <c r="DR185" i="6"/>
  <c r="DQ185" i="6"/>
  <c r="DP185" i="6"/>
  <c r="DO185" i="6"/>
  <c r="DN185" i="6"/>
  <c r="DM185" i="6"/>
  <c r="DL185" i="6"/>
  <c r="DK185" i="6"/>
  <c r="DJ185" i="6"/>
  <c r="DI185" i="6"/>
  <c r="DH185" i="6"/>
  <c r="DG185" i="6"/>
  <c r="DF185" i="6"/>
  <c r="DE185" i="6"/>
  <c r="DD185" i="6"/>
  <c r="DC185" i="6"/>
  <c r="DB185" i="6"/>
  <c r="DA185" i="6"/>
  <c r="CZ185" i="6"/>
  <c r="CY185" i="6"/>
  <c r="CX185" i="6"/>
  <c r="CW185" i="6"/>
  <c r="CV185" i="6"/>
  <c r="CU185" i="6"/>
  <c r="CT185" i="6"/>
  <c r="CS185" i="6"/>
  <c r="CR185" i="6"/>
  <c r="CQ185" i="6"/>
  <c r="CP185" i="6"/>
  <c r="CO185" i="6"/>
  <c r="CN185" i="6"/>
  <c r="CM185" i="6"/>
  <c r="CL185" i="6"/>
  <c r="CK185" i="6"/>
  <c r="CJ185" i="6"/>
  <c r="CI185" i="6"/>
  <c r="CH185" i="6"/>
  <c r="CG185" i="6"/>
  <c r="CE185" i="6"/>
  <c r="CD185" i="6"/>
  <c r="CC185" i="6"/>
  <c r="CB185" i="6"/>
  <c r="CA185" i="6"/>
  <c r="BZ185" i="6"/>
  <c r="BY185" i="6"/>
  <c r="BX185" i="6"/>
  <c r="BW185" i="6"/>
  <c r="BV185" i="6"/>
  <c r="BU185" i="6"/>
  <c r="BT185" i="6"/>
  <c r="BS185" i="6"/>
  <c r="BR185" i="6"/>
  <c r="BQ185" i="6"/>
  <c r="BP185" i="6"/>
  <c r="BO185" i="6"/>
  <c r="BN185" i="6"/>
  <c r="BM185" i="6"/>
  <c r="BL185" i="6"/>
  <c r="BK185" i="6"/>
  <c r="BJ185" i="6"/>
  <c r="BI185" i="6"/>
  <c r="BH185" i="6"/>
  <c r="BG185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DT184" i="6"/>
  <c r="DS184" i="6"/>
  <c r="DR184" i="6"/>
  <c r="DQ184" i="6"/>
  <c r="DP184" i="6"/>
  <c r="DO184" i="6"/>
  <c r="DN184" i="6"/>
  <c r="DM184" i="6"/>
  <c r="DL184" i="6"/>
  <c r="DK184" i="6"/>
  <c r="DJ184" i="6"/>
  <c r="DI184" i="6"/>
  <c r="DH184" i="6"/>
  <c r="DG184" i="6"/>
  <c r="DF184" i="6"/>
  <c r="DE184" i="6"/>
  <c r="DD184" i="6"/>
  <c r="DC184" i="6"/>
  <c r="DB184" i="6"/>
  <c r="DA184" i="6"/>
  <c r="CZ184" i="6"/>
  <c r="CY184" i="6"/>
  <c r="CX184" i="6"/>
  <c r="CW184" i="6"/>
  <c r="CV184" i="6"/>
  <c r="CU184" i="6"/>
  <c r="CT184" i="6"/>
  <c r="CS184" i="6"/>
  <c r="CR184" i="6"/>
  <c r="CQ184" i="6"/>
  <c r="CP184" i="6"/>
  <c r="CO184" i="6"/>
  <c r="CN184" i="6"/>
  <c r="CM184" i="6"/>
  <c r="CL184" i="6"/>
  <c r="CK184" i="6"/>
  <c r="CJ184" i="6"/>
  <c r="CI184" i="6"/>
  <c r="CH184" i="6"/>
  <c r="CG184" i="6"/>
  <c r="CE184" i="6"/>
  <c r="CD184" i="6"/>
  <c r="CC184" i="6"/>
  <c r="CB184" i="6"/>
  <c r="CA184" i="6"/>
  <c r="BZ184" i="6"/>
  <c r="BY184" i="6"/>
  <c r="BX184" i="6"/>
  <c r="BW184" i="6"/>
  <c r="BV184" i="6"/>
  <c r="BU184" i="6"/>
  <c r="BT184" i="6"/>
  <c r="BS184" i="6"/>
  <c r="BR184" i="6"/>
  <c r="BQ184" i="6"/>
  <c r="BP184" i="6"/>
  <c r="BO184" i="6"/>
  <c r="BN184" i="6"/>
  <c r="BM184" i="6"/>
  <c r="BL184" i="6"/>
  <c r="BK184" i="6"/>
  <c r="BJ184" i="6"/>
  <c r="BI184" i="6"/>
  <c r="BH184" i="6"/>
  <c r="BG184" i="6"/>
  <c r="BF184" i="6"/>
  <c r="BE184" i="6"/>
  <c r="BD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DT183" i="6"/>
  <c r="DS183" i="6"/>
  <c r="DR183" i="6"/>
  <c r="DQ183" i="6"/>
  <c r="DP183" i="6"/>
  <c r="DO183" i="6"/>
  <c r="DN183" i="6"/>
  <c r="DM183" i="6"/>
  <c r="DL183" i="6"/>
  <c r="DK183" i="6"/>
  <c r="DJ183" i="6"/>
  <c r="DI183" i="6"/>
  <c r="DH183" i="6"/>
  <c r="DG183" i="6"/>
  <c r="DF183" i="6"/>
  <c r="DE183" i="6"/>
  <c r="DD183" i="6"/>
  <c r="DC183" i="6"/>
  <c r="DB183" i="6"/>
  <c r="DA183" i="6"/>
  <c r="CZ183" i="6"/>
  <c r="CY183" i="6"/>
  <c r="CX183" i="6"/>
  <c r="CW183" i="6"/>
  <c r="CV183" i="6"/>
  <c r="CU183" i="6"/>
  <c r="CT183" i="6"/>
  <c r="CS183" i="6"/>
  <c r="CR183" i="6"/>
  <c r="CQ183" i="6"/>
  <c r="CP183" i="6"/>
  <c r="CO183" i="6"/>
  <c r="CN183" i="6"/>
  <c r="CM183" i="6"/>
  <c r="CL183" i="6"/>
  <c r="CK183" i="6"/>
  <c r="CJ183" i="6"/>
  <c r="CI183" i="6"/>
  <c r="CH183" i="6"/>
  <c r="CG183" i="6"/>
  <c r="CE183" i="6"/>
  <c r="CD183" i="6"/>
  <c r="CC183" i="6"/>
  <c r="CB183" i="6"/>
  <c r="CA183" i="6"/>
  <c r="BZ183" i="6"/>
  <c r="BY183" i="6"/>
  <c r="BX183" i="6"/>
  <c r="BW183" i="6"/>
  <c r="BV183" i="6"/>
  <c r="BU183" i="6"/>
  <c r="BT183" i="6"/>
  <c r="BS183" i="6"/>
  <c r="BR183" i="6"/>
  <c r="BQ183" i="6"/>
  <c r="BP183" i="6"/>
  <c r="BO183" i="6"/>
  <c r="BN183" i="6"/>
  <c r="BM183" i="6"/>
  <c r="BL183" i="6"/>
  <c r="BK183" i="6"/>
  <c r="BJ183" i="6"/>
  <c r="BI183" i="6"/>
  <c r="BH183" i="6"/>
  <c r="BG183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DT182" i="6"/>
  <c r="DS182" i="6"/>
  <c r="DR182" i="6"/>
  <c r="DQ182" i="6"/>
  <c r="DP182" i="6"/>
  <c r="DO182" i="6"/>
  <c r="DN182" i="6"/>
  <c r="DM182" i="6"/>
  <c r="DL182" i="6"/>
  <c r="DK182" i="6"/>
  <c r="DJ182" i="6"/>
  <c r="DI182" i="6"/>
  <c r="DH182" i="6"/>
  <c r="DG182" i="6"/>
  <c r="DF182" i="6"/>
  <c r="DE182" i="6"/>
  <c r="DD182" i="6"/>
  <c r="DC182" i="6"/>
  <c r="DB182" i="6"/>
  <c r="DA182" i="6"/>
  <c r="CZ182" i="6"/>
  <c r="CY182" i="6"/>
  <c r="CX182" i="6"/>
  <c r="CW182" i="6"/>
  <c r="CV182" i="6"/>
  <c r="CU182" i="6"/>
  <c r="CT182" i="6"/>
  <c r="CS182" i="6"/>
  <c r="CR182" i="6"/>
  <c r="CQ182" i="6"/>
  <c r="CP182" i="6"/>
  <c r="CO182" i="6"/>
  <c r="CN182" i="6"/>
  <c r="CM182" i="6"/>
  <c r="CL182" i="6"/>
  <c r="CK182" i="6"/>
  <c r="CJ182" i="6"/>
  <c r="CI182" i="6"/>
  <c r="CH182" i="6"/>
  <c r="CG182" i="6"/>
  <c r="DT181" i="6"/>
  <c r="DS181" i="6"/>
  <c r="DR181" i="6"/>
  <c r="DQ181" i="6"/>
  <c r="DP181" i="6"/>
  <c r="DO181" i="6"/>
  <c r="DN181" i="6"/>
  <c r="DM181" i="6"/>
  <c r="DL181" i="6"/>
  <c r="DK181" i="6"/>
  <c r="DJ181" i="6"/>
  <c r="DI181" i="6"/>
  <c r="DH181" i="6"/>
  <c r="DG181" i="6"/>
  <c r="DF181" i="6"/>
  <c r="DE181" i="6"/>
  <c r="DD181" i="6"/>
  <c r="DC181" i="6"/>
  <c r="DB181" i="6"/>
  <c r="DA181" i="6"/>
  <c r="CZ181" i="6"/>
  <c r="CY181" i="6"/>
  <c r="CX181" i="6"/>
  <c r="CW181" i="6"/>
  <c r="CV181" i="6"/>
  <c r="CU181" i="6"/>
  <c r="CT181" i="6"/>
  <c r="CS181" i="6"/>
  <c r="CR181" i="6"/>
  <c r="CQ181" i="6"/>
  <c r="CP181" i="6"/>
  <c r="CO181" i="6"/>
  <c r="CN181" i="6"/>
  <c r="CM181" i="6"/>
  <c r="CL181" i="6"/>
  <c r="CK181" i="6"/>
  <c r="CJ181" i="6"/>
  <c r="CI181" i="6"/>
  <c r="CH181" i="6"/>
  <c r="CG181" i="6"/>
  <c r="DT180" i="6"/>
  <c r="DS180" i="6"/>
  <c r="DR180" i="6"/>
  <c r="DQ180" i="6"/>
  <c r="DP180" i="6"/>
  <c r="DO180" i="6"/>
  <c r="DN180" i="6"/>
  <c r="DM180" i="6"/>
  <c r="DL180" i="6"/>
  <c r="DK180" i="6"/>
  <c r="DJ180" i="6"/>
  <c r="DI180" i="6"/>
  <c r="DH180" i="6"/>
  <c r="DG180" i="6"/>
  <c r="DF180" i="6"/>
  <c r="DE180" i="6"/>
  <c r="DD180" i="6"/>
  <c r="DC180" i="6"/>
  <c r="DB180" i="6"/>
  <c r="DA180" i="6"/>
  <c r="CZ180" i="6"/>
  <c r="CY180" i="6"/>
  <c r="CX180" i="6"/>
  <c r="CW180" i="6"/>
  <c r="CV180" i="6"/>
  <c r="CU180" i="6"/>
  <c r="CT180" i="6"/>
  <c r="CS180" i="6"/>
  <c r="CR180" i="6"/>
  <c r="CQ180" i="6"/>
  <c r="CP180" i="6"/>
  <c r="CO180" i="6"/>
  <c r="CN180" i="6"/>
  <c r="CM180" i="6"/>
  <c r="CL180" i="6"/>
  <c r="CK180" i="6"/>
  <c r="CJ180" i="6"/>
  <c r="CI180" i="6"/>
  <c r="CH180" i="6"/>
  <c r="CG180" i="6"/>
  <c r="DT179" i="6"/>
  <c r="DS179" i="6"/>
  <c r="DR179" i="6"/>
  <c r="DQ179" i="6"/>
  <c r="DP179" i="6"/>
  <c r="DO179" i="6"/>
  <c r="DN179" i="6"/>
  <c r="DM179" i="6"/>
  <c r="DL179" i="6"/>
  <c r="DK179" i="6"/>
  <c r="DJ179" i="6"/>
  <c r="DI179" i="6"/>
  <c r="DH179" i="6"/>
  <c r="DG179" i="6"/>
  <c r="DF179" i="6"/>
  <c r="DE179" i="6"/>
  <c r="DD179" i="6"/>
  <c r="DC179" i="6"/>
  <c r="DB179" i="6"/>
  <c r="DA179" i="6"/>
  <c r="CZ179" i="6"/>
  <c r="CY179" i="6"/>
  <c r="CX179" i="6"/>
  <c r="CW179" i="6"/>
  <c r="CV179" i="6"/>
  <c r="CU179" i="6"/>
  <c r="CT179" i="6"/>
  <c r="CS179" i="6"/>
  <c r="CR179" i="6"/>
  <c r="CQ179" i="6"/>
  <c r="CP179" i="6"/>
  <c r="CO179" i="6"/>
  <c r="CN179" i="6"/>
  <c r="CM179" i="6"/>
  <c r="CL179" i="6"/>
  <c r="CK179" i="6"/>
  <c r="CJ179" i="6"/>
  <c r="CI179" i="6"/>
  <c r="CH179" i="6"/>
  <c r="CG179" i="6"/>
  <c r="DT178" i="6"/>
  <c r="DS178" i="6"/>
  <c r="DR178" i="6"/>
  <c r="DQ178" i="6"/>
  <c r="DP178" i="6"/>
  <c r="DO178" i="6"/>
  <c r="DN178" i="6"/>
  <c r="DM178" i="6"/>
  <c r="DL178" i="6"/>
  <c r="DK178" i="6"/>
  <c r="DJ178" i="6"/>
  <c r="DI178" i="6"/>
  <c r="DH178" i="6"/>
  <c r="DG178" i="6"/>
  <c r="DF178" i="6"/>
  <c r="DE178" i="6"/>
  <c r="DD178" i="6"/>
  <c r="DC178" i="6"/>
  <c r="DB178" i="6"/>
  <c r="DA178" i="6"/>
  <c r="CZ178" i="6"/>
  <c r="CY178" i="6"/>
  <c r="CX178" i="6"/>
  <c r="CW178" i="6"/>
  <c r="CV178" i="6"/>
  <c r="CU178" i="6"/>
  <c r="CT178" i="6"/>
  <c r="CS178" i="6"/>
  <c r="CR178" i="6"/>
  <c r="CQ178" i="6"/>
  <c r="CP178" i="6"/>
  <c r="CO178" i="6"/>
  <c r="CN178" i="6"/>
  <c r="CM178" i="6"/>
  <c r="CL178" i="6"/>
  <c r="CK178" i="6"/>
  <c r="CJ178" i="6"/>
  <c r="CI178" i="6"/>
  <c r="CH178" i="6"/>
  <c r="CG178" i="6"/>
  <c r="DT177" i="6"/>
  <c r="DS177" i="6"/>
  <c r="DR177" i="6"/>
  <c r="DQ177" i="6"/>
  <c r="DP177" i="6"/>
  <c r="DO177" i="6"/>
  <c r="DN177" i="6"/>
  <c r="DM177" i="6"/>
  <c r="DL177" i="6"/>
  <c r="DK177" i="6"/>
  <c r="DJ177" i="6"/>
  <c r="DI177" i="6"/>
  <c r="DH177" i="6"/>
  <c r="DG177" i="6"/>
  <c r="DF177" i="6"/>
  <c r="DE177" i="6"/>
  <c r="DD177" i="6"/>
  <c r="DC177" i="6"/>
  <c r="DB177" i="6"/>
  <c r="DA177" i="6"/>
  <c r="CZ177" i="6"/>
  <c r="CY177" i="6"/>
  <c r="CX177" i="6"/>
  <c r="CW177" i="6"/>
  <c r="CV177" i="6"/>
  <c r="CU177" i="6"/>
  <c r="CT177" i="6"/>
  <c r="CS177" i="6"/>
  <c r="CR177" i="6"/>
  <c r="CQ177" i="6"/>
  <c r="CP177" i="6"/>
  <c r="CO177" i="6"/>
  <c r="CN177" i="6"/>
  <c r="CM177" i="6"/>
  <c r="CL177" i="6"/>
  <c r="CK177" i="6"/>
  <c r="CJ177" i="6"/>
  <c r="CI177" i="6"/>
  <c r="CH177" i="6"/>
  <c r="CG177" i="6"/>
  <c r="DT176" i="6"/>
  <c r="DS176" i="6"/>
  <c r="DR176" i="6"/>
  <c r="DQ176" i="6"/>
  <c r="DP176" i="6"/>
  <c r="DO176" i="6"/>
  <c r="DN176" i="6"/>
  <c r="DM176" i="6"/>
  <c r="DL176" i="6"/>
  <c r="DK176" i="6"/>
  <c r="DJ176" i="6"/>
  <c r="DI176" i="6"/>
  <c r="DH176" i="6"/>
  <c r="DG176" i="6"/>
  <c r="DF176" i="6"/>
  <c r="DE176" i="6"/>
  <c r="DD176" i="6"/>
  <c r="DC176" i="6"/>
  <c r="DB176" i="6"/>
  <c r="DA176" i="6"/>
  <c r="CZ176" i="6"/>
  <c r="CY176" i="6"/>
  <c r="CX176" i="6"/>
  <c r="CW176" i="6"/>
  <c r="CV176" i="6"/>
  <c r="CU176" i="6"/>
  <c r="CT176" i="6"/>
  <c r="CS176" i="6"/>
  <c r="CR176" i="6"/>
  <c r="CQ176" i="6"/>
  <c r="CP176" i="6"/>
  <c r="CO176" i="6"/>
  <c r="CN176" i="6"/>
  <c r="CM176" i="6"/>
  <c r="CL176" i="6"/>
  <c r="CK176" i="6"/>
  <c r="CJ176" i="6"/>
  <c r="CI176" i="6"/>
  <c r="CH176" i="6"/>
  <c r="CG176" i="6"/>
  <c r="DT175" i="6"/>
  <c r="DS175" i="6"/>
  <c r="DR175" i="6"/>
  <c r="DQ175" i="6"/>
  <c r="DP175" i="6"/>
  <c r="DO175" i="6"/>
  <c r="DN175" i="6"/>
  <c r="DM175" i="6"/>
  <c r="DL175" i="6"/>
  <c r="DK175" i="6"/>
  <c r="DJ175" i="6"/>
  <c r="DI175" i="6"/>
  <c r="DH175" i="6"/>
  <c r="DG175" i="6"/>
  <c r="DF175" i="6"/>
  <c r="DE175" i="6"/>
  <c r="DD175" i="6"/>
  <c r="DC175" i="6"/>
  <c r="DB175" i="6"/>
  <c r="DA175" i="6"/>
  <c r="CZ175" i="6"/>
  <c r="CY175" i="6"/>
  <c r="CX175" i="6"/>
  <c r="CW175" i="6"/>
  <c r="CV175" i="6"/>
  <c r="CU175" i="6"/>
  <c r="CT175" i="6"/>
  <c r="CS175" i="6"/>
  <c r="CR175" i="6"/>
  <c r="CQ175" i="6"/>
  <c r="CP175" i="6"/>
  <c r="CO175" i="6"/>
  <c r="CN175" i="6"/>
  <c r="CM175" i="6"/>
  <c r="CL175" i="6"/>
  <c r="CK175" i="6"/>
  <c r="CJ175" i="6"/>
  <c r="CI175" i="6"/>
  <c r="CH175" i="6"/>
  <c r="CG175" i="6"/>
  <c r="CE175" i="6"/>
  <c r="CD175" i="6"/>
  <c r="CC175" i="6"/>
  <c r="CA175" i="6"/>
  <c r="BZ175" i="6"/>
  <c r="BY175" i="6"/>
  <c r="BW175" i="6"/>
  <c r="BV175" i="6"/>
  <c r="BU175" i="6"/>
  <c r="BS175" i="6"/>
  <c r="BR175" i="6"/>
  <c r="BQ175" i="6"/>
  <c r="BO175" i="6"/>
  <c r="BN175" i="6"/>
  <c r="BM175" i="6"/>
  <c r="BK175" i="6"/>
  <c r="BJ175" i="6"/>
  <c r="BI175" i="6"/>
  <c r="BG175" i="6"/>
  <c r="BF175" i="6"/>
  <c r="BE175" i="6"/>
  <c r="BC175" i="6"/>
  <c r="BB175" i="6"/>
  <c r="BA175" i="6"/>
  <c r="AY175" i="6"/>
  <c r="AX175" i="6"/>
  <c r="AW175" i="6"/>
  <c r="AU175" i="6"/>
  <c r="AT175" i="6"/>
  <c r="AS175" i="6"/>
  <c r="AQ175" i="6"/>
  <c r="AP175" i="6"/>
  <c r="AO175" i="6"/>
  <c r="AM175" i="6"/>
  <c r="AL175" i="6"/>
  <c r="AK175" i="6"/>
  <c r="AI175" i="6"/>
  <c r="AH175" i="6"/>
  <c r="AG175" i="6"/>
  <c r="AE175" i="6"/>
  <c r="AD175" i="6"/>
  <c r="AC175" i="6"/>
  <c r="AA175" i="6"/>
  <c r="Z175" i="6"/>
  <c r="Y175" i="6"/>
  <c r="W175" i="6"/>
  <c r="V175" i="6"/>
  <c r="U175" i="6"/>
  <c r="S175" i="6"/>
  <c r="R175" i="6"/>
  <c r="Q175" i="6"/>
  <c r="O175" i="6"/>
  <c r="N175" i="6"/>
  <c r="M175" i="6"/>
  <c r="K175" i="6"/>
  <c r="J175" i="6"/>
  <c r="I175" i="6"/>
  <c r="G175" i="6"/>
  <c r="F175" i="6"/>
  <c r="E175" i="6"/>
  <c r="DT174" i="6"/>
  <c r="DS174" i="6"/>
  <c r="DR174" i="6"/>
  <c r="DQ174" i="6"/>
  <c r="DP174" i="6"/>
  <c r="DO174" i="6"/>
  <c r="DN174" i="6"/>
  <c r="DM174" i="6"/>
  <c r="DL174" i="6"/>
  <c r="DK174" i="6"/>
  <c r="DJ174" i="6"/>
  <c r="DI174" i="6"/>
  <c r="DH174" i="6"/>
  <c r="DG174" i="6"/>
  <c r="DF174" i="6"/>
  <c r="DE174" i="6"/>
  <c r="DD174" i="6"/>
  <c r="DC174" i="6"/>
  <c r="DB174" i="6"/>
  <c r="DA174" i="6"/>
  <c r="CZ174" i="6"/>
  <c r="CY174" i="6"/>
  <c r="CX174" i="6"/>
  <c r="CW174" i="6"/>
  <c r="CV174" i="6"/>
  <c r="CU174" i="6"/>
  <c r="CT174" i="6"/>
  <c r="CS174" i="6"/>
  <c r="CR174" i="6"/>
  <c r="CQ174" i="6"/>
  <c r="CP174" i="6"/>
  <c r="CO174" i="6"/>
  <c r="CN174" i="6"/>
  <c r="CM174" i="6"/>
  <c r="CL174" i="6"/>
  <c r="CK174" i="6"/>
  <c r="CJ174" i="6"/>
  <c r="CI174" i="6"/>
  <c r="CH174" i="6"/>
  <c r="CG174" i="6"/>
  <c r="CE174" i="6"/>
  <c r="CD174" i="6"/>
  <c r="CC174" i="6"/>
  <c r="CA174" i="6"/>
  <c r="BZ174" i="6"/>
  <c r="BY174" i="6"/>
  <c r="BW174" i="6"/>
  <c r="BV174" i="6"/>
  <c r="BU174" i="6"/>
  <c r="BS174" i="6"/>
  <c r="BR174" i="6"/>
  <c r="BQ174" i="6"/>
  <c r="BO174" i="6"/>
  <c r="BN174" i="6"/>
  <c r="BM174" i="6"/>
  <c r="BK174" i="6"/>
  <c r="BJ174" i="6"/>
  <c r="BI174" i="6"/>
  <c r="BG174" i="6"/>
  <c r="BF174" i="6"/>
  <c r="BE174" i="6"/>
  <c r="BC174" i="6"/>
  <c r="BB174" i="6"/>
  <c r="BA174" i="6"/>
  <c r="AY174" i="6"/>
  <c r="AX174" i="6"/>
  <c r="AW174" i="6"/>
  <c r="AU174" i="6"/>
  <c r="AT174" i="6"/>
  <c r="AS174" i="6"/>
  <c r="AQ174" i="6"/>
  <c r="AP174" i="6"/>
  <c r="AO174" i="6"/>
  <c r="AM174" i="6"/>
  <c r="AL174" i="6"/>
  <c r="AK174" i="6"/>
  <c r="AI174" i="6"/>
  <c r="AH174" i="6"/>
  <c r="AG174" i="6"/>
  <c r="AE174" i="6"/>
  <c r="AD174" i="6"/>
  <c r="AC174" i="6"/>
  <c r="AA174" i="6"/>
  <c r="Z174" i="6"/>
  <c r="Y174" i="6"/>
  <c r="W174" i="6"/>
  <c r="V174" i="6"/>
  <c r="U174" i="6"/>
  <c r="S174" i="6"/>
  <c r="R174" i="6"/>
  <c r="Q174" i="6"/>
  <c r="O174" i="6"/>
  <c r="N174" i="6"/>
  <c r="M174" i="6"/>
  <c r="K174" i="6"/>
  <c r="J174" i="6"/>
  <c r="I174" i="6"/>
  <c r="G174" i="6"/>
  <c r="F174" i="6"/>
  <c r="E174" i="6"/>
  <c r="DT173" i="6"/>
  <c r="DS173" i="6"/>
  <c r="DR173" i="6"/>
  <c r="DQ173" i="6"/>
  <c r="DP173" i="6"/>
  <c r="DO173" i="6"/>
  <c r="DN173" i="6"/>
  <c r="DM173" i="6"/>
  <c r="DL173" i="6"/>
  <c r="DK173" i="6"/>
  <c r="DJ173" i="6"/>
  <c r="DI173" i="6"/>
  <c r="DH173" i="6"/>
  <c r="DG173" i="6"/>
  <c r="DF173" i="6"/>
  <c r="DE173" i="6"/>
  <c r="DD173" i="6"/>
  <c r="DC173" i="6"/>
  <c r="DB173" i="6"/>
  <c r="DA173" i="6"/>
  <c r="CZ173" i="6"/>
  <c r="CY173" i="6"/>
  <c r="CX173" i="6"/>
  <c r="CW173" i="6"/>
  <c r="CV173" i="6"/>
  <c r="CU173" i="6"/>
  <c r="CT173" i="6"/>
  <c r="CS173" i="6"/>
  <c r="CR173" i="6"/>
  <c r="CQ173" i="6"/>
  <c r="CP173" i="6"/>
  <c r="CO173" i="6"/>
  <c r="CN173" i="6"/>
  <c r="CM173" i="6"/>
  <c r="CL173" i="6"/>
  <c r="CK173" i="6"/>
  <c r="CJ173" i="6"/>
  <c r="CI173" i="6"/>
  <c r="CH173" i="6"/>
  <c r="CG173" i="6"/>
  <c r="CE173" i="6"/>
  <c r="CD173" i="6"/>
  <c r="CC173" i="6"/>
  <c r="CA173" i="6"/>
  <c r="BZ173" i="6"/>
  <c r="BY173" i="6"/>
  <c r="BW173" i="6"/>
  <c r="BV173" i="6"/>
  <c r="BU173" i="6"/>
  <c r="BS173" i="6"/>
  <c r="BR173" i="6"/>
  <c r="BQ173" i="6"/>
  <c r="BO173" i="6"/>
  <c r="BN173" i="6"/>
  <c r="BM173" i="6"/>
  <c r="BK173" i="6"/>
  <c r="BJ173" i="6"/>
  <c r="BI173" i="6"/>
  <c r="BG173" i="6"/>
  <c r="BF173" i="6"/>
  <c r="BE173" i="6"/>
  <c r="BC173" i="6"/>
  <c r="BB173" i="6"/>
  <c r="BA173" i="6"/>
  <c r="AY173" i="6"/>
  <c r="AX173" i="6"/>
  <c r="AW173" i="6"/>
  <c r="AU173" i="6"/>
  <c r="AT173" i="6"/>
  <c r="AS173" i="6"/>
  <c r="AQ173" i="6"/>
  <c r="AP173" i="6"/>
  <c r="AO173" i="6"/>
  <c r="AM173" i="6"/>
  <c r="AL173" i="6"/>
  <c r="AK173" i="6"/>
  <c r="AI173" i="6"/>
  <c r="AH173" i="6"/>
  <c r="AG173" i="6"/>
  <c r="AE173" i="6"/>
  <c r="AD173" i="6"/>
  <c r="AC173" i="6"/>
  <c r="AA173" i="6"/>
  <c r="Z173" i="6"/>
  <c r="Y173" i="6"/>
  <c r="W173" i="6"/>
  <c r="V173" i="6"/>
  <c r="U173" i="6"/>
  <c r="S173" i="6"/>
  <c r="R173" i="6"/>
  <c r="Q173" i="6"/>
  <c r="O173" i="6"/>
  <c r="N173" i="6"/>
  <c r="M173" i="6"/>
  <c r="K173" i="6"/>
  <c r="J173" i="6"/>
  <c r="I173" i="6"/>
  <c r="G173" i="6"/>
  <c r="F173" i="6"/>
  <c r="E173" i="6"/>
  <c r="DT172" i="6"/>
  <c r="DS172" i="6"/>
  <c r="DR172" i="6"/>
  <c r="DQ172" i="6"/>
  <c r="DP172" i="6"/>
  <c r="DO172" i="6"/>
  <c r="DN172" i="6"/>
  <c r="DM172" i="6"/>
  <c r="DL172" i="6"/>
  <c r="DK172" i="6"/>
  <c r="DJ172" i="6"/>
  <c r="DI172" i="6"/>
  <c r="DH172" i="6"/>
  <c r="DG172" i="6"/>
  <c r="DF172" i="6"/>
  <c r="DE172" i="6"/>
  <c r="DD172" i="6"/>
  <c r="DC172" i="6"/>
  <c r="DB172" i="6"/>
  <c r="DA172" i="6"/>
  <c r="CZ172" i="6"/>
  <c r="CY172" i="6"/>
  <c r="CX172" i="6"/>
  <c r="CW172" i="6"/>
  <c r="CV172" i="6"/>
  <c r="CU172" i="6"/>
  <c r="CT172" i="6"/>
  <c r="CS172" i="6"/>
  <c r="CR172" i="6"/>
  <c r="CQ172" i="6"/>
  <c r="CP172" i="6"/>
  <c r="CO172" i="6"/>
  <c r="CN172" i="6"/>
  <c r="CM172" i="6"/>
  <c r="CL172" i="6"/>
  <c r="CK172" i="6"/>
  <c r="CJ172" i="6"/>
  <c r="CI172" i="6"/>
  <c r="CH172" i="6"/>
  <c r="CG172" i="6"/>
  <c r="CE172" i="6"/>
  <c r="CD172" i="6"/>
  <c r="CC172" i="6"/>
  <c r="CA172" i="6"/>
  <c r="BZ172" i="6"/>
  <c r="BY172" i="6"/>
  <c r="BW172" i="6"/>
  <c r="BV172" i="6"/>
  <c r="BU172" i="6"/>
  <c r="BS172" i="6"/>
  <c r="BR172" i="6"/>
  <c r="BQ172" i="6"/>
  <c r="BO172" i="6"/>
  <c r="BN172" i="6"/>
  <c r="BM172" i="6"/>
  <c r="BK172" i="6"/>
  <c r="BJ172" i="6"/>
  <c r="BI172" i="6"/>
  <c r="BG172" i="6"/>
  <c r="BF172" i="6"/>
  <c r="BE172" i="6"/>
  <c r="BC172" i="6"/>
  <c r="BB172" i="6"/>
  <c r="BA172" i="6"/>
  <c r="AY172" i="6"/>
  <c r="AX172" i="6"/>
  <c r="AW172" i="6"/>
  <c r="AU172" i="6"/>
  <c r="AT172" i="6"/>
  <c r="AS172" i="6"/>
  <c r="AQ172" i="6"/>
  <c r="AP172" i="6"/>
  <c r="AO172" i="6"/>
  <c r="AM172" i="6"/>
  <c r="AL172" i="6"/>
  <c r="AK172" i="6"/>
  <c r="AI172" i="6"/>
  <c r="AH172" i="6"/>
  <c r="AG172" i="6"/>
  <c r="AE172" i="6"/>
  <c r="AD172" i="6"/>
  <c r="AC172" i="6"/>
  <c r="AA172" i="6"/>
  <c r="Z172" i="6"/>
  <c r="Y172" i="6"/>
  <c r="W172" i="6"/>
  <c r="V172" i="6"/>
  <c r="U172" i="6"/>
  <c r="S172" i="6"/>
  <c r="R172" i="6"/>
  <c r="Q172" i="6"/>
  <c r="O172" i="6"/>
  <c r="N172" i="6"/>
  <c r="M172" i="6"/>
  <c r="K172" i="6"/>
  <c r="J172" i="6"/>
  <c r="I172" i="6"/>
  <c r="G172" i="6"/>
  <c r="F172" i="6"/>
  <c r="E172" i="6"/>
  <c r="DT171" i="6"/>
  <c r="DS171" i="6"/>
  <c r="DR171" i="6"/>
  <c r="DQ171" i="6"/>
  <c r="DP171" i="6"/>
  <c r="DO171" i="6"/>
  <c r="DN171" i="6"/>
  <c r="DM171" i="6"/>
  <c r="DL171" i="6"/>
  <c r="DK171" i="6"/>
  <c r="DJ171" i="6"/>
  <c r="DI171" i="6"/>
  <c r="DH171" i="6"/>
  <c r="DG171" i="6"/>
  <c r="DF171" i="6"/>
  <c r="DE171" i="6"/>
  <c r="DD171" i="6"/>
  <c r="DC171" i="6"/>
  <c r="DB171" i="6"/>
  <c r="DA171" i="6"/>
  <c r="CZ171" i="6"/>
  <c r="CY171" i="6"/>
  <c r="CX171" i="6"/>
  <c r="CW171" i="6"/>
  <c r="CV171" i="6"/>
  <c r="CU171" i="6"/>
  <c r="CT171" i="6"/>
  <c r="CS171" i="6"/>
  <c r="CR171" i="6"/>
  <c r="CQ171" i="6"/>
  <c r="CP171" i="6"/>
  <c r="CO171" i="6"/>
  <c r="CN171" i="6"/>
  <c r="CM171" i="6"/>
  <c r="CL171" i="6"/>
  <c r="CK171" i="6"/>
  <c r="CJ171" i="6"/>
  <c r="CI171" i="6"/>
  <c r="CH171" i="6"/>
  <c r="CG171" i="6"/>
  <c r="DT170" i="6"/>
  <c r="DS170" i="6"/>
  <c r="DR170" i="6"/>
  <c r="DQ170" i="6"/>
  <c r="DP170" i="6"/>
  <c r="DO170" i="6"/>
  <c r="DN170" i="6"/>
  <c r="DM170" i="6"/>
  <c r="DL170" i="6"/>
  <c r="DK170" i="6"/>
  <c r="DJ170" i="6"/>
  <c r="DI170" i="6"/>
  <c r="DH170" i="6"/>
  <c r="DG170" i="6"/>
  <c r="DF170" i="6"/>
  <c r="DE170" i="6"/>
  <c r="DD170" i="6"/>
  <c r="DC170" i="6"/>
  <c r="DB170" i="6"/>
  <c r="DA170" i="6"/>
  <c r="CZ170" i="6"/>
  <c r="CY170" i="6"/>
  <c r="CX170" i="6"/>
  <c r="CW170" i="6"/>
  <c r="CV170" i="6"/>
  <c r="CU170" i="6"/>
  <c r="CT170" i="6"/>
  <c r="CS170" i="6"/>
  <c r="CR170" i="6"/>
  <c r="CQ170" i="6"/>
  <c r="CP170" i="6"/>
  <c r="CO170" i="6"/>
  <c r="CN170" i="6"/>
  <c r="CM170" i="6"/>
  <c r="CL170" i="6"/>
  <c r="CK170" i="6"/>
  <c r="CJ170" i="6"/>
  <c r="CI170" i="6"/>
  <c r="CH170" i="6"/>
  <c r="CG170" i="6"/>
  <c r="DT169" i="6"/>
  <c r="DS169" i="6"/>
  <c r="DR169" i="6"/>
  <c r="DQ169" i="6"/>
  <c r="DP169" i="6"/>
  <c r="DO169" i="6"/>
  <c r="DN169" i="6"/>
  <c r="DM169" i="6"/>
  <c r="DL169" i="6"/>
  <c r="DK169" i="6"/>
  <c r="DJ169" i="6"/>
  <c r="DI169" i="6"/>
  <c r="DH169" i="6"/>
  <c r="DG169" i="6"/>
  <c r="DF169" i="6"/>
  <c r="DE169" i="6"/>
  <c r="DD169" i="6"/>
  <c r="DC169" i="6"/>
  <c r="DB169" i="6"/>
  <c r="DA169" i="6"/>
  <c r="CZ169" i="6"/>
  <c r="CY169" i="6"/>
  <c r="CX169" i="6"/>
  <c r="CW169" i="6"/>
  <c r="CV169" i="6"/>
  <c r="CU169" i="6"/>
  <c r="CT169" i="6"/>
  <c r="CS169" i="6"/>
  <c r="CR169" i="6"/>
  <c r="CQ169" i="6"/>
  <c r="CP169" i="6"/>
  <c r="CO169" i="6"/>
  <c r="CN169" i="6"/>
  <c r="CM169" i="6"/>
  <c r="CL169" i="6"/>
  <c r="CK169" i="6"/>
  <c r="CJ169" i="6"/>
  <c r="CI169" i="6"/>
  <c r="CH169" i="6"/>
  <c r="CG169" i="6"/>
  <c r="DT168" i="6"/>
  <c r="DS168" i="6"/>
  <c r="DR168" i="6"/>
  <c r="DQ168" i="6"/>
  <c r="DP168" i="6"/>
  <c r="DO168" i="6"/>
  <c r="DN168" i="6"/>
  <c r="DM168" i="6"/>
  <c r="DL168" i="6"/>
  <c r="DK168" i="6"/>
  <c r="DJ168" i="6"/>
  <c r="DI168" i="6"/>
  <c r="DH168" i="6"/>
  <c r="DG168" i="6"/>
  <c r="DF168" i="6"/>
  <c r="DE168" i="6"/>
  <c r="DD168" i="6"/>
  <c r="DC168" i="6"/>
  <c r="DB168" i="6"/>
  <c r="DA168" i="6"/>
  <c r="CZ168" i="6"/>
  <c r="CY168" i="6"/>
  <c r="CX168" i="6"/>
  <c r="CW168" i="6"/>
  <c r="CV168" i="6"/>
  <c r="CU168" i="6"/>
  <c r="CT168" i="6"/>
  <c r="CS168" i="6"/>
  <c r="CR168" i="6"/>
  <c r="CQ168" i="6"/>
  <c r="CP168" i="6"/>
  <c r="CO168" i="6"/>
  <c r="CN168" i="6"/>
  <c r="CM168" i="6"/>
  <c r="CL168" i="6"/>
  <c r="CK168" i="6"/>
  <c r="CJ168" i="6"/>
  <c r="CI168" i="6"/>
  <c r="CH168" i="6"/>
  <c r="CG168" i="6"/>
  <c r="DT167" i="6"/>
  <c r="DS167" i="6"/>
  <c r="DR167" i="6"/>
  <c r="DQ167" i="6"/>
  <c r="DP167" i="6"/>
  <c r="DO167" i="6"/>
  <c r="DN167" i="6"/>
  <c r="DM167" i="6"/>
  <c r="DL167" i="6"/>
  <c r="DK167" i="6"/>
  <c r="DJ167" i="6"/>
  <c r="DI167" i="6"/>
  <c r="DH167" i="6"/>
  <c r="DG167" i="6"/>
  <c r="DF167" i="6"/>
  <c r="DE167" i="6"/>
  <c r="DD167" i="6"/>
  <c r="DC167" i="6"/>
  <c r="DB167" i="6"/>
  <c r="DA167" i="6"/>
  <c r="CZ167" i="6"/>
  <c r="CY167" i="6"/>
  <c r="CX167" i="6"/>
  <c r="CW167" i="6"/>
  <c r="CV167" i="6"/>
  <c r="CU167" i="6"/>
  <c r="CT167" i="6"/>
  <c r="CS167" i="6"/>
  <c r="CR167" i="6"/>
  <c r="CQ167" i="6"/>
  <c r="CP167" i="6"/>
  <c r="CO167" i="6"/>
  <c r="CN167" i="6"/>
  <c r="CM167" i="6"/>
  <c r="CL167" i="6"/>
  <c r="CK167" i="6"/>
  <c r="CJ167" i="6"/>
  <c r="CI167" i="6"/>
  <c r="CH167" i="6"/>
  <c r="CG167" i="6"/>
  <c r="DT166" i="6"/>
  <c r="DS166" i="6"/>
  <c r="DR166" i="6"/>
  <c r="DQ166" i="6"/>
  <c r="DP166" i="6"/>
  <c r="DO166" i="6"/>
  <c r="DN166" i="6"/>
  <c r="DM166" i="6"/>
  <c r="DL166" i="6"/>
  <c r="DK166" i="6"/>
  <c r="DJ166" i="6"/>
  <c r="DI166" i="6"/>
  <c r="DH166" i="6"/>
  <c r="DG166" i="6"/>
  <c r="DF166" i="6"/>
  <c r="DE166" i="6"/>
  <c r="DD166" i="6"/>
  <c r="DC166" i="6"/>
  <c r="DB166" i="6"/>
  <c r="DA166" i="6"/>
  <c r="CZ166" i="6"/>
  <c r="CY166" i="6"/>
  <c r="CX166" i="6"/>
  <c r="CW166" i="6"/>
  <c r="CV166" i="6"/>
  <c r="CU166" i="6"/>
  <c r="CT166" i="6"/>
  <c r="CS166" i="6"/>
  <c r="CR166" i="6"/>
  <c r="CQ166" i="6"/>
  <c r="CP166" i="6"/>
  <c r="CO166" i="6"/>
  <c r="CN166" i="6"/>
  <c r="CM166" i="6"/>
  <c r="CL166" i="6"/>
  <c r="CK166" i="6"/>
  <c r="CJ166" i="6"/>
  <c r="CI166" i="6"/>
  <c r="CH166" i="6"/>
  <c r="CG166" i="6"/>
  <c r="DT165" i="6"/>
  <c r="DS165" i="6"/>
  <c r="DR165" i="6"/>
  <c r="DQ165" i="6"/>
  <c r="DP165" i="6"/>
  <c r="DO165" i="6"/>
  <c r="DN165" i="6"/>
  <c r="DM165" i="6"/>
  <c r="DL165" i="6"/>
  <c r="DK165" i="6"/>
  <c r="DJ165" i="6"/>
  <c r="DI165" i="6"/>
  <c r="DH165" i="6"/>
  <c r="DG165" i="6"/>
  <c r="DF165" i="6"/>
  <c r="DE165" i="6"/>
  <c r="DD165" i="6"/>
  <c r="DC165" i="6"/>
  <c r="DB165" i="6"/>
  <c r="DA165" i="6"/>
  <c r="CZ165" i="6"/>
  <c r="CY165" i="6"/>
  <c r="CX165" i="6"/>
  <c r="CW165" i="6"/>
  <c r="CV165" i="6"/>
  <c r="CU165" i="6"/>
  <c r="CT165" i="6"/>
  <c r="CS165" i="6"/>
  <c r="CR165" i="6"/>
  <c r="CQ165" i="6"/>
  <c r="CP165" i="6"/>
  <c r="CO165" i="6"/>
  <c r="CN165" i="6"/>
  <c r="CM165" i="6"/>
  <c r="CL165" i="6"/>
  <c r="CK165" i="6"/>
  <c r="CJ165" i="6"/>
  <c r="CI165" i="6"/>
  <c r="CH165" i="6"/>
  <c r="CG165" i="6"/>
  <c r="DT164" i="6"/>
  <c r="DS164" i="6"/>
  <c r="DR164" i="6"/>
  <c r="DQ164" i="6"/>
  <c r="DP164" i="6"/>
  <c r="DO164" i="6"/>
  <c r="DN164" i="6"/>
  <c r="DM164" i="6"/>
  <c r="DL164" i="6"/>
  <c r="DK164" i="6"/>
  <c r="DJ164" i="6"/>
  <c r="DI164" i="6"/>
  <c r="DH164" i="6"/>
  <c r="DG164" i="6"/>
  <c r="DF164" i="6"/>
  <c r="DE164" i="6"/>
  <c r="DD164" i="6"/>
  <c r="DC164" i="6"/>
  <c r="DB164" i="6"/>
  <c r="DA164" i="6"/>
  <c r="CZ164" i="6"/>
  <c r="CY164" i="6"/>
  <c r="CX164" i="6"/>
  <c r="CW164" i="6"/>
  <c r="CV164" i="6"/>
  <c r="CU164" i="6"/>
  <c r="CT164" i="6"/>
  <c r="CS164" i="6"/>
  <c r="CR164" i="6"/>
  <c r="CQ164" i="6"/>
  <c r="CP164" i="6"/>
  <c r="CO164" i="6"/>
  <c r="CN164" i="6"/>
  <c r="CM164" i="6"/>
  <c r="CL164" i="6"/>
  <c r="CK164" i="6"/>
  <c r="CJ164" i="6"/>
  <c r="CI164" i="6"/>
  <c r="CH164" i="6"/>
  <c r="CG164" i="6"/>
  <c r="DT163" i="6"/>
  <c r="DS163" i="6"/>
  <c r="DR163" i="6"/>
  <c r="DQ163" i="6"/>
  <c r="DP163" i="6"/>
  <c r="DO163" i="6"/>
  <c r="DN163" i="6"/>
  <c r="DM163" i="6"/>
  <c r="DL163" i="6"/>
  <c r="DK163" i="6"/>
  <c r="DJ163" i="6"/>
  <c r="DI163" i="6"/>
  <c r="DH163" i="6"/>
  <c r="DG163" i="6"/>
  <c r="DF163" i="6"/>
  <c r="DE163" i="6"/>
  <c r="DD163" i="6"/>
  <c r="DC163" i="6"/>
  <c r="DB163" i="6"/>
  <c r="DA163" i="6"/>
  <c r="CZ163" i="6"/>
  <c r="CY163" i="6"/>
  <c r="CX163" i="6"/>
  <c r="CW163" i="6"/>
  <c r="CV163" i="6"/>
  <c r="CU163" i="6"/>
  <c r="CT163" i="6"/>
  <c r="CS163" i="6"/>
  <c r="CR163" i="6"/>
  <c r="CQ163" i="6"/>
  <c r="CP163" i="6"/>
  <c r="CO163" i="6"/>
  <c r="CN163" i="6"/>
  <c r="CM163" i="6"/>
  <c r="CL163" i="6"/>
  <c r="CK163" i="6"/>
  <c r="CJ163" i="6"/>
  <c r="CI163" i="6"/>
  <c r="CH163" i="6"/>
  <c r="CG163" i="6"/>
  <c r="DT162" i="6"/>
  <c r="DS162" i="6"/>
  <c r="DR162" i="6"/>
  <c r="DQ162" i="6"/>
  <c r="DP162" i="6"/>
  <c r="DO162" i="6"/>
  <c r="DN162" i="6"/>
  <c r="DM162" i="6"/>
  <c r="DL162" i="6"/>
  <c r="DK162" i="6"/>
  <c r="DJ162" i="6"/>
  <c r="DI162" i="6"/>
  <c r="DH162" i="6"/>
  <c r="DG162" i="6"/>
  <c r="DF162" i="6"/>
  <c r="DE162" i="6"/>
  <c r="DD162" i="6"/>
  <c r="DC162" i="6"/>
  <c r="DB162" i="6"/>
  <c r="DA162" i="6"/>
  <c r="CZ162" i="6"/>
  <c r="CY162" i="6"/>
  <c r="CX162" i="6"/>
  <c r="CW162" i="6"/>
  <c r="CV162" i="6"/>
  <c r="CU162" i="6"/>
  <c r="CT162" i="6"/>
  <c r="CS162" i="6"/>
  <c r="CR162" i="6"/>
  <c r="CQ162" i="6"/>
  <c r="CP162" i="6"/>
  <c r="CO162" i="6"/>
  <c r="CN162" i="6"/>
  <c r="CM162" i="6"/>
  <c r="CL162" i="6"/>
  <c r="CK162" i="6"/>
  <c r="CJ162" i="6"/>
  <c r="CI162" i="6"/>
  <c r="CH162" i="6"/>
  <c r="CG162" i="6"/>
  <c r="DT161" i="6"/>
  <c r="DS161" i="6"/>
  <c r="DR161" i="6"/>
  <c r="DQ161" i="6"/>
  <c r="DP161" i="6"/>
  <c r="DO161" i="6"/>
  <c r="DN161" i="6"/>
  <c r="DM161" i="6"/>
  <c r="DL161" i="6"/>
  <c r="DK161" i="6"/>
  <c r="DJ161" i="6"/>
  <c r="DI161" i="6"/>
  <c r="DH161" i="6"/>
  <c r="DG161" i="6"/>
  <c r="DF161" i="6"/>
  <c r="DE161" i="6"/>
  <c r="DD161" i="6"/>
  <c r="DC161" i="6"/>
  <c r="DB161" i="6"/>
  <c r="DA161" i="6"/>
  <c r="CZ161" i="6"/>
  <c r="CY161" i="6"/>
  <c r="CX161" i="6"/>
  <c r="CW161" i="6"/>
  <c r="CV161" i="6"/>
  <c r="CU161" i="6"/>
  <c r="CT161" i="6"/>
  <c r="CS161" i="6"/>
  <c r="CR161" i="6"/>
  <c r="CQ161" i="6"/>
  <c r="CP161" i="6"/>
  <c r="CO161" i="6"/>
  <c r="CN161" i="6"/>
  <c r="CM161" i="6"/>
  <c r="CL161" i="6"/>
  <c r="CK161" i="6"/>
  <c r="CJ161" i="6"/>
  <c r="CI161" i="6"/>
  <c r="CH161" i="6"/>
  <c r="CG161" i="6"/>
  <c r="DT160" i="6"/>
  <c r="DS160" i="6"/>
  <c r="DR160" i="6"/>
  <c r="DQ160" i="6"/>
  <c r="DP160" i="6"/>
  <c r="DO160" i="6"/>
  <c r="DN160" i="6"/>
  <c r="DM160" i="6"/>
  <c r="DL160" i="6"/>
  <c r="DK160" i="6"/>
  <c r="DJ160" i="6"/>
  <c r="DI160" i="6"/>
  <c r="DH160" i="6"/>
  <c r="DG160" i="6"/>
  <c r="DF160" i="6"/>
  <c r="DE160" i="6"/>
  <c r="DD160" i="6"/>
  <c r="DC160" i="6"/>
  <c r="DB160" i="6"/>
  <c r="DA160" i="6"/>
  <c r="CZ160" i="6"/>
  <c r="CY160" i="6"/>
  <c r="CX160" i="6"/>
  <c r="CW160" i="6"/>
  <c r="CV160" i="6"/>
  <c r="CU160" i="6"/>
  <c r="CT160" i="6"/>
  <c r="CS160" i="6"/>
  <c r="CR160" i="6"/>
  <c r="CQ160" i="6"/>
  <c r="CP160" i="6"/>
  <c r="CO160" i="6"/>
  <c r="CN160" i="6"/>
  <c r="CM160" i="6"/>
  <c r="CL160" i="6"/>
  <c r="CK160" i="6"/>
  <c r="CJ160" i="6"/>
  <c r="CI160" i="6"/>
  <c r="CH160" i="6"/>
  <c r="CG160" i="6"/>
  <c r="D160" i="6"/>
  <c r="DT159" i="6"/>
  <c r="DS159" i="6"/>
  <c r="DR159" i="6"/>
  <c r="DQ159" i="6"/>
  <c r="DP159" i="6"/>
  <c r="DO159" i="6"/>
  <c r="DN159" i="6"/>
  <c r="DM159" i="6"/>
  <c r="DL159" i="6"/>
  <c r="DK159" i="6"/>
  <c r="DJ159" i="6"/>
  <c r="DI159" i="6"/>
  <c r="DH159" i="6"/>
  <c r="DG159" i="6"/>
  <c r="DF159" i="6"/>
  <c r="DE159" i="6"/>
  <c r="DD159" i="6"/>
  <c r="DC159" i="6"/>
  <c r="DB159" i="6"/>
  <c r="DA159" i="6"/>
  <c r="CZ159" i="6"/>
  <c r="CY159" i="6"/>
  <c r="CX159" i="6"/>
  <c r="CW159" i="6"/>
  <c r="CV159" i="6"/>
  <c r="CU159" i="6"/>
  <c r="CT159" i="6"/>
  <c r="CS159" i="6"/>
  <c r="CR159" i="6"/>
  <c r="CQ159" i="6"/>
  <c r="CP159" i="6"/>
  <c r="CO159" i="6"/>
  <c r="CN159" i="6"/>
  <c r="CM159" i="6"/>
  <c r="CL159" i="6"/>
  <c r="CK159" i="6"/>
  <c r="CJ159" i="6"/>
  <c r="CI159" i="6"/>
  <c r="CH159" i="6"/>
  <c r="CG159" i="6"/>
  <c r="CF159" i="6"/>
  <c r="CE159" i="6"/>
  <c r="CD159" i="6"/>
  <c r="CC159" i="6"/>
  <c r="CB159" i="6"/>
  <c r="CA159" i="6"/>
  <c r="BZ159" i="6"/>
  <c r="BY159" i="6"/>
  <c r="BX159" i="6"/>
  <c r="BW159" i="6"/>
  <c r="BV159" i="6"/>
  <c r="BU159" i="6"/>
  <c r="BT159" i="6"/>
  <c r="BS159" i="6"/>
  <c r="BR159" i="6"/>
  <c r="BQ159" i="6"/>
  <c r="BP159" i="6"/>
  <c r="BO159" i="6"/>
  <c r="BN159" i="6"/>
  <c r="BM159" i="6"/>
  <c r="BL159" i="6"/>
  <c r="BK159" i="6"/>
  <c r="BJ159" i="6"/>
  <c r="BI159" i="6"/>
  <c r="BH159" i="6"/>
  <c r="BG159" i="6"/>
  <c r="BF159" i="6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DT157" i="6"/>
  <c r="DS157" i="6"/>
  <c r="DR157" i="6"/>
  <c r="DQ157" i="6"/>
  <c r="DP157" i="6"/>
  <c r="DO157" i="6"/>
  <c r="DN157" i="6"/>
  <c r="DM157" i="6"/>
  <c r="DL157" i="6"/>
  <c r="DK157" i="6"/>
  <c r="DJ157" i="6"/>
  <c r="DI157" i="6"/>
  <c r="DH157" i="6"/>
  <c r="DG157" i="6"/>
  <c r="DF157" i="6"/>
  <c r="DE157" i="6"/>
  <c r="DD157" i="6"/>
  <c r="DC157" i="6"/>
  <c r="DB157" i="6"/>
  <c r="DA157" i="6"/>
  <c r="CZ157" i="6"/>
  <c r="CY157" i="6"/>
  <c r="CX157" i="6"/>
  <c r="CW157" i="6"/>
  <c r="CV157" i="6"/>
  <c r="CU157" i="6"/>
  <c r="CT157" i="6"/>
  <c r="CS157" i="6"/>
  <c r="CR157" i="6"/>
  <c r="CQ157" i="6"/>
  <c r="CP157" i="6"/>
  <c r="CO157" i="6"/>
  <c r="CN157" i="6"/>
  <c r="CM157" i="6"/>
  <c r="CL157" i="6"/>
  <c r="CK157" i="6"/>
  <c r="CJ157" i="6"/>
  <c r="CI157" i="6"/>
  <c r="CH157" i="6"/>
  <c r="CG157" i="6"/>
  <c r="DT156" i="6"/>
  <c r="DS156" i="6"/>
  <c r="DR156" i="6"/>
  <c r="DQ156" i="6"/>
  <c r="DP156" i="6"/>
  <c r="DO156" i="6"/>
  <c r="DN156" i="6"/>
  <c r="DM156" i="6"/>
  <c r="DL156" i="6"/>
  <c r="DK156" i="6"/>
  <c r="DJ156" i="6"/>
  <c r="DI156" i="6"/>
  <c r="DH156" i="6"/>
  <c r="DG156" i="6"/>
  <c r="DF156" i="6"/>
  <c r="DE156" i="6"/>
  <c r="DD156" i="6"/>
  <c r="DC156" i="6"/>
  <c r="DB156" i="6"/>
  <c r="DA156" i="6"/>
  <c r="CZ156" i="6"/>
  <c r="CY156" i="6"/>
  <c r="CX156" i="6"/>
  <c r="CW156" i="6"/>
  <c r="CV156" i="6"/>
  <c r="CU156" i="6"/>
  <c r="CT156" i="6"/>
  <c r="CS156" i="6"/>
  <c r="CR156" i="6"/>
  <c r="CQ156" i="6"/>
  <c r="CP156" i="6"/>
  <c r="CO156" i="6"/>
  <c r="CN156" i="6"/>
  <c r="CM156" i="6"/>
  <c r="CL156" i="6"/>
  <c r="CK156" i="6"/>
  <c r="CJ156" i="6"/>
  <c r="CI156" i="6"/>
  <c r="CH156" i="6"/>
  <c r="CG156" i="6"/>
  <c r="DT155" i="6"/>
  <c r="DS155" i="6"/>
  <c r="DR155" i="6"/>
  <c r="DQ155" i="6"/>
  <c r="DP155" i="6"/>
  <c r="DO155" i="6"/>
  <c r="DN155" i="6"/>
  <c r="DM155" i="6"/>
  <c r="DL155" i="6"/>
  <c r="DK155" i="6"/>
  <c r="DJ155" i="6"/>
  <c r="DI155" i="6"/>
  <c r="DH155" i="6"/>
  <c r="DG155" i="6"/>
  <c r="DF155" i="6"/>
  <c r="DE155" i="6"/>
  <c r="DD155" i="6"/>
  <c r="DC155" i="6"/>
  <c r="DB155" i="6"/>
  <c r="DA155" i="6"/>
  <c r="CZ155" i="6"/>
  <c r="CY155" i="6"/>
  <c r="CX155" i="6"/>
  <c r="CW155" i="6"/>
  <c r="CV155" i="6"/>
  <c r="CU155" i="6"/>
  <c r="CT155" i="6"/>
  <c r="CS155" i="6"/>
  <c r="CR155" i="6"/>
  <c r="CQ155" i="6"/>
  <c r="CP155" i="6"/>
  <c r="CO155" i="6"/>
  <c r="CN155" i="6"/>
  <c r="CM155" i="6"/>
  <c r="CL155" i="6"/>
  <c r="CK155" i="6"/>
  <c r="CJ155" i="6"/>
  <c r="CI155" i="6"/>
  <c r="CH155" i="6"/>
  <c r="CG155" i="6"/>
  <c r="DT154" i="6"/>
  <c r="DS154" i="6"/>
  <c r="DR154" i="6"/>
  <c r="DQ154" i="6"/>
  <c r="DP154" i="6"/>
  <c r="DO154" i="6"/>
  <c r="DN154" i="6"/>
  <c r="DM154" i="6"/>
  <c r="DL154" i="6"/>
  <c r="DK154" i="6"/>
  <c r="DJ154" i="6"/>
  <c r="DI154" i="6"/>
  <c r="DH154" i="6"/>
  <c r="DG154" i="6"/>
  <c r="DF154" i="6"/>
  <c r="DE154" i="6"/>
  <c r="DD154" i="6"/>
  <c r="DC154" i="6"/>
  <c r="DB154" i="6"/>
  <c r="DA154" i="6"/>
  <c r="CZ154" i="6"/>
  <c r="CY154" i="6"/>
  <c r="CX154" i="6"/>
  <c r="CW154" i="6"/>
  <c r="CV154" i="6"/>
  <c r="CU154" i="6"/>
  <c r="CT154" i="6"/>
  <c r="CS154" i="6"/>
  <c r="CR154" i="6"/>
  <c r="CQ154" i="6"/>
  <c r="CP154" i="6"/>
  <c r="CO154" i="6"/>
  <c r="CN154" i="6"/>
  <c r="CM154" i="6"/>
  <c r="CL154" i="6"/>
  <c r="CK154" i="6"/>
  <c r="CJ154" i="6"/>
  <c r="CI154" i="6"/>
  <c r="CH154" i="6"/>
  <c r="CG154" i="6"/>
  <c r="DT153" i="6"/>
  <c r="DS153" i="6"/>
  <c r="DR153" i="6"/>
  <c r="DQ153" i="6"/>
  <c r="DP153" i="6"/>
  <c r="DO153" i="6"/>
  <c r="DN153" i="6"/>
  <c r="DM153" i="6"/>
  <c r="DL153" i="6"/>
  <c r="DK153" i="6"/>
  <c r="DJ153" i="6"/>
  <c r="DI153" i="6"/>
  <c r="DH153" i="6"/>
  <c r="DG153" i="6"/>
  <c r="DF153" i="6"/>
  <c r="DE153" i="6"/>
  <c r="DD153" i="6"/>
  <c r="DC153" i="6"/>
  <c r="DB153" i="6"/>
  <c r="DA153" i="6"/>
  <c r="CZ153" i="6"/>
  <c r="CY153" i="6"/>
  <c r="CX153" i="6"/>
  <c r="CW153" i="6"/>
  <c r="CV153" i="6"/>
  <c r="CU153" i="6"/>
  <c r="CT153" i="6"/>
  <c r="CS153" i="6"/>
  <c r="CR153" i="6"/>
  <c r="CQ153" i="6"/>
  <c r="CP153" i="6"/>
  <c r="CO153" i="6"/>
  <c r="CN153" i="6"/>
  <c r="CM153" i="6"/>
  <c r="CL153" i="6"/>
  <c r="CK153" i="6"/>
  <c r="CJ153" i="6"/>
  <c r="CI153" i="6"/>
  <c r="CH153" i="6"/>
  <c r="CG153" i="6"/>
  <c r="DT152" i="6"/>
  <c r="DS152" i="6"/>
  <c r="DR152" i="6"/>
  <c r="DQ152" i="6"/>
  <c r="DP152" i="6"/>
  <c r="DO152" i="6"/>
  <c r="DN152" i="6"/>
  <c r="DM152" i="6"/>
  <c r="DL152" i="6"/>
  <c r="DK152" i="6"/>
  <c r="DJ152" i="6"/>
  <c r="DI152" i="6"/>
  <c r="DH152" i="6"/>
  <c r="DG152" i="6"/>
  <c r="DF152" i="6"/>
  <c r="DE152" i="6"/>
  <c r="DD152" i="6"/>
  <c r="DC152" i="6"/>
  <c r="DB152" i="6"/>
  <c r="DA152" i="6"/>
  <c r="CZ152" i="6"/>
  <c r="CY152" i="6"/>
  <c r="CX152" i="6"/>
  <c r="CW152" i="6"/>
  <c r="CV152" i="6"/>
  <c r="CU152" i="6"/>
  <c r="CT152" i="6"/>
  <c r="CS152" i="6"/>
  <c r="CR152" i="6"/>
  <c r="CQ152" i="6"/>
  <c r="CP152" i="6"/>
  <c r="CO152" i="6"/>
  <c r="CN152" i="6"/>
  <c r="CM152" i="6"/>
  <c r="CL152" i="6"/>
  <c r="CK152" i="6"/>
  <c r="CJ152" i="6"/>
  <c r="CI152" i="6"/>
  <c r="CH152" i="6"/>
  <c r="CG152" i="6"/>
  <c r="DT151" i="6"/>
  <c r="DS151" i="6"/>
  <c r="DR151" i="6"/>
  <c r="DQ151" i="6"/>
  <c r="DP151" i="6"/>
  <c r="DO151" i="6"/>
  <c r="DN151" i="6"/>
  <c r="DM151" i="6"/>
  <c r="DL151" i="6"/>
  <c r="DK151" i="6"/>
  <c r="DJ151" i="6"/>
  <c r="DI151" i="6"/>
  <c r="DH151" i="6"/>
  <c r="DG151" i="6"/>
  <c r="DF151" i="6"/>
  <c r="DE151" i="6"/>
  <c r="DD151" i="6"/>
  <c r="DC151" i="6"/>
  <c r="DB151" i="6"/>
  <c r="DA151" i="6"/>
  <c r="CZ151" i="6"/>
  <c r="CY151" i="6"/>
  <c r="CX151" i="6"/>
  <c r="CW151" i="6"/>
  <c r="CV151" i="6"/>
  <c r="CU151" i="6"/>
  <c r="CT151" i="6"/>
  <c r="CS151" i="6"/>
  <c r="CR151" i="6"/>
  <c r="CQ151" i="6"/>
  <c r="CP151" i="6"/>
  <c r="CO151" i="6"/>
  <c r="CN151" i="6"/>
  <c r="CM151" i="6"/>
  <c r="CL151" i="6"/>
  <c r="CK151" i="6"/>
  <c r="CJ151" i="6"/>
  <c r="CI151" i="6"/>
  <c r="CH151" i="6"/>
  <c r="CG151" i="6"/>
  <c r="DT150" i="6"/>
  <c r="DS150" i="6"/>
  <c r="DR150" i="6"/>
  <c r="DQ150" i="6"/>
  <c r="DP150" i="6"/>
  <c r="DO150" i="6"/>
  <c r="DN150" i="6"/>
  <c r="DM150" i="6"/>
  <c r="DL150" i="6"/>
  <c r="DK150" i="6"/>
  <c r="DJ150" i="6"/>
  <c r="DI150" i="6"/>
  <c r="DH150" i="6"/>
  <c r="DG150" i="6"/>
  <c r="DF150" i="6"/>
  <c r="DE150" i="6"/>
  <c r="DD150" i="6"/>
  <c r="DC150" i="6"/>
  <c r="DB150" i="6"/>
  <c r="DA150" i="6"/>
  <c r="CZ150" i="6"/>
  <c r="CY150" i="6"/>
  <c r="CX150" i="6"/>
  <c r="CW150" i="6"/>
  <c r="CV150" i="6"/>
  <c r="CU150" i="6"/>
  <c r="CT150" i="6"/>
  <c r="CS150" i="6"/>
  <c r="CR150" i="6"/>
  <c r="CQ150" i="6"/>
  <c r="CP150" i="6"/>
  <c r="CO150" i="6"/>
  <c r="CN150" i="6"/>
  <c r="CM150" i="6"/>
  <c r="CL150" i="6"/>
  <c r="CK150" i="6"/>
  <c r="CJ150" i="6"/>
  <c r="CI150" i="6"/>
  <c r="CH150" i="6"/>
  <c r="CG150" i="6"/>
  <c r="DT149" i="6"/>
  <c r="DS149" i="6"/>
  <c r="DR149" i="6"/>
  <c r="DQ149" i="6"/>
  <c r="DP149" i="6"/>
  <c r="DO149" i="6"/>
  <c r="DN149" i="6"/>
  <c r="DM149" i="6"/>
  <c r="DL149" i="6"/>
  <c r="DK149" i="6"/>
  <c r="DJ149" i="6"/>
  <c r="DI149" i="6"/>
  <c r="DH149" i="6"/>
  <c r="DG149" i="6"/>
  <c r="DF149" i="6"/>
  <c r="DE149" i="6"/>
  <c r="DD149" i="6"/>
  <c r="DC149" i="6"/>
  <c r="DB149" i="6"/>
  <c r="DA149" i="6"/>
  <c r="CZ149" i="6"/>
  <c r="CY149" i="6"/>
  <c r="CX149" i="6"/>
  <c r="CW149" i="6"/>
  <c r="CV149" i="6"/>
  <c r="CU149" i="6"/>
  <c r="CT149" i="6"/>
  <c r="CS149" i="6"/>
  <c r="CR149" i="6"/>
  <c r="CQ149" i="6"/>
  <c r="CP149" i="6"/>
  <c r="CO149" i="6"/>
  <c r="CN149" i="6"/>
  <c r="CM149" i="6"/>
  <c r="CL149" i="6"/>
  <c r="CK149" i="6"/>
  <c r="CJ149" i="6"/>
  <c r="CI149" i="6"/>
  <c r="CH149" i="6"/>
  <c r="CG149" i="6"/>
  <c r="DT148" i="6"/>
  <c r="DS148" i="6"/>
  <c r="DR148" i="6"/>
  <c r="DQ148" i="6"/>
  <c r="DP148" i="6"/>
  <c r="DO148" i="6"/>
  <c r="DN148" i="6"/>
  <c r="DM148" i="6"/>
  <c r="DL148" i="6"/>
  <c r="DK148" i="6"/>
  <c r="DJ148" i="6"/>
  <c r="DI148" i="6"/>
  <c r="DH148" i="6"/>
  <c r="DG148" i="6"/>
  <c r="DF148" i="6"/>
  <c r="DE148" i="6"/>
  <c r="DD148" i="6"/>
  <c r="DC148" i="6"/>
  <c r="DB148" i="6"/>
  <c r="DA148" i="6"/>
  <c r="CZ148" i="6"/>
  <c r="CY148" i="6"/>
  <c r="CX148" i="6"/>
  <c r="CW148" i="6"/>
  <c r="CV148" i="6"/>
  <c r="CU148" i="6"/>
  <c r="CT148" i="6"/>
  <c r="CS148" i="6"/>
  <c r="CR148" i="6"/>
  <c r="CQ148" i="6"/>
  <c r="CP148" i="6"/>
  <c r="CO148" i="6"/>
  <c r="CN148" i="6"/>
  <c r="CM148" i="6"/>
  <c r="CL148" i="6"/>
  <c r="CK148" i="6"/>
  <c r="CJ148" i="6"/>
  <c r="CI148" i="6"/>
  <c r="CH148" i="6"/>
  <c r="CG148" i="6"/>
  <c r="DT147" i="6"/>
  <c r="DS147" i="6"/>
  <c r="DR147" i="6"/>
  <c r="DQ147" i="6"/>
  <c r="DP147" i="6"/>
  <c r="DO147" i="6"/>
  <c r="DN147" i="6"/>
  <c r="DM147" i="6"/>
  <c r="DL147" i="6"/>
  <c r="DK147" i="6"/>
  <c r="DJ147" i="6"/>
  <c r="DI147" i="6"/>
  <c r="DH147" i="6"/>
  <c r="DG147" i="6"/>
  <c r="DF147" i="6"/>
  <c r="DE147" i="6"/>
  <c r="DD147" i="6"/>
  <c r="DC147" i="6"/>
  <c r="DB147" i="6"/>
  <c r="DA147" i="6"/>
  <c r="CZ147" i="6"/>
  <c r="CY147" i="6"/>
  <c r="CX147" i="6"/>
  <c r="CW147" i="6"/>
  <c r="CV147" i="6"/>
  <c r="CU147" i="6"/>
  <c r="CT147" i="6"/>
  <c r="CS147" i="6"/>
  <c r="CR147" i="6"/>
  <c r="CQ147" i="6"/>
  <c r="CP147" i="6"/>
  <c r="CO147" i="6"/>
  <c r="CN147" i="6"/>
  <c r="CM147" i="6"/>
  <c r="CL147" i="6"/>
  <c r="CK147" i="6"/>
  <c r="CJ147" i="6"/>
  <c r="CI147" i="6"/>
  <c r="CH147" i="6"/>
  <c r="CG147" i="6"/>
  <c r="DT146" i="6"/>
  <c r="DS146" i="6"/>
  <c r="DR146" i="6"/>
  <c r="DQ146" i="6"/>
  <c r="DP146" i="6"/>
  <c r="DO146" i="6"/>
  <c r="DN146" i="6"/>
  <c r="DM146" i="6"/>
  <c r="DL146" i="6"/>
  <c r="DK146" i="6"/>
  <c r="DJ146" i="6"/>
  <c r="DI146" i="6"/>
  <c r="DH146" i="6"/>
  <c r="DG146" i="6"/>
  <c r="DF146" i="6"/>
  <c r="DE146" i="6"/>
  <c r="DD146" i="6"/>
  <c r="DC146" i="6"/>
  <c r="DB146" i="6"/>
  <c r="DA146" i="6"/>
  <c r="CZ146" i="6"/>
  <c r="CY146" i="6"/>
  <c r="CX146" i="6"/>
  <c r="CW146" i="6"/>
  <c r="CV146" i="6"/>
  <c r="CU146" i="6"/>
  <c r="CT146" i="6"/>
  <c r="CS146" i="6"/>
  <c r="CR146" i="6"/>
  <c r="CQ146" i="6"/>
  <c r="CP146" i="6"/>
  <c r="CO146" i="6"/>
  <c r="CN146" i="6"/>
  <c r="CM146" i="6"/>
  <c r="CL146" i="6"/>
  <c r="CK146" i="6"/>
  <c r="CJ146" i="6"/>
  <c r="CI146" i="6"/>
  <c r="CH146" i="6"/>
  <c r="CG146" i="6"/>
  <c r="DT145" i="6"/>
  <c r="DS145" i="6"/>
  <c r="DR145" i="6"/>
  <c r="DQ145" i="6"/>
  <c r="DP145" i="6"/>
  <c r="DO145" i="6"/>
  <c r="DN145" i="6"/>
  <c r="DM145" i="6"/>
  <c r="DL145" i="6"/>
  <c r="DK145" i="6"/>
  <c r="DJ145" i="6"/>
  <c r="DI145" i="6"/>
  <c r="DH145" i="6"/>
  <c r="DG145" i="6"/>
  <c r="DF145" i="6"/>
  <c r="DE145" i="6"/>
  <c r="DD145" i="6"/>
  <c r="DC145" i="6"/>
  <c r="DB145" i="6"/>
  <c r="DA145" i="6"/>
  <c r="CZ145" i="6"/>
  <c r="CY145" i="6"/>
  <c r="CX145" i="6"/>
  <c r="CW145" i="6"/>
  <c r="CV145" i="6"/>
  <c r="CU145" i="6"/>
  <c r="CT145" i="6"/>
  <c r="CS145" i="6"/>
  <c r="CR145" i="6"/>
  <c r="CQ145" i="6"/>
  <c r="CP145" i="6"/>
  <c r="CO145" i="6"/>
  <c r="CN145" i="6"/>
  <c r="CM145" i="6"/>
  <c r="CL145" i="6"/>
  <c r="CK145" i="6"/>
  <c r="CJ145" i="6"/>
  <c r="CI145" i="6"/>
  <c r="CH145" i="6"/>
  <c r="CG145" i="6"/>
  <c r="DT144" i="6"/>
  <c r="DS144" i="6"/>
  <c r="DR144" i="6"/>
  <c r="DQ144" i="6"/>
  <c r="DP144" i="6"/>
  <c r="DO144" i="6"/>
  <c r="DN144" i="6"/>
  <c r="DM144" i="6"/>
  <c r="DL144" i="6"/>
  <c r="DK144" i="6"/>
  <c r="DJ144" i="6"/>
  <c r="DI144" i="6"/>
  <c r="DH144" i="6"/>
  <c r="DG144" i="6"/>
  <c r="DF144" i="6"/>
  <c r="DE144" i="6"/>
  <c r="DD144" i="6"/>
  <c r="DC144" i="6"/>
  <c r="DB144" i="6"/>
  <c r="DA144" i="6"/>
  <c r="CZ144" i="6"/>
  <c r="CY144" i="6"/>
  <c r="CX144" i="6"/>
  <c r="CW144" i="6"/>
  <c r="CV144" i="6"/>
  <c r="CU144" i="6"/>
  <c r="CT144" i="6"/>
  <c r="CS144" i="6"/>
  <c r="CR144" i="6"/>
  <c r="CQ144" i="6"/>
  <c r="CP144" i="6"/>
  <c r="CO144" i="6"/>
  <c r="CN144" i="6"/>
  <c r="CM144" i="6"/>
  <c r="CL144" i="6"/>
  <c r="CK144" i="6"/>
  <c r="CJ144" i="6"/>
  <c r="CI144" i="6"/>
  <c r="CH144" i="6"/>
  <c r="CG144" i="6"/>
  <c r="DT143" i="6"/>
  <c r="DS143" i="6"/>
  <c r="DR143" i="6"/>
  <c r="DQ143" i="6"/>
  <c r="DP143" i="6"/>
  <c r="DO143" i="6"/>
  <c r="DN143" i="6"/>
  <c r="DM143" i="6"/>
  <c r="DL143" i="6"/>
  <c r="DK143" i="6"/>
  <c r="DJ143" i="6"/>
  <c r="DI143" i="6"/>
  <c r="DH143" i="6"/>
  <c r="DG143" i="6"/>
  <c r="DF143" i="6"/>
  <c r="DE143" i="6"/>
  <c r="DD143" i="6"/>
  <c r="DC143" i="6"/>
  <c r="DB143" i="6"/>
  <c r="DA143" i="6"/>
  <c r="CZ143" i="6"/>
  <c r="CY143" i="6"/>
  <c r="CX143" i="6"/>
  <c r="CW143" i="6"/>
  <c r="CV143" i="6"/>
  <c r="CU143" i="6"/>
  <c r="CT143" i="6"/>
  <c r="CS143" i="6"/>
  <c r="CR143" i="6"/>
  <c r="CQ143" i="6"/>
  <c r="CP143" i="6"/>
  <c r="CO143" i="6"/>
  <c r="CN143" i="6"/>
  <c r="CM143" i="6"/>
  <c r="CL143" i="6"/>
  <c r="CK143" i="6"/>
  <c r="CJ143" i="6"/>
  <c r="CI143" i="6"/>
  <c r="CH143" i="6"/>
  <c r="CG143" i="6"/>
  <c r="DT142" i="6"/>
  <c r="DS142" i="6"/>
  <c r="DR142" i="6"/>
  <c r="DQ142" i="6"/>
  <c r="DP142" i="6"/>
  <c r="DO142" i="6"/>
  <c r="DN142" i="6"/>
  <c r="DM142" i="6"/>
  <c r="DL142" i="6"/>
  <c r="DK142" i="6"/>
  <c r="DJ142" i="6"/>
  <c r="DI142" i="6"/>
  <c r="DH142" i="6"/>
  <c r="DG142" i="6"/>
  <c r="DF142" i="6"/>
  <c r="DE142" i="6"/>
  <c r="DD142" i="6"/>
  <c r="DC142" i="6"/>
  <c r="DB142" i="6"/>
  <c r="DA142" i="6"/>
  <c r="CZ142" i="6"/>
  <c r="CY142" i="6"/>
  <c r="CX142" i="6"/>
  <c r="CW142" i="6"/>
  <c r="CV142" i="6"/>
  <c r="CU142" i="6"/>
  <c r="CT142" i="6"/>
  <c r="CS142" i="6"/>
  <c r="CR142" i="6"/>
  <c r="CQ142" i="6"/>
  <c r="CP142" i="6"/>
  <c r="CO142" i="6"/>
  <c r="CN142" i="6"/>
  <c r="CM142" i="6"/>
  <c r="CL142" i="6"/>
  <c r="CK142" i="6"/>
  <c r="CJ142" i="6"/>
  <c r="CI142" i="6"/>
  <c r="CH142" i="6"/>
  <c r="CG142" i="6"/>
  <c r="DT141" i="6"/>
  <c r="DS141" i="6"/>
  <c r="DR141" i="6"/>
  <c r="DQ141" i="6"/>
  <c r="DP141" i="6"/>
  <c r="DO141" i="6"/>
  <c r="DN141" i="6"/>
  <c r="DM141" i="6"/>
  <c r="DL141" i="6"/>
  <c r="DK141" i="6"/>
  <c r="DJ141" i="6"/>
  <c r="DI141" i="6"/>
  <c r="DH141" i="6"/>
  <c r="DG141" i="6"/>
  <c r="DF141" i="6"/>
  <c r="DE141" i="6"/>
  <c r="DD141" i="6"/>
  <c r="DC141" i="6"/>
  <c r="DB141" i="6"/>
  <c r="DA141" i="6"/>
  <c r="CZ141" i="6"/>
  <c r="CY141" i="6"/>
  <c r="CX141" i="6"/>
  <c r="CW141" i="6"/>
  <c r="CV141" i="6"/>
  <c r="CU141" i="6"/>
  <c r="CT141" i="6"/>
  <c r="CS141" i="6"/>
  <c r="CR141" i="6"/>
  <c r="CQ141" i="6"/>
  <c r="CP141" i="6"/>
  <c r="CO141" i="6"/>
  <c r="CN141" i="6"/>
  <c r="CM141" i="6"/>
  <c r="CL141" i="6"/>
  <c r="CK141" i="6"/>
  <c r="CJ141" i="6"/>
  <c r="CI141" i="6"/>
  <c r="CH141" i="6"/>
  <c r="CG141" i="6"/>
  <c r="CF141" i="6"/>
  <c r="CE141" i="6"/>
  <c r="CD141" i="6"/>
  <c r="CC141" i="6"/>
  <c r="CB141" i="6"/>
  <c r="CA141" i="6"/>
  <c r="BZ141" i="6"/>
  <c r="BY141" i="6"/>
  <c r="BX141" i="6"/>
  <c r="BW141" i="6"/>
  <c r="BV141" i="6"/>
  <c r="BU141" i="6"/>
  <c r="BT141" i="6"/>
  <c r="BS141" i="6"/>
  <c r="BR141" i="6"/>
  <c r="BQ141" i="6"/>
  <c r="BP141" i="6"/>
  <c r="BO141" i="6"/>
  <c r="BN141" i="6"/>
  <c r="BM141" i="6"/>
  <c r="BL141" i="6"/>
  <c r="BK141" i="6"/>
  <c r="BJ141" i="6"/>
  <c r="BI141" i="6"/>
  <c r="BH141" i="6"/>
  <c r="BG141" i="6"/>
  <c r="BF141" i="6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DT140" i="6"/>
  <c r="DS140" i="6"/>
  <c r="DR140" i="6"/>
  <c r="DQ140" i="6"/>
  <c r="DP140" i="6"/>
  <c r="DO140" i="6"/>
  <c r="DN140" i="6"/>
  <c r="DM140" i="6"/>
  <c r="DL140" i="6"/>
  <c r="DK140" i="6"/>
  <c r="DJ140" i="6"/>
  <c r="DI140" i="6"/>
  <c r="DH140" i="6"/>
  <c r="DG140" i="6"/>
  <c r="DF140" i="6"/>
  <c r="DE140" i="6"/>
  <c r="DD140" i="6"/>
  <c r="DC140" i="6"/>
  <c r="DB140" i="6"/>
  <c r="DA140" i="6"/>
  <c r="CZ140" i="6"/>
  <c r="CY140" i="6"/>
  <c r="CX140" i="6"/>
  <c r="CW140" i="6"/>
  <c r="CV140" i="6"/>
  <c r="CU140" i="6"/>
  <c r="CT140" i="6"/>
  <c r="CS140" i="6"/>
  <c r="CR140" i="6"/>
  <c r="CQ140" i="6"/>
  <c r="CP140" i="6"/>
  <c r="CO140" i="6"/>
  <c r="CN140" i="6"/>
  <c r="CM140" i="6"/>
  <c r="CL140" i="6"/>
  <c r="CK140" i="6"/>
  <c r="CJ140" i="6"/>
  <c r="CI140" i="6"/>
  <c r="CH140" i="6"/>
  <c r="CG140" i="6"/>
  <c r="CF140" i="6"/>
  <c r="CE140" i="6"/>
  <c r="CD140" i="6"/>
  <c r="CC140" i="6"/>
  <c r="CB140" i="6"/>
  <c r="CA140" i="6"/>
  <c r="BZ140" i="6"/>
  <c r="BY140" i="6"/>
  <c r="BX140" i="6"/>
  <c r="BW140" i="6"/>
  <c r="BV140" i="6"/>
  <c r="BU140" i="6"/>
  <c r="BT140" i="6"/>
  <c r="BS140" i="6"/>
  <c r="BR140" i="6"/>
  <c r="BQ140" i="6"/>
  <c r="BP140" i="6"/>
  <c r="BO140" i="6"/>
  <c r="BN140" i="6"/>
  <c r="BM140" i="6"/>
  <c r="BL140" i="6"/>
  <c r="BK140" i="6"/>
  <c r="BJ140" i="6"/>
  <c r="BI140" i="6"/>
  <c r="BH140" i="6"/>
  <c r="BG140" i="6"/>
  <c r="BF140" i="6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DT139" i="6"/>
  <c r="DS139" i="6"/>
  <c r="DR139" i="6"/>
  <c r="DQ139" i="6"/>
  <c r="DP139" i="6"/>
  <c r="DO139" i="6"/>
  <c r="DN139" i="6"/>
  <c r="DM139" i="6"/>
  <c r="DL139" i="6"/>
  <c r="DK139" i="6"/>
  <c r="DJ139" i="6"/>
  <c r="DI139" i="6"/>
  <c r="DH139" i="6"/>
  <c r="DG139" i="6"/>
  <c r="DF139" i="6"/>
  <c r="DE139" i="6"/>
  <c r="DD139" i="6"/>
  <c r="DC139" i="6"/>
  <c r="DB139" i="6"/>
  <c r="DA139" i="6"/>
  <c r="CZ139" i="6"/>
  <c r="CY139" i="6"/>
  <c r="CX139" i="6"/>
  <c r="CW139" i="6"/>
  <c r="CV139" i="6"/>
  <c r="CU139" i="6"/>
  <c r="CT139" i="6"/>
  <c r="CS139" i="6"/>
  <c r="CR139" i="6"/>
  <c r="CQ139" i="6"/>
  <c r="CP139" i="6"/>
  <c r="CO139" i="6"/>
  <c r="CN139" i="6"/>
  <c r="CM139" i="6"/>
  <c r="CL139" i="6"/>
  <c r="CK139" i="6"/>
  <c r="CJ139" i="6"/>
  <c r="CI139" i="6"/>
  <c r="CH139" i="6"/>
  <c r="CG139" i="6"/>
  <c r="CF139" i="6"/>
  <c r="CE139" i="6"/>
  <c r="CD139" i="6"/>
  <c r="CC139" i="6"/>
  <c r="CB139" i="6"/>
  <c r="CA139" i="6"/>
  <c r="BZ139" i="6"/>
  <c r="BY139" i="6"/>
  <c r="BX139" i="6"/>
  <c r="BW139" i="6"/>
  <c r="BV139" i="6"/>
  <c r="BU139" i="6"/>
  <c r="BT139" i="6"/>
  <c r="BS139" i="6"/>
  <c r="BR139" i="6"/>
  <c r="BQ139" i="6"/>
  <c r="BP139" i="6"/>
  <c r="BO139" i="6"/>
  <c r="BN139" i="6"/>
  <c r="BM139" i="6"/>
  <c r="BL139" i="6"/>
  <c r="BK139" i="6"/>
  <c r="BJ139" i="6"/>
  <c r="BI139" i="6"/>
  <c r="BH139" i="6"/>
  <c r="BG139" i="6"/>
  <c r="BF139" i="6"/>
  <c r="BE139" i="6"/>
  <c r="BD139" i="6"/>
  <c r="BC139" i="6"/>
  <c r="BB139" i="6"/>
  <c r="BA139" i="6"/>
  <c r="AZ139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DT138" i="6"/>
  <c r="DS138" i="6"/>
  <c r="DR138" i="6"/>
  <c r="DQ138" i="6"/>
  <c r="DP138" i="6"/>
  <c r="DO138" i="6"/>
  <c r="DN138" i="6"/>
  <c r="DM138" i="6"/>
  <c r="DL138" i="6"/>
  <c r="DK138" i="6"/>
  <c r="DJ138" i="6"/>
  <c r="DI138" i="6"/>
  <c r="DH138" i="6"/>
  <c r="DG138" i="6"/>
  <c r="DF138" i="6"/>
  <c r="DE138" i="6"/>
  <c r="DD138" i="6"/>
  <c r="DC138" i="6"/>
  <c r="DB138" i="6"/>
  <c r="DA138" i="6"/>
  <c r="CZ138" i="6"/>
  <c r="CY138" i="6"/>
  <c r="CX138" i="6"/>
  <c r="CW138" i="6"/>
  <c r="CV138" i="6"/>
  <c r="CU138" i="6"/>
  <c r="CT138" i="6"/>
  <c r="CS138" i="6"/>
  <c r="CR138" i="6"/>
  <c r="CQ138" i="6"/>
  <c r="CP138" i="6"/>
  <c r="CO138" i="6"/>
  <c r="CN138" i="6"/>
  <c r="CM138" i="6"/>
  <c r="CL138" i="6"/>
  <c r="CK138" i="6"/>
  <c r="CJ138" i="6"/>
  <c r="CI138" i="6"/>
  <c r="CH138" i="6"/>
  <c r="CG138" i="6"/>
  <c r="DT137" i="6"/>
  <c r="DS137" i="6"/>
  <c r="DR137" i="6"/>
  <c r="DQ137" i="6"/>
  <c r="DP137" i="6"/>
  <c r="DO137" i="6"/>
  <c r="DN137" i="6"/>
  <c r="DM137" i="6"/>
  <c r="DL137" i="6"/>
  <c r="DK137" i="6"/>
  <c r="DJ137" i="6"/>
  <c r="DI137" i="6"/>
  <c r="DH137" i="6"/>
  <c r="DG137" i="6"/>
  <c r="DF137" i="6"/>
  <c r="DE137" i="6"/>
  <c r="DD137" i="6"/>
  <c r="DC137" i="6"/>
  <c r="DB137" i="6"/>
  <c r="DA137" i="6"/>
  <c r="CZ137" i="6"/>
  <c r="CY137" i="6"/>
  <c r="CX137" i="6"/>
  <c r="CW137" i="6"/>
  <c r="CV137" i="6"/>
  <c r="CU137" i="6"/>
  <c r="CT137" i="6"/>
  <c r="CS137" i="6"/>
  <c r="CR137" i="6"/>
  <c r="CQ137" i="6"/>
  <c r="CP137" i="6"/>
  <c r="CO137" i="6"/>
  <c r="CN137" i="6"/>
  <c r="CM137" i="6"/>
  <c r="CL137" i="6"/>
  <c r="CK137" i="6"/>
  <c r="CJ137" i="6"/>
  <c r="CI137" i="6"/>
  <c r="CH137" i="6"/>
  <c r="CG137" i="6"/>
  <c r="DT136" i="6"/>
  <c r="DS136" i="6"/>
  <c r="DR136" i="6"/>
  <c r="DQ136" i="6"/>
  <c r="DP136" i="6"/>
  <c r="DO136" i="6"/>
  <c r="DN136" i="6"/>
  <c r="DM136" i="6"/>
  <c r="DL136" i="6"/>
  <c r="DK136" i="6"/>
  <c r="DJ136" i="6"/>
  <c r="DI136" i="6"/>
  <c r="DH136" i="6"/>
  <c r="DG136" i="6"/>
  <c r="DF136" i="6"/>
  <c r="DE136" i="6"/>
  <c r="DD136" i="6"/>
  <c r="DC136" i="6"/>
  <c r="DB136" i="6"/>
  <c r="DA136" i="6"/>
  <c r="CZ136" i="6"/>
  <c r="CY136" i="6"/>
  <c r="CX136" i="6"/>
  <c r="CW136" i="6"/>
  <c r="CV136" i="6"/>
  <c r="CU136" i="6"/>
  <c r="CT136" i="6"/>
  <c r="CS136" i="6"/>
  <c r="CR136" i="6"/>
  <c r="CQ136" i="6"/>
  <c r="CP136" i="6"/>
  <c r="CO136" i="6"/>
  <c r="CN136" i="6"/>
  <c r="CM136" i="6"/>
  <c r="CL136" i="6"/>
  <c r="CK136" i="6"/>
  <c r="CJ136" i="6"/>
  <c r="CI136" i="6"/>
  <c r="CH136" i="6"/>
  <c r="CG136" i="6"/>
  <c r="DT135" i="6"/>
  <c r="DS135" i="6"/>
  <c r="DR135" i="6"/>
  <c r="DQ135" i="6"/>
  <c r="DP135" i="6"/>
  <c r="DO135" i="6"/>
  <c r="DN135" i="6"/>
  <c r="DM135" i="6"/>
  <c r="DL135" i="6"/>
  <c r="DK135" i="6"/>
  <c r="DJ135" i="6"/>
  <c r="DI135" i="6"/>
  <c r="DH135" i="6"/>
  <c r="DG135" i="6"/>
  <c r="DF135" i="6"/>
  <c r="DE135" i="6"/>
  <c r="DD135" i="6"/>
  <c r="DC135" i="6"/>
  <c r="DB135" i="6"/>
  <c r="DA135" i="6"/>
  <c r="CZ135" i="6"/>
  <c r="CY135" i="6"/>
  <c r="CX135" i="6"/>
  <c r="CW135" i="6"/>
  <c r="CV135" i="6"/>
  <c r="CU135" i="6"/>
  <c r="CT135" i="6"/>
  <c r="CS135" i="6"/>
  <c r="CR135" i="6"/>
  <c r="CQ135" i="6"/>
  <c r="CP135" i="6"/>
  <c r="CO135" i="6"/>
  <c r="CN135" i="6"/>
  <c r="CM135" i="6"/>
  <c r="CL135" i="6"/>
  <c r="CK135" i="6"/>
  <c r="CJ135" i="6"/>
  <c r="CI135" i="6"/>
  <c r="CH135" i="6"/>
  <c r="CG135" i="6"/>
  <c r="DT134" i="6"/>
  <c r="DS134" i="6"/>
  <c r="DR134" i="6"/>
  <c r="DQ134" i="6"/>
  <c r="DP134" i="6"/>
  <c r="DO134" i="6"/>
  <c r="DN134" i="6"/>
  <c r="DM134" i="6"/>
  <c r="DL134" i="6"/>
  <c r="DK134" i="6"/>
  <c r="DJ134" i="6"/>
  <c r="DI134" i="6"/>
  <c r="DH134" i="6"/>
  <c r="DG134" i="6"/>
  <c r="DF134" i="6"/>
  <c r="DE134" i="6"/>
  <c r="DD134" i="6"/>
  <c r="DC134" i="6"/>
  <c r="DB134" i="6"/>
  <c r="DA134" i="6"/>
  <c r="CZ134" i="6"/>
  <c r="CY134" i="6"/>
  <c r="CX134" i="6"/>
  <c r="CW134" i="6"/>
  <c r="CV134" i="6"/>
  <c r="CU134" i="6"/>
  <c r="CT134" i="6"/>
  <c r="CS134" i="6"/>
  <c r="CR134" i="6"/>
  <c r="CQ134" i="6"/>
  <c r="CP134" i="6"/>
  <c r="CO134" i="6"/>
  <c r="CN134" i="6"/>
  <c r="CM134" i="6"/>
  <c r="CL134" i="6"/>
  <c r="CK134" i="6"/>
  <c r="CJ134" i="6"/>
  <c r="CI134" i="6"/>
  <c r="CH134" i="6"/>
  <c r="CG134" i="6"/>
  <c r="DT133" i="6"/>
  <c r="DS133" i="6"/>
  <c r="DR133" i="6"/>
  <c r="DQ133" i="6"/>
  <c r="DP133" i="6"/>
  <c r="DO133" i="6"/>
  <c r="DN133" i="6"/>
  <c r="DM133" i="6"/>
  <c r="DL133" i="6"/>
  <c r="DK133" i="6"/>
  <c r="DJ133" i="6"/>
  <c r="DI133" i="6"/>
  <c r="DH133" i="6"/>
  <c r="DG133" i="6"/>
  <c r="DF133" i="6"/>
  <c r="DE133" i="6"/>
  <c r="DD133" i="6"/>
  <c r="DC133" i="6"/>
  <c r="DB133" i="6"/>
  <c r="DA133" i="6"/>
  <c r="CZ133" i="6"/>
  <c r="CY133" i="6"/>
  <c r="CX133" i="6"/>
  <c r="CW133" i="6"/>
  <c r="CV133" i="6"/>
  <c r="CU133" i="6"/>
  <c r="CT133" i="6"/>
  <c r="CS133" i="6"/>
  <c r="CR133" i="6"/>
  <c r="CQ133" i="6"/>
  <c r="CP133" i="6"/>
  <c r="CO133" i="6"/>
  <c r="CN133" i="6"/>
  <c r="CM133" i="6"/>
  <c r="CL133" i="6"/>
  <c r="CK133" i="6"/>
  <c r="CJ133" i="6"/>
  <c r="CI133" i="6"/>
  <c r="CH133" i="6"/>
  <c r="CG133" i="6"/>
  <c r="DT132" i="6"/>
  <c r="DS132" i="6"/>
  <c r="DR132" i="6"/>
  <c r="DQ132" i="6"/>
  <c r="DP132" i="6"/>
  <c r="DO132" i="6"/>
  <c r="DN132" i="6"/>
  <c r="DM132" i="6"/>
  <c r="DL132" i="6"/>
  <c r="DK132" i="6"/>
  <c r="DJ132" i="6"/>
  <c r="DI132" i="6"/>
  <c r="DH132" i="6"/>
  <c r="DG132" i="6"/>
  <c r="DF132" i="6"/>
  <c r="DE132" i="6"/>
  <c r="DD132" i="6"/>
  <c r="DC132" i="6"/>
  <c r="DB132" i="6"/>
  <c r="DA132" i="6"/>
  <c r="CZ132" i="6"/>
  <c r="CY132" i="6"/>
  <c r="CX132" i="6"/>
  <c r="CW132" i="6"/>
  <c r="CV132" i="6"/>
  <c r="CU132" i="6"/>
  <c r="CT132" i="6"/>
  <c r="CS132" i="6"/>
  <c r="CR132" i="6"/>
  <c r="CQ132" i="6"/>
  <c r="CP132" i="6"/>
  <c r="CO132" i="6"/>
  <c r="CN132" i="6"/>
  <c r="CM132" i="6"/>
  <c r="CL132" i="6"/>
  <c r="CK132" i="6"/>
  <c r="CJ132" i="6"/>
  <c r="CI132" i="6"/>
  <c r="CH132" i="6"/>
  <c r="CG132" i="6"/>
  <c r="DT131" i="6"/>
  <c r="DS131" i="6"/>
  <c r="DR131" i="6"/>
  <c r="DQ131" i="6"/>
  <c r="DP131" i="6"/>
  <c r="DO131" i="6"/>
  <c r="DN131" i="6"/>
  <c r="DM131" i="6"/>
  <c r="DL131" i="6"/>
  <c r="DK131" i="6"/>
  <c r="DJ131" i="6"/>
  <c r="DI131" i="6"/>
  <c r="DH131" i="6"/>
  <c r="DG131" i="6"/>
  <c r="DF131" i="6"/>
  <c r="DE131" i="6"/>
  <c r="DD131" i="6"/>
  <c r="DC131" i="6"/>
  <c r="DB131" i="6"/>
  <c r="DA131" i="6"/>
  <c r="CZ131" i="6"/>
  <c r="CY131" i="6"/>
  <c r="CX131" i="6"/>
  <c r="CW131" i="6"/>
  <c r="CV131" i="6"/>
  <c r="CU131" i="6"/>
  <c r="CT131" i="6"/>
  <c r="CS131" i="6"/>
  <c r="CR131" i="6"/>
  <c r="CQ131" i="6"/>
  <c r="CP131" i="6"/>
  <c r="CO131" i="6"/>
  <c r="CN131" i="6"/>
  <c r="CM131" i="6"/>
  <c r="CL131" i="6"/>
  <c r="CK131" i="6"/>
  <c r="CJ131" i="6"/>
  <c r="CI131" i="6"/>
  <c r="CH131" i="6"/>
  <c r="CG131" i="6"/>
  <c r="DT130" i="6"/>
  <c r="DS130" i="6"/>
  <c r="DR130" i="6"/>
  <c r="DQ130" i="6"/>
  <c r="DP130" i="6"/>
  <c r="DO130" i="6"/>
  <c r="DN130" i="6"/>
  <c r="DM130" i="6"/>
  <c r="DL130" i="6"/>
  <c r="DK130" i="6"/>
  <c r="DJ130" i="6"/>
  <c r="DI130" i="6"/>
  <c r="DH130" i="6"/>
  <c r="DG130" i="6"/>
  <c r="DF130" i="6"/>
  <c r="DE130" i="6"/>
  <c r="DD130" i="6"/>
  <c r="DC130" i="6"/>
  <c r="DB130" i="6"/>
  <c r="DA130" i="6"/>
  <c r="CZ130" i="6"/>
  <c r="CY130" i="6"/>
  <c r="CX130" i="6"/>
  <c r="CW130" i="6"/>
  <c r="CV130" i="6"/>
  <c r="CU130" i="6"/>
  <c r="CT130" i="6"/>
  <c r="CS130" i="6"/>
  <c r="CR130" i="6"/>
  <c r="CQ130" i="6"/>
  <c r="CP130" i="6"/>
  <c r="CO130" i="6"/>
  <c r="CN130" i="6"/>
  <c r="CM130" i="6"/>
  <c r="CL130" i="6"/>
  <c r="CK130" i="6"/>
  <c r="CJ130" i="6"/>
  <c r="CI130" i="6"/>
  <c r="CH130" i="6"/>
  <c r="CG130" i="6"/>
  <c r="DT129" i="6"/>
  <c r="DS129" i="6"/>
  <c r="DR129" i="6"/>
  <c r="DQ129" i="6"/>
  <c r="DP129" i="6"/>
  <c r="DO129" i="6"/>
  <c r="DN129" i="6"/>
  <c r="DM129" i="6"/>
  <c r="DL129" i="6"/>
  <c r="DK129" i="6"/>
  <c r="DJ129" i="6"/>
  <c r="DI129" i="6"/>
  <c r="DH129" i="6"/>
  <c r="DG129" i="6"/>
  <c r="DF129" i="6"/>
  <c r="DE129" i="6"/>
  <c r="DD129" i="6"/>
  <c r="DC129" i="6"/>
  <c r="DB129" i="6"/>
  <c r="DA129" i="6"/>
  <c r="CZ129" i="6"/>
  <c r="CY129" i="6"/>
  <c r="CX129" i="6"/>
  <c r="CW129" i="6"/>
  <c r="CV129" i="6"/>
  <c r="CU129" i="6"/>
  <c r="CT129" i="6"/>
  <c r="CS129" i="6"/>
  <c r="CR129" i="6"/>
  <c r="CQ129" i="6"/>
  <c r="CP129" i="6"/>
  <c r="CO129" i="6"/>
  <c r="CN129" i="6"/>
  <c r="CM129" i="6"/>
  <c r="CL129" i="6"/>
  <c r="CK129" i="6"/>
  <c r="CJ129" i="6"/>
  <c r="CI129" i="6"/>
  <c r="CH129" i="6"/>
  <c r="CG129" i="6"/>
  <c r="DT128" i="6"/>
  <c r="DS128" i="6"/>
  <c r="DR128" i="6"/>
  <c r="DQ128" i="6"/>
  <c r="DP128" i="6"/>
  <c r="DO128" i="6"/>
  <c r="DN128" i="6"/>
  <c r="DM128" i="6"/>
  <c r="DL128" i="6"/>
  <c r="DK128" i="6"/>
  <c r="DJ128" i="6"/>
  <c r="DI128" i="6"/>
  <c r="DH128" i="6"/>
  <c r="DG128" i="6"/>
  <c r="DF128" i="6"/>
  <c r="DE128" i="6"/>
  <c r="DD128" i="6"/>
  <c r="DC128" i="6"/>
  <c r="DB128" i="6"/>
  <c r="DA128" i="6"/>
  <c r="CZ128" i="6"/>
  <c r="CY128" i="6"/>
  <c r="CX128" i="6"/>
  <c r="CW128" i="6"/>
  <c r="CV128" i="6"/>
  <c r="CU128" i="6"/>
  <c r="CT128" i="6"/>
  <c r="CS128" i="6"/>
  <c r="CR128" i="6"/>
  <c r="CQ128" i="6"/>
  <c r="CP128" i="6"/>
  <c r="CO128" i="6"/>
  <c r="CN128" i="6"/>
  <c r="CM128" i="6"/>
  <c r="CL128" i="6"/>
  <c r="CK128" i="6"/>
  <c r="CJ128" i="6"/>
  <c r="CI128" i="6"/>
  <c r="CH128" i="6"/>
  <c r="CG128" i="6"/>
  <c r="DT127" i="6"/>
  <c r="DS127" i="6"/>
  <c r="DR127" i="6"/>
  <c r="DQ127" i="6"/>
  <c r="DP127" i="6"/>
  <c r="DO127" i="6"/>
  <c r="DN127" i="6"/>
  <c r="DM127" i="6"/>
  <c r="DL127" i="6"/>
  <c r="DK127" i="6"/>
  <c r="DJ127" i="6"/>
  <c r="DI127" i="6"/>
  <c r="DH127" i="6"/>
  <c r="DG127" i="6"/>
  <c r="DF127" i="6"/>
  <c r="DE127" i="6"/>
  <c r="DD127" i="6"/>
  <c r="DC127" i="6"/>
  <c r="DB127" i="6"/>
  <c r="DA127" i="6"/>
  <c r="CZ127" i="6"/>
  <c r="CY127" i="6"/>
  <c r="CX127" i="6"/>
  <c r="CW127" i="6"/>
  <c r="CV127" i="6"/>
  <c r="CU127" i="6"/>
  <c r="CT127" i="6"/>
  <c r="CS127" i="6"/>
  <c r="CR127" i="6"/>
  <c r="CQ127" i="6"/>
  <c r="CP127" i="6"/>
  <c r="CO127" i="6"/>
  <c r="CN127" i="6"/>
  <c r="CM127" i="6"/>
  <c r="CL127" i="6"/>
  <c r="CK127" i="6"/>
  <c r="CJ127" i="6"/>
  <c r="CI127" i="6"/>
  <c r="CH127" i="6"/>
  <c r="CG127" i="6"/>
  <c r="DT126" i="6"/>
  <c r="DS126" i="6"/>
  <c r="DR126" i="6"/>
  <c r="DQ126" i="6"/>
  <c r="DP126" i="6"/>
  <c r="DO126" i="6"/>
  <c r="DN126" i="6"/>
  <c r="DM126" i="6"/>
  <c r="DL126" i="6"/>
  <c r="DK126" i="6"/>
  <c r="DJ126" i="6"/>
  <c r="DI126" i="6"/>
  <c r="DH126" i="6"/>
  <c r="DG126" i="6"/>
  <c r="DF126" i="6"/>
  <c r="DE126" i="6"/>
  <c r="DD126" i="6"/>
  <c r="DC126" i="6"/>
  <c r="DB126" i="6"/>
  <c r="DA126" i="6"/>
  <c r="CZ126" i="6"/>
  <c r="CY126" i="6"/>
  <c r="CX126" i="6"/>
  <c r="CW126" i="6"/>
  <c r="CV126" i="6"/>
  <c r="CU126" i="6"/>
  <c r="CT126" i="6"/>
  <c r="CS126" i="6"/>
  <c r="CR126" i="6"/>
  <c r="CQ126" i="6"/>
  <c r="CP126" i="6"/>
  <c r="CO126" i="6"/>
  <c r="CN126" i="6"/>
  <c r="CM126" i="6"/>
  <c r="CL126" i="6"/>
  <c r="CK126" i="6"/>
  <c r="CJ126" i="6"/>
  <c r="CI126" i="6"/>
  <c r="CH126" i="6"/>
  <c r="CG126" i="6"/>
  <c r="D126" i="6"/>
  <c r="DT125" i="6"/>
  <c r="DS125" i="6"/>
  <c r="DR125" i="6"/>
  <c r="DQ125" i="6"/>
  <c r="DP125" i="6"/>
  <c r="DO125" i="6"/>
  <c r="DN125" i="6"/>
  <c r="DM125" i="6"/>
  <c r="DL125" i="6"/>
  <c r="DK125" i="6"/>
  <c r="DJ125" i="6"/>
  <c r="DI125" i="6"/>
  <c r="DH125" i="6"/>
  <c r="DG125" i="6"/>
  <c r="DF125" i="6"/>
  <c r="DE125" i="6"/>
  <c r="DD125" i="6"/>
  <c r="DC125" i="6"/>
  <c r="DB125" i="6"/>
  <c r="DA125" i="6"/>
  <c r="CZ125" i="6"/>
  <c r="CY125" i="6"/>
  <c r="CX125" i="6"/>
  <c r="CW125" i="6"/>
  <c r="CV125" i="6"/>
  <c r="CU125" i="6"/>
  <c r="CT125" i="6"/>
  <c r="CS125" i="6"/>
  <c r="CR125" i="6"/>
  <c r="CQ125" i="6"/>
  <c r="CP125" i="6"/>
  <c r="CO125" i="6"/>
  <c r="CN125" i="6"/>
  <c r="CM125" i="6"/>
  <c r="CL125" i="6"/>
  <c r="CK125" i="6"/>
  <c r="CJ125" i="6"/>
  <c r="CI125" i="6"/>
  <c r="CH125" i="6"/>
  <c r="CG125" i="6"/>
  <c r="DT124" i="6"/>
  <c r="DS124" i="6"/>
  <c r="DR124" i="6"/>
  <c r="DQ124" i="6"/>
  <c r="DP124" i="6"/>
  <c r="DO124" i="6"/>
  <c r="DN124" i="6"/>
  <c r="DM124" i="6"/>
  <c r="DL124" i="6"/>
  <c r="DK124" i="6"/>
  <c r="DJ124" i="6"/>
  <c r="DI124" i="6"/>
  <c r="DH124" i="6"/>
  <c r="DG124" i="6"/>
  <c r="DF124" i="6"/>
  <c r="DE124" i="6"/>
  <c r="DD124" i="6"/>
  <c r="DC124" i="6"/>
  <c r="DB124" i="6"/>
  <c r="DA124" i="6"/>
  <c r="CZ124" i="6"/>
  <c r="CY124" i="6"/>
  <c r="CX124" i="6"/>
  <c r="CW124" i="6"/>
  <c r="CV124" i="6"/>
  <c r="CU124" i="6"/>
  <c r="CT124" i="6"/>
  <c r="CS124" i="6"/>
  <c r="CR124" i="6"/>
  <c r="CQ124" i="6"/>
  <c r="CP124" i="6"/>
  <c r="CO124" i="6"/>
  <c r="CN124" i="6"/>
  <c r="CM124" i="6"/>
  <c r="CL124" i="6"/>
  <c r="CK124" i="6"/>
  <c r="CJ124" i="6"/>
  <c r="CI124" i="6"/>
  <c r="CH124" i="6"/>
  <c r="CG124" i="6"/>
  <c r="DT123" i="6"/>
  <c r="DS123" i="6"/>
  <c r="DR123" i="6"/>
  <c r="DQ123" i="6"/>
  <c r="DP123" i="6"/>
  <c r="DO123" i="6"/>
  <c r="DN123" i="6"/>
  <c r="DM123" i="6"/>
  <c r="DL123" i="6"/>
  <c r="DK123" i="6"/>
  <c r="DJ123" i="6"/>
  <c r="DI123" i="6"/>
  <c r="DH123" i="6"/>
  <c r="DG123" i="6"/>
  <c r="DF123" i="6"/>
  <c r="DE123" i="6"/>
  <c r="DD123" i="6"/>
  <c r="DC123" i="6"/>
  <c r="DB123" i="6"/>
  <c r="DA123" i="6"/>
  <c r="CZ123" i="6"/>
  <c r="CY123" i="6"/>
  <c r="CX123" i="6"/>
  <c r="CW123" i="6"/>
  <c r="CV123" i="6"/>
  <c r="CU123" i="6"/>
  <c r="CT123" i="6"/>
  <c r="CS123" i="6"/>
  <c r="CR123" i="6"/>
  <c r="CQ123" i="6"/>
  <c r="CP123" i="6"/>
  <c r="CO123" i="6"/>
  <c r="CN123" i="6"/>
  <c r="CM123" i="6"/>
  <c r="CL123" i="6"/>
  <c r="CK123" i="6"/>
  <c r="CJ123" i="6"/>
  <c r="CI123" i="6"/>
  <c r="CH123" i="6"/>
  <c r="CG123" i="6"/>
  <c r="DT122" i="6"/>
  <c r="DS122" i="6"/>
  <c r="DR122" i="6"/>
  <c r="DQ122" i="6"/>
  <c r="DP122" i="6"/>
  <c r="DO122" i="6"/>
  <c r="DN122" i="6"/>
  <c r="DM122" i="6"/>
  <c r="DL122" i="6"/>
  <c r="DK122" i="6"/>
  <c r="DJ122" i="6"/>
  <c r="DI122" i="6"/>
  <c r="DH122" i="6"/>
  <c r="DG122" i="6"/>
  <c r="DF122" i="6"/>
  <c r="DE122" i="6"/>
  <c r="DD122" i="6"/>
  <c r="DC122" i="6"/>
  <c r="DB122" i="6"/>
  <c r="DA122" i="6"/>
  <c r="CZ122" i="6"/>
  <c r="CY122" i="6"/>
  <c r="CX122" i="6"/>
  <c r="CW122" i="6"/>
  <c r="CV122" i="6"/>
  <c r="CU122" i="6"/>
  <c r="CT122" i="6"/>
  <c r="CS122" i="6"/>
  <c r="CR122" i="6"/>
  <c r="CQ122" i="6"/>
  <c r="CP122" i="6"/>
  <c r="CO122" i="6"/>
  <c r="CN122" i="6"/>
  <c r="CM122" i="6"/>
  <c r="CL122" i="6"/>
  <c r="CK122" i="6"/>
  <c r="CJ122" i="6"/>
  <c r="CI122" i="6"/>
  <c r="CH122" i="6"/>
  <c r="CG122" i="6"/>
  <c r="DT121" i="6"/>
  <c r="DS121" i="6"/>
  <c r="DR121" i="6"/>
  <c r="DQ121" i="6"/>
  <c r="DP121" i="6"/>
  <c r="DO121" i="6"/>
  <c r="DN121" i="6"/>
  <c r="DM121" i="6"/>
  <c r="DL121" i="6"/>
  <c r="DK121" i="6"/>
  <c r="DJ121" i="6"/>
  <c r="DI121" i="6"/>
  <c r="DH121" i="6"/>
  <c r="DG121" i="6"/>
  <c r="DF121" i="6"/>
  <c r="DE121" i="6"/>
  <c r="DD121" i="6"/>
  <c r="DC121" i="6"/>
  <c r="DB121" i="6"/>
  <c r="DA121" i="6"/>
  <c r="CZ121" i="6"/>
  <c r="CY121" i="6"/>
  <c r="CX121" i="6"/>
  <c r="CW121" i="6"/>
  <c r="CV121" i="6"/>
  <c r="CU121" i="6"/>
  <c r="CT121" i="6"/>
  <c r="CS121" i="6"/>
  <c r="CR121" i="6"/>
  <c r="CQ121" i="6"/>
  <c r="CP121" i="6"/>
  <c r="CO121" i="6"/>
  <c r="CN121" i="6"/>
  <c r="CM121" i="6"/>
  <c r="CL121" i="6"/>
  <c r="CK121" i="6"/>
  <c r="CJ121" i="6"/>
  <c r="CI121" i="6"/>
  <c r="CH121" i="6"/>
  <c r="CG121" i="6"/>
  <c r="DT120" i="6"/>
  <c r="DS120" i="6"/>
  <c r="DR120" i="6"/>
  <c r="DQ120" i="6"/>
  <c r="DP120" i="6"/>
  <c r="DO120" i="6"/>
  <c r="DN120" i="6"/>
  <c r="DM120" i="6"/>
  <c r="DL120" i="6"/>
  <c r="DK120" i="6"/>
  <c r="DJ120" i="6"/>
  <c r="DI120" i="6"/>
  <c r="DH120" i="6"/>
  <c r="DG120" i="6"/>
  <c r="DF120" i="6"/>
  <c r="DE120" i="6"/>
  <c r="DD120" i="6"/>
  <c r="DC120" i="6"/>
  <c r="DB120" i="6"/>
  <c r="DA120" i="6"/>
  <c r="CZ120" i="6"/>
  <c r="CY120" i="6"/>
  <c r="CX120" i="6"/>
  <c r="CW120" i="6"/>
  <c r="CV120" i="6"/>
  <c r="CU120" i="6"/>
  <c r="CT120" i="6"/>
  <c r="CS120" i="6"/>
  <c r="CR120" i="6"/>
  <c r="CQ120" i="6"/>
  <c r="CP120" i="6"/>
  <c r="CO120" i="6"/>
  <c r="CN120" i="6"/>
  <c r="CM120" i="6"/>
  <c r="CL120" i="6"/>
  <c r="CK120" i="6"/>
  <c r="CJ120" i="6"/>
  <c r="CI120" i="6"/>
  <c r="CH120" i="6"/>
  <c r="CG120" i="6"/>
  <c r="DT76" i="6"/>
  <c r="DS76" i="6"/>
  <c r="DR76" i="6"/>
  <c r="DQ76" i="6"/>
  <c r="DP76" i="6"/>
  <c r="DO76" i="6"/>
  <c r="DN76" i="6"/>
  <c r="DM76" i="6"/>
  <c r="DL76" i="6"/>
  <c r="DK76" i="6"/>
  <c r="DJ76" i="6"/>
  <c r="DI76" i="6"/>
  <c r="DH76" i="6"/>
  <c r="DG76" i="6"/>
  <c r="DF76" i="6"/>
  <c r="DE76" i="6"/>
  <c r="DD76" i="6"/>
  <c r="DC76" i="6"/>
  <c r="DB76" i="6"/>
  <c r="DA76" i="6"/>
  <c r="CZ76" i="6"/>
  <c r="CY76" i="6"/>
  <c r="CX76" i="6"/>
  <c r="CW76" i="6"/>
  <c r="CV76" i="6"/>
  <c r="CU76" i="6"/>
  <c r="CT76" i="6"/>
  <c r="CS76" i="6"/>
  <c r="CR76" i="6"/>
  <c r="CQ76" i="6"/>
  <c r="CP76" i="6"/>
  <c r="CO76" i="6"/>
  <c r="CN76" i="6"/>
  <c r="CM76" i="6"/>
  <c r="CL76" i="6"/>
  <c r="CK76" i="6"/>
  <c r="CJ76" i="6"/>
  <c r="CI76" i="6"/>
  <c r="CH76" i="6"/>
  <c r="CG76" i="6"/>
  <c r="CE76" i="6"/>
  <c r="CD76" i="6"/>
  <c r="CC76" i="6"/>
  <c r="CB76" i="6"/>
  <c r="CA76" i="6"/>
  <c r="BZ76" i="6"/>
  <c r="BY76" i="6"/>
  <c r="BX76" i="6"/>
  <c r="BW76" i="6"/>
  <c r="BV76" i="6"/>
  <c r="BU76" i="6"/>
  <c r="BT76" i="6"/>
  <c r="BS76" i="6"/>
  <c r="BR76" i="6"/>
  <c r="BQ76" i="6"/>
  <c r="BP76" i="6"/>
  <c r="BO76" i="6"/>
  <c r="BN76" i="6"/>
  <c r="BM76" i="6"/>
  <c r="BL76" i="6"/>
  <c r="BK76" i="6"/>
  <c r="BJ76" i="6"/>
  <c r="BI76" i="6"/>
  <c r="BH76" i="6"/>
  <c r="BG76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DT75" i="6"/>
  <c r="DS75" i="6"/>
  <c r="DR75" i="6"/>
  <c r="DQ75" i="6"/>
  <c r="DP75" i="6"/>
  <c r="DO75" i="6"/>
  <c r="DN75" i="6"/>
  <c r="DM75" i="6"/>
  <c r="DL75" i="6"/>
  <c r="DK75" i="6"/>
  <c r="DJ75" i="6"/>
  <c r="DI75" i="6"/>
  <c r="DH75" i="6"/>
  <c r="DG75" i="6"/>
  <c r="DF75" i="6"/>
  <c r="DE75" i="6"/>
  <c r="DD75" i="6"/>
  <c r="DC75" i="6"/>
  <c r="DB75" i="6"/>
  <c r="DA75" i="6"/>
  <c r="CZ75" i="6"/>
  <c r="CY75" i="6"/>
  <c r="CX75" i="6"/>
  <c r="CW75" i="6"/>
  <c r="CV75" i="6"/>
  <c r="CU75" i="6"/>
  <c r="CT75" i="6"/>
  <c r="CS75" i="6"/>
  <c r="CR75" i="6"/>
  <c r="CQ75" i="6"/>
  <c r="CP75" i="6"/>
  <c r="CO75" i="6"/>
  <c r="CN75" i="6"/>
  <c r="CM75" i="6"/>
  <c r="CL75" i="6"/>
  <c r="CK75" i="6"/>
  <c r="CJ75" i="6"/>
  <c r="CI75" i="6"/>
  <c r="CH75" i="6"/>
  <c r="CG75" i="6"/>
  <c r="CE75" i="6"/>
  <c r="CD75" i="6"/>
  <c r="CC75" i="6"/>
  <c r="CB75" i="6"/>
  <c r="CA75" i="6"/>
  <c r="BZ75" i="6"/>
  <c r="BY75" i="6"/>
  <c r="BX75" i="6"/>
  <c r="BW75" i="6"/>
  <c r="BV75" i="6"/>
  <c r="BU75" i="6"/>
  <c r="BT75" i="6"/>
  <c r="BS75" i="6"/>
  <c r="BR75" i="6"/>
  <c r="BQ75" i="6"/>
  <c r="BP75" i="6"/>
  <c r="BO75" i="6"/>
  <c r="BN75" i="6"/>
  <c r="BM75" i="6"/>
  <c r="BL75" i="6"/>
  <c r="BK75" i="6"/>
  <c r="BJ75" i="6"/>
  <c r="BI75" i="6"/>
  <c r="BH75" i="6"/>
  <c r="BG75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DT74" i="6"/>
  <c r="DS74" i="6"/>
  <c r="DR74" i="6"/>
  <c r="DQ74" i="6"/>
  <c r="DP74" i="6"/>
  <c r="DO74" i="6"/>
  <c r="DN74" i="6"/>
  <c r="DM74" i="6"/>
  <c r="DL74" i="6"/>
  <c r="DK74" i="6"/>
  <c r="DJ74" i="6"/>
  <c r="DI74" i="6"/>
  <c r="DH74" i="6"/>
  <c r="DG74" i="6"/>
  <c r="DF74" i="6"/>
  <c r="DE74" i="6"/>
  <c r="DD74" i="6"/>
  <c r="DC74" i="6"/>
  <c r="DB74" i="6"/>
  <c r="DA74" i="6"/>
  <c r="CZ74" i="6"/>
  <c r="CY74" i="6"/>
  <c r="CX74" i="6"/>
  <c r="CW74" i="6"/>
  <c r="CV74" i="6"/>
  <c r="CU74" i="6"/>
  <c r="CT74" i="6"/>
  <c r="CS74" i="6"/>
  <c r="CR74" i="6"/>
  <c r="CQ74" i="6"/>
  <c r="CP74" i="6"/>
  <c r="CO74" i="6"/>
  <c r="CN74" i="6"/>
  <c r="CM74" i="6"/>
  <c r="CL74" i="6"/>
  <c r="CK74" i="6"/>
  <c r="CJ74" i="6"/>
  <c r="CI74" i="6"/>
  <c r="CH74" i="6"/>
  <c r="CG74" i="6"/>
  <c r="CE74" i="6"/>
  <c r="CD74" i="6"/>
  <c r="CC74" i="6"/>
  <c r="CB74" i="6"/>
  <c r="CA74" i="6"/>
  <c r="BZ74" i="6"/>
  <c r="BY74" i="6"/>
  <c r="BX74" i="6"/>
  <c r="BW74" i="6"/>
  <c r="BV74" i="6"/>
  <c r="BU74" i="6"/>
  <c r="BT74" i="6"/>
  <c r="BS74" i="6"/>
  <c r="BR74" i="6"/>
  <c r="BQ74" i="6"/>
  <c r="BP74" i="6"/>
  <c r="BO74" i="6"/>
  <c r="BN74" i="6"/>
  <c r="BM74" i="6"/>
  <c r="BL74" i="6"/>
  <c r="BK74" i="6"/>
  <c r="BJ74" i="6"/>
  <c r="BI74" i="6"/>
  <c r="BH74" i="6"/>
  <c r="BG74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DT73" i="6"/>
  <c r="DS73" i="6"/>
  <c r="DR73" i="6"/>
  <c r="DQ73" i="6"/>
  <c r="DP73" i="6"/>
  <c r="DO73" i="6"/>
  <c r="DN73" i="6"/>
  <c r="DM73" i="6"/>
  <c r="DL73" i="6"/>
  <c r="DK73" i="6"/>
  <c r="DJ73" i="6"/>
  <c r="DI73" i="6"/>
  <c r="DH73" i="6"/>
  <c r="DG73" i="6"/>
  <c r="DF73" i="6"/>
  <c r="DE73" i="6"/>
  <c r="DD73" i="6"/>
  <c r="DC73" i="6"/>
  <c r="DB73" i="6"/>
  <c r="DA73" i="6"/>
  <c r="CZ73" i="6"/>
  <c r="CY73" i="6"/>
  <c r="CX73" i="6"/>
  <c r="CW73" i="6"/>
  <c r="CV73" i="6"/>
  <c r="CU73" i="6"/>
  <c r="CT73" i="6"/>
  <c r="CS73" i="6"/>
  <c r="CR73" i="6"/>
  <c r="CQ73" i="6"/>
  <c r="CP73" i="6"/>
  <c r="CO73" i="6"/>
  <c r="CN73" i="6"/>
  <c r="CM73" i="6"/>
  <c r="CL73" i="6"/>
  <c r="CK73" i="6"/>
  <c r="CJ73" i="6"/>
  <c r="CI73" i="6"/>
  <c r="CH73" i="6"/>
  <c r="CG73" i="6"/>
  <c r="CE73" i="6"/>
  <c r="CD73" i="6"/>
  <c r="CC73" i="6"/>
  <c r="CB73" i="6"/>
  <c r="CA73" i="6"/>
  <c r="BZ73" i="6"/>
  <c r="BY73" i="6"/>
  <c r="BX73" i="6"/>
  <c r="BW73" i="6"/>
  <c r="BV73" i="6"/>
  <c r="BU73" i="6"/>
  <c r="BT73" i="6"/>
  <c r="BS73" i="6"/>
  <c r="BR73" i="6"/>
  <c r="BQ73" i="6"/>
  <c r="BP73" i="6"/>
  <c r="BO73" i="6"/>
  <c r="BN73" i="6"/>
  <c r="BM73" i="6"/>
  <c r="BL73" i="6"/>
  <c r="BK73" i="6"/>
  <c r="BJ73" i="6"/>
  <c r="BI73" i="6"/>
  <c r="BH73" i="6"/>
  <c r="BG73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DT72" i="6"/>
  <c r="DS72" i="6"/>
  <c r="DR72" i="6"/>
  <c r="DQ72" i="6"/>
  <c r="DP72" i="6"/>
  <c r="DO72" i="6"/>
  <c r="DN72" i="6"/>
  <c r="DM72" i="6"/>
  <c r="DL72" i="6"/>
  <c r="DK72" i="6"/>
  <c r="DJ72" i="6"/>
  <c r="DI72" i="6"/>
  <c r="DH72" i="6"/>
  <c r="DG72" i="6"/>
  <c r="DF72" i="6"/>
  <c r="DE72" i="6"/>
  <c r="DD72" i="6"/>
  <c r="DC72" i="6"/>
  <c r="DB72" i="6"/>
  <c r="DA72" i="6"/>
  <c r="CZ72" i="6"/>
  <c r="CY72" i="6"/>
  <c r="CX72" i="6"/>
  <c r="CW72" i="6"/>
  <c r="CV72" i="6"/>
  <c r="CU72" i="6"/>
  <c r="CT72" i="6"/>
  <c r="CS72" i="6"/>
  <c r="CR72" i="6"/>
  <c r="CQ72" i="6"/>
  <c r="CP72" i="6"/>
  <c r="CO72" i="6"/>
  <c r="CN72" i="6"/>
  <c r="CM72" i="6"/>
  <c r="CL72" i="6"/>
  <c r="CK72" i="6"/>
  <c r="CJ72" i="6"/>
  <c r="CI72" i="6"/>
  <c r="CH72" i="6"/>
  <c r="CG72" i="6"/>
  <c r="DT71" i="6"/>
  <c r="DS71" i="6"/>
  <c r="DR71" i="6"/>
  <c r="DQ71" i="6"/>
  <c r="DP71" i="6"/>
  <c r="DO71" i="6"/>
  <c r="DN71" i="6"/>
  <c r="DM71" i="6"/>
  <c r="DL71" i="6"/>
  <c r="DK71" i="6"/>
  <c r="DJ71" i="6"/>
  <c r="DI71" i="6"/>
  <c r="DH71" i="6"/>
  <c r="DG71" i="6"/>
  <c r="DF71" i="6"/>
  <c r="DE71" i="6"/>
  <c r="DD71" i="6"/>
  <c r="DC71" i="6"/>
  <c r="DB71" i="6"/>
  <c r="DA71" i="6"/>
  <c r="CZ71" i="6"/>
  <c r="CY71" i="6"/>
  <c r="CX71" i="6"/>
  <c r="CW71" i="6"/>
  <c r="CV71" i="6"/>
  <c r="CU71" i="6"/>
  <c r="CT71" i="6"/>
  <c r="CS71" i="6"/>
  <c r="CR71" i="6"/>
  <c r="CQ71" i="6"/>
  <c r="CP71" i="6"/>
  <c r="CO71" i="6"/>
  <c r="CN71" i="6"/>
  <c r="CM71" i="6"/>
  <c r="CL71" i="6"/>
  <c r="CK71" i="6"/>
  <c r="CJ71" i="6"/>
  <c r="CI71" i="6"/>
  <c r="CH71" i="6"/>
  <c r="CG71" i="6"/>
  <c r="DT70" i="6"/>
  <c r="DS70" i="6"/>
  <c r="DR70" i="6"/>
  <c r="DQ70" i="6"/>
  <c r="DP70" i="6"/>
  <c r="DO70" i="6"/>
  <c r="DN70" i="6"/>
  <c r="DM70" i="6"/>
  <c r="DL70" i="6"/>
  <c r="DK70" i="6"/>
  <c r="DJ70" i="6"/>
  <c r="DI70" i="6"/>
  <c r="DH70" i="6"/>
  <c r="DG70" i="6"/>
  <c r="DF70" i="6"/>
  <c r="DE70" i="6"/>
  <c r="DD70" i="6"/>
  <c r="DC70" i="6"/>
  <c r="DB70" i="6"/>
  <c r="DA70" i="6"/>
  <c r="CZ70" i="6"/>
  <c r="CY70" i="6"/>
  <c r="CX70" i="6"/>
  <c r="CW70" i="6"/>
  <c r="CV70" i="6"/>
  <c r="CU70" i="6"/>
  <c r="CT70" i="6"/>
  <c r="CS70" i="6"/>
  <c r="CR70" i="6"/>
  <c r="CQ70" i="6"/>
  <c r="CP70" i="6"/>
  <c r="CO70" i="6"/>
  <c r="CN70" i="6"/>
  <c r="CM70" i="6"/>
  <c r="CL70" i="6"/>
  <c r="CK70" i="6"/>
  <c r="CJ70" i="6"/>
  <c r="CI70" i="6"/>
  <c r="CH70" i="6"/>
  <c r="CG70" i="6"/>
  <c r="DT69" i="6"/>
  <c r="DS69" i="6"/>
  <c r="DR69" i="6"/>
  <c r="DQ69" i="6"/>
  <c r="DP69" i="6"/>
  <c r="DO69" i="6"/>
  <c r="DN69" i="6"/>
  <c r="DM69" i="6"/>
  <c r="DL69" i="6"/>
  <c r="DK69" i="6"/>
  <c r="DJ69" i="6"/>
  <c r="DI69" i="6"/>
  <c r="DH69" i="6"/>
  <c r="DG69" i="6"/>
  <c r="DF69" i="6"/>
  <c r="DE69" i="6"/>
  <c r="DD69" i="6"/>
  <c r="DC69" i="6"/>
  <c r="DB69" i="6"/>
  <c r="DA69" i="6"/>
  <c r="CZ69" i="6"/>
  <c r="CY69" i="6"/>
  <c r="CX69" i="6"/>
  <c r="CW69" i="6"/>
  <c r="CV69" i="6"/>
  <c r="CU69" i="6"/>
  <c r="CT69" i="6"/>
  <c r="CS69" i="6"/>
  <c r="CR69" i="6"/>
  <c r="CQ69" i="6"/>
  <c r="CP69" i="6"/>
  <c r="CO69" i="6"/>
  <c r="CN69" i="6"/>
  <c r="CM69" i="6"/>
  <c r="CL69" i="6"/>
  <c r="CK69" i="6"/>
  <c r="CJ69" i="6"/>
  <c r="CI69" i="6"/>
  <c r="CH69" i="6"/>
  <c r="CG69" i="6"/>
  <c r="DT68" i="6"/>
  <c r="DS68" i="6"/>
  <c r="DR68" i="6"/>
  <c r="DQ68" i="6"/>
  <c r="DP68" i="6"/>
  <c r="DO68" i="6"/>
  <c r="DN68" i="6"/>
  <c r="DM68" i="6"/>
  <c r="DL68" i="6"/>
  <c r="DK68" i="6"/>
  <c r="DJ68" i="6"/>
  <c r="DI68" i="6"/>
  <c r="DH68" i="6"/>
  <c r="DG68" i="6"/>
  <c r="DF68" i="6"/>
  <c r="DE68" i="6"/>
  <c r="DD68" i="6"/>
  <c r="DC68" i="6"/>
  <c r="DB68" i="6"/>
  <c r="DA68" i="6"/>
  <c r="CZ68" i="6"/>
  <c r="CY68" i="6"/>
  <c r="CX68" i="6"/>
  <c r="CW68" i="6"/>
  <c r="CV68" i="6"/>
  <c r="CU68" i="6"/>
  <c r="CT68" i="6"/>
  <c r="CS68" i="6"/>
  <c r="CR68" i="6"/>
  <c r="CQ68" i="6"/>
  <c r="CP68" i="6"/>
  <c r="CO68" i="6"/>
  <c r="CN68" i="6"/>
  <c r="CM68" i="6"/>
  <c r="CL68" i="6"/>
  <c r="CK68" i="6"/>
  <c r="CJ68" i="6"/>
  <c r="CI68" i="6"/>
  <c r="CH68" i="6"/>
  <c r="CG68" i="6"/>
  <c r="DT67" i="6"/>
  <c r="DS67" i="6"/>
  <c r="DR67" i="6"/>
  <c r="DQ67" i="6"/>
  <c r="DP67" i="6"/>
  <c r="DO67" i="6"/>
  <c r="DN67" i="6"/>
  <c r="DM67" i="6"/>
  <c r="DL67" i="6"/>
  <c r="DK67" i="6"/>
  <c r="DJ67" i="6"/>
  <c r="DI67" i="6"/>
  <c r="DH67" i="6"/>
  <c r="DG67" i="6"/>
  <c r="DF67" i="6"/>
  <c r="DE67" i="6"/>
  <c r="DD67" i="6"/>
  <c r="DC67" i="6"/>
  <c r="DB67" i="6"/>
  <c r="DA67" i="6"/>
  <c r="CZ67" i="6"/>
  <c r="CY67" i="6"/>
  <c r="CX67" i="6"/>
  <c r="CW67" i="6"/>
  <c r="CV67" i="6"/>
  <c r="CU67" i="6"/>
  <c r="CT67" i="6"/>
  <c r="CS67" i="6"/>
  <c r="CR67" i="6"/>
  <c r="CQ67" i="6"/>
  <c r="CP67" i="6"/>
  <c r="CO67" i="6"/>
  <c r="CN67" i="6"/>
  <c r="CM67" i="6"/>
  <c r="CL67" i="6"/>
  <c r="CK67" i="6"/>
  <c r="CJ67" i="6"/>
  <c r="CI67" i="6"/>
  <c r="CH67" i="6"/>
  <c r="CG67" i="6"/>
  <c r="DT66" i="6"/>
  <c r="DS66" i="6"/>
  <c r="DR66" i="6"/>
  <c r="DQ66" i="6"/>
  <c r="DP66" i="6"/>
  <c r="DO66" i="6"/>
  <c r="DN66" i="6"/>
  <c r="DM66" i="6"/>
  <c r="DL66" i="6"/>
  <c r="DK66" i="6"/>
  <c r="DJ66" i="6"/>
  <c r="DI66" i="6"/>
  <c r="DH66" i="6"/>
  <c r="DG66" i="6"/>
  <c r="DF66" i="6"/>
  <c r="DE66" i="6"/>
  <c r="DD66" i="6"/>
  <c r="DC66" i="6"/>
  <c r="DB66" i="6"/>
  <c r="DA66" i="6"/>
  <c r="CZ66" i="6"/>
  <c r="CY66" i="6"/>
  <c r="CX66" i="6"/>
  <c r="CW66" i="6"/>
  <c r="CV66" i="6"/>
  <c r="CU66" i="6"/>
  <c r="CT66" i="6"/>
  <c r="CS66" i="6"/>
  <c r="CR66" i="6"/>
  <c r="CQ66" i="6"/>
  <c r="CP66" i="6"/>
  <c r="CO66" i="6"/>
  <c r="CN66" i="6"/>
  <c r="CM66" i="6"/>
  <c r="CL66" i="6"/>
  <c r="CK66" i="6"/>
  <c r="CJ66" i="6"/>
  <c r="CI66" i="6"/>
  <c r="CH66" i="6"/>
  <c r="CG66" i="6"/>
  <c r="DT65" i="6"/>
  <c r="DS65" i="6"/>
  <c r="DR65" i="6"/>
  <c r="DQ65" i="6"/>
  <c r="DP65" i="6"/>
  <c r="DO65" i="6"/>
  <c r="DN65" i="6"/>
  <c r="DM65" i="6"/>
  <c r="DL65" i="6"/>
  <c r="DK65" i="6"/>
  <c r="DJ65" i="6"/>
  <c r="DI65" i="6"/>
  <c r="DH65" i="6"/>
  <c r="DG65" i="6"/>
  <c r="DF65" i="6"/>
  <c r="DE65" i="6"/>
  <c r="DD65" i="6"/>
  <c r="DC65" i="6"/>
  <c r="DB65" i="6"/>
  <c r="DA65" i="6"/>
  <c r="CZ65" i="6"/>
  <c r="CY65" i="6"/>
  <c r="CX65" i="6"/>
  <c r="CW65" i="6"/>
  <c r="CV65" i="6"/>
  <c r="CU65" i="6"/>
  <c r="CT65" i="6"/>
  <c r="CS65" i="6"/>
  <c r="CR65" i="6"/>
  <c r="CQ65" i="6"/>
  <c r="CP65" i="6"/>
  <c r="CO65" i="6"/>
  <c r="CN65" i="6"/>
  <c r="CM65" i="6"/>
  <c r="CL65" i="6"/>
  <c r="CK65" i="6"/>
  <c r="CJ65" i="6"/>
  <c r="CI65" i="6"/>
  <c r="CH65" i="6"/>
  <c r="CG65" i="6"/>
  <c r="CE65" i="6"/>
  <c r="CD65" i="6"/>
  <c r="CC65" i="6"/>
  <c r="CA65" i="6"/>
  <c r="BZ65" i="6"/>
  <c r="BY65" i="6"/>
  <c r="BW65" i="6"/>
  <c r="BV65" i="6"/>
  <c r="BU65" i="6"/>
  <c r="BS65" i="6"/>
  <c r="BR65" i="6"/>
  <c r="BQ65" i="6"/>
  <c r="BO65" i="6"/>
  <c r="BN65" i="6"/>
  <c r="BM65" i="6"/>
  <c r="BK65" i="6"/>
  <c r="BJ65" i="6"/>
  <c r="BI65" i="6"/>
  <c r="BG65" i="6"/>
  <c r="BF65" i="6"/>
  <c r="BE65" i="6"/>
  <c r="BC65" i="6"/>
  <c r="BB65" i="6"/>
  <c r="BA65" i="6"/>
  <c r="AY65" i="6"/>
  <c r="AX65" i="6"/>
  <c r="AW65" i="6"/>
  <c r="AU65" i="6"/>
  <c r="AT65" i="6"/>
  <c r="AS65" i="6"/>
  <c r="AQ65" i="6"/>
  <c r="AP65" i="6"/>
  <c r="AO65" i="6"/>
  <c r="AM65" i="6"/>
  <c r="AL65" i="6"/>
  <c r="AK65" i="6"/>
  <c r="AI65" i="6"/>
  <c r="AH65" i="6"/>
  <c r="AG65" i="6"/>
  <c r="AE65" i="6"/>
  <c r="AD65" i="6"/>
  <c r="AC65" i="6"/>
  <c r="AA65" i="6"/>
  <c r="Z65" i="6"/>
  <c r="Y65" i="6"/>
  <c r="W65" i="6"/>
  <c r="V65" i="6"/>
  <c r="U65" i="6"/>
  <c r="S65" i="6"/>
  <c r="R65" i="6"/>
  <c r="Q65" i="6"/>
  <c r="O65" i="6"/>
  <c r="N65" i="6"/>
  <c r="M65" i="6"/>
  <c r="K65" i="6"/>
  <c r="J65" i="6"/>
  <c r="I65" i="6"/>
  <c r="G65" i="6"/>
  <c r="F65" i="6"/>
  <c r="E65" i="6"/>
  <c r="DT64" i="6"/>
  <c r="DS64" i="6"/>
  <c r="DR64" i="6"/>
  <c r="DQ64" i="6"/>
  <c r="DP64" i="6"/>
  <c r="DO64" i="6"/>
  <c r="DN64" i="6"/>
  <c r="DM64" i="6"/>
  <c r="DL64" i="6"/>
  <c r="DK64" i="6"/>
  <c r="DJ64" i="6"/>
  <c r="DI64" i="6"/>
  <c r="DH64" i="6"/>
  <c r="DG64" i="6"/>
  <c r="DF64" i="6"/>
  <c r="DE64" i="6"/>
  <c r="DD64" i="6"/>
  <c r="DC64" i="6"/>
  <c r="DB64" i="6"/>
  <c r="DA64" i="6"/>
  <c r="CZ64" i="6"/>
  <c r="CY64" i="6"/>
  <c r="CX64" i="6"/>
  <c r="CW64" i="6"/>
  <c r="CV64" i="6"/>
  <c r="CU64" i="6"/>
  <c r="CT64" i="6"/>
  <c r="CS64" i="6"/>
  <c r="CR64" i="6"/>
  <c r="CQ64" i="6"/>
  <c r="CP64" i="6"/>
  <c r="CO64" i="6"/>
  <c r="CN64" i="6"/>
  <c r="CM64" i="6"/>
  <c r="CL64" i="6"/>
  <c r="CK64" i="6"/>
  <c r="CJ64" i="6"/>
  <c r="CI64" i="6"/>
  <c r="CH64" i="6"/>
  <c r="CG64" i="6"/>
  <c r="CE64" i="6"/>
  <c r="CD64" i="6"/>
  <c r="CC64" i="6"/>
  <c r="CA64" i="6"/>
  <c r="BZ64" i="6"/>
  <c r="BY64" i="6"/>
  <c r="BW64" i="6"/>
  <c r="BV64" i="6"/>
  <c r="BU64" i="6"/>
  <c r="BS64" i="6"/>
  <c r="BR64" i="6"/>
  <c r="BQ64" i="6"/>
  <c r="BO64" i="6"/>
  <c r="BN64" i="6"/>
  <c r="BM64" i="6"/>
  <c r="BK64" i="6"/>
  <c r="BJ64" i="6"/>
  <c r="BI64" i="6"/>
  <c r="BG64" i="6"/>
  <c r="BF64" i="6"/>
  <c r="BE64" i="6"/>
  <c r="BC64" i="6"/>
  <c r="BB64" i="6"/>
  <c r="BA64" i="6"/>
  <c r="AY64" i="6"/>
  <c r="AX64" i="6"/>
  <c r="AW64" i="6"/>
  <c r="AU64" i="6"/>
  <c r="AT64" i="6"/>
  <c r="AS64" i="6"/>
  <c r="AQ64" i="6"/>
  <c r="AP64" i="6"/>
  <c r="AO64" i="6"/>
  <c r="AM64" i="6"/>
  <c r="AL64" i="6"/>
  <c r="AK64" i="6"/>
  <c r="AI64" i="6"/>
  <c r="AH64" i="6"/>
  <c r="AG64" i="6"/>
  <c r="AE64" i="6"/>
  <c r="AD64" i="6"/>
  <c r="AC64" i="6"/>
  <c r="AA64" i="6"/>
  <c r="Z64" i="6"/>
  <c r="Y64" i="6"/>
  <c r="W64" i="6"/>
  <c r="V64" i="6"/>
  <c r="U64" i="6"/>
  <c r="S64" i="6"/>
  <c r="R64" i="6"/>
  <c r="Q64" i="6"/>
  <c r="O64" i="6"/>
  <c r="N64" i="6"/>
  <c r="M64" i="6"/>
  <c r="K64" i="6"/>
  <c r="J64" i="6"/>
  <c r="I64" i="6"/>
  <c r="G64" i="6"/>
  <c r="F64" i="6"/>
  <c r="E64" i="6"/>
  <c r="DT63" i="6"/>
  <c r="DS63" i="6"/>
  <c r="DR63" i="6"/>
  <c r="DQ63" i="6"/>
  <c r="DP63" i="6"/>
  <c r="DO63" i="6"/>
  <c r="DN63" i="6"/>
  <c r="DM63" i="6"/>
  <c r="DL63" i="6"/>
  <c r="DK63" i="6"/>
  <c r="DJ63" i="6"/>
  <c r="DI63" i="6"/>
  <c r="DH63" i="6"/>
  <c r="DG63" i="6"/>
  <c r="DF63" i="6"/>
  <c r="DE63" i="6"/>
  <c r="DD63" i="6"/>
  <c r="DC63" i="6"/>
  <c r="DB63" i="6"/>
  <c r="DA63" i="6"/>
  <c r="CZ63" i="6"/>
  <c r="CY63" i="6"/>
  <c r="CX63" i="6"/>
  <c r="CW63" i="6"/>
  <c r="CV63" i="6"/>
  <c r="CU63" i="6"/>
  <c r="CT63" i="6"/>
  <c r="CS63" i="6"/>
  <c r="CR63" i="6"/>
  <c r="CQ63" i="6"/>
  <c r="CP63" i="6"/>
  <c r="CO63" i="6"/>
  <c r="CN63" i="6"/>
  <c r="CM63" i="6"/>
  <c r="CL63" i="6"/>
  <c r="CK63" i="6"/>
  <c r="CJ63" i="6"/>
  <c r="CI63" i="6"/>
  <c r="CH63" i="6"/>
  <c r="CG63" i="6"/>
  <c r="CE63" i="6"/>
  <c r="CD63" i="6"/>
  <c r="CC63" i="6"/>
  <c r="CA63" i="6"/>
  <c r="BZ63" i="6"/>
  <c r="BY63" i="6"/>
  <c r="BW63" i="6"/>
  <c r="BV63" i="6"/>
  <c r="BU63" i="6"/>
  <c r="BS63" i="6"/>
  <c r="BR63" i="6"/>
  <c r="BQ63" i="6"/>
  <c r="BO63" i="6"/>
  <c r="BN63" i="6"/>
  <c r="BM63" i="6"/>
  <c r="BK63" i="6"/>
  <c r="BJ63" i="6"/>
  <c r="BI63" i="6"/>
  <c r="BG63" i="6"/>
  <c r="BF63" i="6"/>
  <c r="BE63" i="6"/>
  <c r="BC63" i="6"/>
  <c r="BB63" i="6"/>
  <c r="BA63" i="6"/>
  <c r="AY63" i="6"/>
  <c r="AX63" i="6"/>
  <c r="AW63" i="6"/>
  <c r="AU63" i="6"/>
  <c r="AT63" i="6"/>
  <c r="AS63" i="6"/>
  <c r="AQ63" i="6"/>
  <c r="AP63" i="6"/>
  <c r="AO63" i="6"/>
  <c r="AM63" i="6"/>
  <c r="AL63" i="6"/>
  <c r="AK63" i="6"/>
  <c r="AI63" i="6"/>
  <c r="AH63" i="6"/>
  <c r="AG63" i="6"/>
  <c r="AE63" i="6"/>
  <c r="AD63" i="6"/>
  <c r="AC63" i="6"/>
  <c r="AA63" i="6"/>
  <c r="Z63" i="6"/>
  <c r="Y63" i="6"/>
  <c r="W63" i="6"/>
  <c r="V63" i="6"/>
  <c r="U63" i="6"/>
  <c r="S63" i="6"/>
  <c r="R63" i="6"/>
  <c r="Q63" i="6"/>
  <c r="O63" i="6"/>
  <c r="N63" i="6"/>
  <c r="M63" i="6"/>
  <c r="K63" i="6"/>
  <c r="J63" i="6"/>
  <c r="I63" i="6"/>
  <c r="G63" i="6"/>
  <c r="F63" i="6"/>
  <c r="E63" i="6"/>
  <c r="DT62" i="6"/>
  <c r="DS62" i="6"/>
  <c r="DR62" i="6"/>
  <c r="DQ62" i="6"/>
  <c r="DP62" i="6"/>
  <c r="DO62" i="6"/>
  <c r="DN62" i="6"/>
  <c r="DM62" i="6"/>
  <c r="DL62" i="6"/>
  <c r="DK62" i="6"/>
  <c r="DJ62" i="6"/>
  <c r="DI62" i="6"/>
  <c r="DH62" i="6"/>
  <c r="DG62" i="6"/>
  <c r="DF62" i="6"/>
  <c r="DE62" i="6"/>
  <c r="DD62" i="6"/>
  <c r="DC62" i="6"/>
  <c r="DB62" i="6"/>
  <c r="DA62" i="6"/>
  <c r="CZ62" i="6"/>
  <c r="CY62" i="6"/>
  <c r="CX62" i="6"/>
  <c r="CW62" i="6"/>
  <c r="CV62" i="6"/>
  <c r="CU62" i="6"/>
  <c r="CT62" i="6"/>
  <c r="CS62" i="6"/>
  <c r="CR62" i="6"/>
  <c r="CQ62" i="6"/>
  <c r="CP62" i="6"/>
  <c r="CO62" i="6"/>
  <c r="CN62" i="6"/>
  <c r="CM62" i="6"/>
  <c r="CL62" i="6"/>
  <c r="CK62" i="6"/>
  <c r="CJ62" i="6"/>
  <c r="CI62" i="6"/>
  <c r="CH62" i="6"/>
  <c r="CG62" i="6"/>
  <c r="CE62" i="6"/>
  <c r="CD62" i="6"/>
  <c r="CC62" i="6"/>
  <c r="CA62" i="6"/>
  <c r="BZ62" i="6"/>
  <c r="BY62" i="6"/>
  <c r="BW62" i="6"/>
  <c r="BV62" i="6"/>
  <c r="BU62" i="6"/>
  <c r="BS62" i="6"/>
  <c r="BR62" i="6"/>
  <c r="BQ62" i="6"/>
  <c r="BO62" i="6"/>
  <c r="BN62" i="6"/>
  <c r="BM62" i="6"/>
  <c r="BK62" i="6"/>
  <c r="BJ62" i="6"/>
  <c r="BI62" i="6"/>
  <c r="BG62" i="6"/>
  <c r="BF62" i="6"/>
  <c r="BE62" i="6"/>
  <c r="BC62" i="6"/>
  <c r="BB62" i="6"/>
  <c r="BA62" i="6"/>
  <c r="AY62" i="6"/>
  <c r="AX62" i="6"/>
  <c r="AW62" i="6"/>
  <c r="AU62" i="6"/>
  <c r="AT62" i="6"/>
  <c r="AS62" i="6"/>
  <c r="AQ62" i="6"/>
  <c r="AP62" i="6"/>
  <c r="AO62" i="6"/>
  <c r="AM62" i="6"/>
  <c r="AL62" i="6"/>
  <c r="AK62" i="6"/>
  <c r="AI62" i="6"/>
  <c r="AH62" i="6"/>
  <c r="AG62" i="6"/>
  <c r="AE62" i="6"/>
  <c r="AD62" i="6"/>
  <c r="AC62" i="6"/>
  <c r="AA62" i="6"/>
  <c r="Z62" i="6"/>
  <c r="Y62" i="6"/>
  <c r="W62" i="6"/>
  <c r="V62" i="6"/>
  <c r="U62" i="6"/>
  <c r="S62" i="6"/>
  <c r="R62" i="6"/>
  <c r="Q62" i="6"/>
  <c r="O62" i="6"/>
  <c r="N62" i="6"/>
  <c r="M62" i="6"/>
  <c r="K62" i="6"/>
  <c r="J62" i="6"/>
  <c r="I62" i="6"/>
  <c r="G62" i="6"/>
  <c r="F62" i="6"/>
  <c r="E62" i="6"/>
  <c r="DT61" i="6"/>
  <c r="DS61" i="6"/>
  <c r="DR61" i="6"/>
  <c r="DQ61" i="6"/>
  <c r="DP61" i="6"/>
  <c r="DO61" i="6"/>
  <c r="DN61" i="6"/>
  <c r="DM61" i="6"/>
  <c r="DL61" i="6"/>
  <c r="DK61" i="6"/>
  <c r="DJ61" i="6"/>
  <c r="DI61" i="6"/>
  <c r="DH61" i="6"/>
  <c r="DG61" i="6"/>
  <c r="DF61" i="6"/>
  <c r="DE61" i="6"/>
  <c r="DD61" i="6"/>
  <c r="DC61" i="6"/>
  <c r="DB61" i="6"/>
  <c r="DA61" i="6"/>
  <c r="CZ61" i="6"/>
  <c r="CY61" i="6"/>
  <c r="CX61" i="6"/>
  <c r="CW61" i="6"/>
  <c r="CV61" i="6"/>
  <c r="CU61" i="6"/>
  <c r="CT61" i="6"/>
  <c r="CS61" i="6"/>
  <c r="CR61" i="6"/>
  <c r="CQ61" i="6"/>
  <c r="CP61" i="6"/>
  <c r="CO61" i="6"/>
  <c r="CN61" i="6"/>
  <c r="CM61" i="6"/>
  <c r="CL61" i="6"/>
  <c r="CK61" i="6"/>
  <c r="CJ61" i="6"/>
  <c r="CI61" i="6"/>
  <c r="CH61" i="6"/>
  <c r="CG61" i="6"/>
  <c r="DT60" i="6"/>
  <c r="DS60" i="6"/>
  <c r="DR60" i="6"/>
  <c r="DQ60" i="6"/>
  <c r="DP60" i="6"/>
  <c r="DO60" i="6"/>
  <c r="DN60" i="6"/>
  <c r="DM60" i="6"/>
  <c r="DL60" i="6"/>
  <c r="DK60" i="6"/>
  <c r="DJ60" i="6"/>
  <c r="DI60" i="6"/>
  <c r="DH60" i="6"/>
  <c r="DG60" i="6"/>
  <c r="DF60" i="6"/>
  <c r="DE60" i="6"/>
  <c r="DD60" i="6"/>
  <c r="DC60" i="6"/>
  <c r="DB60" i="6"/>
  <c r="DA60" i="6"/>
  <c r="CZ60" i="6"/>
  <c r="CY60" i="6"/>
  <c r="CX60" i="6"/>
  <c r="CW60" i="6"/>
  <c r="CV60" i="6"/>
  <c r="CU60" i="6"/>
  <c r="CT60" i="6"/>
  <c r="CS60" i="6"/>
  <c r="CR60" i="6"/>
  <c r="CQ60" i="6"/>
  <c r="CP60" i="6"/>
  <c r="CO60" i="6"/>
  <c r="CN60" i="6"/>
  <c r="CM60" i="6"/>
  <c r="CL60" i="6"/>
  <c r="CK60" i="6"/>
  <c r="CJ60" i="6"/>
  <c r="CI60" i="6"/>
  <c r="CH60" i="6"/>
  <c r="CG60" i="6"/>
  <c r="DT59" i="6"/>
  <c r="DS59" i="6"/>
  <c r="DR59" i="6"/>
  <c r="DQ59" i="6"/>
  <c r="DP59" i="6"/>
  <c r="DO59" i="6"/>
  <c r="DN59" i="6"/>
  <c r="DM59" i="6"/>
  <c r="DL59" i="6"/>
  <c r="DK59" i="6"/>
  <c r="DJ59" i="6"/>
  <c r="DI59" i="6"/>
  <c r="DH59" i="6"/>
  <c r="DG59" i="6"/>
  <c r="DF59" i="6"/>
  <c r="DE59" i="6"/>
  <c r="DD59" i="6"/>
  <c r="DC59" i="6"/>
  <c r="DB59" i="6"/>
  <c r="DA59" i="6"/>
  <c r="CZ59" i="6"/>
  <c r="CY59" i="6"/>
  <c r="CX59" i="6"/>
  <c r="CW59" i="6"/>
  <c r="CV59" i="6"/>
  <c r="CU59" i="6"/>
  <c r="CT59" i="6"/>
  <c r="CS59" i="6"/>
  <c r="CR59" i="6"/>
  <c r="CQ59" i="6"/>
  <c r="CP59" i="6"/>
  <c r="CO59" i="6"/>
  <c r="CN59" i="6"/>
  <c r="CM59" i="6"/>
  <c r="CL59" i="6"/>
  <c r="CK59" i="6"/>
  <c r="CJ59" i="6"/>
  <c r="CI59" i="6"/>
  <c r="CH59" i="6"/>
  <c r="CG59" i="6"/>
  <c r="DT58" i="6"/>
  <c r="DS58" i="6"/>
  <c r="DR58" i="6"/>
  <c r="DQ58" i="6"/>
  <c r="DP58" i="6"/>
  <c r="DO58" i="6"/>
  <c r="DN58" i="6"/>
  <c r="DM58" i="6"/>
  <c r="DL58" i="6"/>
  <c r="DK58" i="6"/>
  <c r="DJ58" i="6"/>
  <c r="DI58" i="6"/>
  <c r="DH58" i="6"/>
  <c r="DG58" i="6"/>
  <c r="DF58" i="6"/>
  <c r="DE58" i="6"/>
  <c r="DD58" i="6"/>
  <c r="DC58" i="6"/>
  <c r="DB58" i="6"/>
  <c r="DA58" i="6"/>
  <c r="CZ58" i="6"/>
  <c r="CY58" i="6"/>
  <c r="CX58" i="6"/>
  <c r="CW58" i="6"/>
  <c r="CV58" i="6"/>
  <c r="CU58" i="6"/>
  <c r="CT58" i="6"/>
  <c r="CS58" i="6"/>
  <c r="CR58" i="6"/>
  <c r="CQ58" i="6"/>
  <c r="CP58" i="6"/>
  <c r="CO58" i="6"/>
  <c r="CN58" i="6"/>
  <c r="CM58" i="6"/>
  <c r="CL58" i="6"/>
  <c r="CK58" i="6"/>
  <c r="CJ58" i="6"/>
  <c r="CI58" i="6"/>
  <c r="CH58" i="6"/>
  <c r="CG58" i="6"/>
  <c r="DT57" i="6"/>
  <c r="DS57" i="6"/>
  <c r="DR57" i="6"/>
  <c r="DQ57" i="6"/>
  <c r="DP57" i="6"/>
  <c r="DO57" i="6"/>
  <c r="DN57" i="6"/>
  <c r="DM57" i="6"/>
  <c r="DL57" i="6"/>
  <c r="DK57" i="6"/>
  <c r="DJ57" i="6"/>
  <c r="DI57" i="6"/>
  <c r="DH57" i="6"/>
  <c r="DG57" i="6"/>
  <c r="DF57" i="6"/>
  <c r="DE57" i="6"/>
  <c r="DD57" i="6"/>
  <c r="DC57" i="6"/>
  <c r="DB57" i="6"/>
  <c r="DA57" i="6"/>
  <c r="CZ57" i="6"/>
  <c r="CY57" i="6"/>
  <c r="CX57" i="6"/>
  <c r="CW57" i="6"/>
  <c r="CV57" i="6"/>
  <c r="CU57" i="6"/>
  <c r="CT57" i="6"/>
  <c r="CS57" i="6"/>
  <c r="CR57" i="6"/>
  <c r="CQ57" i="6"/>
  <c r="CP57" i="6"/>
  <c r="CO57" i="6"/>
  <c r="CN57" i="6"/>
  <c r="CM57" i="6"/>
  <c r="CL57" i="6"/>
  <c r="CK57" i="6"/>
  <c r="CJ57" i="6"/>
  <c r="CI57" i="6"/>
  <c r="CH57" i="6"/>
  <c r="CG57" i="6"/>
  <c r="DT56" i="6"/>
  <c r="DS56" i="6"/>
  <c r="DR56" i="6"/>
  <c r="DQ56" i="6"/>
  <c r="DP56" i="6"/>
  <c r="DO56" i="6"/>
  <c r="DN56" i="6"/>
  <c r="DM56" i="6"/>
  <c r="DL56" i="6"/>
  <c r="DK56" i="6"/>
  <c r="DJ56" i="6"/>
  <c r="DI56" i="6"/>
  <c r="DH56" i="6"/>
  <c r="DG56" i="6"/>
  <c r="DF56" i="6"/>
  <c r="DE56" i="6"/>
  <c r="DD56" i="6"/>
  <c r="DC56" i="6"/>
  <c r="DB56" i="6"/>
  <c r="DA56" i="6"/>
  <c r="CZ56" i="6"/>
  <c r="CY56" i="6"/>
  <c r="CX56" i="6"/>
  <c r="CW56" i="6"/>
  <c r="CV56" i="6"/>
  <c r="CU56" i="6"/>
  <c r="CT56" i="6"/>
  <c r="CS56" i="6"/>
  <c r="CR56" i="6"/>
  <c r="CQ56" i="6"/>
  <c r="CP56" i="6"/>
  <c r="CO56" i="6"/>
  <c r="CN56" i="6"/>
  <c r="CM56" i="6"/>
  <c r="CL56" i="6"/>
  <c r="CK56" i="6"/>
  <c r="CJ56" i="6"/>
  <c r="CI56" i="6"/>
  <c r="CH56" i="6"/>
  <c r="CG56" i="6"/>
  <c r="DT55" i="6"/>
  <c r="DS55" i="6"/>
  <c r="DR55" i="6"/>
  <c r="DQ55" i="6"/>
  <c r="DP55" i="6"/>
  <c r="DO55" i="6"/>
  <c r="DN55" i="6"/>
  <c r="DM55" i="6"/>
  <c r="DL55" i="6"/>
  <c r="DK55" i="6"/>
  <c r="DJ55" i="6"/>
  <c r="DI55" i="6"/>
  <c r="DH55" i="6"/>
  <c r="DG55" i="6"/>
  <c r="DF55" i="6"/>
  <c r="DE55" i="6"/>
  <c r="DD55" i="6"/>
  <c r="DC55" i="6"/>
  <c r="DB55" i="6"/>
  <c r="DA55" i="6"/>
  <c r="CZ55" i="6"/>
  <c r="CY55" i="6"/>
  <c r="CX55" i="6"/>
  <c r="CW55" i="6"/>
  <c r="CV55" i="6"/>
  <c r="CU55" i="6"/>
  <c r="CT55" i="6"/>
  <c r="CS55" i="6"/>
  <c r="CR55" i="6"/>
  <c r="CQ55" i="6"/>
  <c r="CP55" i="6"/>
  <c r="CO55" i="6"/>
  <c r="CN55" i="6"/>
  <c r="CM55" i="6"/>
  <c r="CL55" i="6"/>
  <c r="CK55" i="6"/>
  <c r="CJ55" i="6"/>
  <c r="CI55" i="6"/>
  <c r="CH55" i="6"/>
  <c r="CG55" i="6"/>
  <c r="DT54" i="6"/>
  <c r="DS54" i="6"/>
  <c r="DR54" i="6"/>
  <c r="DQ54" i="6"/>
  <c r="DP54" i="6"/>
  <c r="DO54" i="6"/>
  <c r="DN54" i="6"/>
  <c r="DM54" i="6"/>
  <c r="DL54" i="6"/>
  <c r="DK54" i="6"/>
  <c r="DJ54" i="6"/>
  <c r="DI54" i="6"/>
  <c r="DH54" i="6"/>
  <c r="DG54" i="6"/>
  <c r="DF54" i="6"/>
  <c r="DE54" i="6"/>
  <c r="DD54" i="6"/>
  <c r="DC54" i="6"/>
  <c r="DB54" i="6"/>
  <c r="DA54" i="6"/>
  <c r="CZ54" i="6"/>
  <c r="CY54" i="6"/>
  <c r="CX54" i="6"/>
  <c r="CW54" i="6"/>
  <c r="CV54" i="6"/>
  <c r="CU54" i="6"/>
  <c r="CT54" i="6"/>
  <c r="CS54" i="6"/>
  <c r="CR54" i="6"/>
  <c r="CQ54" i="6"/>
  <c r="CP54" i="6"/>
  <c r="CO54" i="6"/>
  <c r="CN54" i="6"/>
  <c r="CM54" i="6"/>
  <c r="CL54" i="6"/>
  <c r="CK54" i="6"/>
  <c r="CJ54" i="6"/>
  <c r="CI54" i="6"/>
  <c r="CH54" i="6"/>
  <c r="CG54" i="6"/>
  <c r="DT53" i="6"/>
  <c r="DS53" i="6"/>
  <c r="DR53" i="6"/>
  <c r="DQ53" i="6"/>
  <c r="DP53" i="6"/>
  <c r="DO53" i="6"/>
  <c r="DN53" i="6"/>
  <c r="DM53" i="6"/>
  <c r="DL53" i="6"/>
  <c r="DK53" i="6"/>
  <c r="DJ53" i="6"/>
  <c r="DI53" i="6"/>
  <c r="DH53" i="6"/>
  <c r="DG53" i="6"/>
  <c r="DF53" i="6"/>
  <c r="DE53" i="6"/>
  <c r="DD53" i="6"/>
  <c r="DC53" i="6"/>
  <c r="DB53" i="6"/>
  <c r="DA53" i="6"/>
  <c r="CZ53" i="6"/>
  <c r="CY53" i="6"/>
  <c r="CX53" i="6"/>
  <c r="CW53" i="6"/>
  <c r="CV53" i="6"/>
  <c r="CU53" i="6"/>
  <c r="CT53" i="6"/>
  <c r="CS53" i="6"/>
  <c r="CR53" i="6"/>
  <c r="CQ53" i="6"/>
  <c r="CP53" i="6"/>
  <c r="CO53" i="6"/>
  <c r="CN53" i="6"/>
  <c r="CM53" i="6"/>
  <c r="CL53" i="6"/>
  <c r="CK53" i="6"/>
  <c r="CJ53" i="6"/>
  <c r="CI53" i="6"/>
  <c r="CH53" i="6"/>
  <c r="CG53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DT51" i="6"/>
  <c r="DS51" i="6"/>
  <c r="DR51" i="6"/>
  <c r="DQ51" i="6"/>
  <c r="DP51" i="6"/>
  <c r="DO51" i="6"/>
  <c r="DN51" i="6"/>
  <c r="DM51" i="6"/>
  <c r="DL51" i="6"/>
  <c r="DK51" i="6"/>
  <c r="DJ51" i="6"/>
  <c r="DI51" i="6"/>
  <c r="DH51" i="6"/>
  <c r="DG51" i="6"/>
  <c r="DF51" i="6"/>
  <c r="DE51" i="6"/>
  <c r="DD51" i="6"/>
  <c r="DC51" i="6"/>
  <c r="DB51" i="6"/>
  <c r="DA51" i="6"/>
  <c r="CZ51" i="6"/>
  <c r="CY51" i="6"/>
  <c r="CX51" i="6"/>
  <c r="CW51" i="6"/>
  <c r="CV51" i="6"/>
  <c r="CU51" i="6"/>
  <c r="CT51" i="6"/>
  <c r="CS51" i="6"/>
  <c r="CR51" i="6"/>
  <c r="CQ51" i="6"/>
  <c r="CP51" i="6"/>
  <c r="CO51" i="6"/>
  <c r="CN51" i="6"/>
  <c r="CM51" i="6"/>
  <c r="CL51" i="6"/>
  <c r="CK51" i="6"/>
  <c r="CJ51" i="6"/>
  <c r="CI51" i="6"/>
  <c r="CH51" i="6"/>
  <c r="CG51" i="6"/>
  <c r="DT50" i="6"/>
  <c r="DS50" i="6"/>
  <c r="DR50" i="6"/>
  <c r="DQ50" i="6"/>
  <c r="DP50" i="6"/>
  <c r="DO50" i="6"/>
  <c r="DN50" i="6"/>
  <c r="DM50" i="6"/>
  <c r="DL50" i="6"/>
  <c r="DK50" i="6"/>
  <c r="DJ50" i="6"/>
  <c r="DI50" i="6"/>
  <c r="DH50" i="6"/>
  <c r="DG50" i="6"/>
  <c r="DF50" i="6"/>
  <c r="DE50" i="6"/>
  <c r="DD50" i="6"/>
  <c r="DC50" i="6"/>
  <c r="DB50" i="6"/>
  <c r="DA50" i="6"/>
  <c r="CZ50" i="6"/>
  <c r="CY50" i="6"/>
  <c r="CX50" i="6"/>
  <c r="CW50" i="6"/>
  <c r="CV50" i="6"/>
  <c r="CU50" i="6"/>
  <c r="CT50" i="6"/>
  <c r="CS50" i="6"/>
  <c r="CR50" i="6"/>
  <c r="CQ50" i="6"/>
  <c r="CP50" i="6"/>
  <c r="CO50" i="6"/>
  <c r="CN50" i="6"/>
  <c r="CM50" i="6"/>
  <c r="CL50" i="6"/>
  <c r="CK50" i="6"/>
  <c r="CJ50" i="6"/>
  <c r="CI50" i="6"/>
  <c r="CH50" i="6"/>
  <c r="CG50" i="6"/>
  <c r="D50" i="6"/>
  <c r="DT49" i="6"/>
  <c r="DS49" i="6"/>
  <c r="DR49" i="6"/>
  <c r="DQ49" i="6"/>
  <c r="DP49" i="6"/>
  <c r="DO49" i="6"/>
  <c r="DN49" i="6"/>
  <c r="DM49" i="6"/>
  <c r="DL49" i="6"/>
  <c r="DK49" i="6"/>
  <c r="DJ49" i="6"/>
  <c r="DI49" i="6"/>
  <c r="DH49" i="6"/>
  <c r="DG49" i="6"/>
  <c r="DF49" i="6"/>
  <c r="DE49" i="6"/>
  <c r="DD49" i="6"/>
  <c r="DC49" i="6"/>
  <c r="DB49" i="6"/>
  <c r="DA49" i="6"/>
  <c r="CZ49" i="6"/>
  <c r="CY49" i="6"/>
  <c r="CX49" i="6"/>
  <c r="CW49" i="6"/>
  <c r="CV49" i="6"/>
  <c r="CU49" i="6"/>
  <c r="CT49" i="6"/>
  <c r="CS49" i="6"/>
  <c r="CR49" i="6"/>
  <c r="CQ49" i="6"/>
  <c r="CP49" i="6"/>
  <c r="CO49" i="6"/>
  <c r="CN49" i="6"/>
  <c r="CM49" i="6"/>
  <c r="CL49" i="6"/>
  <c r="CK49" i="6"/>
  <c r="CJ49" i="6"/>
  <c r="CI49" i="6"/>
  <c r="CH49" i="6"/>
  <c r="CG49" i="6"/>
  <c r="CF49" i="6"/>
  <c r="CE49" i="6"/>
  <c r="CD49" i="6"/>
  <c r="CC49" i="6"/>
  <c r="CB49" i="6"/>
  <c r="CA49" i="6"/>
  <c r="BZ49" i="6"/>
  <c r="BY49" i="6"/>
  <c r="BX49" i="6"/>
  <c r="BW49" i="6"/>
  <c r="BV49" i="6"/>
  <c r="BU49" i="6"/>
  <c r="BT49" i="6"/>
  <c r="BS49" i="6"/>
  <c r="BR49" i="6"/>
  <c r="BQ49" i="6"/>
  <c r="BP49" i="6"/>
  <c r="BO49" i="6"/>
  <c r="BN49" i="6"/>
  <c r="BM49" i="6"/>
  <c r="BL49" i="6"/>
  <c r="BK49" i="6"/>
  <c r="BJ49" i="6"/>
  <c r="BI49" i="6"/>
  <c r="BH49" i="6"/>
  <c r="BG49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DT47" i="6"/>
  <c r="DS47" i="6"/>
  <c r="DR47" i="6"/>
  <c r="DQ47" i="6"/>
  <c r="DP47" i="6"/>
  <c r="DO47" i="6"/>
  <c r="DN47" i="6"/>
  <c r="DM47" i="6"/>
  <c r="DL47" i="6"/>
  <c r="DK47" i="6"/>
  <c r="DJ47" i="6"/>
  <c r="DI47" i="6"/>
  <c r="DH47" i="6"/>
  <c r="DG47" i="6"/>
  <c r="DF47" i="6"/>
  <c r="DE47" i="6"/>
  <c r="DD47" i="6"/>
  <c r="DC47" i="6"/>
  <c r="DB47" i="6"/>
  <c r="DA47" i="6"/>
  <c r="CZ47" i="6"/>
  <c r="CY47" i="6"/>
  <c r="CX47" i="6"/>
  <c r="CW47" i="6"/>
  <c r="CV47" i="6"/>
  <c r="CU47" i="6"/>
  <c r="CT47" i="6"/>
  <c r="CS47" i="6"/>
  <c r="CR47" i="6"/>
  <c r="CQ47" i="6"/>
  <c r="CP47" i="6"/>
  <c r="CO47" i="6"/>
  <c r="CN47" i="6"/>
  <c r="CM47" i="6"/>
  <c r="CL47" i="6"/>
  <c r="CK47" i="6"/>
  <c r="CJ47" i="6"/>
  <c r="CI47" i="6"/>
  <c r="CH47" i="6"/>
  <c r="CG47" i="6"/>
  <c r="DT46" i="6"/>
  <c r="DS46" i="6"/>
  <c r="DR46" i="6"/>
  <c r="DQ46" i="6"/>
  <c r="DP46" i="6"/>
  <c r="DO46" i="6"/>
  <c r="DN46" i="6"/>
  <c r="DM46" i="6"/>
  <c r="DL46" i="6"/>
  <c r="DK46" i="6"/>
  <c r="DJ46" i="6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DT45" i="6"/>
  <c r="DS45" i="6"/>
  <c r="DR45" i="6"/>
  <c r="DQ45" i="6"/>
  <c r="DP45" i="6"/>
  <c r="DO45" i="6"/>
  <c r="DN45" i="6"/>
  <c r="DM45" i="6"/>
  <c r="DL45" i="6"/>
  <c r="DK45" i="6"/>
  <c r="DJ45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DT44" i="6"/>
  <c r="DS44" i="6"/>
  <c r="DR44" i="6"/>
  <c r="DQ44" i="6"/>
  <c r="DP44" i="6"/>
  <c r="DO44" i="6"/>
  <c r="DN44" i="6"/>
  <c r="DM44" i="6"/>
  <c r="DL44" i="6"/>
  <c r="DK44" i="6"/>
  <c r="DJ44" i="6"/>
  <c r="DI44" i="6"/>
  <c r="DH44" i="6"/>
  <c r="DG44" i="6"/>
  <c r="DF44" i="6"/>
  <c r="DE44" i="6"/>
  <c r="DD44" i="6"/>
  <c r="DC44" i="6"/>
  <c r="DB44" i="6"/>
  <c r="DA44" i="6"/>
  <c r="CZ44" i="6"/>
  <c r="CY44" i="6"/>
  <c r="CX44" i="6"/>
  <c r="CW44" i="6"/>
  <c r="CV44" i="6"/>
  <c r="CU44" i="6"/>
  <c r="CT44" i="6"/>
  <c r="CS44" i="6"/>
  <c r="CR44" i="6"/>
  <c r="CQ44" i="6"/>
  <c r="CP44" i="6"/>
  <c r="CO44" i="6"/>
  <c r="CN44" i="6"/>
  <c r="CM44" i="6"/>
  <c r="CL44" i="6"/>
  <c r="CK44" i="6"/>
  <c r="CJ44" i="6"/>
  <c r="CI44" i="6"/>
  <c r="CH44" i="6"/>
  <c r="CG44" i="6"/>
  <c r="DT43" i="6"/>
  <c r="DS43" i="6"/>
  <c r="DR43" i="6"/>
  <c r="DQ43" i="6"/>
  <c r="DP43" i="6"/>
  <c r="DO43" i="6"/>
  <c r="DN43" i="6"/>
  <c r="DM43" i="6"/>
  <c r="DL43" i="6"/>
  <c r="DK43" i="6"/>
  <c r="DJ43" i="6"/>
  <c r="DI43" i="6"/>
  <c r="DH43" i="6"/>
  <c r="DG43" i="6"/>
  <c r="DF43" i="6"/>
  <c r="DE43" i="6"/>
  <c r="DD43" i="6"/>
  <c r="DC43" i="6"/>
  <c r="DB43" i="6"/>
  <c r="DA43" i="6"/>
  <c r="CZ43" i="6"/>
  <c r="CY43" i="6"/>
  <c r="CX43" i="6"/>
  <c r="CW43" i="6"/>
  <c r="CV43" i="6"/>
  <c r="CU43" i="6"/>
  <c r="CT43" i="6"/>
  <c r="CS43" i="6"/>
  <c r="CR43" i="6"/>
  <c r="CQ43" i="6"/>
  <c r="CP43" i="6"/>
  <c r="CO43" i="6"/>
  <c r="CN43" i="6"/>
  <c r="CM43" i="6"/>
  <c r="CL43" i="6"/>
  <c r="CK43" i="6"/>
  <c r="CJ43" i="6"/>
  <c r="CI43" i="6"/>
  <c r="CH43" i="6"/>
  <c r="CG43" i="6"/>
  <c r="DT42" i="6"/>
  <c r="DS42" i="6"/>
  <c r="DR42" i="6"/>
  <c r="DQ42" i="6"/>
  <c r="DP42" i="6"/>
  <c r="DO42" i="6"/>
  <c r="DN42" i="6"/>
  <c r="DM42" i="6"/>
  <c r="DL42" i="6"/>
  <c r="DK42" i="6"/>
  <c r="DJ42" i="6"/>
  <c r="DI42" i="6"/>
  <c r="DH42" i="6"/>
  <c r="DG42" i="6"/>
  <c r="DF42" i="6"/>
  <c r="DE42" i="6"/>
  <c r="DD42" i="6"/>
  <c r="DC42" i="6"/>
  <c r="DB42" i="6"/>
  <c r="DA42" i="6"/>
  <c r="CZ42" i="6"/>
  <c r="CY42" i="6"/>
  <c r="CX42" i="6"/>
  <c r="CW42" i="6"/>
  <c r="CV42" i="6"/>
  <c r="CU42" i="6"/>
  <c r="CT42" i="6"/>
  <c r="CS42" i="6"/>
  <c r="CR42" i="6"/>
  <c r="CQ42" i="6"/>
  <c r="CP42" i="6"/>
  <c r="CO42" i="6"/>
  <c r="CN42" i="6"/>
  <c r="CM42" i="6"/>
  <c r="CL42" i="6"/>
  <c r="CK42" i="6"/>
  <c r="CJ42" i="6"/>
  <c r="CI42" i="6"/>
  <c r="CH42" i="6"/>
  <c r="CG42" i="6"/>
  <c r="DT41" i="6"/>
  <c r="DS41" i="6"/>
  <c r="DR41" i="6"/>
  <c r="DQ41" i="6"/>
  <c r="DP41" i="6"/>
  <c r="DO41" i="6"/>
  <c r="DN41" i="6"/>
  <c r="DM41" i="6"/>
  <c r="DL41" i="6"/>
  <c r="DK41" i="6"/>
  <c r="DJ41" i="6"/>
  <c r="DI41" i="6"/>
  <c r="DH41" i="6"/>
  <c r="DG41" i="6"/>
  <c r="DF41" i="6"/>
  <c r="DE41" i="6"/>
  <c r="DD41" i="6"/>
  <c r="DC41" i="6"/>
  <c r="DB41" i="6"/>
  <c r="DA41" i="6"/>
  <c r="CZ41" i="6"/>
  <c r="CY41" i="6"/>
  <c r="CX41" i="6"/>
  <c r="CW41" i="6"/>
  <c r="CV41" i="6"/>
  <c r="CU41" i="6"/>
  <c r="CT41" i="6"/>
  <c r="CS41" i="6"/>
  <c r="CR41" i="6"/>
  <c r="CQ41" i="6"/>
  <c r="CP41" i="6"/>
  <c r="CO41" i="6"/>
  <c r="CN41" i="6"/>
  <c r="CM41" i="6"/>
  <c r="CL41" i="6"/>
  <c r="CK41" i="6"/>
  <c r="CJ41" i="6"/>
  <c r="CI41" i="6"/>
  <c r="CH41" i="6"/>
  <c r="CG41" i="6"/>
  <c r="DT40" i="6"/>
  <c r="DS40" i="6"/>
  <c r="DR40" i="6"/>
  <c r="DQ40" i="6"/>
  <c r="DP40" i="6"/>
  <c r="DO40" i="6"/>
  <c r="DN40" i="6"/>
  <c r="DM40" i="6"/>
  <c r="DL40" i="6"/>
  <c r="DK40" i="6"/>
  <c r="DJ40" i="6"/>
  <c r="DI40" i="6"/>
  <c r="DH40" i="6"/>
  <c r="DG40" i="6"/>
  <c r="DF40" i="6"/>
  <c r="DE40" i="6"/>
  <c r="DD40" i="6"/>
  <c r="DC40" i="6"/>
  <c r="DB40" i="6"/>
  <c r="DA40" i="6"/>
  <c r="CZ40" i="6"/>
  <c r="CY40" i="6"/>
  <c r="CX40" i="6"/>
  <c r="CW40" i="6"/>
  <c r="CV40" i="6"/>
  <c r="CU40" i="6"/>
  <c r="CT40" i="6"/>
  <c r="CS40" i="6"/>
  <c r="CR40" i="6"/>
  <c r="CQ40" i="6"/>
  <c r="CP40" i="6"/>
  <c r="CO40" i="6"/>
  <c r="CN40" i="6"/>
  <c r="CM40" i="6"/>
  <c r="CL40" i="6"/>
  <c r="CK40" i="6"/>
  <c r="CJ40" i="6"/>
  <c r="CI40" i="6"/>
  <c r="CH40" i="6"/>
  <c r="CG40" i="6"/>
  <c r="DT39" i="6"/>
  <c r="DS39" i="6"/>
  <c r="DR39" i="6"/>
  <c r="DQ39" i="6"/>
  <c r="DP39" i="6"/>
  <c r="DO39" i="6"/>
  <c r="DN39" i="6"/>
  <c r="DM39" i="6"/>
  <c r="DL39" i="6"/>
  <c r="DK39" i="6"/>
  <c r="DJ39" i="6"/>
  <c r="DI39" i="6"/>
  <c r="DH39" i="6"/>
  <c r="DG39" i="6"/>
  <c r="DF39" i="6"/>
  <c r="DE39" i="6"/>
  <c r="DD39" i="6"/>
  <c r="DC39" i="6"/>
  <c r="DB39" i="6"/>
  <c r="DA39" i="6"/>
  <c r="CZ39" i="6"/>
  <c r="CY39" i="6"/>
  <c r="CX39" i="6"/>
  <c r="CW39" i="6"/>
  <c r="CV39" i="6"/>
  <c r="CU39" i="6"/>
  <c r="CT39" i="6"/>
  <c r="CS39" i="6"/>
  <c r="CR39" i="6"/>
  <c r="CQ39" i="6"/>
  <c r="CP39" i="6"/>
  <c r="CO39" i="6"/>
  <c r="CN39" i="6"/>
  <c r="CM39" i="6"/>
  <c r="CL39" i="6"/>
  <c r="CK39" i="6"/>
  <c r="CJ39" i="6"/>
  <c r="CI39" i="6"/>
  <c r="CH39" i="6"/>
  <c r="CG39" i="6"/>
  <c r="DT38" i="6"/>
  <c r="DS38" i="6"/>
  <c r="DR38" i="6"/>
  <c r="DQ38" i="6"/>
  <c r="DP38" i="6"/>
  <c r="DO38" i="6"/>
  <c r="DN38" i="6"/>
  <c r="DM38" i="6"/>
  <c r="DL38" i="6"/>
  <c r="DK38" i="6"/>
  <c r="DJ38" i="6"/>
  <c r="DI38" i="6"/>
  <c r="DH38" i="6"/>
  <c r="DG38" i="6"/>
  <c r="DF38" i="6"/>
  <c r="DE38" i="6"/>
  <c r="DD38" i="6"/>
  <c r="DC38" i="6"/>
  <c r="DB38" i="6"/>
  <c r="DA38" i="6"/>
  <c r="CZ38" i="6"/>
  <c r="CY38" i="6"/>
  <c r="CX38" i="6"/>
  <c r="CW38" i="6"/>
  <c r="CV38" i="6"/>
  <c r="CU38" i="6"/>
  <c r="CT38" i="6"/>
  <c r="CS38" i="6"/>
  <c r="CR38" i="6"/>
  <c r="CQ38" i="6"/>
  <c r="CP38" i="6"/>
  <c r="CO38" i="6"/>
  <c r="CN38" i="6"/>
  <c r="CM38" i="6"/>
  <c r="CL38" i="6"/>
  <c r="CK38" i="6"/>
  <c r="CJ38" i="6"/>
  <c r="CI38" i="6"/>
  <c r="CH38" i="6"/>
  <c r="CG38" i="6"/>
  <c r="DT37" i="6"/>
  <c r="DS37" i="6"/>
  <c r="DR37" i="6"/>
  <c r="DQ37" i="6"/>
  <c r="DP37" i="6"/>
  <c r="DO37" i="6"/>
  <c r="DN37" i="6"/>
  <c r="DM37" i="6"/>
  <c r="DL37" i="6"/>
  <c r="DK37" i="6"/>
  <c r="DJ37" i="6"/>
  <c r="DI37" i="6"/>
  <c r="DH37" i="6"/>
  <c r="DG37" i="6"/>
  <c r="DF37" i="6"/>
  <c r="DE37" i="6"/>
  <c r="DD37" i="6"/>
  <c r="DC37" i="6"/>
  <c r="DB37" i="6"/>
  <c r="DA37" i="6"/>
  <c r="CZ37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DT36" i="6"/>
  <c r="DS36" i="6"/>
  <c r="DR36" i="6"/>
  <c r="DQ36" i="6"/>
  <c r="DP36" i="6"/>
  <c r="DO36" i="6"/>
  <c r="DN36" i="6"/>
  <c r="DM36" i="6"/>
  <c r="DL36" i="6"/>
  <c r="DK36" i="6"/>
  <c r="DJ36" i="6"/>
  <c r="DI36" i="6"/>
  <c r="DH36" i="6"/>
  <c r="DG36" i="6"/>
  <c r="DF36" i="6"/>
  <c r="DE36" i="6"/>
  <c r="DD36" i="6"/>
  <c r="DC36" i="6"/>
  <c r="DB36" i="6"/>
  <c r="DA36" i="6"/>
  <c r="CZ36" i="6"/>
  <c r="CY36" i="6"/>
  <c r="CX36" i="6"/>
  <c r="CW36" i="6"/>
  <c r="CV36" i="6"/>
  <c r="CU36" i="6"/>
  <c r="CT36" i="6"/>
  <c r="CS36" i="6"/>
  <c r="CR36" i="6"/>
  <c r="CQ36" i="6"/>
  <c r="CP36" i="6"/>
  <c r="CO36" i="6"/>
  <c r="CN36" i="6"/>
  <c r="CM36" i="6"/>
  <c r="CL36" i="6"/>
  <c r="CK36" i="6"/>
  <c r="CJ36" i="6"/>
  <c r="CI36" i="6"/>
  <c r="CH36" i="6"/>
  <c r="CG36" i="6"/>
  <c r="DT35" i="6"/>
  <c r="DS35" i="6"/>
  <c r="DR35" i="6"/>
  <c r="DQ35" i="6"/>
  <c r="DP35" i="6"/>
  <c r="DO35" i="6"/>
  <c r="DN35" i="6"/>
  <c r="DM35" i="6"/>
  <c r="DL35" i="6"/>
  <c r="DK35" i="6"/>
  <c r="DJ35" i="6"/>
  <c r="DI35" i="6"/>
  <c r="DH35" i="6"/>
  <c r="DG35" i="6"/>
  <c r="DF35" i="6"/>
  <c r="DE35" i="6"/>
  <c r="DD35" i="6"/>
  <c r="DC35" i="6"/>
  <c r="DB35" i="6"/>
  <c r="DA35" i="6"/>
  <c r="CZ35" i="6"/>
  <c r="CY35" i="6"/>
  <c r="CX35" i="6"/>
  <c r="CW35" i="6"/>
  <c r="CV35" i="6"/>
  <c r="CU35" i="6"/>
  <c r="CT35" i="6"/>
  <c r="CS35" i="6"/>
  <c r="CR35" i="6"/>
  <c r="CQ35" i="6"/>
  <c r="CP35" i="6"/>
  <c r="CO35" i="6"/>
  <c r="CN35" i="6"/>
  <c r="CM35" i="6"/>
  <c r="CL35" i="6"/>
  <c r="CK35" i="6"/>
  <c r="CJ35" i="6"/>
  <c r="CI35" i="6"/>
  <c r="CH35" i="6"/>
  <c r="CG35" i="6"/>
  <c r="DT34" i="6"/>
  <c r="DS34" i="6"/>
  <c r="DR34" i="6"/>
  <c r="DQ34" i="6"/>
  <c r="DP34" i="6"/>
  <c r="DO34" i="6"/>
  <c r="DN34" i="6"/>
  <c r="DM34" i="6"/>
  <c r="DL34" i="6"/>
  <c r="DK34" i="6"/>
  <c r="DJ34" i="6"/>
  <c r="DI34" i="6"/>
  <c r="DH34" i="6"/>
  <c r="DG34" i="6"/>
  <c r="DF34" i="6"/>
  <c r="DE34" i="6"/>
  <c r="DD34" i="6"/>
  <c r="DC34" i="6"/>
  <c r="DB34" i="6"/>
  <c r="DA34" i="6"/>
  <c r="CZ34" i="6"/>
  <c r="CY34" i="6"/>
  <c r="CX34" i="6"/>
  <c r="CW34" i="6"/>
  <c r="CV34" i="6"/>
  <c r="CU34" i="6"/>
  <c r="CT34" i="6"/>
  <c r="CS34" i="6"/>
  <c r="CR34" i="6"/>
  <c r="CQ34" i="6"/>
  <c r="CP34" i="6"/>
  <c r="CO34" i="6"/>
  <c r="CN34" i="6"/>
  <c r="CM34" i="6"/>
  <c r="CL34" i="6"/>
  <c r="CK34" i="6"/>
  <c r="CJ34" i="6"/>
  <c r="CI34" i="6"/>
  <c r="CH34" i="6"/>
  <c r="CG34" i="6"/>
  <c r="DT33" i="6"/>
  <c r="DS33" i="6"/>
  <c r="DR33" i="6"/>
  <c r="DQ33" i="6"/>
  <c r="DP33" i="6"/>
  <c r="DO33" i="6"/>
  <c r="DN33" i="6"/>
  <c r="DM33" i="6"/>
  <c r="DL33" i="6"/>
  <c r="DK33" i="6"/>
  <c r="DJ33" i="6"/>
  <c r="DI33" i="6"/>
  <c r="DH33" i="6"/>
  <c r="DG33" i="6"/>
  <c r="DF33" i="6"/>
  <c r="DE33" i="6"/>
  <c r="DD33" i="6"/>
  <c r="DC33" i="6"/>
  <c r="DB33" i="6"/>
  <c r="DA33" i="6"/>
  <c r="CZ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I33" i="6"/>
  <c r="CH33" i="6"/>
  <c r="CG33" i="6"/>
  <c r="DT32" i="6"/>
  <c r="DS32" i="6"/>
  <c r="DR32" i="6"/>
  <c r="DQ32" i="6"/>
  <c r="DP32" i="6"/>
  <c r="DO32" i="6"/>
  <c r="DN32" i="6"/>
  <c r="DM32" i="6"/>
  <c r="DL32" i="6"/>
  <c r="DK32" i="6"/>
  <c r="DJ32" i="6"/>
  <c r="DI32" i="6"/>
  <c r="DH32" i="6"/>
  <c r="DG32" i="6"/>
  <c r="DF32" i="6"/>
  <c r="DE32" i="6"/>
  <c r="DD32" i="6"/>
  <c r="DC32" i="6"/>
  <c r="DB32" i="6"/>
  <c r="DA32" i="6"/>
  <c r="CZ32" i="6"/>
  <c r="CY32" i="6"/>
  <c r="CX32" i="6"/>
  <c r="CW32" i="6"/>
  <c r="CV32" i="6"/>
  <c r="CU32" i="6"/>
  <c r="CT32" i="6"/>
  <c r="CS32" i="6"/>
  <c r="CR32" i="6"/>
  <c r="CQ32" i="6"/>
  <c r="CP32" i="6"/>
  <c r="CO32" i="6"/>
  <c r="CN32" i="6"/>
  <c r="CM32" i="6"/>
  <c r="CL32" i="6"/>
  <c r="CK32" i="6"/>
  <c r="CJ32" i="6"/>
  <c r="CI32" i="6"/>
  <c r="CH32" i="6"/>
  <c r="CG32" i="6"/>
  <c r="DT31" i="6"/>
  <c r="DS31" i="6"/>
  <c r="DR31" i="6"/>
  <c r="DQ31" i="6"/>
  <c r="DP31" i="6"/>
  <c r="DO31" i="6"/>
  <c r="DN31" i="6"/>
  <c r="DM31" i="6"/>
  <c r="DL31" i="6"/>
  <c r="DK31" i="6"/>
  <c r="DJ31" i="6"/>
  <c r="DI31" i="6"/>
  <c r="DH31" i="6"/>
  <c r="DG31" i="6"/>
  <c r="DF31" i="6"/>
  <c r="DE31" i="6"/>
  <c r="DD31" i="6"/>
  <c r="DC31" i="6"/>
  <c r="DB31" i="6"/>
  <c r="DA31" i="6"/>
  <c r="CZ31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DT30" i="6"/>
  <c r="DS30" i="6"/>
  <c r="DR30" i="6"/>
  <c r="DQ30" i="6"/>
  <c r="DP30" i="6"/>
  <c r="DO30" i="6"/>
  <c r="DN30" i="6"/>
  <c r="DM30" i="6"/>
  <c r="DL30" i="6"/>
  <c r="DK30" i="6"/>
  <c r="DJ30" i="6"/>
  <c r="DI30" i="6"/>
  <c r="DH30" i="6"/>
  <c r="DG3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DT29" i="6"/>
  <c r="DS29" i="6"/>
  <c r="DR29" i="6"/>
  <c r="DQ29" i="6"/>
  <c r="DP29" i="6"/>
  <c r="DO29" i="6"/>
  <c r="DN29" i="6"/>
  <c r="DM29" i="6"/>
  <c r="DL29" i="6"/>
  <c r="DK29" i="6"/>
  <c r="DJ29" i="6"/>
  <c r="DI29" i="6"/>
  <c r="DH29" i="6"/>
  <c r="DG29" i="6"/>
  <c r="DF29" i="6"/>
  <c r="DE29" i="6"/>
  <c r="DD29" i="6"/>
  <c r="DC29" i="6"/>
  <c r="DB29" i="6"/>
  <c r="DA29" i="6"/>
  <c r="CZ29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DT28" i="6"/>
  <c r="DS28" i="6"/>
  <c r="DR28" i="6"/>
  <c r="DQ28" i="6"/>
  <c r="DP28" i="6"/>
  <c r="DO28" i="6"/>
  <c r="DN28" i="6"/>
  <c r="DM28" i="6"/>
  <c r="DL28" i="6"/>
  <c r="DK28" i="6"/>
  <c r="DJ28" i="6"/>
  <c r="DI28" i="6"/>
  <c r="DH28" i="6"/>
  <c r="DG28" i="6"/>
  <c r="DF28" i="6"/>
  <c r="DE28" i="6"/>
  <c r="DD28" i="6"/>
  <c r="DC28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DT27" i="6"/>
  <c r="DS27" i="6"/>
  <c r="DR27" i="6"/>
  <c r="DQ27" i="6"/>
  <c r="DP27" i="6"/>
  <c r="DO27" i="6"/>
  <c r="DN27" i="6"/>
  <c r="DM27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DT26" i="6"/>
  <c r="DS26" i="6"/>
  <c r="DR26" i="6"/>
  <c r="DQ26" i="6"/>
  <c r="DP26" i="6"/>
  <c r="DO26" i="6"/>
  <c r="DN26" i="6"/>
  <c r="DM26" i="6"/>
  <c r="DL26" i="6"/>
  <c r="DK26" i="6"/>
  <c r="DJ26" i="6"/>
  <c r="DI26" i="6"/>
  <c r="DH26" i="6"/>
  <c r="DG26" i="6"/>
  <c r="DF26" i="6"/>
  <c r="DE26" i="6"/>
  <c r="DD26" i="6"/>
  <c r="DC26" i="6"/>
  <c r="DB26" i="6"/>
  <c r="DA26" i="6"/>
  <c r="CZ26" i="6"/>
  <c r="CY26" i="6"/>
  <c r="CX26" i="6"/>
  <c r="CW26" i="6"/>
  <c r="CV26" i="6"/>
  <c r="CU26" i="6"/>
  <c r="CT26" i="6"/>
  <c r="CS26" i="6"/>
  <c r="CR26" i="6"/>
  <c r="CQ26" i="6"/>
  <c r="CP26" i="6"/>
  <c r="CO26" i="6"/>
  <c r="CN26" i="6"/>
  <c r="CM26" i="6"/>
  <c r="CL26" i="6"/>
  <c r="CK26" i="6"/>
  <c r="CJ26" i="6"/>
  <c r="CI26" i="6"/>
  <c r="CH26" i="6"/>
  <c r="CG26" i="6"/>
  <c r="DT25" i="6"/>
  <c r="DS25" i="6"/>
  <c r="DR25" i="6"/>
  <c r="DQ25" i="6"/>
  <c r="DP25" i="6"/>
  <c r="DO25" i="6"/>
  <c r="DN25" i="6"/>
  <c r="DM25" i="6"/>
  <c r="DL25" i="6"/>
  <c r="DK25" i="6"/>
  <c r="DJ25" i="6"/>
  <c r="DI25" i="6"/>
  <c r="DH25" i="6"/>
  <c r="DG25" i="6"/>
  <c r="DF25" i="6"/>
  <c r="DE25" i="6"/>
  <c r="DD25" i="6"/>
  <c r="DC25" i="6"/>
  <c r="DB25" i="6"/>
  <c r="DA25" i="6"/>
  <c r="CZ25" i="6"/>
  <c r="CY25" i="6"/>
  <c r="CX25" i="6"/>
  <c r="CW25" i="6"/>
  <c r="CV25" i="6"/>
  <c r="CU25" i="6"/>
  <c r="CT25" i="6"/>
  <c r="CS25" i="6"/>
  <c r="CR25" i="6"/>
  <c r="CQ25" i="6"/>
  <c r="CP25" i="6"/>
  <c r="CO25" i="6"/>
  <c r="CN25" i="6"/>
  <c r="CM25" i="6"/>
  <c r="CL25" i="6"/>
  <c r="CK25" i="6"/>
  <c r="CJ25" i="6"/>
  <c r="CI25" i="6"/>
  <c r="CH25" i="6"/>
  <c r="CG25" i="6"/>
  <c r="DT24" i="6"/>
  <c r="DS24" i="6"/>
  <c r="DR24" i="6"/>
  <c r="DQ24" i="6"/>
  <c r="DP24" i="6"/>
  <c r="DO24" i="6"/>
  <c r="DN24" i="6"/>
  <c r="DM24" i="6"/>
  <c r="DL24" i="6"/>
  <c r="DK24" i="6"/>
  <c r="DJ24" i="6"/>
  <c r="DI24" i="6"/>
  <c r="DH24" i="6"/>
  <c r="DG24" i="6"/>
  <c r="DF24" i="6"/>
  <c r="DE24" i="6"/>
  <c r="DD24" i="6"/>
  <c r="DC24" i="6"/>
  <c r="DB24" i="6"/>
  <c r="DA24" i="6"/>
  <c r="CZ24" i="6"/>
  <c r="CY24" i="6"/>
  <c r="CX24" i="6"/>
  <c r="CW24" i="6"/>
  <c r="CV24" i="6"/>
  <c r="CU24" i="6"/>
  <c r="CT24" i="6"/>
  <c r="CS24" i="6"/>
  <c r="CR24" i="6"/>
  <c r="CQ24" i="6"/>
  <c r="CP24" i="6"/>
  <c r="CO24" i="6"/>
  <c r="CN24" i="6"/>
  <c r="CM24" i="6"/>
  <c r="CL24" i="6"/>
  <c r="CK24" i="6"/>
  <c r="CJ24" i="6"/>
  <c r="CI24" i="6"/>
  <c r="CH24" i="6"/>
  <c r="CG24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DT20" i="6"/>
  <c r="DS20" i="6"/>
  <c r="DR20" i="6"/>
  <c r="DQ20" i="6"/>
  <c r="DP20" i="6"/>
  <c r="DO20" i="6"/>
  <c r="DN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D16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DT12" i="6"/>
  <c r="DS12" i="6"/>
  <c r="DR12" i="6"/>
  <c r="DQ12" i="6"/>
  <c r="DP12" i="6"/>
  <c r="DO12" i="6"/>
  <c r="DN12" i="6"/>
  <c r="DM12" i="6"/>
  <c r="DL12" i="6"/>
  <c r="DK12" i="6"/>
  <c r="DJ12" i="6"/>
  <c r="DI12" i="6"/>
  <c r="DH12" i="6"/>
  <c r="DG12" i="6"/>
  <c r="DF12" i="6"/>
  <c r="DE12" i="6"/>
  <c r="DD12" i="6"/>
  <c r="DC12" i="6"/>
  <c r="DB12" i="6"/>
  <c r="DA12" i="6"/>
  <c r="CZ12" i="6"/>
  <c r="CY12" i="6"/>
  <c r="CX12" i="6"/>
  <c r="CW12" i="6"/>
  <c r="CV12" i="6"/>
  <c r="CU12" i="6"/>
  <c r="CT12" i="6"/>
  <c r="CS12" i="6"/>
  <c r="CR12" i="6"/>
  <c r="CQ12" i="6"/>
  <c r="CP12" i="6"/>
  <c r="CO12" i="6"/>
  <c r="CN12" i="6"/>
  <c r="CM12" i="6"/>
  <c r="CL12" i="6"/>
  <c r="CK12" i="6"/>
  <c r="CJ12" i="6"/>
  <c r="CI12" i="6"/>
  <c r="CH12" i="6"/>
  <c r="CG12" i="6"/>
  <c r="DT11" i="6"/>
  <c r="DS11" i="6"/>
  <c r="DR11" i="6"/>
  <c r="DQ11" i="6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Z11" i="6"/>
  <c r="CY11" i="6"/>
  <c r="CX11" i="6"/>
  <c r="CW11" i="6"/>
  <c r="CV11" i="6"/>
  <c r="CU11" i="6"/>
  <c r="CT11" i="6"/>
  <c r="CS11" i="6"/>
  <c r="CR11" i="6"/>
  <c r="CQ11" i="6"/>
  <c r="CP11" i="6"/>
  <c r="CO11" i="6"/>
  <c r="CN11" i="6"/>
  <c r="CM11" i="6"/>
  <c r="CL11" i="6"/>
  <c r="CK11" i="6"/>
  <c r="CJ11" i="6"/>
  <c r="CI11" i="6"/>
  <c r="CH11" i="6"/>
  <c r="CG11" i="6"/>
  <c r="DT10" i="6"/>
  <c r="DS10" i="6"/>
  <c r="DR10" i="6"/>
  <c r="DQ10" i="6"/>
  <c r="DP10" i="6"/>
  <c r="DO10" i="6"/>
  <c r="DN10" i="6"/>
  <c r="DM10" i="6"/>
  <c r="DL10" i="6"/>
  <c r="DK10" i="6"/>
  <c r="DJ10" i="6"/>
  <c r="DI10" i="6"/>
  <c r="DH10" i="6"/>
  <c r="DG10" i="6"/>
  <c r="DF10" i="6"/>
  <c r="DE10" i="6"/>
  <c r="DD10" i="6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DO6" i="6"/>
  <c r="DN6" i="6"/>
  <c r="DM6" i="6"/>
  <c r="DL6" i="6"/>
  <c r="DK6" i="6"/>
  <c r="DI6" i="6"/>
  <c r="DH6" i="6"/>
  <c r="CX6" i="6"/>
  <c r="CW6" i="6"/>
  <c r="CV6" i="6"/>
  <c r="CU6" i="6"/>
  <c r="CS6" i="6"/>
  <c r="CR6" i="6"/>
  <c r="CH6" i="6"/>
  <c r="CG6" i="6"/>
  <c r="CF6" i="6"/>
  <c r="CE6" i="6"/>
  <c r="CC6" i="6"/>
  <c r="CB6" i="6"/>
  <c r="BS6" i="6"/>
  <c r="BR6" i="6"/>
  <c r="BQ6" i="6"/>
  <c r="BP6" i="6"/>
  <c r="BO6" i="6"/>
  <c r="BM6" i="6"/>
  <c r="BL6" i="6"/>
  <c r="BC6" i="6"/>
  <c r="BB6" i="6"/>
  <c r="BA6" i="6"/>
  <c r="AZ6" i="6"/>
  <c r="AY6" i="6"/>
  <c r="AW6" i="6"/>
  <c r="AV6" i="6"/>
  <c r="AL6" i="6"/>
  <c r="AK6" i="6"/>
  <c r="AJ6" i="6"/>
  <c r="AI6" i="6"/>
  <c r="AG6" i="6"/>
  <c r="AF6" i="6"/>
  <c r="V6" i="6"/>
  <c r="U6" i="6"/>
  <c r="T6" i="6"/>
  <c r="S6" i="6"/>
  <c r="Q6" i="6"/>
  <c r="P6" i="6"/>
  <c r="F6" i="6"/>
  <c r="E6" i="6"/>
  <c r="D6" i="6"/>
  <c r="DQ5" i="6"/>
  <c r="DG5" i="6"/>
  <c r="DE5" i="6"/>
  <c r="DA5" i="6"/>
  <c r="CY5" i="6"/>
  <c r="CQ5" i="6"/>
  <c r="CO5" i="6"/>
  <c r="CK5" i="6"/>
  <c r="CA5" i="6"/>
  <c r="BY5" i="6"/>
  <c r="BV5" i="6"/>
  <c r="BU5" i="6"/>
  <c r="BR5" i="6"/>
  <c r="BQ5" i="6"/>
  <c r="BK5" i="6"/>
  <c r="BI5" i="6"/>
  <c r="BE5" i="6"/>
  <c r="AU5" i="6"/>
  <c r="AS5" i="6"/>
  <c r="AO5" i="6"/>
  <c r="AE5" i="6"/>
  <c r="AC5" i="6"/>
  <c r="Y5" i="6"/>
  <c r="U5" i="6"/>
  <c r="O5" i="6"/>
  <c r="M5" i="6"/>
  <c r="I5" i="6"/>
  <c r="E5" i="6"/>
  <c r="DT4" i="6"/>
  <c r="DS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I4" i="6"/>
  <c r="H4" i="6"/>
  <c r="G4" i="6"/>
  <c r="F4" i="6"/>
  <c r="E4" i="6"/>
  <c r="D4" i="6"/>
  <c r="DT170" i="5"/>
  <c r="DS170" i="5"/>
  <c r="DR170" i="5"/>
  <c r="DQ170" i="5"/>
  <c r="DP170" i="5"/>
  <c r="DO170" i="5"/>
  <c r="DN170" i="5"/>
  <c r="DM170" i="5"/>
  <c r="DL170" i="5"/>
  <c r="DK170" i="5"/>
  <c r="DJ170" i="5"/>
  <c r="DI170" i="5"/>
  <c r="DH170" i="5"/>
  <c r="DG170" i="5"/>
  <c r="DF170" i="5"/>
  <c r="DE170" i="5"/>
  <c r="DD170" i="5"/>
  <c r="DC170" i="5"/>
  <c r="DB170" i="5"/>
  <c r="DA170" i="5"/>
  <c r="CZ170" i="5"/>
  <c r="CY170" i="5"/>
  <c r="CX170" i="5"/>
  <c r="CW170" i="5"/>
  <c r="CV170" i="5"/>
  <c r="CU170" i="5"/>
  <c r="CT170" i="5"/>
  <c r="CS170" i="5"/>
  <c r="CR170" i="5"/>
  <c r="CQ170" i="5"/>
  <c r="CP170" i="5"/>
  <c r="CO170" i="5"/>
  <c r="CN170" i="5"/>
  <c r="CM170" i="5"/>
  <c r="CL170" i="5"/>
  <c r="CK170" i="5"/>
  <c r="CJ170" i="5"/>
  <c r="CI170" i="5"/>
  <c r="CH170" i="5"/>
  <c r="CG170" i="5"/>
  <c r="DT162" i="5"/>
  <c r="DS162" i="5"/>
  <c r="DR162" i="5"/>
  <c r="DQ162" i="5"/>
  <c r="DP162" i="5"/>
  <c r="DO162" i="5"/>
  <c r="DN162" i="5"/>
  <c r="DM162" i="5"/>
  <c r="DL162" i="5"/>
  <c r="DK162" i="5"/>
  <c r="DJ162" i="5"/>
  <c r="DI162" i="5"/>
  <c r="DH162" i="5"/>
  <c r="DG162" i="5"/>
  <c r="DF162" i="5"/>
  <c r="DE162" i="5"/>
  <c r="DD162" i="5"/>
  <c r="DC162" i="5"/>
  <c r="DB162" i="5"/>
  <c r="DA162" i="5"/>
  <c r="CZ162" i="5"/>
  <c r="CY162" i="5"/>
  <c r="CX162" i="5"/>
  <c r="CW162" i="5"/>
  <c r="CV162" i="5"/>
  <c r="CU162" i="5"/>
  <c r="CT162" i="5"/>
  <c r="CS162" i="5"/>
  <c r="CR162" i="5"/>
  <c r="CQ162" i="5"/>
  <c r="CP162" i="5"/>
  <c r="CO162" i="5"/>
  <c r="CN162" i="5"/>
  <c r="CM162" i="5"/>
  <c r="CL162" i="5"/>
  <c r="CK162" i="5"/>
  <c r="CJ162" i="5"/>
  <c r="CI162" i="5"/>
  <c r="CH162" i="5"/>
  <c r="CG162" i="5"/>
  <c r="DT161" i="5"/>
  <c r="DS161" i="5"/>
  <c r="DR161" i="5"/>
  <c r="DQ161" i="5"/>
  <c r="DP161" i="5"/>
  <c r="DO161" i="5"/>
  <c r="DN161" i="5"/>
  <c r="DM161" i="5"/>
  <c r="DL161" i="5"/>
  <c r="DK161" i="5"/>
  <c r="DJ161" i="5"/>
  <c r="DI161" i="5"/>
  <c r="DH161" i="5"/>
  <c r="DG161" i="5"/>
  <c r="DF161" i="5"/>
  <c r="DE161" i="5"/>
  <c r="DD161" i="5"/>
  <c r="DC161" i="5"/>
  <c r="DB161" i="5"/>
  <c r="DA161" i="5"/>
  <c r="CZ161" i="5"/>
  <c r="CY161" i="5"/>
  <c r="CX161" i="5"/>
  <c r="CW161" i="5"/>
  <c r="CV161" i="5"/>
  <c r="CU161" i="5"/>
  <c r="CT161" i="5"/>
  <c r="CS161" i="5"/>
  <c r="CR161" i="5"/>
  <c r="CQ161" i="5"/>
  <c r="CP161" i="5"/>
  <c r="CO161" i="5"/>
  <c r="CN161" i="5"/>
  <c r="CM161" i="5"/>
  <c r="CL161" i="5"/>
  <c r="CK161" i="5"/>
  <c r="CJ161" i="5"/>
  <c r="CI161" i="5"/>
  <c r="CH161" i="5"/>
  <c r="CG161" i="5"/>
  <c r="DT160" i="5"/>
  <c r="DS160" i="5"/>
  <c r="DR160" i="5"/>
  <c r="DQ160" i="5"/>
  <c r="DP160" i="5"/>
  <c r="DO160" i="5"/>
  <c r="DN160" i="5"/>
  <c r="DM160" i="5"/>
  <c r="DL160" i="5"/>
  <c r="DK160" i="5"/>
  <c r="DJ160" i="5"/>
  <c r="DI160" i="5"/>
  <c r="DH160" i="5"/>
  <c r="DG160" i="5"/>
  <c r="DF160" i="5"/>
  <c r="DE160" i="5"/>
  <c r="DD160" i="5"/>
  <c r="DC160" i="5"/>
  <c r="DB160" i="5"/>
  <c r="DA160" i="5"/>
  <c r="CZ160" i="5"/>
  <c r="CY160" i="5"/>
  <c r="CX160" i="5"/>
  <c r="CW160" i="5"/>
  <c r="CV160" i="5"/>
  <c r="CU160" i="5"/>
  <c r="CT160" i="5"/>
  <c r="CS160" i="5"/>
  <c r="CR160" i="5"/>
  <c r="CQ160" i="5"/>
  <c r="CP160" i="5"/>
  <c r="CO160" i="5"/>
  <c r="CN160" i="5"/>
  <c r="CM160" i="5"/>
  <c r="CL160" i="5"/>
  <c r="CK160" i="5"/>
  <c r="CJ160" i="5"/>
  <c r="CI160" i="5"/>
  <c r="CH160" i="5"/>
  <c r="CG160" i="5"/>
  <c r="DT159" i="5"/>
  <c r="DS159" i="5"/>
  <c r="DR159" i="5"/>
  <c r="DQ159" i="5"/>
  <c r="DP159" i="5"/>
  <c r="DO159" i="5"/>
  <c r="DN159" i="5"/>
  <c r="DM159" i="5"/>
  <c r="DL159" i="5"/>
  <c r="DK159" i="5"/>
  <c r="DJ159" i="5"/>
  <c r="DI159" i="5"/>
  <c r="DH159" i="5"/>
  <c r="DG159" i="5"/>
  <c r="DF159" i="5"/>
  <c r="DE159" i="5"/>
  <c r="DD159" i="5"/>
  <c r="DC159" i="5"/>
  <c r="DB159" i="5"/>
  <c r="DA159" i="5"/>
  <c r="CZ159" i="5"/>
  <c r="CY159" i="5"/>
  <c r="CX159" i="5"/>
  <c r="CW159" i="5"/>
  <c r="CV159" i="5"/>
  <c r="CU159" i="5"/>
  <c r="CT159" i="5"/>
  <c r="CS159" i="5"/>
  <c r="CR159" i="5"/>
  <c r="CQ159" i="5"/>
  <c r="CP159" i="5"/>
  <c r="CO159" i="5"/>
  <c r="CN159" i="5"/>
  <c r="CM159" i="5"/>
  <c r="CL159" i="5"/>
  <c r="CK159" i="5"/>
  <c r="CJ159" i="5"/>
  <c r="CI159" i="5"/>
  <c r="CH159" i="5"/>
  <c r="CG159" i="5"/>
  <c r="DT158" i="5"/>
  <c r="DS158" i="5"/>
  <c r="DR158" i="5"/>
  <c r="DQ158" i="5"/>
  <c r="DP158" i="5"/>
  <c r="DO158" i="5"/>
  <c r="DN158" i="5"/>
  <c r="DM158" i="5"/>
  <c r="DL158" i="5"/>
  <c r="DK158" i="5"/>
  <c r="DJ158" i="5"/>
  <c r="DI158" i="5"/>
  <c r="DH158" i="5"/>
  <c r="DG158" i="5"/>
  <c r="DF158" i="5"/>
  <c r="DE158" i="5"/>
  <c r="DD158" i="5"/>
  <c r="DC158" i="5"/>
  <c r="DB158" i="5"/>
  <c r="DA158" i="5"/>
  <c r="CZ158" i="5"/>
  <c r="CY158" i="5"/>
  <c r="CX158" i="5"/>
  <c r="CW158" i="5"/>
  <c r="CV158" i="5"/>
  <c r="CU158" i="5"/>
  <c r="CT158" i="5"/>
  <c r="CS158" i="5"/>
  <c r="CR158" i="5"/>
  <c r="CQ158" i="5"/>
  <c r="CP158" i="5"/>
  <c r="CO158" i="5"/>
  <c r="CN158" i="5"/>
  <c r="CM158" i="5"/>
  <c r="CL158" i="5"/>
  <c r="CK158" i="5"/>
  <c r="CJ158" i="5"/>
  <c r="CI158" i="5"/>
  <c r="CH158" i="5"/>
  <c r="CG158" i="5"/>
  <c r="DT157" i="5"/>
  <c r="DS157" i="5"/>
  <c r="DR157" i="5"/>
  <c r="DQ157" i="5"/>
  <c r="DP157" i="5"/>
  <c r="DO157" i="5"/>
  <c r="DN157" i="5"/>
  <c r="DM157" i="5"/>
  <c r="DL157" i="5"/>
  <c r="DK157" i="5"/>
  <c r="DJ157" i="5"/>
  <c r="DI157" i="5"/>
  <c r="DH157" i="5"/>
  <c r="DG157" i="5"/>
  <c r="DF157" i="5"/>
  <c r="DE157" i="5"/>
  <c r="DD157" i="5"/>
  <c r="DC157" i="5"/>
  <c r="DB157" i="5"/>
  <c r="DA157" i="5"/>
  <c r="CZ157" i="5"/>
  <c r="CY157" i="5"/>
  <c r="CX157" i="5"/>
  <c r="CW157" i="5"/>
  <c r="CV157" i="5"/>
  <c r="CU157" i="5"/>
  <c r="CT157" i="5"/>
  <c r="CS157" i="5"/>
  <c r="CR157" i="5"/>
  <c r="CQ157" i="5"/>
  <c r="CP157" i="5"/>
  <c r="CO157" i="5"/>
  <c r="CN157" i="5"/>
  <c r="CM157" i="5"/>
  <c r="CL157" i="5"/>
  <c r="CK157" i="5"/>
  <c r="CJ157" i="5"/>
  <c r="CI157" i="5"/>
  <c r="CH157" i="5"/>
  <c r="CG157" i="5"/>
  <c r="DT156" i="5"/>
  <c r="DS156" i="5"/>
  <c r="DR156" i="5"/>
  <c r="DQ156" i="5"/>
  <c r="DP156" i="5"/>
  <c r="DO156" i="5"/>
  <c r="DN156" i="5"/>
  <c r="DM156" i="5"/>
  <c r="DL156" i="5"/>
  <c r="DK156" i="5"/>
  <c r="DJ156" i="5"/>
  <c r="DI156" i="5"/>
  <c r="DH156" i="5"/>
  <c r="DG156" i="5"/>
  <c r="DF156" i="5"/>
  <c r="DE156" i="5"/>
  <c r="DD156" i="5"/>
  <c r="DC156" i="5"/>
  <c r="DB156" i="5"/>
  <c r="DA156" i="5"/>
  <c r="CZ156" i="5"/>
  <c r="CY156" i="5"/>
  <c r="CX156" i="5"/>
  <c r="CW156" i="5"/>
  <c r="CV156" i="5"/>
  <c r="CU156" i="5"/>
  <c r="CT156" i="5"/>
  <c r="CS156" i="5"/>
  <c r="CR156" i="5"/>
  <c r="CQ156" i="5"/>
  <c r="CP156" i="5"/>
  <c r="CO156" i="5"/>
  <c r="CN156" i="5"/>
  <c r="CM156" i="5"/>
  <c r="CL156" i="5"/>
  <c r="CK156" i="5"/>
  <c r="CJ156" i="5"/>
  <c r="CI156" i="5"/>
  <c r="CH156" i="5"/>
  <c r="CG156" i="5"/>
  <c r="DT155" i="5"/>
  <c r="DS155" i="5"/>
  <c r="DR155" i="5"/>
  <c r="DQ155" i="5"/>
  <c r="DP155" i="5"/>
  <c r="DO155" i="5"/>
  <c r="DN155" i="5"/>
  <c r="DM155" i="5"/>
  <c r="DL155" i="5"/>
  <c r="DK155" i="5"/>
  <c r="DJ155" i="5"/>
  <c r="DI155" i="5"/>
  <c r="DH155" i="5"/>
  <c r="DG155" i="5"/>
  <c r="DF155" i="5"/>
  <c r="DE155" i="5"/>
  <c r="DD155" i="5"/>
  <c r="DC155" i="5"/>
  <c r="DB155" i="5"/>
  <c r="DA155" i="5"/>
  <c r="CZ155" i="5"/>
  <c r="CY155" i="5"/>
  <c r="CX155" i="5"/>
  <c r="CW155" i="5"/>
  <c r="CV155" i="5"/>
  <c r="CU155" i="5"/>
  <c r="CT155" i="5"/>
  <c r="CS155" i="5"/>
  <c r="CR155" i="5"/>
  <c r="CQ155" i="5"/>
  <c r="CP155" i="5"/>
  <c r="CO155" i="5"/>
  <c r="CN155" i="5"/>
  <c r="CM155" i="5"/>
  <c r="CL155" i="5"/>
  <c r="CK155" i="5"/>
  <c r="CJ155" i="5"/>
  <c r="CI155" i="5"/>
  <c r="CH155" i="5"/>
  <c r="CG155" i="5"/>
  <c r="DT154" i="5"/>
  <c r="DS154" i="5"/>
  <c r="DR154" i="5"/>
  <c r="DQ154" i="5"/>
  <c r="DP154" i="5"/>
  <c r="DO154" i="5"/>
  <c r="DN154" i="5"/>
  <c r="DM154" i="5"/>
  <c r="DL154" i="5"/>
  <c r="DK154" i="5"/>
  <c r="DJ154" i="5"/>
  <c r="DI154" i="5"/>
  <c r="DH154" i="5"/>
  <c r="DG154" i="5"/>
  <c r="DF154" i="5"/>
  <c r="DE154" i="5"/>
  <c r="DD154" i="5"/>
  <c r="DC154" i="5"/>
  <c r="DB154" i="5"/>
  <c r="DA154" i="5"/>
  <c r="CZ154" i="5"/>
  <c r="CY154" i="5"/>
  <c r="CX154" i="5"/>
  <c r="CW154" i="5"/>
  <c r="CV154" i="5"/>
  <c r="CU154" i="5"/>
  <c r="CT154" i="5"/>
  <c r="CS154" i="5"/>
  <c r="CR154" i="5"/>
  <c r="CQ154" i="5"/>
  <c r="CP154" i="5"/>
  <c r="CO154" i="5"/>
  <c r="CN154" i="5"/>
  <c r="CM154" i="5"/>
  <c r="CL154" i="5"/>
  <c r="CK154" i="5"/>
  <c r="CJ154" i="5"/>
  <c r="CI154" i="5"/>
  <c r="CH154" i="5"/>
  <c r="CG154" i="5"/>
  <c r="DT153" i="5"/>
  <c r="DS153" i="5"/>
  <c r="DR153" i="5"/>
  <c r="DQ153" i="5"/>
  <c r="DP153" i="5"/>
  <c r="DO153" i="5"/>
  <c r="DN153" i="5"/>
  <c r="DM153" i="5"/>
  <c r="DL153" i="5"/>
  <c r="DK153" i="5"/>
  <c r="DJ153" i="5"/>
  <c r="DI153" i="5"/>
  <c r="DH153" i="5"/>
  <c r="DG153" i="5"/>
  <c r="DF153" i="5"/>
  <c r="DE153" i="5"/>
  <c r="DD153" i="5"/>
  <c r="DC153" i="5"/>
  <c r="DB153" i="5"/>
  <c r="DA153" i="5"/>
  <c r="CZ153" i="5"/>
  <c r="CY153" i="5"/>
  <c r="CX153" i="5"/>
  <c r="CW153" i="5"/>
  <c r="CV153" i="5"/>
  <c r="CU153" i="5"/>
  <c r="CT153" i="5"/>
  <c r="CS153" i="5"/>
  <c r="CR153" i="5"/>
  <c r="CQ153" i="5"/>
  <c r="CP153" i="5"/>
  <c r="CO153" i="5"/>
  <c r="CN153" i="5"/>
  <c r="CM153" i="5"/>
  <c r="CL153" i="5"/>
  <c r="CK153" i="5"/>
  <c r="CJ153" i="5"/>
  <c r="CI153" i="5"/>
  <c r="CH153" i="5"/>
  <c r="CG153" i="5"/>
  <c r="DT152" i="5"/>
  <c r="DS152" i="5"/>
  <c r="DR152" i="5"/>
  <c r="DQ152" i="5"/>
  <c r="DP152" i="5"/>
  <c r="DO152" i="5"/>
  <c r="DN152" i="5"/>
  <c r="DM152" i="5"/>
  <c r="DL152" i="5"/>
  <c r="DK152" i="5"/>
  <c r="DJ152" i="5"/>
  <c r="DI152" i="5"/>
  <c r="DH152" i="5"/>
  <c r="DG152" i="5"/>
  <c r="DF152" i="5"/>
  <c r="DE152" i="5"/>
  <c r="DD152" i="5"/>
  <c r="DC152" i="5"/>
  <c r="DB152" i="5"/>
  <c r="DA152" i="5"/>
  <c r="CZ152" i="5"/>
  <c r="CY152" i="5"/>
  <c r="CX152" i="5"/>
  <c r="CW152" i="5"/>
  <c r="CV152" i="5"/>
  <c r="CU152" i="5"/>
  <c r="CT152" i="5"/>
  <c r="CS152" i="5"/>
  <c r="CR152" i="5"/>
  <c r="CQ152" i="5"/>
  <c r="CP152" i="5"/>
  <c r="CO152" i="5"/>
  <c r="CN152" i="5"/>
  <c r="CM152" i="5"/>
  <c r="CL152" i="5"/>
  <c r="CK152" i="5"/>
  <c r="CJ152" i="5"/>
  <c r="CI152" i="5"/>
  <c r="CH152" i="5"/>
  <c r="CG152" i="5"/>
  <c r="DT151" i="5"/>
  <c r="DS151" i="5"/>
  <c r="DR151" i="5"/>
  <c r="DQ151" i="5"/>
  <c r="DP151" i="5"/>
  <c r="DO151" i="5"/>
  <c r="DN151" i="5"/>
  <c r="DM151" i="5"/>
  <c r="DL151" i="5"/>
  <c r="DK151" i="5"/>
  <c r="DJ151" i="5"/>
  <c r="DI151" i="5"/>
  <c r="DH151" i="5"/>
  <c r="DG151" i="5"/>
  <c r="DF151" i="5"/>
  <c r="DE151" i="5"/>
  <c r="DD151" i="5"/>
  <c r="DC151" i="5"/>
  <c r="DB151" i="5"/>
  <c r="DA151" i="5"/>
  <c r="CZ151" i="5"/>
  <c r="CY151" i="5"/>
  <c r="CX151" i="5"/>
  <c r="CW151" i="5"/>
  <c r="CV151" i="5"/>
  <c r="CU151" i="5"/>
  <c r="CT151" i="5"/>
  <c r="CS151" i="5"/>
  <c r="CR151" i="5"/>
  <c r="CQ151" i="5"/>
  <c r="CP151" i="5"/>
  <c r="CO151" i="5"/>
  <c r="CN151" i="5"/>
  <c r="CM151" i="5"/>
  <c r="CL151" i="5"/>
  <c r="CK151" i="5"/>
  <c r="CJ151" i="5"/>
  <c r="CI151" i="5"/>
  <c r="CH151" i="5"/>
  <c r="CG151" i="5"/>
  <c r="DT150" i="5"/>
  <c r="DS150" i="5"/>
  <c r="DR150" i="5"/>
  <c r="DQ150" i="5"/>
  <c r="DP150" i="5"/>
  <c r="DO150" i="5"/>
  <c r="DN150" i="5"/>
  <c r="DM150" i="5"/>
  <c r="DL150" i="5"/>
  <c r="DK150" i="5"/>
  <c r="DJ150" i="5"/>
  <c r="DI150" i="5"/>
  <c r="DH150" i="5"/>
  <c r="DG150" i="5"/>
  <c r="DF150" i="5"/>
  <c r="DE150" i="5"/>
  <c r="DD150" i="5"/>
  <c r="DC150" i="5"/>
  <c r="DB150" i="5"/>
  <c r="DA150" i="5"/>
  <c r="CZ150" i="5"/>
  <c r="CY150" i="5"/>
  <c r="CX150" i="5"/>
  <c r="CW150" i="5"/>
  <c r="CV150" i="5"/>
  <c r="CU150" i="5"/>
  <c r="CT150" i="5"/>
  <c r="CS150" i="5"/>
  <c r="CR150" i="5"/>
  <c r="CQ150" i="5"/>
  <c r="CP150" i="5"/>
  <c r="CO150" i="5"/>
  <c r="CN150" i="5"/>
  <c r="CM150" i="5"/>
  <c r="CL150" i="5"/>
  <c r="CK150" i="5"/>
  <c r="CJ150" i="5"/>
  <c r="CI150" i="5"/>
  <c r="CH150" i="5"/>
  <c r="CG150" i="5"/>
  <c r="D150" i="5"/>
  <c r="DT149" i="5"/>
  <c r="DS149" i="5"/>
  <c r="DR149" i="5"/>
  <c r="DQ149" i="5"/>
  <c r="DP149" i="5"/>
  <c r="DO149" i="5"/>
  <c r="DN149" i="5"/>
  <c r="DM149" i="5"/>
  <c r="DL149" i="5"/>
  <c r="DK149" i="5"/>
  <c r="DJ149" i="5"/>
  <c r="DI149" i="5"/>
  <c r="DH149" i="5"/>
  <c r="DG149" i="5"/>
  <c r="DF149" i="5"/>
  <c r="DE149" i="5"/>
  <c r="DD149" i="5"/>
  <c r="DC149" i="5"/>
  <c r="DB149" i="5"/>
  <c r="DA149" i="5"/>
  <c r="CZ149" i="5"/>
  <c r="CY149" i="5"/>
  <c r="CX149" i="5"/>
  <c r="CW149" i="5"/>
  <c r="CV149" i="5"/>
  <c r="CU149" i="5"/>
  <c r="CT149" i="5"/>
  <c r="CS149" i="5"/>
  <c r="CR149" i="5"/>
  <c r="CQ149" i="5"/>
  <c r="CP149" i="5"/>
  <c r="CO149" i="5"/>
  <c r="CN149" i="5"/>
  <c r="CM149" i="5"/>
  <c r="CL149" i="5"/>
  <c r="CK149" i="5"/>
  <c r="CJ149" i="5"/>
  <c r="CI149" i="5"/>
  <c r="CH149" i="5"/>
  <c r="CG149" i="5"/>
  <c r="D149" i="5"/>
  <c r="DT148" i="5"/>
  <c r="DS148" i="5"/>
  <c r="DR148" i="5"/>
  <c r="DQ148" i="5"/>
  <c r="DP148" i="5"/>
  <c r="DO148" i="5"/>
  <c r="DN148" i="5"/>
  <c r="DM148" i="5"/>
  <c r="DL148" i="5"/>
  <c r="DK148" i="5"/>
  <c r="DJ148" i="5"/>
  <c r="DI148" i="5"/>
  <c r="DH148" i="5"/>
  <c r="DG148" i="5"/>
  <c r="DF148" i="5"/>
  <c r="DE148" i="5"/>
  <c r="DD148" i="5"/>
  <c r="DC148" i="5"/>
  <c r="DB148" i="5"/>
  <c r="DA148" i="5"/>
  <c r="CZ148" i="5"/>
  <c r="CY148" i="5"/>
  <c r="CX148" i="5"/>
  <c r="CW148" i="5"/>
  <c r="CV148" i="5"/>
  <c r="CU148" i="5"/>
  <c r="CT148" i="5"/>
  <c r="CS148" i="5"/>
  <c r="CR148" i="5"/>
  <c r="CQ148" i="5"/>
  <c r="CP148" i="5"/>
  <c r="CO148" i="5"/>
  <c r="CN148" i="5"/>
  <c r="CM148" i="5"/>
  <c r="CL148" i="5"/>
  <c r="CK148" i="5"/>
  <c r="CJ148" i="5"/>
  <c r="CI148" i="5"/>
  <c r="CH148" i="5"/>
  <c r="CG148" i="5"/>
  <c r="DT147" i="5"/>
  <c r="DS147" i="5"/>
  <c r="DR147" i="5"/>
  <c r="DQ147" i="5"/>
  <c r="DP147" i="5"/>
  <c r="DO147" i="5"/>
  <c r="DN147" i="5"/>
  <c r="DM147" i="5"/>
  <c r="DL147" i="5"/>
  <c r="DK147" i="5"/>
  <c r="DJ147" i="5"/>
  <c r="DI147" i="5"/>
  <c r="DH147" i="5"/>
  <c r="DG147" i="5"/>
  <c r="DF147" i="5"/>
  <c r="DE147" i="5"/>
  <c r="DD147" i="5"/>
  <c r="DC147" i="5"/>
  <c r="DB147" i="5"/>
  <c r="DA147" i="5"/>
  <c r="CZ147" i="5"/>
  <c r="CY147" i="5"/>
  <c r="CX147" i="5"/>
  <c r="CW147" i="5"/>
  <c r="CV147" i="5"/>
  <c r="CU147" i="5"/>
  <c r="CT147" i="5"/>
  <c r="CS147" i="5"/>
  <c r="CR147" i="5"/>
  <c r="CQ147" i="5"/>
  <c r="CP147" i="5"/>
  <c r="CO147" i="5"/>
  <c r="CN147" i="5"/>
  <c r="CM147" i="5"/>
  <c r="CL147" i="5"/>
  <c r="CK147" i="5"/>
  <c r="CJ147" i="5"/>
  <c r="CI147" i="5"/>
  <c r="CH147" i="5"/>
  <c r="CG147" i="5"/>
  <c r="DT146" i="5"/>
  <c r="DS146" i="5"/>
  <c r="DR146" i="5"/>
  <c r="DQ146" i="5"/>
  <c r="DP146" i="5"/>
  <c r="DO146" i="5"/>
  <c r="DN146" i="5"/>
  <c r="DM146" i="5"/>
  <c r="DL146" i="5"/>
  <c r="DK146" i="5"/>
  <c r="DJ146" i="5"/>
  <c r="DI146" i="5"/>
  <c r="DH146" i="5"/>
  <c r="DG146" i="5"/>
  <c r="DF146" i="5"/>
  <c r="DE146" i="5"/>
  <c r="DD146" i="5"/>
  <c r="DC146" i="5"/>
  <c r="DB146" i="5"/>
  <c r="DA146" i="5"/>
  <c r="CZ146" i="5"/>
  <c r="CY146" i="5"/>
  <c r="CX146" i="5"/>
  <c r="CW146" i="5"/>
  <c r="CV146" i="5"/>
  <c r="CU146" i="5"/>
  <c r="CT146" i="5"/>
  <c r="CS146" i="5"/>
  <c r="CR146" i="5"/>
  <c r="CQ146" i="5"/>
  <c r="CP146" i="5"/>
  <c r="CO146" i="5"/>
  <c r="CN146" i="5"/>
  <c r="CM146" i="5"/>
  <c r="CL146" i="5"/>
  <c r="CK146" i="5"/>
  <c r="CJ146" i="5"/>
  <c r="CI146" i="5"/>
  <c r="CH146" i="5"/>
  <c r="CG146" i="5"/>
  <c r="CF146" i="5"/>
  <c r="CE146" i="5"/>
  <c r="CD146" i="5"/>
  <c r="CC146" i="5"/>
  <c r="CB146" i="5"/>
  <c r="CA146" i="5"/>
  <c r="BZ146" i="5"/>
  <c r="BY146" i="5"/>
  <c r="BX146" i="5"/>
  <c r="BW146" i="5"/>
  <c r="BV146" i="5"/>
  <c r="BU146" i="5"/>
  <c r="BT146" i="5"/>
  <c r="BS146" i="5"/>
  <c r="BR146" i="5"/>
  <c r="BQ146" i="5"/>
  <c r="BP146" i="5"/>
  <c r="BO146" i="5"/>
  <c r="BN146" i="5"/>
  <c r="BM146" i="5"/>
  <c r="BL146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T145" i="5"/>
  <c r="DS145" i="5"/>
  <c r="DR145" i="5"/>
  <c r="DQ145" i="5"/>
  <c r="DP145" i="5"/>
  <c r="DO145" i="5"/>
  <c r="DN145" i="5"/>
  <c r="DM145" i="5"/>
  <c r="DL145" i="5"/>
  <c r="DK145" i="5"/>
  <c r="DJ145" i="5"/>
  <c r="DI145" i="5"/>
  <c r="DH145" i="5"/>
  <c r="DG145" i="5"/>
  <c r="DF145" i="5"/>
  <c r="DE145" i="5"/>
  <c r="DD145" i="5"/>
  <c r="DC145" i="5"/>
  <c r="DB145" i="5"/>
  <c r="DA145" i="5"/>
  <c r="CZ145" i="5"/>
  <c r="CY145" i="5"/>
  <c r="CX145" i="5"/>
  <c r="CW145" i="5"/>
  <c r="CV145" i="5"/>
  <c r="CU145" i="5"/>
  <c r="CT145" i="5"/>
  <c r="CS145" i="5"/>
  <c r="CR145" i="5"/>
  <c r="CQ145" i="5"/>
  <c r="CP145" i="5"/>
  <c r="CO145" i="5"/>
  <c r="CN145" i="5"/>
  <c r="CM145" i="5"/>
  <c r="CL145" i="5"/>
  <c r="CK145" i="5"/>
  <c r="CJ145" i="5"/>
  <c r="CI145" i="5"/>
  <c r="CH145" i="5"/>
  <c r="CG145" i="5"/>
  <c r="DT60" i="5"/>
  <c r="DS60" i="5"/>
  <c r="DR60" i="5"/>
  <c r="DQ60" i="5"/>
  <c r="DP60" i="5"/>
  <c r="DO60" i="5"/>
  <c r="DN60" i="5"/>
  <c r="DM60" i="5"/>
  <c r="DL60" i="5"/>
  <c r="DK60" i="5"/>
  <c r="DJ60" i="5"/>
  <c r="DI60" i="5"/>
  <c r="DH60" i="5"/>
  <c r="DG60" i="5"/>
  <c r="DF60" i="5"/>
  <c r="DE60" i="5"/>
  <c r="DD60" i="5"/>
  <c r="DC60" i="5"/>
  <c r="DB60" i="5"/>
  <c r="DA60" i="5"/>
  <c r="CZ60" i="5"/>
  <c r="CY60" i="5"/>
  <c r="CX60" i="5"/>
  <c r="CW60" i="5"/>
  <c r="CV60" i="5"/>
  <c r="CU60" i="5"/>
  <c r="CT60" i="5"/>
  <c r="CS60" i="5"/>
  <c r="CR60" i="5"/>
  <c r="CQ60" i="5"/>
  <c r="CP60" i="5"/>
  <c r="CO60" i="5"/>
  <c r="CN60" i="5"/>
  <c r="CM60" i="5"/>
  <c r="CL60" i="5"/>
  <c r="CK60" i="5"/>
  <c r="CJ60" i="5"/>
  <c r="CI60" i="5"/>
  <c r="CH60" i="5"/>
  <c r="CG60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DT51" i="5"/>
  <c r="DS51" i="5"/>
  <c r="DR51" i="5"/>
  <c r="DQ51" i="5"/>
  <c r="DP51" i="5"/>
  <c r="DO51" i="5"/>
  <c r="DN51" i="5"/>
  <c r="DM51" i="5"/>
  <c r="DL51" i="5"/>
  <c r="DK51" i="5"/>
  <c r="DJ51" i="5"/>
  <c r="DI51" i="5"/>
  <c r="DH51" i="5"/>
  <c r="DG51" i="5"/>
  <c r="DF51" i="5"/>
  <c r="DE51" i="5"/>
  <c r="DD51" i="5"/>
  <c r="DC51" i="5"/>
  <c r="DB51" i="5"/>
  <c r="DA51" i="5"/>
  <c r="CZ51" i="5"/>
  <c r="CY51" i="5"/>
  <c r="CX51" i="5"/>
  <c r="CW51" i="5"/>
  <c r="CV51" i="5"/>
  <c r="CU51" i="5"/>
  <c r="CT51" i="5"/>
  <c r="CS51" i="5"/>
  <c r="CR51" i="5"/>
  <c r="CQ51" i="5"/>
  <c r="CP51" i="5"/>
  <c r="CO51" i="5"/>
  <c r="CN51" i="5"/>
  <c r="CM51" i="5"/>
  <c r="CL51" i="5"/>
  <c r="CK51" i="5"/>
  <c r="CJ51" i="5"/>
  <c r="CI51" i="5"/>
  <c r="CH51" i="5"/>
  <c r="CG51" i="5"/>
  <c r="DT50" i="5"/>
  <c r="DS50" i="5"/>
  <c r="DR50" i="5"/>
  <c r="DQ50" i="5"/>
  <c r="DP50" i="5"/>
  <c r="DO50" i="5"/>
  <c r="DN50" i="5"/>
  <c r="DM50" i="5"/>
  <c r="DL50" i="5"/>
  <c r="DK50" i="5"/>
  <c r="DJ50" i="5"/>
  <c r="DI50" i="5"/>
  <c r="DH50" i="5"/>
  <c r="DG50" i="5"/>
  <c r="DF50" i="5"/>
  <c r="DE50" i="5"/>
  <c r="DD50" i="5"/>
  <c r="DC50" i="5"/>
  <c r="DB50" i="5"/>
  <c r="DA50" i="5"/>
  <c r="CZ50" i="5"/>
  <c r="CY50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DT49" i="5"/>
  <c r="DS49" i="5"/>
  <c r="DR49" i="5"/>
  <c r="DQ49" i="5"/>
  <c r="DP49" i="5"/>
  <c r="DO49" i="5"/>
  <c r="DN49" i="5"/>
  <c r="DM49" i="5"/>
  <c r="DL49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DT48" i="5"/>
  <c r="DS48" i="5"/>
  <c r="DR48" i="5"/>
  <c r="DQ48" i="5"/>
  <c r="DP48" i="5"/>
  <c r="DO48" i="5"/>
  <c r="DN48" i="5"/>
  <c r="DM48" i="5"/>
  <c r="DL48" i="5"/>
  <c r="DK48" i="5"/>
  <c r="DJ48" i="5"/>
  <c r="DI48" i="5"/>
  <c r="DH48" i="5"/>
  <c r="DG48" i="5"/>
  <c r="DF48" i="5"/>
  <c r="DE48" i="5"/>
  <c r="DD48" i="5"/>
  <c r="DC48" i="5"/>
  <c r="DB48" i="5"/>
  <c r="DA48" i="5"/>
  <c r="CZ48" i="5"/>
  <c r="CY48" i="5"/>
  <c r="CX48" i="5"/>
  <c r="CW48" i="5"/>
  <c r="CV48" i="5"/>
  <c r="CU48" i="5"/>
  <c r="CT48" i="5"/>
  <c r="CS48" i="5"/>
  <c r="CR48" i="5"/>
  <c r="CQ48" i="5"/>
  <c r="CP48" i="5"/>
  <c r="CO48" i="5"/>
  <c r="CN48" i="5"/>
  <c r="CM48" i="5"/>
  <c r="CL48" i="5"/>
  <c r="CK48" i="5"/>
  <c r="CJ48" i="5"/>
  <c r="CI48" i="5"/>
  <c r="CH48" i="5"/>
  <c r="CG48" i="5"/>
  <c r="DT47" i="5"/>
  <c r="DS47" i="5"/>
  <c r="DR47" i="5"/>
  <c r="DQ47" i="5"/>
  <c r="DP47" i="5"/>
  <c r="DO47" i="5"/>
  <c r="DN47" i="5"/>
  <c r="DM47" i="5"/>
  <c r="DL47" i="5"/>
  <c r="DK47" i="5"/>
  <c r="DJ47" i="5"/>
  <c r="DI47" i="5"/>
  <c r="DH47" i="5"/>
  <c r="DG47" i="5"/>
  <c r="DF47" i="5"/>
  <c r="DE47" i="5"/>
  <c r="DD47" i="5"/>
  <c r="DC47" i="5"/>
  <c r="DB47" i="5"/>
  <c r="DA47" i="5"/>
  <c r="CZ47" i="5"/>
  <c r="CY47" i="5"/>
  <c r="CX47" i="5"/>
  <c r="CW47" i="5"/>
  <c r="CV47" i="5"/>
  <c r="CU47" i="5"/>
  <c r="CT47" i="5"/>
  <c r="CS47" i="5"/>
  <c r="CR47" i="5"/>
  <c r="CQ47" i="5"/>
  <c r="CP47" i="5"/>
  <c r="CO47" i="5"/>
  <c r="CN47" i="5"/>
  <c r="CM47" i="5"/>
  <c r="CL47" i="5"/>
  <c r="CK47" i="5"/>
  <c r="CJ47" i="5"/>
  <c r="CI47" i="5"/>
  <c r="CH47" i="5"/>
  <c r="CG47" i="5"/>
  <c r="DT46" i="5"/>
  <c r="DS46" i="5"/>
  <c r="DR46" i="5"/>
  <c r="DQ46" i="5"/>
  <c r="DP46" i="5"/>
  <c r="DO46" i="5"/>
  <c r="DN46" i="5"/>
  <c r="DM46" i="5"/>
  <c r="DL46" i="5"/>
  <c r="DK46" i="5"/>
  <c r="DJ46" i="5"/>
  <c r="DI46" i="5"/>
  <c r="DH46" i="5"/>
  <c r="DG46" i="5"/>
  <c r="DF46" i="5"/>
  <c r="DE46" i="5"/>
  <c r="DD46" i="5"/>
  <c r="DC46" i="5"/>
  <c r="DB46" i="5"/>
  <c r="DA46" i="5"/>
  <c r="CZ46" i="5"/>
  <c r="CY46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DT45" i="5"/>
  <c r="DS45" i="5"/>
  <c r="DR45" i="5"/>
  <c r="DQ45" i="5"/>
  <c r="DP45" i="5"/>
  <c r="DO45" i="5"/>
  <c r="DN45" i="5"/>
  <c r="DM45" i="5"/>
  <c r="DL45" i="5"/>
  <c r="DK45" i="5"/>
  <c r="DJ45" i="5"/>
  <c r="DI45" i="5"/>
  <c r="DH45" i="5"/>
  <c r="DG45" i="5"/>
  <c r="DF45" i="5"/>
  <c r="DE45" i="5"/>
  <c r="DD45" i="5"/>
  <c r="DC45" i="5"/>
  <c r="DB45" i="5"/>
  <c r="DA45" i="5"/>
  <c r="CZ45" i="5"/>
  <c r="CY45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CG45" i="5"/>
  <c r="DT44" i="5"/>
  <c r="DS44" i="5"/>
  <c r="DR44" i="5"/>
  <c r="DQ44" i="5"/>
  <c r="DP44" i="5"/>
  <c r="DO44" i="5"/>
  <c r="DN44" i="5"/>
  <c r="DM44" i="5"/>
  <c r="DL44" i="5"/>
  <c r="DK44" i="5"/>
  <c r="DJ44" i="5"/>
  <c r="DI44" i="5"/>
  <c r="DH44" i="5"/>
  <c r="DG4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DT43" i="5"/>
  <c r="DS43" i="5"/>
  <c r="DR43" i="5"/>
  <c r="DQ43" i="5"/>
  <c r="DP43" i="5"/>
  <c r="DO43" i="5"/>
  <c r="DN43" i="5"/>
  <c r="DM43" i="5"/>
  <c r="DL43" i="5"/>
  <c r="DK43" i="5"/>
  <c r="DJ43" i="5"/>
  <c r="DI43" i="5"/>
  <c r="DH43" i="5"/>
  <c r="DG43" i="5"/>
  <c r="DF43" i="5"/>
  <c r="DE43" i="5"/>
  <c r="DD43" i="5"/>
  <c r="DC43" i="5"/>
  <c r="DB43" i="5"/>
  <c r="DA43" i="5"/>
  <c r="CZ43" i="5"/>
  <c r="CY43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CG43" i="5"/>
  <c r="DT42" i="5"/>
  <c r="DS42" i="5"/>
  <c r="DR42" i="5"/>
  <c r="DQ42" i="5"/>
  <c r="DP42" i="5"/>
  <c r="DO42" i="5"/>
  <c r="DN42" i="5"/>
  <c r="DM42" i="5"/>
  <c r="DL42" i="5"/>
  <c r="DK42" i="5"/>
  <c r="DJ42" i="5"/>
  <c r="DI42" i="5"/>
  <c r="DH42" i="5"/>
  <c r="DG42" i="5"/>
  <c r="DF42" i="5"/>
  <c r="DE42" i="5"/>
  <c r="DD42" i="5"/>
  <c r="DC42" i="5"/>
  <c r="DB42" i="5"/>
  <c r="DA42" i="5"/>
  <c r="CZ42" i="5"/>
  <c r="CY42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DT41" i="5"/>
  <c r="DS41" i="5"/>
  <c r="DR41" i="5"/>
  <c r="DQ41" i="5"/>
  <c r="DP41" i="5"/>
  <c r="DO41" i="5"/>
  <c r="DN41" i="5"/>
  <c r="DM41" i="5"/>
  <c r="DL41" i="5"/>
  <c r="DK41" i="5"/>
  <c r="DJ41" i="5"/>
  <c r="DI41" i="5"/>
  <c r="DH41" i="5"/>
  <c r="DG41" i="5"/>
  <c r="DF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CG41" i="5"/>
  <c r="DT40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D40" i="5"/>
  <c r="DT39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DT38" i="5"/>
  <c r="DS38" i="5"/>
  <c r="DR38" i="5"/>
  <c r="DQ38" i="5"/>
  <c r="DP38" i="5"/>
  <c r="DO38" i="5"/>
  <c r="DN38" i="5"/>
  <c r="DM38" i="5"/>
  <c r="DL38" i="5"/>
  <c r="DK38" i="5"/>
  <c r="DJ38" i="5"/>
  <c r="DI38" i="5"/>
  <c r="DH38" i="5"/>
  <c r="DG38" i="5"/>
  <c r="DF38" i="5"/>
  <c r="DE38" i="5"/>
  <c r="DD38" i="5"/>
  <c r="DC38" i="5"/>
  <c r="DB38" i="5"/>
  <c r="DA38" i="5"/>
  <c r="CZ38" i="5"/>
  <c r="CY38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DT37" i="5"/>
  <c r="DS37" i="5"/>
  <c r="DR37" i="5"/>
  <c r="DQ37" i="5"/>
  <c r="DP37" i="5"/>
  <c r="DO37" i="5"/>
  <c r="DN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DT36" i="5"/>
  <c r="DS36" i="5"/>
  <c r="DR36" i="5"/>
  <c r="DQ36" i="5"/>
  <c r="DP36" i="5"/>
  <c r="DO36" i="5"/>
  <c r="DN36" i="5"/>
  <c r="DM36" i="5"/>
  <c r="DL36" i="5"/>
  <c r="DK36" i="5"/>
  <c r="DJ36" i="5"/>
  <c r="DI36" i="5"/>
  <c r="DH36" i="5"/>
  <c r="DG36" i="5"/>
  <c r="DF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T35" i="5"/>
  <c r="DS35" i="5"/>
  <c r="DR35" i="5"/>
  <c r="DQ35" i="5"/>
  <c r="DP35" i="5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E32" i="5"/>
  <c r="B32" i="5"/>
  <c r="E19" i="5"/>
  <c r="B19" i="5"/>
  <c r="DO6" i="5"/>
  <c r="DN6" i="5"/>
  <c r="DM6" i="5"/>
  <c r="DL6" i="5"/>
  <c r="DK6" i="5"/>
  <c r="DI6" i="5"/>
  <c r="DH6" i="5"/>
  <c r="CX6" i="5"/>
  <c r="CW6" i="5"/>
  <c r="CV6" i="5"/>
  <c r="CU6" i="5"/>
  <c r="CS6" i="5"/>
  <c r="CR6" i="5"/>
  <c r="CH6" i="5"/>
  <c r="CG6" i="5"/>
  <c r="CF6" i="5"/>
  <c r="CE6" i="5"/>
  <c r="CC6" i="5"/>
  <c r="CB6" i="5"/>
  <c r="BS6" i="5"/>
  <c r="BR6" i="5"/>
  <c r="BQ6" i="5"/>
  <c r="BP6" i="5"/>
  <c r="BO6" i="5"/>
  <c r="BM6" i="5"/>
  <c r="BL6" i="5"/>
  <c r="BC6" i="5"/>
  <c r="BB6" i="5"/>
  <c r="BA6" i="5"/>
  <c r="AZ6" i="5"/>
  <c r="AY6" i="5"/>
  <c r="AW6" i="5"/>
  <c r="AV6" i="5"/>
  <c r="AL6" i="5"/>
  <c r="AK6" i="5"/>
  <c r="AJ6" i="5"/>
  <c r="AI6" i="5"/>
  <c r="AG6" i="5"/>
  <c r="AF6" i="5"/>
  <c r="V6" i="5"/>
  <c r="U6" i="5"/>
  <c r="T6" i="5"/>
  <c r="S6" i="5"/>
  <c r="Q6" i="5"/>
  <c r="P6" i="5"/>
  <c r="F6" i="5"/>
  <c r="D6" i="5"/>
  <c r="DQ5" i="5"/>
  <c r="DG5" i="5"/>
  <c r="DE5" i="5"/>
  <c r="DA5" i="5"/>
  <c r="CY5" i="5"/>
  <c r="CQ5" i="5"/>
  <c r="CO5" i="5"/>
  <c r="CK5" i="5"/>
  <c r="CA5" i="5"/>
  <c r="BY5" i="5"/>
  <c r="BU5" i="5"/>
  <c r="BR5" i="5"/>
  <c r="BQ5" i="5"/>
  <c r="BK5" i="5"/>
  <c r="BI5" i="5"/>
  <c r="BE5" i="5"/>
  <c r="AU5" i="5"/>
  <c r="AS5" i="5"/>
  <c r="AO5" i="5"/>
  <c r="AE5" i="5"/>
  <c r="AC5" i="5"/>
  <c r="Y5" i="5"/>
  <c r="U5" i="5"/>
  <c r="O5" i="5"/>
  <c r="M5" i="5"/>
  <c r="I5" i="5"/>
  <c r="E5" i="5"/>
  <c r="DT4" i="5"/>
  <c r="DS4" i="5"/>
  <c r="DQ4" i="5"/>
  <c r="DP4" i="5"/>
  <c r="DO4" i="5"/>
  <c r="DN4" i="5"/>
  <c r="DM4" i="5"/>
  <c r="DL4" i="5"/>
  <c r="DK4" i="5"/>
  <c r="DJ4" i="5"/>
  <c r="DI4" i="5"/>
  <c r="DH4" i="5"/>
  <c r="DG4" i="5"/>
  <c r="DF4" i="5"/>
  <c r="DE4" i="5"/>
  <c r="DD4" i="5"/>
  <c r="DC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I4" i="5"/>
  <c r="H4" i="5"/>
  <c r="G4" i="5"/>
  <c r="F4" i="5"/>
  <c r="E4" i="5"/>
  <c r="D4" i="5"/>
  <c r="AH102" i="4"/>
  <c r="AG102" i="4"/>
  <c r="AF102" i="4"/>
  <c r="AE102" i="4"/>
  <c r="AD102" i="4"/>
  <c r="AC102" i="4"/>
  <c r="AB102" i="4"/>
  <c r="AA102" i="4"/>
  <c r="Z102" i="4"/>
  <c r="Y102" i="4"/>
  <c r="AH101" i="4"/>
  <c r="AG101" i="4"/>
  <c r="AF101" i="4"/>
  <c r="AE101" i="4"/>
  <c r="AD101" i="4"/>
  <c r="AC101" i="4"/>
  <c r="AB101" i="4"/>
  <c r="AA101" i="4"/>
  <c r="Z101" i="4"/>
  <c r="Y101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AH99" i="4"/>
  <c r="AG99" i="4"/>
  <c r="AF99" i="4"/>
  <c r="AE99" i="4"/>
  <c r="AD99" i="4"/>
  <c r="AC99" i="4"/>
  <c r="AB99" i="4"/>
  <c r="AA99" i="4"/>
  <c r="Z99" i="4"/>
  <c r="Y99" i="4"/>
  <c r="AH98" i="4"/>
  <c r="AG98" i="4"/>
  <c r="AF98" i="4"/>
  <c r="AE98" i="4"/>
  <c r="AD98" i="4"/>
  <c r="AC98" i="4"/>
  <c r="AB98" i="4"/>
  <c r="AA98" i="4"/>
  <c r="Z98" i="4"/>
  <c r="Y98" i="4"/>
  <c r="AH97" i="4"/>
  <c r="AG97" i="4"/>
  <c r="AF97" i="4"/>
  <c r="AE97" i="4"/>
  <c r="AD97" i="4"/>
  <c r="AC97" i="4"/>
  <c r="AB97" i="4"/>
  <c r="AA97" i="4"/>
  <c r="Z97" i="4"/>
  <c r="Y97" i="4"/>
  <c r="AH96" i="4"/>
  <c r="AG96" i="4"/>
  <c r="AF96" i="4"/>
  <c r="AE96" i="4"/>
  <c r="AD96" i="4"/>
  <c r="AC96" i="4"/>
  <c r="AB96" i="4"/>
  <c r="AA96" i="4"/>
  <c r="Z96" i="4"/>
  <c r="Y96" i="4"/>
  <c r="AH95" i="4"/>
  <c r="AG95" i="4"/>
  <c r="AF95" i="4"/>
  <c r="AE95" i="4"/>
  <c r="AD95" i="4"/>
  <c r="AC95" i="4"/>
  <c r="AB95" i="4"/>
  <c r="AA95" i="4"/>
  <c r="Z95" i="4"/>
  <c r="Y95" i="4"/>
  <c r="AH94" i="4"/>
  <c r="AG94" i="4"/>
  <c r="AF94" i="4"/>
  <c r="AE94" i="4"/>
  <c r="AD94" i="4"/>
  <c r="AC94" i="4"/>
  <c r="AB94" i="4"/>
  <c r="AA94" i="4"/>
  <c r="Z94" i="4"/>
  <c r="Y94" i="4"/>
  <c r="AH93" i="4"/>
  <c r="AG93" i="4"/>
  <c r="AF93" i="4"/>
  <c r="AE93" i="4"/>
  <c r="AD93" i="4"/>
  <c r="AC93" i="4"/>
  <c r="AB93" i="4"/>
  <c r="AA93" i="4"/>
  <c r="Z93" i="4"/>
  <c r="Y93" i="4"/>
  <c r="AH92" i="4"/>
  <c r="AG92" i="4"/>
  <c r="AF92" i="4"/>
  <c r="AE92" i="4"/>
  <c r="AD92" i="4"/>
  <c r="AC92" i="4"/>
  <c r="AB92" i="4"/>
  <c r="AA92" i="4"/>
  <c r="Z92" i="4"/>
  <c r="Y92" i="4"/>
  <c r="AH91" i="4"/>
  <c r="AG91" i="4"/>
  <c r="AF91" i="4"/>
  <c r="AE91" i="4"/>
  <c r="AD91" i="4"/>
  <c r="AC91" i="4"/>
  <c r="AB91" i="4"/>
  <c r="AA91" i="4"/>
  <c r="Z91" i="4"/>
  <c r="Y91" i="4"/>
  <c r="AH90" i="4"/>
  <c r="AG90" i="4"/>
  <c r="AF90" i="4"/>
  <c r="AE90" i="4"/>
  <c r="AD90" i="4"/>
  <c r="AC90" i="4"/>
  <c r="AB90" i="4"/>
  <c r="AA90" i="4"/>
  <c r="Z90" i="4"/>
  <c r="Y90" i="4"/>
  <c r="AH89" i="4"/>
  <c r="AG89" i="4"/>
  <c r="AF89" i="4"/>
  <c r="AE89" i="4"/>
  <c r="AD89" i="4"/>
  <c r="AC89" i="4"/>
  <c r="AB89" i="4"/>
  <c r="AA89" i="4"/>
  <c r="Z89" i="4"/>
  <c r="Y89" i="4"/>
  <c r="AH88" i="4"/>
  <c r="AG88" i="4"/>
  <c r="AF88" i="4"/>
  <c r="AE88" i="4"/>
  <c r="AD88" i="4"/>
  <c r="AC88" i="4"/>
  <c r="AB88" i="4"/>
  <c r="AA88" i="4"/>
  <c r="Z88" i="4"/>
  <c r="Y88" i="4"/>
  <c r="AH87" i="4"/>
  <c r="AG87" i="4"/>
  <c r="AF87" i="4"/>
  <c r="AE87" i="4"/>
  <c r="AD87" i="4"/>
  <c r="AC87" i="4"/>
  <c r="AB87" i="4"/>
  <c r="AA87" i="4"/>
  <c r="Z87" i="4"/>
  <c r="Y87" i="4"/>
  <c r="AH86" i="4"/>
  <c r="AG86" i="4"/>
  <c r="AF86" i="4"/>
  <c r="AE86" i="4"/>
  <c r="AD86" i="4"/>
  <c r="AC86" i="4"/>
  <c r="AB86" i="4"/>
  <c r="AA86" i="4"/>
  <c r="Z86" i="4"/>
  <c r="Y86" i="4"/>
  <c r="AH85" i="4"/>
  <c r="AG85" i="4"/>
  <c r="AF85" i="4"/>
  <c r="AE85" i="4"/>
  <c r="AD85" i="4"/>
  <c r="AC85" i="4"/>
  <c r="AB85" i="4"/>
  <c r="AA85" i="4"/>
  <c r="Z85" i="4"/>
  <c r="Y85" i="4"/>
  <c r="AH84" i="4"/>
  <c r="AG84" i="4"/>
  <c r="AF84" i="4"/>
  <c r="AE84" i="4"/>
  <c r="AD84" i="4"/>
  <c r="AC84" i="4"/>
  <c r="AB84" i="4"/>
  <c r="AA84" i="4"/>
  <c r="Z84" i="4"/>
  <c r="Y84" i="4"/>
  <c r="AH83" i="4"/>
  <c r="AG83" i="4"/>
  <c r="AF83" i="4"/>
  <c r="AE83" i="4"/>
  <c r="AD83" i="4"/>
  <c r="AC83" i="4"/>
  <c r="AB83" i="4"/>
  <c r="AA83" i="4"/>
  <c r="Z83" i="4"/>
  <c r="Y83" i="4"/>
  <c r="AH82" i="4"/>
  <c r="AG82" i="4"/>
  <c r="AF82" i="4"/>
  <c r="AE82" i="4"/>
  <c r="AD82" i="4"/>
  <c r="AC82" i="4"/>
  <c r="AB82" i="4"/>
  <c r="AA82" i="4"/>
  <c r="Z82" i="4"/>
  <c r="Y82" i="4"/>
  <c r="AH81" i="4"/>
  <c r="AG81" i="4"/>
  <c r="AF81" i="4"/>
  <c r="AE81" i="4"/>
  <c r="AD81" i="4"/>
  <c r="AC81" i="4"/>
  <c r="AB81" i="4"/>
  <c r="AA81" i="4"/>
  <c r="Z81" i="4"/>
  <c r="Y81" i="4"/>
  <c r="AH80" i="4"/>
  <c r="AG80" i="4"/>
  <c r="AF80" i="4"/>
  <c r="AE80" i="4"/>
  <c r="AD80" i="4"/>
  <c r="AC80" i="4"/>
  <c r="AB80" i="4"/>
  <c r="AA80" i="4"/>
  <c r="Z80" i="4"/>
  <c r="Y80" i="4"/>
  <c r="AH79" i="4"/>
  <c r="AG79" i="4"/>
  <c r="AF79" i="4"/>
  <c r="AE79" i="4"/>
  <c r="AD79" i="4"/>
  <c r="AC79" i="4"/>
  <c r="AB79" i="4"/>
  <c r="AA79" i="4"/>
  <c r="Z79" i="4"/>
  <c r="Y79" i="4"/>
  <c r="AH78" i="4"/>
  <c r="AG78" i="4"/>
  <c r="AF78" i="4"/>
  <c r="AE78" i="4"/>
  <c r="AD78" i="4"/>
  <c r="AC78" i="4"/>
  <c r="AB78" i="4"/>
  <c r="AA78" i="4"/>
  <c r="Z78" i="4"/>
  <c r="Y78" i="4"/>
  <c r="AH77" i="4"/>
  <c r="AG77" i="4"/>
  <c r="AF77" i="4"/>
  <c r="AE77" i="4"/>
  <c r="AD77" i="4"/>
  <c r="AC77" i="4"/>
  <c r="AB77" i="4"/>
  <c r="AA77" i="4"/>
  <c r="Z77" i="4"/>
  <c r="Y77" i="4"/>
  <c r="AH76" i="4"/>
  <c r="AG76" i="4"/>
  <c r="AF76" i="4"/>
  <c r="AE76" i="4"/>
  <c r="AD76" i="4"/>
  <c r="AC76" i="4"/>
  <c r="AB76" i="4"/>
  <c r="AA76" i="4"/>
  <c r="Z76" i="4"/>
  <c r="Y76" i="4"/>
  <c r="AH75" i="4"/>
  <c r="AG75" i="4"/>
  <c r="AF75" i="4"/>
  <c r="AE75" i="4"/>
  <c r="AD75" i="4"/>
  <c r="AC75" i="4"/>
  <c r="AB75" i="4"/>
  <c r="AA75" i="4"/>
  <c r="Z75" i="4"/>
  <c r="Y75" i="4"/>
  <c r="AH74" i="4"/>
  <c r="AG74" i="4"/>
  <c r="AF74" i="4"/>
  <c r="AE74" i="4"/>
  <c r="AD74" i="4"/>
  <c r="AC74" i="4"/>
  <c r="AB74" i="4"/>
  <c r="AA74" i="4"/>
  <c r="Z74" i="4"/>
  <c r="Y74" i="4"/>
  <c r="AH73" i="4"/>
  <c r="AG73" i="4"/>
  <c r="AF73" i="4"/>
  <c r="AE73" i="4"/>
  <c r="AD73" i="4"/>
  <c r="AC73" i="4"/>
  <c r="AB73" i="4"/>
  <c r="AA73" i="4"/>
  <c r="Z73" i="4"/>
  <c r="Y73" i="4"/>
  <c r="AH72" i="4"/>
  <c r="AG72" i="4"/>
  <c r="AF72" i="4"/>
  <c r="AE72" i="4"/>
  <c r="AD72" i="4"/>
  <c r="AC72" i="4"/>
  <c r="AB72" i="4"/>
  <c r="AA72" i="4"/>
  <c r="Z72" i="4"/>
  <c r="Y72" i="4"/>
  <c r="AH71" i="4"/>
  <c r="AG71" i="4"/>
  <c r="AF71" i="4"/>
  <c r="AE71" i="4"/>
  <c r="AD71" i="4"/>
  <c r="AC71" i="4"/>
  <c r="AB71" i="4"/>
  <c r="AA71" i="4"/>
  <c r="Z71" i="4"/>
  <c r="Y71" i="4"/>
  <c r="AH70" i="4"/>
  <c r="AG70" i="4"/>
  <c r="AF70" i="4"/>
  <c r="AE70" i="4"/>
  <c r="AD70" i="4"/>
  <c r="AC70" i="4"/>
  <c r="AB70" i="4"/>
  <c r="AA70" i="4"/>
  <c r="Z70" i="4"/>
  <c r="Y70" i="4"/>
  <c r="AH42" i="4"/>
  <c r="AG42" i="4"/>
  <c r="AF42" i="4"/>
  <c r="AE42" i="4"/>
  <c r="AD42" i="4"/>
  <c r="AC42" i="4"/>
  <c r="AB42" i="4"/>
  <c r="AA42" i="4"/>
  <c r="Z42" i="4"/>
  <c r="Y42" i="4"/>
  <c r="AH41" i="4"/>
  <c r="AG41" i="4"/>
  <c r="AF41" i="4"/>
  <c r="AE41" i="4"/>
  <c r="AD41" i="4"/>
  <c r="AC41" i="4"/>
  <c r="AB41" i="4"/>
  <c r="AA41" i="4"/>
  <c r="Z41" i="4"/>
  <c r="Y41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H39" i="4"/>
  <c r="AG39" i="4"/>
  <c r="AF39" i="4"/>
  <c r="AE39" i="4"/>
  <c r="AD39" i="4"/>
  <c r="AC39" i="4"/>
  <c r="AB39" i="4"/>
  <c r="AA39" i="4"/>
  <c r="Z39" i="4"/>
  <c r="Y39" i="4"/>
  <c r="AH38" i="4"/>
  <c r="AG38" i="4"/>
  <c r="AF38" i="4"/>
  <c r="AE38" i="4"/>
  <c r="AD38" i="4"/>
  <c r="AC38" i="4"/>
  <c r="AB38" i="4"/>
  <c r="AA38" i="4"/>
  <c r="Z38" i="4"/>
  <c r="Y38" i="4"/>
  <c r="AH37" i="4"/>
  <c r="AG37" i="4"/>
  <c r="AF37" i="4"/>
  <c r="AE37" i="4"/>
  <c r="AD37" i="4"/>
  <c r="AC37" i="4"/>
  <c r="AB37" i="4"/>
  <c r="AA37" i="4"/>
  <c r="Z37" i="4"/>
  <c r="Y37" i="4"/>
  <c r="AH36" i="4"/>
  <c r="AG36" i="4"/>
  <c r="AF36" i="4"/>
  <c r="AE36" i="4"/>
  <c r="AD36" i="4"/>
  <c r="AC36" i="4"/>
  <c r="AB36" i="4"/>
  <c r="AA36" i="4"/>
  <c r="Z36" i="4"/>
  <c r="Y36" i="4"/>
  <c r="AH35" i="4"/>
  <c r="AG35" i="4"/>
  <c r="AF35" i="4"/>
  <c r="AE35" i="4"/>
  <c r="AD35" i="4"/>
  <c r="AC35" i="4"/>
  <c r="AB35" i="4"/>
  <c r="AA35" i="4"/>
  <c r="Z35" i="4"/>
  <c r="Y35" i="4"/>
  <c r="AH34" i="4"/>
  <c r="AG34" i="4"/>
  <c r="AF34" i="4"/>
  <c r="AE34" i="4"/>
  <c r="AD34" i="4"/>
  <c r="AC34" i="4"/>
  <c r="AB34" i="4"/>
  <c r="AA34" i="4"/>
  <c r="Z34" i="4"/>
  <c r="Y34" i="4"/>
  <c r="AH33" i="4"/>
  <c r="AG33" i="4"/>
  <c r="AF33" i="4"/>
  <c r="AE33" i="4"/>
  <c r="AD33" i="4"/>
  <c r="AC33" i="4"/>
  <c r="AB33" i="4"/>
  <c r="AA33" i="4"/>
  <c r="Z33" i="4"/>
  <c r="Y33" i="4"/>
  <c r="AH32" i="4"/>
  <c r="AG32" i="4"/>
  <c r="AF32" i="4"/>
  <c r="AE32" i="4"/>
  <c r="AD32" i="4"/>
  <c r="AC32" i="4"/>
  <c r="AB32" i="4"/>
  <c r="AA32" i="4"/>
  <c r="Z32" i="4"/>
  <c r="Y32" i="4"/>
  <c r="AH31" i="4"/>
  <c r="AG31" i="4"/>
  <c r="AF31" i="4"/>
  <c r="AE31" i="4"/>
  <c r="AD31" i="4"/>
  <c r="AC31" i="4"/>
  <c r="AB31" i="4"/>
  <c r="AA31" i="4"/>
  <c r="Z31" i="4"/>
  <c r="Y31" i="4"/>
  <c r="AH30" i="4"/>
  <c r="AG30" i="4"/>
  <c r="AF30" i="4"/>
  <c r="AE30" i="4"/>
  <c r="AD30" i="4"/>
  <c r="AC30" i="4"/>
  <c r="AB30" i="4"/>
  <c r="AA30" i="4"/>
  <c r="Z30" i="4"/>
  <c r="Y30" i="4"/>
  <c r="AH29" i="4"/>
  <c r="AG29" i="4"/>
  <c r="AF29" i="4"/>
  <c r="AE29" i="4"/>
  <c r="AD29" i="4"/>
  <c r="AC29" i="4"/>
  <c r="AB29" i="4"/>
  <c r="AA29" i="4"/>
  <c r="Z29" i="4"/>
  <c r="Y29" i="4"/>
  <c r="AH28" i="4"/>
  <c r="AG28" i="4"/>
  <c r="AF28" i="4"/>
  <c r="AE28" i="4"/>
  <c r="AD28" i="4"/>
  <c r="AC28" i="4"/>
  <c r="AB28" i="4"/>
  <c r="AA28" i="4"/>
  <c r="Z28" i="4"/>
  <c r="Y28" i="4"/>
  <c r="AH27" i="4"/>
  <c r="AG27" i="4"/>
  <c r="AF27" i="4"/>
  <c r="AE27" i="4"/>
  <c r="AD27" i="4"/>
  <c r="AC27" i="4"/>
  <c r="AB27" i="4"/>
  <c r="AA27" i="4"/>
  <c r="Z27" i="4"/>
  <c r="Y27" i="4"/>
  <c r="AH26" i="4"/>
  <c r="AG26" i="4"/>
  <c r="AF26" i="4"/>
  <c r="AE26" i="4"/>
  <c r="AD26" i="4"/>
  <c r="AC26" i="4"/>
  <c r="AB26" i="4"/>
  <c r="AA26" i="4"/>
  <c r="Z26" i="4"/>
  <c r="Y26" i="4"/>
  <c r="AH25" i="4"/>
  <c r="AG25" i="4"/>
  <c r="AF25" i="4"/>
  <c r="AE25" i="4"/>
  <c r="AD25" i="4"/>
  <c r="AC25" i="4"/>
  <c r="AB25" i="4"/>
  <c r="AA25" i="4"/>
  <c r="Z25" i="4"/>
  <c r="Y25" i="4"/>
  <c r="AH24" i="4"/>
  <c r="AG24" i="4"/>
  <c r="AF24" i="4"/>
  <c r="AE24" i="4"/>
  <c r="AD24" i="4"/>
  <c r="AC24" i="4"/>
  <c r="AB24" i="4"/>
  <c r="AA24" i="4"/>
  <c r="Z24" i="4"/>
  <c r="Y24" i="4"/>
  <c r="AH23" i="4"/>
  <c r="AG23" i="4"/>
  <c r="AF23" i="4"/>
  <c r="AE23" i="4"/>
  <c r="AD23" i="4"/>
  <c r="AC23" i="4"/>
  <c r="AB23" i="4"/>
  <c r="AA23" i="4"/>
  <c r="Z23" i="4"/>
  <c r="Y23" i="4"/>
  <c r="AH22" i="4"/>
  <c r="AG22" i="4"/>
  <c r="AF22" i="4"/>
  <c r="AE22" i="4"/>
  <c r="AD22" i="4"/>
  <c r="AC22" i="4"/>
  <c r="AB22" i="4"/>
  <c r="AA22" i="4"/>
  <c r="Z22" i="4"/>
  <c r="Y22" i="4"/>
  <c r="AH21" i="4"/>
  <c r="AG21" i="4"/>
  <c r="AF21" i="4"/>
  <c r="AE21" i="4"/>
  <c r="AD21" i="4"/>
  <c r="AC21" i="4"/>
  <c r="AB21" i="4"/>
  <c r="AA21" i="4"/>
  <c r="Z21" i="4"/>
  <c r="Y21" i="4"/>
  <c r="AH20" i="4"/>
  <c r="AG20" i="4"/>
  <c r="AF20" i="4"/>
  <c r="AE20" i="4"/>
  <c r="AD20" i="4"/>
  <c r="AC20" i="4"/>
  <c r="AB20" i="4"/>
  <c r="AA20" i="4"/>
  <c r="Z20" i="4"/>
  <c r="Y20" i="4"/>
  <c r="AH19" i="4"/>
  <c r="AG19" i="4"/>
  <c r="AF19" i="4"/>
  <c r="AE19" i="4"/>
  <c r="AD19" i="4"/>
  <c r="AC19" i="4"/>
  <c r="AB19" i="4"/>
  <c r="AA19" i="4"/>
  <c r="Z19" i="4"/>
  <c r="Y19" i="4"/>
  <c r="AH18" i="4"/>
  <c r="AG18" i="4"/>
  <c r="AF18" i="4"/>
  <c r="AE18" i="4"/>
  <c r="AD18" i="4"/>
  <c r="AC18" i="4"/>
  <c r="AB18" i="4"/>
  <c r="AA18" i="4"/>
  <c r="Z18" i="4"/>
  <c r="Y18" i="4"/>
  <c r="AH17" i="4"/>
  <c r="AG17" i="4"/>
  <c r="AF17" i="4"/>
  <c r="AE17" i="4"/>
  <c r="AD17" i="4"/>
  <c r="AC17" i="4"/>
  <c r="AB17" i="4"/>
  <c r="AA17" i="4"/>
  <c r="Z17" i="4"/>
  <c r="Y17" i="4"/>
  <c r="AH16" i="4"/>
  <c r="AG16" i="4"/>
  <c r="AF16" i="4"/>
  <c r="AE16" i="4"/>
  <c r="AD16" i="4"/>
  <c r="AC16" i="4"/>
  <c r="AB16" i="4"/>
  <c r="AA16" i="4"/>
  <c r="Z16" i="4"/>
  <c r="Y16" i="4"/>
  <c r="AH15" i="4"/>
  <c r="AG15" i="4"/>
  <c r="AF15" i="4"/>
  <c r="AE15" i="4"/>
  <c r="AD15" i="4"/>
  <c r="AC15" i="4"/>
  <c r="AB15" i="4"/>
  <c r="AA15" i="4"/>
  <c r="Z15" i="4"/>
  <c r="Y15" i="4"/>
  <c r="AH14" i="4"/>
  <c r="AG14" i="4"/>
  <c r="AF14" i="4"/>
  <c r="AE14" i="4"/>
  <c r="AD14" i="4"/>
  <c r="AC14" i="4"/>
  <c r="AB14" i="4"/>
  <c r="AA14" i="4"/>
  <c r="Z14" i="4"/>
  <c r="Y14" i="4"/>
  <c r="AH13" i="4"/>
  <c r="AG13" i="4"/>
  <c r="AF13" i="4"/>
  <c r="AE13" i="4"/>
  <c r="AD13" i="4"/>
  <c r="AC13" i="4"/>
  <c r="AB13" i="4"/>
  <c r="AA13" i="4"/>
  <c r="Z13" i="4"/>
  <c r="Y13" i="4"/>
  <c r="AH12" i="4"/>
  <c r="AG12" i="4"/>
  <c r="AF12" i="4"/>
  <c r="AE12" i="4"/>
  <c r="AD12" i="4"/>
  <c r="AC12" i="4"/>
  <c r="AB12" i="4"/>
  <c r="AA12" i="4"/>
  <c r="Z12" i="4"/>
  <c r="Y12" i="4"/>
  <c r="AH11" i="4"/>
  <c r="AG11" i="4"/>
  <c r="AF11" i="4"/>
  <c r="AE11" i="4"/>
  <c r="AD11" i="4"/>
  <c r="AC11" i="4"/>
  <c r="AB11" i="4"/>
  <c r="AA11" i="4"/>
  <c r="Z11" i="4"/>
  <c r="Y11" i="4"/>
  <c r="AH10" i="4"/>
  <c r="AG10" i="4"/>
  <c r="AF10" i="4"/>
  <c r="AE10" i="4"/>
  <c r="AD10" i="4"/>
  <c r="AC10" i="4"/>
  <c r="AB10" i="4"/>
  <c r="AA10" i="4"/>
  <c r="Z10" i="4"/>
  <c r="Y10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E54" i="3"/>
  <c r="B54" i="3"/>
  <c r="E18" i="3"/>
  <c r="B18" i="3"/>
  <c r="E17" i="3"/>
  <c r="B17" i="3"/>
  <c r="D15" i="3"/>
  <c r="D27" i="1" s="1"/>
  <c r="D14" i="3"/>
  <c r="D26" i="1" s="1"/>
  <c r="D13" i="3"/>
  <c r="D25" i="1" s="1"/>
  <c r="D12" i="3"/>
  <c r="D24" i="1" s="1"/>
  <c r="D11" i="3"/>
  <c r="D23" i="1" s="1"/>
  <c r="D10" i="3"/>
  <c r="D9" i="3"/>
  <c r="D21" i="1" s="1"/>
  <c r="D8" i="3"/>
  <c r="D20" i="1" s="1"/>
  <c r="D7" i="3"/>
  <c r="D6" i="3"/>
  <c r="D18" i="1" s="1"/>
  <c r="B152" i="2"/>
  <c r="E36" i="3" s="1"/>
  <c r="B149" i="2"/>
  <c r="F7" i="1" s="1"/>
  <c r="B148" i="2"/>
  <c r="E28" i="3" s="1"/>
  <c r="B147" i="2"/>
  <c r="B146" i="2"/>
  <c r="B145" i="2"/>
  <c r="B144" i="2"/>
  <c r="B142" i="2"/>
  <c r="B143" i="2" s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C27" i="1"/>
  <c r="C26" i="1"/>
  <c r="C25" i="1"/>
  <c r="C24" i="1"/>
  <c r="C23" i="1"/>
  <c r="D22" i="1"/>
  <c r="C22" i="1"/>
  <c r="C21" i="1"/>
  <c r="C20" i="1"/>
  <c r="D19" i="1"/>
  <c r="C19" i="1"/>
  <c r="C18" i="1"/>
  <c r="F10" i="1"/>
  <c r="F9" i="1"/>
  <c r="F8" i="1"/>
  <c r="B8" i="1"/>
  <c r="B7" i="1"/>
  <c r="BS5" i="6" l="1"/>
  <c r="BS5" i="5"/>
  <c r="BS5" i="7"/>
  <c r="CI5" i="5"/>
  <c r="CI5" i="7"/>
  <c r="CI5" i="6"/>
  <c r="DB5" i="5"/>
  <c r="Z5" i="6"/>
  <c r="DR5" i="6"/>
  <c r="AM6" i="6"/>
  <c r="BV5" i="7"/>
  <c r="Z5" i="7"/>
  <c r="CI6" i="9"/>
  <c r="AM6" i="5"/>
  <c r="DR5" i="7"/>
  <c r="G5" i="9"/>
  <c r="J4" i="6"/>
  <c r="Z4" i="6"/>
  <c r="AP4" i="6"/>
  <c r="BF4" i="6"/>
  <c r="BV4" i="6"/>
  <c r="CL4" i="6"/>
  <c r="DB4" i="6"/>
  <c r="DR4" i="6"/>
  <c r="AP5" i="6"/>
  <c r="W5" i="9"/>
  <c r="J4" i="7"/>
  <c r="Z4" i="7"/>
  <c r="AP4" i="7"/>
  <c r="BF4" i="7"/>
  <c r="BV4" i="7"/>
  <c r="CL4" i="7"/>
  <c r="DB4" i="7"/>
  <c r="DR4" i="7"/>
  <c r="AP5" i="7"/>
  <c r="J4" i="5"/>
  <c r="Z4" i="5"/>
  <c r="AP4" i="5"/>
  <c r="BF4" i="5"/>
  <c r="BV4" i="5"/>
  <c r="CL4" i="5"/>
  <c r="DB4" i="5"/>
  <c r="DR4" i="5"/>
  <c r="CL5" i="6"/>
  <c r="BF5" i="6"/>
  <c r="CL5" i="7"/>
  <c r="CC5" i="9"/>
  <c r="J5" i="6"/>
  <c r="BF5" i="7"/>
  <c r="CE5" i="9"/>
  <c r="CG5" i="9"/>
  <c r="J5" i="7"/>
  <c r="CX5" i="9"/>
  <c r="AH6" i="7"/>
  <c r="AH6" i="5"/>
  <c r="AH6" i="6"/>
  <c r="G6" i="7"/>
  <c r="G6" i="5"/>
  <c r="G6" i="6"/>
  <c r="W6" i="7"/>
  <c r="W6" i="5"/>
  <c r="W6" i="6"/>
  <c r="AM5" i="7"/>
  <c r="AM5" i="5"/>
  <c r="AM5" i="6"/>
  <c r="BC5" i="6"/>
  <c r="BC5" i="7"/>
  <c r="BC5" i="5"/>
  <c r="DO5" i="7"/>
  <c r="DO5" i="5"/>
  <c r="DO5" i="6"/>
  <c r="DJ6" i="9"/>
  <c r="AG5" i="9"/>
  <c r="AH5" i="9"/>
  <c r="AI5" i="9"/>
  <c r="DI5" i="9"/>
  <c r="AK5" i="9"/>
  <c r="DK5" i="9"/>
  <c r="DM5" i="9"/>
  <c r="AY5" i="9"/>
  <c r="BA5" i="9"/>
  <c r="BO5" i="9"/>
  <c r="CF186" i="6"/>
  <c r="CF185" i="6"/>
  <c r="E21" i="3"/>
  <c r="B15" i="2"/>
  <c r="R6" i="5"/>
  <c r="R6" i="7"/>
  <c r="R6" i="6"/>
  <c r="AX5" i="5"/>
  <c r="AX5" i="7"/>
  <c r="AX5" i="6"/>
  <c r="BN5" i="5"/>
  <c r="BN5" i="7"/>
  <c r="BN5" i="6"/>
  <c r="CD6" i="5"/>
  <c r="CD6" i="7"/>
  <c r="CD6" i="6"/>
  <c r="CT6" i="5"/>
  <c r="CT6" i="7"/>
  <c r="CT6" i="6"/>
  <c r="DJ5" i="5"/>
  <c r="DJ5" i="7"/>
  <c r="DJ5" i="6"/>
  <c r="CY6" i="5"/>
  <c r="CY6" i="7"/>
  <c r="CY6" i="6"/>
  <c r="H6" i="5"/>
  <c r="H6" i="7"/>
  <c r="H6" i="6"/>
  <c r="X6" i="5"/>
  <c r="X6" i="7"/>
  <c r="X6" i="6"/>
  <c r="AN5" i="5"/>
  <c r="AN5" i="7"/>
  <c r="AN5" i="6"/>
  <c r="BD5" i="6"/>
  <c r="BD5" i="5"/>
  <c r="BD5" i="7"/>
  <c r="BT6" i="5"/>
  <c r="BT6" i="7"/>
  <c r="BT6" i="6"/>
  <c r="CJ6" i="5"/>
  <c r="CJ6" i="7"/>
  <c r="CJ6" i="6"/>
  <c r="CZ5" i="5"/>
  <c r="CZ5" i="7"/>
  <c r="CZ5" i="6"/>
  <c r="DP5" i="5"/>
  <c r="DP5" i="7"/>
  <c r="DP5" i="6"/>
  <c r="CZ6" i="9"/>
  <c r="B68" i="10"/>
  <c r="B66" i="10" s="1"/>
  <c r="F37" i="1" s="1"/>
  <c r="DA6" i="9"/>
  <c r="AN6" i="9"/>
  <c r="AX6" i="9"/>
  <c r="AL5" i="9"/>
  <c r="BT5" i="9"/>
  <c r="DP6" i="9"/>
  <c r="BD6" i="9"/>
  <c r="DQ6" i="9"/>
  <c r="B150" i="2"/>
  <c r="C7" i="11" s="1"/>
  <c r="D161" i="6"/>
  <c r="D163" i="6" s="1"/>
  <c r="F5" i="9"/>
  <c r="CD5" i="9"/>
  <c r="BE6" i="9"/>
  <c r="AW5" i="9"/>
  <c r="DN5" i="9"/>
  <c r="BF6" i="9"/>
  <c r="B36" i="3"/>
  <c r="A15" i="1"/>
  <c r="H5" i="9"/>
  <c r="BN6" i="9"/>
  <c r="Q5" i="9"/>
  <c r="CH5" i="9"/>
  <c r="R5" i="9"/>
  <c r="S5" i="9"/>
  <c r="BB5" i="9"/>
  <c r="CJ5" i="9"/>
  <c r="CS5" i="9"/>
  <c r="M6" i="9"/>
  <c r="V5" i="9"/>
  <c r="CT5" i="9"/>
  <c r="BM5" i="9"/>
  <c r="CU5" i="9"/>
  <c r="X5" i="9"/>
  <c r="CW5" i="9"/>
  <c r="CF75" i="6"/>
  <c r="CF76" i="6"/>
  <c r="B28" i="3"/>
  <c r="AG38" i="5"/>
  <c r="C10" i="11"/>
  <c r="C31" i="11"/>
  <c r="B10" i="11"/>
  <c r="CC124" i="9"/>
  <c r="CC125" i="9" s="1"/>
  <c r="CC120" i="6" s="1"/>
  <c r="CC121" i="6" s="1"/>
  <c r="BM124" i="9"/>
  <c r="BM125" i="9" s="1"/>
  <c r="BM120" i="6" s="1"/>
  <c r="BM121" i="6" s="1"/>
  <c r="AW124" i="9"/>
  <c r="AW125" i="9" s="1"/>
  <c r="AW120" i="6" s="1"/>
  <c r="AW121" i="6" s="1"/>
  <c r="AG124" i="9"/>
  <c r="AG125" i="9" s="1"/>
  <c r="AG120" i="6" s="1"/>
  <c r="AG121" i="6" s="1"/>
  <c r="Q124" i="9"/>
  <c r="Q125" i="9" s="1"/>
  <c r="Q120" i="6" s="1"/>
  <c r="Q121" i="6" s="1"/>
  <c r="B31" i="11"/>
  <c r="CB124" i="9"/>
  <c r="CB125" i="9" s="1"/>
  <c r="CB120" i="6" s="1"/>
  <c r="CB121" i="6" s="1"/>
  <c r="BL124" i="9"/>
  <c r="BL125" i="9" s="1"/>
  <c r="AV124" i="9"/>
  <c r="AV125" i="9" s="1"/>
  <c r="AF124" i="9"/>
  <c r="AF125" i="9" s="1"/>
  <c r="AF120" i="6" s="1"/>
  <c r="AF121" i="6" s="1"/>
  <c r="P124" i="9"/>
  <c r="P125" i="9" s="1"/>
  <c r="P120" i="6" s="1"/>
  <c r="P121" i="6" s="1"/>
  <c r="CA124" i="9"/>
  <c r="CA125" i="9" s="1"/>
  <c r="CA120" i="6" s="1"/>
  <c r="CA121" i="6" s="1"/>
  <c r="BK124" i="9"/>
  <c r="BK125" i="9" s="1"/>
  <c r="BK120" i="6" s="1"/>
  <c r="BK121" i="6" s="1"/>
  <c r="AU124" i="9"/>
  <c r="AU125" i="9" s="1"/>
  <c r="AE124" i="9"/>
  <c r="AE125" i="9" s="1"/>
  <c r="AE120" i="6" s="1"/>
  <c r="AE121" i="6" s="1"/>
  <c r="O124" i="9"/>
  <c r="O125" i="9" s="1"/>
  <c r="O120" i="6" s="1"/>
  <c r="O121" i="6" s="1"/>
  <c r="BY124" i="9"/>
  <c r="BY125" i="9" s="1"/>
  <c r="BY120" i="6" s="1"/>
  <c r="BY121" i="6" s="1"/>
  <c r="BI124" i="9"/>
  <c r="BI125" i="9" s="1"/>
  <c r="BI120" i="6" s="1"/>
  <c r="BI121" i="6" s="1"/>
  <c r="AS124" i="9"/>
  <c r="AS125" i="9" s="1"/>
  <c r="AS120" i="6" s="1"/>
  <c r="AS121" i="6" s="1"/>
  <c r="AC124" i="9"/>
  <c r="AC125" i="9" s="1"/>
  <c r="AC120" i="6" s="1"/>
  <c r="AC121" i="6" s="1"/>
  <c r="M124" i="9"/>
  <c r="M125" i="9" s="1"/>
  <c r="M120" i="6" s="1"/>
  <c r="M121" i="6" s="1"/>
  <c r="BX124" i="9"/>
  <c r="BX125" i="9" s="1"/>
  <c r="BX120" i="6" s="1"/>
  <c r="BX121" i="6" s="1"/>
  <c r="BH124" i="9"/>
  <c r="BH125" i="9" s="1"/>
  <c r="BH120" i="6" s="1"/>
  <c r="BH121" i="6" s="1"/>
  <c r="AR124" i="9"/>
  <c r="AR125" i="9" s="1"/>
  <c r="AB124" i="9"/>
  <c r="AB125" i="9" s="1"/>
  <c r="AB120" i="6" s="1"/>
  <c r="AB121" i="6" s="1"/>
  <c r="L124" i="9"/>
  <c r="L125" i="9" s="1"/>
  <c r="L120" i="6" s="1"/>
  <c r="L121" i="6" s="1"/>
  <c r="BQ14" i="9"/>
  <c r="BQ15" i="9" s="1"/>
  <c r="BQ10" i="6" s="1"/>
  <c r="BQ11" i="6" s="1"/>
  <c r="BA14" i="9"/>
  <c r="BA15" i="9" s="1"/>
  <c r="BA10" i="6" s="1"/>
  <c r="BA11" i="6" s="1"/>
  <c r="AK14" i="9"/>
  <c r="AK15" i="9" s="1"/>
  <c r="AK10" i="6" s="1"/>
  <c r="AK11" i="6" s="1"/>
  <c r="U14" i="9"/>
  <c r="U15" i="9" s="1"/>
  <c r="E14" i="9"/>
  <c r="E15" i="9" s="1"/>
  <c r="E10" i="6" s="1"/>
  <c r="E11" i="6" s="1"/>
  <c r="BW124" i="9"/>
  <c r="BW125" i="9" s="1"/>
  <c r="BW120" i="6" s="1"/>
  <c r="BW121" i="6" s="1"/>
  <c r="BG124" i="9"/>
  <c r="BG125" i="9" s="1"/>
  <c r="BG120" i="6" s="1"/>
  <c r="BG121" i="6" s="1"/>
  <c r="AQ124" i="9"/>
  <c r="AQ125" i="9" s="1"/>
  <c r="AQ120" i="6" s="1"/>
  <c r="AQ121" i="6" s="1"/>
  <c r="AA124" i="9"/>
  <c r="AA125" i="9" s="1"/>
  <c r="AA120" i="6" s="1"/>
  <c r="AA121" i="6" s="1"/>
  <c r="K124" i="9"/>
  <c r="K125" i="9" s="1"/>
  <c r="K120" i="6" s="1"/>
  <c r="K121" i="6" s="1"/>
  <c r="CF14" i="9"/>
  <c r="CF15" i="9" s="1"/>
  <c r="CF10" i="6" s="1"/>
  <c r="CF11" i="6" s="1"/>
  <c r="BP14" i="9"/>
  <c r="BP15" i="9" s="1"/>
  <c r="BP10" i="6" s="1"/>
  <c r="BP11" i="6" s="1"/>
  <c r="AZ14" i="9"/>
  <c r="AZ15" i="9" s="1"/>
  <c r="AZ10" i="6" s="1"/>
  <c r="AZ11" i="6" s="1"/>
  <c r="AJ14" i="9"/>
  <c r="AJ15" i="9" s="1"/>
  <c r="T14" i="9"/>
  <c r="T15" i="9" s="1"/>
  <c r="BU124" i="9"/>
  <c r="BU125" i="9" s="1"/>
  <c r="BU120" i="6" s="1"/>
  <c r="BU121" i="6" s="1"/>
  <c r="BE124" i="9"/>
  <c r="BE125" i="9" s="1"/>
  <c r="BE120" i="6" s="1"/>
  <c r="BE121" i="6" s="1"/>
  <c r="AO124" i="9"/>
  <c r="AO125" i="9" s="1"/>
  <c r="AO120" i="6" s="1"/>
  <c r="AO121" i="6" s="1"/>
  <c r="Y124" i="9"/>
  <c r="Y125" i="9" s="1"/>
  <c r="Y120" i="6" s="1"/>
  <c r="Y121" i="6" s="1"/>
  <c r="I124" i="9"/>
  <c r="I125" i="9" s="1"/>
  <c r="I120" i="6" s="1"/>
  <c r="I121" i="6" s="1"/>
  <c r="CD14" i="9"/>
  <c r="CD15" i="9" s="1"/>
  <c r="CD10" i="6" s="1"/>
  <c r="CD11" i="6" s="1"/>
  <c r="BN14" i="9"/>
  <c r="BN15" i="9" s="1"/>
  <c r="BN10" i="6" s="1"/>
  <c r="BN11" i="6" s="1"/>
  <c r="AX14" i="9"/>
  <c r="AX15" i="9" s="1"/>
  <c r="AX10" i="6" s="1"/>
  <c r="AX11" i="6" s="1"/>
  <c r="AH14" i="9"/>
  <c r="AH15" i="9" s="1"/>
  <c r="AH10" i="6" s="1"/>
  <c r="AH11" i="6" s="1"/>
  <c r="R14" i="9"/>
  <c r="R15" i="9" s="1"/>
  <c r="R10" i="6" s="1"/>
  <c r="R11" i="6" s="1"/>
  <c r="BT124" i="9"/>
  <c r="BT125" i="9" s="1"/>
  <c r="BT120" i="6" s="1"/>
  <c r="BT121" i="6" s="1"/>
  <c r="BD124" i="9"/>
  <c r="BD125" i="9" s="1"/>
  <c r="BD120" i="6" s="1"/>
  <c r="BD121" i="6" s="1"/>
  <c r="AN124" i="9"/>
  <c r="AN125" i="9" s="1"/>
  <c r="AN120" i="6" s="1"/>
  <c r="AN121" i="6" s="1"/>
  <c r="X124" i="9"/>
  <c r="X125" i="9" s="1"/>
  <c r="X120" i="6" s="1"/>
  <c r="X121" i="6" s="1"/>
  <c r="H124" i="9"/>
  <c r="H125" i="9" s="1"/>
  <c r="BS124" i="9"/>
  <c r="BS125" i="9" s="1"/>
  <c r="BC124" i="9"/>
  <c r="BC125" i="9" s="1"/>
  <c r="BC120" i="6" s="1"/>
  <c r="BC121" i="6" s="1"/>
  <c r="AM124" i="9"/>
  <c r="AM125" i="9" s="1"/>
  <c r="AM120" i="6" s="1"/>
  <c r="AM121" i="6" s="1"/>
  <c r="W124" i="9"/>
  <c r="W125" i="9" s="1"/>
  <c r="W120" i="6" s="1"/>
  <c r="W121" i="6" s="1"/>
  <c r="G124" i="9"/>
  <c r="G125" i="9" s="1"/>
  <c r="G120" i="6" s="1"/>
  <c r="G121" i="6" s="1"/>
  <c r="CB14" i="9"/>
  <c r="CB15" i="9" s="1"/>
  <c r="BL14" i="9"/>
  <c r="BL15" i="9" s="1"/>
  <c r="BL10" i="6" s="1"/>
  <c r="BL11" i="6" s="1"/>
  <c r="AV14" i="9"/>
  <c r="AV15" i="9" s="1"/>
  <c r="AV10" i="6" s="1"/>
  <c r="AV11" i="6" s="1"/>
  <c r="AF14" i="9"/>
  <c r="AF15" i="9" s="1"/>
  <c r="AF10" i="6" s="1"/>
  <c r="AF11" i="6" s="1"/>
  <c r="P14" i="9"/>
  <c r="P15" i="9" s="1"/>
  <c r="P10" i="6" s="1"/>
  <c r="P11" i="6" s="1"/>
  <c r="BQ124" i="9"/>
  <c r="BQ125" i="9" s="1"/>
  <c r="BQ120" i="6" s="1"/>
  <c r="BQ121" i="6" s="1"/>
  <c r="BA124" i="9"/>
  <c r="BA125" i="9" s="1"/>
  <c r="BA120" i="6" s="1"/>
  <c r="BA121" i="6" s="1"/>
  <c r="AK124" i="9"/>
  <c r="AK125" i="9" s="1"/>
  <c r="AK120" i="6" s="1"/>
  <c r="AK121" i="6" s="1"/>
  <c r="U124" i="9"/>
  <c r="U125" i="9" s="1"/>
  <c r="U120" i="6" s="1"/>
  <c r="U121" i="6" s="1"/>
  <c r="E124" i="9"/>
  <c r="E125" i="9" s="1"/>
  <c r="E120" i="6" s="1"/>
  <c r="E121" i="6" s="1"/>
  <c r="BZ14" i="9"/>
  <c r="BZ15" i="9" s="1"/>
  <c r="BJ14" i="9"/>
  <c r="BJ15" i="9" s="1"/>
  <c r="BJ10" i="6" s="1"/>
  <c r="BJ11" i="6" s="1"/>
  <c r="AT14" i="9"/>
  <c r="AT15" i="9" s="1"/>
  <c r="AT10" i="6" s="1"/>
  <c r="AT11" i="6" s="1"/>
  <c r="AD14" i="9"/>
  <c r="AD15" i="9" s="1"/>
  <c r="AD10" i="6" s="1"/>
  <c r="AD11" i="6" s="1"/>
  <c r="N14" i="9"/>
  <c r="N15" i="9" s="1"/>
  <c r="N10" i="6" s="1"/>
  <c r="N11" i="6" s="1"/>
  <c r="BP124" i="9"/>
  <c r="BP125" i="9" s="1"/>
  <c r="BP120" i="6" s="1"/>
  <c r="BP121" i="6" s="1"/>
  <c r="Z124" i="9"/>
  <c r="Z125" i="9" s="1"/>
  <c r="Z120" i="6" s="1"/>
  <c r="Z121" i="6" s="1"/>
  <c r="CE14" i="9"/>
  <c r="CE15" i="9" s="1"/>
  <c r="CE10" i="6" s="1"/>
  <c r="CE11" i="6" s="1"/>
  <c r="BG14" i="9"/>
  <c r="BG15" i="9" s="1"/>
  <c r="BG10" i="6" s="1"/>
  <c r="BG11" i="6" s="1"/>
  <c r="AL14" i="9"/>
  <c r="AL15" i="9" s="1"/>
  <c r="AL10" i="6" s="1"/>
  <c r="AL11" i="6" s="1"/>
  <c r="L14" i="9"/>
  <c r="L15" i="9" s="1"/>
  <c r="L10" i="6" s="1"/>
  <c r="L11" i="6" s="1"/>
  <c r="BO124" i="9"/>
  <c r="BO125" i="9" s="1"/>
  <c r="BO120" i="6" s="1"/>
  <c r="BO121" i="6" s="1"/>
  <c r="V124" i="9"/>
  <c r="V125" i="9" s="1"/>
  <c r="V120" i="6" s="1"/>
  <c r="V121" i="6" s="1"/>
  <c r="CC14" i="9"/>
  <c r="CC15" i="9" s="1"/>
  <c r="CC10" i="6" s="1"/>
  <c r="CC11" i="6" s="1"/>
  <c r="BF14" i="9"/>
  <c r="BF15" i="9" s="1"/>
  <c r="BF10" i="6" s="1"/>
  <c r="BF11" i="6" s="1"/>
  <c r="AI14" i="9"/>
  <c r="AI15" i="9" s="1"/>
  <c r="AI10" i="6" s="1"/>
  <c r="AI11" i="6" s="1"/>
  <c r="K14" i="9"/>
  <c r="K15" i="9" s="1"/>
  <c r="BN124" i="9"/>
  <c r="BN125" i="9" s="1"/>
  <c r="BN120" i="6" s="1"/>
  <c r="BN121" i="6" s="1"/>
  <c r="T124" i="9"/>
  <c r="T125" i="9" s="1"/>
  <c r="T120" i="6" s="1"/>
  <c r="T121" i="6" s="1"/>
  <c r="CA14" i="9"/>
  <c r="CA15" i="9" s="1"/>
  <c r="CA10" i="6" s="1"/>
  <c r="CA11" i="6" s="1"/>
  <c r="BE14" i="9"/>
  <c r="BE15" i="9" s="1"/>
  <c r="BE10" i="6" s="1"/>
  <c r="BE11" i="6" s="1"/>
  <c r="AG14" i="9"/>
  <c r="AG15" i="9" s="1"/>
  <c r="AG10" i="6" s="1"/>
  <c r="AG11" i="6" s="1"/>
  <c r="J14" i="9"/>
  <c r="J15" i="9" s="1"/>
  <c r="J10" i="6" s="1"/>
  <c r="J11" i="6" s="1"/>
  <c r="BJ124" i="9"/>
  <c r="BJ125" i="9" s="1"/>
  <c r="BJ120" i="6" s="1"/>
  <c r="BJ121" i="6" s="1"/>
  <c r="S124" i="9"/>
  <c r="S125" i="9" s="1"/>
  <c r="S120" i="6" s="1"/>
  <c r="S121" i="6" s="1"/>
  <c r="BY14" i="9"/>
  <c r="BY15" i="9" s="1"/>
  <c r="BY10" i="6" s="1"/>
  <c r="BY11" i="6" s="1"/>
  <c r="BD14" i="9"/>
  <c r="BD15" i="9" s="1"/>
  <c r="BD10" i="6" s="1"/>
  <c r="BD11" i="6" s="1"/>
  <c r="AE14" i="9"/>
  <c r="AE15" i="9" s="1"/>
  <c r="AE10" i="6" s="1"/>
  <c r="AE11" i="6" s="1"/>
  <c r="I14" i="9"/>
  <c r="I15" i="9" s="1"/>
  <c r="I10" i="6" s="1"/>
  <c r="I11" i="6" s="1"/>
  <c r="BF124" i="9"/>
  <c r="BF125" i="9" s="1"/>
  <c r="BF120" i="6" s="1"/>
  <c r="BF121" i="6" s="1"/>
  <c r="R124" i="9"/>
  <c r="R125" i="9" s="1"/>
  <c r="R120" i="6" s="1"/>
  <c r="R121" i="6" s="1"/>
  <c r="BX14" i="9"/>
  <c r="BX15" i="9" s="1"/>
  <c r="BX10" i="6" s="1"/>
  <c r="BX11" i="6" s="1"/>
  <c r="BC14" i="9"/>
  <c r="BC15" i="9" s="1"/>
  <c r="AC14" i="9"/>
  <c r="AC15" i="9" s="1"/>
  <c r="AC10" i="6" s="1"/>
  <c r="AC11" i="6" s="1"/>
  <c r="H14" i="9"/>
  <c r="H15" i="9" s="1"/>
  <c r="H10" i="6" s="1"/>
  <c r="H11" i="6" s="1"/>
  <c r="BB124" i="9"/>
  <c r="BB125" i="9" s="1"/>
  <c r="BB120" i="6" s="1"/>
  <c r="BB121" i="6" s="1"/>
  <c r="N124" i="9"/>
  <c r="N125" i="9" s="1"/>
  <c r="N120" i="6" s="1"/>
  <c r="N121" i="6" s="1"/>
  <c r="BW14" i="9"/>
  <c r="BW15" i="9" s="1"/>
  <c r="BB14" i="9"/>
  <c r="BB15" i="9" s="1"/>
  <c r="BB10" i="6" s="1"/>
  <c r="BB11" i="6" s="1"/>
  <c r="AB14" i="9"/>
  <c r="AB15" i="9" s="1"/>
  <c r="AB10" i="6" s="1"/>
  <c r="AB11" i="6" s="1"/>
  <c r="G14" i="9"/>
  <c r="G15" i="9" s="1"/>
  <c r="G10" i="6" s="1"/>
  <c r="G11" i="6" s="1"/>
  <c r="AZ124" i="9"/>
  <c r="AZ125" i="9" s="1"/>
  <c r="AZ120" i="6" s="1"/>
  <c r="AZ121" i="6" s="1"/>
  <c r="J124" i="9"/>
  <c r="J125" i="9" s="1"/>
  <c r="J120" i="6" s="1"/>
  <c r="J121" i="6" s="1"/>
  <c r="BV14" i="9"/>
  <c r="BV15" i="9" s="1"/>
  <c r="BV10" i="6" s="1"/>
  <c r="BV11" i="6" s="1"/>
  <c r="AY14" i="9"/>
  <c r="AY15" i="9" s="1"/>
  <c r="AY10" i="6" s="1"/>
  <c r="AY11" i="6" s="1"/>
  <c r="AA14" i="9"/>
  <c r="AA15" i="9" s="1"/>
  <c r="AA10" i="6" s="1"/>
  <c r="AA11" i="6" s="1"/>
  <c r="F14" i="9"/>
  <c r="F15" i="9" s="1"/>
  <c r="F10" i="6" s="1"/>
  <c r="F11" i="6" s="1"/>
  <c r="AY124" i="9"/>
  <c r="AY125" i="9" s="1"/>
  <c r="AY120" i="6" s="1"/>
  <c r="AY121" i="6" s="1"/>
  <c r="F124" i="9"/>
  <c r="F125" i="9" s="1"/>
  <c r="F120" i="6" s="1"/>
  <c r="F121" i="6" s="1"/>
  <c r="BU14" i="9"/>
  <c r="BU15" i="9" s="1"/>
  <c r="BU10" i="6" s="1"/>
  <c r="BU11" i="6" s="1"/>
  <c r="AW14" i="9"/>
  <c r="AW15" i="9" s="1"/>
  <c r="AW10" i="6" s="1"/>
  <c r="AW11" i="6" s="1"/>
  <c r="Z14" i="9"/>
  <c r="Z15" i="9" s="1"/>
  <c r="Z10" i="6" s="1"/>
  <c r="Z11" i="6" s="1"/>
  <c r="AX124" i="9"/>
  <c r="AX125" i="9" s="1"/>
  <c r="AX120" i="6" s="1"/>
  <c r="AX121" i="6" s="1"/>
  <c r="BT14" i="9"/>
  <c r="BT15" i="9" s="1"/>
  <c r="BT10" i="6" s="1"/>
  <c r="BT11" i="6" s="1"/>
  <c r="AU14" i="9"/>
  <c r="AU15" i="9" s="1"/>
  <c r="AU10" i="6" s="1"/>
  <c r="AU11" i="6" s="1"/>
  <c r="Y14" i="9"/>
  <c r="Y15" i="9" s="1"/>
  <c r="Y10" i="6" s="1"/>
  <c r="Y11" i="6" s="1"/>
  <c r="AT124" i="9"/>
  <c r="AT125" i="9" s="1"/>
  <c r="AT120" i="6" s="1"/>
  <c r="AT121" i="6" s="1"/>
  <c r="BS14" i="9"/>
  <c r="BS15" i="9" s="1"/>
  <c r="BS10" i="6" s="1"/>
  <c r="BS11" i="6" s="1"/>
  <c r="AS14" i="9"/>
  <c r="AS15" i="9" s="1"/>
  <c r="AS10" i="6" s="1"/>
  <c r="AS11" i="6" s="1"/>
  <c r="X14" i="9"/>
  <c r="X15" i="9" s="1"/>
  <c r="X10" i="6" s="1"/>
  <c r="X11" i="6" s="1"/>
  <c r="CF124" i="9"/>
  <c r="CF125" i="9" s="1"/>
  <c r="CF120" i="6" s="1"/>
  <c r="CF121" i="6" s="1"/>
  <c r="AP124" i="9"/>
  <c r="AP125" i="9" s="1"/>
  <c r="AP120" i="6" s="1"/>
  <c r="AP121" i="6" s="1"/>
  <c r="BR14" i="9"/>
  <c r="BR15" i="9" s="1"/>
  <c r="BR10" i="6" s="1"/>
  <c r="BR11" i="6" s="1"/>
  <c r="AR14" i="9"/>
  <c r="AR15" i="9" s="1"/>
  <c r="AR10" i="6" s="1"/>
  <c r="AR11" i="6" s="1"/>
  <c r="W14" i="9"/>
  <c r="W15" i="9" s="1"/>
  <c r="W10" i="6" s="1"/>
  <c r="W11" i="6" s="1"/>
  <c r="CE124" i="9"/>
  <c r="CE125" i="9" s="1"/>
  <c r="CE120" i="6" s="1"/>
  <c r="CE121" i="6" s="1"/>
  <c r="AL124" i="9"/>
  <c r="AL125" i="9" s="1"/>
  <c r="AL120" i="6" s="1"/>
  <c r="AL121" i="6" s="1"/>
  <c r="BO14" i="9"/>
  <c r="BO15" i="9" s="1"/>
  <c r="BO10" i="6" s="1"/>
  <c r="BO11" i="6" s="1"/>
  <c r="AQ14" i="9"/>
  <c r="AQ15" i="9" s="1"/>
  <c r="AQ10" i="6" s="1"/>
  <c r="AQ11" i="6" s="1"/>
  <c r="V14" i="9"/>
  <c r="V15" i="9" s="1"/>
  <c r="V10" i="6" s="1"/>
  <c r="V11" i="6" s="1"/>
  <c r="AD124" i="9"/>
  <c r="AD125" i="9" s="1"/>
  <c r="AD120" i="6" s="1"/>
  <c r="AD121" i="6" s="1"/>
  <c r="AM14" i="9"/>
  <c r="AM15" i="9" s="1"/>
  <c r="AM10" i="6" s="1"/>
  <c r="AM11" i="6" s="1"/>
  <c r="S14" i="9"/>
  <c r="S15" i="9" s="1"/>
  <c r="S10" i="6" s="1"/>
  <c r="S11" i="6" s="1"/>
  <c r="Q14" i="9"/>
  <c r="Q15" i="9" s="1"/>
  <c r="Q10" i="6" s="1"/>
  <c r="Q11" i="6" s="1"/>
  <c r="O14" i="9"/>
  <c r="O15" i="9" s="1"/>
  <c r="O10" i="6" s="1"/>
  <c r="O11" i="6" s="1"/>
  <c r="M14" i="9"/>
  <c r="M15" i="9" s="1"/>
  <c r="M10" i="6" s="1"/>
  <c r="M11" i="6" s="1"/>
  <c r="CD124" i="9"/>
  <c r="CD125" i="9" s="1"/>
  <c r="CD120" i="6" s="1"/>
  <c r="CD121" i="6" s="1"/>
  <c r="BM14" i="9"/>
  <c r="BM15" i="9" s="1"/>
  <c r="BM10" i="6" s="1"/>
  <c r="BM11" i="6" s="1"/>
  <c r="BZ124" i="9"/>
  <c r="BZ125" i="9" s="1"/>
  <c r="BZ120" i="6" s="1"/>
  <c r="BZ121" i="6" s="1"/>
  <c r="BK14" i="9"/>
  <c r="BK15" i="9" s="1"/>
  <c r="BK10" i="6" s="1"/>
  <c r="BK11" i="6" s="1"/>
  <c r="BV124" i="9"/>
  <c r="BV125" i="9" s="1"/>
  <c r="BV120" i="6" s="1"/>
  <c r="BV121" i="6" s="1"/>
  <c r="BI14" i="9"/>
  <c r="BI15" i="9" s="1"/>
  <c r="BI10" i="6" s="1"/>
  <c r="BI11" i="6" s="1"/>
  <c r="BR124" i="9"/>
  <c r="BR125" i="9" s="1"/>
  <c r="BR120" i="6" s="1"/>
  <c r="BR121" i="6" s="1"/>
  <c r="BH14" i="9"/>
  <c r="BH15" i="9" s="1"/>
  <c r="BH10" i="6" s="1"/>
  <c r="BH11" i="6" s="1"/>
  <c r="AJ124" i="9"/>
  <c r="AJ125" i="9" s="1"/>
  <c r="AJ120" i="6" s="1"/>
  <c r="AJ121" i="6" s="1"/>
  <c r="AP14" i="9"/>
  <c r="AP15" i="9" s="1"/>
  <c r="AP10" i="6" s="1"/>
  <c r="AP11" i="6" s="1"/>
  <c r="AI124" i="9"/>
  <c r="AI125" i="9" s="1"/>
  <c r="AI120" i="6" s="1"/>
  <c r="AI121" i="6" s="1"/>
  <c r="AO14" i="9"/>
  <c r="AO15" i="9" s="1"/>
  <c r="AO10" i="6" s="1"/>
  <c r="AO11" i="6" s="1"/>
  <c r="AH124" i="9"/>
  <c r="AH125" i="9" s="1"/>
  <c r="AH120" i="6" s="1"/>
  <c r="AH121" i="6" s="1"/>
  <c r="AN14" i="9"/>
  <c r="AN15" i="9" s="1"/>
  <c r="AN10" i="6" s="1"/>
  <c r="AN11" i="6" s="1"/>
  <c r="AR120" i="6"/>
  <c r="AR121" i="6" s="1"/>
  <c r="H120" i="6"/>
  <c r="H121" i="6" s="1"/>
  <c r="BS120" i="6"/>
  <c r="BS121" i="6" s="1"/>
  <c r="D120" i="6"/>
  <c r="D121" i="6" s="1"/>
  <c r="BL120" i="6"/>
  <c r="BL121" i="6" s="1"/>
  <c r="AV120" i="6"/>
  <c r="AV121" i="6" s="1"/>
  <c r="AU120" i="6"/>
  <c r="AU121" i="6" s="1"/>
  <c r="BC10" i="6"/>
  <c r="BC11" i="6" s="1"/>
  <c r="U10" i="6"/>
  <c r="U11" i="6" s="1"/>
  <c r="AJ10" i="6"/>
  <c r="AJ11" i="6" s="1"/>
  <c r="T10" i="6"/>
  <c r="T11" i="6" s="1"/>
  <c r="D10" i="6"/>
  <c r="D11" i="6" s="1"/>
  <c r="CB10" i="6"/>
  <c r="CB11" i="6" s="1"/>
  <c r="K10" i="6"/>
  <c r="K11" i="6" s="1"/>
  <c r="BZ10" i="6"/>
  <c r="BZ11" i="6" s="1"/>
  <c r="BW10" i="6"/>
  <c r="BW11" i="6" s="1"/>
  <c r="AW38" i="5"/>
  <c r="BM38" i="5"/>
  <c r="E7" i="5"/>
  <c r="B7" i="5"/>
  <c r="CC38" i="5"/>
  <c r="B30" i="11"/>
  <c r="C30" i="11"/>
  <c r="BR171" i="6"/>
  <c r="BB171" i="6"/>
  <c r="AL171" i="6"/>
  <c r="V171" i="6"/>
  <c r="F171" i="6"/>
  <c r="CA170" i="6"/>
  <c r="BK170" i="6"/>
  <c r="AU170" i="6"/>
  <c r="AE170" i="6"/>
  <c r="O170" i="6"/>
  <c r="CC168" i="6"/>
  <c r="CC169" i="6" s="1"/>
  <c r="BM168" i="6"/>
  <c r="BM169" i="6" s="1"/>
  <c r="AW168" i="6"/>
  <c r="AW169" i="6" s="1"/>
  <c r="AG168" i="6"/>
  <c r="AG169" i="6" s="1"/>
  <c r="Q168" i="6"/>
  <c r="Q169" i="6" s="1"/>
  <c r="BQ171" i="6"/>
  <c r="BA171" i="6"/>
  <c r="AK171" i="6"/>
  <c r="U171" i="6"/>
  <c r="E171" i="6"/>
  <c r="BZ170" i="6"/>
  <c r="BJ170" i="6"/>
  <c r="AT170" i="6"/>
  <c r="AD170" i="6"/>
  <c r="N170" i="6"/>
  <c r="CB168" i="6"/>
  <c r="CB169" i="6" s="1"/>
  <c r="BL168" i="6"/>
  <c r="BL169" i="6" s="1"/>
  <c r="AV168" i="6"/>
  <c r="AV169" i="6" s="1"/>
  <c r="AF168" i="6"/>
  <c r="AF169" i="6" s="1"/>
  <c r="P168" i="6"/>
  <c r="P169" i="6" s="1"/>
  <c r="BP171" i="6"/>
  <c r="AZ171" i="6"/>
  <c r="AJ171" i="6"/>
  <c r="T171" i="6"/>
  <c r="D171" i="6"/>
  <c r="BY170" i="6"/>
  <c r="BI170" i="6"/>
  <c r="AS170" i="6"/>
  <c r="AC170" i="6"/>
  <c r="M170" i="6"/>
  <c r="CA168" i="6"/>
  <c r="CA169" i="6" s="1"/>
  <c r="BK168" i="6"/>
  <c r="BK169" i="6" s="1"/>
  <c r="AU168" i="6"/>
  <c r="AU169" i="6" s="1"/>
  <c r="AE168" i="6"/>
  <c r="AE169" i="6" s="1"/>
  <c r="O168" i="6"/>
  <c r="O169" i="6" s="1"/>
  <c r="CE171" i="6"/>
  <c r="BO171" i="6"/>
  <c r="AY171" i="6"/>
  <c r="AI171" i="6"/>
  <c r="S171" i="6"/>
  <c r="BX170" i="6"/>
  <c r="BH170" i="6"/>
  <c r="AR170" i="6"/>
  <c r="AB170" i="6"/>
  <c r="L170" i="6"/>
  <c r="BZ168" i="6"/>
  <c r="BZ169" i="6" s="1"/>
  <c r="BJ168" i="6"/>
  <c r="BJ169" i="6" s="1"/>
  <c r="AT168" i="6"/>
  <c r="AT169" i="6" s="1"/>
  <c r="AD168" i="6"/>
  <c r="AD169" i="6" s="1"/>
  <c r="N168" i="6"/>
  <c r="N169" i="6" s="1"/>
  <c r="CD171" i="6"/>
  <c r="BN171" i="6"/>
  <c r="AX171" i="6"/>
  <c r="AH171" i="6"/>
  <c r="R171" i="6"/>
  <c r="BW170" i="6"/>
  <c r="BG170" i="6"/>
  <c r="AQ170" i="6"/>
  <c r="AA170" i="6"/>
  <c r="K170" i="6"/>
  <c r="BY168" i="6"/>
  <c r="BY169" i="6" s="1"/>
  <c r="BI168" i="6"/>
  <c r="BI169" i="6" s="1"/>
  <c r="AS168" i="6"/>
  <c r="AS169" i="6" s="1"/>
  <c r="AC168" i="6"/>
  <c r="AC169" i="6" s="1"/>
  <c r="M168" i="6"/>
  <c r="M169" i="6" s="1"/>
  <c r="CC171" i="6"/>
  <c r="BM171" i="6"/>
  <c r="AW171" i="6"/>
  <c r="AG171" i="6"/>
  <c r="Q171" i="6"/>
  <c r="BV170" i="6"/>
  <c r="BF170" i="6"/>
  <c r="AP170" i="6"/>
  <c r="Z170" i="6"/>
  <c r="J170" i="6"/>
  <c r="BX168" i="6"/>
  <c r="BX169" i="6" s="1"/>
  <c r="BH168" i="6"/>
  <c r="BH169" i="6" s="1"/>
  <c r="AR168" i="6"/>
  <c r="AR169" i="6" s="1"/>
  <c r="AB168" i="6"/>
  <c r="AB169" i="6" s="1"/>
  <c r="L168" i="6"/>
  <c r="L169" i="6" s="1"/>
  <c r="CB171" i="6"/>
  <c r="BL171" i="6"/>
  <c r="AV171" i="6"/>
  <c r="AF171" i="6"/>
  <c r="P171" i="6"/>
  <c r="BU170" i="6"/>
  <c r="BE170" i="6"/>
  <c r="AO170" i="6"/>
  <c r="Y170" i="6"/>
  <c r="I170" i="6"/>
  <c r="BW168" i="6"/>
  <c r="BW169" i="6" s="1"/>
  <c r="BG168" i="6"/>
  <c r="BG169" i="6" s="1"/>
  <c r="AQ168" i="6"/>
  <c r="AQ169" i="6" s="1"/>
  <c r="AA168" i="6"/>
  <c r="AA169" i="6" s="1"/>
  <c r="K168" i="6"/>
  <c r="K169" i="6" s="1"/>
  <c r="CA171" i="6"/>
  <c r="BK171" i="6"/>
  <c r="AU171" i="6"/>
  <c r="AE171" i="6"/>
  <c r="O171" i="6"/>
  <c r="BT170" i="6"/>
  <c r="BD170" i="6"/>
  <c r="AN170" i="6"/>
  <c r="X170" i="6"/>
  <c r="H170" i="6"/>
  <c r="BV168" i="6"/>
  <c r="BV169" i="6" s="1"/>
  <c r="BF168" i="6"/>
  <c r="BF169" i="6" s="1"/>
  <c r="AP168" i="6"/>
  <c r="AP169" i="6" s="1"/>
  <c r="Z168" i="6"/>
  <c r="Z169" i="6" s="1"/>
  <c r="J168" i="6"/>
  <c r="J169" i="6" s="1"/>
  <c r="BZ171" i="6"/>
  <c r="BJ171" i="6"/>
  <c r="AT171" i="6"/>
  <c r="AD171" i="6"/>
  <c r="N171" i="6"/>
  <c r="BS170" i="6"/>
  <c r="BC170" i="6"/>
  <c r="AM170" i="6"/>
  <c r="W170" i="6"/>
  <c r="G170" i="6"/>
  <c r="BU168" i="6"/>
  <c r="BU169" i="6" s="1"/>
  <c r="BE168" i="6"/>
  <c r="BE169" i="6" s="1"/>
  <c r="AO168" i="6"/>
  <c r="AO169" i="6" s="1"/>
  <c r="Y168" i="6"/>
  <c r="Y169" i="6" s="1"/>
  <c r="I168" i="6"/>
  <c r="I169" i="6" s="1"/>
  <c r="BY171" i="6"/>
  <c r="BI171" i="6"/>
  <c r="AS171" i="6"/>
  <c r="AC171" i="6"/>
  <c r="M171" i="6"/>
  <c r="BR170" i="6"/>
  <c r="BB170" i="6"/>
  <c r="AL170" i="6"/>
  <c r="V170" i="6"/>
  <c r="F170" i="6"/>
  <c r="BT168" i="6"/>
  <c r="BT169" i="6" s="1"/>
  <c r="BD168" i="6"/>
  <c r="BD169" i="6" s="1"/>
  <c r="AN168" i="6"/>
  <c r="AN169" i="6" s="1"/>
  <c r="X168" i="6"/>
  <c r="X169" i="6" s="1"/>
  <c r="H168" i="6"/>
  <c r="H169" i="6" s="1"/>
  <c r="BX171" i="6"/>
  <c r="BH171" i="6"/>
  <c r="AR171" i="6"/>
  <c r="AB171" i="6"/>
  <c r="L171" i="6"/>
  <c r="BQ170" i="6"/>
  <c r="BA170" i="6"/>
  <c r="AK170" i="6"/>
  <c r="U170" i="6"/>
  <c r="E170" i="6"/>
  <c r="BS168" i="6"/>
  <c r="BS169" i="6" s="1"/>
  <c r="BC168" i="6"/>
  <c r="BC169" i="6" s="1"/>
  <c r="AM168" i="6"/>
  <c r="AM169" i="6" s="1"/>
  <c r="W168" i="6"/>
  <c r="W169" i="6" s="1"/>
  <c r="G168" i="6"/>
  <c r="G169" i="6" s="1"/>
  <c r="BW171" i="6"/>
  <c r="BG171" i="6"/>
  <c r="AQ171" i="6"/>
  <c r="AA171" i="6"/>
  <c r="K171" i="6"/>
  <c r="BP170" i="6"/>
  <c r="AZ170" i="6"/>
  <c r="AJ170" i="6"/>
  <c r="T170" i="6"/>
  <c r="D170" i="6"/>
  <c r="BR168" i="6"/>
  <c r="BR169" i="6" s="1"/>
  <c r="BB168" i="6"/>
  <c r="BB169" i="6" s="1"/>
  <c r="AL168" i="6"/>
  <c r="AL169" i="6" s="1"/>
  <c r="V168" i="6"/>
  <c r="V169" i="6" s="1"/>
  <c r="F168" i="6"/>
  <c r="F169" i="6" s="1"/>
  <c r="BV171" i="6"/>
  <c r="BF171" i="6"/>
  <c r="AP171" i="6"/>
  <c r="Z171" i="6"/>
  <c r="J171" i="6"/>
  <c r="CE170" i="6"/>
  <c r="BO170" i="6"/>
  <c r="AY170" i="6"/>
  <c r="AI170" i="6"/>
  <c r="S170" i="6"/>
  <c r="BQ168" i="6"/>
  <c r="BQ169" i="6" s="1"/>
  <c r="BA168" i="6"/>
  <c r="BA169" i="6" s="1"/>
  <c r="AK168" i="6"/>
  <c r="AK169" i="6" s="1"/>
  <c r="U168" i="6"/>
  <c r="U169" i="6" s="1"/>
  <c r="E168" i="6"/>
  <c r="E169" i="6" s="1"/>
  <c r="BU171" i="6"/>
  <c r="BE171" i="6"/>
  <c r="AO171" i="6"/>
  <c r="Y171" i="6"/>
  <c r="I171" i="6"/>
  <c r="CD170" i="6"/>
  <c r="BN170" i="6"/>
  <c r="AX170" i="6"/>
  <c r="AH170" i="6"/>
  <c r="R170" i="6"/>
  <c r="CF168" i="6"/>
  <c r="CF169" i="6" s="1"/>
  <c r="BP168" i="6"/>
  <c r="BP169" i="6" s="1"/>
  <c r="AZ168" i="6"/>
  <c r="AZ169" i="6" s="1"/>
  <c r="AJ168" i="6"/>
  <c r="AJ169" i="6" s="1"/>
  <c r="T168" i="6"/>
  <c r="T169" i="6" s="1"/>
  <c r="D168" i="6"/>
  <c r="R168" i="6"/>
  <c r="R169" i="6" s="1"/>
  <c r="CA149" i="6"/>
  <c r="BK149" i="6"/>
  <c r="AU149" i="6"/>
  <c r="AE149" i="6"/>
  <c r="O149" i="6"/>
  <c r="CC147" i="6"/>
  <c r="BM147" i="6"/>
  <c r="AW147" i="6"/>
  <c r="AG147" i="6"/>
  <c r="Q147" i="6"/>
  <c r="BT171" i="6"/>
  <c r="BZ149" i="6"/>
  <c r="BJ149" i="6"/>
  <c r="AT149" i="6"/>
  <c r="AD149" i="6"/>
  <c r="N149" i="6"/>
  <c r="CB147" i="6"/>
  <c r="BL147" i="6"/>
  <c r="AV147" i="6"/>
  <c r="AF147" i="6"/>
  <c r="P147" i="6"/>
  <c r="BS171" i="6"/>
  <c r="BY149" i="6"/>
  <c r="BI149" i="6"/>
  <c r="AS149" i="6"/>
  <c r="AC149" i="6"/>
  <c r="M149" i="6"/>
  <c r="CA147" i="6"/>
  <c r="BK147" i="6"/>
  <c r="AU147" i="6"/>
  <c r="AE147" i="6"/>
  <c r="O147" i="6"/>
  <c r="BD171" i="6"/>
  <c r="CC170" i="6"/>
  <c r="BX149" i="6"/>
  <c r="BH149" i="6"/>
  <c r="AR149" i="6"/>
  <c r="AB149" i="6"/>
  <c r="L149" i="6"/>
  <c r="BZ147" i="6"/>
  <c r="BJ147" i="6"/>
  <c r="AT147" i="6"/>
  <c r="AD147" i="6"/>
  <c r="N147" i="6"/>
  <c r="BC171" i="6"/>
  <c r="CB170" i="6"/>
  <c r="BW149" i="6"/>
  <c r="BG149" i="6"/>
  <c r="AQ149" i="6"/>
  <c r="AA149" i="6"/>
  <c r="K149" i="6"/>
  <c r="BY147" i="6"/>
  <c r="BI147" i="6"/>
  <c r="AS147" i="6"/>
  <c r="AC147" i="6"/>
  <c r="M147" i="6"/>
  <c r="AN171" i="6"/>
  <c r="BM170" i="6"/>
  <c r="BV149" i="6"/>
  <c r="BF149" i="6"/>
  <c r="AP149" i="6"/>
  <c r="Z149" i="6"/>
  <c r="J149" i="6"/>
  <c r="BX147" i="6"/>
  <c r="BH147" i="6"/>
  <c r="AR147" i="6"/>
  <c r="AB147" i="6"/>
  <c r="L147" i="6"/>
  <c r="AM171" i="6"/>
  <c r="BL170" i="6"/>
  <c r="BU149" i="6"/>
  <c r="BE149" i="6"/>
  <c r="AO149" i="6"/>
  <c r="Y149" i="6"/>
  <c r="I149" i="6"/>
  <c r="BW147" i="6"/>
  <c r="BG147" i="6"/>
  <c r="AQ147" i="6"/>
  <c r="AA147" i="6"/>
  <c r="K147" i="6"/>
  <c r="X171" i="6"/>
  <c r="AW170" i="6"/>
  <c r="CE168" i="6"/>
  <c r="CE169" i="6" s="1"/>
  <c r="BT149" i="6"/>
  <c r="BD149" i="6"/>
  <c r="AN149" i="6"/>
  <c r="X149" i="6"/>
  <c r="H149" i="6"/>
  <c r="BV147" i="6"/>
  <c r="BF147" i="6"/>
  <c r="AP147" i="6"/>
  <c r="Z147" i="6"/>
  <c r="J147" i="6"/>
  <c r="W171" i="6"/>
  <c r="AV170" i="6"/>
  <c r="CD168" i="6"/>
  <c r="CD169" i="6" s="1"/>
  <c r="BS149" i="6"/>
  <c r="BC149" i="6"/>
  <c r="AM149" i="6"/>
  <c r="W149" i="6"/>
  <c r="G149" i="6"/>
  <c r="BU147" i="6"/>
  <c r="BE147" i="6"/>
  <c r="AO147" i="6"/>
  <c r="Y147" i="6"/>
  <c r="I147" i="6"/>
  <c r="H171" i="6"/>
  <c r="AG170" i="6"/>
  <c r="BO168" i="6"/>
  <c r="BO169" i="6" s="1"/>
  <c r="G171" i="6"/>
  <c r="AF170" i="6"/>
  <c r="BN168" i="6"/>
  <c r="BN169" i="6" s="1"/>
  <c r="Q170" i="6"/>
  <c r="AY168" i="6"/>
  <c r="AY169" i="6" s="1"/>
  <c r="CF149" i="6"/>
  <c r="BP149" i="6"/>
  <c r="AZ149" i="6"/>
  <c r="AJ149" i="6"/>
  <c r="T149" i="6"/>
  <c r="D149" i="6"/>
  <c r="BR147" i="6"/>
  <c r="BB147" i="6"/>
  <c r="AL147" i="6"/>
  <c r="V147" i="6"/>
  <c r="F147" i="6"/>
  <c r="AI168" i="6"/>
  <c r="AI169" i="6" s="1"/>
  <c r="CD149" i="6"/>
  <c r="BN149" i="6"/>
  <c r="AX149" i="6"/>
  <c r="AH149" i="6"/>
  <c r="R149" i="6"/>
  <c r="CF147" i="6"/>
  <c r="BP147" i="6"/>
  <c r="AZ147" i="6"/>
  <c r="AJ147" i="6"/>
  <c r="T147" i="6"/>
  <c r="D147" i="6"/>
  <c r="BR149" i="6"/>
  <c r="U149" i="6"/>
  <c r="CD147" i="6"/>
  <c r="X147" i="6"/>
  <c r="BX61" i="6"/>
  <c r="BH61" i="6"/>
  <c r="AR61" i="6"/>
  <c r="AB61" i="6"/>
  <c r="L61" i="6"/>
  <c r="BQ60" i="6"/>
  <c r="BA60" i="6"/>
  <c r="AK60" i="6"/>
  <c r="U60" i="6"/>
  <c r="E60" i="6"/>
  <c r="BS58" i="6"/>
  <c r="BS59" i="6" s="1"/>
  <c r="BC58" i="6"/>
  <c r="BC59" i="6" s="1"/>
  <c r="AM58" i="6"/>
  <c r="AM59" i="6" s="1"/>
  <c r="W58" i="6"/>
  <c r="W59" i="6" s="1"/>
  <c r="G58" i="6"/>
  <c r="G59" i="6" s="1"/>
  <c r="BQ149" i="6"/>
  <c r="S149" i="6"/>
  <c r="BT147" i="6"/>
  <c r="W147" i="6"/>
  <c r="BW61" i="6"/>
  <c r="BG61" i="6"/>
  <c r="AQ61" i="6"/>
  <c r="AA61" i="6"/>
  <c r="K61" i="6"/>
  <c r="BP60" i="6"/>
  <c r="AZ60" i="6"/>
  <c r="AJ60" i="6"/>
  <c r="T60" i="6"/>
  <c r="D60" i="6"/>
  <c r="BR58" i="6"/>
  <c r="BR59" i="6" s="1"/>
  <c r="BB58" i="6"/>
  <c r="BB59" i="6" s="1"/>
  <c r="AL58" i="6"/>
  <c r="AL59" i="6" s="1"/>
  <c r="V58" i="6"/>
  <c r="V59" i="6" s="1"/>
  <c r="F58" i="6"/>
  <c r="F59" i="6" s="1"/>
  <c r="BO149" i="6"/>
  <c r="Q149" i="6"/>
  <c r="BS147" i="6"/>
  <c r="U147" i="6"/>
  <c r="BV61" i="6"/>
  <c r="BF61" i="6"/>
  <c r="AP61" i="6"/>
  <c r="Z61" i="6"/>
  <c r="J61" i="6"/>
  <c r="CE60" i="6"/>
  <c r="BO60" i="6"/>
  <c r="AY60" i="6"/>
  <c r="AI60" i="6"/>
  <c r="S60" i="6"/>
  <c r="BQ58" i="6"/>
  <c r="BQ59" i="6" s="1"/>
  <c r="BA58" i="6"/>
  <c r="BA59" i="6" s="1"/>
  <c r="AK58" i="6"/>
  <c r="AK59" i="6" s="1"/>
  <c r="U58" i="6"/>
  <c r="U59" i="6" s="1"/>
  <c r="E58" i="6"/>
  <c r="E59" i="6" s="1"/>
  <c r="BM149" i="6"/>
  <c r="P149" i="6"/>
  <c r="BQ147" i="6"/>
  <c r="S147" i="6"/>
  <c r="BU61" i="6"/>
  <c r="BE61" i="6"/>
  <c r="AO61" i="6"/>
  <c r="Y61" i="6"/>
  <c r="I61" i="6"/>
  <c r="CD60" i="6"/>
  <c r="BN60" i="6"/>
  <c r="AX60" i="6"/>
  <c r="AH60" i="6"/>
  <c r="R60" i="6"/>
  <c r="CF58" i="6"/>
  <c r="CF59" i="6" s="1"/>
  <c r="BL149" i="6"/>
  <c r="F149" i="6"/>
  <c r="BO147" i="6"/>
  <c r="R147" i="6"/>
  <c r="BT61" i="6"/>
  <c r="BD61" i="6"/>
  <c r="AN61" i="6"/>
  <c r="X61" i="6"/>
  <c r="H61" i="6"/>
  <c r="CC60" i="6"/>
  <c r="BM60" i="6"/>
  <c r="AW60" i="6"/>
  <c r="AG60" i="6"/>
  <c r="Q60" i="6"/>
  <c r="CE58" i="6"/>
  <c r="CE59" i="6" s="1"/>
  <c r="BO58" i="6"/>
  <c r="BO59" i="6" s="1"/>
  <c r="AY58" i="6"/>
  <c r="AY59" i="6" s="1"/>
  <c r="AI58" i="6"/>
  <c r="AI59" i="6" s="1"/>
  <c r="S58" i="6"/>
  <c r="S59" i="6" s="1"/>
  <c r="BB149" i="6"/>
  <c r="E149" i="6"/>
  <c r="BN147" i="6"/>
  <c r="H147" i="6"/>
  <c r="BS61" i="6"/>
  <c r="BC61" i="6"/>
  <c r="AM61" i="6"/>
  <c r="W61" i="6"/>
  <c r="G61" i="6"/>
  <c r="CB60" i="6"/>
  <c r="BL60" i="6"/>
  <c r="AV60" i="6"/>
  <c r="AF60" i="6"/>
  <c r="P60" i="6"/>
  <c r="CD58" i="6"/>
  <c r="CD59" i="6" s="1"/>
  <c r="BN58" i="6"/>
  <c r="BN59" i="6" s="1"/>
  <c r="AX58" i="6"/>
  <c r="AX59" i="6" s="1"/>
  <c r="AH58" i="6"/>
  <c r="AH59" i="6" s="1"/>
  <c r="R58" i="6"/>
  <c r="R59" i="6" s="1"/>
  <c r="BA149" i="6"/>
  <c r="BD147" i="6"/>
  <c r="G147" i="6"/>
  <c r="BR61" i="6"/>
  <c r="BB61" i="6"/>
  <c r="AL61" i="6"/>
  <c r="V61" i="6"/>
  <c r="F61" i="6"/>
  <c r="CA60" i="6"/>
  <c r="BK60" i="6"/>
  <c r="AU60" i="6"/>
  <c r="AE60" i="6"/>
  <c r="O60" i="6"/>
  <c r="CC58" i="6"/>
  <c r="CC59" i="6" s="1"/>
  <c r="BM58" i="6"/>
  <c r="BM59" i="6" s="1"/>
  <c r="AW58" i="6"/>
  <c r="AW59" i="6" s="1"/>
  <c r="AG58" i="6"/>
  <c r="AG59" i="6" s="1"/>
  <c r="Q58" i="6"/>
  <c r="Q59" i="6" s="1"/>
  <c r="P170" i="6"/>
  <c r="AY149" i="6"/>
  <c r="BC147" i="6"/>
  <c r="E147" i="6"/>
  <c r="AW149" i="6"/>
  <c r="BA147" i="6"/>
  <c r="BP61" i="6"/>
  <c r="AZ61" i="6"/>
  <c r="AJ61" i="6"/>
  <c r="T61" i="6"/>
  <c r="D61" i="6"/>
  <c r="BY60" i="6"/>
  <c r="BI60" i="6"/>
  <c r="AS60" i="6"/>
  <c r="AC60" i="6"/>
  <c r="M60" i="6"/>
  <c r="CA58" i="6"/>
  <c r="CA59" i="6" s="1"/>
  <c r="BK58" i="6"/>
  <c r="BK59" i="6" s="1"/>
  <c r="AU58" i="6"/>
  <c r="AU59" i="6" s="1"/>
  <c r="AE58" i="6"/>
  <c r="AE59" i="6" s="1"/>
  <c r="O58" i="6"/>
  <c r="O59" i="6" s="1"/>
  <c r="AV149" i="6"/>
  <c r="AY147" i="6"/>
  <c r="AX168" i="6"/>
  <c r="AX169" i="6" s="1"/>
  <c r="AL149" i="6"/>
  <c r="AX147" i="6"/>
  <c r="AH168" i="6"/>
  <c r="AH169" i="6" s="1"/>
  <c r="AK149" i="6"/>
  <c r="AN147" i="6"/>
  <c r="CC61" i="6"/>
  <c r="BM61" i="6"/>
  <c r="AW61" i="6"/>
  <c r="AG61" i="6"/>
  <c r="Q61" i="6"/>
  <c r="BV60" i="6"/>
  <c r="BF60" i="6"/>
  <c r="AP60" i="6"/>
  <c r="Z60" i="6"/>
  <c r="J60" i="6"/>
  <c r="S168" i="6"/>
  <c r="S169" i="6" s="1"/>
  <c r="AI149" i="6"/>
  <c r="AM147" i="6"/>
  <c r="CB149" i="6"/>
  <c r="V149" i="6"/>
  <c r="CE147" i="6"/>
  <c r="AH147" i="6"/>
  <c r="BY61" i="6"/>
  <c r="BI61" i="6"/>
  <c r="AS61" i="6"/>
  <c r="AC61" i="6"/>
  <c r="M61" i="6"/>
  <c r="BR60" i="6"/>
  <c r="BB60" i="6"/>
  <c r="AL60" i="6"/>
  <c r="V60" i="6"/>
  <c r="F60" i="6"/>
  <c r="BT58" i="6"/>
  <c r="BT59" i="6" s="1"/>
  <c r="BD58" i="6"/>
  <c r="BD59" i="6" s="1"/>
  <c r="AN58" i="6"/>
  <c r="AN59" i="6" s="1"/>
  <c r="X58" i="6"/>
  <c r="X59" i="6" s="1"/>
  <c r="H58" i="6"/>
  <c r="H59" i="6" s="1"/>
  <c r="AI147" i="6"/>
  <c r="AU61" i="6"/>
  <c r="BE60" i="6"/>
  <c r="L60" i="6"/>
  <c r="BG58" i="6"/>
  <c r="BG59" i="6" s="1"/>
  <c r="AA58" i="6"/>
  <c r="AA59" i="6" s="1"/>
  <c r="BV39" i="6"/>
  <c r="BF39" i="6"/>
  <c r="AP39" i="6"/>
  <c r="Z39" i="6"/>
  <c r="J39" i="6"/>
  <c r="BX37" i="6"/>
  <c r="BH37" i="6"/>
  <c r="AR37" i="6"/>
  <c r="AB37" i="6"/>
  <c r="L37" i="6"/>
  <c r="CE61" i="6"/>
  <c r="AT61" i="6"/>
  <c r="BD60" i="6"/>
  <c r="K60" i="6"/>
  <c r="BF58" i="6"/>
  <c r="BF59" i="6" s="1"/>
  <c r="Z58" i="6"/>
  <c r="Z59" i="6" s="1"/>
  <c r="BU39" i="6"/>
  <c r="BE39" i="6"/>
  <c r="AO39" i="6"/>
  <c r="Y39" i="6"/>
  <c r="I39" i="6"/>
  <c r="BW37" i="6"/>
  <c r="BG37" i="6"/>
  <c r="AQ37" i="6"/>
  <c r="AA37" i="6"/>
  <c r="K37" i="6"/>
  <c r="CD61" i="6"/>
  <c r="AK61" i="6"/>
  <c r="BC60" i="6"/>
  <c r="I60" i="6"/>
  <c r="BE58" i="6"/>
  <c r="BE59" i="6" s="1"/>
  <c r="Y58" i="6"/>
  <c r="Y59" i="6" s="1"/>
  <c r="BT39" i="6"/>
  <c r="BD39" i="6"/>
  <c r="AN39" i="6"/>
  <c r="X39" i="6"/>
  <c r="H39" i="6"/>
  <c r="BV37" i="6"/>
  <c r="BF37" i="6"/>
  <c r="AP37" i="6"/>
  <c r="Z37" i="6"/>
  <c r="J37" i="6"/>
  <c r="CB61" i="6"/>
  <c r="AI61" i="6"/>
  <c r="AT60" i="6"/>
  <c r="H60" i="6"/>
  <c r="AZ58" i="6"/>
  <c r="AZ59" i="6" s="1"/>
  <c r="T58" i="6"/>
  <c r="T59" i="6" s="1"/>
  <c r="BS39" i="6"/>
  <c r="BC39" i="6"/>
  <c r="AM39" i="6"/>
  <c r="W39" i="6"/>
  <c r="G39" i="6"/>
  <c r="BU37" i="6"/>
  <c r="BE37" i="6"/>
  <c r="AO37" i="6"/>
  <c r="Y37" i="6"/>
  <c r="I37" i="6"/>
  <c r="CA61" i="6"/>
  <c r="AH61" i="6"/>
  <c r="AR60" i="6"/>
  <c r="G60" i="6"/>
  <c r="CB58" i="6"/>
  <c r="CB59" i="6" s="1"/>
  <c r="AV58" i="6"/>
  <c r="AV59" i="6" s="1"/>
  <c r="P58" i="6"/>
  <c r="P59" i="6" s="1"/>
  <c r="BR39" i="6"/>
  <c r="BB39" i="6"/>
  <c r="AL39" i="6"/>
  <c r="V39" i="6"/>
  <c r="F39" i="6"/>
  <c r="BT37" i="6"/>
  <c r="BD37" i="6"/>
  <c r="AN37" i="6"/>
  <c r="X37" i="6"/>
  <c r="H37" i="6"/>
  <c r="BQ61" i="6"/>
  <c r="AE61" i="6"/>
  <c r="AO60" i="6"/>
  <c r="BY58" i="6"/>
  <c r="BY59" i="6" s="1"/>
  <c r="AS58" i="6"/>
  <c r="AS59" i="6" s="1"/>
  <c r="M58" i="6"/>
  <c r="M59" i="6" s="1"/>
  <c r="CF39" i="6"/>
  <c r="BP39" i="6"/>
  <c r="AZ39" i="6"/>
  <c r="AJ39" i="6"/>
  <c r="T39" i="6"/>
  <c r="D39" i="6"/>
  <c r="BR37" i="6"/>
  <c r="BB37" i="6"/>
  <c r="AL37" i="6"/>
  <c r="V37" i="6"/>
  <c r="F37" i="6"/>
  <c r="BO61" i="6"/>
  <c r="AD61" i="6"/>
  <c r="BZ60" i="6"/>
  <c r="AN60" i="6"/>
  <c r="BX58" i="6"/>
  <c r="BX59" i="6" s="1"/>
  <c r="AR58" i="6"/>
  <c r="AR59" i="6" s="1"/>
  <c r="L58" i="6"/>
  <c r="L59" i="6" s="1"/>
  <c r="CE39" i="6"/>
  <c r="BO39" i="6"/>
  <c r="AY39" i="6"/>
  <c r="AI39" i="6"/>
  <c r="S39" i="6"/>
  <c r="BQ37" i="6"/>
  <c r="BA37" i="6"/>
  <c r="AK37" i="6"/>
  <c r="U37" i="6"/>
  <c r="E37" i="6"/>
  <c r="CE149" i="6"/>
  <c r="BN61" i="6"/>
  <c r="U61" i="6"/>
  <c r="BX60" i="6"/>
  <c r="AM60" i="6"/>
  <c r="BW58" i="6"/>
  <c r="BW59" i="6" s="1"/>
  <c r="AQ58" i="6"/>
  <c r="AQ59" i="6" s="1"/>
  <c r="K58" i="6"/>
  <c r="K59" i="6" s="1"/>
  <c r="CD39" i="6"/>
  <c r="BN39" i="6"/>
  <c r="AX39" i="6"/>
  <c r="AH39" i="6"/>
  <c r="R39" i="6"/>
  <c r="CF37" i="6"/>
  <c r="BP37" i="6"/>
  <c r="AZ37" i="6"/>
  <c r="AJ37" i="6"/>
  <c r="T37" i="6"/>
  <c r="D37" i="6"/>
  <c r="CC149" i="6"/>
  <c r="BL61" i="6"/>
  <c r="S61" i="6"/>
  <c r="BW60" i="6"/>
  <c r="AD60" i="6"/>
  <c r="BV58" i="6"/>
  <c r="BV59" i="6" s="1"/>
  <c r="AP58" i="6"/>
  <c r="AP59" i="6" s="1"/>
  <c r="J58" i="6"/>
  <c r="J59" i="6" s="1"/>
  <c r="AF149" i="6"/>
  <c r="BJ61" i="6"/>
  <c r="P61" i="6"/>
  <c r="BT60" i="6"/>
  <c r="AA60" i="6"/>
  <c r="BP58" i="6"/>
  <c r="BP59" i="6" s="1"/>
  <c r="AJ58" i="6"/>
  <c r="AJ59" i="6" s="1"/>
  <c r="D58" i="6"/>
  <c r="CA39" i="6"/>
  <c r="BK39" i="6"/>
  <c r="AU39" i="6"/>
  <c r="AE39" i="6"/>
  <c r="O39" i="6"/>
  <c r="CC37" i="6"/>
  <c r="BM37" i="6"/>
  <c r="AW37" i="6"/>
  <c r="AG37" i="6"/>
  <c r="Q37" i="6"/>
  <c r="BA61" i="6"/>
  <c r="O61" i="6"/>
  <c r="BS60" i="6"/>
  <c r="Y60" i="6"/>
  <c r="BL58" i="6"/>
  <c r="BL59" i="6" s="1"/>
  <c r="AF58" i="6"/>
  <c r="AF59" i="6" s="1"/>
  <c r="AY61" i="6"/>
  <c r="N61" i="6"/>
  <c r="BJ60" i="6"/>
  <c r="X60" i="6"/>
  <c r="BJ58" i="6"/>
  <c r="BJ59" i="6" s="1"/>
  <c r="AD58" i="6"/>
  <c r="AD59" i="6" s="1"/>
  <c r="BY39" i="6"/>
  <c r="BI39" i="6"/>
  <c r="AS39" i="6"/>
  <c r="AC39" i="6"/>
  <c r="M39" i="6"/>
  <c r="CA37" i="6"/>
  <c r="BK37" i="6"/>
  <c r="AU37" i="6"/>
  <c r="AE37" i="6"/>
  <c r="O37" i="6"/>
  <c r="AK147" i="6"/>
  <c r="AV61" i="6"/>
  <c r="BG60" i="6"/>
  <c r="N60" i="6"/>
  <c r="BH58" i="6"/>
  <c r="BH59" i="6" s="1"/>
  <c r="AB58" i="6"/>
  <c r="AB59" i="6" s="1"/>
  <c r="BW39" i="6"/>
  <c r="BG39" i="6"/>
  <c r="AQ39" i="6"/>
  <c r="AA39" i="6"/>
  <c r="K39" i="6"/>
  <c r="BY37" i="6"/>
  <c r="BI37" i="6"/>
  <c r="AS37" i="6"/>
  <c r="AC37" i="6"/>
  <c r="M37" i="6"/>
  <c r="BK61" i="6"/>
  <c r="AB60" i="6"/>
  <c r="CB39" i="6"/>
  <c r="AD39" i="6"/>
  <c r="AI37" i="6"/>
  <c r="AX61" i="6"/>
  <c r="W60" i="6"/>
  <c r="BZ39" i="6"/>
  <c r="AB39" i="6"/>
  <c r="CE37" i="6"/>
  <c r="AH37" i="6"/>
  <c r="AF61" i="6"/>
  <c r="BX39" i="6"/>
  <c r="U39" i="6"/>
  <c r="CD37" i="6"/>
  <c r="AF37" i="6"/>
  <c r="R61" i="6"/>
  <c r="BQ39" i="6"/>
  <c r="Q39" i="6"/>
  <c r="CB37" i="6"/>
  <c r="AD37" i="6"/>
  <c r="E61" i="6"/>
  <c r="BM39" i="6"/>
  <c r="P39" i="6"/>
  <c r="BZ37" i="6"/>
  <c r="W37" i="6"/>
  <c r="BL39" i="6"/>
  <c r="N39" i="6"/>
  <c r="BS37" i="6"/>
  <c r="S37" i="6"/>
  <c r="BJ39" i="6"/>
  <c r="L39" i="6"/>
  <c r="BO37" i="6"/>
  <c r="R37" i="6"/>
  <c r="BH39" i="6"/>
  <c r="E39" i="6"/>
  <c r="BN37" i="6"/>
  <c r="P37" i="6"/>
  <c r="BZ58" i="6"/>
  <c r="BZ59" i="6" s="1"/>
  <c r="BA39" i="6"/>
  <c r="BL37" i="6"/>
  <c r="N37" i="6"/>
  <c r="BU58" i="6"/>
  <c r="BU59" i="6" s="1"/>
  <c r="AW39" i="6"/>
  <c r="BJ37" i="6"/>
  <c r="G37" i="6"/>
  <c r="AT58" i="6"/>
  <c r="AT59" i="6" s="1"/>
  <c r="AT39" i="6"/>
  <c r="AY37" i="6"/>
  <c r="AO58" i="6"/>
  <c r="AO59" i="6" s="1"/>
  <c r="AR39" i="6"/>
  <c r="AX37" i="6"/>
  <c r="AG149" i="6"/>
  <c r="BU60" i="6"/>
  <c r="AC58" i="6"/>
  <c r="AC59" i="6" s="1"/>
  <c r="AK39" i="6"/>
  <c r="AV37" i="6"/>
  <c r="BZ61" i="6"/>
  <c r="AQ60" i="6"/>
  <c r="I58" i="6"/>
  <c r="I59" i="6" s="1"/>
  <c r="CC39" i="6"/>
  <c r="AF39" i="6"/>
  <c r="AM37" i="6"/>
  <c r="AV39" i="6"/>
  <c r="AG39" i="6"/>
  <c r="BC37" i="6"/>
  <c r="AT37" i="6"/>
  <c r="BI58" i="6"/>
  <c r="BI59" i="6" s="1"/>
  <c r="E20" i="5"/>
  <c r="BH60" i="6"/>
  <c r="B20" i="5"/>
  <c r="Q38" i="5" s="1"/>
  <c r="N58" i="6"/>
  <c r="N59" i="6" s="1"/>
  <c r="E16" i="5"/>
  <c r="B16" i="5"/>
  <c r="E12" i="5"/>
  <c r="B12" i="5"/>
  <c r="E11" i="5"/>
  <c r="B11" i="5"/>
  <c r="E10" i="5"/>
  <c r="B10" i="5"/>
  <c r="E9" i="5"/>
  <c r="B9" i="5"/>
  <c r="E8" i="5"/>
  <c r="B8" i="5"/>
  <c r="BR127" i="9"/>
  <c r="BB127" i="9"/>
  <c r="AL127" i="9"/>
  <c r="V127" i="9"/>
  <c r="F127" i="9"/>
  <c r="CA126" i="9"/>
  <c r="BK126" i="9"/>
  <c r="AU126" i="9"/>
  <c r="AE126" i="9"/>
  <c r="O126" i="9"/>
  <c r="BQ127" i="9"/>
  <c r="BA127" i="9"/>
  <c r="AK127" i="9"/>
  <c r="U127" i="9"/>
  <c r="E127" i="9"/>
  <c r="BZ126" i="9"/>
  <c r="BJ126" i="9"/>
  <c r="AT126" i="9"/>
  <c r="AD126" i="9"/>
  <c r="N126" i="9"/>
  <c r="CF127" i="9"/>
  <c r="BP127" i="9"/>
  <c r="AZ127" i="9"/>
  <c r="AJ127" i="9"/>
  <c r="T127" i="9"/>
  <c r="D127" i="9"/>
  <c r="BY126" i="9"/>
  <c r="BI126" i="9"/>
  <c r="AS126" i="9"/>
  <c r="AC126" i="9"/>
  <c r="M126" i="9"/>
  <c r="CD127" i="9"/>
  <c r="BN127" i="9"/>
  <c r="AX127" i="9"/>
  <c r="AH127" i="9"/>
  <c r="R127" i="9"/>
  <c r="BW126" i="9"/>
  <c r="BG126" i="9"/>
  <c r="AQ126" i="9"/>
  <c r="AA126" i="9"/>
  <c r="K126" i="9"/>
  <c r="CC127" i="9"/>
  <c r="BM127" i="9"/>
  <c r="AW127" i="9"/>
  <c r="AG127" i="9"/>
  <c r="Q127" i="9"/>
  <c r="BV126" i="9"/>
  <c r="BF126" i="9"/>
  <c r="AP126" i="9"/>
  <c r="Z126" i="9"/>
  <c r="J126" i="9"/>
  <c r="CB120" i="9"/>
  <c r="CB121" i="9" s="1"/>
  <c r="CB122" i="9" s="1"/>
  <c r="CB123" i="9" s="1"/>
  <c r="CB149" i="5" s="1"/>
  <c r="BL120" i="9"/>
  <c r="BL121" i="9" s="1"/>
  <c r="BL122" i="9" s="1"/>
  <c r="BL123" i="9" s="1"/>
  <c r="BL149" i="5" s="1"/>
  <c r="AV120" i="9"/>
  <c r="AV121" i="9" s="1"/>
  <c r="AV122" i="9" s="1"/>
  <c r="AV123" i="9" s="1"/>
  <c r="AV149" i="5" s="1"/>
  <c r="AF120" i="9"/>
  <c r="AF121" i="9" s="1"/>
  <c r="AF122" i="9" s="1"/>
  <c r="AF123" i="9" s="1"/>
  <c r="AF149" i="5" s="1"/>
  <c r="P120" i="9"/>
  <c r="P121" i="9" s="1"/>
  <c r="P122" i="9" s="1"/>
  <c r="P123" i="9" s="1"/>
  <c r="P149" i="5" s="1"/>
  <c r="BV17" i="9"/>
  <c r="BF17" i="9"/>
  <c r="AP17" i="9"/>
  <c r="Z17" i="9"/>
  <c r="J17" i="9"/>
  <c r="CE16" i="9"/>
  <c r="BO16" i="9"/>
  <c r="AY16" i="9"/>
  <c r="AI16" i="9"/>
  <c r="S16" i="9"/>
  <c r="CB127" i="9"/>
  <c r="BL127" i="9"/>
  <c r="AV127" i="9"/>
  <c r="AF127" i="9"/>
  <c r="P127" i="9"/>
  <c r="BU126" i="9"/>
  <c r="BE126" i="9"/>
  <c r="AO126" i="9"/>
  <c r="Y126" i="9"/>
  <c r="I126" i="9"/>
  <c r="CA120" i="9"/>
  <c r="CA121" i="9" s="1"/>
  <c r="CA122" i="9" s="1"/>
  <c r="CA123" i="9" s="1"/>
  <c r="CA149" i="5" s="1"/>
  <c r="BK120" i="9"/>
  <c r="BK121" i="9" s="1"/>
  <c r="BK122" i="9" s="1"/>
  <c r="BK123" i="9" s="1"/>
  <c r="BK149" i="5" s="1"/>
  <c r="AU120" i="9"/>
  <c r="AU121" i="9" s="1"/>
  <c r="AU122" i="9" s="1"/>
  <c r="AU123" i="9" s="1"/>
  <c r="AU149" i="5" s="1"/>
  <c r="AE120" i="9"/>
  <c r="AE121" i="9" s="1"/>
  <c r="AE122" i="9" s="1"/>
  <c r="AE123" i="9" s="1"/>
  <c r="AE149" i="5" s="1"/>
  <c r="O120" i="9"/>
  <c r="O121" i="9" s="1"/>
  <c r="O122" i="9" s="1"/>
  <c r="O123" i="9" s="1"/>
  <c r="O149" i="5" s="1"/>
  <c r="BU17" i="9"/>
  <c r="BE17" i="9"/>
  <c r="AO17" i="9"/>
  <c r="Y17" i="9"/>
  <c r="I17" i="9"/>
  <c r="CD16" i="9"/>
  <c r="BN16" i="9"/>
  <c r="AX16" i="9"/>
  <c r="AH16" i="9"/>
  <c r="R16" i="9"/>
  <c r="BT10" i="9"/>
  <c r="BT11" i="9" s="1"/>
  <c r="BT12" i="9" s="1"/>
  <c r="BT13" i="9" s="1"/>
  <c r="BT39" i="5" s="1"/>
  <c r="BZ127" i="9"/>
  <c r="BJ127" i="9"/>
  <c r="AT127" i="9"/>
  <c r="AD127" i="9"/>
  <c r="N127" i="9"/>
  <c r="BS126" i="9"/>
  <c r="BC126" i="9"/>
  <c r="AM126" i="9"/>
  <c r="W126" i="9"/>
  <c r="G126" i="9"/>
  <c r="BY120" i="9"/>
  <c r="BY121" i="9" s="1"/>
  <c r="BY122" i="9" s="1"/>
  <c r="BY123" i="9" s="1"/>
  <c r="BY149" i="5" s="1"/>
  <c r="BI120" i="9"/>
  <c r="BI121" i="9" s="1"/>
  <c r="BI122" i="9" s="1"/>
  <c r="BI123" i="9" s="1"/>
  <c r="BI149" i="5" s="1"/>
  <c r="AS120" i="9"/>
  <c r="AS121" i="9" s="1"/>
  <c r="AS122" i="9" s="1"/>
  <c r="AS123" i="9" s="1"/>
  <c r="AS149" i="5" s="1"/>
  <c r="AC120" i="9"/>
  <c r="AC121" i="9" s="1"/>
  <c r="AC122" i="9" s="1"/>
  <c r="AC123" i="9" s="1"/>
  <c r="AC149" i="5" s="1"/>
  <c r="M120" i="9"/>
  <c r="M121" i="9" s="1"/>
  <c r="M122" i="9" s="1"/>
  <c r="M123" i="9" s="1"/>
  <c r="M149" i="5" s="1"/>
  <c r="BS17" i="9"/>
  <c r="BC17" i="9"/>
  <c r="AM17" i="9"/>
  <c r="W17" i="9"/>
  <c r="G17" i="9"/>
  <c r="CB16" i="9"/>
  <c r="BL16" i="9"/>
  <c r="AV16" i="9"/>
  <c r="AF16" i="9"/>
  <c r="P16" i="9"/>
  <c r="BY127" i="9"/>
  <c r="BI127" i="9"/>
  <c r="AS127" i="9"/>
  <c r="AC127" i="9"/>
  <c r="M127" i="9"/>
  <c r="BR126" i="9"/>
  <c r="BB126" i="9"/>
  <c r="AL126" i="9"/>
  <c r="V126" i="9"/>
  <c r="F126" i="9"/>
  <c r="BX120" i="9"/>
  <c r="BX121" i="9" s="1"/>
  <c r="BX122" i="9" s="1"/>
  <c r="BX123" i="9" s="1"/>
  <c r="BX149" i="5" s="1"/>
  <c r="BH120" i="9"/>
  <c r="BH121" i="9" s="1"/>
  <c r="BH122" i="9" s="1"/>
  <c r="BH123" i="9" s="1"/>
  <c r="BH149" i="5" s="1"/>
  <c r="AR120" i="9"/>
  <c r="AR121" i="9" s="1"/>
  <c r="AR122" i="9" s="1"/>
  <c r="AR123" i="9" s="1"/>
  <c r="AR149" i="5" s="1"/>
  <c r="AB120" i="9"/>
  <c r="AB121" i="9" s="1"/>
  <c r="AB122" i="9" s="1"/>
  <c r="AB123" i="9" s="1"/>
  <c r="AB149" i="5" s="1"/>
  <c r="L120" i="9"/>
  <c r="L121" i="9" s="1"/>
  <c r="L122" i="9" s="1"/>
  <c r="L123" i="9" s="1"/>
  <c r="L149" i="5" s="1"/>
  <c r="BR17" i="9"/>
  <c r="BB17" i="9"/>
  <c r="AL17" i="9"/>
  <c r="V17" i="9"/>
  <c r="F17" i="9"/>
  <c r="CA16" i="9"/>
  <c r="BK16" i="9"/>
  <c r="AU16" i="9"/>
  <c r="AE16" i="9"/>
  <c r="O16" i="9"/>
  <c r="BX127" i="9"/>
  <c r="BH127" i="9"/>
  <c r="AR127" i="9"/>
  <c r="AB127" i="9"/>
  <c r="L127" i="9"/>
  <c r="BQ126" i="9"/>
  <c r="BA126" i="9"/>
  <c r="AK126" i="9"/>
  <c r="U126" i="9"/>
  <c r="E126" i="9"/>
  <c r="BW120" i="9"/>
  <c r="BW121" i="9" s="1"/>
  <c r="BW122" i="9" s="1"/>
  <c r="BW123" i="9" s="1"/>
  <c r="BW149" i="5" s="1"/>
  <c r="BG120" i="9"/>
  <c r="BG121" i="9" s="1"/>
  <c r="BG122" i="9" s="1"/>
  <c r="BG123" i="9" s="1"/>
  <c r="BG149" i="5" s="1"/>
  <c r="AQ120" i="9"/>
  <c r="AQ121" i="9" s="1"/>
  <c r="AQ122" i="9" s="1"/>
  <c r="AQ123" i="9" s="1"/>
  <c r="AQ149" i="5" s="1"/>
  <c r="AA120" i="9"/>
  <c r="AA121" i="9" s="1"/>
  <c r="AA122" i="9" s="1"/>
  <c r="AA123" i="9" s="1"/>
  <c r="AA149" i="5" s="1"/>
  <c r="K120" i="9"/>
  <c r="K121" i="9" s="1"/>
  <c r="K122" i="9" s="1"/>
  <c r="K123" i="9" s="1"/>
  <c r="K149" i="5" s="1"/>
  <c r="BQ17" i="9"/>
  <c r="BA17" i="9"/>
  <c r="AK17" i="9"/>
  <c r="U17" i="9"/>
  <c r="E17" i="9"/>
  <c r="BZ16" i="9"/>
  <c r="BJ16" i="9"/>
  <c r="AT16" i="9"/>
  <c r="AD16" i="9"/>
  <c r="N16" i="9"/>
  <c r="BV127" i="9"/>
  <c r="BF127" i="9"/>
  <c r="AP127" i="9"/>
  <c r="Z127" i="9"/>
  <c r="J127" i="9"/>
  <c r="CE126" i="9"/>
  <c r="BO126" i="9"/>
  <c r="AY126" i="9"/>
  <c r="AI126" i="9"/>
  <c r="S126" i="9"/>
  <c r="BU120" i="9"/>
  <c r="BU121" i="9" s="1"/>
  <c r="BU122" i="9" s="1"/>
  <c r="BU123" i="9" s="1"/>
  <c r="BU149" i="5" s="1"/>
  <c r="BE120" i="9"/>
  <c r="BE121" i="9" s="1"/>
  <c r="BE122" i="9" s="1"/>
  <c r="BE123" i="9" s="1"/>
  <c r="BE149" i="5" s="1"/>
  <c r="AO120" i="9"/>
  <c r="AO121" i="9" s="1"/>
  <c r="AO122" i="9" s="1"/>
  <c r="AO123" i="9" s="1"/>
  <c r="AO149" i="5" s="1"/>
  <c r="Y120" i="9"/>
  <c r="I120" i="9"/>
  <c r="I121" i="9" s="1"/>
  <c r="I122" i="9" s="1"/>
  <c r="I123" i="9" s="1"/>
  <c r="I149" i="5" s="1"/>
  <c r="CE17" i="9"/>
  <c r="BO17" i="9"/>
  <c r="AY17" i="9"/>
  <c r="AI17" i="9"/>
  <c r="S17" i="9"/>
  <c r="BX16" i="9"/>
  <c r="BH16" i="9"/>
  <c r="AR16" i="9"/>
  <c r="AB16" i="9"/>
  <c r="L16" i="9"/>
  <c r="BE127" i="9"/>
  <c r="O127" i="9"/>
  <c r="CB126" i="9"/>
  <c r="AH126" i="9"/>
  <c r="BF120" i="9"/>
  <c r="BF121" i="9" s="1"/>
  <c r="BF122" i="9" s="1"/>
  <c r="BF123" i="9" s="1"/>
  <c r="BF149" i="5" s="1"/>
  <c r="AI120" i="9"/>
  <c r="AI121" i="9" s="1"/>
  <c r="AI122" i="9" s="1"/>
  <c r="AI123" i="9" s="1"/>
  <c r="AI149" i="5" s="1"/>
  <c r="G120" i="9"/>
  <c r="G121" i="9" s="1"/>
  <c r="G122" i="9" s="1"/>
  <c r="G123" i="9" s="1"/>
  <c r="G149" i="5" s="1"/>
  <c r="CB17" i="9"/>
  <c r="BD17" i="9"/>
  <c r="AD17" i="9"/>
  <c r="BR16" i="9"/>
  <c r="AP16" i="9"/>
  <c r="T16" i="9"/>
  <c r="BZ10" i="9"/>
  <c r="BZ11" i="9" s="1"/>
  <c r="BZ12" i="9" s="1"/>
  <c r="BZ13" i="9" s="1"/>
  <c r="BZ39" i="5" s="1"/>
  <c r="BI10" i="9"/>
  <c r="BI11" i="9" s="1"/>
  <c r="BI12" i="9" s="1"/>
  <c r="BI13" i="9" s="1"/>
  <c r="BI39" i="5" s="1"/>
  <c r="AS10" i="9"/>
  <c r="AS11" i="9" s="1"/>
  <c r="AS12" i="9" s="1"/>
  <c r="AS13" i="9" s="1"/>
  <c r="AS39" i="5" s="1"/>
  <c r="AC10" i="9"/>
  <c r="AC11" i="9" s="1"/>
  <c r="AC12" i="9" s="1"/>
  <c r="AC13" i="9" s="1"/>
  <c r="AC39" i="5" s="1"/>
  <c r="M10" i="9"/>
  <c r="M11" i="9" s="1"/>
  <c r="M12" i="9" s="1"/>
  <c r="M13" i="9" s="1"/>
  <c r="M39" i="5" s="1"/>
  <c r="BD127" i="9"/>
  <c r="K127" i="9"/>
  <c r="BX126" i="9"/>
  <c r="AG126" i="9"/>
  <c r="CF120" i="9"/>
  <c r="CF121" i="9" s="1"/>
  <c r="CF122" i="9" s="1"/>
  <c r="CF123" i="9" s="1"/>
  <c r="CF149" i="5" s="1"/>
  <c r="BD120" i="9"/>
  <c r="BD121" i="9" s="1"/>
  <c r="BD122" i="9" s="1"/>
  <c r="BD123" i="9" s="1"/>
  <c r="BD149" i="5" s="1"/>
  <c r="AH120" i="9"/>
  <c r="AH121" i="9" s="1"/>
  <c r="AH122" i="9" s="1"/>
  <c r="AH123" i="9" s="1"/>
  <c r="AH149" i="5" s="1"/>
  <c r="F120" i="9"/>
  <c r="F121" i="9" s="1"/>
  <c r="F122" i="9" s="1"/>
  <c r="F123" i="9" s="1"/>
  <c r="F149" i="5" s="1"/>
  <c r="CA17" i="9"/>
  <c r="AZ17" i="9"/>
  <c r="AC17" i="9"/>
  <c r="BQ16" i="9"/>
  <c r="AO16" i="9"/>
  <c r="Q16" i="9"/>
  <c r="BY10" i="9"/>
  <c r="BY11" i="9" s="1"/>
  <c r="BY12" i="9" s="1"/>
  <c r="BY13" i="9" s="1"/>
  <c r="BY39" i="5" s="1"/>
  <c r="BH10" i="9"/>
  <c r="BH11" i="9" s="1"/>
  <c r="BH12" i="9" s="1"/>
  <c r="BH13" i="9" s="1"/>
  <c r="BH39" i="5" s="1"/>
  <c r="AR10" i="9"/>
  <c r="AR11" i="9" s="1"/>
  <c r="AR12" i="9" s="1"/>
  <c r="AR13" i="9" s="1"/>
  <c r="AR39" i="5" s="1"/>
  <c r="AB10" i="9"/>
  <c r="L10" i="9"/>
  <c r="L11" i="9" s="1"/>
  <c r="L12" i="9" s="1"/>
  <c r="L13" i="9" s="1"/>
  <c r="L39" i="5" s="1"/>
  <c r="BC127" i="9"/>
  <c r="I127" i="9"/>
  <c r="BT126" i="9"/>
  <c r="AF126" i="9"/>
  <c r="CE120" i="9"/>
  <c r="CE121" i="9" s="1"/>
  <c r="CE122" i="9" s="1"/>
  <c r="CE123" i="9" s="1"/>
  <c r="CE149" i="5" s="1"/>
  <c r="BC120" i="9"/>
  <c r="BC121" i="9" s="1"/>
  <c r="BC122" i="9" s="1"/>
  <c r="BC123" i="9" s="1"/>
  <c r="BC149" i="5" s="1"/>
  <c r="AG120" i="9"/>
  <c r="AG121" i="9" s="1"/>
  <c r="AG122" i="9" s="1"/>
  <c r="AG123" i="9" s="1"/>
  <c r="AG149" i="5" s="1"/>
  <c r="E120" i="9"/>
  <c r="E121" i="9" s="1"/>
  <c r="E122" i="9" s="1"/>
  <c r="E123" i="9" s="1"/>
  <c r="E149" i="5" s="1"/>
  <c r="BZ17" i="9"/>
  <c r="AX17" i="9"/>
  <c r="AB17" i="9"/>
  <c r="BP16" i="9"/>
  <c r="AN16" i="9"/>
  <c r="M16" i="9"/>
  <c r="BX10" i="9"/>
  <c r="BX11" i="9" s="1"/>
  <c r="BX12" i="9" s="1"/>
  <c r="BX13" i="9" s="1"/>
  <c r="BX39" i="5" s="1"/>
  <c r="BG10" i="9"/>
  <c r="BG11" i="9" s="1"/>
  <c r="BG12" i="9" s="1"/>
  <c r="BG13" i="9" s="1"/>
  <c r="BG39" i="5" s="1"/>
  <c r="AQ10" i="9"/>
  <c r="AQ11" i="9" s="1"/>
  <c r="AQ12" i="9" s="1"/>
  <c r="AQ13" i="9" s="1"/>
  <c r="AQ39" i="5" s="1"/>
  <c r="AA10" i="9"/>
  <c r="AA11" i="9" s="1"/>
  <c r="AA12" i="9" s="1"/>
  <c r="AA13" i="9" s="1"/>
  <c r="AA39" i="5" s="1"/>
  <c r="K10" i="9"/>
  <c r="K11" i="9" s="1"/>
  <c r="K12" i="9" s="1"/>
  <c r="K13" i="9" s="1"/>
  <c r="K39" i="5" s="1"/>
  <c r="AY127" i="9"/>
  <c r="H127" i="9"/>
  <c r="BP126" i="9"/>
  <c r="AB126" i="9"/>
  <c r="CD120" i="9"/>
  <c r="CD121" i="9" s="1"/>
  <c r="CD122" i="9" s="1"/>
  <c r="CD123" i="9" s="1"/>
  <c r="CD149" i="5" s="1"/>
  <c r="BB120" i="9"/>
  <c r="BB121" i="9" s="1"/>
  <c r="BB122" i="9" s="1"/>
  <c r="BB123" i="9" s="1"/>
  <c r="BB149" i="5" s="1"/>
  <c r="AD120" i="9"/>
  <c r="AD121" i="9" s="1"/>
  <c r="AD122" i="9" s="1"/>
  <c r="AD123" i="9" s="1"/>
  <c r="AD149" i="5" s="1"/>
  <c r="BY17" i="9"/>
  <c r="AW17" i="9"/>
  <c r="AA17" i="9"/>
  <c r="BM16" i="9"/>
  <c r="AM16" i="9"/>
  <c r="K16" i="9"/>
  <c r="BW10" i="9"/>
  <c r="BW11" i="9" s="1"/>
  <c r="BW12" i="9" s="1"/>
  <c r="BW13" i="9" s="1"/>
  <c r="BW39" i="5" s="1"/>
  <c r="BF10" i="9"/>
  <c r="BF11" i="9" s="1"/>
  <c r="BF12" i="9" s="1"/>
  <c r="BF13" i="9" s="1"/>
  <c r="BF39" i="5" s="1"/>
  <c r="AP10" i="9"/>
  <c r="AP11" i="9" s="1"/>
  <c r="AP12" i="9" s="1"/>
  <c r="AP13" i="9" s="1"/>
  <c r="AP39" i="5" s="1"/>
  <c r="Z10" i="9"/>
  <c r="Z11" i="9" s="1"/>
  <c r="Z12" i="9" s="1"/>
  <c r="Z13" i="9" s="1"/>
  <c r="Z39" i="5" s="1"/>
  <c r="J10" i="9"/>
  <c r="J11" i="9" s="1"/>
  <c r="J12" i="9" s="1"/>
  <c r="J13" i="9" s="1"/>
  <c r="J39" i="5" s="1"/>
  <c r="AU127" i="9"/>
  <c r="G127" i="9"/>
  <c r="BN126" i="9"/>
  <c r="X126" i="9"/>
  <c r="CC120" i="9"/>
  <c r="CC121" i="9" s="1"/>
  <c r="CC122" i="9" s="1"/>
  <c r="CC123" i="9" s="1"/>
  <c r="CC149" i="5" s="1"/>
  <c r="BA120" i="9"/>
  <c r="BA121" i="9" s="1"/>
  <c r="BA122" i="9" s="1"/>
  <c r="BA123" i="9" s="1"/>
  <c r="BA149" i="5" s="1"/>
  <c r="Z120" i="9"/>
  <c r="Z121" i="9" s="1"/>
  <c r="Z122" i="9" s="1"/>
  <c r="Z123" i="9" s="1"/>
  <c r="Z149" i="5" s="1"/>
  <c r="BX17" i="9"/>
  <c r="AV17" i="9"/>
  <c r="X17" i="9"/>
  <c r="BI16" i="9"/>
  <c r="AL16" i="9"/>
  <c r="J16" i="9"/>
  <c r="BV10" i="9"/>
  <c r="BV11" i="9" s="1"/>
  <c r="BV12" i="9" s="1"/>
  <c r="BV13" i="9" s="1"/>
  <c r="BV39" i="5" s="1"/>
  <c r="BE10" i="9"/>
  <c r="BE11" i="9" s="1"/>
  <c r="BE12" i="9" s="1"/>
  <c r="BE13" i="9" s="1"/>
  <c r="BE39" i="5" s="1"/>
  <c r="AO10" i="9"/>
  <c r="AO11" i="9" s="1"/>
  <c r="Y10" i="9"/>
  <c r="Y11" i="9" s="1"/>
  <c r="Y12" i="9" s="1"/>
  <c r="Y13" i="9" s="1"/>
  <c r="Y39" i="5" s="1"/>
  <c r="I10" i="9"/>
  <c r="I11" i="9" s="1"/>
  <c r="I12" i="9" s="1"/>
  <c r="I13" i="9" s="1"/>
  <c r="I39" i="5" s="1"/>
  <c r="AQ127" i="9"/>
  <c r="BM126" i="9"/>
  <c r="T126" i="9"/>
  <c r="BZ120" i="9"/>
  <c r="BZ121" i="9" s="1"/>
  <c r="BZ122" i="9" s="1"/>
  <c r="BZ123" i="9" s="1"/>
  <c r="BZ149" i="5" s="1"/>
  <c r="AZ120" i="9"/>
  <c r="AZ121" i="9" s="1"/>
  <c r="AZ122" i="9" s="1"/>
  <c r="AZ123" i="9" s="1"/>
  <c r="AZ149" i="5" s="1"/>
  <c r="X120" i="9"/>
  <c r="X121" i="9" s="1"/>
  <c r="X122" i="9" s="1"/>
  <c r="X123" i="9" s="1"/>
  <c r="X149" i="5" s="1"/>
  <c r="BW17" i="9"/>
  <c r="AU17" i="9"/>
  <c r="T17" i="9"/>
  <c r="BG16" i="9"/>
  <c r="AK16" i="9"/>
  <c r="I16" i="9"/>
  <c r="BU10" i="9"/>
  <c r="BD10" i="9"/>
  <c r="BD11" i="9" s="1"/>
  <c r="BD12" i="9" s="1"/>
  <c r="BD13" i="9" s="1"/>
  <c r="BD39" i="5" s="1"/>
  <c r="AN10" i="9"/>
  <c r="AN11" i="9" s="1"/>
  <c r="AN12" i="9" s="1"/>
  <c r="AN13" i="9" s="1"/>
  <c r="AN39" i="5" s="1"/>
  <c r="X10" i="9"/>
  <c r="X11" i="9" s="1"/>
  <c r="X12" i="9" s="1"/>
  <c r="X13" i="9" s="1"/>
  <c r="X39" i="5" s="1"/>
  <c r="H10" i="9"/>
  <c r="H11" i="9" s="1"/>
  <c r="H12" i="9" s="1"/>
  <c r="H13" i="9" s="1"/>
  <c r="H39" i="5" s="1"/>
  <c r="AO127" i="9"/>
  <c r="BL126" i="9"/>
  <c r="R126" i="9"/>
  <c r="BV120" i="9"/>
  <c r="BV121" i="9" s="1"/>
  <c r="BV122" i="9" s="1"/>
  <c r="BV123" i="9" s="1"/>
  <c r="BV149" i="5" s="1"/>
  <c r="AY120" i="9"/>
  <c r="AY121" i="9" s="1"/>
  <c r="AY122" i="9" s="1"/>
  <c r="AY123" i="9" s="1"/>
  <c r="AY149" i="5" s="1"/>
  <c r="W120" i="9"/>
  <c r="W121" i="9" s="1"/>
  <c r="W122" i="9" s="1"/>
  <c r="W123" i="9" s="1"/>
  <c r="W149" i="5" s="1"/>
  <c r="BT17" i="9"/>
  <c r="AT17" i="9"/>
  <c r="R17" i="9"/>
  <c r="BF16" i="9"/>
  <c r="AJ16" i="9"/>
  <c r="H16" i="9"/>
  <c r="BS10" i="9"/>
  <c r="BS11" i="9" s="1"/>
  <c r="BS12" i="9" s="1"/>
  <c r="BS13" i="9" s="1"/>
  <c r="BS39" i="5" s="1"/>
  <c r="BC10" i="9"/>
  <c r="BC11" i="9" s="1"/>
  <c r="BC12" i="9" s="1"/>
  <c r="BC13" i="9" s="1"/>
  <c r="BC39" i="5" s="1"/>
  <c r="AM10" i="9"/>
  <c r="AM11" i="9" s="1"/>
  <c r="AM12" i="9" s="1"/>
  <c r="AM13" i="9" s="1"/>
  <c r="AM39" i="5" s="1"/>
  <c r="W10" i="9"/>
  <c r="W11" i="9" s="1"/>
  <c r="W12" i="9" s="1"/>
  <c r="W13" i="9" s="1"/>
  <c r="W39" i="5" s="1"/>
  <c r="G10" i="9"/>
  <c r="G11" i="9" s="1"/>
  <c r="G12" i="9" s="1"/>
  <c r="G13" i="9" s="1"/>
  <c r="G39" i="5" s="1"/>
  <c r="CE127" i="9"/>
  <c r="AN127" i="9"/>
  <c r="BH126" i="9"/>
  <c r="Q126" i="9"/>
  <c r="BT120" i="9"/>
  <c r="BT121" i="9" s="1"/>
  <c r="BT122" i="9" s="1"/>
  <c r="BT123" i="9" s="1"/>
  <c r="BT149" i="5" s="1"/>
  <c r="AX120" i="9"/>
  <c r="AX121" i="9" s="1"/>
  <c r="AX122" i="9" s="1"/>
  <c r="AX123" i="9" s="1"/>
  <c r="AX149" i="5" s="1"/>
  <c r="V120" i="9"/>
  <c r="V121" i="9" s="1"/>
  <c r="V122" i="9" s="1"/>
  <c r="V123" i="9" s="1"/>
  <c r="V149" i="5" s="1"/>
  <c r="BP17" i="9"/>
  <c r="AS17" i="9"/>
  <c r="Q17" i="9"/>
  <c r="BE16" i="9"/>
  <c r="AG16" i="9"/>
  <c r="G16" i="9"/>
  <c r="CA127" i="9"/>
  <c r="AM127" i="9"/>
  <c r="BD126" i="9"/>
  <c r="P126" i="9"/>
  <c r="BS120" i="9"/>
  <c r="BS121" i="9" s="1"/>
  <c r="BS122" i="9" s="1"/>
  <c r="BS123" i="9" s="1"/>
  <c r="BS149" i="5" s="1"/>
  <c r="AW120" i="9"/>
  <c r="AW121" i="9" s="1"/>
  <c r="AW122" i="9" s="1"/>
  <c r="AW123" i="9" s="1"/>
  <c r="AW149" i="5" s="1"/>
  <c r="U120" i="9"/>
  <c r="U121" i="9" s="1"/>
  <c r="U122" i="9" s="1"/>
  <c r="U123" i="9" s="1"/>
  <c r="U149" i="5" s="1"/>
  <c r="BN17" i="9"/>
  <c r="AR17" i="9"/>
  <c r="P17" i="9"/>
  <c r="CF16" i="9"/>
  <c r="BD16" i="9"/>
  <c r="AC16" i="9"/>
  <c r="F16" i="9"/>
  <c r="BQ10" i="9"/>
  <c r="BQ11" i="9" s="1"/>
  <c r="BQ12" i="9" s="1"/>
  <c r="BQ13" i="9" s="1"/>
  <c r="BQ39" i="5" s="1"/>
  <c r="BA10" i="9"/>
  <c r="BA11" i="9" s="1"/>
  <c r="BA12" i="9" s="1"/>
  <c r="BA13" i="9" s="1"/>
  <c r="BA39" i="5" s="1"/>
  <c r="AK10" i="9"/>
  <c r="AK11" i="9" s="1"/>
  <c r="AK12" i="9" s="1"/>
  <c r="AK13" i="9" s="1"/>
  <c r="AK39" i="5" s="1"/>
  <c r="U10" i="9"/>
  <c r="U11" i="9" s="1"/>
  <c r="U12" i="9" s="1"/>
  <c r="U13" i="9" s="1"/>
  <c r="U39" i="5" s="1"/>
  <c r="E10" i="9"/>
  <c r="E11" i="9" s="1"/>
  <c r="E12" i="9" s="1"/>
  <c r="E13" i="9" s="1"/>
  <c r="E39" i="5" s="1"/>
  <c r="BW127" i="9"/>
  <c r="AI127" i="9"/>
  <c r="AZ126" i="9"/>
  <c r="L126" i="9"/>
  <c r="BR120" i="9"/>
  <c r="BR121" i="9" s="1"/>
  <c r="BR122" i="9" s="1"/>
  <c r="BR123" i="9" s="1"/>
  <c r="BR149" i="5" s="1"/>
  <c r="AT120" i="9"/>
  <c r="AT121" i="9" s="1"/>
  <c r="AT122" i="9" s="1"/>
  <c r="AT123" i="9" s="1"/>
  <c r="AT149" i="5" s="1"/>
  <c r="T120" i="9"/>
  <c r="T121" i="9" s="1"/>
  <c r="T122" i="9" s="1"/>
  <c r="T123" i="9" s="1"/>
  <c r="T149" i="5" s="1"/>
  <c r="BM17" i="9"/>
  <c r="AQ17" i="9"/>
  <c r="O17" i="9"/>
  <c r="CC16" i="9"/>
  <c r="BC16" i="9"/>
  <c r="AA16" i="9"/>
  <c r="E16" i="9"/>
  <c r="BP10" i="9"/>
  <c r="BP11" i="9" s="1"/>
  <c r="BP12" i="9" s="1"/>
  <c r="BP13" i="9" s="1"/>
  <c r="BP39" i="5" s="1"/>
  <c r="AZ10" i="9"/>
  <c r="AZ11" i="9" s="1"/>
  <c r="AZ12" i="9" s="1"/>
  <c r="AZ13" i="9" s="1"/>
  <c r="AZ39" i="5" s="1"/>
  <c r="AJ10" i="9"/>
  <c r="AJ11" i="9" s="1"/>
  <c r="AJ12" i="9" s="1"/>
  <c r="AJ13" i="9" s="1"/>
  <c r="AJ39" i="5" s="1"/>
  <c r="T10" i="9"/>
  <c r="T11" i="9" s="1"/>
  <c r="T12" i="9" s="1"/>
  <c r="T13" i="9" s="1"/>
  <c r="T39" i="5" s="1"/>
  <c r="BU127" i="9"/>
  <c r="AE127" i="9"/>
  <c r="AX126" i="9"/>
  <c r="H126" i="9"/>
  <c r="BQ120" i="9"/>
  <c r="BQ121" i="9" s="1"/>
  <c r="BQ122" i="9" s="1"/>
  <c r="BQ123" i="9" s="1"/>
  <c r="BQ149" i="5" s="1"/>
  <c r="AP120" i="9"/>
  <c r="AP121" i="9" s="1"/>
  <c r="AP122" i="9" s="1"/>
  <c r="AP123" i="9" s="1"/>
  <c r="AP149" i="5" s="1"/>
  <c r="S120" i="9"/>
  <c r="S121" i="9" s="1"/>
  <c r="S122" i="9" s="1"/>
  <c r="S123" i="9" s="1"/>
  <c r="S149" i="5" s="1"/>
  <c r="BL17" i="9"/>
  <c r="AN17" i="9"/>
  <c r="N17" i="9"/>
  <c r="BY16" i="9"/>
  <c r="BB16" i="9"/>
  <c r="Z16" i="9"/>
  <c r="D16" i="9"/>
  <c r="CF10" i="9"/>
  <c r="CF11" i="9" s="1"/>
  <c r="CF12" i="9" s="1"/>
  <c r="CF13" i="9" s="1"/>
  <c r="CF39" i="5" s="1"/>
  <c r="BO10" i="9"/>
  <c r="BO11" i="9" s="1"/>
  <c r="BO12" i="9" s="1"/>
  <c r="BO13" i="9" s="1"/>
  <c r="BO39" i="5" s="1"/>
  <c r="AY10" i="9"/>
  <c r="AY11" i="9" s="1"/>
  <c r="AY12" i="9" s="1"/>
  <c r="AY13" i="9" s="1"/>
  <c r="AY39" i="5" s="1"/>
  <c r="AI10" i="9"/>
  <c r="AI11" i="9" s="1"/>
  <c r="AI12" i="9" s="1"/>
  <c r="AI13" i="9" s="1"/>
  <c r="AI39" i="5" s="1"/>
  <c r="S10" i="9"/>
  <c r="S11" i="9" s="1"/>
  <c r="S12" i="9" s="1"/>
  <c r="S13" i="9" s="1"/>
  <c r="S39" i="5" s="1"/>
  <c r="BT127" i="9"/>
  <c r="AA127" i="9"/>
  <c r="AW126" i="9"/>
  <c r="D126" i="9"/>
  <c r="BP120" i="9"/>
  <c r="BP121" i="9" s="1"/>
  <c r="BP122" i="9" s="1"/>
  <c r="BP123" i="9" s="1"/>
  <c r="BP149" i="5" s="1"/>
  <c r="AN120" i="9"/>
  <c r="AN121" i="9" s="1"/>
  <c r="AN122" i="9" s="1"/>
  <c r="AN123" i="9" s="1"/>
  <c r="AN149" i="5" s="1"/>
  <c r="R120" i="9"/>
  <c r="R121" i="9" s="1"/>
  <c r="R122" i="9" s="1"/>
  <c r="R123" i="9" s="1"/>
  <c r="R149" i="5" s="1"/>
  <c r="BK17" i="9"/>
  <c r="AJ17" i="9"/>
  <c r="M17" i="9"/>
  <c r="BW16" i="9"/>
  <c r="BA16" i="9"/>
  <c r="Y16" i="9"/>
  <c r="AB11" i="9"/>
  <c r="AB12" i="9" s="1"/>
  <c r="AB13" i="9" s="1"/>
  <c r="AB39" i="5" s="1"/>
  <c r="CE10" i="9"/>
  <c r="CE11" i="9" s="1"/>
  <c r="CE12" i="9" s="1"/>
  <c r="CE13" i="9" s="1"/>
  <c r="CE39" i="5" s="1"/>
  <c r="BN10" i="9"/>
  <c r="BN11" i="9" s="1"/>
  <c r="BN12" i="9" s="1"/>
  <c r="BN13" i="9" s="1"/>
  <c r="BN39" i="5" s="1"/>
  <c r="AX10" i="9"/>
  <c r="AX11" i="9" s="1"/>
  <c r="AX12" i="9" s="1"/>
  <c r="AX13" i="9" s="1"/>
  <c r="AX39" i="5" s="1"/>
  <c r="AH10" i="9"/>
  <c r="AH11" i="9" s="1"/>
  <c r="AH12" i="9" s="1"/>
  <c r="AH13" i="9" s="1"/>
  <c r="AH39" i="5" s="1"/>
  <c r="R10" i="9"/>
  <c r="R11" i="9" s="1"/>
  <c r="R12" i="9" s="1"/>
  <c r="R13" i="9" s="1"/>
  <c r="R39" i="5" s="1"/>
  <c r="W127" i="9"/>
  <c r="AJ126" i="9"/>
  <c r="AH17" i="9"/>
  <c r="BV16" i="9"/>
  <c r="BM10" i="9"/>
  <c r="BM11" i="9" s="1"/>
  <c r="BM12" i="9" s="1"/>
  <c r="BM13" i="9" s="1"/>
  <c r="BM39" i="5" s="1"/>
  <c r="P10" i="9"/>
  <c r="P11" i="9" s="1"/>
  <c r="S127" i="9"/>
  <c r="AG17" i="9"/>
  <c r="BU16" i="9"/>
  <c r="BL10" i="9"/>
  <c r="BL11" i="9" s="1"/>
  <c r="BL12" i="9" s="1"/>
  <c r="BL13" i="9" s="1"/>
  <c r="BL39" i="5" s="1"/>
  <c r="O10" i="9"/>
  <c r="O11" i="9" s="1"/>
  <c r="O12" i="9" s="1"/>
  <c r="O13" i="9" s="1"/>
  <c r="O39" i="5" s="1"/>
  <c r="AF17" i="9"/>
  <c r="BT16" i="9"/>
  <c r="BK10" i="9"/>
  <c r="BK11" i="9" s="1"/>
  <c r="BK12" i="9" s="1"/>
  <c r="BK13" i="9" s="1"/>
  <c r="BK39" i="5" s="1"/>
  <c r="N10" i="9"/>
  <c r="N11" i="9" s="1"/>
  <c r="N12" i="9" s="1"/>
  <c r="N13" i="9" s="1"/>
  <c r="N39" i="5" s="1"/>
  <c r="AE17" i="9"/>
  <c r="BS16" i="9"/>
  <c r="BJ10" i="9"/>
  <c r="BJ11" i="9" s="1"/>
  <c r="BJ12" i="9" s="1"/>
  <c r="BJ13" i="9" s="1"/>
  <c r="BJ39" i="5" s="1"/>
  <c r="F10" i="9"/>
  <c r="F11" i="9" s="1"/>
  <c r="F12" i="9" s="1"/>
  <c r="F13" i="9" s="1"/>
  <c r="F39" i="5" s="1"/>
  <c r="BO120" i="9"/>
  <c r="BO121" i="9" s="1"/>
  <c r="BO122" i="9" s="1"/>
  <c r="BO123" i="9" s="1"/>
  <c r="BO149" i="5" s="1"/>
  <c r="L17" i="9"/>
  <c r="AZ16" i="9"/>
  <c r="BB10" i="9"/>
  <c r="BB11" i="9" s="1"/>
  <c r="BB12" i="9" s="1"/>
  <c r="BB13" i="9" s="1"/>
  <c r="BB39" i="5" s="1"/>
  <c r="BN120" i="9"/>
  <c r="BN121" i="9" s="1"/>
  <c r="BN122" i="9" s="1"/>
  <c r="BN123" i="9" s="1"/>
  <c r="BN149" i="5" s="1"/>
  <c r="K17" i="9"/>
  <c r="AW16" i="9"/>
  <c r="AW10" i="9"/>
  <c r="AW11" i="9" s="1"/>
  <c r="AW12" i="9" s="1"/>
  <c r="AW13" i="9" s="1"/>
  <c r="AW39" i="5" s="1"/>
  <c r="BM120" i="9"/>
  <c r="BM121" i="9" s="1"/>
  <c r="BM122" i="9" s="1"/>
  <c r="BM123" i="9" s="1"/>
  <c r="BM149" i="5" s="1"/>
  <c r="H17" i="9"/>
  <c r="AS16" i="9"/>
  <c r="AV10" i="9"/>
  <c r="AV11" i="9" s="1"/>
  <c r="AV12" i="9" s="1"/>
  <c r="AV13" i="9" s="1"/>
  <c r="AV39" i="5" s="1"/>
  <c r="Y121" i="9"/>
  <c r="Y122" i="9" s="1"/>
  <c r="Y123" i="9" s="1"/>
  <c r="Y149" i="5" s="1"/>
  <c r="BJ120" i="9"/>
  <c r="BJ121" i="9" s="1"/>
  <c r="BJ122" i="9" s="1"/>
  <c r="BJ123" i="9" s="1"/>
  <c r="BJ149" i="5" s="1"/>
  <c r="D17" i="9"/>
  <c r="AQ16" i="9"/>
  <c r="AU10" i="9"/>
  <c r="AU11" i="9" s="1"/>
  <c r="AU12" i="9" s="1"/>
  <c r="AU13" i="9" s="1"/>
  <c r="AU39" i="5" s="1"/>
  <c r="AM120" i="9"/>
  <c r="AM121" i="9" s="1"/>
  <c r="AM122" i="9" s="1"/>
  <c r="AM123" i="9" s="1"/>
  <c r="AM149" i="5" s="1"/>
  <c r="X16" i="9"/>
  <c r="AT10" i="9"/>
  <c r="AT11" i="9" s="1"/>
  <c r="AT12" i="9" s="1"/>
  <c r="AT13" i="9" s="1"/>
  <c r="AT39" i="5" s="1"/>
  <c r="AL120" i="9"/>
  <c r="AL121" i="9" s="1"/>
  <c r="AL122" i="9" s="1"/>
  <c r="AL123" i="9" s="1"/>
  <c r="AL149" i="5" s="1"/>
  <c r="CF17" i="9"/>
  <c r="W16" i="9"/>
  <c r="AL10" i="9"/>
  <c r="AL11" i="9" s="1"/>
  <c r="AL12" i="9" s="1"/>
  <c r="AL13" i="9" s="1"/>
  <c r="AL39" i="5" s="1"/>
  <c r="BS127" i="9"/>
  <c r="CF126" i="9"/>
  <c r="AK120" i="9"/>
  <c r="AK121" i="9" s="1"/>
  <c r="AK122" i="9" s="1"/>
  <c r="AK123" i="9" s="1"/>
  <c r="AK149" i="5" s="1"/>
  <c r="CD17" i="9"/>
  <c r="V16" i="9"/>
  <c r="AG10" i="9"/>
  <c r="AG11" i="9" s="1"/>
  <c r="AG12" i="9" s="1"/>
  <c r="AG13" i="9" s="1"/>
  <c r="AG39" i="5" s="1"/>
  <c r="BO127" i="9"/>
  <c r="CD126" i="9"/>
  <c r="AJ120" i="9"/>
  <c r="AJ121" i="9" s="1"/>
  <c r="AJ122" i="9" s="1"/>
  <c r="AJ123" i="9" s="1"/>
  <c r="AJ149" i="5" s="1"/>
  <c r="CC17" i="9"/>
  <c r="U16" i="9"/>
  <c r="CD10" i="9"/>
  <c r="CD11" i="9" s="1"/>
  <c r="CD12" i="9" s="1"/>
  <c r="CD13" i="9" s="1"/>
  <c r="CD39" i="5" s="1"/>
  <c r="AF10" i="9"/>
  <c r="AF11" i="9" s="1"/>
  <c r="AF12" i="9" s="1"/>
  <c r="AF13" i="9" s="1"/>
  <c r="AF39" i="5" s="1"/>
  <c r="BK127" i="9"/>
  <c r="CC126" i="9"/>
  <c r="Q120" i="9"/>
  <c r="Q121" i="9" s="1"/>
  <c r="Q122" i="9" s="1"/>
  <c r="Q123" i="9" s="1"/>
  <c r="Q149" i="5" s="1"/>
  <c r="BJ17" i="9"/>
  <c r="CC10" i="9"/>
  <c r="CC11" i="9" s="1"/>
  <c r="CC12" i="9" s="1"/>
  <c r="CC13" i="9" s="1"/>
  <c r="CC39" i="5" s="1"/>
  <c r="AE10" i="9"/>
  <c r="AE11" i="9" s="1"/>
  <c r="AE12" i="9" s="1"/>
  <c r="AE13" i="9" s="1"/>
  <c r="AE39" i="5" s="1"/>
  <c r="BG127" i="9"/>
  <c r="AV126" i="9"/>
  <c r="N120" i="9"/>
  <c r="N121" i="9" s="1"/>
  <c r="N122" i="9" s="1"/>
  <c r="N123" i="9" s="1"/>
  <c r="N149" i="5" s="1"/>
  <c r="BI17" i="9"/>
  <c r="CB10" i="9"/>
  <c r="CB11" i="9" s="1"/>
  <c r="CB12" i="9" s="1"/>
  <c r="CB13" i="9" s="1"/>
  <c r="CB39" i="5" s="1"/>
  <c r="AD10" i="9"/>
  <c r="AD11" i="9" s="1"/>
  <c r="AD12" i="9" s="1"/>
  <c r="AD13" i="9" s="1"/>
  <c r="AD39" i="5" s="1"/>
  <c r="Y127" i="9"/>
  <c r="AR126" i="9"/>
  <c r="J120" i="9"/>
  <c r="J121" i="9" s="1"/>
  <c r="J122" i="9" s="1"/>
  <c r="J123" i="9" s="1"/>
  <c r="J149" i="5" s="1"/>
  <c r="BH17" i="9"/>
  <c r="AO12" i="9"/>
  <c r="AO13" i="9" s="1"/>
  <c r="AO39" i="5" s="1"/>
  <c r="BU11" i="9"/>
  <c r="BU12" i="9" s="1"/>
  <c r="BU13" i="9" s="1"/>
  <c r="BU39" i="5" s="1"/>
  <c r="CA10" i="9"/>
  <c r="CA11" i="9" s="1"/>
  <c r="CA12" i="9" s="1"/>
  <c r="CA13" i="9" s="1"/>
  <c r="CA39" i="5" s="1"/>
  <c r="V10" i="9"/>
  <c r="V11" i="9" s="1"/>
  <c r="V12" i="9" s="1"/>
  <c r="V13" i="9" s="1"/>
  <c r="V39" i="5" s="1"/>
  <c r="X127" i="9"/>
  <c r="AN126" i="9"/>
  <c r="H120" i="9"/>
  <c r="H121" i="9" s="1"/>
  <c r="H122" i="9" s="1"/>
  <c r="H123" i="9" s="1"/>
  <c r="H149" i="5" s="1"/>
  <c r="BG17" i="9"/>
  <c r="BR10" i="9"/>
  <c r="BR11" i="9" s="1"/>
  <c r="BR12" i="9" s="1"/>
  <c r="BR13" i="9" s="1"/>
  <c r="BR39" i="5" s="1"/>
  <c r="Q10" i="9"/>
  <c r="Q11" i="9" s="1"/>
  <c r="Q12" i="9" s="1"/>
  <c r="Q13" i="9" s="1"/>
  <c r="Q39" i="5" s="1"/>
  <c r="K153" i="6"/>
  <c r="D152" i="6"/>
  <c r="M151" i="6"/>
  <c r="BV130" i="6"/>
  <c r="BF130" i="6"/>
  <c r="AP130" i="6"/>
  <c r="Z130" i="6"/>
  <c r="J130" i="6"/>
  <c r="J153" i="6"/>
  <c r="L151" i="6"/>
  <c r="BU130" i="6"/>
  <c r="BE130" i="6"/>
  <c r="AO130" i="6"/>
  <c r="Y130" i="6"/>
  <c r="I130" i="6"/>
  <c r="I153" i="6"/>
  <c r="K151" i="6"/>
  <c r="BT130" i="6"/>
  <c r="BD130" i="6"/>
  <c r="AN130" i="6"/>
  <c r="X130" i="6"/>
  <c r="H130" i="6"/>
  <c r="H153" i="6"/>
  <c r="J151" i="6"/>
  <c r="BS130" i="6"/>
  <c r="BC130" i="6"/>
  <c r="AM130" i="6"/>
  <c r="W130" i="6"/>
  <c r="G130" i="6"/>
  <c r="G153" i="6"/>
  <c r="P152" i="6"/>
  <c r="I151" i="6"/>
  <c r="BR130" i="6"/>
  <c r="BB130" i="6"/>
  <c r="AL130" i="6"/>
  <c r="V130" i="6"/>
  <c r="F130" i="6"/>
  <c r="F153" i="6"/>
  <c r="O152" i="6"/>
  <c r="H151" i="6"/>
  <c r="BQ130" i="6"/>
  <c r="BA130" i="6"/>
  <c r="AK130" i="6"/>
  <c r="E153" i="6"/>
  <c r="N152" i="6"/>
  <c r="G151" i="6"/>
  <c r="CF130" i="6"/>
  <c r="BP130" i="6"/>
  <c r="AZ130" i="6"/>
  <c r="AJ130" i="6"/>
  <c r="T130" i="6"/>
  <c r="D130" i="6"/>
  <c r="D153" i="6"/>
  <c r="M152" i="6"/>
  <c r="F151" i="6"/>
  <c r="CE130" i="6"/>
  <c r="BO130" i="6"/>
  <c r="AY130" i="6"/>
  <c r="AI130" i="6"/>
  <c r="S130" i="6"/>
  <c r="L152" i="6"/>
  <c r="E151" i="6"/>
  <c r="CD130" i="6"/>
  <c r="BN130" i="6"/>
  <c r="K152" i="6"/>
  <c r="D151" i="6"/>
  <c r="P153" i="6"/>
  <c r="I152" i="6"/>
  <c r="CA130" i="6"/>
  <c r="BK130" i="6"/>
  <c r="AU130" i="6"/>
  <c r="AE130" i="6"/>
  <c r="O130" i="6"/>
  <c r="N153" i="6"/>
  <c r="G152" i="6"/>
  <c r="P151" i="6"/>
  <c r="L153" i="6"/>
  <c r="BG130" i="6"/>
  <c r="R130" i="6"/>
  <c r="O125" i="6"/>
  <c r="O127" i="6" s="1"/>
  <c r="BT124" i="6"/>
  <c r="BT125" i="6" s="1"/>
  <c r="BT127" i="6" s="1"/>
  <c r="BD124" i="6"/>
  <c r="BD125" i="6" s="1"/>
  <c r="BD127" i="6" s="1"/>
  <c r="AN124" i="6"/>
  <c r="AN125" i="6" s="1"/>
  <c r="AN127" i="6" s="1"/>
  <c r="X124" i="6"/>
  <c r="X125" i="6" s="1"/>
  <c r="X127" i="6" s="1"/>
  <c r="H124" i="6"/>
  <c r="AX130" i="6"/>
  <c r="Q130" i="6"/>
  <c r="N125" i="6"/>
  <c r="N127" i="6" s="1"/>
  <c r="BS124" i="6"/>
  <c r="BS125" i="6" s="1"/>
  <c r="BS127" i="6" s="1"/>
  <c r="BC124" i="6"/>
  <c r="BC125" i="6" s="1"/>
  <c r="BC127" i="6" s="1"/>
  <c r="AM124" i="6"/>
  <c r="AM125" i="6" s="1"/>
  <c r="AM127" i="6" s="1"/>
  <c r="W124" i="6"/>
  <c r="W125" i="6" s="1"/>
  <c r="W127" i="6" s="1"/>
  <c r="G124" i="6"/>
  <c r="AW130" i="6"/>
  <c r="P130" i="6"/>
  <c r="M125" i="6"/>
  <c r="M127" i="6" s="1"/>
  <c r="BR124" i="6"/>
  <c r="BR125" i="6" s="1"/>
  <c r="BR127" i="6" s="1"/>
  <c r="BB124" i="6"/>
  <c r="BB125" i="6" s="1"/>
  <c r="BB127" i="6" s="1"/>
  <c r="AL124" i="6"/>
  <c r="AL125" i="6" s="1"/>
  <c r="AL127" i="6" s="1"/>
  <c r="V124" i="6"/>
  <c r="V125" i="6" s="1"/>
  <c r="V127" i="6" s="1"/>
  <c r="F124" i="6"/>
  <c r="AV130" i="6"/>
  <c r="N130" i="6"/>
  <c r="L125" i="6"/>
  <c r="L127" i="6" s="1"/>
  <c r="BQ124" i="6"/>
  <c r="BQ125" i="6" s="1"/>
  <c r="BQ127" i="6" s="1"/>
  <c r="BA124" i="6"/>
  <c r="BA125" i="6" s="1"/>
  <c r="BA127" i="6" s="1"/>
  <c r="AK124" i="6"/>
  <c r="AK125" i="6" s="1"/>
  <c r="AK127" i="6" s="1"/>
  <c r="U124" i="6"/>
  <c r="U125" i="6" s="1"/>
  <c r="U127" i="6" s="1"/>
  <c r="E124" i="6"/>
  <c r="AT130" i="6"/>
  <c r="M130" i="6"/>
  <c r="K125" i="6"/>
  <c r="K127" i="6" s="1"/>
  <c r="CF124" i="6"/>
  <c r="CF125" i="6" s="1"/>
  <c r="CF127" i="6" s="1"/>
  <c r="BP124" i="6"/>
  <c r="BP125" i="6" s="1"/>
  <c r="BP127" i="6" s="1"/>
  <c r="AZ124" i="6"/>
  <c r="AZ125" i="6" s="1"/>
  <c r="AZ127" i="6" s="1"/>
  <c r="AJ124" i="6"/>
  <c r="AJ125" i="6" s="1"/>
  <c r="AJ127" i="6" s="1"/>
  <c r="T124" i="6"/>
  <c r="T125" i="6" s="1"/>
  <c r="T127" i="6" s="1"/>
  <c r="D124" i="6"/>
  <c r="CC130" i="6"/>
  <c r="AS130" i="6"/>
  <c r="L130" i="6"/>
  <c r="J125" i="6"/>
  <c r="J127" i="6" s="1"/>
  <c r="CE124" i="6"/>
  <c r="CE125" i="6" s="1"/>
  <c r="CE127" i="6" s="1"/>
  <c r="BO124" i="6"/>
  <c r="BO125" i="6" s="1"/>
  <c r="BO127" i="6" s="1"/>
  <c r="AY124" i="6"/>
  <c r="AY125" i="6" s="1"/>
  <c r="AY127" i="6" s="1"/>
  <c r="AI124" i="6"/>
  <c r="AI125" i="6" s="1"/>
  <c r="AI127" i="6" s="1"/>
  <c r="S124" i="6"/>
  <c r="S125" i="6" s="1"/>
  <c r="S127" i="6" s="1"/>
  <c r="CB130" i="6"/>
  <c r="AR130" i="6"/>
  <c r="K130" i="6"/>
  <c r="I125" i="6"/>
  <c r="I127" i="6" s="1"/>
  <c r="CD124" i="6"/>
  <c r="CD125" i="6" s="1"/>
  <c r="CD127" i="6" s="1"/>
  <c r="BN124" i="6"/>
  <c r="BN125" i="6" s="1"/>
  <c r="BN127" i="6" s="1"/>
  <c r="AX124" i="6"/>
  <c r="AX125" i="6" s="1"/>
  <c r="AX127" i="6" s="1"/>
  <c r="AH124" i="6"/>
  <c r="AH125" i="6" s="1"/>
  <c r="AH127" i="6" s="1"/>
  <c r="R124" i="6"/>
  <c r="R125" i="6" s="1"/>
  <c r="R127" i="6" s="1"/>
  <c r="O151" i="6"/>
  <c r="BZ130" i="6"/>
  <c r="AQ130" i="6"/>
  <c r="E130" i="6"/>
  <c r="H125" i="6"/>
  <c r="H127" i="6" s="1"/>
  <c r="CC124" i="6"/>
  <c r="CC125" i="6" s="1"/>
  <c r="CC127" i="6" s="1"/>
  <c r="BM124" i="6"/>
  <c r="BM125" i="6" s="1"/>
  <c r="BM127" i="6" s="1"/>
  <c r="AW124" i="6"/>
  <c r="AW125" i="6" s="1"/>
  <c r="AW127" i="6" s="1"/>
  <c r="AG124" i="6"/>
  <c r="AG125" i="6" s="1"/>
  <c r="AG127" i="6" s="1"/>
  <c r="Q124" i="6"/>
  <c r="Q125" i="6" s="1"/>
  <c r="Q127" i="6" s="1"/>
  <c r="N151" i="6"/>
  <c r="BY130" i="6"/>
  <c r="AH130" i="6"/>
  <c r="G125" i="6"/>
  <c r="G127" i="6" s="1"/>
  <c r="CB124" i="6"/>
  <c r="CB125" i="6" s="1"/>
  <c r="CB127" i="6" s="1"/>
  <c r="BL124" i="6"/>
  <c r="BL125" i="6" s="1"/>
  <c r="BL127" i="6" s="1"/>
  <c r="AV124" i="6"/>
  <c r="AV125" i="6" s="1"/>
  <c r="AV127" i="6" s="1"/>
  <c r="AF124" i="6"/>
  <c r="AF125" i="6" s="1"/>
  <c r="AF127" i="6" s="1"/>
  <c r="P124" i="6"/>
  <c r="J152" i="6"/>
  <c r="BX130" i="6"/>
  <c r="AG130" i="6"/>
  <c r="F125" i="6"/>
  <c r="F127" i="6" s="1"/>
  <c r="CA124" i="6"/>
  <c r="CA125" i="6" s="1"/>
  <c r="CA127" i="6" s="1"/>
  <c r="BK124" i="6"/>
  <c r="BK125" i="6" s="1"/>
  <c r="BK127" i="6" s="1"/>
  <c r="AU124" i="6"/>
  <c r="AU125" i="6" s="1"/>
  <c r="AU127" i="6" s="1"/>
  <c r="AE124" i="6"/>
  <c r="AE125" i="6" s="1"/>
  <c r="AE127" i="6" s="1"/>
  <c r="O124" i="6"/>
  <c r="H152" i="6"/>
  <c r="BW130" i="6"/>
  <c r="AF130" i="6"/>
  <c r="E125" i="6"/>
  <c r="E127" i="6" s="1"/>
  <c r="BZ124" i="6"/>
  <c r="BZ125" i="6" s="1"/>
  <c r="BZ127" i="6" s="1"/>
  <c r="BJ124" i="6"/>
  <c r="BJ125" i="6" s="1"/>
  <c r="BJ127" i="6" s="1"/>
  <c r="AT124" i="6"/>
  <c r="AT125" i="6" s="1"/>
  <c r="AT127" i="6" s="1"/>
  <c r="AD124" i="6"/>
  <c r="AD125" i="6" s="1"/>
  <c r="AD127" i="6" s="1"/>
  <c r="N124" i="6"/>
  <c r="F152" i="6"/>
  <c r="BM130" i="6"/>
  <c r="AD130" i="6"/>
  <c r="D125" i="6"/>
  <c r="D127" i="6" s="1"/>
  <c r="BY124" i="6"/>
  <c r="BY125" i="6" s="1"/>
  <c r="BY127" i="6" s="1"/>
  <c r="BI124" i="6"/>
  <c r="BI125" i="6" s="1"/>
  <c r="BI127" i="6" s="1"/>
  <c r="AS124" i="6"/>
  <c r="AS125" i="6" s="1"/>
  <c r="AS127" i="6" s="1"/>
  <c r="AC124" i="6"/>
  <c r="AC125" i="6" s="1"/>
  <c r="AC127" i="6" s="1"/>
  <c r="M124" i="6"/>
  <c r="E152" i="6"/>
  <c r="BL130" i="6"/>
  <c r="AC130" i="6"/>
  <c r="BX124" i="6"/>
  <c r="BX125" i="6" s="1"/>
  <c r="BX127" i="6" s="1"/>
  <c r="BH124" i="6"/>
  <c r="BH125" i="6" s="1"/>
  <c r="BH127" i="6" s="1"/>
  <c r="AR124" i="6"/>
  <c r="AR125" i="6" s="1"/>
  <c r="AR127" i="6" s="1"/>
  <c r="AB124" i="6"/>
  <c r="AB125" i="6" s="1"/>
  <c r="AB127" i="6" s="1"/>
  <c r="L124" i="6"/>
  <c r="M153" i="6"/>
  <c r="BH130" i="6"/>
  <c r="U130" i="6"/>
  <c r="P125" i="6"/>
  <c r="P127" i="6" s="1"/>
  <c r="BU124" i="6"/>
  <c r="BU125" i="6" s="1"/>
  <c r="BU127" i="6" s="1"/>
  <c r="BE124" i="6"/>
  <c r="BE125" i="6" s="1"/>
  <c r="BE127" i="6" s="1"/>
  <c r="AO124" i="6"/>
  <c r="AO125" i="6" s="1"/>
  <c r="AO127" i="6" s="1"/>
  <c r="Y124" i="6"/>
  <c r="Y125" i="6" s="1"/>
  <c r="Y127" i="6" s="1"/>
  <c r="I124" i="6"/>
  <c r="J124" i="6"/>
  <c r="F43" i="6"/>
  <c r="O42" i="6"/>
  <c r="H41" i="6"/>
  <c r="O153" i="6"/>
  <c r="E43" i="6"/>
  <c r="N42" i="6"/>
  <c r="G41" i="6"/>
  <c r="BJ130" i="6"/>
  <c r="D43" i="6"/>
  <c r="M42" i="6"/>
  <c r="F41" i="6"/>
  <c r="BI130" i="6"/>
  <c r="L42" i="6"/>
  <c r="E41" i="6"/>
  <c r="AB130" i="6"/>
  <c r="K42" i="6"/>
  <c r="D41" i="6"/>
  <c r="P43" i="6"/>
  <c r="I42" i="6"/>
  <c r="BW124" i="6"/>
  <c r="BW125" i="6" s="1"/>
  <c r="BW127" i="6" s="1"/>
  <c r="O43" i="6"/>
  <c r="H42" i="6"/>
  <c r="BV124" i="6"/>
  <c r="BV125" i="6" s="1"/>
  <c r="BV127" i="6" s="1"/>
  <c r="N43" i="6"/>
  <c r="G42" i="6"/>
  <c r="P41" i="6"/>
  <c r="BG124" i="6"/>
  <c r="BG125" i="6" s="1"/>
  <c r="BG127" i="6" s="1"/>
  <c r="AQ124" i="6"/>
  <c r="AQ125" i="6" s="1"/>
  <c r="AQ127" i="6" s="1"/>
  <c r="K43" i="6"/>
  <c r="D42" i="6"/>
  <c r="M41" i="6"/>
  <c r="AP124" i="6"/>
  <c r="AP125" i="6" s="1"/>
  <c r="AP127" i="6" s="1"/>
  <c r="AA124" i="6"/>
  <c r="AA125" i="6" s="1"/>
  <c r="AA127" i="6" s="1"/>
  <c r="I43" i="6"/>
  <c r="K41" i="6"/>
  <c r="K124" i="6"/>
  <c r="G43" i="6"/>
  <c r="P42" i="6"/>
  <c r="I41" i="6"/>
  <c r="AA130" i="6"/>
  <c r="M43" i="6"/>
  <c r="BZ20" i="6"/>
  <c r="BJ20" i="6"/>
  <c r="AT20" i="6"/>
  <c r="AD20" i="6"/>
  <c r="N20" i="6"/>
  <c r="K15" i="6"/>
  <c r="K17" i="6" s="1"/>
  <c r="CF14" i="6"/>
  <c r="CF15" i="6" s="1"/>
  <c r="CF17" i="6" s="1"/>
  <c r="BP14" i="6"/>
  <c r="BP15" i="6" s="1"/>
  <c r="BP17" i="6" s="1"/>
  <c r="AZ14" i="6"/>
  <c r="AZ15" i="6" s="1"/>
  <c r="AZ17" i="6" s="1"/>
  <c r="AJ14" i="6"/>
  <c r="AJ15" i="6" s="1"/>
  <c r="AJ17" i="6" s="1"/>
  <c r="T14" i="6"/>
  <c r="T15" i="6" s="1"/>
  <c r="T17" i="6" s="1"/>
  <c r="D14" i="6"/>
  <c r="L43" i="6"/>
  <c r="BY20" i="6"/>
  <c r="BI20" i="6"/>
  <c r="AS20" i="6"/>
  <c r="AC20" i="6"/>
  <c r="M20" i="6"/>
  <c r="J15" i="6"/>
  <c r="J17" i="6" s="1"/>
  <c r="CE14" i="6"/>
  <c r="CE15" i="6" s="1"/>
  <c r="CE17" i="6" s="1"/>
  <c r="BO14" i="6"/>
  <c r="BO15" i="6" s="1"/>
  <c r="BO17" i="6" s="1"/>
  <c r="AY14" i="6"/>
  <c r="AY15" i="6" s="1"/>
  <c r="AY17" i="6" s="1"/>
  <c r="AI14" i="6"/>
  <c r="AI15" i="6" s="1"/>
  <c r="AI17" i="6" s="1"/>
  <c r="S14" i="6"/>
  <c r="S15" i="6" s="1"/>
  <c r="S17" i="6" s="1"/>
  <c r="J43" i="6"/>
  <c r="J42" i="6"/>
  <c r="O41" i="6"/>
  <c r="BX20" i="6"/>
  <c r="BH20" i="6"/>
  <c r="AR20" i="6"/>
  <c r="AB20" i="6"/>
  <c r="L20" i="6"/>
  <c r="I15" i="6"/>
  <c r="I17" i="6" s="1"/>
  <c r="CD14" i="6"/>
  <c r="CD15" i="6" s="1"/>
  <c r="CD17" i="6" s="1"/>
  <c r="BN14" i="6"/>
  <c r="BN15" i="6" s="1"/>
  <c r="BN17" i="6" s="1"/>
  <c r="AX14" i="6"/>
  <c r="AX15" i="6" s="1"/>
  <c r="AX17" i="6" s="1"/>
  <c r="AH14" i="6"/>
  <c r="AH15" i="6" s="1"/>
  <c r="AH17" i="6" s="1"/>
  <c r="R14" i="6"/>
  <c r="R15" i="6" s="1"/>
  <c r="R17" i="6" s="1"/>
  <c r="H43" i="6"/>
  <c r="F42" i="6"/>
  <c r="N41" i="6"/>
  <c r="BW20" i="6"/>
  <c r="BG20" i="6"/>
  <c r="AQ20" i="6"/>
  <c r="AA20" i="6"/>
  <c r="K20" i="6"/>
  <c r="H15" i="6"/>
  <c r="H17" i="6" s="1"/>
  <c r="CC14" i="6"/>
  <c r="CC15" i="6" s="1"/>
  <c r="CC17" i="6" s="1"/>
  <c r="BM14" i="6"/>
  <c r="BM15" i="6" s="1"/>
  <c r="BM17" i="6" s="1"/>
  <c r="AW14" i="6"/>
  <c r="AW15" i="6" s="1"/>
  <c r="AW17" i="6" s="1"/>
  <c r="AG14" i="6"/>
  <c r="AG15" i="6" s="1"/>
  <c r="AG17" i="6" s="1"/>
  <c r="Q14" i="6"/>
  <c r="Q15" i="6" s="1"/>
  <c r="Q17" i="6" s="1"/>
  <c r="E42" i="6"/>
  <c r="L41" i="6"/>
  <c r="BV20" i="6"/>
  <c r="BF20" i="6"/>
  <c r="AP20" i="6"/>
  <c r="Z20" i="6"/>
  <c r="J20" i="6"/>
  <c r="G15" i="6"/>
  <c r="G17" i="6" s="1"/>
  <c r="CB14" i="6"/>
  <c r="CB15" i="6" s="1"/>
  <c r="CB17" i="6" s="1"/>
  <c r="BL14" i="6"/>
  <c r="BL15" i="6" s="1"/>
  <c r="BL17" i="6" s="1"/>
  <c r="AV14" i="6"/>
  <c r="AV15" i="6" s="1"/>
  <c r="AV17" i="6" s="1"/>
  <c r="AF14" i="6"/>
  <c r="AF15" i="6" s="1"/>
  <c r="AF17" i="6" s="1"/>
  <c r="P14" i="6"/>
  <c r="J41" i="6"/>
  <c r="BU20" i="6"/>
  <c r="BE20" i="6"/>
  <c r="AO20" i="6"/>
  <c r="Y20" i="6"/>
  <c r="I20" i="6"/>
  <c r="F15" i="6"/>
  <c r="F17" i="6" s="1"/>
  <c r="CA14" i="6"/>
  <c r="CA15" i="6" s="1"/>
  <c r="CA17" i="6" s="1"/>
  <c r="BK14" i="6"/>
  <c r="BK15" i="6" s="1"/>
  <c r="BK17" i="6" s="1"/>
  <c r="AU14" i="6"/>
  <c r="AU15" i="6" s="1"/>
  <c r="AU17" i="6" s="1"/>
  <c r="AE14" i="6"/>
  <c r="AE15" i="6" s="1"/>
  <c r="AE17" i="6" s="1"/>
  <c r="O14" i="6"/>
  <c r="BT20" i="6"/>
  <c r="BD20" i="6"/>
  <c r="AN20" i="6"/>
  <c r="X20" i="6"/>
  <c r="H20" i="6"/>
  <c r="E15" i="6"/>
  <c r="E17" i="6" s="1"/>
  <c r="BZ14" i="6"/>
  <c r="BZ15" i="6" s="1"/>
  <c r="BZ17" i="6" s="1"/>
  <c r="BJ14" i="6"/>
  <c r="BJ15" i="6" s="1"/>
  <c r="BJ17" i="6" s="1"/>
  <c r="AT14" i="6"/>
  <c r="AT15" i="6" s="1"/>
  <c r="AT17" i="6" s="1"/>
  <c r="AD14" i="6"/>
  <c r="AD15" i="6" s="1"/>
  <c r="AD17" i="6" s="1"/>
  <c r="N14" i="6"/>
  <c r="BS20" i="6"/>
  <c r="BC20" i="6"/>
  <c r="AM20" i="6"/>
  <c r="W20" i="6"/>
  <c r="G20" i="6"/>
  <c r="D15" i="6"/>
  <c r="D17" i="6" s="1"/>
  <c r="BY14" i="6"/>
  <c r="BY15" i="6" s="1"/>
  <c r="BY17" i="6" s="1"/>
  <c r="BI14" i="6"/>
  <c r="BI15" i="6" s="1"/>
  <c r="BI17" i="6" s="1"/>
  <c r="AS14" i="6"/>
  <c r="AS15" i="6" s="1"/>
  <c r="AS17" i="6" s="1"/>
  <c r="AC14" i="6"/>
  <c r="AC15" i="6" s="1"/>
  <c r="AC17" i="6" s="1"/>
  <c r="M14" i="6"/>
  <c r="BR20" i="6"/>
  <c r="BB20" i="6"/>
  <c r="AL20" i="6"/>
  <c r="V20" i="6"/>
  <c r="F20" i="6"/>
  <c r="BX14" i="6"/>
  <c r="BX15" i="6" s="1"/>
  <c r="BX17" i="6" s="1"/>
  <c r="BH14" i="6"/>
  <c r="BH15" i="6" s="1"/>
  <c r="BH17" i="6" s="1"/>
  <c r="AR14" i="6"/>
  <c r="AR15" i="6" s="1"/>
  <c r="AR17" i="6" s="1"/>
  <c r="AB14" i="6"/>
  <c r="AB15" i="6" s="1"/>
  <c r="AB17" i="6" s="1"/>
  <c r="L14" i="6"/>
  <c r="BF124" i="6"/>
  <c r="BF125" i="6" s="1"/>
  <c r="BF127" i="6" s="1"/>
  <c r="CE20" i="6"/>
  <c r="BO20" i="6"/>
  <c r="AY20" i="6"/>
  <c r="AI20" i="6"/>
  <c r="S20" i="6"/>
  <c r="P15" i="6"/>
  <c r="P17" i="6" s="1"/>
  <c r="BU14" i="6"/>
  <c r="BU15" i="6" s="1"/>
  <c r="BU17" i="6" s="1"/>
  <c r="BE14" i="6"/>
  <c r="BE15" i="6" s="1"/>
  <c r="BE17" i="6" s="1"/>
  <c r="AO14" i="6"/>
  <c r="AO15" i="6" s="1"/>
  <c r="AO17" i="6" s="1"/>
  <c r="Y14" i="6"/>
  <c r="Y15" i="6" s="1"/>
  <c r="Y17" i="6" s="1"/>
  <c r="I14" i="6"/>
  <c r="CD20" i="6"/>
  <c r="BN20" i="6"/>
  <c r="AX20" i="6"/>
  <c r="AH20" i="6"/>
  <c r="R20" i="6"/>
  <c r="O15" i="6"/>
  <c r="O17" i="6" s="1"/>
  <c r="BT14" i="6"/>
  <c r="BT15" i="6" s="1"/>
  <c r="BT17" i="6" s="1"/>
  <c r="BD14" i="6"/>
  <c r="BD15" i="6" s="1"/>
  <c r="BD17" i="6" s="1"/>
  <c r="AN14" i="6"/>
  <c r="AN15" i="6" s="1"/>
  <c r="AN17" i="6" s="1"/>
  <c r="X14" i="6"/>
  <c r="X15" i="6" s="1"/>
  <c r="X17" i="6" s="1"/>
  <c r="H14" i="6"/>
  <c r="CC20" i="6"/>
  <c r="BM20" i="6"/>
  <c r="AW20" i="6"/>
  <c r="AG20" i="6"/>
  <c r="Q20" i="6"/>
  <c r="N15" i="6"/>
  <c r="N17" i="6" s="1"/>
  <c r="BS14" i="6"/>
  <c r="BS15" i="6" s="1"/>
  <c r="BS17" i="6" s="1"/>
  <c r="BC14" i="6"/>
  <c r="BC15" i="6" s="1"/>
  <c r="BC17" i="6" s="1"/>
  <c r="AM14" i="6"/>
  <c r="AM15" i="6" s="1"/>
  <c r="AM17" i="6" s="1"/>
  <c r="W14" i="6"/>
  <c r="W15" i="6" s="1"/>
  <c r="W17" i="6" s="1"/>
  <c r="G14" i="6"/>
  <c r="CA20" i="6"/>
  <c r="BK20" i="6"/>
  <c r="AU20" i="6"/>
  <c r="AE20" i="6"/>
  <c r="O20" i="6"/>
  <c r="L15" i="6"/>
  <c r="L17" i="6" s="1"/>
  <c r="BQ14" i="6"/>
  <c r="BQ15" i="6" s="1"/>
  <c r="BQ17" i="6" s="1"/>
  <c r="BA14" i="6"/>
  <c r="BA15" i="6" s="1"/>
  <c r="BA17" i="6" s="1"/>
  <c r="AK14" i="6"/>
  <c r="AK15" i="6" s="1"/>
  <c r="AK17" i="6" s="1"/>
  <c r="U14" i="6"/>
  <c r="U15" i="6" s="1"/>
  <c r="U17" i="6" s="1"/>
  <c r="E14" i="6"/>
  <c r="BA20" i="6"/>
  <c r="AA14" i="6"/>
  <c r="AA15" i="6" s="1"/>
  <c r="AA17" i="6" s="1"/>
  <c r="BR154" i="5"/>
  <c r="BB154" i="5"/>
  <c r="AL154" i="5"/>
  <c r="BX148" i="5"/>
  <c r="BH148" i="5"/>
  <c r="AR148" i="5"/>
  <c r="AB148" i="5"/>
  <c r="L148" i="5"/>
  <c r="AZ20" i="6"/>
  <c r="Z14" i="6"/>
  <c r="Z15" i="6" s="1"/>
  <c r="Z17" i="6" s="1"/>
  <c r="BQ154" i="5"/>
  <c r="BA154" i="5"/>
  <c r="AK154" i="5"/>
  <c r="BW148" i="5"/>
  <c r="BG148" i="5"/>
  <c r="AQ148" i="5"/>
  <c r="AA148" i="5"/>
  <c r="K148" i="5"/>
  <c r="CB44" i="5"/>
  <c r="BL44" i="5"/>
  <c r="AV44" i="5"/>
  <c r="AF44" i="5"/>
  <c r="AV20" i="6"/>
  <c r="V14" i="6"/>
  <c r="V15" i="6" s="1"/>
  <c r="V17" i="6" s="1"/>
  <c r="CF154" i="5"/>
  <c r="BP154" i="5"/>
  <c r="AZ154" i="5"/>
  <c r="AJ154" i="5"/>
  <c r="BV148" i="5"/>
  <c r="BF148" i="5"/>
  <c r="AP148" i="5"/>
  <c r="Z148" i="5"/>
  <c r="J148" i="5"/>
  <c r="CA44" i="5"/>
  <c r="BK44" i="5"/>
  <c r="AU44" i="5"/>
  <c r="AE44" i="5"/>
  <c r="AK20" i="6"/>
  <c r="K14" i="6"/>
  <c r="CE154" i="5"/>
  <c r="BO154" i="5"/>
  <c r="AY154" i="5"/>
  <c r="AI154" i="5"/>
  <c r="AJ20" i="6"/>
  <c r="J14" i="6"/>
  <c r="CD154" i="5"/>
  <c r="BN154" i="5"/>
  <c r="AX154" i="5"/>
  <c r="AH154" i="5"/>
  <c r="BT148" i="5"/>
  <c r="BD148" i="5"/>
  <c r="AN148" i="5"/>
  <c r="X148" i="5"/>
  <c r="H148" i="5"/>
  <c r="BY44" i="5"/>
  <c r="BI44" i="5"/>
  <c r="AS44" i="5"/>
  <c r="AC44" i="5"/>
  <c r="AF20" i="6"/>
  <c r="F14" i="6"/>
  <c r="CC154" i="5"/>
  <c r="BM154" i="5"/>
  <c r="AW154" i="5"/>
  <c r="AG154" i="5"/>
  <c r="Z124" i="6"/>
  <c r="Z125" i="6" s="1"/>
  <c r="Z127" i="6" s="1"/>
  <c r="T20" i="6"/>
  <c r="BW14" i="6"/>
  <c r="BW15" i="6" s="1"/>
  <c r="BW17" i="6" s="1"/>
  <c r="CA154" i="5"/>
  <c r="BK154" i="5"/>
  <c r="AU154" i="5"/>
  <c r="AE154" i="5"/>
  <c r="BQ148" i="5"/>
  <c r="BA148" i="5"/>
  <c r="AK148" i="5"/>
  <c r="U148" i="5"/>
  <c r="E148" i="5"/>
  <c r="P20" i="6"/>
  <c r="BV14" i="6"/>
  <c r="BV15" i="6" s="1"/>
  <c r="BV17" i="6" s="1"/>
  <c r="BZ154" i="5"/>
  <c r="BJ154" i="5"/>
  <c r="AT154" i="5"/>
  <c r="AD154" i="5"/>
  <c r="CF148" i="5"/>
  <c r="BP148" i="5"/>
  <c r="AZ148" i="5"/>
  <c r="AJ148" i="5"/>
  <c r="T148" i="5"/>
  <c r="D148" i="5"/>
  <c r="CF20" i="6"/>
  <c r="BF14" i="6"/>
  <c r="BF15" i="6" s="1"/>
  <c r="BF17" i="6" s="1"/>
  <c r="BW154" i="5"/>
  <c r="BG154" i="5"/>
  <c r="AQ154" i="5"/>
  <c r="AA154" i="5"/>
  <c r="CC148" i="5"/>
  <c r="BM148" i="5"/>
  <c r="AW148" i="5"/>
  <c r="AG148" i="5"/>
  <c r="Q148" i="5"/>
  <c r="BR44" i="5"/>
  <c r="BB44" i="5"/>
  <c r="AL44" i="5"/>
  <c r="BL20" i="6"/>
  <c r="AL14" i="6"/>
  <c r="AL15" i="6" s="1"/>
  <c r="AL17" i="6" s="1"/>
  <c r="BS154" i="5"/>
  <c r="BC154" i="5"/>
  <c r="AM154" i="5"/>
  <c r="BY148" i="5"/>
  <c r="BI148" i="5"/>
  <c r="AS148" i="5"/>
  <c r="AC148" i="5"/>
  <c r="M148" i="5"/>
  <c r="BU154" i="5"/>
  <c r="AB154" i="5"/>
  <c r="BL148" i="5"/>
  <c r="AF148" i="5"/>
  <c r="CF44" i="5"/>
  <c r="BJ44" i="5"/>
  <c r="AO44" i="5"/>
  <c r="CA38" i="5"/>
  <c r="BK38" i="5"/>
  <c r="AU38" i="5"/>
  <c r="AE38" i="5"/>
  <c r="O38" i="5"/>
  <c r="BT154" i="5"/>
  <c r="Z154" i="5"/>
  <c r="BK148" i="5"/>
  <c r="AE148" i="5"/>
  <c r="CE44" i="5"/>
  <c r="BH44" i="5"/>
  <c r="AN44" i="5"/>
  <c r="BZ38" i="5"/>
  <c r="BJ38" i="5"/>
  <c r="AT38" i="5"/>
  <c r="AD38" i="5"/>
  <c r="N38" i="5"/>
  <c r="BL154" i="5"/>
  <c r="Y154" i="5"/>
  <c r="BJ148" i="5"/>
  <c r="AD148" i="5"/>
  <c r="CD44" i="5"/>
  <c r="BG44" i="5"/>
  <c r="AM44" i="5"/>
  <c r="BY38" i="5"/>
  <c r="BI38" i="5"/>
  <c r="AS38" i="5"/>
  <c r="AC38" i="5"/>
  <c r="M38" i="5"/>
  <c r="CB20" i="6"/>
  <c r="BI154" i="5"/>
  <c r="BE148" i="5"/>
  <c r="Y148" i="5"/>
  <c r="CC44" i="5"/>
  <c r="BF44" i="5"/>
  <c r="AK44" i="5"/>
  <c r="BX38" i="5"/>
  <c r="BH38" i="5"/>
  <c r="AR38" i="5"/>
  <c r="AB38" i="5"/>
  <c r="L38" i="5"/>
  <c r="BQ20" i="6"/>
  <c r="BH154" i="5"/>
  <c r="BC148" i="5"/>
  <c r="W148" i="5"/>
  <c r="BZ44" i="5"/>
  <c r="BE44" i="5"/>
  <c r="AJ44" i="5"/>
  <c r="BW38" i="5"/>
  <c r="BG38" i="5"/>
  <c r="AQ38" i="5"/>
  <c r="AA38" i="5"/>
  <c r="K38" i="5"/>
  <c r="BP20" i="6"/>
  <c r="BF154" i="5"/>
  <c r="BB148" i="5"/>
  <c r="V148" i="5"/>
  <c r="BX44" i="5"/>
  <c r="BD44" i="5"/>
  <c r="AI44" i="5"/>
  <c r="BV38" i="5"/>
  <c r="BF38" i="5"/>
  <c r="AP38" i="5"/>
  <c r="Z38" i="5"/>
  <c r="J38" i="5"/>
  <c r="U20" i="6"/>
  <c r="BE154" i="5"/>
  <c r="CE148" i="5"/>
  <c r="AY148" i="5"/>
  <c r="S148" i="5"/>
  <c r="BW44" i="5"/>
  <c r="BC44" i="5"/>
  <c r="AH44" i="5"/>
  <c r="BU38" i="5"/>
  <c r="BE38" i="5"/>
  <c r="AO38" i="5"/>
  <c r="Y38" i="5"/>
  <c r="I38" i="5"/>
  <c r="E20" i="6"/>
  <c r="BR14" i="6"/>
  <c r="BR15" i="6" s="1"/>
  <c r="BR17" i="6" s="1"/>
  <c r="BD154" i="5"/>
  <c r="CD148" i="5"/>
  <c r="AX148" i="5"/>
  <c r="R148" i="5"/>
  <c r="BV44" i="5"/>
  <c r="BA44" i="5"/>
  <c r="AG44" i="5"/>
  <c r="BT38" i="5"/>
  <c r="BD38" i="5"/>
  <c r="AN38" i="5"/>
  <c r="X38" i="5"/>
  <c r="H38" i="5"/>
  <c r="D20" i="6"/>
  <c r="BG14" i="6"/>
  <c r="BG15" i="6" s="1"/>
  <c r="BG17" i="6" s="1"/>
  <c r="AV154" i="5"/>
  <c r="CB148" i="5"/>
  <c r="AV148" i="5"/>
  <c r="P148" i="5"/>
  <c r="BU44" i="5"/>
  <c r="AZ44" i="5"/>
  <c r="AD44" i="5"/>
  <c r="BS38" i="5"/>
  <c r="BC38" i="5"/>
  <c r="AM38" i="5"/>
  <c r="W38" i="5"/>
  <c r="G38" i="5"/>
  <c r="BB14" i="6"/>
  <c r="BB15" i="6" s="1"/>
  <c r="BB17" i="6" s="1"/>
  <c r="AS154" i="5"/>
  <c r="CA148" i="5"/>
  <c r="AU148" i="5"/>
  <c r="O148" i="5"/>
  <c r="BT44" i="5"/>
  <c r="AY44" i="5"/>
  <c r="AB44" i="5"/>
  <c r="BR38" i="5"/>
  <c r="BB38" i="5"/>
  <c r="AL38" i="5"/>
  <c r="V38" i="5"/>
  <c r="F38" i="5"/>
  <c r="AQ14" i="6"/>
  <c r="AQ15" i="6" s="1"/>
  <c r="AQ17" i="6" s="1"/>
  <c r="AR154" i="5"/>
  <c r="BZ148" i="5"/>
  <c r="AT148" i="5"/>
  <c r="N148" i="5"/>
  <c r="BS44" i="5"/>
  <c r="AX44" i="5"/>
  <c r="AA44" i="5"/>
  <c r="BQ38" i="5"/>
  <c r="BA38" i="5"/>
  <c r="AK38" i="5"/>
  <c r="U38" i="5"/>
  <c r="E38" i="5"/>
  <c r="AP14" i="6"/>
  <c r="AP15" i="6" s="1"/>
  <c r="AP17" i="6" s="1"/>
  <c r="AP154" i="5"/>
  <c r="BU148" i="5"/>
  <c r="AO148" i="5"/>
  <c r="I148" i="5"/>
  <c r="BQ44" i="5"/>
  <c r="AW44" i="5"/>
  <c r="Z44" i="5"/>
  <c r="CF38" i="5"/>
  <c r="BP38" i="5"/>
  <c r="AZ38" i="5"/>
  <c r="AJ38" i="5"/>
  <c r="T38" i="5"/>
  <c r="D38" i="5"/>
  <c r="CB154" i="5"/>
  <c r="AO154" i="5"/>
  <c r="BS148" i="5"/>
  <c r="AM148" i="5"/>
  <c r="G148" i="5"/>
  <c r="BP44" i="5"/>
  <c r="AT44" i="5"/>
  <c r="Y44" i="5"/>
  <c r="CE38" i="5"/>
  <c r="BO38" i="5"/>
  <c r="AY38" i="5"/>
  <c r="AI38" i="5"/>
  <c r="S38" i="5"/>
  <c r="E30" i="5"/>
  <c r="BY154" i="5"/>
  <c r="AN154" i="5"/>
  <c r="BR148" i="5"/>
  <c r="AL148" i="5"/>
  <c r="F148" i="5"/>
  <c r="BO44" i="5"/>
  <c r="AR44" i="5"/>
  <c r="CD38" i="5"/>
  <c r="BN38" i="5"/>
  <c r="AX38" i="5"/>
  <c r="AH38" i="5"/>
  <c r="R38" i="5"/>
  <c r="B30" i="5"/>
  <c r="M15" i="6"/>
  <c r="M17" i="6" s="1"/>
  <c r="BX154" i="5"/>
  <c r="AF154" i="5"/>
  <c r="BO148" i="5"/>
  <c r="AI148" i="5"/>
  <c r="BN44" i="5"/>
  <c r="AQ44" i="5"/>
  <c r="BV154" i="5"/>
  <c r="AC154" i="5"/>
  <c r="BN148" i="5"/>
  <c r="AH148" i="5"/>
  <c r="BM44" i="5"/>
  <c r="AP44" i="5"/>
  <c r="CB38" i="5"/>
  <c r="BL38" i="5"/>
  <c r="AV38" i="5"/>
  <c r="AF38" i="5"/>
  <c r="P38" i="5"/>
  <c r="B21" i="3"/>
  <c r="D12" i="7"/>
  <c r="D52" i="6"/>
  <c r="D122" i="7"/>
  <c r="D170" i="5"/>
  <c r="D51" i="6"/>
  <c r="D162" i="6"/>
  <c r="N5" i="9"/>
  <c r="N6" i="9"/>
  <c r="AD5" i="9"/>
  <c r="AD6" i="9"/>
  <c r="AT5" i="9"/>
  <c r="AT6" i="9"/>
  <c r="BJ5" i="9"/>
  <c r="BJ6" i="9"/>
  <c r="BZ5" i="9"/>
  <c r="BZ6" i="9"/>
  <c r="CP5" i="9"/>
  <c r="CP6" i="9"/>
  <c r="DF5" i="9"/>
  <c r="DF6" i="9"/>
  <c r="O6" i="9"/>
  <c r="BK6" i="9"/>
  <c r="P5" i="9"/>
  <c r="AV5" i="9"/>
  <c r="CB5" i="9"/>
  <c r="DH5" i="9"/>
  <c r="DB6" i="9"/>
  <c r="Y6" i="9"/>
  <c r="DG6" i="9"/>
  <c r="Z6" i="9"/>
  <c r="AE6" i="9"/>
  <c r="BU6" i="9"/>
  <c r="BV6" i="9"/>
  <c r="CA6" i="9"/>
  <c r="DR6" i="9"/>
  <c r="AO6" i="9"/>
  <c r="AF5" i="9"/>
  <c r="BL5" i="9"/>
  <c r="CR5" i="9"/>
  <c r="AP6" i="9"/>
  <c r="AU6" i="9"/>
  <c r="CK6" i="9"/>
  <c r="K5" i="9"/>
  <c r="K6" i="9"/>
  <c r="AA5" i="9"/>
  <c r="AA6" i="9"/>
  <c r="AQ5" i="9"/>
  <c r="AQ6" i="9"/>
  <c r="BG5" i="9"/>
  <c r="BG6" i="9"/>
  <c r="BW5" i="9"/>
  <c r="BW6" i="9"/>
  <c r="CM5" i="9"/>
  <c r="CM6" i="9"/>
  <c r="DC5" i="9"/>
  <c r="DC6" i="9"/>
  <c r="DS5" i="9"/>
  <c r="DS6" i="9"/>
  <c r="I6" i="9"/>
  <c r="CL6" i="9"/>
  <c r="L5" i="9"/>
  <c r="L6" i="9"/>
  <c r="AB5" i="9"/>
  <c r="AB6" i="9"/>
  <c r="AR5" i="9"/>
  <c r="AR6" i="9"/>
  <c r="BH5" i="9"/>
  <c r="BH6" i="9"/>
  <c r="BX5" i="9"/>
  <c r="BX6" i="9"/>
  <c r="CN5" i="9"/>
  <c r="CN6" i="9"/>
  <c r="DD5" i="9"/>
  <c r="DD6" i="9"/>
  <c r="DT5" i="9"/>
  <c r="DT6" i="9"/>
  <c r="J6" i="9"/>
  <c r="CQ6" i="9"/>
  <c r="D5" i="9"/>
  <c r="T5" i="9"/>
  <c r="AJ5" i="9"/>
  <c r="AZ5" i="9"/>
  <c r="BP5" i="9"/>
  <c r="CF5" i="9"/>
  <c r="CV5" i="9"/>
  <c r="DL5" i="9"/>
  <c r="AC6" i="9"/>
  <c r="AS6" i="9"/>
  <c r="BI6" i="9"/>
  <c r="BY6" i="9"/>
  <c r="CO6" i="9"/>
  <c r="DE6" i="9"/>
  <c r="G5" i="5" l="1"/>
  <c r="G5" i="7"/>
  <c r="G5" i="6"/>
  <c r="CI6" i="7"/>
  <c r="CI6" i="5"/>
  <c r="CI6" i="6"/>
  <c r="CC5" i="5"/>
  <c r="CC5" i="7"/>
  <c r="CC5" i="6"/>
  <c r="W5" i="5"/>
  <c r="W5" i="7"/>
  <c r="W5" i="6"/>
  <c r="CX5" i="5"/>
  <c r="CX5" i="7"/>
  <c r="CX5" i="6"/>
  <c r="CG5" i="5"/>
  <c r="CG5" i="7"/>
  <c r="CG5" i="6"/>
  <c r="CE5" i="5"/>
  <c r="CE5" i="7"/>
  <c r="CE5" i="6"/>
  <c r="BO5" i="7"/>
  <c r="BO5" i="5"/>
  <c r="BO5" i="6"/>
  <c r="BA5" i="7"/>
  <c r="BA5" i="5"/>
  <c r="BA5" i="6"/>
  <c r="AY5" i="7"/>
  <c r="AY5" i="5"/>
  <c r="AY5" i="6"/>
  <c r="DM5" i="7"/>
  <c r="DM5" i="5"/>
  <c r="DM5" i="6"/>
  <c r="DK5" i="7"/>
  <c r="DK5" i="5"/>
  <c r="DK5" i="6"/>
  <c r="AK5" i="7"/>
  <c r="AK5" i="5"/>
  <c r="AK5" i="6"/>
  <c r="DI5" i="7"/>
  <c r="DI5" i="5"/>
  <c r="DI5" i="6"/>
  <c r="AI5" i="7"/>
  <c r="AI5" i="5"/>
  <c r="AI5" i="6"/>
  <c r="AH5" i="7"/>
  <c r="AH5" i="5"/>
  <c r="AH5" i="6"/>
  <c r="AG5" i="7"/>
  <c r="AG5" i="5"/>
  <c r="AG5" i="6"/>
  <c r="DJ6" i="5"/>
  <c r="DJ6" i="6"/>
  <c r="DJ6" i="7"/>
  <c r="E22" i="3"/>
  <c r="B22" i="3"/>
  <c r="F35" i="1" s="1"/>
  <c r="D30" i="11"/>
  <c r="BM5" i="5"/>
  <c r="BM5" i="7"/>
  <c r="BM5" i="6"/>
  <c r="DN5" i="5"/>
  <c r="DN5" i="7"/>
  <c r="DN5" i="6"/>
  <c r="CZ6" i="7"/>
  <c r="CZ6" i="6"/>
  <c r="CZ6" i="5"/>
  <c r="CT5" i="5"/>
  <c r="CT5" i="7"/>
  <c r="CT5" i="6"/>
  <c r="AW5" i="7"/>
  <c r="AW5" i="6"/>
  <c r="AW5" i="5"/>
  <c r="V5" i="5"/>
  <c r="V5" i="7"/>
  <c r="V5" i="6"/>
  <c r="BE6" i="6"/>
  <c r="BE6" i="5"/>
  <c r="BE6" i="7"/>
  <c r="M6" i="5"/>
  <c r="M6" i="7"/>
  <c r="M6" i="6"/>
  <c r="CD5" i="5"/>
  <c r="CD5" i="7"/>
  <c r="CD5" i="6"/>
  <c r="CS5" i="7"/>
  <c r="CS5" i="6"/>
  <c r="CS5" i="5"/>
  <c r="F5" i="7"/>
  <c r="F5" i="6"/>
  <c r="F5" i="5"/>
  <c r="CJ5" i="5"/>
  <c r="CJ5" i="7"/>
  <c r="CJ5" i="6"/>
  <c r="BB5" i="7"/>
  <c r="BB5" i="6"/>
  <c r="BB5" i="5"/>
  <c r="S5" i="5"/>
  <c r="S5" i="7"/>
  <c r="S5" i="6"/>
  <c r="DQ6" i="5"/>
  <c r="DQ6" i="7"/>
  <c r="DQ6" i="6"/>
  <c r="B7" i="11"/>
  <c r="D7" i="11" s="1"/>
  <c r="R5" i="5"/>
  <c r="R5" i="7"/>
  <c r="R5" i="6"/>
  <c r="BD6" i="6"/>
  <c r="BD6" i="5"/>
  <c r="BD6" i="7"/>
  <c r="CH5" i="5"/>
  <c r="CH5" i="7"/>
  <c r="CH5" i="6"/>
  <c r="DP6" i="5"/>
  <c r="DP6" i="7"/>
  <c r="DP6" i="6"/>
  <c r="Q5" i="5"/>
  <c r="Q5" i="7"/>
  <c r="Q5" i="6"/>
  <c r="BT5" i="7"/>
  <c r="BT5" i="6"/>
  <c r="BT5" i="5"/>
  <c r="BN6" i="5"/>
  <c r="BN6" i="7"/>
  <c r="BN6" i="6"/>
  <c r="AL5" i="5"/>
  <c r="AL5" i="7"/>
  <c r="AL5" i="6"/>
  <c r="H5" i="6"/>
  <c r="H5" i="5"/>
  <c r="H5" i="7"/>
  <c r="AX6" i="5"/>
  <c r="AX6" i="7"/>
  <c r="AX6" i="6"/>
  <c r="D31" i="11"/>
  <c r="CW5" i="7"/>
  <c r="CW5" i="6"/>
  <c r="CW5" i="5"/>
  <c r="AN6" i="5"/>
  <c r="AN6" i="7"/>
  <c r="AN6" i="6"/>
  <c r="X5" i="5"/>
  <c r="X5" i="7"/>
  <c r="X5" i="6"/>
  <c r="DA6" i="5"/>
  <c r="DA6" i="7"/>
  <c r="DA6" i="6"/>
  <c r="CU5" i="7"/>
  <c r="CU5" i="6"/>
  <c r="CU5" i="5"/>
  <c r="BF6" i="5"/>
  <c r="BF6" i="7"/>
  <c r="BF6" i="6"/>
  <c r="BM16" i="6"/>
  <c r="BM18" i="6" s="1"/>
  <c r="AP126" i="6"/>
  <c r="AL12" i="7"/>
  <c r="AL60" i="5"/>
  <c r="AX122" i="7"/>
  <c r="AX170" i="5"/>
  <c r="BO122" i="7"/>
  <c r="BO170" i="5"/>
  <c r="H12" i="7"/>
  <c r="H60" i="5"/>
  <c r="BS16" i="6"/>
  <c r="BS18" i="6" s="1"/>
  <c r="CD12" i="7"/>
  <c r="CD60" i="5"/>
  <c r="F12" i="7"/>
  <c r="F60" i="5"/>
  <c r="BG16" i="6"/>
  <c r="BG18" i="6" s="1"/>
  <c r="BD12" i="7"/>
  <c r="BD60" i="5"/>
  <c r="BZ12" i="7"/>
  <c r="BZ60" i="5"/>
  <c r="BS12" i="7"/>
  <c r="BS60" i="5"/>
  <c r="AL122" i="7"/>
  <c r="AL170" i="5"/>
  <c r="BA12" i="7"/>
  <c r="BA60" i="5"/>
  <c r="BD122" i="7"/>
  <c r="BD170" i="5"/>
  <c r="BG12" i="7"/>
  <c r="BG60" i="5"/>
  <c r="BG126" i="6"/>
  <c r="BG128" i="6" s="1"/>
  <c r="AH16" i="6"/>
  <c r="AH18" i="6" s="1"/>
  <c r="P12" i="9"/>
  <c r="P13" i="9" s="1"/>
  <c r="P39" i="5" s="1"/>
  <c r="B14" i="11" s="1"/>
  <c r="AI12" i="7"/>
  <c r="AI60" i="5"/>
  <c r="AW12" i="7"/>
  <c r="AW60" i="5"/>
  <c r="AC16" i="6"/>
  <c r="AC18" i="6" s="1"/>
  <c r="BN16" i="6"/>
  <c r="BN18" i="6" s="1"/>
  <c r="AP128" i="6"/>
  <c r="AQ126" i="6"/>
  <c r="AQ128" i="6" s="1"/>
  <c r="AV122" i="7"/>
  <c r="AV170" i="5"/>
  <c r="BR122" i="7"/>
  <c r="BR170" i="5"/>
  <c r="BY122" i="7"/>
  <c r="BY170" i="5"/>
  <c r="BK12" i="7"/>
  <c r="BK60" i="5"/>
  <c r="AM16" i="6"/>
  <c r="Y126" i="6"/>
  <c r="I12" i="7"/>
  <c r="I60" i="5"/>
  <c r="Z12" i="7"/>
  <c r="Z60" i="5"/>
  <c r="AU12" i="7"/>
  <c r="AU60" i="5"/>
  <c r="AN16" i="6"/>
  <c r="AN18" i="6" s="1"/>
  <c r="X16" i="6"/>
  <c r="X18" i="6" s="1"/>
  <c r="BX16" i="6"/>
  <c r="BX18" i="6" s="1"/>
  <c r="AO12" i="7"/>
  <c r="AO60" i="5"/>
  <c r="C14" i="11"/>
  <c r="BC146" i="6"/>
  <c r="BC142" i="6"/>
  <c r="BC122" i="6"/>
  <c r="BC145" i="6"/>
  <c r="AY122" i="7"/>
  <c r="AY170" i="5"/>
  <c r="BD16" i="6"/>
  <c r="BD18" i="6" s="1"/>
  <c r="AA6" i="7"/>
  <c r="AA6" i="6"/>
  <c r="AA6" i="5"/>
  <c r="DD5" i="7"/>
  <c r="DD5" i="5"/>
  <c r="DD5" i="6"/>
  <c r="CB5" i="7"/>
  <c r="CB5" i="6"/>
  <c r="CB5" i="5"/>
  <c r="AS6" i="7"/>
  <c r="AS6" i="6"/>
  <c r="AS6" i="5"/>
  <c r="CN6" i="7"/>
  <c r="CN6" i="6"/>
  <c r="CN6" i="5"/>
  <c r="DC6" i="7"/>
  <c r="DC6" i="6"/>
  <c r="DC6" i="5"/>
  <c r="AP6" i="7"/>
  <c r="AP6" i="6"/>
  <c r="AP6" i="5"/>
  <c r="AV5" i="7"/>
  <c r="AV5" i="6"/>
  <c r="AV5" i="5"/>
  <c r="N6" i="7"/>
  <c r="N6" i="6"/>
  <c r="N6" i="5"/>
  <c r="AE16" i="6"/>
  <c r="G16" i="6"/>
  <c r="AD126" i="6"/>
  <c r="AU126" i="6"/>
  <c r="CB126" i="6"/>
  <c r="CB128" i="6" s="1"/>
  <c r="X126" i="6"/>
  <c r="X128" i="6" s="1"/>
  <c r="BY126" i="6"/>
  <c r="BY128" i="6" s="1"/>
  <c r="BN122" i="7"/>
  <c r="BN170" i="5"/>
  <c r="Q12" i="7"/>
  <c r="Q60" i="5"/>
  <c r="AC122" i="7"/>
  <c r="AC170" i="5"/>
  <c r="K122" i="7"/>
  <c r="K170" i="5"/>
  <c r="AQ12" i="7"/>
  <c r="AQ60" i="5"/>
  <c r="AC12" i="7"/>
  <c r="AC60" i="5"/>
  <c r="BX122" i="7"/>
  <c r="BX170" i="5"/>
  <c r="AJ122" i="7"/>
  <c r="AJ170" i="5"/>
  <c r="AJ16" i="6"/>
  <c r="S36" i="6"/>
  <c r="S32" i="6"/>
  <c r="S35" i="6"/>
  <c r="S12" i="6"/>
  <c r="AS12" i="7"/>
  <c r="AS60" i="5"/>
  <c r="BK6" i="7"/>
  <c r="BK6" i="6"/>
  <c r="BK6" i="5"/>
  <c r="CE122" i="7"/>
  <c r="CE170" i="5"/>
  <c r="AY36" i="6"/>
  <c r="AY32" i="6"/>
  <c r="AY35" i="6"/>
  <c r="AY12" i="6"/>
  <c r="O6" i="7"/>
  <c r="O6" i="6"/>
  <c r="O6" i="5"/>
  <c r="CE16" i="6"/>
  <c r="CE18" i="6" s="1"/>
  <c r="S126" i="6"/>
  <c r="S128" i="6" s="1"/>
  <c r="F126" i="6"/>
  <c r="F128" i="6" s="1"/>
  <c r="BT126" i="6"/>
  <c r="BT128" i="6" s="1"/>
  <c r="AR126" i="6"/>
  <c r="AR128" i="6" s="1"/>
  <c r="CA126" i="6"/>
  <c r="AK122" i="7"/>
  <c r="AK170" i="5"/>
  <c r="BB12" i="7"/>
  <c r="BB60" i="5"/>
  <c r="O12" i="7"/>
  <c r="O60" i="5"/>
  <c r="W12" i="7"/>
  <c r="W60" i="5"/>
  <c r="H122" i="7"/>
  <c r="H170" i="5"/>
  <c r="BF12" i="7"/>
  <c r="BF60" i="5"/>
  <c r="AA122" i="7"/>
  <c r="AA170" i="5"/>
  <c r="Z122" i="7"/>
  <c r="Z170" i="5"/>
  <c r="Q126" i="6"/>
  <c r="Q128" i="6" s="1"/>
  <c r="AZ146" i="6"/>
  <c r="AZ122" i="6"/>
  <c r="AZ145" i="6"/>
  <c r="AZ142" i="6"/>
  <c r="AN126" i="6"/>
  <c r="AN128" i="6" s="1"/>
  <c r="AF5" i="7"/>
  <c r="AF5" i="5"/>
  <c r="AF5" i="6"/>
  <c r="AO6" i="7"/>
  <c r="AO6" i="6"/>
  <c r="AO6" i="5"/>
  <c r="BH16" i="6"/>
  <c r="BH18" i="6" s="1"/>
  <c r="AX126" i="6"/>
  <c r="AX128" i="6" s="1"/>
  <c r="F16" i="6"/>
  <c r="F18" i="6" s="1"/>
  <c r="E126" i="6"/>
  <c r="E128" i="6" s="1"/>
  <c r="D128" i="6"/>
  <c r="V126" i="6"/>
  <c r="V128" i="6" s="1"/>
  <c r="BC126" i="6"/>
  <c r="BC128" i="6" s="1"/>
  <c r="BH126" i="6"/>
  <c r="J122" i="7"/>
  <c r="J170" i="5"/>
  <c r="Q122" i="7"/>
  <c r="Q170" i="5"/>
  <c r="BJ122" i="7"/>
  <c r="BJ170" i="5"/>
  <c r="BL12" i="7"/>
  <c r="BL60" i="5"/>
  <c r="R12" i="7"/>
  <c r="R60" i="5"/>
  <c r="BP122" i="7"/>
  <c r="BP170" i="5"/>
  <c r="AM12" i="7"/>
  <c r="AM60" i="5"/>
  <c r="AG122" i="7"/>
  <c r="AG170" i="5"/>
  <c r="AQ122" i="7"/>
  <c r="AQ170" i="5"/>
  <c r="AM126" i="6"/>
  <c r="AF36" i="6"/>
  <c r="AF35" i="6"/>
  <c r="AF12" i="6"/>
  <c r="AF32" i="6"/>
  <c r="AT126" i="6"/>
  <c r="AT128" i="6" s="1"/>
  <c r="CD122" i="7"/>
  <c r="CD170" i="5"/>
  <c r="BV122" i="7"/>
  <c r="BV170" i="5"/>
  <c r="CM5" i="7"/>
  <c r="CM5" i="6"/>
  <c r="CM5" i="5"/>
  <c r="CF5" i="7"/>
  <c r="CF5" i="6"/>
  <c r="CF5" i="5"/>
  <c r="DF6" i="7"/>
  <c r="DF6" i="6"/>
  <c r="DF6" i="5"/>
  <c r="D53" i="6"/>
  <c r="BP5" i="7"/>
  <c r="BP5" i="6"/>
  <c r="BP5" i="5"/>
  <c r="BH5" i="7"/>
  <c r="BH5" i="5"/>
  <c r="BH5" i="6"/>
  <c r="BW5" i="7"/>
  <c r="BW5" i="6"/>
  <c r="BW5" i="5"/>
  <c r="DR6" i="7"/>
  <c r="DR6" i="6"/>
  <c r="DR6" i="5"/>
  <c r="DF5" i="7"/>
  <c r="DF5" i="5"/>
  <c r="DF5" i="6"/>
  <c r="AL16" i="6"/>
  <c r="AL18" i="6" s="1"/>
  <c r="U126" i="6"/>
  <c r="AL126" i="6"/>
  <c r="AL128" i="6" s="1"/>
  <c r="BS126" i="6"/>
  <c r="BR12" i="7"/>
  <c r="BR60" i="5"/>
  <c r="Y122" i="7"/>
  <c r="Y170" i="5"/>
  <c r="AH12" i="7"/>
  <c r="AH60" i="5"/>
  <c r="AZ122" i="7"/>
  <c r="AZ170" i="5"/>
  <c r="BC12" i="7"/>
  <c r="BC60" i="5"/>
  <c r="BY12" i="7"/>
  <c r="BY60" i="5"/>
  <c r="AD122" i="7"/>
  <c r="AD170" i="5"/>
  <c r="F122" i="7"/>
  <c r="F170" i="5"/>
  <c r="BG122" i="7"/>
  <c r="BG170" i="5"/>
  <c r="CF146" i="6"/>
  <c r="CF145" i="6"/>
  <c r="CF142" i="6"/>
  <c r="CF122" i="6"/>
  <c r="BL5" i="7"/>
  <c r="BL5" i="6"/>
  <c r="BL5" i="5"/>
  <c r="BI12" i="7"/>
  <c r="BI60" i="5"/>
  <c r="BX5" i="7"/>
  <c r="BX5" i="6"/>
  <c r="BX5" i="5"/>
  <c r="BH6" i="7"/>
  <c r="BH6" i="6"/>
  <c r="BH6" i="5"/>
  <c r="BW6" i="7"/>
  <c r="BW6" i="6"/>
  <c r="BW6" i="5"/>
  <c r="CA6" i="7"/>
  <c r="CA6" i="6"/>
  <c r="CA6" i="5"/>
  <c r="BO16" i="6"/>
  <c r="BO18" i="6" s="1"/>
  <c r="V16" i="6"/>
  <c r="Z16" i="6"/>
  <c r="Z18" i="6" s="1"/>
  <c r="T16" i="6"/>
  <c r="T18" i="6" s="1"/>
  <c r="U16" i="6"/>
  <c r="U18" i="6" s="1"/>
  <c r="R126" i="6"/>
  <c r="R128" i="6" s="1"/>
  <c r="BN126" i="6"/>
  <c r="BN128" i="6" s="1"/>
  <c r="T126" i="6"/>
  <c r="T128" i="6" s="1"/>
  <c r="AK126" i="6"/>
  <c r="AK128" i="6" s="1"/>
  <c r="BB126" i="6"/>
  <c r="AF12" i="7"/>
  <c r="AF60" i="5"/>
  <c r="AV12" i="7"/>
  <c r="AV60" i="5"/>
  <c r="AX12" i="7"/>
  <c r="AX60" i="5"/>
  <c r="S122" i="7"/>
  <c r="S170" i="5"/>
  <c r="BB122" i="7"/>
  <c r="BB170" i="5"/>
  <c r="AH122" i="7"/>
  <c r="AH170" i="5"/>
  <c r="BW122" i="7"/>
  <c r="BW170" i="5"/>
  <c r="AN122" i="7"/>
  <c r="AN170" i="5"/>
  <c r="CD126" i="6"/>
  <c r="O126" i="6"/>
  <c r="AU122" i="7"/>
  <c r="AU170" i="5"/>
  <c r="CV5" i="7"/>
  <c r="CV5" i="6"/>
  <c r="CV5" i="5"/>
  <c r="AZ5" i="7"/>
  <c r="AZ5" i="6"/>
  <c r="AZ5" i="5"/>
  <c r="AR6" i="7"/>
  <c r="AR6" i="6"/>
  <c r="AR6" i="5"/>
  <c r="BG6" i="7"/>
  <c r="BG6" i="6"/>
  <c r="BG6" i="5"/>
  <c r="CP6" i="7"/>
  <c r="CP6" i="6"/>
  <c r="CP6" i="5"/>
  <c r="AY16" i="6"/>
  <c r="AY18" i="6" s="1"/>
  <c r="AA126" i="6"/>
  <c r="AA128" i="6" s="1"/>
  <c r="W16" i="6"/>
  <c r="W18" i="6" s="1"/>
  <c r="Y16" i="6"/>
  <c r="Y18" i="6" s="1"/>
  <c r="AP16" i="6"/>
  <c r="AP18" i="6" s="1"/>
  <c r="BZ16" i="6"/>
  <c r="BZ18" i="6" s="1"/>
  <c r="AJ18" i="6"/>
  <c r="AK16" i="6"/>
  <c r="AK18" i="6" s="1"/>
  <c r="AJ126" i="6"/>
  <c r="BA126" i="6"/>
  <c r="BR126" i="6"/>
  <c r="BR128" i="6" s="1"/>
  <c r="BW126" i="6"/>
  <c r="BP12" i="7"/>
  <c r="BP60" i="5"/>
  <c r="AD12" i="7"/>
  <c r="AD60" i="5"/>
  <c r="AW122" i="7"/>
  <c r="AW170" i="5"/>
  <c r="BZ122" i="7"/>
  <c r="BZ170" i="5"/>
  <c r="BN12" i="7"/>
  <c r="BN60" i="5"/>
  <c r="AP122" i="7"/>
  <c r="AP170" i="5"/>
  <c r="E12" i="7"/>
  <c r="E60" i="5"/>
  <c r="P122" i="7"/>
  <c r="P170" i="5"/>
  <c r="AU36" i="6"/>
  <c r="AU35" i="6"/>
  <c r="AU32" i="6"/>
  <c r="AU12" i="6"/>
  <c r="P5" i="7"/>
  <c r="P5" i="6"/>
  <c r="P5" i="5"/>
  <c r="AP12" i="7"/>
  <c r="AP60" i="5"/>
  <c r="BD126" i="6"/>
  <c r="BD128" i="6" s="1"/>
  <c r="AO16" i="6"/>
  <c r="AO18" i="6" s="1"/>
  <c r="R16" i="6"/>
  <c r="R18" i="6" s="1"/>
  <c r="BA16" i="6"/>
  <c r="BA18" i="6" s="1"/>
  <c r="AZ126" i="6"/>
  <c r="AZ128" i="6" s="1"/>
  <c r="BQ126" i="6"/>
  <c r="AH126" i="6"/>
  <c r="N126" i="6"/>
  <c r="N128" i="6" s="1"/>
  <c r="CB12" i="7"/>
  <c r="CB60" i="5"/>
  <c r="Y12" i="7"/>
  <c r="Y60" i="5"/>
  <c r="BQ122" i="7"/>
  <c r="BQ170" i="5"/>
  <c r="U12" i="7"/>
  <c r="U60" i="5"/>
  <c r="V122" i="7"/>
  <c r="V170" i="5"/>
  <c r="CF122" i="7"/>
  <c r="CF170" i="5"/>
  <c r="AF122" i="7"/>
  <c r="AF170" i="5"/>
  <c r="CB122" i="7"/>
  <c r="CB170" i="5"/>
  <c r="AW145" i="6"/>
  <c r="AW142" i="6"/>
  <c r="AW122" i="6"/>
  <c r="AW146" i="6"/>
  <c r="AJ146" i="6"/>
  <c r="AJ145" i="6"/>
  <c r="AJ142" i="6"/>
  <c r="AJ122" i="6"/>
  <c r="AQ35" i="6"/>
  <c r="AQ32" i="6"/>
  <c r="AQ12" i="6"/>
  <c r="AQ36" i="6"/>
  <c r="AX145" i="6"/>
  <c r="AX146" i="6"/>
  <c r="AX142" i="6"/>
  <c r="AX122" i="6"/>
  <c r="N142" i="6"/>
  <c r="N145" i="6"/>
  <c r="N146" i="6"/>
  <c r="N122" i="6"/>
  <c r="BE32" i="6"/>
  <c r="BE35" i="6"/>
  <c r="BE36" i="6"/>
  <c r="BE12" i="6"/>
  <c r="N35" i="6"/>
  <c r="N36" i="6"/>
  <c r="N32" i="6"/>
  <c r="N12" i="6"/>
  <c r="W146" i="6"/>
  <c r="W142" i="6"/>
  <c r="W145" i="6"/>
  <c r="W122" i="6"/>
  <c r="AO146" i="6"/>
  <c r="AO142" i="6"/>
  <c r="AO122" i="6"/>
  <c r="AO145" i="6"/>
  <c r="BA36" i="6"/>
  <c r="BA32" i="6"/>
  <c r="BA12" i="6"/>
  <c r="BA35" i="6"/>
  <c r="CA145" i="6"/>
  <c r="CA146" i="6"/>
  <c r="CA142" i="6"/>
  <c r="CA122" i="6"/>
  <c r="BK126" i="6"/>
  <c r="AB122" i="7"/>
  <c r="AB170" i="5"/>
  <c r="AB126" i="6"/>
  <c r="AB128" i="6" s="1"/>
  <c r="D18" i="6"/>
  <c r="E16" i="6"/>
  <c r="E18" i="6" s="1"/>
  <c r="AZ16" i="6"/>
  <c r="AZ18" i="6" s="1"/>
  <c r="AI16" i="6"/>
  <c r="AT16" i="6"/>
  <c r="AT18" i="6" s="1"/>
  <c r="BR16" i="6"/>
  <c r="BR18" i="6" s="1"/>
  <c r="BT16" i="6"/>
  <c r="BT18" i="6" s="1"/>
  <c r="BV16" i="6"/>
  <c r="BV18" i="6" s="1"/>
  <c r="BP16" i="6"/>
  <c r="BP18" i="6" s="1"/>
  <c r="BQ16" i="6"/>
  <c r="BQ18" i="6" s="1"/>
  <c r="AW126" i="6"/>
  <c r="BP126" i="6"/>
  <c r="BP128" i="6" s="1"/>
  <c r="J126" i="6"/>
  <c r="BJ126" i="6"/>
  <c r="BJ128" i="6" s="1"/>
  <c r="N12" i="7"/>
  <c r="N60" i="5"/>
  <c r="BJ12" i="7"/>
  <c r="BJ60" i="5"/>
  <c r="M122" i="7"/>
  <c r="M170" i="5"/>
  <c r="J12" i="7"/>
  <c r="J60" i="5"/>
  <c r="AK12" i="7"/>
  <c r="AK60" i="5"/>
  <c r="AB12" i="7"/>
  <c r="AB60" i="5"/>
  <c r="I122" i="7"/>
  <c r="I170" i="5"/>
  <c r="AO122" i="7"/>
  <c r="AO170" i="5"/>
  <c r="O122" i="7"/>
  <c r="O170" i="5"/>
  <c r="BD32" i="6"/>
  <c r="BD35" i="6"/>
  <c r="BD36" i="6"/>
  <c r="BD12" i="6"/>
  <c r="BV146" i="6"/>
  <c r="BV142" i="6"/>
  <c r="BV122" i="6"/>
  <c r="BV145" i="6"/>
  <c r="BH35" i="6"/>
  <c r="BH32" i="6"/>
  <c r="BH36" i="6"/>
  <c r="BH12" i="6"/>
  <c r="BO36" i="6"/>
  <c r="BO32" i="6"/>
  <c r="BO35" i="6"/>
  <c r="BO12" i="6"/>
  <c r="BB146" i="6"/>
  <c r="BB142" i="6"/>
  <c r="BB145" i="6"/>
  <c r="BB122" i="6"/>
  <c r="CA36" i="6"/>
  <c r="CA35" i="6"/>
  <c r="CA12" i="6"/>
  <c r="CA32" i="6"/>
  <c r="AD35" i="6"/>
  <c r="AD36" i="6"/>
  <c r="AD32" i="6"/>
  <c r="AD12" i="6"/>
  <c r="AM146" i="6"/>
  <c r="AM142" i="6"/>
  <c r="AM122" i="6"/>
  <c r="AM145" i="6"/>
  <c r="BE146" i="6"/>
  <c r="BE142" i="6"/>
  <c r="BE122" i="6"/>
  <c r="BE145" i="6"/>
  <c r="BQ36" i="6"/>
  <c r="BQ32" i="6"/>
  <c r="BQ12" i="6"/>
  <c r="BQ35" i="6"/>
  <c r="P145" i="6"/>
  <c r="P146" i="6"/>
  <c r="P122" i="6"/>
  <c r="P142" i="6"/>
  <c r="G126" i="6"/>
  <c r="G128" i="6" s="1"/>
  <c r="CM6" i="7"/>
  <c r="CM6" i="6"/>
  <c r="CM6" i="5"/>
  <c r="BJ6" i="7"/>
  <c r="BJ6" i="6"/>
  <c r="BJ6" i="5"/>
  <c r="M16" i="6"/>
  <c r="M18" i="6" s="1"/>
  <c r="O16" i="6"/>
  <c r="O18" i="6" s="1"/>
  <c r="Q16" i="6"/>
  <c r="Y128" i="6"/>
  <c r="Z126" i="6"/>
  <c r="BZ126" i="6"/>
  <c r="BZ128" i="6" s="1"/>
  <c r="CC122" i="7"/>
  <c r="CC170" i="5"/>
  <c r="BM122" i="7"/>
  <c r="BM170" i="5"/>
  <c r="S12" i="7"/>
  <c r="S60" i="5"/>
  <c r="BE122" i="7"/>
  <c r="BE170" i="5"/>
  <c r="BT122" i="7"/>
  <c r="BT170" i="5"/>
  <c r="X12" i="7"/>
  <c r="X60" i="5"/>
  <c r="BH12" i="7"/>
  <c r="BH60" i="5"/>
  <c r="BU122" i="7"/>
  <c r="BU170" i="5"/>
  <c r="BL122" i="7"/>
  <c r="BL170" i="5"/>
  <c r="I16" i="6"/>
  <c r="I18" i="6" s="1"/>
  <c r="K126" i="6"/>
  <c r="CC145" i="6"/>
  <c r="CC142" i="6"/>
  <c r="CC146" i="6"/>
  <c r="CC122" i="6"/>
  <c r="BR146" i="6"/>
  <c r="BR142" i="6"/>
  <c r="BR145" i="6"/>
  <c r="BR122" i="6"/>
  <c r="AL146" i="6"/>
  <c r="AL142" i="6"/>
  <c r="AL145" i="6"/>
  <c r="AL122" i="6"/>
  <c r="AW36" i="6"/>
  <c r="AW32" i="6"/>
  <c r="AW35" i="6"/>
  <c r="AW12" i="6"/>
  <c r="H32" i="6"/>
  <c r="H35" i="6"/>
  <c r="H36" i="6"/>
  <c r="H12" i="6"/>
  <c r="T146" i="6"/>
  <c r="T145" i="6"/>
  <c r="T122" i="6"/>
  <c r="T142" i="6"/>
  <c r="AT35" i="6"/>
  <c r="AT36" i="6"/>
  <c r="AT32" i="6"/>
  <c r="AT12" i="6"/>
  <c r="BU146" i="6"/>
  <c r="BU142" i="6"/>
  <c r="BU122" i="6"/>
  <c r="BU145" i="6"/>
  <c r="L142" i="6"/>
  <c r="L145" i="6"/>
  <c r="L146" i="6"/>
  <c r="L122" i="6"/>
  <c r="AF145" i="6"/>
  <c r="AF146" i="6"/>
  <c r="AF142" i="6"/>
  <c r="AF122" i="6"/>
  <c r="CR5" i="7"/>
  <c r="CR5" i="5"/>
  <c r="CR5" i="6"/>
  <c r="W126" i="6"/>
  <c r="W128" i="6" s="1"/>
  <c r="AX16" i="6"/>
  <c r="CF126" i="6"/>
  <c r="CF128" i="6" s="1"/>
  <c r="BJ5" i="7"/>
  <c r="BJ5" i="6"/>
  <c r="BJ5" i="5"/>
  <c r="AU16" i="6"/>
  <c r="AU18" i="6" s="1"/>
  <c r="P16" i="6"/>
  <c r="P18" i="6" s="1"/>
  <c r="AG16" i="6"/>
  <c r="K16" i="6"/>
  <c r="K18" i="6" s="1"/>
  <c r="L16" i="6"/>
  <c r="CC126" i="6"/>
  <c r="CC128" i="6" s="1"/>
  <c r="AG126" i="6"/>
  <c r="AG128" i="6" s="1"/>
  <c r="BF126" i="6"/>
  <c r="O128" i="6"/>
  <c r="P126" i="6"/>
  <c r="N122" i="7"/>
  <c r="N170" i="5"/>
  <c r="U122" i="7"/>
  <c r="U170" i="5"/>
  <c r="AT122" i="7"/>
  <c r="AT170" i="5"/>
  <c r="BQ12" i="7"/>
  <c r="BQ60" i="5"/>
  <c r="BS122" i="7"/>
  <c r="BS170" i="5"/>
  <c r="E122" i="7"/>
  <c r="E170" i="5"/>
  <c r="AN12" i="7"/>
  <c r="AN60" i="5"/>
  <c r="BW12" i="7"/>
  <c r="BW60" i="5"/>
  <c r="BJ142" i="6"/>
  <c r="BJ145" i="6"/>
  <c r="BJ146" i="6"/>
  <c r="BJ122" i="6"/>
  <c r="AA142" i="6"/>
  <c r="AA145" i="6"/>
  <c r="AA146" i="6"/>
  <c r="AA122" i="6"/>
  <c r="BI35" i="6"/>
  <c r="BI36" i="6"/>
  <c r="BI32" i="6"/>
  <c r="BI12" i="6"/>
  <c r="CE145" i="6"/>
  <c r="CE146" i="6"/>
  <c r="CE142" i="6"/>
  <c r="CE122" i="6"/>
  <c r="BU32" i="6"/>
  <c r="BU36" i="6"/>
  <c r="BU35" i="6"/>
  <c r="BU12" i="6"/>
  <c r="AC35" i="6"/>
  <c r="AC36" i="6"/>
  <c r="AC32" i="6"/>
  <c r="AC12" i="6"/>
  <c r="BN145" i="6"/>
  <c r="BN146" i="6"/>
  <c r="BN122" i="6"/>
  <c r="BN142" i="6"/>
  <c r="DC5" i="7"/>
  <c r="DC5" i="6"/>
  <c r="DC5" i="5"/>
  <c r="BF16" i="6"/>
  <c r="AB16" i="6"/>
  <c r="AB18" i="6" s="1"/>
  <c r="BB16" i="6"/>
  <c r="BB18" i="6" s="1"/>
  <c r="Z6" i="7"/>
  <c r="Z6" i="6"/>
  <c r="Z6" i="5"/>
  <c r="BM126" i="6"/>
  <c r="J6" i="7"/>
  <c r="J6" i="6"/>
  <c r="J6" i="5"/>
  <c r="DG6" i="7"/>
  <c r="DG6" i="6"/>
  <c r="DG6" i="5"/>
  <c r="AD16" i="6"/>
  <c r="AS16" i="6"/>
  <c r="BK16" i="6"/>
  <c r="BK18" i="6" s="1"/>
  <c r="AE18" i="6"/>
  <c r="AF16" i="6"/>
  <c r="AF18" i="6" s="1"/>
  <c r="AW16" i="6"/>
  <c r="CD16" i="6"/>
  <c r="CD18" i="6" s="1"/>
  <c r="AA16" i="6"/>
  <c r="AA18" i="6" s="1"/>
  <c r="AR16" i="6"/>
  <c r="AR18" i="6" s="1"/>
  <c r="AI126" i="6"/>
  <c r="AI128" i="6" s="1"/>
  <c r="AH128" i="6"/>
  <c r="BW128" i="6"/>
  <c r="BX126" i="6"/>
  <c r="BX128" i="6" s="1"/>
  <c r="I126" i="6"/>
  <c r="I128" i="6" s="1"/>
  <c r="BV126" i="6"/>
  <c r="BV128" i="6" s="1"/>
  <c r="M126" i="6"/>
  <c r="M128" i="6" s="1"/>
  <c r="AU128" i="6"/>
  <c r="AV126" i="6"/>
  <c r="AT12" i="7"/>
  <c r="AT60" i="5"/>
  <c r="BM12" i="7"/>
  <c r="BM60" i="5"/>
  <c r="AY12" i="7"/>
  <c r="AY60" i="5"/>
  <c r="AZ12" i="7"/>
  <c r="AZ60" i="5"/>
  <c r="BH122" i="7"/>
  <c r="BH170" i="5"/>
  <c r="AE122" i="7"/>
  <c r="AE170" i="5"/>
  <c r="CE12" i="7"/>
  <c r="CE60" i="5"/>
  <c r="G122" i="7"/>
  <c r="G170" i="5"/>
  <c r="X32" i="6"/>
  <c r="X35" i="6"/>
  <c r="X36" i="6"/>
  <c r="X12" i="6"/>
  <c r="W32" i="6"/>
  <c r="W35" i="6"/>
  <c r="W36" i="6"/>
  <c r="W12" i="6"/>
  <c r="F146" i="6"/>
  <c r="F142" i="6"/>
  <c r="F145" i="6"/>
  <c r="F122" i="6"/>
  <c r="DL5" i="7"/>
  <c r="DL5" i="6"/>
  <c r="DL5" i="5"/>
  <c r="AI122" i="7"/>
  <c r="AI170" i="5"/>
  <c r="L6" i="7"/>
  <c r="L6" i="6"/>
  <c r="L6" i="5"/>
  <c r="CF16" i="6"/>
  <c r="CF18" i="6" s="1"/>
  <c r="L5" i="7"/>
  <c r="L5" i="6"/>
  <c r="L5" i="5"/>
  <c r="DE6" i="7"/>
  <c r="DE6" i="6"/>
  <c r="DE6" i="5"/>
  <c r="S16" i="6"/>
  <c r="S18" i="6" s="1"/>
  <c r="BI16" i="6"/>
  <c r="BI18" i="6" s="1"/>
  <c r="CA16" i="6"/>
  <c r="CA18" i="6" s="1"/>
  <c r="AV16" i="6"/>
  <c r="J16" i="6"/>
  <c r="J18" i="6" s="1"/>
  <c r="AQ16" i="6"/>
  <c r="BO126" i="6"/>
  <c r="BO128" i="6" s="1"/>
  <c r="AF126" i="6"/>
  <c r="AO126" i="6"/>
  <c r="AC126" i="6"/>
  <c r="AC128" i="6" s="1"/>
  <c r="V12" i="7"/>
  <c r="V60" i="5"/>
  <c r="AR12" i="7"/>
  <c r="AR60" i="5"/>
  <c r="BA122" i="7"/>
  <c r="BA170" i="5"/>
  <c r="G12" i="7"/>
  <c r="G60" i="5"/>
  <c r="BO12" i="7"/>
  <c r="BO60" i="5"/>
  <c r="BE12" i="7"/>
  <c r="BE60" i="5"/>
  <c r="L12" i="7"/>
  <c r="L60" i="5"/>
  <c r="BF122" i="7"/>
  <c r="BF170" i="5"/>
  <c r="W122" i="7"/>
  <c r="W170" i="5"/>
  <c r="F32" i="6"/>
  <c r="F35" i="6"/>
  <c r="F36" i="6"/>
  <c r="F12" i="6"/>
  <c r="BZ142" i="6"/>
  <c r="BZ145" i="6"/>
  <c r="BZ146" i="6"/>
  <c r="BZ122" i="6"/>
  <c r="BK36" i="6"/>
  <c r="BK35" i="6"/>
  <c r="BK12" i="6"/>
  <c r="BK32" i="6"/>
  <c r="AC6" i="7"/>
  <c r="AC6" i="6"/>
  <c r="AC6" i="5"/>
  <c r="BC16" i="6"/>
  <c r="K128" i="6"/>
  <c r="L126" i="6"/>
  <c r="BX12" i="7"/>
  <c r="BX60" i="5"/>
  <c r="BW16" i="6"/>
  <c r="BW18" i="6" s="1"/>
  <c r="BU16" i="6"/>
  <c r="AA5" i="7"/>
  <c r="AA5" i="6"/>
  <c r="AA5" i="5"/>
  <c r="DT6" i="7"/>
  <c r="DT6" i="6"/>
  <c r="DT6" i="5"/>
  <c r="CD128" i="6"/>
  <c r="CE126" i="6"/>
  <c r="BJ16" i="6"/>
  <c r="BJ18" i="6" s="1"/>
  <c r="BY16" i="6"/>
  <c r="BL16" i="6"/>
  <c r="CC16" i="6"/>
  <c r="CC18" i="6" s="1"/>
  <c r="G18" i="6"/>
  <c r="H16" i="6"/>
  <c r="H18" i="6" s="1"/>
  <c r="BE16" i="6"/>
  <c r="BE18" i="6" s="1"/>
  <c r="AY126" i="6"/>
  <c r="BE126" i="6"/>
  <c r="AS126" i="6"/>
  <c r="CA12" i="7"/>
  <c r="CA60" i="5"/>
  <c r="CF12" i="7"/>
  <c r="CF60" i="5"/>
  <c r="AJ12" i="7"/>
  <c r="AJ60" i="5"/>
  <c r="CC12" i="7"/>
  <c r="CC60" i="5"/>
  <c r="K12" i="7"/>
  <c r="K60" i="5"/>
  <c r="AS122" i="7"/>
  <c r="AS170" i="5"/>
  <c r="AM122" i="7"/>
  <c r="AM170" i="5"/>
  <c r="AA35" i="6"/>
  <c r="AA36" i="6"/>
  <c r="AA32" i="6"/>
  <c r="AA12" i="6"/>
  <c r="CN5" i="7"/>
  <c r="CN5" i="5"/>
  <c r="CN5" i="6"/>
  <c r="AR122" i="7"/>
  <c r="AR170" i="5"/>
  <c r="BX6" i="7"/>
  <c r="BX6" i="6"/>
  <c r="BX6" i="5"/>
  <c r="R122" i="7"/>
  <c r="R170" i="5"/>
  <c r="BY35" i="6"/>
  <c r="BY36" i="6"/>
  <c r="BY32" i="6"/>
  <c r="BY12" i="6"/>
  <c r="CQ6" i="7"/>
  <c r="CQ6" i="6"/>
  <c r="CQ6" i="5"/>
  <c r="BI6" i="7"/>
  <c r="BI6" i="6"/>
  <c r="BI6" i="5"/>
  <c r="DS5" i="7"/>
  <c r="DS5" i="6"/>
  <c r="DS5" i="5"/>
  <c r="AU6" i="7"/>
  <c r="AU6" i="6"/>
  <c r="AU6" i="5"/>
  <c r="AD5" i="7"/>
  <c r="AD5" i="6"/>
  <c r="AD5" i="5"/>
  <c r="N16" i="6"/>
  <c r="CB16" i="6"/>
  <c r="CB18" i="6" s="1"/>
  <c r="AE126" i="6"/>
  <c r="AD128" i="6"/>
  <c r="BL126" i="6"/>
  <c r="BL128" i="6" s="1"/>
  <c r="BK128" i="6"/>
  <c r="H126" i="6"/>
  <c r="H128" i="6" s="1"/>
  <c r="BU126" i="6"/>
  <c r="BU128" i="6" s="1"/>
  <c r="BH128" i="6"/>
  <c r="BI126" i="6"/>
  <c r="BI128" i="6" s="1"/>
  <c r="AE12" i="7"/>
  <c r="AE60" i="5"/>
  <c r="AG12" i="7"/>
  <c r="AG60" i="5"/>
  <c r="X122" i="7"/>
  <c r="X170" i="5"/>
  <c r="T12" i="7"/>
  <c r="T60" i="5"/>
  <c r="BU12" i="7"/>
  <c r="BU60" i="5"/>
  <c r="AA12" i="7"/>
  <c r="AA60" i="5"/>
  <c r="M12" i="7"/>
  <c r="M60" i="5"/>
  <c r="T122" i="7"/>
  <c r="T170" i="5"/>
  <c r="BI122" i="7"/>
  <c r="BI170" i="5"/>
  <c r="BC122" i="7"/>
  <c r="BC170" i="5"/>
  <c r="AL32" i="6"/>
  <c r="AL35" i="6"/>
  <c r="AL36" i="6"/>
  <c r="AL12" i="6"/>
  <c r="H146" i="6"/>
  <c r="H142" i="6"/>
  <c r="H145" i="6"/>
  <c r="H122" i="6"/>
  <c r="BM36" i="6"/>
  <c r="BM32" i="6"/>
  <c r="BM35" i="6"/>
  <c r="BM12" i="6"/>
  <c r="AP146" i="6"/>
  <c r="AP142" i="6"/>
  <c r="AP122" i="6"/>
  <c r="AP145" i="6"/>
  <c r="BX35" i="6"/>
  <c r="BX32" i="6"/>
  <c r="BX36" i="6"/>
  <c r="BX12" i="6"/>
  <c r="J35" i="6"/>
  <c r="J36" i="6"/>
  <c r="J32" i="6"/>
  <c r="J12" i="6"/>
  <c r="CD36" i="6"/>
  <c r="CD32" i="6"/>
  <c r="CD35" i="6"/>
  <c r="CD12" i="6"/>
  <c r="AU145" i="6"/>
  <c r="AU146" i="6"/>
  <c r="AU142" i="6"/>
  <c r="AU122" i="6"/>
  <c r="AG145" i="6"/>
  <c r="AG142" i="6"/>
  <c r="AG122" i="6"/>
  <c r="AG146" i="6"/>
  <c r="BF146" i="6"/>
  <c r="BF142" i="6"/>
  <c r="BF122" i="6"/>
  <c r="BF145" i="6"/>
  <c r="BV12" i="7"/>
  <c r="BV60" i="5"/>
  <c r="BK122" i="7"/>
  <c r="BK170" i="5"/>
  <c r="L122" i="7"/>
  <c r="L170" i="5"/>
  <c r="Z35" i="6"/>
  <c r="Z36" i="6"/>
  <c r="Z32" i="6"/>
  <c r="Z12" i="6"/>
  <c r="K35" i="6"/>
  <c r="K32" i="6"/>
  <c r="K36" i="6"/>
  <c r="K12" i="6"/>
  <c r="P36" i="6"/>
  <c r="P12" i="6"/>
  <c r="P35" i="6"/>
  <c r="P32" i="6"/>
  <c r="AI36" i="6"/>
  <c r="AI32" i="6"/>
  <c r="AI35" i="6"/>
  <c r="AI12" i="6"/>
  <c r="V32" i="6"/>
  <c r="V35" i="6"/>
  <c r="V36" i="6"/>
  <c r="V12" i="6"/>
  <c r="BK145" i="6"/>
  <c r="BK146" i="6"/>
  <c r="BK122" i="6"/>
  <c r="BK142" i="6"/>
  <c r="BM145" i="6"/>
  <c r="BM142" i="6"/>
  <c r="BM146" i="6"/>
  <c r="BM122" i="6"/>
  <c r="BP146" i="6"/>
  <c r="BP145" i="6"/>
  <c r="BP122" i="6"/>
  <c r="BP142" i="6"/>
  <c r="BS146" i="6"/>
  <c r="BS142" i="6"/>
  <c r="BS122" i="6"/>
  <c r="BS145" i="6"/>
  <c r="K142" i="6"/>
  <c r="K145" i="6"/>
  <c r="K146" i="6"/>
  <c r="K122" i="6"/>
  <c r="CA122" i="7"/>
  <c r="CA170" i="5"/>
  <c r="CF16" i="7"/>
  <c r="CF17" i="7"/>
  <c r="B24" i="11" s="1"/>
  <c r="B24" i="5"/>
  <c r="D36" i="5"/>
  <c r="L35" i="6"/>
  <c r="L32" i="6"/>
  <c r="L36" i="6"/>
  <c r="L12" i="6"/>
  <c r="AV32" i="6"/>
  <c r="AV12" i="6"/>
  <c r="AV36" i="6"/>
  <c r="AV35" i="6"/>
  <c r="BB32" i="6"/>
  <c r="BB35" i="6"/>
  <c r="BB36" i="6"/>
  <c r="BB12" i="6"/>
  <c r="R145" i="6"/>
  <c r="R146" i="6"/>
  <c r="R122" i="6"/>
  <c r="R142" i="6"/>
  <c r="E146" i="6"/>
  <c r="E122" i="6"/>
  <c r="E145" i="6"/>
  <c r="E142" i="6"/>
  <c r="X146" i="6"/>
  <c r="X142" i="6"/>
  <c r="X145" i="6"/>
  <c r="X122" i="6"/>
  <c r="AQ142" i="6"/>
  <c r="AQ145" i="6"/>
  <c r="AQ122" i="6"/>
  <c r="AQ146" i="6"/>
  <c r="BG5" i="7"/>
  <c r="BG5" i="6"/>
  <c r="BG5" i="5"/>
  <c r="BV6" i="7"/>
  <c r="BV6" i="6"/>
  <c r="BV6" i="5"/>
  <c r="E160" i="6"/>
  <c r="D98" i="4"/>
  <c r="E50" i="6"/>
  <c r="D38" i="4"/>
  <c r="BT12" i="7"/>
  <c r="BT60" i="5"/>
  <c r="D146" i="5"/>
  <c r="E24" i="5"/>
  <c r="O36" i="6"/>
  <c r="O35" i="6"/>
  <c r="O12" i="6"/>
  <c r="O32" i="6"/>
  <c r="BF35" i="6"/>
  <c r="BF36" i="6"/>
  <c r="BF32" i="6"/>
  <c r="BF12" i="6"/>
  <c r="BL12" i="6"/>
  <c r="BL36" i="6"/>
  <c r="BL35" i="6"/>
  <c r="BL32" i="6"/>
  <c r="CE36" i="6"/>
  <c r="CE32" i="6"/>
  <c r="CE35" i="6"/>
  <c r="CE12" i="6"/>
  <c r="BR32" i="6"/>
  <c r="BR35" i="6"/>
  <c r="BR36" i="6"/>
  <c r="BR12" i="6"/>
  <c r="M142" i="6"/>
  <c r="M145" i="6"/>
  <c r="M146" i="6"/>
  <c r="M122" i="6"/>
  <c r="AH145" i="6"/>
  <c r="AH146" i="6"/>
  <c r="AH142" i="6"/>
  <c r="AH122" i="6"/>
  <c r="U146" i="6"/>
  <c r="U145" i="6"/>
  <c r="U122" i="6"/>
  <c r="U142" i="6"/>
  <c r="AN146" i="6"/>
  <c r="AN142" i="6"/>
  <c r="AN145" i="6"/>
  <c r="AN122" i="6"/>
  <c r="BG142" i="6"/>
  <c r="BG145" i="6"/>
  <c r="BG146" i="6"/>
  <c r="BG122" i="6"/>
  <c r="AJ5" i="7"/>
  <c r="AJ5" i="6"/>
  <c r="AJ5" i="5"/>
  <c r="AR5" i="7"/>
  <c r="AR5" i="6"/>
  <c r="AR5" i="5"/>
  <c r="CP5" i="7"/>
  <c r="CP5" i="6"/>
  <c r="CP5" i="5"/>
  <c r="T5" i="7"/>
  <c r="T5" i="6"/>
  <c r="T5" i="5"/>
  <c r="AB6" i="7"/>
  <c r="AB6" i="6"/>
  <c r="AB6" i="5"/>
  <c r="AQ6" i="7"/>
  <c r="AQ6" i="6"/>
  <c r="AQ6" i="5"/>
  <c r="BU6" i="7"/>
  <c r="BU6" i="6"/>
  <c r="BU6" i="5"/>
  <c r="BZ6" i="7"/>
  <c r="BZ6" i="6"/>
  <c r="BZ6" i="5"/>
  <c r="B13" i="5"/>
  <c r="CB36" i="6"/>
  <c r="CB35" i="6"/>
  <c r="CB12" i="6"/>
  <c r="CB32" i="6"/>
  <c r="D36" i="6"/>
  <c r="D32" i="6"/>
  <c r="D12" i="6"/>
  <c r="D13" i="6" s="1"/>
  <c r="D37" i="4" s="1"/>
  <c r="D35" i="6"/>
  <c r="G32" i="6"/>
  <c r="G35" i="6"/>
  <c r="G12" i="6"/>
  <c r="G36" i="6"/>
  <c r="AC142" i="6"/>
  <c r="AC145" i="6"/>
  <c r="AC146" i="6"/>
  <c r="AC122" i="6"/>
  <c r="AK146" i="6"/>
  <c r="AK142" i="6"/>
  <c r="AK122" i="6"/>
  <c r="AK145" i="6"/>
  <c r="BD146" i="6"/>
  <c r="BD142" i="6"/>
  <c r="BD145" i="6"/>
  <c r="BD122" i="6"/>
  <c r="BW142" i="6"/>
  <c r="BW145" i="6"/>
  <c r="BW146" i="6"/>
  <c r="BW122" i="6"/>
  <c r="DO200" i="3"/>
  <c r="CY200" i="3"/>
  <c r="CI200" i="3"/>
  <c r="BS200" i="3"/>
  <c r="BC200" i="3"/>
  <c r="AM200" i="3"/>
  <c r="W200" i="3"/>
  <c r="G200" i="3"/>
  <c r="DN200" i="3"/>
  <c r="CX200" i="3"/>
  <c r="CH200" i="3"/>
  <c r="BR200" i="3"/>
  <c r="BB200" i="3"/>
  <c r="AL200" i="3"/>
  <c r="V200" i="3"/>
  <c r="F200" i="3"/>
  <c r="DE200" i="3"/>
  <c r="M200" i="3"/>
  <c r="DM200" i="3"/>
  <c r="CW200" i="3"/>
  <c r="CG200" i="3"/>
  <c r="BQ200" i="3"/>
  <c r="BA200" i="3"/>
  <c r="AK200" i="3"/>
  <c r="U200" i="3"/>
  <c r="E200" i="3"/>
  <c r="CD200" i="3"/>
  <c r="R200" i="3"/>
  <c r="CB200" i="3"/>
  <c r="DL200" i="3"/>
  <c r="CV200" i="3"/>
  <c r="CF200" i="3"/>
  <c r="BP200" i="3"/>
  <c r="AZ200" i="3"/>
  <c r="AJ200" i="3"/>
  <c r="T200" i="3"/>
  <c r="E19" i="3"/>
  <c r="CT200" i="3"/>
  <c r="BN200" i="3"/>
  <c r="AH200" i="3"/>
  <c r="BL200" i="3"/>
  <c r="AC200" i="3"/>
  <c r="DK200" i="3"/>
  <c r="CU200" i="3"/>
  <c r="CE200" i="3"/>
  <c r="BO200" i="3"/>
  <c r="AY200" i="3"/>
  <c r="AI200" i="3"/>
  <c r="S200" i="3"/>
  <c r="AX200" i="3"/>
  <c r="AV200" i="3"/>
  <c r="P200" i="3"/>
  <c r="DJ200" i="3"/>
  <c r="CR200" i="3"/>
  <c r="AF200" i="3"/>
  <c r="BY200" i="3"/>
  <c r="DI200" i="3"/>
  <c r="CS200" i="3"/>
  <c r="CC200" i="3"/>
  <c r="BM200" i="3"/>
  <c r="AW200" i="3"/>
  <c r="AG200" i="3"/>
  <c r="Q200" i="3"/>
  <c r="DH200" i="3"/>
  <c r="DG200" i="3"/>
  <c r="CQ200" i="3"/>
  <c r="CA200" i="3"/>
  <c r="BK200" i="3"/>
  <c r="AU200" i="3"/>
  <c r="AE200" i="3"/>
  <c r="O200" i="3"/>
  <c r="CP200" i="3"/>
  <c r="BZ200" i="3"/>
  <c r="BJ200" i="3"/>
  <c r="AT200" i="3"/>
  <c r="N200" i="3"/>
  <c r="AS200" i="3"/>
  <c r="DF200" i="3"/>
  <c r="AD200" i="3"/>
  <c r="BI200" i="3"/>
  <c r="CO200" i="3"/>
  <c r="DR200" i="3"/>
  <c r="DB200" i="3"/>
  <c r="CL200" i="3"/>
  <c r="BV200" i="3"/>
  <c r="BF200" i="3"/>
  <c r="AP200" i="3"/>
  <c r="Z200" i="3"/>
  <c r="J200" i="3"/>
  <c r="CN200" i="3"/>
  <c r="AB200" i="3"/>
  <c r="AR200" i="3"/>
  <c r="AQ200" i="3"/>
  <c r="CM200" i="3"/>
  <c r="AA200" i="3"/>
  <c r="DP200" i="3"/>
  <c r="DC200" i="3"/>
  <c r="CK200" i="3"/>
  <c r="Y200" i="3"/>
  <c r="CJ200" i="3"/>
  <c r="BD200" i="3"/>
  <c r="AO200" i="3"/>
  <c r="X200" i="3"/>
  <c r="L200" i="3"/>
  <c r="BX200" i="3"/>
  <c r="K200" i="3"/>
  <c r="BW200" i="3"/>
  <c r="BU200" i="3"/>
  <c r="I200" i="3"/>
  <c r="BT200" i="3"/>
  <c r="H200" i="3"/>
  <c r="DT200" i="3"/>
  <c r="BH200" i="3"/>
  <c r="DA200" i="3"/>
  <c r="DS200" i="3"/>
  <c r="BG200" i="3"/>
  <c r="DQ200" i="3"/>
  <c r="BE200" i="3"/>
  <c r="DD200" i="3"/>
  <c r="CZ200" i="3"/>
  <c r="AN200" i="3"/>
  <c r="D5" i="7"/>
  <c r="D5" i="6"/>
  <c r="D5" i="5"/>
  <c r="AB5" i="7"/>
  <c r="AB5" i="6"/>
  <c r="AB5" i="5"/>
  <c r="AQ5" i="7"/>
  <c r="AQ5" i="6"/>
  <c r="AQ5" i="5"/>
  <c r="AE6" i="7"/>
  <c r="AE6" i="6"/>
  <c r="AE6" i="5"/>
  <c r="BZ5" i="7"/>
  <c r="BZ5" i="6"/>
  <c r="BZ5" i="5"/>
  <c r="E13" i="5"/>
  <c r="CF126" i="7"/>
  <c r="CF127" i="7"/>
  <c r="C24" i="11" s="1"/>
  <c r="AB35" i="6"/>
  <c r="AB32" i="6"/>
  <c r="AB36" i="6"/>
  <c r="AB12" i="6"/>
  <c r="BG35" i="6"/>
  <c r="BG32" i="6"/>
  <c r="BG36" i="6"/>
  <c r="BG12" i="6"/>
  <c r="Q36" i="6"/>
  <c r="Q32" i="6"/>
  <c r="Q35" i="6"/>
  <c r="Q12" i="6"/>
  <c r="T36" i="6"/>
  <c r="T12" i="6"/>
  <c r="T35" i="6"/>
  <c r="T32" i="6"/>
  <c r="AS142" i="6"/>
  <c r="AS145" i="6"/>
  <c r="AS146" i="6"/>
  <c r="AS122" i="6"/>
  <c r="BA146" i="6"/>
  <c r="BA122" i="6"/>
  <c r="BA145" i="6"/>
  <c r="BA142" i="6"/>
  <c r="BT146" i="6"/>
  <c r="BT142" i="6"/>
  <c r="BT145" i="6"/>
  <c r="BT122" i="6"/>
  <c r="B26" i="11"/>
  <c r="D59" i="6"/>
  <c r="C26" i="11"/>
  <c r="D169" i="6"/>
  <c r="BV35" i="6"/>
  <c r="BV36" i="6"/>
  <c r="BV32" i="6"/>
  <c r="BV12" i="6"/>
  <c r="I32" i="6"/>
  <c r="I36" i="6"/>
  <c r="I12" i="6"/>
  <c r="I35" i="6"/>
  <c r="AG36" i="6"/>
  <c r="AG32" i="6"/>
  <c r="AG35" i="6"/>
  <c r="AG12" i="6"/>
  <c r="AJ36" i="6"/>
  <c r="AJ35" i="6"/>
  <c r="AJ12" i="6"/>
  <c r="AJ32" i="6"/>
  <c r="AM32" i="6"/>
  <c r="AM35" i="6"/>
  <c r="AM36" i="6"/>
  <c r="AM12" i="6"/>
  <c r="BI142" i="6"/>
  <c r="BI145" i="6"/>
  <c r="BI146" i="6"/>
  <c r="BI122" i="6"/>
  <c r="CD145" i="6"/>
  <c r="CD146" i="6"/>
  <c r="CD142" i="6"/>
  <c r="CD122" i="6"/>
  <c r="BQ146" i="6"/>
  <c r="BQ145" i="6"/>
  <c r="BQ122" i="6"/>
  <c r="BQ142" i="6"/>
  <c r="I146" i="6"/>
  <c r="I142" i="6"/>
  <c r="I122" i="6"/>
  <c r="I145" i="6"/>
  <c r="AB142" i="6"/>
  <c r="AB145" i="6"/>
  <c r="AB146" i="6"/>
  <c r="AB122" i="6"/>
  <c r="AN32" i="6"/>
  <c r="AN35" i="6"/>
  <c r="AN36" i="6"/>
  <c r="AN12" i="6"/>
  <c r="Y32" i="6"/>
  <c r="Y36" i="6"/>
  <c r="Y35" i="6"/>
  <c r="Y12" i="6"/>
  <c r="AZ36" i="6"/>
  <c r="AZ32" i="6"/>
  <c r="AZ12" i="6"/>
  <c r="AZ35" i="6"/>
  <c r="BC32" i="6"/>
  <c r="BC35" i="6"/>
  <c r="BC36" i="6"/>
  <c r="BC12" i="6"/>
  <c r="BY142" i="6"/>
  <c r="BY145" i="6"/>
  <c r="BY146" i="6"/>
  <c r="BY122" i="6"/>
  <c r="S145" i="6"/>
  <c r="S146" i="6"/>
  <c r="S142" i="6"/>
  <c r="S122" i="6"/>
  <c r="Y146" i="6"/>
  <c r="Y142" i="6"/>
  <c r="Y122" i="6"/>
  <c r="Y145" i="6"/>
  <c r="AR142" i="6"/>
  <c r="AR145" i="6"/>
  <c r="AR122" i="6"/>
  <c r="AR146" i="6"/>
  <c r="AE36" i="6"/>
  <c r="AE35" i="6"/>
  <c r="AE12" i="6"/>
  <c r="AE32" i="6"/>
  <c r="BZ35" i="6"/>
  <c r="BZ36" i="6"/>
  <c r="BZ32" i="6"/>
  <c r="BZ12" i="6"/>
  <c r="AO32" i="6"/>
  <c r="AO35" i="6"/>
  <c r="AO36" i="6"/>
  <c r="AO12" i="6"/>
  <c r="BP36" i="6"/>
  <c r="BP12" i="6"/>
  <c r="BP35" i="6"/>
  <c r="BP32" i="6"/>
  <c r="BS32" i="6"/>
  <c r="BS35" i="6"/>
  <c r="BS36" i="6"/>
  <c r="BS12" i="6"/>
  <c r="AI145" i="6"/>
  <c r="AI146" i="6"/>
  <c r="AI142" i="6"/>
  <c r="AI122" i="6"/>
  <c r="V146" i="6"/>
  <c r="V142" i="6"/>
  <c r="V145" i="6"/>
  <c r="V122" i="6"/>
  <c r="BH142" i="6"/>
  <c r="BH145" i="6"/>
  <c r="BH146" i="6"/>
  <c r="BH122" i="6"/>
  <c r="K6" i="7"/>
  <c r="K6" i="6"/>
  <c r="K6" i="5"/>
  <c r="AT6" i="7"/>
  <c r="AT6" i="6"/>
  <c r="AT6" i="5"/>
  <c r="CO6" i="7"/>
  <c r="CO6" i="6"/>
  <c r="CO6" i="5"/>
  <c r="I6" i="7"/>
  <c r="I6" i="6"/>
  <c r="I6" i="5"/>
  <c r="AT5" i="7"/>
  <c r="AT5" i="6"/>
  <c r="AT5" i="5"/>
  <c r="AP35" i="6"/>
  <c r="AP36" i="6"/>
  <c r="AP32" i="6"/>
  <c r="AP12" i="6"/>
  <c r="CC36" i="6"/>
  <c r="CC32" i="6"/>
  <c r="CC35" i="6"/>
  <c r="CC12" i="6"/>
  <c r="CF36" i="6"/>
  <c r="CF12" i="6"/>
  <c r="CF35" i="6"/>
  <c r="CF32" i="6"/>
  <c r="AT142" i="6"/>
  <c r="AT145" i="6"/>
  <c r="AT146" i="6"/>
  <c r="AT122" i="6"/>
  <c r="AY145" i="6"/>
  <c r="AY146" i="6"/>
  <c r="AY142" i="6"/>
  <c r="AY122" i="6"/>
  <c r="BX142" i="6"/>
  <c r="BX145" i="6"/>
  <c r="BX146" i="6"/>
  <c r="BX122" i="6"/>
  <c r="CL6" i="7"/>
  <c r="CL6" i="6"/>
  <c r="CL6" i="5"/>
  <c r="Y6" i="7"/>
  <c r="Y6" i="6"/>
  <c r="Y6" i="5"/>
  <c r="DT5" i="7"/>
  <c r="DT5" i="5"/>
  <c r="DT5" i="6"/>
  <c r="K5" i="7"/>
  <c r="K5" i="6"/>
  <c r="K5" i="5"/>
  <c r="DB6" i="7"/>
  <c r="DB6" i="6"/>
  <c r="DB6" i="5"/>
  <c r="BY6" i="7"/>
  <c r="BY6" i="6"/>
  <c r="BY6" i="5"/>
  <c r="DD6" i="7"/>
  <c r="DD6" i="6"/>
  <c r="DD6" i="5"/>
  <c r="DS6" i="7"/>
  <c r="DS6" i="6"/>
  <c r="DS6" i="5"/>
  <c r="CK6" i="7"/>
  <c r="CK6" i="6"/>
  <c r="CK6" i="5"/>
  <c r="DH5" i="7"/>
  <c r="DH5" i="6"/>
  <c r="DH5" i="5"/>
  <c r="AD6" i="7"/>
  <c r="AD6" i="6"/>
  <c r="AD6" i="5"/>
  <c r="BJ35" i="6"/>
  <c r="BJ36" i="6"/>
  <c r="BJ32" i="6"/>
  <c r="BJ12" i="6"/>
  <c r="R36" i="6"/>
  <c r="R32" i="6"/>
  <c r="R12" i="6"/>
  <c r="R35" i="6"/>
  <c r="E36" i="6"/>
  <c r="E32" i="6"/>
  <c r="E12" i="6"/>
  <c r="E35" i="6"/>
  <c r="AV145" i="6"/>
  <c r="AV142" i="6"/>
  <c r="AV122" i="6"/>
  <c r="AV146" i="6"/>
  <c r="BO145" i="6"/>
  <c r="BO146" i="6"/>
  <c r="BO142" i="6"/>
  <c r="BO122" i="6"/>
  <c r="AR35" i="6"/>
  <c r="AR32" i="6"/>
  <c r="AR36" i="6"/>
  <c r="AR12" i="6"/>
  <c r="M35" i="6"/>
  <c r="M36" i="6"/>
  <c r="M32" i="6"/>
  <c r="M12" i="6"/>
  <c r="AH36" i="6"/>
  <c r="AH32" i="6"/>
  <c r="AH35" i="6"/>
  <c r="AH12" i="6"/>
  <c r="U36" i="6"/>
  <c r="U32" i="6"/>
  <c r="U12" i="6"/>
  <c r="U35" i="6"/>
  <c r="O145" i="6"/>
  <c r="O146" i="6"/>
  <c r="O122" i="6"/>
  <c r="O142" i="6"/>
  <c r="BL145" i="6"/>
  <c r="BL146" i="6"/>
  <c r="BL122" i="6"/>
  <c r="BL142" i="6"/>
  <c r="J146" i="6"/>
  <c r="J142" i="6"/>
  <c r="J122" i="6"/>
  <c r="J145" i="6"/>
  <c r="D10" i="11"/>
  <c r="B27" i="11"/>
  <c r="BT32" i="6"/>
  <c r="BT35" i="6"/>
  <c r="BT36" i="6"/>
  <c r="BT12" i="6"/>
  <c r="AX36" i="6"/>
  <c r="AX32" i="6"/>
  <c r="AX12" i="6"/>
  <c r="AX35" i="6"/>
  <c r="AK36" i="6"/>
  <c r="AK32" i="6"/>
  <c r="AK35" i="6"/>
  <c r="AK12" i="6"/>
  <c r="AD142" i="6"/>
  <c r="AD145" i="6"/>
  <c r="AD146" i="6"/>
  <c r="AD122" i="6"/>
  <c r="CB145" i="6"/>
  <c r="CB146" i="6"/>
  <c r="CB142" i="6"/>
  <c r="CB122" i="6"/>
  <c r="D146" i="6"/>
  <c r="D122" i="6"/>
  <c r="D145" i="6"/>
  <c r="D142" i="6"/>
  <c r="G146" i="6"/>
  <c r="G142" i="6"/>
  <c r="G122" i="6"/>
  <c r="G145" i="6"/>
  <c r="Z146" i="6"/>
  <c r="Z142" i="6"/>
  <c r="Z122" i="6"/>
  <c r="Z145" i="6"/>
  <c r="DH90" i="3"/>
  <c r="CR90" i="3"/>
  <c r="CB90" i="3"/>
  <c r="BL90" i="3"/>
  <c r="AV90" i="3"/>
  <c r="AF90" i="3"/>
  <c r="P90" i="3"/>
  <c r="DG90" i="3"/>
  <c r="CQ90" i="3"/>
  <c r="CA90" i="3"/>
  <c r="BK90" i="3"/>
  <c r="AU90" i="3"/>
  <c r="AE90" i="3"/>
  <c r="O90" i="3"/>
  <c r="BR90" i="3"/>
  <c r="DF90" i="3"/>
  <c r="CP90" i="3"/>
  <c r="BZ90" i="3"/>
  <c r="BJ90" i="3"/>
  <c r="AT90" i="3"/>
  <c r="AD90" i="3"/>
  <c r="N90" i="3"/>
  <c r="CM90" i="3"/>
  <c r="AQ90" i="3"/>
  <c r="BU90" i="3"/>
  <c r="I90" i="3"/>
  <c r="DE90" i="3"/>
  <c r="CO90" i="3"/>
  <c r="BY90" i="3"/>
  <c r="BI90" i="3"/>
  <c r="AS90" i="3"/>
  <c r="AC90" i="3"/>
  <c r="M90" i="3"/>
  <c r="DC90" i="3"/>
  <c r="BG90" i="3"/>
  <c r="DA90" i="3"/>
  <c r="DT90" i="3"/>
  <c r="DD90" i="3"/>
  <c r="CN90" i="3"/>
  <c r="BX90" i="3"/>
  <c r="BH90" i="3"/>
  <c r="AR90" i="3"/>
  <c r="AB90" i="3"/>
  <c r="L90" i="3"/>
  <c r="B19" i="3"/>
  <c r="AA90" i="3"/>
  <c r="BE90" i="3"/>
  <c r="DS90" i="3"/>
  <c r="BW90" i="3"/>
  <c r="K90" i="3"/>
  <c r="CK90" i="3"/>
  <c r="Y90" i="3"/>
  <c r="F90" i="3"/>
  <c r="DR90" i="3"/>
  <c r="DB90" i="3"/>
  <c r="CL90" i="3"/>
  <c r="BV90" i="3"/>
  <c r="BF90" i="3"/>
  <c r="AP90" i="3"/>
  <c r="Z90" i="3"/>
  <c r="J90" i="3"/>
  <c r="DN90" i="3"/>
  <c r="DQ90" i="3"/>
  <c r="AO90" i="3"/>
  <c r="CH90" i="3"/>
  <c r="DP90" i="3"/>
  <c r="CZ90" i="3"/>
  <c r="CJ90" i="3"/>
  <c r="BT90" i="3"/>
  <c r="BD90" i="3"/>
  <c r="AN90" i="3"/>
  <c r="X90" i="3"/>
  <c r="H90" i="3"/>
  <c r="CY90" i="3"/>
  <c r="CI90" i="3"/>
  <c r="BC90" i="3"/>
  <c r="W90" i="3"/>
  <c r="BB90" i="3"/>
  <c r="DO90" i="3"/>
  <c r="BS90" i="3"/>
  <c r="AM90" i="3"/>
  <c r="G90" i="3"/>
  <c r="V90" i="3"/>
  <c r="CX90" i="3"/>
  <c r="AL90" i="3"/>
  <c r="DK90" i="3"/>
  <c r="CU90" i="3"/>
  <c r="CE90" i="3"/>
  <c r="BO90" i="3"/>
  <c r="AY90" i="3"/>
  <c r="AI90" i="3"/>
  <c r="S90" i="3"/>
  <c r="CS90" i="3"/>
  <c r="AG90" i="3"/>
  <c r="CG90" i="3"/>
  <c r="U90" i="3"/>
  <c r="Q90" i="3"/>
  <c r="E90" i="3"/>
  <c r="CF90" i="3"/>
  <c r="T90" i="3"/>
  <c r="CD90" i="3"/>
  <c r="R90" i="3"/>
  <c r="AK90" i="3"/>
  <c r="CC90" i="3"/>
  <c r="BQ90" i="3"/>
  <c r="AW90" i="3"/>
  <c r="AJ90" i="3"/>
  <c r="BP90" i="3"/>
  <c r="DI90" i="3"/>
  <c r="CW90" i="3"/>
  <c r="BN90" i="3"/>
  <c r="BM90" i="3"/>
  <c r="DM90" i="3"/>
  <c r="BA90" i="3"/>
  <c r="AX90" i="3"/>
  <c r="CV90" i="3"/>
  <c r="DL90" i="3"/>
  <c r="AZ90" i="3"/>
  <c r="DJ90" i="3"/>
  <c r="CT90" i="3"/>
  <c r="AH90" i="3"/>
  <c r="N5" i="7"/>
  <c r="N5" i="6"/>
  <c r="N5" i="5"/>
  <c r="C27" i="11"/>
  <c r="BW35" i="6"/>
  <c r="BW36" i="6"/>
  <c r="BW12" i="6"/>
  <c r="BW32" i="6"/>
  <c r="AS35" i="6"/>
  <c r="AS36" i="6"/>
  <c r="AS32" i="6"/>
  <c r="AS12" i="6"/>
  <c r="BN36" i="6"/>
  <c r="BN32" i="6"/>
  <c r="BN12" i="6"/>
  <c r="BN35" i="6"/>
  <c r="AE145" i="6"/>
  <c r="AE146" i="6"/>
  <c r="AE142" i="6"/>
  <c r="AE122" i="6"/>
  <c r="Q145" i="6"/>
  <c r="Q142" i="6"/>
  <c r="Q146" i="6"/>
  <c r="Q122" i="6"/>
  <c r="E19" i="4" l="1"/>
  <c r="C23" i="11"/>
  <c r="B28" i="5"/>
  <c r="BO49" i="5" s="1"/>
  <c r="BO15" i="7" s="1"/>
  <c r="E28" i="5"/>
  <c r="AA22" i="6"/>
  <c r="F13" i="6"/>
  <c r="E22" i="6"/>
  <c r="BQ22" i="6"/>
  <c r="B25" i="11"/>
  <c r="E132" i="6"/>
  <c r="B23" i="11"/>
  <c r="H132" i="6"/>
  <c r="J123" i="6"/>
  <c r="M123" i="6"/>
  <c r="D123" i="6"/>
  <c r="D97" i="4" s="1"/>
  <c r="AI13" i="6"/>
  <c r="BR22" i="6"/>
  <c r="F132" i="6"/>
  <c r="E123" i="6"/>
  <c r="Q13" i="6"/>
  <c r="F123" i="6"/>
  <c r="K22" i="6"/>
  <c r="G123" i="6"/>
  <c r="K13" i="6"/>
  <c r="Y13" i="6"/>
  <c r="AO13" i="6"/>
  <c r="AS13" i="6"/>
  <c r="P123" i="6"/>
  <c r="G97" i="4" s="1"/>
  <c r="AB13" i="6"/>
  <c r="J37" i="4" s="1"/>
  <c r="BT22" i="6"/>
  <c r="G132" i="6"/>
  <c r="BK22" i="6"/>
  <c r="B20" i="3"/>
  <c r="I132" i="6"/>
  <c r="AI123" i="6"/>
  <c r="BL132" i="6"/>
  <c r="F22" i="6"/>
  <c r="CD22" i="6"/>
  <c r="AB71" i="6"/>
  <c r="AN181" i="6"/>
  <c r="AC71" i="6"/>
  <c r="V71" i="6"/>
  <c r="AK71" i="6"/>
  <c r="T123" i="6"/>
  <c r="H97" i="4" s="1"/>
  <c r="BR123" i="6"/>
  <c r="BU123" i="6"/>
  <c r="BX123" i="6"/>
  <c r="V97" i="4" s="1"/>
  <c r="D27" i="11"/>
  <c r="BO181" i="6"/>
  <c r="BJ71" i="6"/>
  <c r="U99" i="4"/>
  <c r="E99" i="4"/>
  <c r="T99" i="4"/>
  <c r="D99" i="4"/>
  <c r="S99" i="4"/>
  <c r="R99" i="4"/>
  <c r="Q99" i="4"/>
  <c r="P39" i="4"/>
  <c r="P99" i="4"/>
  <c r="O39" i="4"/>
  <c r="O99" i="4"/>
  <c r="N99" i="4"/>
  <c r="M99" i="4"/>
  <c r="L99" i="4"/>
  <c r="J99" i="4"/>
  <c r="I99" i="4"/>
  <c r="X99" i="4"/>
  <c r="H99" i="4"/>
  <c r="V99" i="4"/>
  <c r="M39" i="4"/>
  <c r="K99" i="4"/>
  <c r="L39" i="4"/>
  <c r="G99" i="4"/>
  <c r="K39" i="4"/>
  <c r="F99" i="4"/>
  <c r="J39" i="4"/>
  <c r="U39" i="4"/>
  <c r="I39" i="4"/>
  <c r="H39" i="4"/>
  <c r="G39" i="4"/>
  <c r="F39" i="4"/>
  <c r="X39" i="4"/>
  <c r="W39" i="4"/>
  <c r="E39" i="4"/>
  <c r="V39" i="4"/>
  <c r="D39" i="4"/>
  <c r="R39" i="4"/>
  <c r="Q39" i="4"/>
  <c r="N39" i="4"/>
  <c r="W99" i="4"/>
  <c r="T39" i="4"/>
  <c r="S39" i="4"/>
  <c r="AC181" i="6"/>
  <c r="T13" i="6"/>
  <c r="H37" i="4" s="1"/>
  <c r="CB13" i="6"/>
  <c r="W37" i="4" s="1"/>
  <c r="BQ13" i="6"/>
  <c r="I13" i="6"/>
  <c r="L13" i="6"/>
  <c r="F37" i="4" s="1"/>
  <c r="CB71" i="6"/>
  <c r="BX71" i="6"/>
  <c r="AL71" i="6"/>
  <c r="BK71" i="6"/>
  <c r="AA181" i="6"/>
  <c r="I19" i="6"/>
  <c r="I21" i="6" s="1"/>
  <c r="AB129" i="6"/>
  <c r="AB131" i="6" s="1"/>
  <c r="BD129" i="6"/>
  <c r="BD131" i="6" s="1"/>
  <c r="AX18" i="6"/>
  <c r="BB22" i="6" s="1"/>
  <c r="BH19" i="6"/>
  <c r="BH21" i="6" s="1"/>
  <c r="BY129" i="6"/>
  <c r="BY131" i="6" s="1"/>
  <c r="BC181" i="6"/>
  <c r="Y129" i="6"/>
  <c r="Y131" i="6" s="1"/>
  <c r="AC19" i="6"/>
  <c r="AC21" i="6" s="1"/>
  <c r="AO181" i="6"/>
  <c r="BV71" i="6"/>
  <c r="I181" i="6"/>
  <c r="G71" i="6"/>
  <c r="AY13" i="6"/>
  <c r="AW13" i="6"/>
  <c r="AL13" i="6"/>
  <c r="BE13" i="6"/>
  <c r="BH13" i="6"/>
  <c r="R37" i="4" s="1"/>
  <c r="AQ181" i="6"/>
  <c r="T43" i="6"/>
  <c r="AI43" i="6"/>
  <c r="AX43" i="6"/>
  <c r="BL43" i="6"/>
  <c r="CA43" i="6"/>
  <c r="BI43" i="6"/>
  <c r="BD43" i="6"/>
  <c r="BT43" i="6"/>
  <c r="S43" i="6"/>
  <c r="AH43" i="6"/>
  <c r="AV43" i="6"/>
  <c r="BK43" i="6"/>
  <c r="BZ43" i="6"/>
  <c r="Q43" i="6"/>
  <c r="R43" i="6"/>
  <c r="AF43" i="6"/>
  <c r="AU43" i="6"/>
  <c r="BJ43" i="6"/>
  <c r="AE43" i="6"/>
  <c r="AT43" i="6"/>
  <c r="CC43" i="6"/>
  <c r="AD43" i="6"/>
  <c r="AW43" i="6"/>
  <c r="AC43" i="6"/>
  <c r="BW43" i="6"/>
  <c r="BG43" i="6"/>
  <c r="BH43" i="6"/>
  <c r="BY43" i="6"/>
  <c r="AQ43" i="6"/>
  <c r="AS43" i="6"/>
  <c r="AB43" i="6"/>
  <c r="AA43" i="6"/>
  <c r="BU43" i="6"/>
  <c r="BS43" i="6"/>
  <c r="AR43" i="6"/>
  <c r="X43" i="6"/>
  <c r="BE43" i="6"/>
  <c r="BC43" i="6"/>
  <c r="BM43" i="6"/>
  <c r="BX43" i="6"/>
  <c r="AO43" i="6"/>
  <c r="AM43" i="6"/>
  <c r="BF43" i="6"/>
  <c r="Z43" i="6"/>
  <c r="AG43" i="6"/>
  <c r="V43" i="6"/>
  <c r="U43" i="6"/>
  <c r="AJ43" i="6"/>
  <c r="AY43" i="6"/>
  <c r="BN43" i="6"/>
  <c r="CB43" i="6"/>
  <c r="AN43" i="6"/>
  <c r="AL43" i="6"/>
  <c r="CE43" i="6"/>
  <c r="W43" i="6"/>
  <c r="BP43" i="6"/>
  <c r="Y43" i="6"/>
  <c r="BO43" i="6"/>
  <c r="BQ43" i="6"/>
  <c r="BR43" i="6"/>
  <c r="BA43" i="6"/>
  <c r="AK43" i="6"/>
  <c r="AP43" i="6"/>
  <c r="CD43" i="6"/>
  <c r="BV43" i="6"/>
  <c r="AZ43" i="6"/>
  <c r="CF43" i="6"/>
  <c r="BB43" i="6"/>
  <c r="Z71" i="6"/>
  <c r="BX129" i="6"/>
  <c r="BX131" i="6" s="1"/>
  <c r="J22" i="6"/>
  <c r="BU18" i="6"/>
  <c r="BU22" i="6" s="1"/>
  <c r="O129" i="6"/>
  <c r="O131" i="6" s="1"/>
  <c r="T19" i="6"/>
  <c r="T21" i="6" s="1"/>
  <c r="E79" i="4"/>
  <c r="BS19" i="6"/>
  <c r="BS21" i="6" s="1"/>
  <c r="AS181" i="6"/>
  <c r="Z123" i="6"/>
  <c r="CF71" i="6"/>
  <c r="AX123" i="6"/>
  <c r="BC123" i="6"/>
  <c r="BF123" i="6"/>
  <c r="BI123" i="6"/>
  <c r="CB123" i="6"/>
  <c r="W97" i="4" s="1"/>
  <c r="BX181" i="6"/>
  <c r="AI181" i="6"/>
  <c r="BZ71" i="6"/>
  <c r="S181" i="6"/>
  <c r="Y71" i="6"/>
  <c r="BW181" i="6"/>
  <c r="AZ13" i="6"/>
  <c r="P37" i="4" s="1"/>
  <c r="BM13" i="6"/>
  <c r="BB13" i="6"/>
  <c r="BU13" i="6"/>
  <c r="BX13" i="6"/>
  <c r="V37" i="4" s="1"/>
  <c r="BD153" i="6"/>
  <c r="AZ153" i="6"/>
  <c r="AN153" i="6"/>
  <c r="AJ153" i="6"/>
  <c r="BW153" i="6"/>
  <c r="X153" i="6"/>
  <c r="T153" i="6"/>
  <c r="BG153" i="6"/>
  <c r="BS153" i="6"/>
  <c r="CE153" i="6"/>
  <c r="AQ153" i="6"/>
  <c r="BC153" i="6"/>
  <c r="BO153" i="6"/>
  <c r="CD153" i="6"/>
  <c r="CC153" i="6"/>
  <c r="AA153" i="6"/>
  <c r="AM153" i="6"/>
  <c r="AY153" i="6"/>
  <c r="BN153" i="6"/>
  <c r="BM153" i="6"/>
  <c r="W153" i="6"/>
  <c r="AI153" i="6"/>
  <c r="AX153" i="6"/>
  <c r="CB153" i="6"/>
  <c r="BH153" i="6"/>
  <c r="AW153" i="6"/>
  <c r="BV153" i="6"/>
  <c r="BR153" i="6"/>
  <c r="S153" i="6"/>
  <c r="AH153" i="6"/>
  <c r="BL153" i="6"/>
  <c r="BI153" i="6"/>
  <c r="AU153" i="6"/>
  <c r="BF153" i="6"/>
  <c r="BB153" i="6"/>
  <c r="R153" i="6"/>
  <c r="AV153" i="6"/>
  <c r="BK153" i="6"/>
  <c r="AS153" i="6"/>
  <c r="AP153" i="6"/>
  <c r="AL153" i="6"/>
  <c r="BQ153" i="6"/>
  <c r="AF153" i="6"/>
  <c r="BY153" i="6"/>
  <c r="BX153" i="6"/>
  <c r="AR153" i="6"/>
  <c r="AG153" i="6"/>
  <c r="AE153" i="6"/>
  <c r="AC153" i="6"/>
  <c r="Z153" i="6"/>
  <c r="V153" i="6"/>
  <c r="BA153" i="6"/>
  <c r="BZ153" i="6"/>
  <c r="AB153" i="6"/>
  <c r="CA153" i="6"/>
  <c r="Q153" i="6"/>
  <c r="BU153" i="6"/>
  <c r="AK153" i="6"/>
  <c r="BJ153" i="6"/>
  <c r="AO153" i="6"/>
  <c r="AD153" i="6"/>
  <c r="BT153" i="6"/>
  <c r="BP153" i="6"/>
  <c r="BE153" i="6"/>
  <c r="Y153" i="6"/>
  <c r="U153" i="6"/>
  <c r="AT153" i="6"/>
  <c r="CF153" i="6"/>
  <c r="BB71" i="6"/>
  <c r="BS181" i="6"/>
  <c r="W71" i="6"/>
  <c r="AB19" i="6"/>
  <c r="AB21" i="6" s="1"/>
  <c r="BJ181" i="6"/>
  <c r="AT71" i="6"/>
  <c r="BZ129" i="6"/>
  <c r="BZ131" i="6" s="1"/>
  <c r="G129" i="6"/>
  <c r="G131" i="6" s="1"/>
  <c r="BT19" i="6"/>
  <c r="BT21" i="6" s="1"/>
  <c r="AX181" i="6"/>
  <c r="AH129" i="6"/>
  <c r="AH131" i="6" s="1"/>
  <c r="AK19" i="6"/>
  <c r="AK21" i="6" s="1"/>
  <c r="BH129" i="6"/>
  <c r="BH131" i="6" s="1"/>
  <c r="BT129" i="6"/>
  <c r="BT131" i="6" s="1"/>
  <c r="CB129" i="6"/>
  <c r="CB131" i="6" s="1"/>
  <c r="BX19" i="6"/>
  <c r="BX21" i="6" s="1"/>
  <c r="AD181" i="6"/>
  <c r="AW71" i="6"/>
  <c r="AB22" i="6"/>
  <c r="AC123" i="6"/>
  <c r="E44" i="3"/>
  <c r="C21" i="11"/>
  <c r="BK13" i="6"/>
  <c r="CC13" i="6"/>
  <c r="BR13" i="6"/>
  <c r="J13" i="6"/>
  <c r="D10" i="4"/>
  <c r="U181" i="6"/>
  <c r="CE71" i="6"/>
  <c r="D24" i="11"/>
  <c r="AU181" i="6"/>
  <c r="AA71" i="6"/>
  <c r="BJ19" i="6"/>
  <c r="BJ21" i="6" s="1"/>
  <c r="J19" i="6"/>
  <c r="J21" i="6" s="1"/>
  <c r="CF19" i="6"/>
  <c r="CF21" i="6" s="1"/>
  <c r="BU71" i="6"/>
  <c r="AL181" i="6"/>
  <c r="BY132" i="6"/>
  <c r="AM181" i="6"/>
  <c r="BO71" i="6"/>
  <c r="BJ129" i="6"/>
  <c r="BJ131" i="6" s="1"/>
  <c r="BS22" i="6"/>
  <c r="BK129" i="6"/>
  <c r="BK131" i="6" s="1"/>
  <c r="W181" i="6"/>
  <c r="CD129" i="6"/>
  <c r="CD131" i="6" s="1"/>
  <c r="Z19" i="6"/>
  <c r="Z21" i="6" s="1"/>
  <c r="BS128" i="6"/>
  <c r="BW132" i="6" s="1"/>
  <c r="CA128" i="6"/>
  <c r="CA132" i="6" s="1"/>
  <c r="AZ71" i="6"/>
  <c r="AM71" i="6"/>
  <c r="N129" i="6"/>
  <c r="N131" i="6" s="1"/>
  <c r="AM123" i="6"/>
  <c r="AY123" i="6"/>
  <c r="CD123" i="6"/>
  <c r="D72" i="4"/>
  <c r="N123" i="6"/>
  <c r="AG123" i="6"/>
  <c r="CC71" i="6"/>
  <c r="C22" i="11"/>
  <c r="BO13" i="6"/>
  <c r="G13" i="6"/>
  <c r="Z13" i="6"/>
  <c r="M13" i="6"/>
  <c r="B44" i="3"/>
  <c r="B21" i="11"/>
  <c r="AP181" i="6"/>
  <c r="F71" i="6"/>
  <c r="I22" i="6"/>
  <c r="CE22" i="6"/>
  <c r="AI129" i="6"/>
  <c r="AI131" i="6" s="1"/>
  <c r="AC22" i="6"/>
  <c r="P19" i="6"/>
  <c r="P21" i="6" s="1"/>
  <c r="BR19" i="6"/>
  <c r="BR21" i="6" s="1"/>
  <c r="AQ71" i="6"/>
  <c r="BZ19" i="6"/>
  <c r="BZ21" i="6" s="1"/>
  <c r="AL129" i="6"/>
  <c r="AL131" i="6" s="1"/>
  <c r="BC129" i="6"/>
  <c r="BC131" i="6" s="1"/>
  <c r="F129" i="6"/>
  <c r="F131" i="6" s="1"/>
  <c r="AU129" i="6"/>
  <c r="AU131" i="6" s="1"/>
  <c r="B30" i="9"/>
  <c r="V13" i="6"/>
  <c r="G181" i="6"/>
  <c r="H123" i="6"/>
  <c r="E97" i="4" s="1"/>
  <c r="BS71" i="6"/>
  <c r="BY181" i="6"/>
  <c r="AN71" i="6"/>
  <c r="BQ181" i="6"/>
  <c r="AJ71" i="6"/>
  <c r="O13" i="6"/>
  <c r="BP13" i="6"/>
  <c r="T37" i="4" s="1"/>
  <c r="R13" i="6"/>
  <c r="W13" i="6"/>
  <c r="AP13" i="6"/>
  <c r="AC13" i="6"/>
  <c r="BY71" i="6"/>
  <c r="AR19" i="6"/>
  <c r="AR21" i="6" s="1"/>
  <c r="BH71" i="6"/>
  <c r="BY18" i="6"/>
  <c r="BB128" i="6"/>
  <c r="X19" i="6"/>
  <c r="X21" i="6" s="1"/>
  <c r="P12" i="7"/>
  <c r="P60" i="5"/>
  <c r="Z181" i="6"/>
  <c r="V181" i="6"/>
  <c r="I129" i="6"/>
  <c r="I131" i="6" s="1"/>
  <c r="BU181" i="6"/>
  <c r="W123" i="6"/>
  <c r="AG13" i="6"/>
  <c r="BW19" i="6"/>
  <c r="BW21" i="6" s="1"/>
  <c r="AE181" i="6"/>
  <c r="AP123" i="6"/>
  <c r="D26" i="11"/>
  <c r="T71" i="6"/>
  <c r="BN71" i="6"/>
  <c r="AJ123" i="6"/>
  <c r="L97" i="4" s="1"/>
  <c r="U123" i="6"/>
  <c r="X123" i="6"/>
  <c r="I97" i="4" s="1"/>
  <c r="AA123" i="6"/>
  <c r="AT123" i="6"/>
  <c r="BM123" i="6"/>
  <c r="BL181" i="6"/>
  <c r="M71" i="6"/>
  <c r="E10" i="4"/>
  <c r="C25" i="11"/>
  <c r="D25" i="11" s="1"/>
  <c r="P13" i="6"/>
  <c r="G37" i="4" s="1"/>
  <c r="CA13" i="6"/>
  <c r="AH13" i="6"/>
  <c r="AM13" i="6"/>
  <c r="BF13" i="6"/>
  <c r="AH181" i="6"/>
  <c r="BL71" i="6"/>
  <c r="AV71" i="6"/>
  <c r="B22" i="11"/>
  <c r="BP181" i="6"/>
  <c r="AI71" i="6"/>
  <c r="BI129" i="6"/>
  <c r="BI131" i="6" s="1"/>
  <c r="X71" i="6"/>
  <c r="AQ18" i="6"/>
  <c r="AU19" i="6"/>
  <c r="AU21" i="6" s="1"/>
  <c r="AF181" i="6"/>
  <c r="P181" i="6"/>
  <c r="AD71" i="6"/>
  <c r="AT19" i="6"/>
  <c r="AT21" i="6" s="1"/>
  <c r="CA181" i="6"/>
  <c r="N71" i="6"/>
  <c r="AZ129" i="6"/>
  <c r="AZ131" i="6" s="1"/>
  <c r="AP19" i="6"/>
  <c r="AP21" i="6" s="1"/>
  <c r="BA128" i="6"/>
  <c r="V129" i="6"/>
  <c r="V131" i="6" s="1"/>
  <c r="AN129" i="6"/>
  <c r="AN131" i="6" s="1"/>
  <c r="S129" i="6"/>
  <c r="S131" i="6" s="1"/>
  <c r="AM18" i="6"/>
  <c r="AP22" i="6" s="1"/>
  <c r="AG18" i="6"/>
  <c r="U71" i="6"/>
  <c r="O71" i="6"/>
  <c r="R181" i="6"/>
  <c r="AV123" i="6"/>
  <c r="O97" i="4" s="1"/>
  <c r="BB19" i="6"/>
  <c r="BB21" i="6" s="1"/>
  <c r="AR129" i="6"/>
  <c r="AR131" i="6" s="1"/>
  <c r="AH71" i="6"/>
  <c r="AW123" i="6"/>
  <c r="AZ123" i="6"/>
  <c r="P97" i="4" s="1"/>
  <c r="AN123" i="6"/>
  <c r="M97" i="4" s="1"/>
  <c r="AQ123" i="6"/>
  <c r="BJ123" i="6"/>
  <c r="CC123" i="6"/>
  <c r="E71" i="6"/>
  <c r="AY181" i="6"/>
  <c r="AP71" i="6"/>
  <c r="AE71" i="6"/>
  <c r="C20" i="11"/>
  <c r="S13" i="6"/>
  <c r="N13" i="6"/>
  <c r="AX13" i="6"/>
  <c r="BC13" i="6"/>
  <c r="BV13" i="6"/>
  <c r="BI13" i="6"/>
  <c r="D23" i="11"/>
  <c r="BZ159" i="5"/>
  <c r="BZ125" i="7" s="1"/>
  <c r="BJ159" i="5"/>
  <c r="BJ125" i="7" s="1"/>
  <c r="AT159" i="5"/>
  <c r="AT125" i="7" s="1"/>
  <c r="AD159" i="5"/>
  <c r="AD125" i="7" s="1"/>
  <c r="N159" i="5"/>
  <c r="N125" i="7" s="1"/>
  <c r="BY159" i="5"/>
  <c r="BY125" i="7" s="1"/>
  <c r="BI159" i="5"/>
  <c r="BI125" i="7" s="1"/>
  <c r="AS159" i="5"/>
  <c r="AS125" i="7" s="1"/>
  <c r="AC159" i="5"/>
  <c r="AC125" i="7" s="1"/>
  <c r="M159" i="5"/>
  <c r="M125" i="7" s="1"/>
  <c r="BX159" i="5"/>
  <c r="BX125" i="7" s="1"/>
  <c r="BH159" i="5"/>
  <c r="BH125" i="7" s="1"/>
  <c r="AR159" i="5"/>
  <c r="AR125" i="7" s="1"/>
  <c r="AB159" i="5"/>
  <c r="AB125" i="7" s="1"/>
  <c r="L159" i="5"/>
  <c r="L125" i="7" s="1"/>
  <c r="BW159" i="5"/>
  <c r="BW125" i="7" s="1"/>
  <c r="BG159" i="5"/>
  <c r="BG125" i="7" s="1"/>
  <c r="AQ159" i="5"/>
  <c r="AQ125" i="7" s="1"/>
  <c r="AA159" i="5"/>
  <c r="AA125" i="7" s="1"/>
  <c r="K159" i="5"/>
  <c r="K125" i="7" s="1"/>
  <c r="BV159" i="5"/>
  <c r="BV125" i="7" s="1"/>
  <c r="BF159" i="5"/>
  <c r="BF125" i="7" s="1"/>
  <c r="AP159" i="5"/>
  <c r="AP125" i="7" s="1"/>
  <c r="Z159" i="5"/>
  <c r="Z125" i="7" s="1"/>
  <c r="J159" i="5"/>
  <c r="J125" i="7" s="1"/>
  <c r="BU159" i="5"/>
  <c r="BU125" i="7" s="1"/>
  <c r="BE159" i="5"/>
  <c r="BE125" i="7" s="1"/>
  <c r="AO159" i="5"/>
  <c r="AO125" i="7" s="1"/>
  <c r="Y159" i="5"/>
  <c r="Y125" i="7" s="1"/>
  <c r="I159" i="5"/>
  <c r="I125" i="7" s="1"/>
  <c r="BT159" i="5"/>
  <c r="BT125" i="7" s="1"/>
  <c r="BD159" i="5"/>
  <c r="BD125" i="7" s="1"/>
  <c r="AN159" i="5"/>
  <c r="AN125" i="7" s="1"/>
  <c r="X159" i="5"/>
  <c r="X125" i="7" s="1"/>
  <c r="H159" i="5"/>
  <c r="H125" i="7" s="1"/>
  <c r="BQ159" i="5"/>
  <c r="BQ125" i="7" s="1"/>
  <c r="BA159" i="5"/>
  <c r="BA125" i="7" s="1"/>
  <c r="AK159" i="5"/>
  <c r="AK125" i="7" s="1"/>
  <c r="U159" i="5"/>
  <c r="U125" i="7" s="1"/>
  <c r="E159" i="5"/>
  <c r="E125" i="7" s="1"/>
  <c r="BS159" i="5"/>
  <c r="BS125" i="7" s="1"/>
  <c r="AM159" i="5"/>
  <c r="AM125" i="7" s="1"/>
  <c r="G159" i="5"/>
  <c r="G125" i="7" s="1"/>
  <c r="BR159" i="5"/>
  <c r="BR125" i="7" s="1"/>
  <c r="AL159" i="5"/>
  <c r="AL125" i="7" s="1"/>
  <c r="F159" i="5"/>
  <c r="F125" i="7" s="1"/>
  <c r="BP159" i="5"/>
  <c r="BP125" i="7" s="1"/>
  <c r="AJ159" i="5"/>
  <c r="AJ125" i="7" s="1"/>
  <c r="D159" i="5"/>
  <c r="D125" i="7" s="1"/>
  <c r="BO159" i="5"/>
  <c r="BO125" i="7" s="1"/>
  <c r="AI159" i="5"/>
  <c r="AI125" i="7" s="1"/>
  <c r="BN159" i="5"/>
  <c r="BN125" i="7" s="1"/>
  <c r="AH159" i="5"/>
  <c r="AH125" i="7" s="1"/>
  <c r="BM159" i="5"/>
  <c r="BM125" i="7" s="1"/>
  <c r="AG159" i="5"/>
  <c r="AG125" i="7" s="1"/>
  <c r="BK159" i="5"/>
  <c r="BK125" i="7" s="1"/>
  <c r="AE159" i="5"/>
  <c r="AE125" i="7" s="1"/>
  <c r="BC159" i="5"/>
  <c r="BC125" i="7" s="1"/>
  <c r="W159" i="5"/>
  <c r="W125" i="7" s="1"/>
  <c r="CE159" i="5"/>
  <c r="CE125" i="7" s="1"/>
  <c r="AY159" i="5"/>
  <c r="AY125" i="7" s="1"/>
  <c r="S159" i="5"/>
  <c r="S125" i="7" s="1"/>
  <c r="CA159" i="5"/>
  <c r="CA125" i="7" s="1"/>
  <c r="AU159" i="5"/>
  <c r="AU125" i="7" s="1"/>
  <c r="O159" i="5"/>
  <c r="O125" i="7" s="1"/>
  <c r="CC159" i="5"/>
  <c r="CC125" i="7" s="1"/>
  <c r="CB159" i="5"/>
  <c r="CB125" i="7" s="1"/>
  <c r="BL159" i="5"/>
  <c r="BL125" i="7" s="1"/>
  <c r="BB159" i="5"/>
  <c r="BB125" i="7" s="1"/>
  <c r="AZ159" i="5"/>
  <c r="AZ125" i="7" s="1"/>
  <c r="AX159" i="5"/>
  <c r="AX125" i="7" s="1"/>
  <c r="AW159" i="5"/>
  <c r="AW125" i="7" s="1"/>
  <c r="AV159" i="5"/>
  <c r="AV125" i="7" s="1"/>
  <c r="AF159" i="5"/>
  <c r="AF125" i="7" s="1"/>
  <c r="V159" i="5"/>
  <c r="V125" i="7" s="1"/>
  <c r="T159" i="5"/>
  <c r="T125" i="7" s="1"/>
  <c r="R159" i="5"/>
  <c r="R125" i="7" s="1"/>
  <c r="Q159" i="5"/>
  <c r="Q125" i="7" s="1"/>
  <c r="P159" i="5"/>
  <c r="P125" i="7" s="1"/>
  <c r="CF159" i="5"/>
  <c r="CF125" i="7" s="1"/>
  <c r="CD159" i="5"/>
  <c r="CD125" i="7" s="1"/>
  <c r="E29" i="5"/>
  <c r="CA19" i="6"/>
  <c r="CA21" i="6" s="1"/>
  <c r="AA19" i="6"/>
  <c r="AA21" i="6" s="1"/>
  <c r="AA23" i="6" s="1"/>
  <c r="CE181" i="6"/>
  <c r="T181" i="6"/>
  <c r="BR181" i="6"/>
  <c r="AS18" i="6"/>
  <c r="AY128" i="6"/>
  <c r="AJ128" i="6"/>
  <c r="AJ129" i="6" s="1"/>
  <c r="AJ131" i="6" s="1"/>
  <c r="U128" i="6"/>
  <c r="U132" i="6" s="1"/>
  <c r="AM128" i="6"/>
  <c r="AD129" i="6"/>
  <c r="AD131" i="6" s="1"/>
  <c r="BD19" i="6"/>
  <c r="BD21" i="6" s="1"/>
  <c r="AN19" i="6"/>
  <c r="AN21" i="6" s="1"/>
  <c r="AH19" i="6"/>
  <c r="AH21" i="6" s="1"/>
  <c r="Y181" i="6"/>
  <c r="W129" i="6"/>
  <c r="W131" i="6" s="1"/>
  <c r="U19" i="6"/>
  <c r="U21" i="6" s="1"/>
  <c r="BO129" i="6"/>
  <c r="BO131" i="6" s="1"/>
  <c r="AH123" i="6"/>
  <c r="J181" i="6"/>
  <c r="AK123" i="6"/>
  <c r="BO123" i="6"/>
  <c r="BA123" i="6"/>
  <c r="BD123" i="6"/>
  <c r="Q97" i="4" s="1"/>
  <c r="BG123" i="6"/>
  <c r="BZ123" i="6"/>
  <c r="D181" i="6"/>
  <c r="AR181" i="6"/>
  <c r="CD181" i="6"/>
  <c r="E14" i="5"/>
  <c r="E15" i="5" s="1"/>
  <c r="BD181" i="6"/>
  <c r="AE13" i="6"/>
  <c r="AD13" i="6"/>
  <c r="BN13" i="6"/>
  <c r="BS13" i="6"/>
  <c r="D12" i="4"/>
  <c r="BY13" i="6"/>
  <c r="E52" i="6"/>
  <c r="F50" i="6" s="1"/>
  <c r="E51" i="6"/>
  <c r="X181" i="6"/>
  <c r="B20" i="11"/>
  <c r="BM181" i="6"/>
  <c r="CD71" i="6"/>
  <c r="BM71" i="6"/>
  <c r="BU129" i="6"/>
  <c r="BU131" i="6" s="1"/>
  <c r="O19" i="6"/>
  <c r="O21" i="6" s="1"/>
  <c r="BP129" i="6"/>
  <c r="BP131" i="6" s="1"/>
  <c r="BA19" i="6"/>
  <c r="BA21" i="6" s="1"/>
  <c r="AU71" i="6"/>
  <c r="Y19" i="6"/>
  <c r="Y21" i="6" s="1"/>
  <c r="AK129" i="6"/>
  <c r="AK131" i="6" s="1"/>
  <c r="BO19" i="6"/>
  <c r="BO21" i="6" s="1"/>
  <c r="AL19" i="6"/>
  <c r="AL21" i="6" s="1"/>
  <c r="AT129" i="6"/>
  <c r="AT131" i="6" s="1"/>
  <c r="D132" i="6"/>
  <c r="D129" i="6"/>
  <c r="D131" i="6" s="1"/>
  <c r="BC18" i="6"/>
  <c r="BC22" i="6" s="1"/>
  <c r="BG129" i="6"/>
  <c r="BG131" i="6" s="1"/>
  <c r="BG19" i="6"/>
  <c r="BG21" i="6" s="1"/>
  <c r="H22" i="6"/>
  <c r="BX132" i="6"/>
  <c r="BS123" i="6"/>
  <c r="K123" i="6"/>
  <c r="AS71" i="6"/>
  <c r="BP123" i="6"/>
  <c r="T97" i="4" s="1"/>
  <c r="BW123" i="6"/>
  <c r="O123" i="6"/>
  <c r="AX71" i="6"/>
  <c r="AR71" i="6"/>
  <c r="BH181" i="6"/>
  <c r="BC71" i="6"/>
  <c r="AG71" i="6"/>
  <c r="BT181" i="6"/>
  <c r="Q71" i="6"/>
  <c r="AF13" i="6"/>
  <c r="K37" i="4" s="1"/>
  <c r="AT13" i="6"/>
  <c r="CD13" i="6"/>
  <c r="H13" i="6"/>
  <c r="E37" i="4" s="1"/>
  <c r="D71" i="6"/>
  <c r="BG181" i="6"/>
  <c r="M181" i="6"/>
  <c r="E70" i="4"/>
  <c r="BE19" i="6"/>
  <c r="BE21" i="6" s="1"/>
  <c r="AC129" i="6"/>
  <c r="AC131" i="6" s="1"/>
  <c r="BI19" i="6"/>
  <c r="BI21" i="6" s="1"/>
  <c r="BE128" i="6"/>
  <c r="L181" i="6"/>
  <c r="H71" i="6"/>
  <c r="CC181" i="6"/>
  <c r="N18" i="6"/>
  <c r="N19" i="6" s="1"/>
  <c r="N21" i="6" s="1"/>
  <c r="BE71" i="6"/>
  <c r="T129" i="6"/>
  <c r="T131" i="6" s="1"/>
  <c r="AS128" i="6"/>
  <c r="AU132" i="6" s="1"/>
  <c r="E129" i="6"/>
  <c r="E131" i="6" s="1"/>
  <c r="CE19" i="6"/>
  <c r="CE21" i="6" s="1"/>
  <c r="G19" i="6"/>
  <c r="G21" i="6" s="1"/>
  <c r="BF128" i="6"/>
  <c r="BF18" i="6"/>
  <c r="BI22" i="6" s="1"/>
  <c r="BE181" i="6"/>
  <c r="BZ181" i="6"/>
  <c r="BV123" i="6"/>
  <c r="E12" i="4"/>
  <c r="BQ123" i="6"/>
  <c r="CF123" i="6"/>
  <c r="C28" i="11" s="1"/>
  <c r="I123" i="6"/>
  <c r="L123" i="6"/>
  <c r="F97" i="4" s="1"/>
  <c r="AE123" i="6"/>
  <c r="O181" i="6"/>
  <c r="AT181" i="6"/>
  <c r="AU13" i="6"/>
  <c r="BJ13" i="6"/>
  <c r="E13" i="6"/>
  <c r="X13" i="6"/>
  <c r="I37" i="4" s="1"/>
  <c r="AA13" i="6"/>
  <c r="BF71" i="6"/>
  <c r="E162" i="6"/>
  <c r="F160" i="6" s="1"/>
  <c r="E161" i="6"/>
  <c r="L71" i="6"/>
  <c r="P71" i="6"/>
  <c r="H129" i="6"/>
  <c r="H131" i="6" s="1"/>
  <c r="CD19" i="6"/>
  <c r="CD21" i="6" s="1"/>
  <c r="CD23" i="6" s="1"/>
  <c r="AF128" i="6"/>
  <c r="AF129" i="6" s="1"/>
  <c r="AF131" i="6" s="1"/>
  <c r="M19" i="6"/>
  <c r="M21" i="6" s="1"/>
  <c r="AV128" i="6"/>
  <c r="AZ19" i="6"/>
  <c r="AZ21" i="6" s="1"/>
  <c r="Q18" i="6"/>
  <c r="R22" i="6" s="1"/>
  <c r="BW129" i="6"/>
  <c r="BW131" i="6" s="1"/>
  <c r="V18" i="6"/>
  <c r="V22" i="6" s="1"/>
  <c r="F19" i="6"/>
  <c r="F21" i="6" s="1"/>
  <c r="AE19" i="6"/>
  <c r="AE21" i="6" s="1"/>
  <c r="AQ129" i="6"/>
  <c r="AQ131" i="6" s="1"/>
  <c r="AP129" i="6"/>
  <c r="AP131" i="6" s="1"/>
  <c r="CF22" i="6"/>
  <c r="AJ13" i="6"/>
  <c r="L37" i="4" s="1"/>
  <c r="K19" i="6"/>
  <c r="K21" i="6" s="1"/>
  <c r="K23" i="6" s="1"/>
  <c r="BN123" i="6"/>
  <c r="CE123" i="6"/>
  <c r="BT123" i="6"/>
  <c r="U97" i="4" s="1"/>
  <c r="D70" i="4"/>
  <c r="V123" i="6"/>
  <c r="Y123" i="6"/>
  <c r="AB123" i="6"/>
  <c r="J97" i="4" s="1"/>
  <c r="AU123" i="6"/>
  <c r="BT71" i="6"/>
  <c r="R71" i="6"/>
  <c r="BP71" i="6"/>
  <c r="AB181" i="6"/>
  <c r="BI181" i="6"/>
  <c r="BG71" i="6"/>
  <c r="CF13" i="6"/>
  <c r="B28" i="11" s="1"/>
  <c r="BZ13" i="6"/>
  <c r="U13" i="6"/>
  <c r="AN13" i="6"/>
  <c r="M37" i="4" s="1"/>
  <c r="AQ13" i="6"/>
  <c r="E72" i="4"/>
  <c r="J71" i="6"/>
  <c r="H19" i="6"/>
  <c r="H21" i="6" s="1"/>
  <c r="M129" i="6"/>
  <c r="M131" i="6" s="1"/>
  <c r="BN181" i="6"/>
  <c r="BI71" i="6"/>
  <c r="AG129" i="6"/>
  <c r="AG131" i="6" s="1"/>
  <c r="CF129" i="6"/>
  <c r="CF131" i="6" s="1"/>
  <c r="L18" i="6"/>
  <c r="L22" i="6" s="1"/>
  <c r="BQ71" i="6"/>
  <c r="CA71" i="6"/>
  <c r="BV181" i="6"/>
  <c r="BQ19" i="6"/>
  <c r="BQ21" i="6" s="1"/>
  <c r="BA71" i="6"/>
  <c r="AJ181" i="6"/>
  <c r="R19" i="6"/>
  <c r="R21" i="6" s="1"/>
  <c r="D14" i="11"/>
  <c r="W19" i="6"/>
  <c r="W21" i="6" s="1"/>
  <c r="BN129" i="6"/>
  <c r="BN131" i="6" s="1"/>
  <c r="AZ181" i="6"/>
  <c r="S71" i="6"/>
  <c r="AD18" i="6"/>
  <c r="AD22" i="6" s="1"/>
  <c r="AO128" i="6"/>
  <c r="BB181" i="6"/>
  <c r="AY19" i="6"/>
  <c r="AY21" i="6" s="1"/>
  <c r="R123" i="6"/>
  <c r="AV181" i="6"/>
  <c r="AR13" i="6"/>
  <c r="N37" i="4" s="1"/>
  <c r="BV19" i="6"/>
  <c r="BV21" i="6" s="1"/>
  <c r="AY71" i="6"/>
  <c r="BL123" i="6"/>
  <c r="S97" i="4" s="1"/>
  <c r="BY123" i="6"/>
  <c r="Q181" i="6"/>
  <c r="AO123" i="6"/>
  <c r="BK123" i="6"/>
  <c r="CB181" i="6"/>
  <c r="M79" i="4"/>
  <c r="L79" i="4"/>
  <c r="X79" i="4"/>
  <c r="H79" i="4"/>
  <c r="V79" i="4"/>
  <c r="O79" i="4"/>
  <c r="X19" i="4"/>
  <c r="H19" i="4"/>
  <c r="N79" i="4"/>
  <c r="W19" i="4"/>
  <c r="G19" i="4"/>
  <c r="K79" i="4"/>
  <c r="V19" i="4"/>
  <c r="F19" i="4"/>
  <c r="J79" i="4"/>
  <c r="U19" i="4"/>
  <c r="I79" i="4"/>
  <c r="T19" i="4"/>
  <c r="D19" i="4"/>
  <c r="S19" i="4"/>
  <c r="G79" i="4"/>
  <c r="F79" i="4"/>
  <c r="R19" i="4"/>
  <c r="U79" i="4"/>
  <c r="N19" i="4"/>
  <c r="Q19" i="4"/>
  <c r="D79" i="4"/>
  <c r="P19" i="4"/>
  <c r="O19" i="4"/>
  <c r="W79" i="4"/>
  <c r="R79" i="4"/>
  <c r="K19" i="4"/>
  <c r="Q79" i="4"/>
  <c r="J19" i="4"/>
  <c r="M19" i="4"/>
  <c r="T79" i="4"/>
  <c r="L19" i="4"/>
  <c r="S79" i="4"/>
  <c r="I19" i="4"/>
  <c r="P79" i="4"/>
  <c r="I71" i="6"/>
  <c r="E20" i="3"/>
  <c r="AK181" i="6"/>
  <c r="AV13" i="6"/>
  <c r="O37" i="4" s="1"/>
  <c r="AK13" i="6"/>
  <c r="BD13" i="6"/>
  <c r="Q37" i="4" s="1"/>
  <c r="BG13" i="6"/>
  <c r="E181" i="6"/>
  <c r="K181" i="6"/>
  <c r="K71" i="6"/>
  <c r="BF181" i="6"/>
  <c r="H181" i="6"/>
  <c r="BK132" i="6"/>
  <c r="G22" i="6"/>
  <c r="S19" i="6"/>
  <c r="S21" i="6" s="1"/>
  <c r="L128" i="6"/>
  <c r="AV18" i="6"/>
  <c r="AV22" i="6" s="1"/>
  <c r="CC129" i="6"/>
  <c r="CC131" i="6" s="1"/>
  <c r="CE128" i="6"/>
  <c r="K129" i="6"/>
  <c r="K131" i="6" s="1"/>
  <c r="E19" i="6"/>
  <c r="E21" i="6" s="1"/>
  <c r="E23" i="6" s="1"/>
  <c r="AW181" i="6"/>
  <c r="AO19" i="6"/>
  <c r="AO21" i="6" s="1"/>
  <c r="CF49" i="5"/>
  <c r="CF15" i="7" s="1"/>
  <c r="BP49" i="5"/>
  <c r="BP15" i="7" s="1"/>
  <c r="AZ49" i="5"/>
  <c r="AZ15" i="7" s="1"/>
  <c r="AJ49" i="5"/>
  <c r="AJ15" i="7" s="1"/>
  <c r="T49" i="5"/>
  <c r="T15" i="7" s="1"/>
  <c r="D49" i="5"/>
  <c r="D15" i="7" s="1"/>
  <c r="CE49" i="5"/>
  <c r="CE15" i="7" s="1"/>
  <c r="AY49" i="5"/>
  <c r="AY15" i="7" s="1"/>
  <c r="S49" i="5"/>
  <c r="S15" i="7" s="1"/>
  <c r="CD49" i="5"/>
  <c r="CD15" i="7" s="1"/>
  <c r="BN49" i="5"/>
  <c r="BN15" i="7" s="1"/>
  <c r="AX49" i="5"/>
  <c r="AX15" i="7" s="1"/>
  <c r="AH49" i="5"/>
  <c r="AH15" i="7" s="1"/>
  <c r="R49" i="5"/>
  <c r="R15" i="7" s="1"/>
  <c r="CB49" i="5"/>
  <c r="CB15" i="7" s="1"/>
  <c r="BL49" i="5"/>
  <c r="BL15" i="7" s="1"/>
  <c r="AV49" i="5"/>
  <c r="AV15" i="7" s="1"/>
  <c r="AF49" i="5"/>
  <c r="AF15" i="7" s="1"/>
  <c r="P49" i="5"/>
  <c r="P15" i="7" s="1"/>
  <c r="BU49" i="5"/>
  <c r="BU15" i="7" s="1"/>
  <c r="BE49" i="5"/>
  <c r="BE15" i="7" s="1"/>
  <c r="Y49" i="5"/>
  <c r="Y15" i="7" s="1"/>
  <c r="BQ49" i="5"/>
  <c r="BQ15" i="7" s="1"/>
  <c r="BA49" i="5"/>
  <c r="BA15" i="7" s="1"/>
  <c r="AK49" i="5"/>
  <c r="AK15" i="7" s="1"/>
  <c r="U49" i="5"/>
  <c r="U15" i="7" s="1"/>
  <c r="E49" i="5"/>
  <c r="E15" i="7" s="1"/>
  <c r="BJ49" i="5"/>
  <c r="BJ15" i="7" s="1"/>
  <c r="AM49" i="5"/>
  <c r="AM15" i="7" s="1"/>
  <c r="L49" i="5"/>
  <c r="L15" i="7" s="1"/>
  <c r="BI49" i="5"/>
  <c r="BI15" i="7" s="1"/>
  <c r="AL49" i="5"/>
  <c r="AL15" i="7" s="1"/>
  <c r="K49" i="5"/>
  <c r="K15" i="7" s="1"/>
  <c r="BH49" i="5"/>
  <c r="BH15" i="7" s="1"/>
  <c r="AG49" i="5"/>
  <c r="AG15" i="7" s="1"/>
  <c r="BG49" i="5"/>
  <c r="BG15" i="7" s="1"/>
  <c r="H49" i="5"/>
  <c r="H15" i="7" s="1"/>
  <c r="CC49" i="5"/>
  <c r="CC15" i="7" s="1"/>
  <c r="BF49" i="5"/>
  <c r="BF15" i="7" s="1"/>
  <c r="AD49" i="5"/>
  <c r="AD15" i="7" s="1"/>
  <c r="G49" i="5"/>
  <c r="G15" i="7" s="1"/>
  <c r="CA49" i="5"/>
  <c r="CA15" i="7" s="1"/>
  <c r="BD49" i="5"/>
  <c r="BD15" i="7" s="1"/>
  <c r="AC49" i="5"/>
  <c r="AC15" i="7" s="1"/>
  <c r="F49" i="5"/>
  <c r="F15" i="7" s="1"/>
  <c r="BZ49" i="5"/>
  <c r="BZ15" i="7" s="1"/>
  <c r="BC49" i="5"/>
  <c r="BC15" i="7" s="1"/>
  <c r="AB49" i="5"/>
  <c r="AB15" i="7" s="1"/>
  <c r="BY49" i="5"/>
  <c r="BY15" i="7" s="1"/>
  <c r="AA49" i="5"/>
  <c r="AA15" i="7" s="1"/>
  <c r="AW49" i="5"/>
  <c r="AW15" i="7" s="1"/>
  <c r="Z49" i="5"/>
  <c r="Z15" i="7" s="1"/>
  <c r="BW49" i="5"/>
  <c r="BW15" i="7" s="1"/>
  <c r="AU49" i="5"/>
  <c r="AU15" i="7" s="1"/>
  <c r="X49" i="5"/>
  <c r="X15" i="7" s="1"/>
  <c r="BV49" i="5"/>
  <c r="BV15" i="7" s="1"/>
  <c r="AT49" i="5"/>
  <c r="AT15" i="7" s="1"/>
  <c r="W49" i="5"/>
  <c r="W15" i="7" s="1"/>
  <c r="BT49" i="5"/>
  <c r="BT15" i="7" s="1"/>
  <c r="AS49" i="5"/>
  <c r="AS15" i="7" s="1"/>
  <c r="V49" i="5"/>
  <c r="V15" i="7" s="1"/>
  <c r="BS49" i="5"/>
  <c r="BS15" i="7" s="1"/>
  <c r="AR49" i="5"/>
  <c r="AR15" i="7" s="1"/>
  <c r="BR49" i="5"/>
  <c r="BR15" i="7" s="1"/>
  <c r="O49" i="5"/>
  <c r="O15" i="7" s="1"/>
  <c r="BM49" i="5"/>
  <c r="BM15" i="7" s="1"/>
  <c r="AP49" i="5"/>
  <c r="AP15" i="7" s="1"/>
  <c r="N49" i="5"/>
  <c r="N15" i="7" s="1"/>
  <c r="BK49" i="5"/>
  <c r="BK15" i="7" s="1"/>
  <c r="AN49" i="5"/>
  <c r="AN15" i="7" s="1"/>
  <c r="M49" i="5"/>
  <c r="M15" i="7" s="1"/>
  <c r="B29" i="5"/>
  <c r="BR129" i="6"/>
  <c r="BR131" i="6" s="1"/>
  <c r="AA129" i="6"/>
  <c r="AA131" i="6" s="1"/>
  <c r="BM128" i="6"/>
  <c r="BM132" i="6" s="1"/>
  <c r="AX129" i="6"/>
  <c r="AX131" i="6" s="1"/>
  <c r="Q129" i="6"/>
  <c r="Q131" i="6" s="1"/>
  <c r="AJ19" i="6"/>
  <c r="AJ21" i="6" s="1"/>
  <c r="BM19" i="6"/>
  <c r="BM21" i="6" s="1"/>
  <c r="AF123" i="6"/>
  <c r="K97" i="4" s="1"/>
  <c r="B14" i="5"/>
  <c r="B15" i="5" s="1"/>
  <c r="BK19" i="6"/>
  <c r="BK21" i="6" s="1"/>
  <c r="BZ132" i="6"/>
  <c r="CB19" i="6"/>
  <c r="CB21" i="6" s="1"/>
  <c r="F181" i="6"/>
  <c r="X129" i="6"/>
  <c r="X131" i="6" s="1"/>
  <c r="AS123" i="6"/>
  <c r="Q123" i="6"/>
  <c r="AD123" i="6"/>
  <c r="AL123" i="6"/>
  <c r="AR123" i="6"/>
  <c r="N97" i="4" s="1"/>
  <c r="BW71" i="6"/>
  <c r="S123" i="6"/>
  <c r="BB123" i="6"/>
  <c r="BE123" i="6"/>
  <c r="BH123" i="6"/>
  <c r="R97" i="4" s="1"/>
  <c r="CA123" i="6"/>
  <c r="V101" i="4"/>
  <c r="F101" i="4"/>
  <c r="V72" i="4"/>
  <c r="F72" i="4"/>
  <c r="T70" i="4"/>
  <c r="R41" i="4"/>
  <c r="U72" i="4"/>
  <c r="S70" i="4"/>
  <c r="Q41" i="4"/>
  <c r="N101" i="4"/>
  <c r="M101" i="4"/>
  <c r="K101" i="4"/>
  <c r="R72" i="4"/>
  <c r="H70" i="4"/>
  <c r="S41" i="4"/>
  <c r="Q12" i="4"/>
  <c r="O10" i="4"/>
  <c r="P41" i="4"/>
  <c r="Q72" i="4"/>
  <c r="G70" i="4"/>
  <c r="P12" i="4"/>
  <c r="N10" i="4"/>
  <c r="P72" i="4"/>
  <c r="X70" i="4"/>
  <c r="F70" i="4"/>
  <c r="O41" i="4"/>
  <c r="O12" i="4"/>
  <c r="M10" i="4"/>
  <c r="X10" i="4"/>
  <c r="O72" i="4"/>
  <c r="W70" i="4"/>
  <c r="N41" i="4"/>
  <c r="N12" i="4"/>
  <c r="L10" i="4"/>
  <c r="J12" i="4"/>
  <c r="N70" i="4"/>
  <c r="I101" i="4"/>
  <c r="N72" i="4"/>
  <c r="V70" i="4"/>
  <c r="M41" i="4"/>
  <c r="M12" i="4"/>
  <c r="K10" i="4"/>
  <c r="J10" i="4"/>
  <c r="H101" i="4"/>
  <c r="M72" i="4"/>
  <c r="U70" i="4"/>
  <c r="L41" i="4"/>
  <c r="L12" i="4"/>
  <c r="H10" i="4"/>
  <c r="H72" i="4"/>
  <c r="L72" i="4"/>
  <c r="R70" i="4"/>
  <c r="K41" i="4"/>
  <c r="K12" i="4"/>
  <c r="I10" i="4"/>
  <c r="K72" i="4"/>
  <c r="J41" i="4"/>
  <c r="Q70" i="4"/>
  <c r="J72" i="4"/>
  <c r="P70" i="4"/>
  <c r="I41" i="4"/>
  <c r="I12" i="4"/>
  <c r="W10" i="4"/>
  <c r="G10" i="4"/>
  <c r="H12" i="4"/>
  <c r="F10" i="4"/>
  <c r="W12" i="4"/>
  <c r="I72" i="4"/>
  <c r="O70" i="4"/>
  <c r="H41" i="4"/>
  <c r="X12" i="4"/>
  <c r="V10" i="4"/>
  <c r="G41" i="4"/>
  <c r="G12" i="4"/>
  <c r="U10" i="4"/>
  <c r="W72" i="4"/>
  <c r="K70" i="4"/>
  <c r="V41" i="4"/>
  <c r="D41" i="4"/>
  <c r="T12" i="4"/>
  <c r="R10" i="4"/>
  <c r="T72" i="4"/>
  <c r="J70" i="4"/>
  <c r="U41" i="4"/>
  <c r="M70" i="4"/>
  <c r="U12" i="4"/>
  <c r="W41" i="4"/>
  <c r="T41" i="4"/>
  <c r="L70" i="4"/>
  <c r="I70" i="4"/>
  <c r="T10" i="4"/>
  <c r="S10" i="4"/>
  <c r="V12" i="4"/>
  <c r="X72" i="4"/>
  <c r="S72" i="4"/>
  <c r="S12" i="4"/>
  <c r="Q10" i="4"/>
  <c r="F41" i="4"/>
  <c r="G72" i="4"/>
  <c r="R12" i="4"/>
  <c r="P10" i="4"/>
  <c r="F12" i="4"/>
  <c r="E41" i="4"/>
  <c r="M236" i="8"/>
  <c r="U161" i="8"/>
  <c r="F86" i="8"/>
  <c r="U86" i="8"/>
  <c r="S101" i="4"/>
  <c r="W101" i="4"/>
  <c r="M161" i="8"/>
  <c r="I161" i="8"/>
  <c r="V11" i="8"/>
  <c r="T11" i="8"/>
  <c r="W161" i="8"/>
  <c r="W236" i="8"/>
  <c r="R161" i="8"/>
  <c r="H86" i="8"/>
  <c r="H11" i="8"/>
  <c r="F11" i="8"/>
  <c r="D11" i="8"/>
  <c r="L86" i="8"/>
  <c r="J86" i="8"/>
  <c r="P161" i="8"/>
  <c r="G236" i="8"/>
  <c r="K11" i="8"/>
  <c r="E86" i="8"/>
  <c r="Q101" i="4"/>
  <c r="S236" i="8"/>
  <c r="L236" i="8"/>
  <c r="Q11" i="8"/>
  <c r="M11" i="8"/>
  <c r="O161" i="8"/>
  <c r="G161" i="8"/>
  <c r="E161" i="8"/>
  <c r="N86" i="8"/>
  <c r="L101" i="4"/>
  <c r="L161" i="8"/>
  <c r="Q161" i="8"/>
  <c r="P236" i="8"/>
  <c r="V236" i="8"/>
  <c r="J236" i="8"/>
  <c r="W86" i="8"/>
  <c r="D86" i="8"/>
  <c r="F236" i="8"/>
  <c r="G86" i="8"/>
  <c r="W11" i="8"/>
  <c r="U11" i="8"/>
  <c r="K86" i="8"/>
  <c r="N236" i="8"/>
  <c r="E11" i="8"/>
  <c r="R236" i="8"/>
  <c r="I236" i="8"/>
  <c r="I11" i="8"/>
  <c r="G11" i="8"/>
  <c r="O11" i="8"/>
  <c r="R101" i="4"/>
  <c r="M86" i="8"/>
  <c r="K236" i="8"/>
  <c r="P101" i="4"/>
  <c r="D236" i="8"/>
  <c r="E236" i="8"/>
  <c r="V86" i="8"/>
  <c r="S86" i="8"/>
  <c r="Q86" i="8"/>
  <c r="O86" i="8"/>
  <c r="U236" i="8"/>
  <c r="I86" i="8"/>
  <c r="G101" i="4"/>
  <c r="J161" i="8"/>
  <c r="V161" i="8"/>
  <c r="O101" i="4"/>
  <c r="E101" i="4"/>
  <c r="T236" i="8"/>
  <c r="Q236" i="8"/>
  <c r="H161" i="8"/>
  <c r="R86" i="8"/>
  <c r="P11" i="8"/>
  <c r="N11" i="8"/>
  <c r="O236" i="8"/>
  <c r="T86" i="8"/>
  <c r="F161" i="8"/>
  <c r="P86" i="8"/>
  <c r="S161" i="8"/>
  <c r="N161" i="8"/>
  <c r="D161" i="8"/>
  <c r="D101" i="4"/>
  <c r="R11" i="8"/>
  <c r="T161" i="8"/>
  <c r="S11" i="8"/>
  <c r="T101" i="4"/>
  <c r="L11" i="8"/>
  <c r="H236" i="8"/>
  <c r="J101" i="4"/>
  <c r="K161" i="8"/>
  <c r="U101" i="4"/>
  <c r="J11" i="8"/>
  <c r="AO71" i="6"/>
  <c r="BA181" i="6"/>
  <c r="CE13" i="6"/>
  <c r="BL13" i="6"/>
  <c r="S37" i="4" s="1"/>
  <c r="BA13" i="6"/>
  <c r="BT13" i="6"/>
  <c r="U37" i="4" s="1"/>
  <c r="BW13" i="6"/>
  <c r="BR71" i="6"/>
  <c r="BK181" i="6"/>
  <c r="AG181" i="6"/>
  <c r="BL129" i="6"/>
  <c r="BL131" i="6" s="1"/>
  <c r="CC19" i="6"/>
  <c r="CC21" i="6" s="1"/>
  <c r="AE128" i="6"/>
  <c r="AE132" i="6" s="1"/>
  <c r="BV129" i="6"/>
  <c r="BV131" i="6" s="1"/>
  <c r="AF19" i="6"/>
  <c r="AF21" i="6" s="1"/>
  <c r="CB132" i="6"/>
  <c r="AW18" i="6"/>
  <c r="AW19" i="6" s="1"/>
  <c r="AW21" i="6" s="1"/>
  <c r="J128" i="6"/>
  <c r="J132" i="6" s="1"/>
  <c r="BD71" i="6"/>
  <c r="BP19" i="6"/>
  <c r="BP21" i="6" s="1"/>
  <c r="D22" i="6"/>
  <c r="D19" i="6"/>
  <c r="D21" i="6" s="1"/>
  <c r="N181" i="6"/>
  <c r="AN22" i="6"/>
  <c r="BQ128" i="6"/>
  <c r="Z128" i="6"/>
  <c r="Z132" i="6" s="1"/>
  <c r="R129" i="6"/>
  <c r="R131" i="6" s="1"/>
  <c r="CF181" i="6"/>
  <c r="AF71" i="6"/>
  <c r="AW128" i="6"/>
  <c r="P128" i="6"/>
  <c r="AI18" i="6"/>
  <c r="AI22" i="6" s="1"/>
  <c r="BN19" i="6"/>
  <c r="BN21" i="6" s="1"/>
  <c r="BL18" i="6"/>
  <c r="BL22" i="6" s="1"/>
  <c r="CE132" i="6" l="1"/>
  <c r="AQ49" i="5"/>
  <c r="AQ15" i="7" s="1"/>
  <c r="BX49" i="5"/>
  <c r="BX15" i="7" s="1"/>
  <c r="AE49" i="5"/>
  <c r="AE15" i="7" s="1"/>
  <c r="I49" i="5"/>
  <c r="I15" i="7" s="1"/>
  <c r="AI49" i="5"/>
  <c r="AI15" i="7" s="1"/>
  <c r="BQ132" i="6"/>
  <c r="Q49" i="5"/>
  <c r="Q15" i="7" s="1"/>
  <c r="BB49" i="5"/>
  <c r="BB15" i="7" s="1"/>
  <c r="J49" i="5"/>
  <c r="J15" i="7" s="1"/>
  <c r="AO49" i="5"/>
  <c r="AO15" i="7" s="1"/>
  <c r="E133" i="6"/>
  <c r="AL132" i="6"/>
  <c r="H133" i="6"/>
  <c r="H135" i="6" s="1"/>
  <c r="BQ23" i="6"/>
  <c r="BQ24" i="6" s="1"/>
  <c r="D22" i="11"/>
  <c r="BK23" i="6"/>
  <c r="BT23" i="6"/>
  <c r="J23" i="6"/>
  <c r="BY22" i="6"/>
  <c r="BX22" i="6"/>
  <c r="BX23" i="6" s="1"/>
  <c r="BH22" i="6"/>
  <c r="BH23" i="6" s="1"/>
  <c r="F133" i="6"/>
  <c r="F134" i="6" s="1"/>
  <c r="T22" i="6"/>
  <c r="T23" i="6" s="1"/>
  <c r="AT22" i="6"/>
  <c r="AT23" i="6" s="1"/>
  <c r="AT25" i="6" s="1"/>
  <c r="BR23" i="6"/>
  <c r="BR24" i="6" s="1"/>
  <c r="CE23" i="6"/>
  <c r="CE25" i="6" s="1"/>
  <c r="BL133" i="6"/>
  <c r="BL134" i="6" s="1"/>
  <c r="CC22" i="6"/>
  <c r="CC23" i="6" s="1"/>
  <c r="AU22" i="6"/>
  <c r="AU23" i="6" s="1"/>
  <c r="F23" i="6"/>
  <c r="F25" i="6" s="1"/>
  <c r="CD132" i="6"/>
  <c r="CD133" i="6" s="1"/>
  <c r="I133" i="6"/>
  <c r="I135" i="6" s="1"/>
  <c r="BM22" i="6"/>
  <c r="BM23" i="6" s="1"/>
  <c r="BM25" i="6" s="1"/>
  <c r="L132" i="6"/>
  <c r="BJ22" i="6"/>
  <c r="BJ23" i="6" s="1"/>
  <c r="BJ24" i="6" s="1"/>
  <c r="BD22" i="6"/>
  <c r="BD23" i="6" s="1"/>
  <c r="D21" i="11"/>
  <c r="BE132" i="6"/>
  <c r="R23" i="6"/>
  <c r="R25" i="6" s="1"/>
  <c r="D133" i="6"/>
  <c r="D134" i="6" s="1"/>
  <c r="X22" i="6"/>
  <c r="X23" i="6" s="1"/>
  <c r="Z22" i="6"/>
  <c r="Z23" i="6" s="1"/>
  <c r="AX19" i="6"/>
  <c r="AX21" i="6" s="1"/>
  <c r="AB23" i="6"/>
  <c r="AB24" i="6" s="1"/>
  <c r="AE22" i="6"/>
  <c r="AE23" i="6" s="1"/>
  <c r="AM132" i="6"/>
  <c r="BU19" i="6"/>
  <c r="BU21" i="6" s="1"/>
  <c r="BU23" i="6" s="1"/>
  <c r="BO132" i="6"/>
  <c r="BO133" i="6" s="1"/>
  <c r="AO22" i="6"/>
  <c r="AO23" i="6" s="1"/>
  <c r="BY19" i="6"/>
  <c r="BY21" i="6" s="1"/>
  <c r="G133" i="6"/>
  <c r="G134" i="6" s="1"/>
  <c r="P132" i="6"/>
  <c r="Q22" i="6"/>
  <c r="BF132" i="6"/>
  <c r="AW132" i="6"/>
  <c r="AV132" i="6"/>
  <c r="AQ22" i="6"/>
  <c r="B17" i="5"/>
  <c r="B23" i="5"/>
  <c r="B22" i="5"/>
  <c r="D23" i="6"/>
  <c r="BM129" i="6"/>
  <c r="BM131" i="6" s="1"/>
  <c r="BM133" i="6" s="1"/>
  <c r="D28" i="11"/>
  <c r="AL22" i="6"/>
  <c r="AL23" i="6" s="1"/>
  <c r="AK22" i="6"/>
  <c r="AK23" i="6" s="1"/>
  <c r="BF129" i="6"/>
  <c r="BF131" i="6" s="1"/>
  <c r="BH132" i="6"/>
  <c r="BH133" i="6" s="1"/>
  <c r="BB23" i="6"/>
  <c r="BA132" i="6"/>
  <c r="BE129" i="6"/>
  <c r="BE131" i="6" s="1"/>
  <c r="J24" i="6"/>
  <c r="J25" i="6"/>
  <c r="AQ19" i="6"/>
  <c r="AQ21" i="6" s="1"/>
  <c r="BA129" i="6"/>
  <c r="BA131" i="6" s="1"/>
  <c r="CF132" i="6"/>
  <c r="CF133" i="6" s="1"/>
  <c r="AF22" i="6"/>
  <c r="AF23" i="6" s="1"/>
  <c r="AO132" i="6"/>
  <c r="E53" i="6"/>
  <c r="AA132" i="6"/>
  <c r="AA133" i="6" s="1"/>
  <c r="BU132" i="6"/>
  <c r="BU133" i="6" s="1"/>
  <c r="AR132" i="6"/>
  <c r="AR133" i="6" s="1"/>
  <c r="AP132" i="6"/>
  <c r="AP133" i="6" s="1"/>
  <c r="AZ22" i="6"/>
  <c r="AZ23" i="6" s="1"/>
  <c r="F51" i="6"/>
  <c r="F53" i="6" s="1"/>
  <c r="F52" i="6"/>
  <c r="G50" i="6" s="1"/>
  <c r="BN22" i="6"/>
  <c r="BN23" i="6" s="1"/>
  <c r="Y132" i="6"/>
  <c r="Y133" i="6" s="1"/>
  <c r="AS129" i="6"/>
  <c r="AS131" i="6" s="1"/>
  <c r="BR132" i="6"/>
  <c r="BR133" i="6" s="1"/>
  <c r="W132" i="6"/>
  <c r="W133" i="6" s="1"/>
  <c r="E17" i="5"/>
  <c r="E23" i="5"/>
  <c r="E22" i="5"/>
  <c r="E25" i="6"/>
  <c r="E24" i="6"/>
  <c r="AN132" i="6"/>
  <c r="AN133" i="6" s="1"/>
  <c r="K24" i="6"/>
  <c r="K25" i="6"/>
  <c r="BZ22" i="6"/>
  <c r="BZ23" i="6" s="1"/>
  <c r="AJ132" i="6"/>
  <c r="AJ133" i="6" s="1"/>
  <c r="AT132" i="6"/>
  <c r="AT133" i="6" s="1"/>
  <c r="J129" i="6"/>
  <c r="J131" i="6" s="1"/>
  <c r="J133" i="6" s="1"/>
  <c r="CA22" i="6"/>
  <c r="CA23" i="6" s="1"/>
  <c r="BI132" i="6"/>
  <c r="BI133" i="6" s="1"/>
  <c r="Y22" i="6"/>
  <c r="Y23" i="6" s="1"/>
  <c r="BP22" i="6"/>
  <c r="BP23" i="6" s="1"/>
  <c r="BQ25" i="6"/>
  <c r="AX132" i="6"/>
  <c r="AX133" i="6" s="1"/>
  <c r="P129" i="6"/>
  <c r="P131" i="6" s="1"/>
  <c r="BB132" i="6"/>
  <c r="BT24" i="6"/>
  <c r="BT25" i="6"/>
  <c r="X132" i="6"/>
  <c r="X133" i="6" s="1"/>
  <c r="AC23" i="6"/>
  <c r="CC132" i="6"/>
  <c r="CC133" i="6" s="1"/>
  <c r="N132" i="6"/>
  <c r="N133" i="6" s="1"/>
  <c r="O132" i="6"/>
  <c r="O133" i="6" s="1"/>
  <c r="AK132" i="6"/>
  <c r="AK133" i="6" s="1"/>
  <c r="BS132" i="6"/>
  <c r="BC132" i="6"/>
  <c r="BC133" i="6" s="1"/>
  <c r="BO22" i="6"/>
  <c r="BO23" i="6" s="1"/>
  <c r="BV132" i="6"/>
  <c r="BV133" i="6" s="1"/>
  <c r="AH22" i="6"/>
  <c r="AH23" i="6" s="1"/>
  <c r="AY132" i="6"/>
  <c r="V19" i="6"/>
  <c r="V21" i="6" s="1"/>
  <c r="V23" i="6" s="1"/>
  <c r="O22" i="6"/>
  <c r="O23" i="6" s="1"/>
  <c r="L129" i="6"/>
  <c r="L131" i="6" s="1"/>
  <c r="BG132" i="6"/>
  <c r="BG133" i="6" s="1"/>
  <c r="M22" i="6"/>
  <c r="M23" i="6" s="1"/>
  <c r="S22" i="6"/>
  <c r="S23" i="6" s="1"/>
  <c r="CB22" i="6"/>
  <c r="CB23" i="6" s="1"/>
  <c r="S132" i="6"/>
  <c r="S133" i="6" s="1"/>
  <c r="AF132" i="6"/>
  <c r="AF133" i="6" s="1"/>
  <c r="BF22" i="6"/>
  <c r="AI19" i="6"/>
  <c r="AI21" i="6" s="1"/>
  <c r="AI23" i="6" s="1"/>
  <c r="AV129" i="6"/>
  <c r="AV131" i="6" s="1"/>
  <c r="BN132" i="6"/>
  <c r="BN133" i="6" s="1"/>
  <c r="BB129" i="6"/>
  <c r="BB131" i="6" s="1"/>
  <c r="Z129" i="6"/>
  <c r="Z131" i="6" s="1"/>
  <c r="Z133" i="6" s="1"/>
  <c r="AD132" i="6"/>
  <c r="AD133" i="6" s="1"/>
  <c r="BG22" i="6"/>
  <c r="BG23" i="6" s="1"/>
  <c r="M132" i="6"/>
  <c r="M133" i="6" s="1"/>
  <c r="AO129" i="6"/>
  <c r="AO131" i="6" s="1"/>
  <c r="AW129" i="6"/>
  <c r="AW131" i="6" s="1"/>
  <c r="BI23" i="6"/>
  <c r="AA24" i="6"/>
  <c r="AA25" i="6"/>
  <c r="BE22" i="6"/>
  <c r="BE23" i="6" s="1"/>
  <c r="C8" i="11"/>
  <c r="B8" i="11"/>
  <c r="BZ133" i="6"/>
  <c r="BY133" i="6"/>
  <c r="AY22" i="6"/>
  <c r="AY23" i="6" s="1"/>
  <c r="U22" i="6"/>
  <c r="U23" i="6" s="1"/>
  <c r="AW22" i="6"/>
  <c r="AW23" i="6" s="1"/>
  <c r="BW133" i="6"/>
  <c r="E163" i="6"/>
  <c r="G23" i="6"/>
  <c r="AG22" i="6"/>
  <c r="AU133" i="6"/>
  <c r="AJ22" i="6"/>
  <c r="AJ23" i="6" s="1"/>
  <c r="I23" i="6"/>
  <c r="BV22" i="6"/>
  <c r="BV23" i="6" s="1"/>
  <c r="H23" i="6"/>
  <c r="CD25" i="6"/>
  <c r="CD24" i="6"/>
  <c r="F161" i="6"/>
  <c r="F163" i="6" s="1"/>
  <c r="F162" i="6"/>
  <c r="G160" i="6" s="1"/>
  <c r="X97" i="4"/>
  <c r="E34" i="3"/>
  <c r="AS22" i="6"/>
  <c r="AM22" i="6"/>
  <c r="BQ129" i="6"/>
  <c r="BQ131" i="6" s="1"/>
  <c r="BQ133" i="6" s="1"/>
  <c r="BS23" i="6"/>
  <c r="V132" i="6"/>
  <c r="V133" i="6" s="1"/>
  <c r="CA129" i="6"/>
  <c r="CA131" i="6" s="1"/>
  <c r="CA133" i="6" s="1"/>
  <c r="AE129" i="6"/>
  <c r="AE131" i="6" s="1"/>
  <c r="AE133" i="6" s="1"/>
  <c r="BW22" i="6"/>
  <c r="BW23" i="6" s="1"/>
  <c r="BP132" i="6"/>
  <c r="BP133" i="6" s="1"/>
  <c r="BK24" i="6"/>
  <c r="BK25" i="6"/>
  <c r="BW50" i="5"/>
  <c r="BG50" i="5"/>
  <c r="AQ50" i="5"/>
  <c r="AA50" i="5"/>
  <c r="K50" i="5"/>
  <c r="BV50" i="5"/>
  <c r="BF50" i="5"/>
  <c r="AP50" i="5"/>
  <c r="Z50" i="5"/>
  <c r="J50" i="5"/>
  <c r="BU50" i="5"/>
  <c r="BE50" i="5"/>
  <c r="AO50" i="5"/>
  <c r="Y50" i="5"/>
  <c r="I50" i="5"/>
  <c r="BS50" i="5"/>
  <c r="BC50" i="5"/>
  <c r="AM50" i="5"/>
  <c r="W50" i="5"/>
  <c r="G50" i="5"/>
  <c r="CF50" i="5"/>
  <c r="BP50" i="5"/>
  <c r="AJ50" i="5"/>
  <c r="T50" i="5"/>
  <c r="D50" i="5"/>
  <c r="CE50" i="5"/>
  <c r="BO50" i="5"/>
  <c r="AI50" i="5"/>
  <c r="CB50" i="5"/>
  <c r="BL50" i="5"/>
  <c r="AF50" i="5"/>
  <c r="P50" i="5"/>
  <c r="BX50" i="5"/>
  <c r="BH50" i="5"/>
  <c r="AB50" i="5"/>
  <c r="L50" i="5"/>
  <c r="BD50" i="5"/>
  <c r="X50" i="5"/>
  <c r="BB50" i="5"/>
  <c r="V50" i="5"/>
  <c r="BA50" i="5"/>
  <c r="U50" i="5"/>
  <c r="CD50" i="5"/>
  <c r="S50" i="5"/>
  <c r="CC50" i="5"/>
  <c r="R50" i="5"/>
  <c r="CA50" i="5"/>
  <c r="Q50" i="5"/>
  <c r="BZ50" i="5"/>
  <c r="O50" i="5"/>
  <c r="BY50" i="5"/>
  <c r="N50" i="5"/>
  <c r="BT50" i="5"/>
  <c r="AN50" i="5"/>
  <c r="M50" i="5"/>
  <c r="BR50" i="5"/>
  <c r="AL50" i="5"/>
  <c r="H50" i="5"/>
  <c r="BQ50" i="5"/>
  <c r="AK50" i="5"/>
  <c r="F50" i="5"/>
  <c r="BN50" i="5"/>
  <c r="AH50" i="5"/>
  <c r="E50" i="5"/>
  <c r="B31" i="5"/>
  <c r="BM50" i="5"/>
  <c r="AG50" i="5"/>
  <c r="BK50" i="5"/>
  <c r="AE50" i="5"/>
  <c r="BJ50" i="5"/>
  <c r="AD50" i="5"/>
  <c r="BI50" i="5"/>
  <c r="AC50" i="5"/>
  <c r="B37" i="3"/>
  <c r="I41" i="5"/>
  <c r="BZ41" i="5"/>
  <c r="BF41" i="5"/>
  <c r="R41" i="5"/>
  <c r="D41" i="5"/>
  <c r="Q41" i="5"/>
  <c r="M41" i="5"/>
  <c r="CC41" i="5"/>
  <c r="BH41" i="5"/>
  <c r="BX41" i="5"/>
  <c r="BR41" i="5"/>
  <c r="CF41" i="5"/>
  <c r="BK41" i="5"/>
  <c r="G41" i="5"/>
  <c r="BO41" i="5"/>
  <c r="BD41" i="5"/>
  <c r="BN41" i="5"/>
  <c r="BE41" i="5"/>
  <c r="BW41" i="5"/>
  <c r="E41" i="5"/>
  <c r="BP41" i="5"/>
  <c r="BY41" i="5"/>
  <c r="BG41" i="5"/>
  <c r="P41" i="5"/>
  <c r="H41" i="5"/>
  <c r="BU41" i="5"/>
  <c r="BQ41" i="5"/>
  <c r="L41" i="5"/>
  <c r="CB41" i="5"/>
  <c r="BT41" i="5"/>
  <c r="BC41" i="5"/>
  <c r="CE41" i="5"/>
  <c r="BJ41" i="5"/>
  <c r="BL41" i="5"/>
  <c r="K41" i="5"/>
  <c r="BM41" i="5"/>
  <c r="BV41" i="5"/>
  <c r="S41" i="5"/>
  <c r="O41" i="5"/>
  <c r="BS41" i="5"/>
  <c r="BB41" i="5"/>
  <c r="J41" i="5"/>
  <c r="CA41" i="5"/>
  <c r="N41" i="5"/>
  <c r="CD41" i="5"/>
  <c r="BI41" i="5"/>
  <c r="BA41" i="5"/>
  <c r="F41" i="5"/>
  <c r="BL19" i="6"/>
  <c r="BL21" i="6" s="1"/>
  <c r="BL23" i="6" s="1"/>
  <c r="BT132" i="6"/>
  <c r="BT133" i="6" s="1"/>
  <c r="BC19" i="6"/>
  <c r="BC21" i="6" s="1"/>
  <c r="BC23" i="6" s="1"/>
  <c r="AV19" i="6"/>
  <c r="AV21" i="6" s="1"/>
  <c r="AV23" i="6" s="1"/>
  <c r="AD19" i="6"/>
  <c r="AD21" i="6" s="1"/>
  <c r="AD23" i="6" s="1"/>
  <c r="CB133" i="6"/>
  <c r="AM19" i="6"/>
  <c r="AM21" i="6" s="1"/>
  <c r="BA22" i="6"/>
  <c r="BA23" i="6" s="1"/>
  <c r="R132" i="6"/>
  <c r="R133" i="6" s="1"/>
  <c r="AI132" i="6"/>
  <c r="AI133" i="6" s="1"/>
  <c r="AP23" i="6"/>
  <c r="N22" i="6"/>
  <c r="N23" i="6" s="1"/>
  <c r="BQ160" i="5"/>
  <c r="BA160" i="5"/>
  <c r="AK160" i="5"/>
  <c r="U160" i="5"/>
  <c r="E160" i="5"/>
  <c r="CF160" i="5"/>
  <c r="BP160" i="5"/>
  <c r="AJ160" i="5"/>
  <c r="T160" i="5"/>
  <c r="D160" i="5"/>
  <c r="CE160" i="5"/>
  <c r="BO160" i="5"/>
  <c r="AI160" i="5"/>
  <c r="S160" i="5"/>
  <c r="CD160" i="5"/>
  <c r="BN160" i="5"/>
  <c r="AH160" i="5"/>
  <c r="R160" i="5"/>
  <c r="CC160" i="5"/>
  <c r="BM160" i="5"/>
  <c r="AG160" i="5"/>
  <c r="Q160" i="5"/>
  <c r="CB160" i="5"/>
  <c r="BL160" i="5"/>
  <c r="AF160" i="5"/>
  <c r="P160" i="5"/>
  <c r="CA160" i="5"/>
  <c r="BK160" i="5"/>
  <c r="AE160" i="5"/>
  <c r="O160" i="5"/>
  <c r="BX160" i="5"/>
  <c r="BH160" i="5"/>
  <c r="AB160" i="5"/>
  <c r="L160" i="5"/>
  <c r="BS160" i="5"/>
  <c r="AM160" i="5"/>
  <c r="G160" i="5"/>
  <c r="BR160" i="5"/>
  <c r="AL160" i="5"/>
  <c r="F160" i="5"/>
  <c r="BJ160" i="5"/>
  <c r="AD160" i="5"/>
  <c r="BI160" i="5"/>
  <c r="AC160" i="5"/>
  <c r="BG160" i="5"/>
  <c r="AA160" i="5"/>
  <c r="BF160" i="5"/>
  <c r="Z160" i="5"/>
  <c r="BD160" i="5"/>
  <c r="X160" i="5"/>
  <c r="BC160" i="5"/>
  <c r="W160" i="5"/>
  <c r="BY160" i="5"/>
  <c r="M160" i="5"/>
  <c r="BT160" i="5"/>
  <c r="AN160" i="5"/>
  <c r="H160" i="5"/>
  <c r="Y160" i="5"/>
  <c r="V160" i="5"/>
  <c r="N160" i="5"/>
  <c r="K160" i="5"/>
  <c r="J160" i="5"/>
  <c r="I160" i="5"/>
  <c r="BZ160" i="5"/>
  <c r="BW160" i="5"/>
  <c r="BV160" i="5"/>
  <c r="BU160" i="5"/>
  <c r="BE160" i="5"/>
  <c r="E31" i="5"/>
  <c r="BB160" i="5"/>
  <c r="AQ160" i="5"/>
  <c r="AP160" i="5"/>
  <c r="AO160" i="5"/>
  <c r="E37" i="3"/>
  <c r="BK151" i="5"/>
  <c r="BS151" i="5"/>
  <c r="BA151" i="5"/>
  <c r="R151" i="5"/>
  <c r="S151" i="5"/>
  <c r="E151" i="5"/>
  <c r="L151" i="5"/>
  <c r="BT151" i="5"/>
  <c r="J151" i="5"/>
  <c r="CF151" i="5"/>
  <c r="BQ151" i="5"/>
  <c r="O151" i="5"/>
  <c r="BU151" i="5"/>
  <c r="N151" i="5"/>
  <c r="BH151" i="5"/>
  <c r="D151" i="5"/>
  <c r="BY151" i="5"/>
  <c r="BE151" i="5"/>
  <c r="H151" i="5"/>
  <c r="BP151" i="5"/>
  <c r="BC151" i="5"/>
  <c r="CC151" i="5"/>
  <c r="BI151" i="5"/>
  <c r="CE151" i="5"/>
  <c r="K151" i="5"/>
  <c r="BM151" i="5"/>
  <c r="BO151" i="5"/>
  <c r="BV151" i="5"/>
  <c r="I151" i="5"/>
  <c r="G151" i="5"/>
  <c r="M151" i="5"/>
  <c r="BR151" i="5"/>
  <c r="BZ151" i="5"/>
  <c r="BJ151" i="5"/>
  <c r="BN151" i="5"/>
  <c r="Q151" i="5"/>
  <c r="BX151" i="5"/>
  <c r="BB151" i="5"/>
  <c r="CB151" i="5"/>
  <c r="BG151" i="5"/>
  <c r="CD151" i="5"/>
  <c r="BL151" i="5"/>
  <c r="BW151" i="5"/>
  <c r="P151" i="5"/>
  <c r="F151" i="5"/>
  <c r="BD151" i="5"/>
  <c r="CA151" i="5"/>
  <c r="BF151" i="5"/>
  <c r="BD132" i="6"/>
  <c r="BD133" i="6" s="1"/>
  <c r="AL133" i="6"/>
  <c r="AH132" i="6"/>
  <c r="AH133" i="6" s="1"/>
  <c r="AG19" i="6"/>
  <c r="AG21" i="6" s="1"/>
  <c r="AQ132" i="6"/>
  <c r="AQ133" i="6" s="1"/>
  <c r="AS19" i="6"/>
  <c r="AS21" i="6" s="1"/>
  <c r="AM129" i="6"/>
  <c r="AM131" i="6" s="1"/>
  <c r="AC132" i="6"/>
  <c r="AC133" i="6" s="1"/>
  <c r="T132" i="6"/>
  <c r="T133" i="6" s="1"/>
  <c r="X37" i="4"/>
  <c r="B34" i="3"/>
  <c r="B36" i="1" s="1"/>
  <c r="AB132" i="6"/>
  <c r="AB133" i="6" s="1"/>
  <c r="E134" i="6"/>
  <c r="E135" i="6"/>
  <c r="D20" i="11"/>
  <c r="AN23" i="6"/>
  <c r="K132" i="6"/>
  <c r="K133" i="6" s="1"/>
  <c r="AZ132" i="6"/>
  <c r="AZ133" i="6" s="1"/>
  <c r="BK133" i="6"/>
  <c r="BX133" i="6"/>
  <c r="Q132" i="6"/>
  <c r="Q133" i="6" s="1"/>
  <c r="L19" i="6"/>
  <c r="L21" i="6" s="1"/>
  <c r="L23" i="6" s="1"/>
  <c r="BJ132" i="6"/>
  <c r="BJ133" i="6" s="1"/>
  <c r="AG132" i="6"/>
  <c r="AG133" i="6" s="1"/>
  <c r="AS132" i="6"/>
  <c r="P22" i="6"/>
  <c r="P23" i="6" s="1"/>
  <c r="AY129" i="6"/>
  <c r="AY131" i="6" s="1"/>
  <c r="U129" i="6"/>
  <c r="U131" i="6" s="1"/>
  <c r="U133" i="6" s="1"/>
  <c r="Q19" i="6"/>
  <c r="Q21" i="6" s="1"/>
  <c r="CE129" i="6"/>
  <c r="CE131" i="6" s="1"/>
  <c r="CE133" i="6" s="1"/>
  <c r="BF19" i="6"/>
  <c r="BF21" i="6" s="1"/>
  <c r="CF23" i="6"/>
  <c r="BS129" i="6"/>
  <c r="BS131" i="6" s="1"/>
  <c r="AX22" i="6"/>
  <c r="W22" i="6"/>
  <c r="W23" i="6" s="1"/>
  <c r="AR22" i="6"/>
  <c r="AR23" i="6" s="1"/>
  <c r="H134" i="6" l="1"/>
  <c r="BR25" i="6"/>
  <c r="BR27" i="6" s="1"/>
  <c r="R24" i="6"/>
  <c r="BL135" i="6"/>
  <c r="F135" i="6"/>
  <c r="CE24" i="6"/>
  <c r="P133" i="6"/>
  <c r="BY23" i="6"/>
  <c r="BY25" i="6" s="1"/>
  <c r="AB25" i="6"/>
  <c r="AX23" i="6"/>
  <c r="AX25" i="6" s="1"/>
  <c r="F24" i="6"/>
  <c r="I134" i="6"/>
  <c r="AV133" i="6"/>
  <c r="AV134" i="6" s="1"/>
  <c r="AT24" i="6"/>
  <c r="L133" i="6"/>
  <c r="L135" i="6" s="1"/>
  <c r="BM24" i="6"/>
  <c r="CC25" i="6"/>
  <c r="CC27" i="6" s="1"/>
  <c r="CC24" i="6"/>
  <c r="D135" i="6"/>
  <c r="D136" i="6" s="1"/>
  <c r="Q23" i="6"/>
  <c r="Q25" i="6" s="1"/>
  <c r="AW133" i="6"/>
  <c r="AW134" i="6" s="1"/>
  <c r="BE133" i="6"/>
  <c r="BE135" i="6" s="1"/>
  <c r="AQ23" i="6"/>
  <c r="AQ25" i="6" s="1"/>
  <c r="AY133" i="6"/>
  <c r="AY134" i="6" s="1"/>
  <c r="AM133" i="6"/>
  <c r="AM135" i="6" s="1"/>
  <c r="AS23" i="6"/>
  <c r="AS25" i="6" s="1"/>
  <c r="AG23" i="6"/>
  <c r="AG24" i="6" s="1"/>
  <c r="BS133" i="6"/>
  <c r="BS135" i="6" s="1"/>
  <c r="BF23" i="6"/>
  <c r="BF24" i="6" s="1"/>
  <c r="BF133" i="6"/>
  <c r="BF134" i="6" s="1"/>
  <c r="AO24" i="6"/>
  <c r="AO25" i="6"/>
  <c r="AO26" i="6" s="1"/>
  <c r="AE24" i="6"/>
  <c r="AE25" i="6"/>
  <c r="AE27" i="6" s="1"/>
  <c r="G135" i="6"/>
  <c r="G137" i="6" s="1"/>
  <c r="BB133" i="6"/>
  <c r="BB135" i="6" s="1"/>
  <c r="AM23" i="6"/>
  <c r="AM24" i="6" s="1"/>
  <c r="AO133" i="6"/>
  <c r="AO134" i="6" s="1"/>
  <c r="BJ25" i="6"/>
  <c r="BJ26" i="6" s="1"/>
  <c r="M135" i="6"/>
  <c r="M134" i="6"/>
  <c r="Y24" i="6"/>
  <c r="Y25" i="6"/>
  <c r="M24" i="6"/>
  <c r="M25" i="6"/>
  <c r="U25" i="6"/>
  <c r="U24" i="6"/>
  <c r="AD134" i="6"/>
  <c r="AD135" i="6"/>
  <c r="BG135" i="6"/>
  <c r="BG134" i="6"/>
  <c r="S25" i="6"/>
  <c r="S24" i="6"/>
  <c r="BJ134" i="6"/>
  <c r="BJ135" i="6"/>
  <c r="AB135" i="6"/>
  <c r="AB134" i="6"/>
  <c r="AH134" i="6"/>
  <c r="AH135" i="6"/>
  <c r="BV24" i="6"/>
  <c r="BV25" i="6"/>
  <c r="O24" i="6"/>
  <c r="O25" i="6"/>
  <c r="X135" i="6"/>
  <c r="X134" i="6"/>
  <c r="N24" i="6"/>
  <c r="N25" i="6"/>
  <c r="P25" i="6"/>
  <c r="P24" i="6"/>
  <c r="AJ25" i="6"/>
  <c r="AJ24" i="6"/>
  <c r="O134" i="6"/>
  <c r="O135" i="6"/>
  <c r="AG134" i="6"/>
  <c r="AG135" i="6"/>
  <c r="Q134" i="6"/>
  <c r="Q135" i="6"/>
  <c r="T134" i="6"/>
  <c r="T135" i="6"/>
  <c r="BN134" i="6"/>
  <c r="BN135" i="6"/>
  <c r="AI134" i="6"/>
  <c r="AI135" i="6"/>
  <c r="BT135" i="6"/>
  <c r="BT134" i="6"/>
  <c r="AX134" i="6"/>
  <c r="AX135" i="6"/>
  <c r="AR24" i="6"/>
  <c r="AR25" i="6"/>
  <c r="AW24" i="6"/>
  <c r="AW25" i="6"/>
  <c r="R134" i="6"/>
  <c r="R135" i="6"/>
  <c r="BP134" i="6"/>
  <c r="BP135" i="6"/>
  <c r="AF134" i="6"/>
  <c r="AF135" i="6"/>
  <c r="AZ134" i="6"/>
  <c r="AZ135" i="6"/>
  <c r="AQ135" i="6"/>
  <c r="AQ134" i="6"/>
  <c r="BW24" i="6"/>
  <c r="BW25" i="6"/>
  <c r="BD135" i="6"/>
  <c r="BD134" i="6"/>
  <c r="AC135" i="6"/>
  <c r="AC134" i="6"/>
  <c r="W25" i="6"/>
  <c r="W24" i="6"/>
  <c r="K135" i="6"/>
  <c r="K134" i="6"/>
  <c r="BA25" i="6"/>
  <c r="BA24" i="6"/>
  <c r="CB25" i="6"/>
  <c r="CB24" i="6"/>
  <c r="U134" i="6"/>
  <c r="U135" i="6"/>
  <c r="BO25" i="6"/>
  <c r="BO24" i="6"/>
  <c r="P124" i="7"/>
  <c r="BZ124" i="7"/>
  <c r="BL136" i="6"/>
  <c r="BL137" i="6"/>
  <c r="AT134" i="6"/>
  <c r="AT135" i="6"/>
  <c r="CD14" i="7"/>
  <c r="BU14" i="7"/>
  <c r="V20" i="4"/>
  <c r="D14" i="7"/>
  <c r="D20" i="4"/>
  <c r="D42" i="5"/>
  <c r="D43" i="5"/>
  <c r="AA27" i="6"/>
  <c r="AA26" i="6"/>
  <c r="BU135" i="6"/>
  <c r="BU134" i="6"/>
  <c r="G52" i="6"/>
  <c r="H50" i="6" s="1"/>
  <c r="G51" i="6"/>
  <c r="G53" i="6" s="1"/>
  <c r="BW124" i="7"/>
  <c r="M124" i="7"/>
  <c r="G80" i="4"/>
  <c r="BU124" i="7"/>
  <c r="V80" i="4"/>
  <c r="BA124" i="7"/>
  <c r="Q80" i="4"/>
  <c r="H14" i="7"/>
  <c r="BN14" i="7"/>
  <c r="R14" i="7"/>
  <c r="Z24" i="6"/>
  <c r="Z25" i="6"/>
  <c r="J27" i="6"/>
  <c r="J26" i="6"/>
  <c r="AK25" i="6"/>
  <c r="AK24" i="6"/>
  <c r="AL134" i="6"/>
  <c r="AL135" i="6"/>
  <c r="CE124" i="7"/>
  <c r="O124" i="7"/>
  <c r="BS124" i="7"/>
  <c r="BF14" i="7"/>
  <c r="AU134" i="6"/>
  <c r="AU135" i="6"/>
  <c r="BY135" i="6"/>
  <c r="BY134" i="6"/>
  <c r="Z135" i="6"/>
  <c r="Z134" i="6"/>
  <c r="AC151" i="6"/>
  <c r="Y151" i="6"/>
  <c r="U151" i="6"/>
  <c r="AZ151" i="6"/>
  <c r="CD151" i="6"/>
  <c r="BX151" i="6"/>
  <c r="BT151" i="6"/>
  <c r="AJ151" i="6"/>
  <c r="BN151" i="6"/>
  <c r="BH151" i="6"/>
  <c r="BD151" i="6"/>
  <c r="T151" i="6"/>
  <c r="AX151" i="6"/>
  <c r="AW151" i="6"/>
  <c r="AR151" i="6"/>
  <c r="AN151" i="6"/>
  <c r="BS151" i="6"/>
  <c r="AH151" i="6"/>
  <c r="AB151" i="6"/>
  <c r="X151" i="6"/>
  <c r="BC151" i="6"/>
  <c r="R151" i="6"/>
  <c r="CB151" i="6"/>
  <c r="BW151" i="6"/>
  <c r="AM151" i="6"/>
  <c r="BL151" i="6"/>
  <c r="BG151" i="6"/>
  <c r="W151" i="6"/>
  <c r="AV151" i="6"/>
  <c r="AQ151" i="6"/>
  <c r="AF151" i="6"/>
  <c r="AA151" i="6"/>
  <c r="AD151" i="6"/>
  <c r="CE151" i="6"/>
  <c r="BV151" i="6"/>
  <c r="BR151" i="6"/>
  <c r="AE151" i="6"/>
  <c r="S151" i="6"/>
  <c r="CC151" i="6"/>
  <c r="BF151" i="6"/>
  <c r="BB151" i="6"/>
  <c r="AG151" i="6"/>
  <c r="Q151" i="6"/>
  <c r="CA151" i="6"/>
  <c r="AP151" i="6"/>
  <c r="AL151" i="6"/>
  <c r="AI151" i="6"/>
  <c r="BZ151" i="6"/>
  <c r="BY151" i="6"/>
  <c r="BU151" i="6"/>
  <c r="BQ151" i="6"/>
  <c r="AS151" i="6"/>
  <c r="AO151" i="6"/>
  <c r="AK151" i="6"/>
  <c r="BP151" i="6"/>
  <c r="CF151" i="6"/>
  <c r="AT151" i="6"/>
  <c r="AU151" i="6"/>
  <c r="BI151" i="6"/>
  <c r="V151" i="6"/>
  <c r="BJ151" i="6"/>
  <c r="BK151" i="6"/>
  <c r="BE151" i="6"/>
  <c r="BM151" i="6"/>
  <c r="BO151" i="6"/>
  <c r="AY151" i="6"/>
  <c r="BA151" i="6"/>
  <c r="Z151" i="6"/>
  <c r="K165" i="6"/>
  <c r="O165" i="6"/>
  <c r="D165" i="6"/>
  <c r="G165" i="6"/>
  <c r="J165" i="6"/>
  <c r="F165" i="6"/>
  <c r="I165" i="6"/>
  <c r="N165" i="6"/>
  <c r="L165" i="6"/>
  <c r="P165" i="6"/>
  <c r="E165" i="6"/>
  <c r="M165" i="6"/>
  <c r="H165" i="6"/>
  <c r="BR124" i="7"/>
  <c r="BG24" i="6"/>
  <c r="BG25" i="6"/>
  <c r="BD24" i="6"/>
  <c r="BD25" i="6"/>
  <c r="AK134" i="6"/>
  <c r="AK135" i="6"/>
  <c r="L24" i="6"/>
  <c r="L25" i="6"/>
  <c r="BP25" i="6"/>
  <c r="BP24" i="6"/>
  <c r="CB134" i="6"/>
  <c r="CB135" i="6"/>
  <c r="CE27" i="6"/>
  <c r="CE26" i="6"/>
  <c r="N14" i="7"/>
  <c r="K14" i="7"/>
  <c r="P14" i="7"/>
  <c r="BD14" i="7"/>
  <c r="BZ14" i="7"/>
  <c r="AE134" i="6"/>
  <c r="AE135" i="6"/>
  <c r="G161" i="6"/>
  <c r="G163" i="6" s="1"/>
  <c r="G162" i="6"/>
  <c r="H160" i="6" s="1"/>
  <c r="BZ134" i="6"/>
  <c r="BZ135" i="6"/>
  <c r="BI24" i="6"/>
  <c r="BI25" i="6"/>
  <c r="V25" i="6"/>
  <c r="V24" i="6"/>
  <c r="BQ147" i="5"/>
  <c r="BA147" i="5"/>
  <c r="AK147" i="5"/>
  <c r="U147" i="5"/>
  <c r="E147" i="5"/>
  <c r="BS145" i="5"/>
  <c r="BC145" i="5"/>
  <c r="AM145" i="5"/>
  <c r="W145" i="5"/>
  <c r="G145" i="5"/>
  <c r="CF147" i="5"/>
  <c r="BP147" i="5"/>
  <c r="AZ147" i="5"/>
  <c r="AJ147" i="5"/>
  <c r="T147" i="5"/>
  <c r="D147" i="5"/>
  <c r="BR145" i="5"/>
  <c r="BB145" i="5"/>
  <c r="AL145" i="5"/>
  <c r="V145" i="5"/>
  <c r="F145" i="5"/>
  <c r="CE147" i="5"/>
  <c r="BO147" i="5"/>
  <c r="AY147" i="5"/>
  <c r="AI147" i="5"/>
  <c r="S147" i="5"/>
  <c r="BQ145" i="5"/>
  <c r="BA145" i="5"/>
  <c r="AK145" i="5"/>
  <c r="U145" i="5"/>
  <c r="E145" i="5"/>
  <c r="CC147" i="5"/>
  <c r="BM147" i="5"/>
  <c r="AW147" i="5"/>
  <c r="AG147" i="5"/>
  <c r="Q147" i="5"/>
  <c r="CE145" i="5"/>
  <c r="BO145" i="5"/>
  <c r="AY145" i="5"/>
  <c r="AI145" i="5"/>
  <c r="S145" i="5"/>
  <c r="BZ147" i="5"/>
  <c r="BJ147" i="5"/>
  <c r="AT147" i="5"/>
  <c r="AD147" i="5"/>
  <c r="N147" i="5"/>
  <c r="CB145" i="5"/>
  <c r="BL145" i="5"/>
  <c r="AV145" i="5"/>
  <c r="AF145" i="5"/>
  <c r="P145" i="5"/>
  <c r="BY147" i="5"/>
  <c r="BI147" i="5"/>
  <c r="AS147" i="5"/>
  <c r="AC147" i="5"/>
  <c r="M147" i="5"/>
  <c r="CA145" i="5"/>
  <c r="BK145" i="5"/>
  <c r="AU145" i="5"/>
  <c r="AE145" i="5"/>
  <c r="O145" i="5"/>
  <c r="BV147" i="5"/>
  <c r="BF147" i="5"/>
  <c r="AP147" i="5"/>
  <c r="Z147" i="5"/>
  <c r="J147" i="5"/>
  <c r="BX145" i="5"/>
  <c r="BH145" i="5"/>
  <c r="AR145" i="5"/>
  <c r="AB145" i="5"/>
  <c r="L145" i="5"/>
  <c r="BR147" i="5"/>
  <c r="BB147" i="5"/>
  <c r="AL147" i="5"/>
  <c r="V147" i="5"/>
  <c r="F147" i="5"/>
  <c r="BT145" i="5"/>
  <c r="BD145" i="5"/>
  <c r="AN145" i="5"/>
  <c r="X145" i="5"/>
  <c r="H145" i="5"/>
  <c r="BK147" i="5"/>
  <c r="AE147" i="5"/>
  <c r="CD145" i="5"/>
  <c r="AX145" i="5"/>
  <c r="R145" i="5"/>
  <c r="BH147" i="5"/>
  <c r="AB147" i="5"/>
  <c r="CC145" i="5"/>
  <c r="AW145" i="5"/>
  <c r="Q145" i="5"/>
  <c r="BG147" i="5"/>
  <c r="AA147" i="5"/>
  <c r="BZ145" i="5"/>
  <c r="AT145" i="5"/>
  <c r="N145" i="5"/>
  <c r="BE147" i="5"/>
  <c r="Y147" i="5"/>
  <c r="BY145" i="5"/>
  <c r="AS145" i="5"/>
  <c r="M145" i="5"/>
  <c r="BD147" i="5"/>
  <c r="X147" i="5"/>
  <c r="BW145" i="5"/>
  <c r="AQ145" i="5"/>
  <c r="K145" i="5"/>
  <c r="BC147" i="5"/>
  <c r="W147" i="5"/>
  <c r="BV145" i="5"/>
  <c r="AP145" i="5"/>
  <c r="J145" i="5"/>
  <c r="CD147" i="5"/>
  <c r="AX147" i="5"/>
  <c r="R147" i="5"/>
  <c r="BU145" i="5"/>
  <c r="AO145" i="5"/>
  <c r="I145" i="5"/>
  <c r="CB147" i="5"/>
  <c r="AV147" i="5"/>
  <c r="P147" i="5"/>
  <c r="BP145" i="5"/>
  <c r="AJ145" i="5"/>
  <c r="D145" i="5"/>
  <c r="CA147" i="5"/>
  <c r="AU147" i="5"/>
  <c r="O147" i="5"/>
  <c r="BN145" i="5"/>
  <c r="AH145" i="5"/>
  <c r="BX147" i="5"/>
  <c r="AR147" i="5"/>
  <c r="L147" i="5"/>
  <c r="BM145" i="5"/>
  <c r="AG145" i="5"/>
  <c r="BW147" i="5"/>
  <c r="AQ147" i="5"/>
  <c r="K147" i="5"/>
  <c r="BJ145" i="5"/>
  <c r="AD145" i="5"/>
  <c r="BU147" i="5"/>
  <c r="AO147" i="5"/>
  <c r="I147" i="5"/>
  <c r="BI145" i="5"/>
  <c r="AC145" i="5"/>
  <c r="BT147" i="5"/>
  <c r="AN147" i="5"/>
  <c r="H147" i="5"/>
  <c r="BG145" i="5"/>
  <c r="AA145" i="5"/>
  <c r="BS147" i="5"/>
  <c r="AM147" i="5"/>
  <c r="G147" i="5"/>
  <c r="BF145" i="5"/>
  <c r="Z145" i="5"/>
  <c r="BN147" i="5"/>
  <c r="AH147" i="5"/>
  <c r="BE145" i="5"/>
  <c r="Y145" i="5"/>
  <c r="BL147" i="5"/>
  <c r="AF147" i="5"/>
  <c r="CF145" i="5"/>
  <c r="AZ145" i="5"/>
  <c r="T145" i="5"/>
  <c r="BO134" i="6"/>
  <c r="BO135" i="6"/>
  <c r="H137" i="6"/>
  <c r="H136" i="6"/>
  <c r="E137" i="6"/>
  <c r="E136" i="6"/>
  <c r="AN135" i="6"/>
  <c r="AN134" i="6"/>
  <c r="G124" i="7"/>
  <c r="AD24" i="6"/>
  <c r="AD25" i="6"/>
  <c r="CA14" i="7"/>
  <c r="BL14" i="7"/>
  <c r="BO14" i="7"/>
  <c r="I14" i="7"/>
  <c r="F20" i="4"/>
  <c r="CA134" i="6"/>
  <c r="CA135" i="6"/>
  <c r="CD134" i="6"/>
  <c r="CD135" i="6"/>
  <c r="F26" i="6"/>
  <c r="F27" i="6"/>
  <c r="K27" i="6"/>
  <c r="K26" i="6"/>
  <c r="CF134" i="6"/>
  <c r="CF135" i="6"/>
  <c r="AU24" i="6"/>
  <c r="AU25" i="6"/>
  <c r="I124" i="7"/>
  <c r="F80" i="4"/>
  <c r="BQ124" i="7"/>
  <c r="U80" i="4"/>
  <c r="BK124" i="7"/>
  <c r="AB26" i="6"/>
  <c r="AB27" i="6"/>
  <c r="BL25" i="6"/>
  <c r="BL24" i="6"/>
  <c r="J14" i="7"/>
  <c r="BJ14" i="7"/>
  <c r="BG14" i="7"/>
  <c r="G14" i="7"/>
  <c r="N134" i="6"/>
  <c r="N135" i="6"/>
  <c r="W135" i="6"/>
  <c r="W134" i="6"/>
  <c r="AC24" i="6"/>
  <c r="AC25" i="6"/>
  <c r="BM134" i="6"/>
  <c r="BM135" i="6"/>
  <c r="AJ134" i="6"/>
  <c r="AJ135" i="6"/>
  <c r="BL124" i="7"/>
  <c r="AZ25" i="6"/>
  <c r="AZ24" i="6"/>
  <c r="BX135" i="6"/>
  <c r="BX134" i="6"/>
  <c r="BH135" i="6"/>
  <c r="BH134" i="6"/>
  <c r="CF124" i="7"/>
  <c r="BC135" i="6"/>
  <c r="BC134" i="6"/>
  <c r="CE14" i="7"/>
  <c r="BY14" i="7"/>
  <c r="W20" i="4"/>
  <c r="BS25" i="6"/>
  <c r="BS24" i="6"/>
  <c r="CD154" i="6"/>
  <c r="BN154" i="6"/>
  <c r="AX154" i="6"/>
  <c r="AH154" i="6"/>
  <c r="R154" i="6"/>
  <c r="CC154" i="6"/>
  <c r="BM154" i="6"/>
  <c r="AW154" i="6"/>
  <c r="AG154" i="6"/>
  <c r="Q154" i="6"/>
  <c r="CB154" i="6"/>
  <c r="BL154" i="6"/>
  <c r="AV154" i="6"/>
  <c r="AF154" i="6"/>
  <c r="P154" i="6"/>
  <c r="CA154" i="6"/>
  <c r="BK154" i="6"/>
  <c r="AU154" i="6"/>
  <c r="AE154" i="6"/>
  <c r="O154" i="6"/>
  <c r="BZ154" i="6"/>
  <c r="BJ154" i="6"/>
  <c r="AT154" i="6"/>
  <c r="AD154" i="6"/>
  <c r="N154" i="6"/>
  <c r="BY154" i="6"/>
  <c r="BI154" i="6"/>
  <c r="AS154" i="6"/>
  <c r="AC154" i="6"/>
  <c r="M154" i="6"/>
  <c r="BX154" i="6"/>
  <c r="BH154" i="6"/>
  <c r="AR154" i="6"/>
  <c r="AB154" i="6"/>
  <c r="L154" i="6"/>
  <c r="BW154" i="6"/>
  <c r="BG154" i="6"/>
  <c r="AQ154" i="6"/>
  <c r="AA154" i="6"/>
  <c r="K154" i="6"/>
  <c r="BV154" i="6"/>
  <c r="BF154" i="6"/>
  <c r="AP154" i="6"/>
  <c r="Z154" i="6"/>
  <c r="J154" i="6"/>
  <c r="BU154" i="6"/>
  <c r="BE154" i="6"/>
  <c r="AO154" i="6"/>
  <c r="Y154" i="6"/>
  <c r="I154" i="6"/>
  <c r="BT154" i="6"/>
  <c r="BD154" i="6"/>
  <c r="AN154" i="6"/>
  <c r="X154" i="6"/>
  <c r="H154" i="6"/>
  <c r="BS154" i="6"/>
  <c r="BC154" i="6"/>
  <c r="AM154" i="6"/>
  <c r="W154" i="6"/>
  <c r="G154" i="6"/>
  <c r="BQ154" i="6"/>
  <c r="BA154" i="6"/>
  <c r="AK154" i="6"/>
  <c r="U154" i="6"/>
  <c r="E154" i="6"/>
  <c r="AJ154" i="6"/>
  <c r="AI154" i="6"/>
  <c r="V154" i="6"/>
  <c r="T154" i="6"/>
  <c r="S154" i="6"/>
  <c r="F154" i="6"/>
  <c r="D154" i="6"/>
  <c r="CF154" i="6"/>
  <c r="CE154" i="6"/>
  <c r="BR154" i="6"/>
  <c r="BP154" i="6"/>
  <c r="BO154" i="6"/>
  <c r="BB154" i="6"/>
  <c r="AL154" i="6"/>
  <c r="AZ154" i="6"/>
  <c r="AY154" i="6"/>
  <c r="D25" i="6"/>
  <c r="D24" i="6"/>
  <c r="BI124" i="7"/>
  <c r="S80" i="4"/>
  <c r="CD124" i="7"/>
  <c r="CC124" i="7"/>
  <c r="X80" i="4"/>
  <c r="AP135" i="6"/>
  <c r="AP134" i="6"/>
  <c r="BG124" i="7"/>
  <c r="BC124" i="7"/>
  <c r="BK134" i="6"/>
  <c r="BK135" i="6"/>
  <c r="AF25" i="6"/>
  <c r="AF24" i="6"/>
  <c r="CB124" i="7"/>
  <c r="J124" i="7"/>
  <c r="AV25" i="6"/>
  <c r="AV24" i="6"/>
  <c r="BB14" i="7"/>
  <c r="BP14" i="7"/>
  <c r="BK14" i="7"/>
  <c r="BX24" i="6"/>
  <c r="BX25" i="6"/>
  <c r="AI25" i="6"/>
  <c r="AI24" i="6"/>
  <c r="BT26" i="6"/>
  <c r="BT27" i="6"/>
  <c r="AS133" i="6"/>
  <c r="BM14" i="7"/>
  <c r="T20" i="4"/>
  <c r="BE24" i="6"/>
  <c r="BE25" i="6"/>
  <c r="BN25" i="6"/>
  <c r="BN24" i="6"/>
  <c r="BF124" i="7"/>
  <c r="BV124" i="7"/>
  <c r="BP124" i="7"/>
  <c r="AP24" i="6"/>
  <c r="AP25" i="6"/>
  <c r="BC14" i="7"/>
  <c r="E14" i="7"/>
  <c r="CF14" i="7"/>
  <c r="CD27" i="6"/>
  <c r="CD26" i="6"/>
  <c r="D8" i="11"/>
  <c r="BQ27" i="6"/>
  <c r="BQ26" i="6"/>
  <c r="BB25" i="6"/>
  <c r="BB24" i="6"/>
  <c r="BH24" i="6"/>
  <c r="BH25" i="6"/>
  <c r="CA124" i="7"/>
  <c r="BO124" i="7"/>
  <c r="H124" i="7"/>
  <c r="BT124" i="7"/>
  <c r="F14" i="7"/>
  <c r="E20" i="4"/>
  <c r="BS14" i="7"/>
  <c r="BR14" i="7"/>
  <c r="F137" i="6"/>
  <c r="F136" i="6"/>
  <c r="H25" i="6"/>
  <c r="H24" i="6"/>
  <c r="K124" i="7"/>
  <c r="BZ24" i="6"/>
  <c r="BZ25" i="6"/>
  <c r="CF25" i="6"/>
  <c r="CF24" i="6"/>
  <c r="R27" i="6"/>
  <c r="R26" i="6"/>
  <c r="BD124" i="7"/>
  <c r="BB124" i="7"/>
  <c r="BE124" i="7"/>
  <c r="R80" i="4"/>
  <c r="L124" i="7"/>
  <c r="AH25" i="6"/>
  <c r="AH24" i="6"/>
  <c r="BX14" i="7"/>
  <c r="BR134" i="6"/>
  <c r="BR135" i="6"/>
  <c r="G24" i="6"/>
  <c r="G25" i="6"/>
  <c r="Y135" i="6"/>
  <c r="Y134" i="6"/>
  <c r="T25" i="6"/>
  <c r="T24" i="6"/>
  <c r="E124" i="7"/>
  <c r="AL25" i="6"/>
  <c r="AL24" i="6"/>
  <c r="I137" i="6"/>
  <c r="I136" i="6"/>
  <c r="BT14" i="7"/>
  <c r="BH14" i="7"/>
  <c r="AT27" i="6"/>
  <c r="AT26" i="6"/>
  <c r="BY26" i="6"/>
  <c r="BY27" i="6"/>
  <c r="I25" i="6"/>
  <c r="I24" i="6"/>
  <c r="V134" i="6"/>
  <c r="V135" i="6"/>
  <c r="AR135" i="6"/>
  <c r="AR134" i="6"/>
  <c r="BM27" i="6"/>
  <c r="BM26" i="6"/>
  <c r="S134" i="6"/>
  <c r="S135" i="6"/>
  <c r="BA14" i="7"/>
  <c r="Q20" i="4"/>
  <c r="O14" i="7"/>
  <c r="CB14" i="7"/>
  <c r="CC14" i="7"/>
  <c r="X20" i="4"/>
  <c r="BK27" i="6"/>
  <c r="BK26" i="6"/>
  <c r="BQ134" i="6"/>
  <c r="BQ135" i="6"/>
  <c r="E27" i="6"/>
  <c r="E26" i="6"/>
  <c r="BY44" i="6"/>
  <c r="BI44" i="6"/>
  <c r="AS44" i="6"/>
  <c r="AC44" i="6"/>
  <c r="M44" i="6"/>
  <c r="BX44" i="6"/>
  <c r="BH44" i="6"/>
  <c r="AR44" i="6"/>
  <c r="AB44" i="6"/>
  <c r="L44" i="6"/>
  <c r="BW44" i="6"/>
  <c r="BG44" i="6"/>
  <c r="AQ44" i="6"/>
  <c r="AA44" i="6"/>
  <c r="K44" i="6"/>
  <c r="BV44" i="6"/>
  <c r="BF44" i="6"/>
  <c r="AP44" i="6"/>
  <c r="Z44" i="6"/>
  <c r="J44" i="6"/>
  <c r="BU44" i="6"/>
  <c r="BE44" i="6"/>
  <c r="AO44" i="6"/>
  <c r="Y44" i="6"/>
  <c r="I44" i="6"/>
  <c r="BS44" i="6"/>
  <c r="BC44" i="6"/>
  <c r="AM44" i="6"/>
  <c r="W44" i="6"/>
  <c r="G44" i="6"/>
  <c r="BR44" i="6"/>
  <c r="BB44" i="6"/>
  <c r="AL44" i="6"/>
  <c r="V44" i="6"/>
  <c r="F44" i="6"/>
  <c r="BQ44" i="6"/>
  <c r="BA44" i="6"/>
  <c r="AK44" i="6"/>
  <c r="U44" i="6"/>
  <c r="E44" i="6"/>
  <c r="CD44" i="6"/>
  <c r="BN44" i="6"/>
  <c r="AX44" i="6"/>
  <c r="AH44" i="6"/>
  <c r="R44" i="6"/>
  <c r="CB44" i="6"/>
  <c r="BL44" i="6"/>
  <c r="AV44" i="6"/>
  <c r="AF44" i="6"/>
  <c r="P44" i="6"/>
  <c r="BZ44" i="6"/>
  <c r="BJ44" i="6"/>
  <c r="AT44" i="6"/>
  <c r="AD44" i="6"/>
  <c r="N44" i="6"/>
  <c r="BM44" i="6"/>
  <c r="O44" i="6"/>
  <c r="BK44" i="6"/>
  <c r="H44" i="6"/>
  <c r="BD44" i="6"/>
  <c r="D44" i="6"/>
  <c r="AZ44" i="6"/>
  <c r="AY44" i="6"/>
  <c r="AW44" i="6"/>
  <c r="AU44" i="6"/>
  <c r="AN44" i="6"/>
  <c r="AJ44" i="6"/>
  <c r="CF44" i="6"/>
  <c r="AI44" i="6"/>
  <c r="CC44" i="6"/>
  <c r="AE44" i="6"/>
  <c r="CA44" i="6"/>
  <c r="X44" i="6"/>
  <c r="BT44" i="6"/>
  <c r="T44" i="6"/>
  <c r="BO44" i="6"/>
  <c r="Q44" i="6"/>
  <c r="CE44" i="6"/>
  <c r="BP44" i="6"/>
  <c r="AG44" i="6"/>
  <c r="S44" i="6"/>
  <c r="AY25" i="6"/>
  <c r="AY24" i="6"/>
  <c r="BX124" i="7"/>
  <c r="CE134" i="6"/>
  <c r="CE135" i="6"/>
  <c r="F124" i="7"/>
  <c r="E80" i="4"/>
  <c r="D124" i="7"/>
  <c r="D80" i="4"/>
  <c r="D152" i="5"/>
  <c r="D156" i="5" s="1"/>
  <c r="D153" i="5"/>
  <c r="BM124" i="7"/>
  <c r="T80" i="4"/>
  <c r="BH124" i="7"/>
  <c r="BC25" i="6"/>
  <c r="BC24" i="6"/>
  <c r="S14" i="7"/>
  <c r="L14" i="7"/>
  <c r="BW14" i="7"/>
  <c r="M14" i="7"/>
  <c r="G20" i="4"/>
  <c r="BW135" i="6"/>
  <c r="BW134" i="6"/>
  <c r="P134" i="6"/>
  <c r="P135" i="6"/>
  <c r="X25" i="6"/>
  <c r="X24" i="6"/>
  <c r="BA133" i="6"/>
  <c r="BY41" i="6"/>
  <c r="BI41" i="6"/>
  <c r="AT41" i="6"/>
  <c r="AS41" i="6"/>
  <c r="AC41" i="6"/>
  <c r="BW41" i="6"/>
  <c r="BU41" i="6"/>
  <c r="BJ41" i="6"/>
  <c r="BG41" i="6"/>
  <c r="BE41" i="6"/>
  <c r="BV41" i="6"/>
  <c r="BZ41" i="6"/>
  <c r="AQ41" i="6"/>
  <c r="AO41" i="6"/>
  <c r="S41" i="6"/>
  <c r="AB41" i="6"/>
  <c r="BT41" i="6"/>
  <c r="BS41" i="6"/>
  <c r="AA41" i="6"/>
  <c r="Y41" i="6"/>
  <c r="BH41" i="6"/>
  <c r="AP41" i="6"/>
  <c r="BD41" i="6"/>
  <c r="BC41" i="6"/>
  <c r="BR41" i="6"/>
  <c r="BQ41" i="6"/>
  <c r="AR41" i="6"/>
  <c r="AN41" i="6"/>
  <c r="AM41" i="6"/>
  <c r="BB41" i="6"/>
  <c r="BA41" i="6"/>
  <c r="CF41" i="6"/>
  <c r="X41" i="6"/>
  <c r="W41" i="6"/>
  <c r="AL41" i="6"/>
  <c r="AK41" i="6"/>
  <c r="BP41" i="6"/>
  <c r="CD41" i="6"/>
  <c r="BF41" i="6"/>
  <c r="CA41" i="6"/>
  <c r="V41" i="6"/>
  <c r="U41" i="6"/>
  <c r="AZ41" i="6"/>
  <c r="BN41" i="6"/>
  <c r="CC41" i="6"/>
  <c r="BO41" i="6"/>
  <c r="AI41" i="6"/>
  <c r="AJ41" i="6"/>
  <c r="AX41" i="6"/>
  <c r="BM41" i="6"/>
  <c r="CB41" i="6"/>
  <c r="AY41" i="6"/>
  <c r="Z41" i="6"/>
  <c r="BK41" i="6"/>
  <c r="AE41" i="6"/>
  <c r="AH41" i="6"/>
  <c r="R41" i="6"/>
  <c r="AD41" i="6"/>
  <c r="AW41" i="6"/>
  <c r="AG41" i="6"/>
  <c r="BL41" i="6"/>
  <c r="Q41" i="6"/>
  <c r="Q55" i="6" s="1"/>
  <c r="T41" i="6"/>
  <c r="AV41" i="6"/>
  <c r="CE41" i="6"/>
  <c r="BX41" i="6"/>
  <c r="AF41" i="6"/>
  <c r="AU41" i="6"/>
  <c r="J55" i="6"/>
  <c r="N55" i="6"/>
  <c r="E55" i="6"/>
  <c r="O55" i="6"/>
  <c r="D55" i="6"/>
  <c r="K55" i="6"/>
  <c r="M55" i="6"/>
  <c r="I55" i="6"/>
  <c r="L55" i="6"/>
  <c r="H55" i="6"/>
  <c r="P55" i="6"/>
  <c r="G55" i="6"/>
  <c r="F55" i="6"/>
  <c r="BV135" i="6"/>
  <c r="BV134" i="6"/>
  <c r="BY124" i="7"/>
  <c r="W80" i="4"/>
  <c r="Q124" i="7"/>
  <c r="S124" i="7"/>
  <c r="BI135" i="6"/>
  <c r="BI134" i="6"/>
  <c r="AN24" i="6"/>
  <c r="AN25" i="6"/>
  <c r="BN124" i="7"/>
  <c r="BJ124" i="7"/>
  <c r="N124" i="7"/>
  <c r="R124" i="7"/>
  <c r="CC134" i="6"/>
  <c r="CC135" i="6"/>
  <c r="BI14" i="7"/>
  <c r="S20" i="4"/>
  <c r="BV14" i="7"/>
  <c r="BQ14" i="7"/>
  <c r="U20" i="4"/>
  <c r="BE14" i="7"/>
  <c r="R20" i="4"/>
  <c r="Q14" i="7"/>
  <c r="CA24" i="6"/>
  <c r="CA25" i="6"/>
  <c r="AA135" i="6"/>
  <c r="AA134" i="6"/>
  <c r="BU24" i="6"/>
  <c r="BU25" i="6"/>
  <c r="J135" i="6"/>
  <c r="J134" i="6"/>
  <c r="BT37" i="5"/>
  <c r="BD37" i="5"/>
  <c r="AN37" i="5"/>
  <c r="X37" i="5"/>
  <c r="H37" i="5"/>
  <c r="BV35" i="5"/>
  <c r="BF35" i="5"/>
  <c r="AP35" i="5"/>
  <c r="Z35" i="5"/>
  <c r="J35" i="5"/>
  <c r="BS37" i="5"/>
  <c r="BC37" i="5"/>
  <c r="AM37" i="5"/>
  <c r="W37" i="5"/>
  <c r="G37" i="5"/>
  <c r="BU35" i="5"/>
  <c r="BE35" i="5"/>
  <c r="AO35" i="5"/>
  <c r="Y35" i="5"/>
  <c r="I35" i="5"/>
  <c r="BR37" i="5"/>
  <c r="BB37" i="5"/>
  <c r="AL37" i="5"/>
  <c r="V37" i="5"/>
  <c r="F37" i="5"/>
  <c r="BT35" i="5"/>
  <c r="BD35" i="5"/>
  <c r="AN35" i="5"/>
  <c r="X35" i="5"/>
  <c r="H35" i="5"/>
  <c r="BQ37" i="5"/>
  <c r="BA37" i="5"/>
  <c r="AK37" i="5"/>
  <c r="U37" i="5"/>
  <c r="E37" i="5"/>
  <c r="BS35" i="5"/>
  <c r="BC35" i="5"/>
  <c r="AM35" i="5"/>
  <c r="W35" i="5"/>
  <c r="G35" i="5"/>
  <c r="CF37" i="5"/>
  <c r="BP37" i="5"/>
  <c r="AZ37" i="5"/>
  <c r="AJ37" i="5"/>
  <c r="T37" i="5"/>
  <c r="D37" i="5"/>
  <c r="BR35" i="5"/>
  <c r="BB35" i="5"/>
  <c r="AL35" i="5"/>
  <c r="V35" i="5"/>
  <c r="F35" i="5"/>
  <c r="CE37" i="5"/>
  <c r="BO37" i="5"/>
  <c r="AY37" i="5"/>
  <c r="AI37" i="5"/>
  <c r="S37" i="5"/>
  <c r="BQ35" i="5"/>
  <c r="BA35" i="5"/>
  <c r="AK35" i="5"/>
  <c r="U35" i="5"/>
  <c r="E35" i="5"/>
  <c r="CD37" i="5"/>
  <c r="BN37" i="5"/>
  <c r="AX37" i="5"/>
  <c r="AH37" i="5"/>
  <c r="R37" i="5"/>
  <c r="CF35" i="5"/>
  <c r="BP35" i="5"/>
  <c r="AZ35" i="5"/>
  <c r="AJ35" i="5"/>
  <c r="T35" i="5"/>
  <c r="D35" i="5"/>
  <c r="CC37" i="5"/>
  <c r="BM37" i="5"/>
  <c r="AW37" i="5"/>
  <c r="AG37" i="5"/>
  <c r="Q37" i="5"/>
  <c r="CE35" i="5"/>
  <c r="BO35" i="5"/>
  <c r="AY35" i="5"/>
  <c r="AI35" i="5"/>
  <c r="S35" i="5"/>
  <c r="CB37" i="5"/>
  <c r="BL37" i="5"/>
  <c r="AV37" i="5"/>
  <c r="AF37" i="5"/>
  <c r="P37" i="5"/>
  <c r="CD35" i="5"/>
  <c r="BN35" i="5"/>
  <c r="AX35" i="5"/>
  <c r="AH35" i="5"/>
  <c r="R35" i="5"/>
  <c r="CA37" i="5"/>
  <c r="BK37" i="5"/>
  <c r="AU37" i="5"/>
  <c r="AE37" i="5"/>
  <c r="O37" i="5"/>
  <c r="CC35" i="5"/>
  <c r="BM35" i="5"/>
  <c r="AW35" i="5"/>
  <c r="AG35" i="5"/>
  <c r="Q35" i="5"/>
  <c r="BZ37" i="5"/>
  <c r="BJ37" i="5"/>
  <c r="AT37" i="5"/>
  <c r="AD37" i="5"/>
  <c r="N37" i="5"/>
  <c r="CB35" i="5"/>
  <c r="BL35" i="5"/>
  <c r="AV35" i="5"/>
  <c r="AF35" i="5"/>
  <c r="P35" i="5"/>
  <c r="BY37" i="5"/>
  <c r="BI37" i="5"/>
  <c r="AS37" i="5"/>
  <c r="AC37" i="5"/>
  <c r="M37" i="5"/>
  <c r="CA35" i="5"/>
  <c r="BK35" i="5"/>
  <c r="AU35" i="5"/>
  <c r="AE35" i="5"/>
  <c r="O35" i="5"/>
  <c r="BX37" i="5"/>
  <c r="BH37" i="5"/>
  <c r="AR37" i="5"/>
  <c r="AB37" i="5"/>
  <c r="L37" i="5"/>
  <c r="BZ35" i="5"/>
  <c r="BJ35" i="5"/>
  <c r="AT35" i="5"/>
  <c r="AD35" i="5"/>
  <c r="N35" i="5"/>
  <c r="BW37" i="5"/>
  <c r="BG37" i="5"/>
  <c r="AQ37" i="5"/>
  <c r="AA37" i="5"/>
  <c r="K37" i="5"/>
  <c r="BY35" i="5"/>
  <c r="BI35" i="5"/>
  <c r="AS35" i="5"/>
  <c r="AC35" i="5"/>
  <c r="M35" i="5"/>
  <c r="BU37" i="5"/>
  <c r="BE37" i="5"/>
  <c r="AO37" i="5"/>
  <c r="Y37" i="5"/>
  <c r="I37" i="5"/>
  <c r="BW35" i="5"/>
  <c r="BG35" i="5"/>
  <c r="AQ35" i="5"/>
  <c r="AA35" i="5"/>
  <c r="K35" i="5"/>
  <c r="BV37" i="5"/>
  <c r="BF37" i="5"/>
  <c r="AP37" i="5"/>
  <c r="Z37" i="5"/>
  <c r="J37" i="5"/>
  <c r="BX35" i="5"/>
  <c r="BH35" i="5"/>
  <c r="AR35" i="5"/>
  <c r="AB35" i="5"/>
  <c r="L35" i="5"/>
  <c r="BR26" i="6" l="1"/>
  <c r="BF25" i="6"/>
  <c r="AX24" i="6"/>
  <c r="L134" i="6"/>
  <c r="AV135" i="6"/>
  <c r="BF135" i="6"/>
  <c r="BY24" i="6"/>
  <c r="CC26" i="6"/>
  <c r="Q24" i="6"/>
  <c r="BE134" i="6"/>
  <c r="AW135" i="6"/>
  <c r="AW136" i="6" s="1"/>
  <c r="AE26" i="6"/>
  <c r="D137" i="6"/>
  <c r="D138" i="6" s="1"/>
  <c r="D74" i="4" s="1"/>
  <c r="AQ24" i="6"/>
  <c r="AS24" i="6"/>
  <c r="AG25" i="6"/>
  <c r="AG27" i="6" s="1"/>
  <c r="BS134" i="6"/>
  <c r="AM134" i="6"/>
  <c r="AO27" i="6"/>
  <c r="AO28" i="6" s="1"/>
  <c r="AO68" i="6" s="1"/>
  <c r="AY135" i="6"/>
  <c r="AY136" i="6" s="1"/>
  <c r="T165" i="6"/>
  <c r="Q165" i="6"/>
  <c r="BB134" i="6"/>
  <c r="G136" i="6"/>
  <c r="E73" i="4" s="1"/>
  <c r="S165" i="6"/>
  <c r="R165" i="6"/>
  <c r="AO135" i="6"/>
  <c r="AO136" i="6" s="1"/>
  <c r="BJ27" i="6"/>
  <c r="BJ40" i="6" s="1"/>
  <c r="AM25" i="6"/>
  <c r="AM26" i="6" s="1"/>
  <c r="R55" i="6"/>
  <c r="BN165" i="6"/>
  <c r="AB55" i="6"/>
  <c r="CD55" i="6"/>
  <c r="Z55" i="6"/>
  <c r="S55" i="6"/>
  <c r="BV165" i="6"/>
  <c r="BM55" i="6"/>
  <c r="BG165" i="6"/>
  <c r="BC165" i="6"/>
  <c r="B11" i="11"/>
  <c r="W55" i="6"/>
  <c r="AG165" i="6"/>
  <c r="V55" i="6"/>
  <c r="AH55" i="6"/>
  <c r="AC55" i="6"/>
  <c r="U55" i="6"/>
  <c r="AS55" i="6"/>
  <c r="C11" i="11"/>
  <c r="AS165" i="6"/>
  <c r="AL165" i="6"/>
  <c r="AC165" i="6"/>
  <c r="BQ165" i="6"/>
  <c r="AY55" i="6"/>
  <c r="BV55" i="6"/>
  <c r="AN165" i="6"/>
  <c r="CE55" i="6"/>
  <c r="B12" i="11"/>
  <c r="AR51" i="5"/>
  <c r="AR11" i="7" s="1"/>
  <c r="AR48" i="5"/>
  <c r="S136" i="6"/>
  <c r="S137" i="6"/>
  <c r="AL158" i="5"/>
  <c r="AL161" i="5"/>
  <c r="AL121" i="7" s="1"/>
  <c r="AL137" i="6"/>
  <c r="AL136" i="6"/>
  <c r="BL138" i="6"/>
  <c r="BL178" i="6" s="1"/>
  <c r="BL143" i="6"/>
  <c r="BL150" i="6"/>
  <c r="BW26" i="6"/>
  <c r="BW27" i="6"/>
  <c r="BP136" i="6"/>
  <c r="BP137" i="6"/>
  <c r="AX136" i="6"/>
  <c r="AX137" i="6"/>
  <c r="T136" i="6"/>
  <c r="T137" i="6"/>
  <c r="Z48" i="5"/>
  <c r="Z51" i="5"/>
  <c r="Z11" i="7" s="1"/>
  <c r="BH51" i="5"/>
  <c r="BH11" i="7" s="1"/>
  <c r="BH48" i="5"/>
  <c r="AG48" i="5"/>
  <c r="AG51" i="5"/>
  <c r="AG11" i="7" s="1"/>
  <c r="AJ51" i="5"/>
  <c r="AJ11" i="7" s="1"/>
  <c r="AJ48" i="5"/>
  <c r="BC48" i="5"/>
  <c r="BC51" i="5"/>
  <c r="BC11" i="7" s="1"/>
  <c r="CA27" i="6"/>
  <c r="CA26" i="6"/>
  <c r="T55" i="6"/>
  <c r="AV55" i="6"/>
  <c r="AL55" i="6"/>
  <c r="AJ55" i="6"/>
  <c r="BZ55" i="6"/>
  <c r="V137" i="6"/>
  <c r="V136" i="6"/>
  <c r="BM136" i="6"/>
  <c r="BM137" i="6"/>
  <c r="N136" i="6"/>
  <c r="N137" i="6"/>
  <c r="AU27" i="6"/>
  <c r="AU26" i="6"/>
  <c r="BB158" i="5"/>
  <c r="BB161" i="5"/>
  <c r="BB121" i="7" s="1"/>
  <c r="AI158" i="5"/>
  <c r="AI161" i="5"/>
  <c r="AI121" i="7" s="1"/>
  <c r="BB137" i="6"/>
  <c r="BB136" i="6"/>
  <c r="AK137" i="6"/>
  <c r="AK136" i="6"/>
  <c r="CA165" i="6"/>
  <c r="AV165" i="6"/>
  <c r="CC165" i="6"/>
  <c r="AX165" i="6"/>
  <c r="D13" i="7"/>
  <c r="D21" i="4"/>
  <c r="D44" i="5"/>
  <c r="D45" i="5" s="1"/>
  <c r="AJ27" i="6"/>
  <c r="AJ26" i="6"/>
  <c r="BC137" i="6"/>
  <c r="BC136" i="6"/>
  <c r="BN158" i="5"/>
  <c r="BN161" i="5"/>
  <c r="BN121" i="7" s="1"/>
  <c r="S161" i="5"/>
  <c r="S121" i="7" s="1"/>
  <c r="O27" i="6"/>
  <c r="O26" i="6"/>
  <c r="BX51" i="5"/>
  <c r="BX11" i="7" s="1"/>
  <c r="BX48" i="5"/>
  <c r="N51" i="5"/>
  <c r="N11" i="7" s="1"/>
  <c r="AW51" i="5"/>
  <c r="AW11" i="7" s="1"/>
  <c r="AW48" i="5"/>
  <c r="AZ51" i="5"/>
  <c r="AZ11" i="7" s="1"/>
  <c r="AZ48" i="5"/>
  <c r="BS51" i="5"/>
  <c r="BS11" i="7" s="1"/>
  <c r="BS48" i="5"/>
  <c r="AZ55" i="6"/>
  <c r="AA55" i="6"/>
  <c r="BW55" i="6"/>
  <c r="AK55" i="6"/>
  <c r="BA134" i="6"/>
  <c r="BA135" i="6"/>
  <c r="H27" i="6"/>
  <c r="H26" i="6"/>
  <c r="D27" i="6"/>
  <c r="D26" i="6"/>
  <c r="AZ27" i="6"/>
  <c r="AZ26" i="6"/>
  <c r="BL27" i="6"/>
  <c r="BL26" i="6"/>
  <c r="H138" i="6"/>
  <c r="H178" i="6" s="1"/>
  <c r="H143" i="6"/>
  <c r="H150" i="6"/>
  <c r="K161" i="5"/>
  <c r="K121" i="7" s="1"/>
  <c r="P161" i="5"/>
  <c r="P121" i="7" s="1"/>
  <c r="AB158" i="5"/>
  <c r="AB161" i="5"/>
  <c r="AB121" i="7" s="1"/>
  <c r="BR158" i="5"/>
  <c r="BR161" i="5"/>
  <c r="BR121" i="7" s="1"/>
  <c r="M161" i="5"/>
  <c r="M121" i="7" s="1"/>
  <c r="AY158" i="5"/>
  <c r="AY161" i="5"/>
  <c r="AY121" i="7" s="1"/>
  <c r="CF165" i="6"/>
  <c r="BO165" i="6"/>
  <c r="BY136" i="6"/>
  <c r="BY137" i="6"/>
  <c r="BO27" i="6"/>
  <c r="BO26" i="6"/>
  <c r="BT28" i="6"/>
  <c r="BT68" i="6" s="1"/>
  <c r="BT33" i="6"/>
  <c r="BT40" i="6"/>
  <c r="BX136" i="6"/>
  <c r="BX137" i="6"/>
  <c r="E138" i="6"/>
  <c r="E178" i="6" s="1"/>
  <c r="E143" i="6"/>
  <c r="E150" i="6"/>
  <c r="BZ161" i="5"/>
  <c r="BZ121" i="7" s="1"/>
  <c r="BZ158" i="5"/>
  <c r="BJ136" i="6"/>
  <c r="BJ137" i="6"/>
  <c r="AP51" i="5"/>
  <c r="AP11" i="7" s="1"/>
  <c r="AP48" i="5"/>
  <c r="BF48" i="5"/>
  <c r="BF51" i="5"/>
  <c r="BF11" i="7" s="1"/>
  <c r="AD51" i="5"/>
  <c r="AD11" i="7" s="1"/>
  <c r="AD48" i="5"/>
  <c r="BM48" i="5"/>
  <c r="BM51" i="5"/>
  <c r="BM11" i="7" s="1"/>
  <c r="BP51" i="5"/>
  <c r="BP11" i="7" s="1"/>
  <c r="BP48" i="5"/>
  <c r="CC136" i="6"/>
  <c r="CC137" i="6"/>
  <c r="Q26" i="6"/>
  <c r="Q27" i="6"/>
  <c r="BI136" i="6"/>
  <c r="BI137" i="6"/>
  <c r="AX27" i="6"/>
  <c r="AX26" i="6"/>
  <c r="BR55" i="6"/>
  <c r="BT55" i="6"/>
  <c r="BU55" i="6"/>
  <c r="CA55" i="6"/>
  <c r="BK28" i="6"/>
  <c r="BK68" i="6" s="1"/>
  <c r="BK40" i="6"/>
  <c r="BK33" i="6"/>
  <c r="BR28" i="6"/>
  <c r="BR68" i="6" s="1"/>
  <c r="BR40" i="6"/>
  <c r="BR33" i="6"/>
  <c r="I138" i="6"/>
  <c r="I150" i="6"/>
  <c r="I143" i="6"/>
  <c r="BS26" i="6"/>
  <c r="U13" i="4" s="1"/>
  <c r="BS27" i="6"/>
  <c r="BO136" i="6"/>
  <c r="BO137" i="6"/>
  <c r="G161" i="5"/>
  <c r="G121" i="7" s="1"/>
  <c r="AQ158" i="5"/>
  <c r="AQ161" i="5"/>
  <c r="AQ121" i="7" s="1"/>
  <c r="AV161" i="5"/>
  <c r="AV121" i="7" s="1"/>
  <c r="AV158" i="5"/>
  <c r="X161" i="5"/>
  <c r="X121" i="7" s="1"/>
  <c r="BH158" i="5"/>
  <c r="BH161" i="5"/>
  <c r="BH121" i="7" s="1"/>
  <c r="AC158" i="5"/>
  <c r="AC161" i="5"/>
  <c r="AC121" i="7" s="1"/>
  <c r="BO158" i="5"/>
  <c r="BO161" i="5"/>
  <c r="BO121" i="7" s="1"/>
  <c r="BD165" i="6"/>
  <c r="Y165" i="6"/>
  <c r="BB165" i="6"/>
  <c r="W165" i="6"/>
  <c r="AU136" i="6"/>
  <c r="AU137" i="6"/>
  <c r="D46" i="5"/>
  <c r="K137" i="6"/>
  <c r="K136" i="6"/>
  <c r="U26" i="6"/>
  <c r="U27" i="6"/>
  <c r="E40" i="5"/>
  <c r="D32" i="4"/>
  <c r="CC51" i="5"/>
  <c r="CC11" i="7" s="1"/>
  <c r="CC48" i="5"/>
  <c r="BB55" i="6"/>
  <c r="X55" i="6"/>
  <c r="BE55" i="6"/>
  <c r="BI55" i="6"/>
  <c r="E150" i="5"/>
  <c r="D92" i="4"/>
  <c r="AI27" i="6"/>
  <c r="AI26" i="6"/>
  <c r="CD136" i="6"/>
  <c r="CD137" i="6"/>
  <c r="AM158" i="5"/>
  <c r="AM161" i="5"/>
  <c r="AM121" i="7" s="1"/>
  <c r="BW161" i="5"/>
  <c r="BW121" i="7" s="1"/>
  <c r="BW158" i="5"/>
  <c r="CB161" i="5"/>
  <c r="CB121" i="7" s="1"/>
  <c r="CB158" i="5"/>
  <c r="BD158" i="5"/>
  <c r="BD161" i="5"/>
  <c r="BD121" i="7" s="1"/>
  <c r="AS158" i="5"/>
  <c r="AS161" i="5"/>
  <c r="AS121" i="7" s="1"/>
  <c r="CE158" i="5"/>
  <c r="CE161" i="5"/>
  <c r="CE121" i="7" s="1"/>
  <c r="BI26" i="6"/>
  <c r="BI27" i="6"/>
  <c r="BP27" i="6"/>
  <c r="BP26" i="6"/>
  <c r="BW165" i="6"/>
  <c r="AR165" i="6"/>
  <c r="BU165" i="6"/>
  <c r="AP165" i="6"/>
  <c r="BS165" i="6"/>
  <c r="U137" i="6"/>
  <c r="U136" i="6"/>
  <c r="R136" i="6"/>
  <c r="R137" i="6"/>
  <c r="Q136" i="6"/>
  <c r="Q137" i="6"/>
  <c r="BV26" i="6"/>
  <c r="BV27" i="6"/>
  <c r="M26" i="6"/>
  <c r="M27" i="6"/>
  <c r="Q51" i="5"/>
  <c r="Q11" i="7" s="1"/>
  <c r="BV51" i="5"/>
  <c r="BV11" i="7" s="1"/>
  <c r="BV48" i="5"/>
  <c r="K51" i="5"/>
  <c r="K11" i="7" s="1"/>
  <c r="AT51" i="5"/>
  <c r="AT11" i="7" s="1"/>
  <c r="AT48" i="5"/>
  <c r="CF48" i="5"/>
  <c r="CF51" i="5"/>
  <c r="CF11" i="7" s="1"/>
  <c r="F51" i="5"/>
  <c r="F11" i="7" s="1"/>
  <c r="BF27" i="6"/>
  <c r="BF26" i="6"/>
  <c r="AA48" i="5"/>
  <c r="AA51" i="5"/>
  <c r="AA11" i="7" s="1"/>
  <c r="BJ51" i="5"/>
  <c r="BJ11" i="7" s="1"/>
  <c r="BJ48" i="5"/>
  <c r="CD52" i="5"/>
  <c r="CB52" i="5"/>
  <c r="F52" i="5"/>
  <c r="BT52" i="5"/>
  <c r="BN52" i="5"/>
  <c r="AV52" i="5"/>
  <c r="BH52" i="5"/>
  <c r="BD52" i="5"/>
  <c r="AX52" i="5"/>
  <c r="P52" i="5"/>
  <c r="BX52" i="5"/>
  <c r="BL52" i="5"/>
  <c r="AB52" i="5"/>
  <c r="W52" i="5"/>
  <c r="AN52" i="5"/>
  <c r="AH52" i="5"/>
  <c r="AR52" i="5"/>
  <c r="AF52" i="5"/>
  <c r="X52" i="5"/>
  <c r="R52" i="5"/>
  <c r="BV52" i="5"/>
  <c r="CF52" i="5"/>
  <c r="L52" i="5"/>
  <c r="BP52" i="5"/>
  <c r="H52" i="5"/>
  <c r="CC52" i="5"/>
  <c r="BF52" i="5"/>
  <c r="AZ52" i="5"/>
  <c r="AJ52" i="5"/>
  <c r="BQ52" i="5"/>
  <c r="BM52" i="5"/>
  <c r="AP52" i="5"/>
  <c r="T52" i="5"/>
  <c r="CA52" i="5"/>
  <c r="D52" i="5"/>
  <c r="BG52" i="5"/>
  <c r="BU52" i="5"/>
  <c r="BA52" i="5"/>
  <c r="AW52" i="5"/>
  <c r="Z52" i="5"/>
  <c r="AU52" i="5"/>
  <c r="BK52" i="5"/>
  <c r="AA52" i="5"/>
  <c r="BB52" i="5"/>
  <c r="BE52" i="5"/>
  <c r="AK52" i="5"/>
  <c r="AG52" i="5"/>
  <c r="J52" i="5"/>
  <c r="O52" i="5"/>
  <c r="BW52" i="5"/>
  <c r="AE52" i="5"/>
  <c r="N52" i="5"/>
  <c r="AO52" i="5"/>
  <c r="U52" i="5"/>
  <c r="Q52" i="5"/>
  <c r="AQ52" i="5"/>
  <c r="BR52" i="5"/>
  <c r="Y52" i="5"/>
  <c r="E52" i="5"/>
  <c r="BZ52" i="5"/>
  <c r="CE52" i="5"/>
  <c r="K52" i="5"/>
  <c r="I52" i="5"/>
  <c r="BS52" i="5"/>
  <c r="BJ52" i="5"/>
  <c r="AY52" i="5"/>
  <c r="BO52" i="5"/>
  <c r="M52" i="5"/>
  <c r="BC52" i="5"/>
  <c r="AT52" i="5"/>
  <c r="S52" i="5"/>
  <c r="BY52" i="5"/>
  <c r="AI52" i="5"/>
  <c r="BI52" i="5"/>
  <c r="AM52" i="5"/>
  <c r="AD52" i="5"/>
  <c r="AS52" i="5"/>
  <c r="AC52" i="5"/>
  <c r="G52" i="5"/>
  <c r="V52" i="5"/>
  <c r="AL52" i="5"/>
  <c r="S51" i="5"/>
  <c r="S11" i="7" s="1"/>
  <c r="V51" i="5"/>
  <c r="V11" i="7" s="1"/>
  <c r="AR55" i="6"/>
  <c r="CC55" i="6"/>
  <c r="AD55" i="6"/>
  <c r="X27" i="6"/>
  <c r="X26" i="6"/>
  <c r="D123" i="7"/>
  <c r="D81" i="4"/>
  <c r="D154" i="5"/>
  <c r="D155" i="5" s="1"/>
  <c r="AY27" i="6"/>
  <c r="AY26" i="6"/>
  <c r="BM28" i="6"/>
  <c r="BM68" i="6" s="1"/>
  <c r="BM40" i="6"/>
  <c r="BM33" i="6"/>
  <c r="AT28" i="6"/>
  <c r="AT68" i="6" s="1"/>
  <c r="AT33" i="6"/>
  <c r="AT40" i="6"/>
  <c r="AP137" i="6"/>
  <c r="AP136" i="6"/>
  <c r="AC26" i="6"/>
  <c r="AC27" i="6"/>
  <c r="AB28" i="6"/>
  <c r="AB68" i="6" s="1"/>
  <c r="AB33" i="6"/>
  <c r="AB40" i="6"/>
  <c r="AD27" i="6"/>
  <c r="AD26" i="6"/>
  <c r="BS158" i="5"/>
  <c r="BS161" i="5"/>
  <c r="BS121" i="7" s="1"/>
  <c r="BI158" i="5"/>
  <c r="BI161" i="5"/>
  <c r="BI121" i="7" s="1"/>
  <c r="E161" i="5"/>
  <c r="E121" i="7" s="1"/>
  <c r="BI165" i="6"/>
  <c r="AD165" i="6"/>
  <c r="AZ165" i="6"/>
  <c r="X165" i="6"/>
  <c r="P27" i="6"/>
  <c r="P26" i="6"/>
  <c r="S27" i="6"/>
  <c r="S26" i="6"/>
  <c r="T51" i="5"/>
  <c r="T11" i="7" s="1"/>
  <c r="Y137" i="6"/>
  <c r="Y136" i="6"/>
  <c r="R28" i="6"/>
  <c r="R68" i="6" s="1"/>
  <c r="R40" i="6"/>
  <c r="R33" i="6"/>
  <c r="F138" i="6"/>
  <c r="F178" i="6" s="1"/>
  <c r="F150" i="6"/>
  <c r="F143" i="6"/>
  <c r="BB27" i="6"/>
  <c r="BB26" i="6"/>
  <c r="BN27" i="6"/>
  <c r="BN26" i="6"/>
  <c r="D73" i="4"/>
  <c r="BY158" i="5"/>
  <c r="BY161" i="5"/>
  <c r="BY121" i="7" s="1"/>
  <c r="Q161" i="5"/>
  <c r="Q121" i="7" s="1"/>
  <c r="U161" i="5"/>
  <c r="U121" i="7" s="1"/>
  <c r="AE165" i="6"/>
  <c r="BM165" i="6"/>
  <c r="AK165" i="6"/>
  <c r="AT165" i="6"/>
  <c r="AK27" i="6"/>
  <c r="AK26" i="6"/>
  <c r="W26" i="6"/>
  <c r="W27" i="6"/>
  <c r="AY51" i="5"/>
  <c r="AY11" i="7" s="1"/>
  <c r="AY48" i="5"/>
  <c r="BB51" i="5"/>
  <c r="BB11" i="7" s="1"/>
  <c r="BB48" i="5"/>
  <c r="AE55" i="6"/>
  <c r="BS55" i="6"/>
  <c r="BG55" i="6"/>
  <c r="BK55" i="6"/>
  <c r="P136" i="6"/>
  <c r="P137" i="6"/>
  <c r="D83" i="4"/>
  <c r="D84" i="4" s="1"/>
  <c r="D176" i="7"/>
  <c r="BS137" i="6"/>
  <c r="BS136" i="6"/>
  <c r="AL26" i="6"/>
  <c r="AL27" i="6"/>
  <c r="AP26" i="6"/>
  <c r="AP27" i="6"/>
  <c r="BE26" i="6"/>
  <c r="BE27" i="6"/>
  <c r="BX26" i="6"/>
  <c r="BX27" i="6"/>
  <c r="AF27" i="6"/>
  <c r="AF26" i="6"/>
  <c r="BE137" i="6"/>
  <c r="BE136" i="6"/>
  <c r="CF136" i="6"/>
  <c r="CF137" i="6"/>
  <c r="L161" i="5"/>
  <c r="L121" i="7" s="1"/>
  <c r="AE161" i="5"/>
  <c r="AE121" i="7" s="1"/>
  <c r="AE158" i="5"/>
  <c r="AG158" i="5"/>
  <c r="AG161" i="5"/>
  <c r="AG121" i="7" s="1"/>
  <c r="AK158" i="5"/>
  <c r="AK161" i="5"/>
  <c r="AK121" i="7" s="1"/>
  <c r="BD26" i="6"/>
  <c r="BD27" i="6"/>
  <c r="AJ165" i="6"/>
  <c r="BL165" i="6"/>
  <c r="BZ165" i="6"/>
  <c r="AQ137" i="6"/>
  <c r="AQ136" i="6"/>
  <c r="BT137" i="6"/>
  <c r="BT136" i="6"/>
  <c r="CA48" i="5"/>
  <c r="CA51" i="5"/>
  <c r="CA11" i="7" s="1"/>
  <c r="P51" i="5"/>
  <c r="P11" i="7" s="1"/>
  <c r="BG48" i="5"/>
  <c r="BG51" i="5"/>
  <c r="BG11" i="7" s="1"/>
  <c r="AF48" i="5"/>
  <c r="AF51" i="5"/>
  <c r="AF11" i="7" s="1"/>
  <c r="BW48" i="5"/>
  <c r="BW51" i="5"/>
  <c r="BW11" i="7" s="1"/>
  <c r="M51" i="5"/>
  <c r="M11" i="7" s="1"/>
  <c r="AV51" i="5"/>
  <c r="AV11" i="7" s="1"/>
  <c r="AV48" i="5"/>
  <c r="BO51" i="5"/>
  <c r="BO11" i="7" s="1"/>
  <c r="BO48" i="5"/>
  <c r="BR51" i="5"/>
  <c r="BR11" i="7" s="1"/>
  <c r="BR48" i="5"/>
  <c r="H51" i="5"/>
  <c r="H11" i="7" s="1"/>
  <c r="J137" i="6"/>
  <c r="J136" i="6"/>
  <c r="AS26" i="6"/>
  <c r="AS27" i="6"/>
  <c r="BO55" i="6"/>
  <c r="BQ55" i="6"/>
  <c r="G26" i="6"/>
  <c r="G27" i="6"/>
  <c r="CF27" i="6"/>
  <c r="CF26" i="6"/>
  <c r="X13" i="4" s="1"/>
  <c r="BQ28" i="6"/>
  <c r="BQ33" i="6"/>
  <c r="BQ40" i="6"/>
  <c r="AV27" i="6"/>
  <c r="AV26" i="6"/>
  <c r="CA136" i="6"/>
  <c r="CA137" i="6"/>
  <c r="H161" i="5"/>
  <c r="H121" i="7" s="1"/>
  <c r="AR158" i="5"/>
  <c r="AR161" i="5"/>
  <c r="AR121" i="7" s="1"/>
  <c r="R161" i="5"/>
  <c r="R121" i="7" s="1"/>
  <c r="Y161" i="5"/>
  <c r="Y121" i="7" s="1"/>
  <c r="Y158" i="5"/>
  <c r="BK161" i="5"/>
  <c r="BK121" i="7" s="1"/>
  <c r="BK158" i="5"/>
  <c r="J161" i="5"/>
  <c r="J121" i="7" s="1"/>
  <c r="AW158" i="5"/>
  <c r="AW161" i="5"/>
  <c r="AW121" i="7" s="1"/>
  <c r="BA158" i="5"/>
  <c r="BA161" i="5"/>
  <c r="BA121" i="7" s="1"/>
  <c r="BZ136" i="6"/>
  <c r="BZ137" i="6"/>
  <c r="BA165" i="6"/>
  <c r="V165" i="6"/>
  <c r="AI165" i="6"/>
  <c r="CE165" i="6"/>
  <c r="J28" i="6"/>
  <c r="J68" i="6" s="1"/>
  <c r="J33" i="6"/>
  <c r="J40" i="6"/>
  <c r="H52" i="6"/>
  <c r="H51" i="6"/>
  <c r="H53" i="6" s="1"/>
  <c r="AZ136" i="6"/>
  <c r="AZ137" i="6"/>
  <c r="AW26" i="6"/>
  <c r="AW27" i="6"/>
  <c r="AI136" i="6"/>
  <c r="AI137" i="6"/>
  <c r="AG136" i="6"/>
  <c r="AG137" i="6"/>
  <c r="N27" i="6"/>
  <c r="N26" i="6"/>
  <c r="AH136" i="6"/>
  <c r="AH137" i="6"/>
  <c r="Y26" i="6"/>
  <c r="Y27" i="6"/>
  <c r="BY28" i="6"/>
  <c r="BY33" i="6"/>
  <c r="BY40" i="6"/>
  <c r="AX55" i="6"/>
  <c r="AC51" i="5"/>
  <c r="AC11" i="7" s="1"/>
  <c r="AC48" i="5"/>
  <c r="CE51" i="5"/>
  <c r="CE11" i="7" s="1"/>
  <c r="CE48" i="5"/>
  <c r="BU26" i="6"/>
  <c r="BU27" i="6"/>
  <c r="BD55" i="6"/>
  <c r="BY55" i="6"/>
  <c r="I26" i="6"/>
  <c r="I27" i="6"/>
  <c r="AH27" i="6"/>
  <c r="AH26" i="6"/>
  <c r="AE28" i="6"/>
  <c r="AE68" i="6" s="1"/>
  <c r="AE33" i="6"/>
  <c r="AE40" i="6"/>
  <c r="AJ136" i="6"/>
  <c r="AJ137" i="6"/>
  <c r="AN161" i="5"/>
  <c r="AN121" i="7" s="1"/>
  <c r="AN158" i="5"/>
  <c r="BX158" i="5"/>
  <c r="BX161" i="5"/>
  <c r="BX121" i="7" s="1"/>
  <c r="AX161" i="5"/>
  <c r="AX121" i="7" s="1"/>
  <c r="AX158" i="5"/>
  <c r="BE158" i="5"/>
  <c r="BE161" i="5"/>
  <c r="BE121" i="7" s="1"/>
  <c r="Z158" i="5"/>
  <c r="Z161" i="5"/>
  <c r="Z121" i="7" s="1"/>
  <c r="BM158" i="5"/>
  <c r="BM161" i="5"/>
  <c r="BM121" i="7" s="1"/>
  <c r="BQ158" i="5"/>
  <c r="BQ161" i="5"/>
  <c r="BQ121" i="7" s="1"/>
  <c r="AA165" i="6"/>
  <c r="BT165" i="6"/>
  <c r="AO165" i="6"/>
  <c r="BR165" i="6"/>
  <c r="AM165" i="6"/>
  <c r="CB27" i="6"/>
  <c r="CB26" i="6"/>
  <c r="AI51" i="5"/>
  <c r="AI11" i="7" s="1"/>
  <c r="AI48" i="5"/>
  <c r="BL51" i="5"/>
  <c r="BL11" i="7" s="1"/>
  <c r="BL48" i="5"/>
  <c r="X51" i="5"/>
  <c r="X11" i="7" s="1"/>
  <c r="I51" i="5"/>
  <c r="I11" i="7" s="1"/>
  <c r="AS48" i="5"/>
  <c r="AS51" i="5"/>
  <c r="AS11" i="7" s="1"/>
  <c r="CB51" i="5"/>
  <c r="CB11" i="7" s="1"/>
  <c r="CB48" i="5"/>
  <c r="E51" i="5"/>
  <c r="E11" i="7" s="1"/>
  <c r="AN48" i="5"/>
  <c r="AN51" i="5"/>
  <c r="AN11" i="7" s="1"/>
  <c r="BH55" i="6"/>
  <c r="BK136" i="6"/>
  <c r="BK137" i="6"/>
  <c r="BT161" i="5"/>
  <c r="BT121" i="7" s="1"/>
  <c r="BT158" i="5"/>
  <c r="CD161" i="5"/>
  <c r="CD121" i="7" s="1"/>
  <c r="CD158" i="5"/>
  <c r="AP161" i="5"/>
  <c r="AP121" i="7" s="1"/>
  <c r="AP158" i="5"/>
  <c r="CC158" i="5"/>
  <c r="CC161" i="5"/>
  <c r="CC121" i="7" s="1"/>
  <c r="M157" i="5"/>
  <c r="BW157" i="5"/>
  <c r="BM157" i="5"/>
  <c r="R157" i="5"/>
  <c r="CB157" i="5"/>
  <c r="BZ157" i="5"/>
  <c r="BG157" i="5"/>
  <c r="D161" i="5"/>
  <c r="D121" i="7" s="1"/>
  <c r="BO157" i="5"/>
  <c r="BE157" i="5"/>
  <c r="Y157" i="5"/>
  <c r="BJ157" i="5"/>
  <c r="AQ157" i="5"/>
  <c r="BR157" i="5"/>
  <c r="AK157" i="5"/>
  <c r="AG157" i="5"/>
  <c r="BD157" i="5"/>
  <c r="S157" i="5"/>
  <c r="AT157" i="5"/>
  <c r="AA157" i="5"/>
  <c r="AO157" i="5"/>
  <c r="H157" i="5"/>
  <c r="V157" i="5"/>
  <c r="AD157" i="5"/>
  <c r="K157" i="5"/>
  <c r="BS157" i="5"/>
  <c r="Q157" i="5"/>
  <c r="BB157" i="5"/>
  <c r="N157" i="5"/>
  <c r="BC157" i="5"/>
  <c r="U157" i="5"/>
  <c r="J157" i="5"/>
  <c r="BX157" i="5"/>
  <c r="AM157" i="5"/>
  <c r="BN157" i="5"/>
  <c r="CF157" i="5"/>
  <c r="AZ157" i="5"/>
  <c r="I157" i="5"/>
  <c r="CA157" i="5"/>
  <c r="BH157" i="5"/>
  <c r="W157" i="5"/>
  <c r="BQ157" i="5"/>
  <c r="AJ157" i="5"/>
  <c r="BA157" i="5"/>
  <c r="T157" i="5"/>
  <c r="BK157" i="5"/>
  <c r="AR157" i="5"/>
  <c r="G157" i="5"/>
  <c r="AN157" i="5"/>
  <c r="F157" i="5"/>
  <c r="X157" i="5"/>
  <c r="AU157" i="5"/>
  <c r="AB157" i="5"/>
  <c r="P157" i="5"/>
  <c r="AY157" i="5"/>
  <c r="E157" i="5"/>
  <c r="AE157" i="5"/>
  <c r="L157" i="5"/>
  <c r="BV157" i="5"/>
  <c r="O157" i="5"/>
  <c r="BF157" i="5"/>
  <c r="BL157" i="5"/>
  <c r="AX157" i="5"/>
  <c r="CE157" i="5"/>
  <c r="BY157" i="5"/>
  <c r="AP157" i="5"/>
  <c r="BT157" i="5"/>
  <c r="BP157" i="5"/>
  <c r="AH157" i="5"/>
  <c r="BU157" i="5"/>
  <c r="BI157" i="5"/>
  <c r="Z157" i="5"/>
  <c r="AV157" i="5"/>
  <c r="AL157" i="5"/>
  <c r="D157" i="5"/>
  <c r="AW157" i="5"/>
  <c r="AI157" i="5"/>
  <c r="CD157" i="5"/>
  <c r="AS157" i="5"/>
  <c r="AC157" i="5"/>
  <c r="AF157" i="5"/>
  <c r="CC157" i="5"/>
  <c r="AQ165" i="6"/>
  <c r="BH165" i="6"/>
  <c r="BF165" i="6"/>
  <c r="J51" i="5"/>
  <c r="J11" i="7" s="1"/>
  <c r="AF55" i="6"/>
  <c r="CB55" i="6"/>
  <c r="AW55" i="6"/>
  <c r="BF55" i="6"/>
  <c r="AT55" i="6"/>
  <c r="E28" i="6"/>
  <c r="E68" i="6" s="1"/>
  <c r="E33" i="6"/>
  <c r="E40" i="6"/>
  <c r="BZ27" i="6"/>
  <c r="BZ26" i="6"/>
  <c r="BH26" i="6"/>
  <c r="BH27" i="6"/>
  <c r="CD28" i="6"/>
  <c r="CD68" i="6" s="1"/>
  <c r="CD40" i="6"/>
  <c r="CD33" i="6"/>
  <c r="AF158" i="5"/>
  <c r="AF161" i="5"/>
  <c r="AF121" i="7" s="1"/>
  <c r="BF158" i="5"/>
  <c r="BF161" i="5"/>
  <c r="BF121" i="7" s="1"/>
  <c r="T161" i="5"/>
  <c r="T121" i="7" s="1"/>
  <c r="C12" i="11"/>
  <c r="BJ165" i="6"/>
  <c r="BY165" i="6"/>
  <c r="AH165" i="6"/>
  <c r="AU165" i="6"/>
  <c r="AC136" i="6"/>
  <c r="AC137" i="6"/>
  <c r="BG137" i="6"/>
  <c r="BG136" i="6"/>
  <c r="AM48" i="5"/>
  <c r="AM51" i="5"/>
  <c r="AM11" i="7" s="1"/>
  <c r="AL48" i="5"/>
  <c r="AL51" i="5"/>
  <c r="AL11" i="7" s="1"/>
  <c r="AG55" i="6"/>
  <c r="Y51" i="5"/>
  <c r="Y11" i="7" s="1"/>
  <c r="Y48" i="5"/>
  <c r="U51" i="5"/>
  <c r="U11" i="7" s="1"/>
  <c r="AO48" i="5"/>
  <c r="AO51" i="5"/>
  <c r="AO11" i="7" s="1"/>
  <c r="O51" i="5"/>
  <c r="O11" i="7" s="1"/>
  <c r="BT51" i="5"/>
  <c r="BT11" i="7" s="1"/>
  <c r="BT48" i="5"/>
  <c r="AM137" i="6"/>
  <c r="AM136" i="6"/>
  <c r="CF55" i="6"/>
  <c r="D56" i="6"/>
  <c r="D36" i="4" s="1"/>
  <c r="BN55" i="6"/>
  <c r="BC26" i="6"/>
  <c r="BC27" i="6"/>
  <c r="AR136" i="6"/>
  <c r="AR137" i="6"/>
  <c r="BR137" i="6"/>
  <c r="BR136" i="6"/>
  <c r="AV136" i="6"/>
  <c r="AV137" i="6"/>
  <c r="BH136" i="6"/>
  <c r="BH137" i="6"/>
  <c r="W137" i="6"/>
  <c r="W136" i="6"/>
  <c r="BL158" i="5"/>
  <c r="BL161" i="5"/>
  <c r="BL121" i="7" s="1"/>
  <c r="O161" i="5"/>
  <c r="O121" i="7" s="1"/>
  <c r="BV161" i="5"/>
  <c r="BV121" i="7" s="1"/>
  <c r="BV158" i="5"/>
  <c r="N161" i="5"/>
  <c r="N121" i="7" s="1"/>
  <c r="AJ158" i="5"/>
  <c r="AJ161" i="5"/>
  <c r="AJ121" i="7" s="1"/>
  <c r="H162" i="6"/>
  <c r="H161" i="6"/>
  <c r="BG27" i="6"/>
  <c r="BG26" i="6"/>
  <c r="BK165" i="6"/>
  <c r="AF165" i="6"/>
  <c r="CB165" i="6"/>
  <c r="U165" i="6"/>
  <c r="AW165" i="6"/>
  <c r="L136" i="6"/>
  <c r="L137" i="6"/>
  <c r="BU137" i="6"/>
  <c r="BU136" i="6"/>
  <c r="AT136" i="6"/>
  <c r="AT137" i="6"/>
  <c r="AF136" i="6"/>
  <c r="AF137" i="6"/>
  <c r="BN136" i="6"/>
  <c r="BN137" i="6"/>
  <c r="O136" i="6"/>
  <c r="O137" i="6"/>
  <c r="AD136" i="6"/>
  <c r="AD137" i="6"/>
  <c r="AA137" i="6"/>
  <c r="AA136" i="6"/>
  <c r="AQ48" i="5"/>
  <c r="AQ51" i="5"/>
  <c r="AQ11" i="7" s="1"/>
  <c r="BY48" i="5"/>
  <c r="BY51" i="5"/>
  <c r="BY11" i="7" s="1"/>
  <c r="AK51" i="5"/>
  <c r="AK11" i="7" s="1"/>
  <c r="AK48" i="5"/>
  <c r="BA55" i="6"/>
  <c r="AO55" i="6"/>
  <c r="AQ55" i="6"/>
  <c r="AU55" i="6"/>
  <c r="CC28" i="6"/>
  <c r="CC68" i="6" s="1"/>
  <c r="CC40" i="6"/>
  <c r="CC33" i="6"/>
  <c r="K28" i="6"/>
  <c r="K68" i="6" s="1"/>
  <c r="K40" i="6"/>
  <c r="K33" i="6"/>
  <c r="I161" i="5"/>
  <c r="I121" i="7" s="1"/>
  <c r="AU161" i="5"/>
  <c r="AU121" i="7" s="1"/>
  <c r="AU158" i="5"/>
  <c r="AA161" i="5"/>
  <c r="AA121" i="7" s="1"/>
  <c r="AA158" i="5"/>
  <c r="AD161" i="5"/>
  <c r="AD121" i="7" s="1"/>
  <c r="AD158" i="5"/>
  <c r="AZ158" i="5"/>
  <c r="AZ161" i="5"/>
  <c r="AZ121" i="7" s="1"/>
  <c r="CE28" i="6"/>
  <c r="CE68" i="6" s="1"/>
  <c r="CE33" i="6"/>
  <c r="CE40" i="6"/>
  <c r="L26" i="6"/>
  <c r="L27" i="6"/>
  <c r="BP165" i="6"/>
  <c r="AY165" i="6"/>
  <c r="CD165" i="6"/>
  <c r="Z27" i="6"/>
  <c r="Z26" i="6"/>
  <c r="AR26" i="6"/>
  <c r="AR27" i="6"/>
  <c r="G138" i="6"/>
  <c r="G150" i="6"/>
  <c r="G143" i="6"/>
  <c r="BZ51" i="5"/>
  <c r="BZ11" i="7" s="1"/>
  <c r="BZ48" i="5"/>
  <c r="BL55" i="6"/>
  <c r="BI51" i="5"/>
  <c r="BI11" i="7" s="1"/>
  <c r="BI48" i="5"/>
  <c r="R51" i="5"/>
  <c r="R11" i="7" s="1"/>
  <c r="BD48" i="5"/>
  <c r="BD51" i="5"/>
  <c r="BD11" i="7" s="1"/>
  <c r="AH51" i="5"/>
  <c r="AH11" i="7" s="1"/>
  <c r="AH48" i="5"/>
  <c r="BE51" i="5"/>
  <c r="BE11" i="7" s="1"/>
  <c r="BE48" i="5"/>
  <c r="AE48" i="5"/>
  <c r="AE51" i="5"/>
  <c r="AE11" i="7" s="1"/>
  <c r="AX51" i="5"/>
  <c r="AX11" i="7" s="1"/>
  <c r="AX48" i="5"/>
  <c r="BA51" i="5"/>
  <c r="BA11" i="7" s="1"/>
  <c r="BA48" i="5"/>
  <c r="AN26" i="6"/>
  <c r="AN27" i="6"/>
  <c r="AM55" i="6"/>
  <c r="BU51" i="5"/>
  <c r="BU11" i="7" s="1"/>
  <c r="BU48" i="5"/>
  <c r="L51" i="5"/>
  <c r="L11" i="7" s="1"/>
  <c r="AU51" i="5"/>
  <c r="AU11" i="7" s="1"/>
  <c r="AU48" i="5"/>
  <c r="BN51" i="5"/>
  <c r="BN11" i="7" s="1"/>
  <c r="BN48" i="5"/>
  <c r="BQ48" i="5"/>
  <c r="BQ51" i="5"/>
  <c r="BQ11" i="7" s="1"/>
  <c r="G51" i="5"/>
  <c r="G11" i="7" s="1"/>
  <c r="AP55" i="6"/>
  <c r="AN55" i="6"/>
  <c r="Y55" i="6"/>
  <c r="AI55" i="6"/>
  <c r="BW137" i="6"/>
  <c r="BW136" i="6"/>
  <c r="CE136" i="6"/>
  <c r="CE137" i="6"/>
  <c r="BQ137" i="6"/>
  <c r="BQ136" i="6"/>
  <c r="T27" i="6"/>
  <c r="T26" i="6"/>
  <c r="F28" i="6"/>
  <c r="F68" i="6" s="1"/>
  <c r="F40" i="6"/>
  <c r="F33" i="6"/>
  <c r="AN137" i="6"/>
  <c r="AN136" i="6"/>
  <c r="AO161" i="5"/>
  <c r="AO121" i="7" s="1"/>
  <c r="AO158" i="5"/>
  <c r="CA161" i="5"/>
  <c r="CA121" i="7" s="1"/>
  <c r="CA158" i="5"/>
  <c r="W161" i="5"/>
  <c r="W121" i="7" s="1"/>
  <c r="BG161" i="5"/>
  <c r="BG121" i="7" s="1"/>
  <c r="BG158" i="5"/>
  <c r="F161" i="5"/>
  <c r="F121" i="7" s="1"/>
  <c r="AT161" i="5"/>
  <c r="AT121" i="7" s="1"/>
  <c r="AT158" i="5"/>
  <c r="BP161" i="5"/>
  <c r="BP121" i="7" s="1"/>
  <c r="BP158" i="5"/>
  <c r="AE136" i="6"/>
  <c r="AE137" i="6"/>
  <c r="CB136" i="6"/>
  <c r="CB137" i="6"/>
  <c r="BE165" i="6"/>
  <c r="Z137" i="6"/>
  <c r="Z136" i="6"/>
  <c r="AA28" i="6"/>
  <c r="AA68" i="6" s="1"/>
  <c r="AA33" i="6"/>
  <c r="AA40" i="6"/>
  <c r="BP55" i="6"/>
  <c r="BV137" i="6"/>
  <c r="BV136" i="6"/>
  <c r="AB51" i="5"/>
  <c r="AB11" i="7" s="1"/>
  <c r="AB48" i="5"/>
  <c r="BK48" i="5"/>
  <c r="BK51" i="5"/>
  <c r="BK11" i="7" s="1"/>
  <c r="CD51" i="5"/>
  <c r="CD11" i="7" s="1"/>
  <c r="CD48" i="5"/>
  <c r="F47" i="5"/>
  <c r="CF47" i="5"/>
  <c r="BG47" i="5"/>
  <c r="D48" i="5"/>
  <c r="AO47" i="5"/>
  <c r="AE47" i="5"/>
  <c r="AB47" i="5"/>
  <c r="AS47" i="5"/>
  <c r="BP47" i="5"/>
  <c r="AQ47" i="5"/>
  <c r="BV47" i="5"/>
  <c r="N47" i="5"/>
  <c r="BI47" i="5"/>
  <c r="H47" i="5"/>
  <c r="CC47" i="5"/>
  <c r="AZ47" i="5"/>
  <c r="AA47" i="5"/>
  <c r="AU47" i="5"/>
  <c r="AG47" i="5"/>
  <c r="BZ47" i="5"/>
  <c r="AJ47" i="5"/>
  <c r="K47" i="5"/>
  <c r="X47" i="5"/>
  <c r="BO47" i="5"/>
  <c r="J47" i="5"/>
  <c r="BY47" i="5"/>
  <c r="T47" i="5"/>
  <c r="AR47" i="5"/>
  <c r="CB47" i="5"/>
  <c r="AW47" i="5"/>
  <c r="D47" i="5"/>
  <c r="P47" i="5"/>
  <c r="BK47" i="5"/>
  <c r="BE47" i="5"/>
  <c r="Z47" i="5"/>
  <c r="BQ47" i="5"/>
  <c r="AN47" i="5"/>
  <c r="AD47" i="5"/>
  <c r="BA47" i="5"/>
  <c r="BU47" i="5"/>
  <c r="M47" i="5"/>
  <c r="CE47" i="5"/>
  <c r="AK47" i="5"/>
  <c r="AT47" i="5"/>
  <c r="BH47" i="5"/>
  <c r="BX47" i="5"/>
  <c r="U47" i="5"/>
  <c r="BS47" i="5"/>
  <c r="S47" i="5"/>
  <c r="BM47" i="5"/>
  <c r="AF47" i="5"/>
  <c r="CA47" i="5"/>
  <c r="AV47" i="5"/>
  <c r="E47" i="5"/>
  <c r="BC47" i="5"/>
  <c r="AP47" i="5"/>
  <c r="I47" i="5"/>
  <c r="BD47" i="5"/>
  <c r="Y47" i="5"/>
  <c r="CD47" i="5"/>
  <c r="AM47" i="5"/>
  <c r="O47" i="5"/>
  <c r="BJ47" i="5"/>
  <c r="AC47" i="5"/>
  <c r="BR47" i="5"/>
  <c r="BN47" i="5"/>
  <c r="W47" i="5"/>
  <c r="AI47" i="5"/>
  <c r="AH47" i="5"/>
  <c r="BB47" i="5"/>
  <c r="AX47" i="5"/>
  <c r="G47" i="5"/>
  <c r="BT47" i="5"/>
  <c r="L47" i="5"/>
  <c r="D51" i="5"/>
  <c r="D11" i="7" s="1"/>
  <c r="AL47" i="5"/>
  <c r="V47" i="5"/>
  <c r="R47" i="5"/>
  <c r="BW47" i="5"/>
  <c r="Q47" i="5"/>
  <c r="BL47" i="5"/>
  <c r="BF47" i="5"/>
  <c r="AY47" i="5"/>
  <c r="W51" i="5"/>
  <c r="W11" i="7" s="1"/>
  <c r="AQ27" i="6"/>
  <c r="AQ26" i="6"/>
  <c r="BJ55" i="6"/>
  <c r="BC55" i="6"/>
  <c r="BX55" i="6"/>
  <c r="BF137" i="6"/>
  <c r="BF136" i="6"/>
  <c r="AS135" i="6"/>
  <c r="AS134" i="6"/>
  <c r="AH158" i="5"/>
  <c r="AH161" i="5"/>
  <c r="AH121" i="7" s="1"/>
  <c r="BU161" i="5"/>
  <c r="BU121" i="7" s="1"/>
  <c r="BU158" i="5"/>
  <c r="S162" i="5"/>
  <c r="Q162" i="5"/>
  <c r="BF162" i="5"/>
  <c r="AB162" i="5"/>
  <c r="X162" i="5"/>
  <c r="T162" i="5"/>
  <c r="BR162" i="5"/>
  <c r="CA162" i="5"/>
  <c r="AP162" i="5"/>
  <c r="K162" i="5"/>
  <c r="CD162" i="5"/>
  <c r="BK162" i="5"/>
  <c r="Z162" i="5"/>
  <c r="BB162" i="5"/>
  <c r="BN162" i="5"/>
  <c r="AU162" i="5"/>
  <c r="J162" i="5"/>
  <c r="BU162" i="5"/>
  <c r="H162" i="5"/>
  <c r="AW162" i="5"/>
  <c r="AX162" i="5"/>
  <c r="AE162" i="5"/>
  <c r="BC162" i="5"/>
  <c r="AO162" i="5"/>
  <c r="AR162" i="5"/>
  <c r="AY162" i="5"/>
  <c r="AH162" i="5"/>
  <c r="O162" i="5"/>
  <c r="BY162" i="5"/>
  <c r="BG162" i="5"/>
  <c r="W162" i="5"/>
  <c r="I162" i="5"/>
  <c r="G162" i="5"/>
  <c r="R162" i="5"/>
  <c r="CB162" i="5"/>
  <c r="BI162" i="5"/>
  <c r="AA162" i="5"/>
  <c r="AQ162" i="5"/>
  <c r="BL162" i="5"/>
  <c r="AS162" i="5"/>
  <c r="BX162" i="5"/>
  <c r="V162" i="5"/>
  <c r="AV162" i="5"/>
  <c r="AC162" i="5"/>
  <c r="F162" i="5"/>
  <c r="AN162" i="5"/>
  <c r="AD162" i="5"/>
  <c r="AF162" i="5"/>
  <c r="M162" i="5"/>
  <c r="BP162" i="5"/>
  <c r="BA162" i="5"/>
  <c r="BQ162" i="5"/>
  <c r="P162" i="5"/>
  <c r="AJ162" i="5"/>
  <c r="BE162" i="5"/>
  <c r="U162" i="5"/>
  <c r="AK162" i="5"/>
  <c r="BW162" i="5"/>
  <c r="AM162" i="5"/>
  <c r="BZ162" i="5"/>
  <c r="D162" i="5"/>
  <c r="Y162" i="5"/>
  <c r="E162" i="5"/>
  <c r="BS162" i="5"/>
  <c r="CE162" i="5"/>
  <c r="CC162" i="5"/>
  <c r="BJ162" i="5"/>
  <c r="BT162" i="5"/>
  <c r="AL162" i="5"/>
  <c r="CF162" i="5"/>
  <c r="BO162" i="5"/>
  <c r="BM162" i="5"/>
  <c r="AT162" i="5"/>
  <c r="AI162" i="5"/>
  <c r="AG162" i="5"/>
  <c r="N162" i="5"/>
  <c r="BV162" i="5"/>
  <c r="BH162" i="5"/>
  <c r="BD162" i="5"/>
  <c r="AZ162" i="5"/>
  <c r="L162" i="5"/>
  <c r="BC161" i="5"/>
  <c r="BC121" i="7" s="1"/>
  <c r="BC158" i="5"/>
  <c r="V161" i="5"/>
  <c r="V121" i="7" s="1"/>
  <c r="BJ161" i="5"/>
  <c r="BJ121" i="7" s="1"/>
  <c r="BJ158" i="5"/>
  <c r="CF161" i="5"/>
  <c r="CF121" i="7" s="1"/>
  <c r="CF158" i="5"/>
  <c r="V26" i="6"/>
  <c r="V27" i="6"/>
  <c r="AB165" i="6"/>
  <c r="BX165" i="6"/>
  <c r="Z165" i="6"/>
  <c r="BA27" i="6"/>
  <c r="BA26" i="6"/>
  <c r="BD137" i="6"/>
  <c r="BD136" i="6"/>
  <c r="X137" i="6"/>
  <c r="X136" i="6"/>
  <c r="AB136" i="6"/>
  <c r="AB137" i="6"/>
  <c r="M136" i="6"/>
  <c r="M137" i="6"/>
  <c r="AW137" i="6" l="1"/>
  <c r="AG26" i="6"/>
  <c r="L13" i="4" s="1"/>
  <c r="D150" i="6"/>
  <c r="D182" i="6" s="1"/>
  <c r="D143" i="6"/>
  <c r="AO33" i="6"/>
  <c r="AO38" i="6" s="1"/>
  <c r="AO40" i="6"/>
  <c r="AY137" i="6"/>
  <c r="AY138" i="6" s="1"/>
  <c r="AY178" i="6" s="1"/>
  <c r="G178" i="6"/>
  <c r="BJ28" i="6"/>
  <c r="BJ68" i="6" s="1"/>
  <c r="AO137" i="6"/>
  <c r="AO138" i="6" s="1"/>
  <c r="AM27" i="6"/>
  <c r="AM33" i="6" s="1"/>
  <c r="D12" i="11"/>
  <c r="BJ33" i="6"/>
  <c r="BJ34" i="6" s="1"/>
  <c r="D166" i="6"/>
  <c r="D96" i="4" s="1"/>
  <c r="D158" i="5"/>
  <c r="D188" i="7" s="1"/>
  <c r="N78" i="4"/>
  <c r="V78" i="4"/>
  <c r="M18" i="4"/>
  <c r="T13" i="4"/>
  <c r="E13" i="4"/>
  <c r="K18" i="4"/>
  <c r="R18" i="4"/>
  <c r="O18" i="4"/>
  <c r="Q18" i="4"/>
  <c r="M78" i="4"/>
  <c r="D11" i="11"/>
  <c r="D178" i="6"/>
  <c r="H182" i="6"/>
  <c r="H164" i="6"/>
  <c r="Q13" i="4"/>
  <c r="AE138" i="6"/>
  <c r="AE178" i="6" s="1"/>
  <c r="AE150" i="6"/>
  <c r="AE143" i="6"/>
  <c r="S18" i="4"/>
  <c r="K38" i="6"/>
  <c r="K34" i="6"/>
  <c r="V73" i="4"/>
  <c r="BR138" i="6"/>
  <c r="BR178" i="6" s="1"/>
  <c r="BR150" i="6"/>
  <c r="BR143" i="6"/>
  <c r="AM138" i="6"/>
  <c r="AM143" i="6"/>
  <c r="AM150" i="6"/>
  <c r="AI138" i="6"/>
  <c r="AI178" i="6" s="1"/>
  <c r="AI143" i="6"/>
  <c r="AI150" i="6"/>
  <c r="BZ138" i="6"/>
  <c r="BZ178" i="6" s="1"/>
  <c r="BZ143" i="6"/>
  <c r="BZ150" i="6"/>
  <c r="AQ138" i="6"/>
  <c r="AQ178" i="6" s="1"/>
  <c r="AQ150" i="6"/>
  <c r="AQ143" i="6"/>
  <c r="AT38" i="6"/>
  <c r="AT34" i="6"/>
  <c r="Q138" i="6"/>
  <c r="Q178" i="6" s="1"/>
  <c r="Q143" i="6"/>
  <c r="Q150" i="6"/>
  <c r="I13" i="4"/>
  <c r="K78" i="4"/>
  <c r="I182" i="6"/>
  <c r="I164" i="6"/>
  <c r="Q28" i="6"/>
  <c r="Q68" i="6" s="1"/>
  <c r="Q40" i="6"/>
  <c r="Q33" i="6"/>
  <c r="BA137" i="6"/>
  <c r="BA136" i="6"/>
  <c r="W28" i="6"/>
  <c r="W68" i="6" s="1"/>
  <c r="W40" i="6"/>
  <c r="W33" i="6"/>
  <c r="BV138" i="6"/>
  <c r="BV178" i="6" s="1"/>
  <c r="BV143" i="6"/>
  <c r="BV150" i="6"/>
  <c r="F38" i="6"/>
  <c r="F70" i="6" s="1"/>
  <c r="F34" i="6"/>
  <c r="L138" i="6"/>
  <c r="L178" i="6" s="1"/>
  <c r="L150" i="6"/>
  <c r="L143" i="6"/>
  <c r="BG138" i="6"/>
  <c r="BG178" i="6" s="1"/>
  <c r="BG150" i="6"/>
  <c r="BG143" i="6"/>
  <c r="CD72" i="6"/>
  <c r="CD54" i="6"/>
  <c r="BK138" i="6"/>
  <c r="BK178" i="6" s="1"/>
  <c r="BK143" i="6"/>
  <c r="BK150" i="6"/>
  <c r="U78" i="4"/>
  <c r="AE38" i="6"/>
  <c r="AE70" i="6" s="1"/>
  <c r="AE34" i="6"/>
  <c r="AW28" i="6"/>
  <c r="AW68" i="6" s="1"/>
  <c r="AW40" i="6"/>
  <c r="AW33" i="6"/>
  <c r="CA138" i="6"/>
  <c r="CA178" i="6" s="1"/>
  <c r="CA143" i="6"/>
  <c r="CA150" i="6"/>
  <c r="BS138" i="6"/>
  <c r="BS178" i="6" s="1"/>
  <c r="BS150" i="6"/>
  <c r="BS143" i="6"/>
  <c r="S28" i="6"/>
  <c r="S68" i="6" s="1"/>
  <c r="S33" i="6"/>
  <c r="S40" i="6"/>
  <c r="AD28" i="6"/>
  <c r="AD68" i="6" s="1"/>
  <c r="AD33" i="6"/>
  <c r="AD40" i="6"/>
  <c r="BM38" i="6"/>
  <c r="BM34" i="6"/>
  <c r="R138" i="6"/>
  <c r="R178" i="6" s="1"/>
  <c r="R143" i="6"/>
  <c r="R150" i="6"/>
  <c r="O78" i="4"/>
  <c r="K138" i="6"/>
  <c r="K178" i="6" s="1"/>
  <c r="K150" i="6"/>
  <c r="K143" i="6"/>
  <c r="BR38" i="6"/>
  <c r="BR70" i="6" s="1"/>
  <c r="BR34" i="6"/>
  <c r="CC138" i="6"/>
  <c r="CC143" i="6"/>
  <c r="CC150" i="6"/>
  <c r="H148" i="6"/>
  <c r="H180" i="6" s="1"/>
  <c r="H144" i="6"/>
  <c r="AU28" i="6"/>
  <c r="AU68" i="6" s="1"/>
  <c r="AU33" i="6"/>
  <c r="AU40" i="6"/>
  <c r="CA28" i="6"/>
  <c r="CA68" i="6" s="1"/>
  <c r="CA33" i="6"/>
  <c r="CA40" i="6"/>
  <c r="CD38" i="6"/>
  <c r="CD34" i="6"/>
  <c r="BP138" i="6"/>
  <c r="BP178" i="6" s="1"/>
  <c r="BP143" i="6"/>
  <c r="BP150" i="6"/>
  <c r="F72" i="6"/>
  <c r="F54" i="6"/>
  <c r="CE72" i="6"/>
  <c r="CE54" i="6"/>
  <c r="CC38" i="6"/>
  <c r="CC34" i="6"/>
  <c r="AA138" i="6"/>
  <c r="AA178" i="6" s="1"/>
  <c r="AA150" i="6"/>
  <c r="AA143" i="6"/>
  <c r="AC138" i="6"/>
  <c r="AC178" i="6" s="1"/>
  <c r="AC143" i="6"/>
  <c r="AC150" i="6"/>
  <c r="P13" i="4"/>
  <c r="Q78" i="4"/>
  <c r="AS28" i="6"/>
  <c r="AS33" i="6"/>
  <c r="AS40" i="6"/>
  <c r="R73" i="4"/>
  <c r="M13" i="4"/>
  <c r="AB72" i="6"/>
  <c r="AB54" i="6"/>
  <c r="BM72" i="6"/>
  <c r="BM54" i="6"/>
  <c r="E152" i="5"/>
  <c r="E153" i="5"/>
  <c r="F150" i="5" s="1"/>
  <c r="D23" i="4"/>
  <c r="D66" i="7"/>
  <c r="BR72" i="6"/>
  <c r="BR54" i="6"/>
  <c r="X73" i="4"/>
  <c r="N138" i="6"/>
  <c r="N178" i="6" s="1"/>
  <c r="N143" i="6"/>
  <c r="N150" i="6"/>
  <c r="BW28" i="6"/>
  <c r="BW68" i="6" s="1"/>
  <c r="BW40" i="6"/>
  <c r="BW33" i="6"/>
  <c r="CE38" i="6"/>
  <c r="CE34" i="6"/>
  <c r="CC72" i="6"/>
  <c r="CC54" i="6"/>
  <c r="AD138" i="6"/>
  <c r="AD178" i="6" s="1"/>
  <c r="AD143" i="6"/>
  <c r="AD150" i="6"/>
  <c r="K73" i="4"/>
  <c r="BH28" i="6"/>
  <c r="BH68" i="6" s="1"/>
  <c r="BH33" i="6"/>
  <c r="BH40" i="6"/>
  <c r="T78" i="4"/>
  <c r="BY72" i="6"/>
  <c r="BY54" i="6"/>
  <c r="AZ138" i="6"/>
  <c r="AZ178" i="6" s="1"/>
  <c r="AZ143" i="6"/>
  <c r="AZ150" i="6"/>
  <c r="O13" i="4"/>
  <c r="BE138" i="6"/>
  <c r="BE150" i="6"/>
  <c r="BE143" i="6"/>
  <c r="D102" i="4"/>
  <c r="AK28" i="6"/>
  <c r="AK68" i="6" s="1"/>
  <c r="AK33" i="6"/>
  <c r="AK40" i="6"/>
  <c r="BN28" i="6"/>
  <c r="BN68" i="6" s="1"/>
  <c r="BN40" i="6"/>
  <c r="BN33" i="6"/>
  <c r="P28" i="6"/>
  <c r="P68" i="6" s="1"/>
  <c r="P33" i="6"/>
  <c r="P40" i="6"/>
  <c r="AB38" i="6"/>
  <c r="AB34" i="6"/>
  <c r="I73" i="4"/>
  <c r="E182" i="6"/>
  <c r="E164" i="6"/>
  <c r="CF170" i="6"/>
  <c r="X161" i="8" s="1"/>
  <c r="O28" i="6"/>
  <c r="O68" i="6" s="1"/>
  <c r="O33" i="6"/>
  <c r="O40" i="6"/>
  <c r="AQ28" i="6"/>
  <c r="AQ68" i="6" s="1"/>
  <c r="AQ33" i="6"/>
  <c r="AQ40" i="6"/>
  <c r="AA72" i="6"/>
  <c r="AA54" i="6"/>
  <c r="U18" i="4"/>
  <c r="G148" i="6"/>
  <c r="G180" i="6" s="1"/>
  <c r="G144" i="6"/>
  <c r="AH28" i="6"/>
  <c r="AH68" i="6" s="1"/>
  <c r="AH40" i="6"/>
  <c r="AH33" i="6"/>
  <c r="BY38" i="6"/>
  <c r="BY34" i="6"/>
  <c r="P78" i="4"/>
  <c r="U138" i="6"/>
  <c r="U178" i="6" s="1"/>
  <c r="U143" i="6"/>
  <c r="U150" i="6"/>
  <c r="BK38" i="6"/>
  <c r="BK70" i="6" s="1"/>
  <c r="BK34" i="6"/>
  <c r="E148" i="6"/>
  <c r="E71" i="4"/>
  <c r="E144" i="6"/>
  <c r="BL28" i="6"/>
  <c r="BL68" i="6" s="1"/>
  <c r="BL33" i="6"/>
  <c r="BL40" i="6"/>
  <c r="BM138" i="6"/>
  <c r="BM178" i="6" s="1"/>
  <c r="BM143" i="6"/>
  <c r="BM150" i="6"/>
  <c r="BL182" i="6"/>
  <c r="BL164" i="6"/>
  <c r="AA38" i="6"/>
  <c r="AA34" i="6"/>
  <c r="G182" i="6"/>
  <c r="G164" i="6"/>
  <c r="N13" i="4"/>
  <c r="O138" i="6"/>
  <c r="O178" i="6" s="1"/>
  <c r="O143" i="6"/>
  <c r="O150" i="6"/>
  <c r="AO72" i="6"/>
  <c r="AO54" i="6"/>
  <c r="N18" i="4"/>
  <c r="I28" i="6"/>
  <c r="I33" i="6"/>
  <c r="I40" i="6"/>
  <c r="AV28" i="6"/>
  <c r="AV68" i="6" s="1"/>
  <c r="AV33" i="6"/>
  <c r="AV40" i="6"/>
  <c r="J138" i="6"/>
  <c r="J150" i="6"/>
  <c r="J143" i="6"/>
  <c r="AF28" i="6"/>
  <c r="AF68" i="6" s="1"/>
  <c r="AF33" i="6"/>
  <c r="AF40" i="6"/>
  <c r="P138" i="6"/>
  <c r="P178" i="6" s="1"/>
  <c r="P143" i="6"/>
  <c r="P150" i="6"/>
  <c r="BB28" i="6"/>
  <c r="BB68" i="6" s="1"/>
  <c r="BB40" i="6"/>
  <c r="BB33" i="6"/>
  <c r="AY28" i="6"/>
  <c r="AY68" i="6" s="1"/>
  <c r="AY40" i="6"/>
  <c r="AY33" i="6"/>
  <c r="AU138" i="6"/>
  <c r="AU178" i="6" s="1"/>
  <c r="AU143" i="6"/>
  <c r="AU150" i="6"/>
  <c r="BK72" i="6"/>
  <c r="BK54" i="6"/>
  <c r="E74" i="4"/>
  <c r="T73" i="4"/>
  <c r="BL148" i="6"/>
  <c r="BL144" i="6"/>
  <c r="V28" i="6"/>
  <c r="V68" i="6" s="1"/>
  <c r="V40" i="6"/>
  <c r="V33" i="6"/>
  <c r="D78" i="7"/>
  <c r="D18" i="4"/>
  <c r="T28" i="6"/>
  <c r="T68" i="6" s="1"/>
  <c r="T40" i="6"/>
  <c r="T33" i="6"/>
  <c r="BZ28" i="6"/>
  <c r="BZ68" i="6" s="1"/>
  <c r="BZ33" i="6"/>
  <c r="BZ40" i="6"/>
  <c r="F13" i="4"/>
  <c r="I50" i="6"/>
  <c r="E38" i="4"/>
  <c r="BQ72" i="6"/>
  <c r="BQ54" i="6"/>
  <c r="BD28" i="6"/>
  <c r="BD68" i="6" s="1"/>
  <c r="BD33" i="6"/>
  <c r="BD40" i="6"/>
  <c r="BX28" i="6"/>
  <c r="BX68" i="6" s="1"/>
  <c r="BX33" i="6"/>
  <c r="BX40" i="6"/>
  <c r="F148" i="6"/>
  <c r="F180" i="6" s="1"/>
  <c r="F144" i="6"/>
  <c r="D148" i="6"/>
  <c r="D180" i="6" s="1"/>
  <c r="D71" i="4"/>
  <c r="D144" i="6"/>
  <c r="BX138" i="6"/>
  <c r="BX178" i="6" s="1"/>
  <c r="BX150" i="6"/>
  <c r="BX143" i="6"/>
  <c r="AZ28" i="6"/>
  <c r="AZ68" i="6" s="1"/>
  <c r="AZ40" i="6"/>
  <c r="AZ33" i="6"/>
  <c r="L28" i="6"/>
  <c r="L68" i="6" s="1"/>
  <c r="L40" i="6"/>
  <c r="L33" i="6"/>
  <c r="BN138" i="6"/>
  <c r="BN178" i="6" s="1"/>
  <c r="BN143" i="6"/>
  <c r="BN150" i="6"/>
  <c r="BC28" i="6"/>
  <c r="BC68" i="6" s="1"/>
  <c r="BC40" i="6"/>
  <c r="BC33" i="6"/>
  <c r="E72" i="6"/>
  <c r="E54" i="6"/>
  <c r="R78" i="4"/>
  <c r="Y28" i="6"/>
  <c r="Y68" i="6" s="1"/>
  <c r="Y33" i="6"/>
  <c r="Y40" i="6"/>
  <c r="J72" i="6"/>
  <c r="J54" i="6"/>
  <c r="BQ38" i="6"/>
  <c r="BQ70" i="6" s="1"/>
  <c r="BQ34" i="6"/>
  <c r="F182" i="6"/>
  <c r="F164" i="6"/>
  <c r="T18" i="4"/>
  <c r="D13" i="4"/>
  <c r="M73" i="4"/>
  <c r="BY68" i="6"/>
  <c r="L18" i="4"/>
  <c r="H13" i="4"/>
  <c r="Z138" i="6"/>
  <c r="Z178" i="6" s="1"/>
  <c r="Z143" i="6"/>
  <c r="Z150" i="6"/>
  <c r="BQ138" i="6"/>
  <c r="BQ178" i="6" s="1"/>
  <c r="BQ150" i="6"/>
  <c r="BQ143" i="6"/>
  <c r="AR28" i="6"/>
  <c r="AR68" i="6" s="1"/>
  <c r="AR33" i="6"/>
  <c r="AR40" i="6"/>
  <c r="J18" i="4"/>
  <c r="E38" i="6"/>
  <c r="E34" i="6"/>
  <c r="J13" i="4"/>
  <c r="J38" i="6"/>
  <c r="J70" i="6" s="1"/>
  <c r="J34" i="6"/>
  <c r="BE28" i="6"/>
  <c r="BE68" i="6" s="1"/>
  <c r="BE33" i="6"/>
  <c r="BE40" i="6"/>
  <c r="AC28" i="6"/>
  <c r="AC33" i="6"/>
  <c r="AC40" i="6"/>
  <c r="X18" i="4"/>
  <c r="BT72" i="6"/>
  <c r="BT54" i="6"/>
  <c r="D28" i="6"/>
  <c r="D14" i="4" s="1"/>
  <c r="D40" i="6"/>
  <c r="D33" i="6"/>
  <c r="AK138" i="6"/>
  <c r="AK143" i="6"/>
  <c r="AK150" i="6"/>
  <c r="W13" i="4"/>
  <c r="AL138" i="6"/>
  <c r="AL178" i="6" s="1"/>
  <c r="AL143" i="6"/>
  <c r="AL150" i="6"/>
  <c r="CE138" i="6"/>
  <c r="CE178" i="6" s="1"/>
  <c r="CE150" i="6"/>
  <c r="CE143" i="6"/>
  <c r="AF138" i="6"/>
  <c r="AF178" i="6" s="1"/>
  <c r="AF143" i="6"/>
  <c r="AF150" i="6"/>
  <c r="BG28" i="6"/>
  <c r="BG68" i="6" s="1"/>
  <c r="BG40" i="6"/>
  <c r="BG33" i="6"/>
  <c r="W138" i="6"/>
  <c r="W178" i="6" s="1"/>
  <c r="W150" i="6"/>
  <c r="W143" i="6"/>
  <c r="AH138" i="6"/>
  <c r="AH178" i="6" s="1"/>
  <c r="AH143" i="6"/>
  <c r="AH150" i="6"/>
  <c r="J78" i="4"/>
  <c r="R13" i="4"/>
  <c r="R38" i="6"/>
  <c r="R70" i="6" s="1"/>
  <c r="R34" i="6"/>
  <c r="K13" i="4"/>
  <c r="BT38" i="6"/>
  <c r="BT70" i="6" s="1"/>
  <c r="BT34" i="6"/>
  <c r="K72" i="6"/>
  <c r="K54" i="6"/>
  <c r="AR138" i="6"/>
  <c r="AR178" i="6" s="1"/>
  <c r="AR150" i="6"/>
  <c r="AR143" i="6"/>
  <c r="AE72" i="6"/>
  <c r="AE54" i="6"/>
  <c r="G73" i="4"/>
  <c r="AS136" i="6"/>
  <c r="AS137" i="6"/>
  <c r="BH138" i="6"/>
  <c r="BH178" i="6" s="1"/>
  <c r="BH150" i="6"/>
  <c r="BH143" i="6"/>
  <c r="X78" i="4"/>
  <c r="CB28" i="6"/>
  <c r="CB68" i="6" s="1"/>
  <c r="CB33" i="6"/>
  <c r="CB40" i="6"/>
  <c r="CF28" i="6"/>
  <c r="CF68" i="6" s="1"/>
  <c r="CF40" i="6"/>
  <c r="CF33" i="6"/>
  <c r="AP28" i="6"/>
  <c r="AP33" i="6"/>
  <c r="AP40" i="6"/>
  <c r="R72" i="6"/>
  <c r="R54" i="6"/>
  <c r="BF28" i="6"/>
  <c r="BF68" i="6" s="1"/>
  <c r="BF40" i="6"/>
  <c r="BF33" i="6"/>
  <c r="CD138" i="6"/>
  <c r="CD178" i="6" s="1"/>
  <c r="CD143" i="6"/>
  <c r="CD150" i="6"/>
  <c r="BO138" i="6"/>
  <c r="BO178" i="6" s="1"/>
  <c r="BO143" i="6"/>
  <c r="BO150" i="6"/>
  <c r="H28" i="6"/>
  <c r="H68" i="6" s="1"/>
  <c r="H33" i="6"/>
  <c r="H40" i="6"/>
  <c r="BC138" i="6"/>
  <c r="BC178" i="6" s="1"/>
  <c r="BC150" i="6"/>
  <c r="BC143" i="6"/>
  <c r="BB138" i="6"/>
  <c r="BB178" i="6" s="1"/>
  <c r="BB150" i="6"/>
  <c r="BB143" i="6"/>
  <c r="V138" i="6"/>
  <c r="V178" i="6" s="1"/>
  <c r="V143" i="6"/>
  <c r="V150" i="6"/>
  <c r="BA28" i="6"/>
  <c r="BA33" i="6"/>
  <c r="BA40" i="6"/>
  <c r="CF138" i="6"/>
  <c r="CF178" i="6" s="1"/>
  <c r="CF143" i="6"/>
  <c r="CF150" i="6"/>
  <c r="M138" i="6"/>
  <c r="M143" i="6"/>
  <c r="M150" i="6"/>
  <c r="AY143" i="6"/>
  <c r="V18" i="4"/>
  <c r="H163" i="6"/>
  <c r="G28" i="6"/>
  <c r="G68" i="6" s="1"/>
  <c r="G40" i="6"/>
  <c r="G33" i="6"/>
  <c r="L78" i="4"/>
  <c r="AP138" i="6"/>
  <c r="AP178" i="6" s="1"/>
  <c r="AP143" i="6"/>
  <c r="AP150" i="6"/>
  <c r="X28" i="6"/>
  <c r="X68" i="6" s="1"/>
  <c r="X33" i="6"/>
  <c r="X40" i="6"/>
  <c r="M28" i="6"/>
  <c r="M68" i="6" s="1"/>
  <c r="M33" i="6"/>
  <c r="M40" i="6"/>
  <c r="BP28" i="6"/>
  <c r="BP68" i="6" s="1"/>
  <c r="BP40" i="6"/>
  <c r="BP33" i="6"/>
  <c r="E43" i="5"/>
  <c r="F40" i="5" s="1"/>
  <c r="E42" i="5"/>
  <c r="I178" i="6"/>
  <c r="BU138" i="6"/>
  <c r="BU150" i="6"/>
  <c r="BU143" i="6"/>
  <c r="H73" i="4"/>
  <c r="X138" i="6"/>
  <c r="X178" i="6" s="1"/>
  <c r="X143" i="6"/>
  <c r="X150" i="6"/>
  <c r="BW138" i="6"/>
  <c r="BW178" i="6" s="1"/>
  <c r="BW150" i="6"/>
  <c r="BW143" i="6"/>
  <c r="Z28" i="6"/>
  <c r="Z68" i="6" s="1"/>
  <c r="Z40" i="6"/>
  <c r="Z33" i="6"/>
  <c r="AG28" i="6"/>
  <c r="AG40" i="6"/>
  <c r="AG33" i="6"/>
  <c r="I160" i="6"/>
  <c r="E98" i="4"/>
  <c r="AV138" i="6"/>
  <c r="AV178" i="6" s="1"/>
  <c r="AV143" i="6"/>
  <c r="AV150" i="6"/>
  <c r="CF60" i="6"/>
  <c r="X11" i="8" s="1"/>
  <c r="BU28" i="6"/>
  <c r="BU68" i="6" s="1"/>
  <c r="BU33" i="6"/>
  <c r="BU40" i="6"/>
  <c r="N28" i="6"/>
  <c r="N68" i="6" s="1"/>
  <c r="N33" i="6"/>
  <c r="N40" i="6"/>
  <c r="J73" i="4"/>
  <c r="BJ72" i="6"/>
  <c r="BJ54" i="6"/>
  <c r="G13" i="4"/>
  <c r="BI28" i="6"/>
  <c r="BI33" i="6"/>
  <c r="BI40" i="6"/>
  <c r="AW138" i="6"/>
  <c r="AW178" i="6" s="1"/>
  <c r="AW143" i="6"/>
  <c r="AW150" i="6"/>
  <c r="BS28" i="6"/>
  <c r="U14" i="4" s="1"/>
  <c r="BS40" i="6"/>
  <c r="BS33" i="6"/>
  <c r="U11" i="4" s="1"/>
  <c r="AX28" i="6"/>
  <c r="AX68" i="6" s="1"/>
  <c r="AX33" i="6"/>
  <c r="AX40" i="6"/>
  <c r="BO28" i="6"/>
  <c r="BO68" i="6" s="1"/>
  <c r="BO40" i="6"/>
  <c r="BO33" i="6"/>
  <c r="F73" i="4"/>
  <c r="P18" i="4"/>
  <c r="AJ28" i="6"/>
  <c r="AJ68" i="6" s="1"/>
  <c r="AJ40" i="6"/>
  <c r="AJ33" i="6"/>
  <c r="T138" i="6"/>
  <c r="T178" i="6" s="1"/>
  <c r="T143" i="6"/>
  <c r="T150" i="6"/>
  <c r="N73" i="4"/>
  <c r="AN138" i="6"/>
  <c r="AN178" i="6" s="1"/>
  <c r="AN143" i="6"/>
  <c r="AN150" i="6"/>
  <c r="U73" i="4"/>
  <c r="CB138" i="6"/>
  <c r="CB178" i="6" s="1"/>
  <c r="CB150" i="6"/>
  <c r="CB143" i="6"/>
  <c r="AT138" i="6"/>
  <c r="AT178" i="6" s="1"/>
  <c r="AT143" i="6"/>
  <c r="AT150" i="6"/>
  <c r="V13" i="4"/>
  <c r="AG138" i="6"/>
  <c r="AG178" i="6" s="1"/>
  <c r="AG143" i="6"/>
  <c r="AG150" i="6"/>
  <c r="BT138" i="6"/>
  <c r="BT178" i="6" s="1"/>
  <c r="BT143" i="6"/>
  <c r="BT150" i="6"/>
  <c r="BQ68" i="6"/>
  <c r="Y138" i="6"/>
  <c r="Y150" i="6"/>
  <c r="Y143" i="6"/>
  <c r="S78" i="4"/>
  <c r="BV28" i="6"/>
  <c r="BV68" i="6" s="1"/>
  <c r="BV33" i="6"/>
  <c r="BV40" i="6"/>
  <c r="S13" i="4"/>
  <c r="AI28" i="6"/>
  <c r="AI68" i="6" s="1"/>
  <c r="AI33" i="6"/>
  <c r="AI40" i="6"/>
  <c r="P73" i="4"/>
  <c r="BI138" i="6"/>
  <c r="BI143" i="6"/>
  <c r="BI150" i="6"/>
  <c r="BY138" i="6"/>
  <c r="BY178" i="6" s="1"/>
  <c r="BY143" i="6"/>
  <c r="BY150" i="6"/>
  <c r="AO150" i="6"/>
  <c r="AO143" i="6"/>
  <c r="AB138" i="6"/>
  <c r="AB178" i="6" s="1"/>
  <c r="AB143" i="6"/>
  <c r="AB150" i="6"/>
  <c r="BD138" i="6"/>
  <c r="BD178" i="6" s="1"/>
  <c r="BD143" i="6"/>
  <c r="BD150" i="6"/>
  <c r="BF138" i="6"/>
  <c r="BF178" i="6" s="1"/>
  <c r="BF143" i="6"/>
  <c r="BF150" i="6"/>
  <c r="AN28" i="6"/>
  <c r="AN68" i="6" s="1"/>
  <c r="AN33" i="6"/>
  <c r="AN40" i="6"/>
  <c r="W18" i="4"/>
  <c r="AM178" i="6"/>
  <c r="AJ138" i="6"/>
  <c r="AJ178" i="6" s="1"/>
  <c r="AJ143" i="6"/>
  <c r="AJ150" i="6"/>
  <c r="L73" i="4"/>
  <c r="AL28" i="6"/>
  <c r="AL68" i="6" s="1"/>
  <c r="AL40" i="6"/>
  <c r="AL33" i="6"/>
  <c r="W78" i="4"/>
  <c r="AT72" i="6"/>
  <c r="AT54" i="6"/>
  <c r="U28" i="6"/>
  <c r="U33" i="6"/>
  <c r="U40" i="6"/>
  <c r="I148" i="6"/>
  <c r="I144" i="6"/>
  <c r="S73" i="4"/>
  <c r="BJ138" i="6"/>
  <c r="BJ178" i="6" s="1"/>
  <c r="BJ143" i="6"/>
  <c r="BJ150" i="6"/>
  <c r="W73" i="4"/>
  <c r="AX138" i="6"/>
  <c r="AX178" i="6" s="1"/>
  <c r="AX143" i="6"/>
  <c r="AX150" i="6"/>
  <c r="S138" i="6"/>
  <c r="S178" i="6" s="1"/>
  <c r="S143" i="6"/>
  <c r="S150" i="6"/>
  <c r="AM40" i="6" l="1"/>
  <c r="D164" i="6"/>
  <c r="D179" i="6" s="1"/>
  <c r="D75" i="4" s="1"/>
  <c r="AM28" i="6"/>
  <c r="AM68" i="6" s="1"/>
  <c r="D78" i="4"/>
  <c r="AY150" i="6"/>
  <c r="BJ38" i="6"/>
  <c r="AO34" i="6"/>
  <c r="AO46" i="6" s="1"/>
  <c r="S14" i="4"/>
  <c r="BI68" i="6"/>
  <c r="F74" i="4"/>
  <c r="F71" i="4"/>
  <c r="K14" i="4"/>
  <c r="N11" i="4"/>
  <c r="N14" i="4"/>
  <c r="F14" i="4"/>
  <c r="D68" i="6"/>
  <c r="N74" i="4"/>
  <c r="I14" i="4"/>
  <c r="J74" i="4"/>
  <c r="Q14" i="4"/>
  <c r="I68" i="6"/>
  <c r="E179" i="6"/>
  <c r="E129" i="7" s="1"/>
  <c r="M74" i="4"/>
  <c r="T11" i="4"/>
  <c r="S74" i="4"/>
  <c r="BS68" i="6"/>
  <c r="AC68" i="6"/>
  <c r="E69" i="6"/>
  <c r="E65" i="7" s="1"/>
  <c r="L14" i="4"/>
  <c r="G74" i="4"/>
  <c r="O14" i="4"/>
  <c r="BH38" i="6"/>
  <c r="BH70" i="6" s="1"/>
  <c r="BH34" i="6"/>
  <c r="BJ182" i="6"/>
  <c r="BJ164" i="6"/>
  <c r="AL38" i="6"/>
  <c r="AL34" i="6"/>
  <c r="AI72" i="6"/>
  <c r="AI54" i="6"/>
  <c r="AJ38" i="6"/>
  <c r="AJ34" i="6"/>
  <c r="P74" i="4"/>
  <c r="N72" i="6"/>
  <c r="N54" i="6"/>
  <c r="I162" i="6"/>
  <c r="J160" i="6" s="1"/>
  <c r="I161" i="6"/>
  <c r="F43" i="5"/>
  <c r="G40" i="5" s="1"/>
  <c r="F42" i="5"/>
  <c r="AP38" i="6"/>
  <c r="AP70" i="6" s="1"/>
  <c r="AP34" i="6"/>
  <c r="AR148" i="6"/>
  <c r="AR144" i="6"/>
  <c r="AH148" i="6"/>
  <c r="AH180" i="6" s="1"/>
  <c r="AH144" i="6"/>
  <c r="CE148" i="6"/>
  <c r="CE144" i="6"/>
  <c r="AR38" i="6"/>
  <c r="AR34" i="6"/>
  <c r="AV72" i="6"/>
  <c r="AV54" i="6"/>
  <c r="O72" i="6"/>
  <c r="O54" i="6"/>
  <c r="BH72" i="6"/>
  <c r="BH54" i="6"/>
  <c r="AS38" i="6"/>
  <c r="AS70" i="6" s="1"/>
  <c r="O11" i="4"/>
  <c r="AS34" i="6"/>
  <c r="BP148" i="6"/>
  <c r="BP144" i="6"/>
  <c r="AU72" i="6"/>
  <c r="AU54" i="6"/>
  <c r="BS182" i="6"/>
  <c r="BS164" i="6"/>
  <c r="BV182" i="6"/>
  <c r="BV164" i="6"/>
  <c r="Q38" i="6"/>
  <c r="Q70" i="6" s="1"/>
  <c r="H11" i="4"/>
  <c r="Q34" i="6"/>
  <c r="AI182" i="6"/>
  <c r="AI164" i="6"/>
  <c r="AN38" i="6"/>
  <c r="AN34" i="6"/>
  <c r="AO148" i="6"/>
  <c r="AO180" i="6" s="1"/>
  <c r="N71" i="4"/>
  <c r="AO144" i="6"/>
  <c r="CB182" i="6"/>
  <c r="CB164" i="6"/>
  <c r="BI72" i="6"/>
  <c r="BI54" i="6"/>
  <c r="AG72" i="6"/>
  <c r="AG54" i="6"/>
  <c r="BP38" i="6"/>
  <c r="BP34" i="6"/>
  <c r="AP68" i="6"/>
  <c r="AY182" i="6"/>
  <c r="AY164" i="6"/>
  <c r="V148" i="6"/>
  <c r="V180" i="6" s="1"/>
  <c r="V144" i="6"/>
  <c r="CD182" i="6"/>
  <c r="CD164" i="6"/>
  <c r="CF38" i="6"/>
  <c r="CF34" i="6"/>
  <c r="BQ148" i="6"/>
  <c r="BQ144" i="6"/>
  <c r="U71" i="4"/>
  <c r="AZ72" i="6"/>
  <c r="AZ54" i="6"/>
  <c r="F179" i="6"/>
  <c r="BZ38" i="6"/>
  <c r="BZ70" i="6" s="1"/>
  <c r="BZ34" i="6"/>
  <c r="BB38" i="6"/>
  <c r="BB34" i="6"/>
  <c r="BL38" i="6"/>
  <c r="BL34" i="6"/>
  <c r="BE148" i="6"/>
  <c r="BE180" i="6" s="1"/>
  <c r="R71" i="4"/>
  <c r="BE144" i="6"/>
  <c r="BW72" i="6"/>
  <c r="BW54" i="6"/>
  <c r="E123" i="7"/>
  <c r="E154" i="5"/>
  <c r="E156" i="5"/>
  <c r="AA182" i="6"/>
  <c r="AA164" i="6"/>
  <c r="R148" i="6"/>
  <c r="R144" i="6"/>
  <c r="H14" i="4"/>
  <c r="BI38" i="6"/>
  <c r="BI70" i="6" s="1"/>
  <c r="BI34" i="6"/>
  <c r="S11" i="4"/>
  <c r="BU72" i="6"/>
  <c r="BU54" i="6"/>
  <c r="BP72" i="6"/>
  <c r="BP54" i="6"/>
  <c r="AY148" i="6"/>
  <c r="AY180" i="6" s="1"/>
  <c r="AY144" i="6"/>
  <c r="CD148" i="6"/>
  <c r="CD180" i="6" s="1"/>
  <c r="CD144" i="6"/>
  <c r="CF72" i="6"/>
  <c r="CF54" i="6"/>
  <c r="E14" i="4"/>
  <c r="BQ182" i="6"/>
  <c r="BQ164" i="6"/>
  <c r="BB72" i="6"/>
  <c r="BB54" i="6"/>
  <c r="W14" i="4"/>
  <c r="T14" i="4"/>
  <c r="BE182" i="6"/>
  <c r="BE164" i="6"/>
  <c r="H156" i="6"/>
  <c r="CA182" i="6"/>
  <c r="CA164" i="6"/>
  <c r="BG148" i="6"/>
  <c r="BG144" i="6"/>
  <c r="AT70" i="6"/>
  <c r="CB148" i="6"/>
  <c r="CB144" i="6"/>
  <c r="CE182" i="6"/>
  <c r="CE164" i="6"/>
  <c r="AZ38" i="6"/>
  <c r="AZ70" i="6" s="1"/>
  <c r="AZ34" i="6"/>
  <c r="F156" i="6"/>
  <c r="AV38" i="6"/>
  <c r="AV70" i="6" s="1"/>
  <c r="AV34" i="6"/>
  <c r="O38" i="6"/>
  <c r="O34" i="6"/>
  <c r="Q72" i="6"/>
  <c r="Q54" i="6"/>
  <c r="AO182" i="6"/>
  <c r="AO164" i="6"/>
  <c r="BU38" i="6"/>
  <c r="BU34" i="6"/>
  <c r="V11" i="4"/>
  <c r="Z38" i="6"/>
  <c r="Z34" i="6"/>
  <c r="BU148" i="6"/>
  <c r="BU144" i="6"/>
  <c r="V71" i="4"/>
  <c r="G38" i="6"/>
  <c r="G34" i="6"/>
  <c r="BB148" i="6"/>
  <c r="BB144" i="6"/>
  <c r="AS138" i="6"/>
  <c r="O74" i="4" s="1"/>
  <c r="AS143" i="6"/>
  <c r="AS150" i="6"/>
  <c r="E46" i="6"/>
  <c r="U74" i="4"/>
  <c r="BX148" i="6"/>
  <c r="BX144" i="6"/>
  <c r="I72" i="6"/>
  <c r="I54" i="6"/>
  <c r="E156" i="6"/>
  <c r="J178" i="6"/>
  <c r="AO70" i="6"/>
  <c r="AB46" i="6"/>
  <c r="R74" i="4"/>
  <c r="N182" i="6"/>
  <c r="N164" i="6"/>
  <c r="CC46" i="6"/>
  <c r="H179" i="6"/>
  <c r="CA148" i="6"/>
  <c r="CA144" i="6"/>
  <c r="BG182" i="6"/>
  <c r="BG164" i="6"/>
  <c r="BW38" i="6"/>
  <c r="BW70" i="6" s="1"/>
  <c r="BW34" i="6"/>
  <c r="AG182" i="6"/>
  <c r="AG164" i="6"/>
  <c r="BI178" i="6"/>
  <c r="I156" i="6"/>
  <c r="BV72" i="6"/>
  <c r="BV54" i="6"/>
  <c r="L74" i="4"/>
  <c r="BO38" i="6"/>
  <c r="BO70" i="6" s="1"/>
  <c r="BO34" i="6"/>
  <c r="V14" i="4"/>
  <c r="Z72" i="6"/>
  <c r="Z54" i="6"/>
  <c r="BU182" i="6"/>
  <c r="BU164" i="6"/>
  <c r="M72" i="6"/>
  <c r="M54" i="6"/>
  <c r="G72" i="6"/>
  <c r="G54" i="6"/>
  <c r="M182" i="6"/>
  <c r="M164" i="6"/>
  <c r="BB182" i="6"/>
  <c r="BB164" i="6"/>
  <c r="O73" i="4"/>
  <c r="W148" i="6"/>
  <c r="W180" i="6" s="1"/>
  <c r="W144" i="6"/>
  <c r="E11" i="4"/>
  <c r="Z182" i="6"/>
  <c r="Z164" i="6"/>
  <c r="Y72" i="6"/>
  <c r="Y54" i="6"/>
  <c r="BX182" i="6"/>
  <c r="BX164" i="6"/>
  <c r="BX72" i="6"/>
  <c r="BX54" i="6"/>
  <c r="I38" i="6"/>
  <c r="F11" i="4"/>
  <c r="I34" i="6"/>
  <c r="AA46" i="6"/>
  <c r="N148" i="6"/>
  <c r="N180" i="6" s="1"/>
  <c r="N144" i="6"/>
  <c r="X11" i="4"/>
  <c r="BM46" i="6"/>
  <c r="AM182" i="6"/>
  <c r="AM164" i="6"/>
  <c r="AE148" i="6"/>
  <c r="AE144" i="6"/>
  <c r="AG38" i="6"/>
  <c r="AG70" i="6" s="1"/>
  <c r="L11" i="4"/>
  <c r="AG34" i="6"/>
  <c r="AR182" i="6"/>
  <c r="AR164" i="6"/>
  <c r="BZ72" i="6"/>
  <c r="BZ54" i="6"/>
  <c r="AU38" i="6"/>
  <c r="AU70" i="6" s="1"/>
  <c r="AU34" i="6"/>
  <c r="V74" i="4"/>
  <c r="M38" i="6"/>
  <c r="M34" i="6"/>
  <c r="G11" i="4"/>
  <c r="M148" i="6"/>
  <c r="M144" i="6"/>
  <c r="G71" i="4"/>
  <c r="R46" i="6"/>
  <c r="W182" i="6"/>
  <c r="W164" i="6"/>
  <c r="AL182" i="6"/>
  <c r="AL164" i="6"/>
  <c r="AC72" i="6"/>
  <c r="AC54" i="6"/>
  <c r="Z148" i="6"/>
  <c r="Z180" i="6" s="1"/>
  <c r="Z144" i="6"/>
  <c r="Y38" i="6"/>
  <c r="Y34" i="6"/>
  <c r="J11" i="4"/>
  <c r="BN182" i="6"/>
  <c r="BN164" i="6"/>
  <c r="BX38" i="6"/>
  <c r="BX70" i="6" s="1"/>
  <c r="BX34" i="6"/>
  <c r="AU182" i="6"/>
  <c r="AU164" i="6"/>
  <c r="P182" i="6"/>
  <c r="P164" i="6"/>
  <c r="AB70" i="6"/>
  <c r="AD182" i="6"/>
  <c r="AD164" i="6"/>
  <c r="AW38" i="6"/>
  <c r="AW70" i="6" s="1"/>
  <c r="AW34" i="6"/>
  <c r="P11" i="4"/>
  <c r="W38" i="6"/>
  <c r="W34" i="6"/>
  <c r="AM148" i="6"/>
  <c r="AM144" i="6"/>
  <c r="AE182" i="6"/>
  <c r="AE164" i="6"/>
  <c r="R182" i="6"/>
  <c r="R164" i="6"/>
  <c r="BF182" i="6"/>
  <c r="BF164" i="6"/>
  <c r="BV38" i="6"/>
  <c r="BV70" i="6" s="1"/>
  <c r="BV34" i="6"/>
  <c r="AN182" i="6"/>
  <c r="AN164" i="6"/>
  <c r="BF148" i="6"/>
  <c r="BF144" i="6"/>
  <c r="BY182" i="6"/>
  <c r="BY164" i="6"/>
  <c r="BW148" i="6"/>
  <c r="BW180" i="6" s="1"/>
  <c r="BW144" i="6"/>
  <c r="G14" i="4"/>
  <c r="BC148" i="6"/>
  <c r="BC144" i="6"/>
  <c r="BF38" i="6"/>
  <c r="BF70" i="6" s="1"/>
  <c r="BF34" i="6"/>
  <c r="AL148" i="6"/>
  <c r="AL144" i="6"/>
  <c r="AC38" i="6"/>
  <c r="AC70" i="6" s="1"/>
  <c r="K11" i="4"/>
  <c r="AC34" i="6"/>
  <c r="E70" i="6"/>
  <c r="J14" i="4"/>
  <c r="BN148" i="6"/>
  <c r="BN144" i="6"/>
  <c r="AU148" i="6"/>
  <c r="AU180" i="6" s="1"/>
  <c r="AU144" i="6"/>
  <c r="P148" i="6"/>
  <c r="P180" i="6" s="1"/>
  <c r="P144" i="6"/>
  <c r="AA70" i="6"/>
  <c r="E180" i="6"/>
  <c r="X14" i="4"/>
  <c r="P72" i="6"/>
  <c r="P54" i="6"/>
  <c r="AS68" i="6"/>
  <c r="AD148" i="6"/>
  <c r="AD144" i="6"/>
  <c r="CC70" i="6"/>
  <c r="CC182" i="6"/>
  <c r="CC164" i="6"/>
  <c r="BM70" i="6"/>
  <c r="AW72" i="6"/>
  <c r="AW54" i="6"/>
  <c r="L148" i="6"/>
  <c r="L144" i="6"/>
  <c r="W72" i="6"/>
  <c r="W54" i="6"/>
  <c r="U68" i="6"/>
  <c r="AN72" i="6"/>
  <c r="AN54" i="6"/>
  <c r="BV148" i="6"/>
  <c r="BV180" i="6" s="1"/>
  <c r="BV144" i="6"/>
  <c r="AG148" i="6"/>
  <c r="AG180" i="6" s="1"/>
  <c r="L71" i="4"/>
  <c r="AG144" i="6"/>
  <c r="S182" i="6"/>
  <c r="S164" i="6"/>
  <c r="S148" i="6"/>
  <c r="S144" i="6"/>
  <c r="BO72" i="6"/>
  <c r="BO54" i="6"/>
  <c r="AJ182" i="6"/>
  <c r="AJ164" i="6"/>
  <c r="AN148" i="6"/>
  <c r="AN180" i="6" s="1"/>
  <c r="AN144" i="6"/>
  <c r="AX182" i="6"/>
  <c r="AX164" i="6"/>
  <c r="I180" i="6"/>
  <c r="AJ148" i="6"/>
  <c r="AJ180" i="6" s="1"/>
  <c r="AJ144" i="6"/>
  <c r="BY148" i="6"/>
  <c r="BY144" i="6"/>
  <c r="W71" i="4"/>
  <c r="AX72" i="6"/>
  <c r="AX54" i="6"/>
  <c r="BW182" i="6"/>
  <c r="BW164" i="6"/>
  <c r="BJ46" i="6"/>
  <c r="BC182" i="6"/>
  <c r="BC164" i="6"/>
  <c r="BF72" i="6"/>
  <c r="BF54" i="6"/>
  <c r="CB72" i="6"/>
  <c r="CB54" i="6"/>
  <c r="M178" i="6"/>
  <c r="BG38" i="6"/>
  <c r="BG34" i="6"/>
  <c r="BD72" i="6"/>
  <c r="BD54" i="6"/>
  <c r="V38" i="6"/>
  <c r="V70" i="6" s="1"/>
  <c r="V34" i="6"/>
  <c r="BK46" i="6"/>
  <c r="BY46" i="6"/>
  <c r="G156" i="6"/>
  <c r="P38" i="6"/>
  <c r="P70" i="6" s="1"/>
  <c r="P34" i="6"/>
  <c r="AZ182" i="6"/>
  <c r="AZ164" i="6"/>
  <c r="AC182" i="6"/>
  <c r="AC164" i="6"/>
  <c r="CD46" i="6"/>
  <c r="CC148" i="6"/>
  <c r="CC180" i="6" s="1"/>
  <c r="CC144" i="6"/>
  <c r="X71" i="4"/>
  <c r="AD72" i="6"/>
  <c r="AD54" i="6"/>
  <c r="P14" i="4"/>
  <c r="L182" i="6"/>
  <c r="L164" i="6"/>
  <c r="BR148" i="6"/>
  <c r="BR144" i="6"/>
  <c r="BA68" i="6"/>
  <c r="F152" i="5"/>
  <c r="F153" i="5"/>
  <c r="G150" i="5" s="1"/>
  <c r="U72" i="6"/>
  <c r="U54" i="6"/>
  <c r="BD182" i="6"/>
  <c r="BD164" i="6"/>
  <c r="AX38" i="6"/>
  <c r="AX70" i="6" s="1"/>
  <c r="AX34" i="6"/>
  <c r="CF148" i="6"/>
  <c r="CF144" i="6"/>
  <c r="CB38" i="6"/>
  <c r="CB70" i="6" s="1"/>
  <c r="CB34" i="6"/>
  <c r="BG72" i="6"/>
  <c r="BG54" i="6"/>
  <c r="BD38" i="6"/>
  <c r="BD70" i="6" s="1"/>
  <c r="BD34" i="6"/>
  <c r="V72" i="6"/>
  <c r="V54" i="6"/>
  <c r="AF72" i="6"/>
  <c r="AF54" i="6"/>
  <c r="W11" i="4"/>
  <c r="G179" i="6"/>
  <c r="AZ148" i="6"/>
  <c r="AZ180" i="6" s="1"/>
  <c r="AZ144" i="6"/>
  <c r="AC148" i="6"/>
  <c r="K71" i="4"/>
  <c r="AC144" i="6"/>
  <c r="X74" i="4"/>
  <c r="AD38" i="6"/>
  <c r="AD70" i="6" s="1"/>
  <c r="AD34" i="6"/>
  <c r="AE46" i="6"/>
  <c r="BR182" i="6"/>
  <c r="BR164" i="6"/>
  <c r="AL72" i="6"/>
  <c r="AL54" i="6"/>
  <c r="AI148" i="6"/>
  <c r="AI180" i="6" s="1"/>
  <c r="AI144" i="6"/>
  <c r="AX148" i="6"/>
  <c r="AX180" i="6" s="1"/>
  <c r="AX144" i="6"/>
  <c r="W74" i="4"/>
  <c r="U38" i="6"/>
  <c r="U70" i="6" s="1"/>
  <c r="I11" i="4"/>
  <c r="U34" i="6"/>
  <c r="BD148" i="6"/>
  <c r="BD180" i="6" s="1"/>
  <c r="BD144" i="6"/>
  <c r="BI182" i="6"/>
  <c r="BI164" i="6"/>
  <c r="Y148" i="6"/>
  <c r="Y180" i="6" s="1"/>
  <c r="J71" i="4"/>
  <c r="Y144" i="6"/>
  <c r="Y178" i="6"/>
  <c r="BJ70" i="6"/>
  <c r="H72" i="6"/>
  <c r="H54" i="6"/>
  <c r="AK182" i="6"/>
  <c r="AK164" i="6"/>
  <c r="BE72" i="6"/>
  <c r="BE54" i="6"/>
  <c r="AF38" i="6"/>
  <c r="AF70" i="6" s="1"/>
  <c r="AF34" i="6"/>
  <c r="BN38" i="6"/>
  <c r="BN70" i="6" s="1"/>
  <c r="BN34" i="6"/>
  <c r="K74" i="4"/>
  <c r="CD70" i="6"/>
  <c r="BR46" i="6"/>
  <c r="AQ148" i="6"/>
  <c r="AQ180" i="6" s="1"/>
  <c r="AQ144" i="6"/>
  <c r="BI148" i="6"/>
  <c r="BI180" i="6" s="1"/>
  <c r="BI144" i="6"/>
  <c r="S71" i="4"/>
  <c r="Y182" i="6"/>
  <c r="Y164" i="6"/>
  <c r="AT182" i="6"/>
  <c r="AT164" i="6"/>
  <c r="AO178" i="6"/>
  <c r="BS38" i="6"/>
  <c r="BS70" i="6" s="1"/>
  <c r="BS34" i="6"/>
  <c r="X182" i="6"/>
  <c r="X164" i="6"/>
  <c r="X72" i="6"/>
  <c r="X54" i="6"/>
  <c r="H38" i="6"/>
  <c r="H34" i="6"/>
  <c r="AF182" i="6"/>
  <c r="AF164" i="6"/>
  <c r="AK148" i="6"/>
  <c r="AK144" i="6"/>
  <c r="M71" i="4"/>
  <c r="BE38" i="6"/>
  <c r="R11" i="4"/>
  <c r="BE34" i="6"/>
  <c r="L38" i="6"/>
  <c r="L70" i="6" s="1"/>
  <c r="L34" i="6"/>
  <c r="BL156" i="6"/>
  <c r="AY38" i="6"/>
  <c r="AY34" i="6"/>
  <c r="BM182" i="6"/>
  <c r="BM164" i="6"/>
  <c r="BY70" i="6"/>
  <c r="BN72" i="6"/>
  <c r="BN54" i="6"/>
  <c r="CE46" i="6"/>
  <c r="CC178" i="6"/>
  <c r="S72" i="6"/>
  <c r="S54" i="6"/>
  <c r="AQ182" i="6"/>
  <c r="AQ164" i="6"/>
  <c r="BU178" i="6"/>
  <c r="N38" i="6"/>
  <c r="N34" i="6"/>
  <c r="V182" i="6"/>
  <c r="V164" i="6"/>
  <c r="AT46" i="6"/>
  <c r="BS72" i="6"/>
  <c r="BS54" i="6"/>
  <c r="AF148" i="6"/>
  <c r="AF180" i="6" s="1"/>
  <c r="AF144" i="6"/>
  <c r="R14" i="4"/>
  <c r="L72" i="6"/>
  <c r="L54" i="6"/>
  <c r="D156" i="6"/>
  <c r="D160" i="8" s="1"/>
  <c r="AY72" i="6"/>
  <c r="AY54" i="6"/>
  <c r="BM148" i="6"/>
  <c r="BM180" i="6" s="1"/>
  <c r="BM144" i="6"/>
  <c r="T71" i="4"/>
  <c r="AH38" i="6"/>
  <c r="AH70" i="6" s="1"/>
  <c r="AH34" i="6"/>
  <c r="S38" i="6"/>
  <c r="S34" i="6"/>
  <c r="Q73" i="4"/>
  <c r="BJ148" i="6"/>
  <c r="BJ180" i="6" s="1"/>
  <c r="BJ144" i="6"/>
  <c r="BL72" i="6"/>
  <c r="BL54" i="6"/>
  <c r="AA148" i="6"/>
  <c r="AA180" i="6" s="1"/>
  <c r="AA144" i="6"/>
  <c r="AT148" i="6"/>
  <c r="AT180" i="6" s="1"/>
  <c r="AT144" i="6"/>
  <c r="T182" i="6"/>
  <c r="T164" i="6"/>
  <c r="AV182" i="6"/>
  <c r="AV164" i="6"/>
  <c r="X148" i="6"/>
  <c r="X144" i="6"/>
  <c r="X38" i="6"/>
  <c r="X70" i="6" s="1"/>
  <c r="X34" i="6"/>
  <c r="BT46" i="6"/>
  <c r="T148" i="6"/>
  <c r="T180" i="6" s="1"/>
  <c r="T144" i="6"/>
  <c r="AV148" i="6"/>
  <c r="AV144" i="6"/>
  <c r="BA72" i="6"/>
  <c r="BA54" i="6"/>
  <c r="D38" i="6"/>
  <c r="D11" i="4"/>
  <c r="D34" i="6"/>
  <c r="BC38" i="6"/>
  <c r="BC34" i="6"/>
  <c r="T38" i="6"/>
  <c r="T34" i="6"/>
  <c r="BL180" i="6"/>
  <c r="J148" i="6"/>
  <c r="J180" i="6" s="1"/>
  <c r="J144" i="6"/>
  <c r="T74" i="4"/>
  <c r="U182" i="6"/>
  <c r="U164" i="6"/>
  <c r="AH72" i="6"/>
  <c r="AH54" i="6"/>
  <c r="AK72" i="6"/>
  <c r="AK54" i="6"/>
  <c r="CE70" i="6"/>
  <c r="BE178" i="6"/>
  <c r="CA72" i="6"/>
  <c r="CA54" i="6"/>
  <c r="K148" i="6"/>
  <c r="K180" i="6" s="1"/>
  <c r="K144" i="6"/>
  <c r="BK182" i="6"/>
  <c r="BK164" i="6"/>
  <c r="F46" i="6"/>
  <c r="BA138" i="6"/>
  <c r="Q74" i="4" s="1"/>
  <c r="BA143" i="6"/>
  <c r="BA150" i="6"/>
  <c r="Q182" i="6"/>
  <c r="Q164" i="6"/>
  <c r="BZ182" i="6"/>
  <c r="BZ164" i="6"/>
  <c r="K46" i="6"/>
  <c r="AI38" i="6"/>
  <c r="AI70" i="6" s="1"/>
  <c r="AI34" i="6"/>
  <c r="AB182" i="6"/>
  <c r="AB164" i="6"/>
  <c r="BT182" i="6"/>
  <c r="BT164" i="6"/>
  <c r="AW182" i="6"/>
  <c r="AW164" i="6"/>
  <c r="AP182" i="6"/>
  <c r="AP164" i="6"/>
  <c r="AG68" i="6"/>
  <c r="BA38" i="6"/>
  <c r="BA70" i="6" s="1"/>
  <c r="BA34" i="6"/>
  <c r="Q11" i="4"/>
  <c r="BO182" i="6"/>
  <c r="BO164" i="6"/>
  <c r="BH148" i="6"/>
  <c r="BH180" i="6" s="1"/>
  <c r="BH144" i="6"/>
  <c r="D72" i="6"/>
  <c r="CF74" i="6"/>
  <c r="D54" i="6"/>
  <c r="J46" i="6"/>
  <c r="BC72" i="6"/>
  <c r="BC54" i="6"/>
  <c r="I52" i="6"/>
  <c r="J50" i="6" s="1"/>
  <c r="I51" i="6"/>
  <c r="I53" i="6" s="1"/>
  <c r="T72" i="6"/>
  <c r="T54" i="6"/>
  <c r="J182" i="6"/>
  <c r="J164" i="6"/>
  <c r="O182" i="6"/>
  <c r="O164" i="6"/>
  <c r="U148" i="6"/>
  <c r="U144" i="6"/>
  <c r="I71" i="4"/>
  <c r="AQ72" i="6"/>
  <c r="AQ54" i="6"/>
  <c r="AM72" i="6"/>
  <c r="AM54" i="6"/>
  <c r="AK38" i="6"/>
  <c r="AK70" i="6" s="1"/>
  <c r="AK34" i="6"/>
  <c r="M11" i="4"/>
  <c r="CA38" i="6"/>
  <c r="CA70" i="6" s="1"/>
  <c r="CA34" i="6"/>
  <c r="K182" i="6"/>
  <c r="K164" i="6"/>
  <c r="BK148" i="6"/>
  <c r="BK180" i="6" s="1"/>
  <c r="BK144" i="6"/>
  <c r="F69" i="6"/>
  <c r="Q148" i="6"/>
  <c r="Q180" i="6" s="1"/>
  <c r="H71" i="4"/>
  <c r="Q144" i="6"/>
  <c r="BZ148" i="6"/>
  <c r="BZ180" i="6" s="1"/>
  <c r="BZ144" i="6"/>
  <c r="AJ72" i="6"/>
  <c r="AJ54" i="6"/>
  <c r="AB148" i="6"/>
  <c r="AB180" i="6" s="1"/>
  <c r="AB144" i="6"/>
  <c r="BT148" i="6"/>
  <c r="BT180" i="6" s="1"/>
  <c r="BT144" i="6"/>
  <c r="AW148" i="6"/>
  <c r="AW180" i="6" s="1"/>
  <c r="AW144" i="6"/>
  <c r="P71" i="4"/>
  <c r="E13" i="7"/>
  <c r="E20" i="7" s="1"/>
  <c r="E46" i="7" s="1"/>
  <c r="E44" i="5"/>
  <c r="E45" i="5" s="1"/>
  <c r="E46" i="5"/>
  <c r="AP148" i="6"/>
  <c r="AP144" i="6"/>
  <c r="BO148" i="6"/>
  <c r="BO180" i="6" s="1"/>
  <c r="BO144" i="6"/>
  <c r="AP72" i="6"/>
  <c r="AP54" i="6"/>
  <c r="BH182" i="6"/>
  <c r="BH164" i="6"/>
  <c r="AH182" i="6"/>
  <c r="AH164" i="6"/>
  <c r="AR72" i="6"/>
  <c r="AR54" i="6"/>
  <c r="AK178" i="6"/>
  <c r="BQ46" i="6"/>
  <c r="O148" i="6"/>
  <c r="O180" i="6" s="1"/>
  <c r="O144" i="6"/>
  <c r="I74" i="4"/>
  <c r="AQ38" i="6"/>
  <c r="AQ70" i="6" s="1"/>
  <c r="AQ34" i="6"/>
  <c r="AM38" i="6"/>
  <c r="AM70" i="6" s="1"/>
  <c r="AM34" i="6"/>
  <c r="M14" i="4"/>
  <c r="D24" i="4"/>
  <c r="C81" i="1"/>
  <c r="AS72" i="6"/>
  <c r="AS54" i="6"/>
  <c r="BP182" i="6"/>
  <c r="BP164" i="6"/>
  <c r="BS148" i="6"/>
  <c r="BS180" i="6" s="1"/>
  <c r="BS144" i="6"/>
  <c r="H74" i="4"/>
  <c r="K70" i="6"/>
  <c r="CF182" i="6" l="1"/>
  <c r="H69" i="6"/>
  <c r="AS178" i="6"/>
  <c r="CF184" i="6"/>
  <c r="BA178" i="6"/>
  <c r="E131" i="7"/>
  <c r="H70" i="6"/>
  <c r="E75" i="4"/>
  <c r="E19" i="7"/>
  <c r="E10" i="7"/>
  <c r="E18" i="7" s="1"/>
  <c r="E45" i="7" s="1"/>
  <c r="E69" i="7" s="1"/>
  <c r="E130" i="7"/>
  <c r="E156" i="7" s="1"/>
  <c r="E175" i="7"/>
  <c r="E177" i="7" s="1"/>
  <c r="E120" i="7"/>
  <c r="E128" i="7" s="1"/>
  <c r="E155" i="7" s="1"/>
  <c r="G69" i="6"/>
  <c r="G65" i="7" s="1"/>
  <c r="BK156" i="6"/>
  <c r="J52" i="6"/>
  <c r="K50" i="6" s="1"/>
  <c r="J51" i="6"/>
  <c r="J53" i="6" s="1"/>
  <c r="J69" i="6" s="1"/>
  <c r="AA156" i="6"/>
  <c r="BI156" i="6"/>
  <c r="AF46" i="6"/>
  <c r="V46" i="6"/>
  <c r="P156" i="6"/>
  <c r="AC46" i="6"/>
  <c r="G46" i="6"/>
  <c r="BS156" i="6"/>
  <c r="AW156" i="6"/>
  <c r="N46" i="6"/>
  <c r="U46" i="6"/>
  <c r="CF156" i="6"/>
  <c r="G152" i="5"/>
  <c r="G153" i="5"/>
  <c r="H150" i="5" s="1"/>
  <c r="AG156" i="6"/>
  <c r="AG46" i="6"/>
  <c r="CA156" i="6"/>
  <c r="G70" i="6"/>
  <c r="R156" i="6"/>
  <c r="BE156" i="6"/>
  <c r="F175" i="7"/>
  <c r="F129" i="7"/>
  <c r="F120" i="7"/>
  <c r="F128" i="7" s="1"/>
  <c r="F155" i="7" s="1"/>
  <c r="AO156" i="6"/>
  <c r="AR46" i="6"/>
  <c r="G43" i="5"/>
  <c r="H40" i="5" s="1"/>
  <c r="G42" i="5"/>
  <c r="AL46" i="6"/>
  <c r="AF156" i="6"/>
  <c r="AU46" i="6"/>
  <c r="K156" i="6"/>
  <c r="AD46" i="6"/>
  <c r="F123" i="7"/>
  <c r="F130" i="7" s="1"/>
  <c r="F156" i="7" s="1"/>
  <c r="F154" i="5"/>
  <c r="F158" i="5" s="1"/>
  <c r="F156" i="5"/>
  <c r="AU156" i="6"/>
  <c r="BX46" i="6"/>
  <c r="BO46" i="6"/>
  <c r="J156" i="6"/>
  <c r="BA46" i="6"/>
  <c r="AI46" i="6"/>
  <c r="X46" i="6"/>
  <c r="AQ46" i="6"/>
  <c r="S46" i="6"/>
  <c r="N70" i="6"/>
  <c r="BE70" i="6"/>
  <c r="AQ156" i="6"/>
  <c r="CF180" i="6"/>
  <c r="AL156" i="6"/>
  <c r="CA180" i="6"/>
  <c r="BX156" i="6"/>
  <c r="BU156" i="6"/>
  <c r="CB156" i="6"/>
  <c r="R180" i="6"/>
  <c r="BP46" i="6"/>
  <c r="AR70" i="6"/>
  <c r="AL70" i="6"/>
  <c r="BD46" i="6"/>
  <c r="BR156" i="6"/>
  <c r="BG46" i="6"/>
  <c r="CE156" i="6"/>
  <c r="BM156" i="6"/>
  <c r="AL180" i="6"/>
  <c r="AE156" i="6"/>
  <c r="BX180" i="6"/>
  <c r="BU180" i="6"/>
  <c r="CB180" i="6"/>
  <c r="BQ156" i="6"/>
  <c r="BP70" i="6"/>
  <c r="AN46" i="6"/>
  <c r="BP156" i="6"/>
  <c r="T70" i="6"/>
  <c r="D69" i="6"/>
  <c r="D169" i="8"/>
  <c r="D173" i="6" s="1"/>
  <c r="D129" i="7" s="1"/>
  <c r="D170" i="8"/>
  <c r="D163" i="8"/>
  <c r="D164" i="8" s="1"/>
  <c r="D165" i="8" s="1"/>
  <c r="D166" i="8"/>
  <c r="D185" i="8" s="1"/>
  <c r="BS46" i="6"/>
  <c r="U10" i="8" s="1"/>
  <c r="AX156" i="6"/>
  <c r="BR180" i="6"/>
  <c r="P46" i="6"/>
  <c r="BG70" i="6"/>
  <c r="AD156" i="6"/>
  <c r="W156" i="6"/>
  <c r="Z46" i="6"/>
  <c r="O46" i="6"/>
  <c r="E21" i="7"/>
  <c r="CD156" i="6"/>
  <c r="BI46" i="6"/>
  <c r="CE180" i="6"/>
  <c r="BH46" i="6"/>
  <c r="X156" i="6"/>
  <c r="S70" i="6"/>
  <c r="AK156" i="6"/>
  <c r="BO156" i="6"/>
  <c r="BZ156" i="6"/>
  <c r="U180" i="6"/>
  <c r="BC46" i="6"/>
  <c r="D70" i="6"/>
  <c r="X180" i="6"/>
  <c r="AK180" i="6"/>
  <c r="AC156" i="6"/>
  <c r="BY156" i="6"/>
  <c r="L156" i="6"/>
  <c r="BF46" i="6"/>
  <c r="AM156" i="6"/>
  <c r="AE180" i="6"/>
  <c r="BW46" i="6"/>
  <c r="BQ180" i="6"/>
  <c r="AN70" i="6"/>
  <c r="BP180" i="6"/>
  <c r="AH156" i="6"/>
  <c r="I163" i="6"/>
  <c r="I179" i="6" s="1"/>
  <c r="U156" i="6"/>
  <c r="AK46" i="6"/>
  <c r="AY46" i="6"/>
  <c r="Y156" i="6"/>
  <c r="AD180" i="6"/>
  <c r="BF156" i="6"/>
  <c r="Y46" i="6"/>
  <c r="M156" i="6"/>
  <c r="Z70" i="6"/>
  <c r="O70" i="6"/>
  <c r="BG156" i="6"/>
  <c r="BL46" i="6"/>
  <c r="CF46" i="6"/>
  <c r="X10" i="8" s="1"/>
  <c r="J162" i="6"/>
  <c r="K160" i="6" s="1"/>
  <c r="J161" i="6"/>
  <c r="J163" i="6" s="1"/>
  <c r="J179" i="6" s="1"/>
  <c r="BE46" i="6"/>
  <c r="CA46" i="6"/>
  <c r="D42" i="4"/>
  <c r="AP156" i="6"/>
  <c r="BC70" i="6"/>
  <c r="AI156" i="6"/>
  <c r="BY180" i="6"/>
  <c r="L180" i="6"/>
  <c r="AM180" i="6"/>
  <c r="I46" i="6"/>
  <c r="AS182" i="6"/>
  <c r="AS164" i="6"/>
  <c r="AV46" i="6"/>
  <c r="AY156" i="6"/>
  <c r="B24" i="3"/>
  <c r="AN156" i="6"/>
  <c r="Q156" i="6"/>
  <c r="AY70" i="6"/>
  <c r="H46" i="6"/>
  <c r="BN46" i="6"/>
  <c r="AC180" i="6"/>
  <c r="AX46" i="6"/>
  <c r="AJ156" i="6"/>
  <c r="BV156" i="6"/>
  <c r="BN156" i="6"/>
  <c r="BC156" i="6"/>
  <c r="BF180" i="6"/>
  <c r="W46" i="6"/>
  <c r="Y70" i="6"/>
  <c r="M180" i="6"/>
  <c r="E160" i="8"/>
  <c r="AS148" i="6"/>
  <c r="AS144" i="6"/>
  <c r="O71" i="4"/>
  <c r="BU46" i="6"/>
  <c r="BG180" i="6"/>
  <c r="BL70" i="6"/>
  <c r="CF70" i="6"/>
  <c r="AR156" i="6"/>
  <c r="T46" i="6"/>
  <c r="AP180" i="6"/>
  <c r="BA182" i="6"/>
  <c r="BA164" i="6"/>
  <c r="AV156" i="6"/>
  <c r="AZ156" i="6"/>
  <c r="Z156" i="6"/>
  <c r="I69" i="6"/>
  <c r="E176" i="7"/>
  <c r="BB46" i="6"/>
  <c r="Q46" i="6"/>
  <c r="E24" i="3"/>
  <c r="F13" i="7"/>
  <c r="F20" i="7" s="1"/>
  <c r="F46" i="7" s="1"/>
  <c r="F44" i="5"/>
  <c r="F48" i="5" s="1"/>
  <c r="F46" i="5"/>
  <c r="BT156" i="6"/>
  <c r="O156" i="6"/>
  <c r="E67" i="7"/>
  <c r="E66" i="7"/>
  <c r="AB156" i="6"/>
  <c r="BH156" i="6"/>
  <c r="BA148" i="6"/>
  <c r="BA144" i="6"/>
  <c r="Q71" i="4"/>
  <c r="AT156" i="6"/>
  <c r="AH46" i="6"/>
  <c r="S156" i="6"/>
  <c r="BN180" i="6"/>
  <c r="BC180" i="6"/>
  <c r="W70" i="6"/>
  <c r="M46" i="6"/>
  <c r="I70" i="6"/>
  <c r="BB156" i="6"/>
  <c r="BU70" i="6"/>
  <c r="E158" i="5"/>
  <c r="E166" i="6"/>
  <c r="F166" i="6"/>
  <c r="AR180" i="6"/>
  <c r="AJ46" i="6"/>
  <c r="AM46" i="6"/>
  <c r="D46" i="6"/>
  <c r="D10" i="8" s="1"/>
  <c r="E48" i="5"/>
  <c r="E56" i="6"/>
  <c r="AV180" i="6"/>
  <c r="L46" i="6"/>
  <c r="CC156" i="6"/>
  <c r="E155" i="5"/>
  <c r="BB70" i="6"/>
  <c r="V156" i="6"/>
  <c r="AS46" i="6"/>
  <c r="AP46" i="6"/>
  <c r="N10" i="8" s="1"/>
  <c r="F65" i="7"/>
  <c r="F19" i="7"/>
  <c r="F10" i="7"/>
  <c r="F18" i="7" s="1"/>
  <c r="F45" i="7" s="1"/>
  <c r="T156" i="6"/>
  <c r="BJ156" i="6"/>
  <c r="BD156" i="6"/>
  <c r="G175" i="7"/>
  <c r="G129" i="7"/>
  <c r="G120" i="7"/>
  <c r="G128" i="7" s="1"/>
  <c r="G155" i="7" s="1"/>
  <c r="CB46" i="6"/>
  <c r="CF164" i="6"/>
  <c r="S180" i="6"/>
  <c r="BW156" i="6"/>
  <c r="BV46" i="6"/>
  <c r="AW46" i="6"/>
  <c r="M70" i="6"/>
  <c r="N156" i="6"/>
  <c r="BB180" i="6"/>
  <c r="AZ46" i="6"/>
  <c r="BZ46" i="6"/>
  <c r="AJ70" i="6"/>
  <c r="B53" i="3" s="1"/>
  <c r="E62" i="7" l="1"/>
  <c r="E53" i="3"/>
  <c r="E15" i="4"/>
  <c r="X160" i="8"/>
  <c r="X170" i="8" s="1"/>
  <c r="O10" i="8"/>
  <c r="G19" i="7"/>
  <c r="G10" i="8"/>
  <c r="G16" i="8" s="1"/>
  <c r="G38" i="8" s="1"/>
  <c r="G10" i="7"/>
  <c r="G18" i="7" s="1"/>
  <c r="G45" i="7" s="1"/>
  <c r="G62" i="7" s="1"/>
  <c r="F56" i="6"/>
  <c r="F131" i="7"/>
  <c r="F21" i="7"/>
  <c r="R10" i="8"/>
  <c r="R16" i="8" s="1"/>
  <c r="R49" i="8" s="1"/>
  <c r="K160" i="8"/>
  <c r="K170" i="8" s="1"/>
  <c r="F160" i="8"/>
  <c r="F170" i="8" s="1"/>
  <c r="T10" i="8"/>
  <c r="T20" i="8" s="1"/>
  <c r="E10" i="8"/>
  <c r="E20" i="8" s="1"/>
  <c r="V160" i="8"/>
  <c r="V170" i="8" s="1"/>
  <c r="W10" i="8"/>
  <c r="W16" i="8" s="1"/>
  <c r="W54" i="8" s="1"/>
  <c r="H10" i="8"/>
  <c r="H16" i="8" s="1"/>
  <c r="H39" i="8" s="1"/>
  <c r="J10" i="8"/>
  <c r="J16" i="8" s="1"/>
  <c r="J41" i="8" s="1"/>
  <c r="E172" i="7"/>
  <c r="E179" i="7"/>
  <c r="W160" i="8"/>
  <c r="W166" i="8" s="1"/>
  <c r="W204" i="8" s="1"/>
  <c r="J120" i="7"/>
  <c r="J128" i="7" s="1"/>
  <c r="J155" i="7" s="1"/>
  <c r="J175" i="7"/>
  <c r="J129" i="7"/>
  <c r="N16" i="8"/>
  <c r="N45" i="8" s="1"/>
  <c r="N20" i="8"/>
  <c r="V10" i="8"/>
  <c r="G69" i="7"/>
  <c r="D15" i="4"/>
  <c r="G123" i="7"/>
  <c r="G154" i="5"/>
  <c r="G156" i="5"/>
  <c r="AS156" i="6"/>
  <c r="O160" i="8" s="1"/>
  <c r="S10" i="8"/>
  <c r="BA180" i="6"/>
  <c r="I120" i="7"/>
  <c r="I128" i="7" s="1"/>
  <c r="I155" i="7" s="1"/>
  <c r="I129" i="7"/>
  <c r="I175" i="7"/>
  <c r="R160" i="8"/>
  <c r="D19" i="8"/>
  <c r="D63" i="6" s="1"/>
  <c r="D19" i="7" s="1"/>
  <c r="D20" i="8"/>
  <c r="D13" i="8"/>
  <c r="D14" i="8" s="1"/>
  <c r="D15" i="8" s="1"/>
  <c r="D16" i="8"/>
  <c r="D35" i="8" s="1"/>
  <c r="AS180" i="6"/>
  <c r="J160" i="8"/>
  <c r="T160" i="8"/>
  <c r="I10" i="8"/>
  <c r="E170" i="8"/>
  <c r="E166" i="8"/>
  <c r="E186" i="8" s="1"/>
  <c r="F10" i="8"/>
  <c r="M160" i="8"/>
  <c r="S160" i="8"/>
  <c r="BA156" i="6"/>
  <c r="Q160" i="8" s="1"/>
  <c r="F62" i="7"/>
  <c r="F69" i="7"/>
  <c r="I19" i="7"/>
  <c r="I65" i="7"/>
  <c r="I10" i="7"/>
  <c r="I18" i="7" s="1"/>
  <c r="I45" i="7" s="1"/>
  <c r="Q10" i="8"/>
  <c r="G13" i="7"/>
  <c r="G44" i="5"/>
  <c r="G46" i="5"/>
  <c r="G179" i="7"/>
  <c r="G172" i="7"/>
  <c r="P10" i="8"/>
  <c r="F67" i="7"/>
  <c r="F66" i="7"/>
  <c r="K162" i="6"/>
  <c r="L160" i="6" s="1"/>
  <c r="K161" i="6"/>
  <c r="K163" i="6" s="1"/>
  <c r="K179" i="6" s="1"/>
  <c r="U160" i="8"/>
  <c r="H43" i="5"/>
  <c r="H42" i="5"/>
  <c r="O20" i="8"/>
  <c r="O16" i="8"/>
  <c r="O46" i="8" s="1"/>
  <c r="F188" i="7"/>
  <c r="E188" i="7"/>
  <c r="U20" i="8"/>
  <c r="U16" i="8"/>
  <c r="U52" i="8" s="1"/>
  <c r="G160" i="8"/>
  <c r="M10" i="8"/>
  <c r="D167" i="8"/>
  <c r="E162" i="8"/>
  <c r="E169" i="8" s="1"/>
  <c r="H173" i="6" s="1"/>
  <c r="H129" i="7" s="1"/>
  <c r="L10" i="8"/>
  <c r="P160" i="8"/>
  <c r="X16" i="8"/>
  <c r="X55" i="8" s="1"/>
  <c r="X20" i="8"/>
  <c r="D171" i="8"/>
  <c r="D172" i="6"/>
  <c r="D120" i="7" s="1"/>
  <c r="D128" i="7" s="1"/>
  <c r="K10" i="8"/>
  <c r="J65" i="7"/>
  <c r="J10" i="7"/>
  <c r="J18" i="7" s="1"/>
  <c r="J45" i="7" s="1"/>
  <c r="J19" i="7"/>
  <c r="F45" i="5"/>
  <c r="I160" i="8"/>
  <c r="F177" i="7"/>
  <c r="F176" i="7"/>
  <c r="N160" i="8"/>
  <c r="K51" i="6"/>
  <c r="K53" i="6" s="1"/>
  <c r="K69" i="6" s="1"/>
  <c r="K52" i="6"/>
  <c r="L50" i="6" s="1"/>
  <c r="L160" i="8"/>
  <c r="E78" i="7"/>
  <c r="F78" i="7"/>
  <c r="F179" i="7"/>
  <c r="F172" i="7"/>
  <c r="H160" i="8"/>
  <c r="F155" i="5"/>
  <c r="H152" i="5"/>
  <c r="E81" i="4" s="1"/>
  <c r="H153" i="5"/>
  <c r="X166" i="8" l="1"/>
  <c r="X205" i="8" s="1"/>
  <c r="F166" i="8"/>
  <c r="F187" i="8" s="1"/>
  <c r="G20" i="8"/>
  <c r="K166" i="8"/>
  <c r="K192" i="8" s="1"/>
  <c r="H20" i="8"/>
  <c r="R20" i="8"/>
  <c r="J20" i="8"/>
  <c r="T16" i="8"/>
  <c r="T51" i="8" s="1"/>
  <c r="E16" i="8"/>
  <c r="E36" i="8" s="1"/>
  <c r="V166" i="8"/>
  <c r="V203" i="8" s="1"/>
  <c r="W170" i="8"/>
  <c r="W20" i="8"/>
  <c r="L166" i="8"/>
  <c r="L193" i="8" s="1"/>
  <c r="L170" i="8"/>
  <c r="F20" i="8"/>
  <c r="F16" i="8"/>
  <c r="F37" i="8" s="1"/>
  <c r="R166" i="8"/>
  <c r="R199" i="8" s="1"/>
  <c r="R170" i="8"/>
  <c r="P16" i="8"/>
  <c r="P47" i="8" s="1"/>
  <c r="P20" i="8"/>
  <c r="H123" i="7"/>
  <c r="H154" i="5"/>
  <c r="H158" i="5" s="1"/>
  <c r="H156" i="5"/>
  <c r="G48" i="5"/>
  <c r="G56" i="6"/>
  <c r="E163" i="8"/>
  <c r="O170" i="8"/>
  <c r="O166" i="8"/>
  <c r="O196" i="8" s="1"/>
  <c r="I170" i="8"/>
  <c r="I166" i="8"/>
  <c r="I190" i="8" s="1"/>
  <c r="I150" i="5"/>
  <c r="E92" i="4"/>
  <c r="P166" i="8"/>
  <c r="P197" i="8" s="1"/>
  <c r="P170" i="8"/>
  <c r="G45" i="5"/>
  <c r="K16" i="8"/>
  <c r="K42" i="8" s="1"/>
  <c r="K20" i="8"/>
  <c r="L162" i="6"/>
  <c r="L161" i="6"/>
  <c r="L163" i="6" s="1"/>
  <c r="L179" i="6" s="1"/>
  <c r="H170" i="8"/>
  <c r="H166" i="8"/>
  <c r="H189" i="8" s="1"/>
  <c r="L16" i="8"/>
  <c r="L43" i="8" s="1"/>
  <c r="L20" i="8"/>
  <c r="G21" i="7"/>
  <c r="G20" i="7"/>
  <c r="G46" i="7" s="1"/>
  <c r="G177" i="7"/>
  <c r="G176" i="7"/>
  <c r="E12" i="8"/>
  <c r="D17" i="8"/>
  <c r="S166" i="8"/>
  <c r="S200" i="8" s="1"/>
  <c r="S170" i="8"/>
  <c r="Q16" i="8"/>
  <c r="Q48" i="8" s="1"/>
  <c r="Q20" i="8"/>
  <c r="I172" i="7"/>
  <c r="I179" i="7"/>
  <c r="G158" i="5"/>
  <c r="G166" i="6"/>
  <c r="V20" i="8"/>
  <c r="V16" i="8"/>
  <c r="V53" i="8" s="1"/>
  <c r="D155" i="7"/>
  <c r="M166" i="8"/>
  <c r="M194" i="8" s="1"/>
  <c r="M170" i="8"/>
  <c r="G67" i="7"/>
  <c r="G66" i="7"/>
  <c r="H13" i="7"/>
  <c r="H44" i="5"/>
  <c r="H45" i="5" s="1"/>
  <c r="H46" i="5"/>
  <c r="E21" i="4"/>
  <c r="G155" i="5"/>
  <c r="J62" i="7"/>
  <c r="J69" i="7"/>
  <c r="L51" i="6"/>
  <c r="L53" i="6" s="1"/>
  <c r="L69" i="6" s="1"/>
  <c r="L52" i="6"/>
  <c r="E168" i="8"/>
  <c r="I40" i="5"/>
  <c r="E32" i="4"/>
  <c r="G130" i="7"/>
  <c r="G156" i="7" s="1"/>
  <c r="G131" i="7"/>
  <c r="J170" i="8"/>
  <c r="J166" i="8"/>
  <c r="J191" i="8" s="1"/>
  <c r="Q166" i="8"/>
  <c r="Q198" i="8" s="1"/>
  <c r="Q170" i="8"/>
  <c r="S16" i="8"/>
  <c r="S50" i="8" s="1"/>
  <c r="S20" i="8"/>
  <c r="M16" i="8"/>
  <c r="M44" i="8" s="1"/>
  <c r="M20" i="8"/>
  <c r="U170" i="8"/>
  <c r="U166" i="8"/>
  <c r="U202" i="8" s="1"/>
  <c r="I16" i="8"/>
  <c r="I40" i="8" s="1"/>
  <c r="I20" i="8"/>
  <c r="I62" i="7"/>
  <c r="I69" i="7"/>
  <c r="D21" i="8"/>
  <c r="D62" i="6"/>
  <c r="D10" i="7" s="1"/>
  <c r="D18" i="7" s="1"/>
  <c r="K19" i="7"/>
  <c r="K65" i="7"/>
  <c r="K10" i="7"/>
  <c r="K18" i="7" s="1"/>
  <c r="K45" i="7" s="1"/>
  <c r="N166" i="8"/>
  <c r="N195" i="8" s="1"/>
  <c r="N170" i="8"/>
  <c r="G166" i="8"/>
  <c r="G188" i="8" s="1"/>
  <c r="G170" i="8"/>
  <c r="K175" i="7"/>
  <c r="K129" i="7"/>
  <c r="K120" i="7"/>
  <c r="K128" i="7" s="1"/>
  <c r="K155" i="7" s="1"/>
  <c r="T170" i="8"/>
  <c r="T166" i="8"/>
  <c r="T201" i="8" s="1"/>
  <c r="J172" i="7"/>
  <c r="J179" i="7"/>
  <c r="H155" i="5" l="1"/>
  <c r="H166" i="6"/>
  <c r="E96" i="4" s="1"/>
  <c r="K179" i="7"/>
  <c r="K172" i="7"/>
  <c r="I43" i="5"/>
  <c r="J40" i="5" s="1"/>
  <c r="I42" i="5"/>
  <c r="M50" i="6"/>
  <c r="F38" i="4"/>
  <c r="I152" i="5"/>
  <c r="I153" i="5"/>
  <c r="J150" i="5" s="1"/>
  <c r="H56" i="6"/>
  <c r="E36" i="4" s="1"/>
  <c r="D45" i="7"/>
  <c r="D178" i="7"/>
  <c r="D172" i="7"/>
  <c r="D173" i="7" s="1"/>
  <c r="D179" i="7"/>
  <c r="D85" i="4"/>
  <c r="K62" i="7"/>
  <c r="K69" i="7"/>
  <c r="G78" i="7"/>
  <c r="M160" i="6"/>
  <c r="F98" i="4"/>
  <c r="H176" i="7"/>
  <c r="E83" i="4"/>
  <c r="E84" i="4" s="1"/>
  <c r="F75" i="4"/>
  <c r="F15" i="4"/>
  <c r="H66" i="7"/>
  <c r="E23" i="4"/>
  <c r="E78" i="4"/>
  <c r="G188" i="7"/>
  <c r="H188" i="7"/>
  <c r="H48" i="5"/>
  <c r="E18" i="4" s="1"/>
  <c r="E18" i="8"/>
  <c r="E19" i="8"/>
  <c r="H63" i="6" s="1"/>
  <c r="H19" i="7" s="1"/>
  <c r="E13" i="8"/>
  <c r="E185" i="8"/>
  <c r="E164" i="8"/>
  <c r="E165" i="8" s="1"/>
  <c r="E174" i="7" l="1"/>
  <c r="E173" i="7"/>
  <c r="E102" i="4"/>
  <c r="J43" i="5"/>
  <c r="K40" i="5" s="1"/>
  <c r="J42" i="5"/>
  <c r="D68" i="7"/>
  <c r="D62" i="7"/>
  <c r="D63" i="7" s="1"/>
  <c r="D69" i="7"/>
  <c r="D25" i="4"/>
  <c r="M162" i="6"/>
  <c r="N160" i="6" s="1"/>
  <c r="M161" i="6"/>
  <c r="M163" i="6" s="1"/>
  <c r="M179" i="6" s="1"/>
  <c r="C82" i="1"/>
  <c r="E24" i="4"/>
  <c r="H78" i="7"/>
  <c r="M52" i="6"/>
  <c r="N50" i="6" s="1"/>
  <c r="M51" i="6"/>
  <c r="M53" i="6" s="1"/>
  <c r="M69" i="6" s="1"/>
  <c r="E171" i="8"/>
  <c r="H172" i="6"/>
  <c r="H120" i="7" s="1"/>
  <c r="H128" i="7" s="1"/>
  <c r="J153" i="5"/>
  <c r="K150" i="5" s="1"/>
  <c r="J152" i="5"/>
  <c r="E14" i="8"/>
  <c r="E15" i="8" s="1"/>
  <c r="E35" i="8"/>
  <c r="D180" i="7"/>
  <c r="D94" i="4"/>
  <c r="I123" i="7"/>
  <c r="I154" i="5"/>
  <c r="I155" i="5" s="1"/>
  <c r="I156" i="5"/>
  <c r="I13" i="7"/>
  <c r="I44" i="5"/>
  <c r="I46" i="5"/>
  <c r="F162" i="8"/>
  <c r="E167" i="8"/>
  <c r="E178" i="7"/>
  <c r="E181" i="7" s="1"/>
  <c r="D93" i="4"/>
  <c r="E64" i="7" l="1"/>
  <c r="E63" i="7"/>
  <c r="F173" i="7"/>
  <c r="F174" i="7"/>
  <c r="M19" i="7"/>
  <c r="M10" i="7"/>
  <c r="M18" i="7" s="1"/>
  <c r="M45" i="7" s="1"/>
  <c r="M65" i="7"/>
  <c r="E42" i="4"/>
  <c r="D70" i="7"/>
  <c r="D34" i="4"/>
  <c r="I48" i="5"/>
  <c r="I56" i="6"/>
  <c r="E68" i="7"/>
  <c r="D33" i="4"/>
  <c r="H81" i="1" s="1"/>
  <c r="I45" i="5"/>
  <c r="M175" i="7"/>
  <c r="M129" i="7"/>
  <c r="M120" i="7"/>
  <c r="M128" i="7" s="1"/>
  <c r="M155" i="7" s="1"/>
  <c r="J13" i="7"/>
  <c r="J44" i="5"/>
  <c r="J45" i="5" s="1"/>
  <c r="J46" i="5"/>
  <c r="F12" i="8"/>
  <c r="E17" i="8"/>
  <c r="I177" i="7"/>
  <c r="I176" i="7"/>
  <c r="J123" i="7"/>
  <c r="J154" i="5"/>
  <c r="J155" i="5" s="1"/>
  <c r="J156" i="5"/>
  <c r="K153" i="5"/>
  <c r="L150" i="5" s="1"/>
  <c r="K152" i="5"/>
  <c r="I131" i="7"/>
  <c r="I130" i="7"/>
  <c r="I156" i="7" s="1"/>
  <c r="E180" i="7"/>
  <c r="E182" i="7" s="1"/>
  <c r="D95" i="4"/>
  <c r="N162" i="6"/>
  <c r="O160" i="6" s="1"/>
  <c r="N161" i="6"/>
  <c r="N163" i="6" s="1"/>
  <c r="N179" i="6" s="1"/>
  <c r="K42" i="5"/>
  <c r="K43" i="5"/>
  <c r="L40" i="5" s="1"/>
  <c r="H155" i="7"/>
  <c r="I158" i="5"/>
  <c r="I166" i="6"/>
  <c r="F168" i="8"/>
  <c r="N51" i="6"/>
  <c r="N53" i="6" s="1"/>
  <c r="N69" i="6" s="1"/>
  <c r="N52" i="6"/>
  <c r="O50" i="6" s="1"/>
  <c r="F163" i="8"/>
  <c r="F169" i="8"/>
  <c r="L173" i="6" s="1"/>
  <c r="L129" i="7" s="1"/>
  <c r="E21" i="8"/>
  <c r="H62" i="6"/>
  <c r="H10" i="7" s="1"/>
  <c r="H18" i="7" s="1"/>
  <c r="I21" i="7"/>
  <c r="I20" i="7"/>
  <c r="I46" i="7" s="1"/>
  <c r="F178" i="7"/>
  <c r="F181" i="7" s="1"/>
  <c r="I67" i="7"/>
  <c r="I66" i="7"/>
  <c r="G174" i="7" l="1"/>
  <c r="G173" i="7"/>
  <c r="F64" i="7"/>
  <c r="F63" i="7"/>
  <c r="N19" i="7"/>
  <c r="N10" i="7"/>
  <c r="N18" i="7" s="1"/>
  <c r="N45" i="7" s="1"/>
  <c r="N65" i="7"/>
  <c r="J20" i="7"/>
  <c r="J46" i="7" s="1"/>
  <c r="J21" i="7"/>
  <c r="K123" i="7"/>
  <c r="K154" i="5"/>
  <c r="K155" i="5" s="1"/>
  <c r="K156" i="5"/>
  <c r="L153" i="5"/>
  <c r="L152" i="5"/>
  <c r="F81" i="4" s="1"/>
  <c r="E70" i="7"/>
  <c r="D35" i="4"/>
  <c r="J177" i="7"/>
  <c r="J176" i="7"/>
  <c r="J130" i="7"/>
  <c r="J156" i="7" s="1"/>
  <c r="J131" i="7"/>
  <c r="J158" i="5"/>
  <c r="H179" i="7"/>
  <c r="H172" i="7"/>
  <c r="E85" i="4"/>
  <c r="L42" i="5"/>
  <c r="L43" i="5"/>
  <c r="J48" i="5"/>
  <c r="J78" i="7" s="1"/>
  <c r="J56" i="6"/>
  <c r="M172" i="7"/>
  <c r="M179" i="7"/>
  <c r="I78" i="7"/>
  <c r="H45" i="7"/>
  <c r="K13" i="7"/>
  <c r="K44" i="5"/>
  <c r="K46" i="5"/>
  <c r="F21" i="4"/>
  <c r="F68" i="7"/>
  <c r="F71" i="7" s="1"/>
  <c r="G178" i="7"/>
  <c r="G181" i="7" s="1"/>
  <c r="N129" i="7"/>
  <c r="N120" i="7"/>
  <c r="N128" i="7" s="1"/>
  <c r="N155" i="7" s="1"/>
  <c r="N175" i="7"/>
  <c r="F18" i="8"/>
  <c r="E71" i="7"/>
  <c r="J188" i="7"/>
  <c r="I188" i="7"/>
  <c r="O161" i="6"/>
  <c r="O163" i="6" s="1"/>
  <c r="O179" i="6" s="1"/>
  <c r="O162" i="6"/>
  <c r="P160" i="6" s="1"/>
  <c r="F13" i="8"/>
  <c r="F19" i="8"/>
  <c r="L63" i="6" s="1"/>
  <c r="L19" i="7" s="1"/>
  <c r="M69" i="7"/>
  <c r="M62" i="7"/>
  <c r="F164" i="8"/>
  <c r="F165" i="8" s="1"/>
  <c r="F186" i="8"/>
  <c r="F185" i="8"/>
  <c r="O51" i="6"/>
  <c r="O53" i="6" s="1"/>
  <c r="O69" i="6" s="1"/>
  <c r="O52" i="6"/>
  <c r="P50" i="6" s="1"/>
  <c r="J166" i="6"/>
  <c r="F180" i="7"/>
  <c r="F182" i="7" s="1"/>
  <c r="J67" i="7"/>
  <c r="J66" i="7"/>
  <c r="G64" i="7" l="1"/>
  <c r="G63" i="7"/>
  <c r="K48" i="5"/>
  <c r="K56" i="6"/>
  <c r="H174" i="7"/>
  <c r="H173" i="7"/>
  <c r="K177" i="7"/>
  <c r="K176" i="7"/>
  <c r="F14" i="8"/>
  <c r="F15" i="8" s="1"/>
  <c r="F36" i="8"/>
  <c r="F35" i="8"/>
  <c r="K45" i="5"/>
  <c r="E94" i="4"/>
  <c r="K158" i="5"/>
  <c r="K166" i="6"/>
  <c r="L123" i="7"/>
  <c r="L154" i="5"/>
  <c r="L155" i="5" s="1"/>
  <c r="L156" i="5"/>
  <c r="O120" i="7"/>
  <c r="O128" i="7" s="1"/>
  <c r="O155" i="7" s="1"/>
  <c r="O175" i="7"/>
  <c r="O129" i="7"/>
  <c r="K130" i="7"/>
  <c r="K156" i="7" s="1"/>
  <c r="K131" i="7"/>
  <c r="G68" i="7"/>
  <c r="G71" i="7" s="1"/>
  <c r="P52" i="6"/>
  <c r="P51" i="6"/>
  <c r="P53" i="6" s="1"/>
  <c r="P69" i="6" s="1"/>
  <c r="H62" i="7"/>
  <c r="H69" i="7"/>
  <c r="E25" i="4"/>
  <c r="P162" i="6"/>
  <c r="P161" i="6"/>
  <c r="P163" i="6" s="1"/>
  <c r="P179" i="6" s="1"/>
  <c r="K21" i="7"/>
  <c r="K20" i="7"/>
  <c r="K46" i="7" s="1"/>
  <c r="G180" i="7"/>
  <c r="G182" i="7" s="1"/>
  <c r="N179" i="7"/>
  <c r="N172" i="7"/>
  <c r="F92" i="4"/>
  <c r="M150" i="5"/>
  <c r="N62" i="7"/>
  <c r="N69" i="7"/>
  <c r="H178" i="7"/>
  <c r="M40" i="5"/>
  <c r="F32" i="4"/>
  <c r="F70" i="7"/>
  <c r="K67" i="7"/>
  <c r="K66" i="7"/>
  <c r="F23" i="4"/>
  <c r="O65" i="7"/>
  <c r="O19" i="7"/>
  <c r="O10" i="7"/>
  <c r="O18" i="7" s="1"/>
  <c r="O45" i="7" s="1"/>
  <c r="G162" i="8"/>
  <c r="F167" i="8"/>
  <c r="F171" i="8"/>
  <c r="L172" i="6"/>
  <c r="L120" i="7" s="1"/>
  <c r="L128" i="7" s="1"/>
  <c r="L13" i="7"/>
  <c r="L44" i="5"/>
  <c r="L45" i="5" s="1"/>
  <c r="L46" i="5"/>
  <c r="E72" i="7"/>
  <c r="I174" i="7" l="1"/>
  <c r="I173" i="7"/>
  <c r="E34" i="4"/>
  <c r="L176" i="7"/>
  <c r="F83" i="4"/>
  <c r="F84" i="4" s="1"/>
  <c r="H64" i="7"/>
  <c r="H63" i="7"/>
  <c r="L158" i="5"/>
  <c r="L188" i="7" s="1"/>
  <c r="L166" i="6"/>
  <c r="F96" i="4" s="1"/>
  <c r="I178" i="7"/>
  <c r="I181" i="7" s="1"/>
  <c r="E93" i="4"/>
  <c r="G15" i="4"/>
  <c r="M153" i="5"/>
  <c r="N150" i="5" s="1"/>
  <c r="M152" i="5"/>
  <c r="L66" i="7"/>
  <c r="L48" i="5"/>
  <c r="L78" i="7" s="1"/>
  <c r="L56" i="6"/>
  <c r="F36" i="4" s="1"/>
  <c r="H68" i="7"/>
  <c r="H71" i="7" s="1"/>
  <c r="F21" i="8"/>
  <c r="L62" i="6"/>
  <c r="L10" i="7" s="1"/>
  <c r="L18" i="7" s="1"/>
  <c r="Q50" i="6"/>
  <c r="G38" i="4"/>
  <c r="G70" i="7"/>
  <c r="G72" i="7" s="1"/>
  <c r="K188" i="7"/>
  <c r="F78" i="4"/>
  <c r="F24" i="4"/>
  <c r="C83" i="1"/>
  <c r="F18" i="4"/>
  <c r="K78" i="7"/>
  <c r="L155" i="7"/>
  <c r="M42" i="5"/>
  <c r="M43" i="5"/>
  <c r="N40" i="5" s="1"/>
  <c r="Q160" i="6"/>
  <c r="G98" i="4"/>
  <c r="G75" i="4"/>
  <c r="O62" i="7"/>
  <c r="O69" i="7"/>
  <c r="O172" i="7"/>
  <c r="O179" i="7"/>
  <c r="G168" i="8"/>
  <c r="H180" i="7"/>
  <c r="F72" i="7"/>
  <c r="G163" i="8"/>
  <c r="G169" i="8"/>
  <c r="P173" i="6" s="1"/>
  <c r="P129" i="7" s="1"/>
  <c r="H181" i="7"/>
  <c r="G12" i="8"/>
  <c r="F17" i="8"/>
  <c r="I64" i="7" l="1"/>
  <c r="I63" i="7"/>
  <c r="J174" i="7"/>
  <c r="J173" i="7"/>
  <c r="M123" i="7"/>
  <c r="M154" i="5"/>
  <c r="M156" i="5"/>
  <c r="I180" i="7"/>
  <c r="E95" i="4"/>
  <c r="Q161" i="6"/>
  <c r="Q163" i="6" s="1"/>
  <c r="Q179" i="6" s="1"/>
  <c r="Q162" i="6"/>
  <c r="R160" i="6" s="1"/>
  <c r="H182" i="7"/>
  <c r="N42" i="5"/>
  <c r="N43" i="5"/>
  <c r="O40" i="5" s="1"/>
  <c r="H70" i="7"/>
  <c r="N153" i="5"/>
  <c r="O150" i="5" s="1"/>
  <c r="N152" i="5"/>
  <c r="F102" i="4"/>
  <c r="Q52" i="6"/>
  <c r="R50" i="6" s="1"/>
  <c r="Q51" i="6"/>
  <c r="Q53" i="6" s="1"/>
  <c r="Q69" i="6" s="1"/>
  <c r="M13" i="7"/>
  <c r="M44" i="5"/>
  <c r="M45" i="5" s="1"/>
  <c r="M46" i="5"/>
  <c r="F42" i="4"/>
  <c r="G164" i="8"/>
  <c r="G165" i="8" s="1"/>
  <c r="G187" i="8"/>
  <c r="G185" i="8"/>
  <c r="G186" i="8"/>
  <c r="L45" i="7"/>
  <c r="J178" i="7"/>
  <c r="L172" i="7"/>
  <c r="L179" i="7"/>
  <c r="F85" i="4"/>
  <c r="G19" i="8"/>
  <c r="P63" i="6" s="1"/>
  <c r="P19" i="7" s="1"/>
  <c r="G13" i="8"/>
  <c r="G18" i="8"/>
  <c r="I68" i="7"/>
  <c r="E33" i="4"/>
  <c r="H82" i="1" s="1"/>
  <c r="J64" i="7" l="1"/>
  <c r="J63" i="7"/>
  <c r="K174" i="7"/>
  <c r="K173" i="7"/>
  <c r="Q175" i="7"/>
  <c r="Q129" i="7"/>
  <c r="Q120" i="7"/>
  <c r="Q128" i="7" s="1"/>
  <c r="Q155" i="7" s="1"/>
  <c r="J180" i="7"/>
  <c r="R162" i="6"/>
  <c r="S160" i="6" s="1"/>
  <c r="R161" i="6"/>
  <c r="R163" i="6" s="1"/>
  <c r="R179" i="6" s="1"/>
  <c r="R52" i="6"/>
  <c r="S50" i="6" s="1"/>
  <c r="R51" i="6"/>
  <c r="R53" i="6" s="1"/>
  <c r="R69" i="6" s="1"/>
  <c r="I182" i="7"/>
  <c r="M20" i="7"/>
  <c r="M46" i="7" s="1"/>
  <c r="M21" i="7"/>
  <c r="K178" i="7"/>
  <c r="M67" i="7"/>
  <c r="M66" i="7"/>
  <c r="M177" i="7"/>
  <c r="M176" i="7"/>
  <c r="N13" i="7"/>
  <c r="N44" i="5"/>
  <c r="N45" i="5" s="1"/>
  <c r="N46" i="5"/>
  <c r="M158" i="5"/>
  <c r="M166" i="6"/>
  <c r="G167" i="8"/>
  <c r="H162" i="8"/>
  <c r="N123" i="7"/>
  <c r="N154" i="5"/>
  <c r="N156" i="5"/>
  <c r="M155" i="5"/>
  <c r="O153" i="5"/>
  <c r="P150" i="5" s="1"/>
  <c r="O152" i="5"/>
  <c r="M130" i="7"/>
  <c r="M156" i="7" s="1"/>
  <c r="M131" i="7"/>
  <c r="O43" i="5"/>
  <c r="P40" i="5" s="1"/>
  <c r="O42" i="5"/>
  <c r="M48" i="5"/>
  <c r="M56" i="6"/>
  <c r="L174" i="7"/>
  <c r="L173" i="7"/>
  <c r="L69" i="7"/>
  <c r="L62" i="7"/>
  <c r="F25" i="4"/>
  <c r="J68" i="7"/>
  <c r="J71" i="7" s="1"/>
  <c r="I71" i="7"/>
  <c r="G14" i="8"/>
  <c r="G15" i="8" s="1"/>
  <c r="G37" i="8"/>
  <c r="G35" i="8"/>
  <c r="G36" i="8"/>
  <c r="G171" i="8"/>
  <c r="P172" i="6"/>
  <c r="P120" i="7" s="1"/>
  <c r="P128" i="7" s="1"/>
  <c r="I70" i="7"/>
  <c r="E35" i="4"/>
  <c r="Q65" i="7"/>
  <c r="Q19" i="7"/>
  <c r="Q10" i="7"/>
  <c r="Q18" i="7" s="1"/>
  <c r="Q45" i="7" s="1"/>
  <c r="J181" i="7"/>
  <c r="H72" i="7"/>
  <c r="M174" i="7" l="1"/>
  <c r="M173" i="7"/>
  <c r="K64" i="7"/>
  <c r="K63" i="7"/>
  <c r="H12" i="8"/>
  <c r="G17" i="8"/>
  <c r="R19" i="7"/>
  <c r="R10" i="7"/>
  <c r="R18" i="7" s="1"/>
  <c r="R45" i="7" s="1"/>
  <c r="R65" i="7"/>
  <c r="G21" i="8"/>
  <c r="P62" i="6"/>
  <c r="P10" i="7" s="1"/>
  <c r="P18" i="7" s="1"/>
  <c r="Q62" i="7"/>
  <c r="Q69" i="7"/>
  <c r="O123" i="7"/>
  <c r="O154" i="5"/>
  <c r="O155" i="5" s="1"/>
  <c r="O156" i="5"/>
  <c r="N48" i="5"/>
  <c r="N78" i="7" s="1"/>
  <c r="N56" i="6"/>
  <c r="S52" i="6"/>
  <c r="T50" i="6" s="1"/>
  <c r="S51" i="6"/>
  <c r="S53" i="6" s="1"/>
  <c r="S69" i="6" s="1"/>
  <c r="P152" i="5"/>
  <c r="G81" i="4" s="1"/>
  <c r="P153" i="5"/>
  <c r="R120" i="7"/>
  <c r="R128" i="7" s="1"/>
  <c r="R155" i="7" s="1"/>
  <c r="R175" i="7"/>
  <c r="R129" i="7"/>
  <c r="M188" i="7"/>
  <c r="N21" i="7"/>
  <c r="N20" i="7"/>
  <c r="N46" i="7" s="1"/>
  <c r="S162" i="6"/>
  <c r="T160" i="6" s="1"/>
  <c r="S161" i="6"/>
  <c r="S163" i="6" s="1"/>
  <c r="S179" i="6" s="1"/>
  <c r="K180" i="7"/>
  <c r="K182" i="7" s="1"/>
  <c r="N177" i="7"/>
  <c r="N176" i="7"/>
  <c r="J182" i="7"/>
  <c r="M78" i="7"/>
  <c r="L63" i="7"/>
  <c r="L64" i="7"/>
  <c r="N158" i="5"/>
  <c r="N188" i="7" s="1"/>
  <c r="N166" i="6"/>
  <c r="Q172" i="7"/>
  <c r="Q179" i="7"/>
  <c r="O13" i="7"/>
  <c r="O44" i="5"/>
  <c r="O46" i="5"/>
  <c r="G21" i="4"/>
  <c r="P42" i="5"/>
  <c r="P43" i="5"/>
  <c r="N67" i="7"/>
  <c r="N66" i="7"/>
  <c r="J70" i="7"/>
  <c r="N155" i="5"/>
  <c r="I72" i="7"/>
  <c r="N130" i="7"/>
  <c r="N156" i="7" s="1"/>
  <c r="N131" i="7"/>
  <c r="H163" i="8"/>
  <c r="H169" i="8"/>
  <c r="T173" i="6" s="1"/>
  <c r="K68" i="7"/>
  <c r="P155" i="7"/>
  <c r="H168" i="8"/>
  <c r="L178" i="7"/>
  <c r="L181" i="7" s="1"/>
  <c r="K181" i="7"/>
  <c r="M64" i="7" l="1"/>
  <c r="M63" i="7"/>
  <c r="N173" i="7"/>
  <c r="N174" i="7"/>
  <c r="P13" i="7"/>
  <c r="P44" i="5"/>
  <c r="P46" i="5"/>
  <c r="R172" i="7"/>
  <c r="R179" i="7"/>
  <c r="Q63" i="7"/>
  <c r="G92" i="4"/>
  <c r="Q150" i="5"/>
  <c r="P45" i="7"/>
  <c r="O48" i="5"/>
  <c r="O56" i="6"/>
  <c r="P123" i="7"/>
  <c r="P154" i="5"/>
  <c r="P156" i="5"/>
  <c r="O67" i="7"/>
  <c r="O66" i="7"/>
  <c r="H164" i="8"/>
  <c r="H165" i="8" s="1"/>
  <c r="H188" i="8"/>
  <c r="H185" i="8"/>
  <c r="H187" i="8"/>
  <c r="H186" i="8"/>
  <c r="O45" i="5"/>
  <c r="O20" i="7"/>
  <c r="O46" i="7" s="1"/>
  <c r="O21" i="7"/>
  <c r="S65" i="7"/>
  <c r="S19" i="7"/>
  <c r="S10" i="7"/>
  <c r="S18" i="7" s="1"/>
  <c r="S45" i="7" s="1"/>
  <c r="R62" i="7"/>
  <c r="R69" i="7"/>
  <c r="T52" i="6"/>
  <c r="T51" i="6"/>
  <c r="T53" i="6" s="1"/>
  <c r="T69" i="6" s="1"/>
  <c r="Q40" i="5"/>
  <c r="G32" i="4"/>
  <c r="L68" i="7"/>
  <c r="L71" i="7" s="1"/>
  <c r="K71" i="7"/>
  <c r="S129" i="7"/>
  <c r="S120" i="7"/>
  <c r="S128" i="7" s="1"/>
  <c r="S175" i="7"/>
  <c r="O131" i="7"/>
  <c r="O130" i="7"/>
  <c r="O156" i="7" s="1"/>
  <c r="Q173" i="7"/>
  <c r="T161" i="6"/>
  <c r="T163" i="6" s="1"/>
  <c r="T179" i="6" s="1"/>
  <c r="T162" i="6"/>
  <c r="L180" i="7"/>
  <c r="L182" i="7" s="1"/>
  <c r="M178" i="7"/>
  <c r="F93" i="4"/>
  <c r="H18" i="8"/>
  <c r="H13" i="8"/>
  <c r="H19" i="8"/>
  <c r="T63" i="6" s="1"/>
  <c r="P179" i="7"/>
  <c r="P172" i="7"/>
  <c r="K70" i="7"/>
  <c r="K72" i="7" s="1"/>
  <c r="J72" i="7"/>
  <c r="O177" i="7"/>
  <c r="O176" i="7"/>
  <c r="G83" i="4"/>
  <c r="G84" i="4" s="1"/>
  <c r="O158" i="5"/>
  <c r="O188" i="7" s="1"/>
  <c r="O166" i="6"/>
  <c r="G23" i="4"/>
  <c r="O173" i="7" l="1"/>
  <c r="O174" i="7"/>
  <c r="N63" i="7"/>
  <c r="N64" i="7"/>
  <c r="Q152" i="5"/>
  <c r="Q154" i="5" s="1"/>
  <c r="Q158" i="5" s="1"/>
  <c r="Q153" i="5"/>
  <c r="R150" i="5" s="1"/>
  <c r="Q42" i="5"/>
  <c r="Q44" i="5" s="1"/>
  <c r="Q48" i="5" s="1"/>
  <c r="Q43" i="5"/>
  <c r="R40" i="5" s="1"/>
  <c r="I162" i="8"/>
  <c r="H167" i="8"/>
  <c r="U50" i="6"/>
  <c r="H38" i="4"/>
  <c r="H171" i="8"/>
  <c r="T172" i="6"/>
  <c r="T120" i="7" s="1"/>
  <c r="T128" i="7" s="1"/>
  <c r="T155" i="7" s="1"/>
  <c r="T129" i="7"/>
  <c r="H75" i="4"/>
  <c r="T19" i="7"/>
  <c r="H15" i="4"/>
  <c r="R173" i="7"/>
  <c r="R174" i="7"/>
  <c r="U160" i="6"/>
  <c r="H98" i="4"/>
  <c r="R63" i="7"/>
  <c r="R64" i="7"/>
  <c r="P176" i="7"/>
  <c r="L70" i="7"/>
  <c r="S155" i="7"/>
  <c r="S62" i="7"/>
  <c r="S69" i="7"/>
  <c r="P158" i="5"/>
  <c r="P166" i="6"/>
  <c r="G96" i="4" s="1"/>
  <c r="P66" i="7"/>
  <c r="H14" i="8"/>
  <c r="H15" i="8" s="1"/>
  <c r="H38" i="8"/>
  <c r="H35" i="8"/>
  <c r="H36" i="8"/>
  <c r="H37" i="8"/>
  <c r="P155" i="5"/>
  <c r="P48" i="5"/>
  <c r="P56" i="6"/>
  <c r="G36" i="4" s="1"/>
  <c r="M180" i="7"/>
  <c r="M182" i="7" s="1"/>
  <c r="F95" i="4"/>
  <c r="P62" i="7"/>
  <c r="P69" i="7"/>
  <c r="G25" i="4"/>
  <c r="P173" i="7"/>
  <c r="Q174" i="7" s="1"/>
  <c r="P174" i="7"/>
  <c r="P45" i="5"/>
  <c r="C84" i="1"/>
  <c r="G24" i="4"/>
  <c r="N178" i="7"/>
  <c r="N181" i="7" s="1"/>
  <c r="G102" i="4"/>
  <c r="M181" i="7"/>
  <c r="M68" i="7"/>
  <c r="F33" i="4"/>
  <c r="H83" i="1" s="1"/>
  <c r="O78" i="7"/>
  <c r="G18" i="4"/>
  <c r="O64" i="7" l="1"/>
  <c r="O63" i="7"/>
  <c r="P64" i="7" s="1"/>
  <c r="T172" i="7"/>
  <c r="T179" i="7"/>
  <c r="U161" i="6"/>
  <c r="U163" i="6" s="1"/>
  <c r="U179" i="6" s="1"/>
  <c r="U162" i="6"/>
  <c r="V160" i="6" s="1"/>
  <c r="N180" i="7"/>
  <c r="N182" i="7" s="1"/>
  <c r="I12" i="8"/>
  <c r="H17" i="8"/>
  <c r="O178" i="7"/>
  <c r="O181" i="7" s="1"/>
  <c r="P188" i="7"/>
  <c r="Q188" i="7"/>
  <c r="G78" i="4"/>
  <c r="U52" i="6"/>
  <c r="V50" i="6" s="1"/>
  <c r="U51" i="6"/>
  <c r="U53" i="6" s="1"/>
  <c r="U69" i="6" s="1"/>
  <c r="H21" i="8"/>
  <c r="T62" i="6"/>
  <c r="T10" i="7" s="1"/>
  <c r="T18" i="7" s="1"/>
  <c r="G42" i="4"/>
  <c r="S64" i="7"/>
  <c r="S63" i="7"/>
  <c r="I168" i="8"/>
  <c r="I163" i="8"/>
  <c r="I169" i="8"/>
  <c r="X173" i="6" s="1"/>
  <c r="R42" i="5"/>
  <c r="R44" i="5" s="1"/>
  <c r="R43" i="5"/>
  <c r="S40" i="5" s="1"/>
  <c r="S172" i="7"/>
  <c r="S179" i="7"/>
  <c r="H85" i="4"/>
  <c r="Q13" i="7"/>
  <c r="Q45" i="5"/>
  <c r="Q46" i="5"/>
  <c r="P63" i="7"/>
  <c r="Q64" i="7" s="1"/>
  <c r="M70" i="7"/>
  <c r="M72" i="7" s="1"/>
  <c r="F35" i="4"/>
  <c r="R152" i="5"/>
  <c r="R154" i="5" s="1"/>
  <c r="R153" i="5"/>
  <c r="S150" i="5" s="1"/>
  <c r="L72" i="7"/>
  <c r="Q123" i="7"/>
  <c r="Q155" i="5"/>
  <c r="Q156" i="5"/>
  <c r="N68" i="7"/>
  <c r="N71" i="7" s="1"/>
  <c r="M71" i="7"/>
  <c r="Q78" i="7"/>
  <c r="P78" i="7"/>
  <c r="R158" i="5" l="1"/>
  <c r="R48" i="5"/>
  <c r="Q20" i="7"/>
  <c r="Q46" i="7" s="1"/>
  <c r="Q21" i="7"/>
  <c r="Q177" i="7"/>
  <c r="Q176" i="7"/>
  <c r="P178" i="7"/>
  <c r="P181" i="7" s="1"/>
  <c r="Q130" i="7"/>
  <c r="Q156" i="7" s="1"/>
  <c r="Q131" i="7"/>
  <c r="I18" i="8"/>
  <c r="U65" i="7"/>
  <c r="U19" i="7"/>
  <c r="U10" i="7"/>
  <c r="U18" i="7" s="1"/>
  <c r="U45" i="7" s="1"/>
  <c r="I13" i="8"/>
  <c r="I19" i="8"/>
  <c r="X63" i="6" s="1"/>
  <c r="O68" i="7"/>
  <c r="S152" i="5"/>
  <c r="S154" i="5" s="1"/>
  <c r="S158" i="5" s="1"/>
  <c r="S153" i="5"/>
  <c r="T150" i="5" s="1"/>
  <c r="S173" i="7"/>
  <c r="T174" i="7" s="1"/>
  <c r="S174" i="7"/>
  <c r="V52" i="6"/>
  <c r="W50" i="6" s="1"/>
  <c r="V51" i="6"/>
  <c r="V53" i="6" s="1"/>
  <c r="V69" i="6" s="1"/>
  <c r="O180" i="7"/>
  <c r="O182" i="7" s="1"/>
  <c r="R13" i="7"/>
  <c r="R45" i="5"/>
  <c r="R46" i="5"/>
  <c r="N70" i="7"/>
  <c r="N72" i="7" s="1"/>
  <c r="V162" i="6"/>
  <c r="W160" i="6" s="1"/>
  <c r="V161" i="6"/>
  <c r="V163" i="6" s="1"/>
  <c r="V179" i="6" s="1"/>
  <c r="S42" i="5"/>
  <c r="S44" i="5" s="1"/>
  <c r="S48" i="5" s="1"/>
  <c r="S43" i="5"/>
  <c r="T40" i="5" s="1"/>
  <c r="U175" i="7"/>
  <c r="U129" i="7"/>
  <c r="U120" i="7"/>
  <c r="U128" i="7" s="1"/>
  <c r="U155" i="7" s="1"/>
  <c r="R123" i="7"/>
  <c r="R155" i="5"/>
  <c r="R156" i="5"/>
  <c r="T45" i="7"/>
  <c r="Q67" i="7"/>
  <c r="Q66" i="7"/>
  <c r="I164" i="8"/>
  <c r="I165" i="8" s="1"/>
  <c r="I189" i="8"/>
  <c r="I187" i="8"/>
  <c r="I185" i="8"/>
  <c r="I186" i="8"/>
  <c r="I188" i="8"/>
  <c r="T173" i="7"/>
  <c r="S78" i="7" l="1"/>
  <c r="R78" i="7"/>
  <c r="R188" i="7"/>
  <c r="S188" i="7"/>
  <c r="V175" i="7"/>
  <c r="V129" i="7"/>
  <c r="V120" i="7"/>
  <c r="V128" i="7" s="1"/>
  <c r="V155" i="7" s="1"/>
  <c r="S123" i="7"/>
  <c r="S155" i="5"/>
  <c r="S156" i="5"/>
  <c r="W161" i="6"/>
  <c r="W163" i="6" s="1"/>
  <c r="W179" i="6" s="1"/>
  <c r="W162" i="6"/>
  <c r="X160" i="6" s="1"/>
  <c r="P68" i="7"/>
  <c r="P71" i="7" s="1"/>
  <c r="T41" i="5"/>
  <c r="S13" i="7"/>
  <c r="S45" i="5"/>
  <c r="S46" i="5"/>
  <c r="O71" i="7"/>
  <c r="R177" i="7"/>
  <c r="R176" i="7"/>
  <c r="O70" i="7"/>
  <c r="O72" i="7" s="1"/>
  <c r="I14" i="8"/>
  <c r="I15" i="8" s="1"/>
  <c r="I39" i="8"/>
  <c r="I38" i="8"/>
  <c r="I36" i="8"/>
  <c r="I37" i="8"/>
  <c r="I35" i="8"/>
  <c r="R130" i="7"/>
  <c r="R156" i="7" s="1"/>
  <c r="R131" i="7"/>
  <c r="U62" i="7"/>
  <c r="U69" i="7"/>
  <c r="U179" i="7"/>
  <c r="U172" i="7"/>
  <c r="R67" i="7"/>
  <c r="R66" i="7"/>
  <c r="Q178" i="7"/>
  <c r="Q181" i="7" s="1"/>
  <c r="G93" i="4"/>
  <c r="I171" i="8"/>
  <c r="X172" i="6"/>
  <c r="R21" i="7"/>
  <c r="R20" i="7"/>
  <c r="R46" i="7" s="1"/>
  <c r="P180" i="7"/>
  <c r="P182" i="7" s="1"/>
  <c r="J162" i="8"/>
  <c r="V65" i="7"/>
  <c r="V19" i="7"/>
  <c r="V10" i="7"/>
  <c r="V18" i="7" s="1"/>
  <c r="V45" i="7" s="1"/>
  <c r="I167" i="8"/>
  <c r="W52" i="6"/>
  <c r="X50" i="6" s="1"/>
  <c r="W51" i="6"/>
  <c r="W53" i="6" s="1"/>
  <c r="W69" i="6" s="1"/>
  <c r="T151" i="5"/>
  <c r="T62" i="7"/>
  <c r="T69" i="7"/>
  <c r="H25" i="4"/>
  <c r="J168" i="8" l="1"/>
  <c r="S67" i="7"/>
  <c r="S66" i="7"/>
  <c r="S131" i="7"/>
  <c r="S130" i="7"/>
  <c r="S156" i="7" s="1"/>
  <c r="V179" i="7"/>
  <c r="V172" i="7"/>
  <c r="S21" i="7"/>
  <c r="S20" i="7"/>
  <c r="S46" i="7" s="1"/>
  <c r="V62" i="7"/>
  <c r="V69" i="7"/>
  <c r="U173" i="7"/>
  <c r="U174" i="7"/>
  <c r="T14" i="7"/>
  <c r="H20" i="4"/>
  <c r="X162" i="6"/>
  <c r="X161" i="6"/>
  <c r="X163" i="6" s="1"/>
  <c r="X179" i="6" s="1"/>
  <c r="I75" i="4" s="1"/>
  <c r="U63" i="7"/>
  <c r="T43" i="5"/>
  <c r="I17" i="8"/>
  <c r="T42" i="5"/>
  <c r="W120" i="7"/>
  <c r="W128" i="7" s="1"/>
  <c r="W155" i="7" s="1"/>
  <c r="W175" i="7"/>
  <c r="W129" i="7"/>
  <c r="J12" i="8"/>
  <c r="J163" i="8"/>
  <c r="J169" i="8"/>
  <c r="AB173" i="6" s="1"/>
  <c r="Q180" i="7"/>
  <c r="Q182" i="7" s="1"/>
  <c r="G95" i="4"/>
  <c r="R178" i="7"/>
  <c r="R181" i="7" s="1"/>
  <c r="T124" i="7"/>
  <c r="H80" i="4"/>
  <c r="X52" i="6"/>
  <c r="X51" i="6"/>
  <c r="X53" i="6" s="1"/>
  <c r="X69" i="6" s="1"/>
  <c r="I21" i="8"/>
  <c r="X62" i="6"/>
  <c r="S177" i="7"/>
  <c r="S176" i="7"/>
  <c r="W65" i="7"/>
  <c r="W19" i="7"/>
  <c r="W10" i="7"/>
  <c r="W18" i="7" s="1"/>
  <c r="W45" i="7" s="1"/>
  <c r="T153" i="5"/>
  <c r="T64" i="7"/>
  <c r="T63" i="7"/>
  <c r="U64" i="7" s="1"/>
  <c r="T152" i="5"/>
  <c r="P70" i="7"/>
  <c r="P72" i="7" s="1"/>
  <c r="Q68" i="7"/>
  <c r="Q71" i="7" s="1"/>
  <c r="G33" i="4"/>
  <c r="H84" i="1" s="1"/>
  <c r="T46" i="5" l="1"/>
  <c r="H23" i="4" s="1"/>
  <c r="C85" i="1" s="1"/>
  <c r="T44" i="5"/>
  <c r="T156" i="5"/>
  <c r="T154" i="5"/>
  <c r="T155" i="5" s="1"/>
  <c r="J18" i="8"/>
  <c r="X129" i="7"/>
  <c r="X120" i="7"/>
  <c r="X128" i="7" s="1"/>
  <c r="X155" i="7" s="1"/>
  <c r="V64" i="7"/>
  <c r="V63" i="7"/>
  <c r="Y160" i="6"/>
  <c r="I98" i="4"/>
  <c r="X19" i="7"/>
  <c r="X10" i="7"/>
  <c r="X18" i="7" s="1"/>
  <c r="X45" i="7" s="1"/>
  <c r="Y50" i="6"/>
  <c r="I38" i="4"/>
  <c r="W179" i="7"/>
  <c r="W172" i="7"/>
  <c r="V173" i="7"/>
  <c r="V174" i="7"/>
  <c r="R180" i="7"/>
  <c r="R182" i="7" s="1"/>
  <c r="U40" i="5"/>
  <c r="U41" i="5" s="1"/>
  <c r="U14" i="7" s="1"/>
  <c r="H32" i="4"/>
  <c r="J164" i="8"/>
  <c r="J165" i="8" s="1"/>
  <c r="J190" i="8"/>
  <c r="J188" i="8"/>
  <c r="J187" i="8"/>
  <c r="J186" i="8"/>
  <c r="J189" i="8"/>
  <c r="R68" i="7"/>
  <c r="R71" i="7" s="1"/>
  <c r="T123" i="7"/>
  <c r="H81" i="4"/>
  <c r="U150" i="5"/>
  <c r="U151" i="5" s="1"/>
  <c r="U124" i="7" s="1"/>
  <c r="H92" i="4"/>
  <c r="Q70" i="7"/>
  <c r="G35" i="4"/>
  <c r="S178" i="7"/>
  <c r="S181" i="7" s="1"/>
  <c r="W62" i="7"/>
  <c r="W69" i="7"/>
  <c r="J13" i="8"/>
  <c r="J19" i="8"/>
  <c r="AB63" i="6" s="1"/>
  <c r="T13" i="7"/>
  <c r="T45" i="5"/>
  <c r="H21" i="4"/>
  <c r="T158" i="5" l="1"/>
  <c r="T48" i="5"/>
  <c r="J167" i="8"/>
  <c r="Y162" i="6"/>
  <c r="Z160" i="6" s="1"/>
  <c r="Y161" i="6"/>
  <c r="Y163" i="6" s="1"/>
  <c r="Y179" i="6" s="1"/>
  <c r="J14" i="8"/>
  <c r="J15" i="8" s="1"/>
  <c r="J40" i="8"/>
  <c r="J37" i="8"/>
  <c r="J36" i="8"/>
  <c r="J39" i="8"/>
  <c r="J38" i="8"/>
  <c r="J171" i="8"/>
  <c r="AB172" i="6"/>
  <c r="X179" i="7"/>
  <c r="X172" i="7"/>
  <c r="X62" i="7"/>
  <c r="X69" i="7"/>
  <c r="Y52" i="6"/>
  <c r="Z50" i="6" s="1"/>
  <c r="Y51" i="6"/>
  <c r="Y53" i="6" s="1"/>
  <c r="Y69" i="6" s="1"/>
  <c r="U42" i="5"/>
  <c r="U44" i="5" s="1"/>
  <c r="U48" i="5" s="1"/>
  <c r="U43" i="5"/>
  <c r="V40" i="5" s="1"/>
  <c r="V41" i="5" s="1"/>
  <c r="V14" i="7" s="1"/>
  <c r="S180" i="7"/>
  <c r="S182" i="7" s="1"/>
  <c r="R70" i="7"/>
  <c r="S68" i="7"/>
  <c r="T178" i="7"/>
  <c r="T181" i="7" s="1"/>
  <c r="Q72" i="7"/>
  <c r="I85" i="4"/>
  <c r="K162" i="8"/>
  <c r="U152" i="5"/>
  <c r="U154" i="5" s="1"/>
  <c r="U158" i="5" s="1"/>
  <c r="U153" i="5"/>
  <c r="V150" i="5" s="1"/>
  <c r="V151" i="5" s="1"/>
  <c r="V124" i="7" s="1"/>
  <c r="W64" i="7"/>
  <c r="W63" i="7"/>
  <c r="W174" i="7"/>
  <c r="W173" i="7"/>
  <c r="U78" i="7" l="1"/>
  <c r="T78" i="7"/>
  <c r="H18" i="4"/>
  <c r="H78" i="4"/>
  <c r="U188" i="7"/>
  <c r="T188" i="7"/>
  <c r="K168" i="8"/>
  <c r="J17" i="8"/>
  <c r="K12" i="8"/>
  <c r="U123" i="7"/>
  <c r="U155" i="5"/>
  <c r="U156" i="5"/>
  <c r="U13" i="7"/>
  <c r="U45" i="5"/>
  <c r="U46" i="5"/>
  <c r="J21" i="8"/>
  <c r="AB62" i="6"/>
  <c r="V152" i="5"/>
  <c r="V154" i="5" s="1"/>
  <c r="V158" i="5" s="1"/>
  <c r="V153" i="5"/>
  <c r="W150" i="5" s="1"/>
  <c r="W151" i="5" s="1"/>
  <c r="W124" i="7" s="1"/>
  <c r="Y65" i="7"/>
  <c r="Y10" i="7"/>
  <c r="Y18" i="7" s="1"/>
  <c r="Y45" i="7" s="1"/>
  <c r="Y19" i="7"/>
  <c r="Z52" i="6"/>
  <c r="AA50" i="6" s="1"/>
  <c r="Z51" i="6"/>
  <c r="Z53" i="6" s="1"/>
  <c r="Z69" i="6" s="1"/>
  <c r="K169" i="8"/>
  <c r="AF173" i="6" s="1"/>
  <c r="K163" i="8"/>
  <c r="T180" i="7"/>
  <c r="T182" i="7" s="1"/>
  <c r="X64" i="7"/>
  <c r="X63" i="7"/>
  <c r="Y175" i="7"/>
  <c r="Y129" i="7"/>
  <c r="Y120" i="7"/>
  <c r="Y128" i="7" s="1"/>
  <c r="Y155" i="7" s="1"/>
  <c r="U178" i="7"/>
  <c r="U181" i="7" s="1"/>
  <c r="H93" i="4"/>
  <c r="Z161" i="6"/>
  <c r="Z163" i="6" s="1"/>
  <c r="Z179" i="6" s="1"/>
  <c r="Z162" i="6"/>
  <c r="AA160" i="6" s="1"/>
  <c r="V42" i="5"/>
  <c r="V44" i="5" s="1"/>
  <c r="V48" i="5" s="1"/>
  <c r="V43" i="5"/>
  <c r="W40" i="5" s="1"/>
  <c r="W41" i="5" s="1"/>
  <c r="W14" i="7" s="1"/>
  <c r="T68" i="7"/>
  <c r="T71" i="7" s="1"/>
  <c r="S71" i="7"/>
  <c r="S70" i="7"/>
  <c r="S72" i="7" s="1"/>
  <c r="X174" i="7"/>
  <c r="X173" i="7"/>
  <c r="R72" i="7"/>
  <c r="V78" i="7" l="1"/>
  <c r="V188" i="7"/>
  <c r="V13" i="7"/>
  <c r="V45" i="5"/>
  <c r="V46" i="5"/>
  <c r="U177" i="7"/>
  <c r="U176" i="7"/>
  <c r="AA162" i="6"/>
  <c r="AB160" i="6" s="1"/>
  <c r="AA161" i="6"/>
  <c r="AA163" i="6" s="1"/>
  <c r="AA179" i="6" s="1"/>
  <c r="W43" i="5"/>
  <c r="X40" i="5" s="1"/>
  <c r="W42" i="5"/>
  <c r="W44" i="5" s="1"/>
  <c r="W48" i="5" s="1"/>
  <c r="W152" i="5"/>
  <c r="W154" i="5" s="1"/>
  <c r="W158" i="5" s="1"/>
  <c r="W153" i="5"/>
  <c r="X150" i="5" s="1"/>
  <c r="U131" i="7"/>
  <c r="U130" i="7"/>
  <c r="U156" i="7" s="1"/>
  <c r="U180" i="7"/>
  <c r="U182" i="7" s="1"/>
  <c r="H95" i="4"/>
  <c r="V123" i="7"/>
  <c r="V155" i="5"/>
  <c r="V156" i="5"/>
  <c r="K164" i="8"/>
  <c r="K165" i="8" s="1"/>
  <c r="K191" i="8"/>
  <c r="K190" i="8"/>
  <c r="K189" i="8"/>
  <c r="K188" i="8"/>
  <c r="K187" i="8"/>
  <c r="U21" i="7"/>
  <c r="U20" i="7"/>
  <c r="U46" i="7" s="1"/>
  <c r="V178" i="7"/>
  <c r="V181" i="7" s="1"/>
  <c r="K13" i="8"/>
  <c r="K19" i="8"/>
  <c r="AF63" i="6" s="1"/>
  <c r="Y172" i="7"/>
  <c r="Y179" i="7"/>
  <c r="Z65" i="7"/>
  <c r="Z10" i="7"/>
  <c r="Z18" i="7" s="1"/>
  <c r="Z45" i="7" s="1"/>
  <c r="Z19" i="7"/>
  <c r="Y62" i="7"/>
  <c r="Y69" i="7"/>
  <c r="Z129" i="7"/>
  <c r="Z175" i="7"/>
  <c r="Z120" i="7"/>
  <c r="Z128" i="7" s="1"/>
  <c r="Z155" i="7" s="1"/>
  <c r="AA51" i="6"/>
  <c r="AA53" i="6" s="1"/>
  <c r="AA69" i="6" s="1"/>
  <c r="AA52" i="6"/>
  <c r="AB50" i="6" s="1"/>
  <c r="K18" i="8"/>
  <c r="T70" i="7"/>
  <c r="U67" i="7"/>
  <c r="U66" i="7"/>
  <c r="U68" i="7"/>
  <c r="H33" i="4"/>
  <c r="H85" i="1" s="1"/>
  <c r="W78" i="7" l="1"/>
  <c r="W188" i="7"/>
  <c r="K167" i="8"/>
  <c r="AA65" i="7"/>
  <c r="AA19" i="7"/>
  <c r="AA10" i="7"/>
  <c r="AA18" i="7" s="1"/>
  <c r="AA45" i="7" s="1"/>
  <c r="V177" i="7"/>
  <c r="V176" i="7"/>
  <c r="AA175" i="7"/>
  <c r="AA129" i="7"/>
  <c r="AA120" i="7"/>
  <c r="AA128" i="7" s="1"/>
  <c r="AA155" i="7" s="1"/>
  <c r="V131" i="7"/>
  <c r="V130" i="7"/>
  <c r="V156" i="7" s="1"/>
  <c r="AB162" i="6"/>
  <c r="AB161" i="6"/>
  <c r="AB163" i="6" s="1"/>
  <c r="AB179" i="6" s="1"/>
  <c r="V68" i="7"/>
  <c r="V71" i="7" s="1"/>
  <c r="Z172" i="7"/>
  <c r="Z179" i="7"/>
  <c r="V180" i="7"/>
  <c r="V182" i="7" s="1"/>
  <c r="W13" i="7"/>
  <c r="W45" i="5"/>
  <c r="W46" i="5"/>
  <c r="U71" i="7"/>
  <c r="V67" i="7"/>
  <c r="V66" i="7"/>
  <c r="Y174" i="7"/>
  <c r="Y173" i="7"/>
  <c r="K14" i="8"/>
  <c r="K15" i="8" s="1"/>
  <c r="K41" i="8"/>
  <c r="K38" i="8"/>
  <c r="K39" i="8"/>
  <c r="K37" i="8"/>
  <c r="K40" i="8"/>
  <c r="L162" i="8"/>
  <c r="K171" i="8"/>
  <c r="AF172" i="6"/>
  <c r="Y64" i="7"/>
  <c r="Y63" i="7"/>
  <c r="V20" i="7"/>
  <c r="V46" i="7" s="1"/>
  <c r="V21" i="7"/>
  <c r="AB52" i="6"/>
  <c r="AB51" i="6"/>
  <c r="AB53" i="6" s="1"/>
  <c r="AB69" i="6" s="1"/>
  <c r="J15" i="4" s="1"/>
  <c r="W178" i="7"/>
  <c r="W181" i="7" s="1"/>
  <c r="U70" i="7"/>
  <c r="H35" i="4"/>
  <c r="Z62" i="7"/>
  <c r="Z69" i="7"/>
  <c r="X151" i="5"/>
  <c r="X41" i="5"/>
  <c r="T72" i="7"/>
  <c r="W123" i="7"/>
  <c r="W155" i="5"/>
  <c r="W156" i="5"/>
  <c r="L168" i="8" l="1"/>
  <c r="K17" i="8"/>
  <c r="W67" i="7"/>
  <c r="W66" i="7"/>
  <c r="AB129" i="7"/>
  <c r="AB120" i="7"/>
  <c r="AB128" i="7" s="1"/>
  <c r="AB155" i="7" s="1"/>
  <c r="AC160" i="6"/>
  <c r="J98" i="4"/>
  <c r="L12" i="8"/>
  <c r="W21" i="7"/>
  <c r="W20" i="7"/>
  <c r="W46" i="7" s="1"/>
  <c r="AA62" i="7"/>
  <c r="AA69" i="7"/>
  <c r="X178" i="7"/>
  <c r="X181" i="7" s="1"/>
  <c r="K21" i="8"/>
  <c r="AF62" i="6"/>
  <c r="X14" i="7"/>
  <c r="I20" i="4"/>
  <c r="X124" i="7"/>
  <c r="I80" i="4"/>
  <c r="W180" i="7"/>
  <c r="W182" i="7" s="1"/>
  <c r="W177" i="7"/>
  <c r="W176" i="7"/>
  <c r="J75" i="4"/>
  <c r="V70" i="7"/>
  <c r="U72" i="7"/>
  <c r="AA179" i="7"/>
  <c r="AA172" i="7"/>
  <c r="X43" i="5"/>
  <c r="X153" i="5"/>
  <c r="Z63" i="7"/>
  <c r="Z64" i="7"/>
  <c r="X42" i="5"/>
  <c r="X44" i="5" s="1"/>
  <c r="X152" i="5"/>
  <c r="X154" i="5" s="1"/>
  <c r="L163" i="8"/>
  <c r="L169" i="8"/>
  <c r="AJ173" i="6" s="1"/>
  <c r="Z174" i="7"/>
  <c r="Z173" i="7"/>
  <c r="AB19" i="7"/>
  <c r="AB10" i="7"/>
  <c r="AB18" i="7" s="1"/>
  <c r="AB45" i="7" s="1"/>
  <c r="J25" i="4" s="1"/>
  <c r="W131" i="7"/>
  <c r="W130" i="7"/>
  <c r="W156" i="7" s="1"/>
  <c r="AC50" i="6"/>
  <c r="J38" i="4"/>
  <c r="W68" i="7"/>
  <c r="W71" i="7" s="1"/>
  <c r="X158" i="5" l="1"/>
  <c r="E18" i="5"/>
  <c r="X48" i="5"/>
  <c r="B18" i="5"/>
  <c r="AA174" i="7"/>
  <c r="AA173" i="7"/>
  <c r="Y178" i="7"/>
  <c r="Y181" i="7" s="1"/>
  <c r="I93" i="4"/>
  <c r="L192" i="8"/>
  <c r="L164" i="8"/>
  <c r="L165" i="8" s="1"/>
  <c r="L189" i="8"/>
  <c r="L188" i="8"/>
  <c r="L191" i="8"/>
  <c r="L190" i="8"/>
  <c r="X123" i="7"/>
  <c r="X155" i="5"/>
  <c r="I81" i="4"/>
  <c r="X13" i="7"/>
  <c r="X45" i="5"/>
  <c r="I21" i="4"/>
  <c r="X180" i="7"/>
  <c r="X182" i="7" s="1"/>
  <c r="AA63" i="7"/>
  <c r="AA64" i="7"/>
  <c r="AB172" i="7"/>
  <c r="AB179" i="7"/>
  <c r="X156" i="5"/>
  <c r="L13" i="8"/>
  <c r="L19" i="8"/>
  <c r="AJ63" i="6" s="1"/>
  <c r="L18" i="8"/>
  <c r="AC51" i="6"/>
  <c r="AC53" i="6" s="1"/>
  <c r="AC69" i="6" s="1"/>
  <c r="AC52" i="6"/>
  <c r="AD50" i="6" s="1"/>
  <c r="AC162" i="6"/>
  <c r="AD160" i="6" s="1"/>
  <c r="AC161" i="6"/>
  <c r="AC163" i="6" s="1"/>
  <c r="AC179" i="6" s="1"/>
  <c r="W70" i="7"/>
  <c r="Y150" i="5"/>
  <c r="Y151" i="5" s="1"/>
  <c r="Y124" i="7" s="1"/>
  <c r="I92" i="4"/>
  <c r="V72" i="7"/>
  <c r="X46" i="5"/>
  <c r="Y40" i="5"/>
  <c r="Y41" i="5" s="1"/>
  <c r="Y14" i="7" s="1"/>
  <c r="I32" i="4"/>
  <c r="J85" i="4"/>
  <c r="AB69" i="7"/>
  <c r="AB62" i="7"/>
  <c r="X68" i="7"/>
  <c r="B26" i="5" l="1"/>
  <c r="B21" i="5"/>
  <c r="B16" i="3" s="1"/>
  <c r="B9" i="1" s="1"/>
  <c r="B25" i="5"/>
  <c r="BF78" i="7"/>
  <c r="I18" i="4"/>
  <c r="AP78" i="7"/>
  <c r="BK78" i="7"/>
  <c r="AB78" i="7"/>
  <c r="BC78" i="7"/>
  <c r="BI78" i="7"/>
  <c r="BM78" i="7"/>
  <c r="AK78" i="7"/>
  <c r="Z78" i="7"/>
  <c r="AJ78" i="7"/>
  <c r="BQ78" i="7"/>
  <c r="CF78" i="7"/>
  <c r="AR78" i="7"/>
  <c r="BZ78" i="7"/>
  <c r="BX78" i="7"/>
  <c r="CD78" i="7"/>
  <c r="BT78" i="7"/>
  <c r="BL78" i="7"/>
  <c r="BE78" i="7"/>
  <c r="AX78" i="7"/>
  <c r="Y78" i="7"/>
  <c r="BP78" i="7"/>
  <c r="AU78" i="7"/>
  <c r="AZ78" i="7"/>
  <c r="BG78" i="7"/>
  <c r="AL78" i="7"/>
  <c r="CE78" i="7"/>
  <c r="BY78" i="7"/>
  <c r="AG78" i="7"/>
  <c r="CC78" i="7"/>
  <c r="AN78" i="7"/>
  <c r="AM78" i="7"/>
  <c r="BA78" i="7"/>
  <c r="BN78" i="7"/>
  <c r="AE78" i="7"/>
  <c r="BO78" i="7"/>
  <c r="BV78" i="7"/>
  <c r="AY78" i="7"/>
  <c r="BR78" i="7"/>
  <c r="AQ78" i="7"/>
  <c r="AW78" i="7"/>
  <c r="AD78" i="7"/>
  <c r="CA78" i="7"/>
  <c r="AS78" i="7"/>
  <c r="BS78" i="7"/>
  <c r="BD78" i="7"/>
  <c r="BB78" i="7"/>
  <c r="X78" i="7"/>
  <c r="AC78" i="7"/>
  <c r="AT78" i="7"/>
  <c r="AI78" i="7"/>
  <c r="BW78" i="7"/>
  <c r="AF78" i="7"/>
  <c r="AV78" i="7"/>
  <c r="BJ78" i="7"/>
  <c r="AO78" i="7"/>
  <c r="AA78" i="7"/>
  <c r="BU78" i="7"/>
  <c r="BH78" i="7"/>
  <c r="CB78" i="7"/>
  <c r="AH78" i="7"/>
  <c r="B13" i="11"/>
  <c r="E21" i="5"/>
  <c r="E16" i="3" s="1"/>
  <c r="E26" i="5"/>
  <c r="E25" i="5"/>
  <c r="BB188" i="7"/>
  <c r="AD188" i="7"/>
  <c r="AJ188" i="7"/>
  <c r="CB188" i="7"/>
  <c r="CD188" i="7"/>
  <c r="AT188" i="7"/>
  <c r="AK188" i="7"/>
  <c r="BX188" i="7"/>
  <c r="AI188" i="7"/>
  <c r="BC188" i="7"/>
  <c r="AU188" i="7"/>
  <c r="AC188" i="7"/>
  <c r="BW188" i="7"/>
  <c r="AY188" i="7"/>
  <c r="AN188" i="7"/>
  <c r="BD188" i="7"/>
  <c r="AR188" i="7"/>
  <c r="BF188" i="7"/>
  <c r="BE188" i="7"/>
  <c r="AW188" i="7"/>
  <c r="AE188" i="7"/>
  <c r="BJ188" i="7"/>
  <c r="BL188" i="7"/>
  <c r="I78" i="4"/>
  <c r="AL188" i="7"/>
  <c r="CF188" i="7"/>
  <c r="BT188" i="7"/>
  <c r="BG188" i="7"/>
  <c r="AQ188" i="7"/>
  <c r="BU188" i="7"/>
  <c r="BH188" i="7"/>
  <c r="BP188" i="7"/>
  <c r="AH188" i="7"/>
  <c r="BQ188" i="7"/>
  <c r="BN188" i="7"/>
  <c r="BI188" i="7"/>
  <c r="Y188" i="7"/>
  <c r="AV188" i="7"/>
  <c r="CA188" i="7"/>
  <c r="CC188" i="7"/>
  <c r="AP188" i="7"/>
  <c r="BM188" i="7"/>
  <c r="AB188" i="7"/>
  <c r="BO188" i="7"/>
  <c r="AO188" i="7"/>
  <c r="BS188" i="7"/>
  <c r="BY188" i="7"/>
  <c r="BA188" i="7"/>
  <c r="BZ188" i="7"/>
  <c r="AF188" i="7"/>
  <c r="AX188" i="7"/>
  <c r="AM188" i="7"/>
  <c r="AZ188" i="7"/>
  <c r="CE188" i="7"/>
  <c r="AS188" i="7"/>
  <c r="BK188" i="7"/>
  <c r="Z188" i="7"/>
  <c r="BR188" i="7"/>
  <c r="BV188" i="7"/>
  <c r="X188" i="7"/>
  <c r="AG188" i="7"/>
  <c r="AA188" i="7"/>
  <c r="C13" i="11"/>
  <c r="M162" i="8"/>
  <c r="L171" i="8"/>
  <c r="AJ172" i="6"/>
  <c r="AD51" i="6"/>
  <c r="AD53" i="6" s="1"/>
  <c r="AD69" i="6" s="1"/>
  <c r="AD52" i="6"/>
  <c r="AE50" i="6" s="1"/>
  <c r="AC65" i="7"/>
  <c r="AC19" i="7"/>
  <c r="AC10" i="7"/>
  <c r="AC18" i="7" s="1"/>
  <c r="AC45" i="7" s="1"/>
  <c r="Y68" i="7"/>
  <c r="I33" i="4"/>
  <c r="H86" i="1" s="1"/>
  <c r="X70" i="7"/>
  <c r="Z178" i="7"/>
  <c r="Z181" i="7" s="1"/>
  <c r="AB174" i="7"/>
  <c r="AB173" i="7"/>
  <c r="I23" i="4"/>
  <c r="X71" i="7"/>
  <c r="W72" i="7"/>
  <c r="L14" i="8"/>
  <c r="L15" i="8" s="1"/>
  <c r="L42" i="8"/>
  <c r="L41" i="8"/>
  <c r="L39" i="8"/>
  <c r="L40" i="8"/>
  <c r="L38" i="8"/>
  <c r="Y152" i="5"/>
  <c r="Y153" i="5"/>
  <c r="Z150" i="5" s="1"/>
  <c r="Z151" i="5" s="1"/>
  <c r="Z124" i="7" s="1"/>
  <c r="I83" i="4"/>
  <c r="AB63" i="7"/>
  <c r="AB64" i="7"/>
  <c r="Y43" i="5"/>
  <c r="Z40" i="5" s="1"/>
  <c r="Z41" i="5" s="1"/>
  <c r="Z14" i="7" s="1"/>
  <c r="Y42" i="5"/>
  <c r="AC129" i="7"/>
  <c r="AC175" i="7"/>
  <c r="AC120" i="7"/>
  <c r="AC128" i="7" s="1"/>
  <c r="AC155" i="7" s="1"/>
  <c r="AD162" i="6"/>
  <c r="AE160" i="6" s="1"/>
  <c r="AD161" i="6"/>
  <c r="AD163" i="6" s="1"/>
  <c r="AD179" i="6" s="1"/>
  <c r="L167" i="8"/>
  <c r="Y180" i="7"/>
  <c r="I95" i="4"/>
  <c r="Q152" i="6" l="1"/>
  <c r="R152" i="6"/>
  <c r="T152" i="6"/>
  <c r="S152" i="6"/>
  <c r="U152" i="6"/>
  <c r="V152" i="6"/>
  <c r="W152" i="6"/>
  <c r="X152" i="6"/>
  <c r="Q42" i="6"/>
  <c r="R42" i="6"/>
  <c r="S42" i="6"/>
  <c r="T42" i="6"/>
  <c r="U42" i="6"/>
  <c r="V42" i="6"/>
  <c r="W42" i="6"/>
  <c r="X42" i="6"/>
  <c r="I155" i="6"/>
  <c r="I157" i="6" s="1"/>
  <c r="AP155" i="6"/>
  <c r="AG155" i="6"/>
  <c r="N155" i="6"/>
  <c r="N157" i="6" s="1"/>
  <c r="AE155" i="6"/>
  <c r="AT155" i="6"/>
  <c r="U155" i="6"/>
  <c r="U157" i="6" s="1"/>
  <c r="BR155" i="6"/>
  <c r="BP155" i="6"/>
  <c r="BF155" i="6"/>
  <c r="AQ155" i="6"/>
  <c r="C29" i="11"/>
  <c r="BZ155" i="6"/>
  <c r="AS155" i="6"/>
  <c r="AV155" i="6"/>
  <c r="AO155" i="6"/>
  <c r="D155" i="6"/>
  <c r="AW155" i="6"/>
  <c r="BA155" i="6"/>
  <c r="BH155" i="6"/>
  <c r="R155" i="6"/>
  <c r="R157" i="6" s="1"/>
  <c r="P155" i="6"/>
  <c r="P157" i="6" s="1"/>
  <c r="W155" i="6"/>
  <c r="W157" i="6" s="1"/>
  <c r="E155" i="6"/>
  <c r="E157" i="6" s="1"/>
  <c r="AI155" i="6"/>
  <c r="AX155" i="6"/>
  <c r="K155" i="6"/>
  <c r="K157" i="6" s="1"/>
  <c r="AB155" i="6"/>
  <c r="S155" i="6"/>
  <c r="S157" i="6" s="1"/>
  <c r="AD155" i="6"/>
  <c r="BJ155" i="6"/>
  <c r="CD155" i="6"/>
  <c r="J155" i="6"/>
  <c r="J157" i="6" s="1"/>
  <c r="BG155" i="6"/>
  <c r="BB155" i="6"/>
  <c r="G155" i="6"/>
  <c r="G157" i="6" s="1"/>
  <c r="O155" i="6"/>
  <c r="O157" i="6" s="1"/>
  <c r="CB155" i="6"/>
  <c r="BS155" i="6"/>
  <c r="BV155" i="6"/>
  <c r="AJ155" i="6"/>
  <c r="CF155" i="6"/>
  <c r="V155" i="6"/>
  <c r="V157" i="6" s="1"/>
  <c r="BE155" i="6"/>
  <c r="L155" i="6"/>
  <c r="L157" i="6" s="1"/>
  <c r="AZ155" i="6"/>
  <c r="AU155" i="6"/>
  <c r="BL155" i="6"/>
  <c r="AY155" i="6"/>
  <c r="Y155" i="6"/>
  <c r="H155" i="6"/>
  <c r="H157" i="6" s="1"/>
  <c r="F155" i="6"/>
  <c r="F157" i="6" s="1"/>
  <c r="BU155" i="6"/>
  <c r="AM155" i="6"/>
  <c r="AR155" i="6"/>
  <c r="Q155" i="6"/>
  <c r="Q157" i="6" s="1"/>
  <c r="BW155" i="6"/>
  <c r="BK155" i="6"/>
  <c r="BC155" i="6"/>
  <c r="BQ155" i="6"/>
  <c r="AL155" i="6"/>
  <c r="AN155" i="6"/>
  <c r="T155" i="6"/>
  <c r="T157" i="6" s="1"/>
  <c r="AK155" i="6"/>
  <c r="AH155" i="6"/>
  <c r="M155" i="6"/>
  <c r="M157" i="6" s="1"/>
  <c r="BM155" i="6"/>
  <c r="AF155" i="6"/>
  <c r="CC155" i="6"/>
  <c r="BN155" i="6"/>
  <c r="CE155" i="6"/>
  <c r="BT155" i="6"/>
  <c r="BI155" i="6"/>
  <c r="Z155" i="6"/>
  <c r="AA155" i="6"/>
  <c r="AC155" i="6"/>
  <c r="X155" i="6"/>
  <c r="BY155" i="6"/>
  <c r="BX155" i="6"/>
  <c r="CA155" i="6"/>
  <c r="BO155" i="6"/>
  <c r="BD155" i="6"/>
  <c r="AY152" i="6"/>
  <c r="BF152" i="6"/>
  <c r="AK152" i="6"/>
  <c r="AW152" i="6"/>
  <c r="BW152" i="6"/>
  <c r="AD152" i="6"/>
  <c r="BH152" i="6"/>
  <c r="BQ152" i="6"/>
  <c r="BY152" i="6"/>
  <c r="CB152" i="6"/>
  <c r="CD152" i="6"/>
  <c r="BJ152" i="6"/>
  <c r="AJ152" i="6"/>
  <c r="AU152" i="6"/>
  <c r="CA152" i="6"/>
  <c r="BC152" i="6"/>
  <c r="AV152" i="6"/>
  <c r="CE152" i="6"/>
  <c r="BV152" i="6"/>
  <c r="BN152" i="6"/>
  <c r="CF152" i="6"/>
  <c r="AE152" i="6"/>
  <c r="BL152" i="6"/>
  <c r="AB152" i="6"/>
  <c r="BU152" i="6"/>
  <c r="CC152" i="6"/>
  <c r="AN152" i="6"/>
  <c r="Z152" i="6"/>
  <c r="AA152" i="6"/>
  <c r="BI152" i="6"/>
  <c r="BP152" i="6"/>
  <c r="BG152" i="6"/>
  <c r="AS152" i="6"/>
  <c r="AL152" i="6"/>
  <c r="AQ152" i="6"/>
  <c r="AP152" i="6"/>
  <c r="AI152" i="6"/>
  <c r="BK152" i="6"/>
  <c r="AH152" i="6"/>
  <c r="AC152" i="6"/>
  <c r="BS152" i="6"/>
  <c r="AX152" i="6"/>
  <c r="BT152" i="6"/>
  <c r="AG152" i="6"/>
  <c r="BE152" i="6"/>
  <c r="Y152" i="6"/>
  <c r="BM152" i="6"/>
  <c r="AT152" i="6"/>
  <c r="E27" i="5"/>
  <c r="E23" i="3" s="1"/>
  <c r="AO152" i="6"/>
  <c r="BZ152" i="6"/>
  <c r="AZ152" i="6"/>
  <c r="BO152" i="6"/>
  <c r="BX152" i="6"/>
  <c r="BR152" i="6"/>
  <c r="BA152" i="6"/>
  <c r="AR152" i="6"/>
  <c r="BD152" i="6"/>
  <c r="AM152" i="6"/>
  <c r="BB152" i="6"/>
  <c r="AF152" i="6"/>
  <c r="AG45" i="6"/>
  <c r="BE45" i="6"/>
  <c r="BZ45" i="6"/>
  <c r="AA45" i="6"/>
  <c r="AX45" i="6"/>
  <c r="AU45" i="6"/>
  <c r="BI45" i="6"/>
  <c r="D45" i="6"/>
  <c r="AO45" i="6"/>
  <c r="BX45" i="6"/>
  <c r="M45" i="6"/>
  <c r="M47" i="6" s="1"/>
  <c r="BF45" i="6"/>
  <c r="O45" i="6"/>
  <c r="O47" i="6" s="1"/>
  <c r="R45" i="6"/>
  <c r="B29" i="11"/>
  <c r="AH45" i="6"/>
  <c r="BC45" i="6"/>
  <c r="AQ45" i="6"/>
  <c r="G45" i="6"/>
  <c r="G47" i="6" s="1"/>
  <c r="L45" i="6"/>
  <c r="L47" i="6" s="1"/>
  <c r="W45" i="6"/>
  <c r="CF45" i="6"/>
  <c r="BH45" i="6"/>
  <c r="BJ45" i="6"/>
  <c r="CA45" i="6"/>
  <c r="S45" i="6"/>
  <c r="CC45" i="6"/>
  <c r="AT45" i="6"/>
  <c r="CE45" i="6"/>
  <c r="AP45" i="6"/>
  <c r="CB45" i="6"/>
  <c r="BL45" i="6"/>
  <c r="AB45" i="6"/>
  <c r="BG45" i="6"/>
  <c r="H45" i="6"/>
  <c r="H47" i="6" s="1"/>
  <c r="U45" i="6"/>
  <c r="N45" i="6"/>
  <c r="N47" i="6" s="1"/>
  <c r="BV45" i="6"/>
  <c r="BS45" i="6"/>
  <c r="Z45" i="6"/>
  <c r="I45" i="6"/>
  <c r="I47" i="6" s="1"/>
  <c r="T45" i="6"/>
  <c r="AV45" i="6"/>
  <c r="BQ45" i="6"/>
  <c r="AF45" i="6"/>
  <c r="AS45" i="6"/>
  <c r="E45" i="6"/>
  <c r="E47" i="6" s="1"/>
  <c r="BA45" i="6"/>
  <c r="AY45" i="6"/>
  <c r="BN45" i="6"/>
  <c r="BT45" i="6"/>
  <c r="AM45" i="6"/>
  <c r="AL45" i="6"/>
  <c r="AR45" i="6"/>
  <c r="BY45" i="6"/>
  <c r="P45" i="6"/>
  <c r="P47" i="6" s="1"/>
  <c r="AK45" i="6"/>
  <c r="AD45" i="6"/>
  <c r="BO45" i="6"/>
  <c r="J45" i="6"/>
  <c r="J47" i="6" s="1"/>
  <c r="BK45" i="6"/>
  <c r="X45" i="6"/>
  <c r="BU45" i="6"/>
  <c r="BB45" i="6"/>
  <c r="BW45" i="6"/>
  <c r="BD45" i="6"/>
  <c r="V45" i="6"/>
  <c r="BM45" i="6"/>
  <c r="F45" i="6"/>
  <c r="F47" i="6" s="1"/>
  <c r="K45" i="6"/>
  <c r="K47" i="6" s="1"/>
  <c r="BR45" i="6"/>
  <c r="Q45" i="6"/>
  <c r="AN45" i="6"/>
  <c r="CD45" i="6"/>
  <c r="AC45" i="6"/>
  <c r="AJ45" i="6"/>
  <c r="BP45" i="6"/>
  <c r="AZ45" i="6"/>
  <c r="AE45" i="6"/>
  <c r="AI45" i="6"/>
  <c r="AW45" i="6"/>
  <c r="Y45" i="6"/>
  <c r="D13" i="11"/>
  <c r="BB42" i="6"/>
  <c r="AV42" i="6"/>
  <c r="AT42" i="6"/>
  <c r="AW42" i="6"/>
  <c r="CC42" i="6"/>
  <c r="AS42" i="6"/>
  <c r="BR42" i="6"/>
  <c r="CB42" i="6"/>
  <c r="AR42" i="6"/>
  <c r="Y42" i="6"/>
  <c r="BF42" i="6"/>
  <c r="BK42" i="6"/>
  <c r="AE42" i="6"/>
  <c r="AN42" i="6"/>
  <c r="BE42" i="6"/>
  <c r="BJ42" i="6"/>
  <c r="BW42" i="6"/>
  <c r="AG42" i="6"/>
  <c r="BO42" i="6"/>
  <c r="BY42" i="6"/>
  <c r="AM42" i="6"/>
  <c r="AI42" i="6"/>
  <c r="AX42" i="6"/>
  <c r="BZ42" i="6"/>
  <c r="BM42" i="6"/>
  <c r="CF42" i="6"/>
  <c r="BN42" i="6"/>
  <c r="BV42" i="6"/>
  <c r="BG42" i="6"/>
  <c r="AJ42" i="6"/>
  <c r="BL42" i="6"/>
  <c r="AC42" i="6"/>
  <c r="AD42" i="6"/>
  <c r="CA42" i="6"/>
  <c r="AK42" i="6"/>
  <c r="AB42" i="6"/>
  <c r="AL42" i="6"/>
  <c r="BD42" i="6"/>
  <c r="BT42" i="6"/>
  <c r="BX42" i="6"/>
  <c r="Z42" i="6"/>
  <c r="BS42" i="6"/>
  <c r="BH42" i="6"/>
  <c r="BQ42" i="6"/>
  <c r="AY42" i="6"/>
  <c r="BI42" i="6"/>
  <c r="AP42" i="6"/>
  <c r="AU42" i="6"/>
  <c r="BU42" i="6"/>
  <c r="BP42" i="6"/>
  <c r="AZ42" i="6"/>
  <c r="CD42" i="6"/>
  <c r="AA42" i="6"/>
  <c r="BC42" i="6"/>
  <c r="B27" i="5"/>
  <c r="B23" i="3" s="1"/>
  <c r="AH42" i="6"/>
  <c r="AO42" i="6"/>
  <c r="AF42" i="6"/>
  <c r="BA42" i="6"/>
  <c r="AQ42" i="6"/>
  <c r="CE42" i="6"/>
  <c r="M168" i="8"/>
  <c r="Y123" i="7"/>
  <c r="Y155" i="5"/>
  <c r="Y156" i="5"/>
  <c r="Z153" i="5"/>
  <c r="AA150" i="5" s="1"/>
  <c r="AA151" i="5" s="1"/>
  <c r="AA124" i="7" s="1"/>
  <c r="Z152" i="5"/>
  <c r="Y13" i="7"/>
  <c r="Y45" i="5"/>
  <c r="Y46" i="5"/>
  <c r="AA178" i="7"/>
  <c r="AE52" i="6"/>
  <c r="AF50" i="6" s="1"/>
  <c r="AE51" i="6"/>
  <c r="AE53" i="6" s="1"/>
  <c r="AE69" i="6" s="1"/>
  <c r="Z180" i="7"/>
  <c r="Y182" i="7"/>
  <c r="AD10" i="7"/>
  <c r="AD18" i="7" s="1"/>
  <c r="AD45" i="7" s="1"/>
  <c r="AD65" i="7"/>
  <c r="AD19" i="7"/>
  <c r="Y70" i="7"/>
  <c r="I35" i="4"/>
  <c r="L17" i="8"/>
  <c r="X72" i="7"/>
  <c r="C86" i="1"/>
  <c r="M12" i="8"/>
  <c r="Z68" i="7"/>
  <c r="Y71" i="7"/>
  <c r="Z43" i="5"/>
  <c r="AA40" i="5" s="1"/>
  <c r="AA41" i="5" s="1"/>
  <c r="AA14" i="7" s="1"/>
  <c r="Z42" i="5"/>
  <c r="AE161" i="6"/>
  <c r="AE163" i="6" s="1"/>
  <c r="AE179" i="6" s="1"/>
  <c r="AE162" i="6"/>
  <c r="AF160" i="6" s="1"/>
  <c r="AC69" i="7"/>
  <c r="AC62" i="7"/>
  <c r="L21" i="8"/>
  <c r="AJ62" i="6"/>
  <c r="AD175" i="7"/>
  <c r="AD129" i="7"/>
  <c r="AD120" i="7"/>
  <c r="AD128" i="7" s="1"/>
  <c r="AD155" i="7" s="1"/>
  <c r="M163" i="8"/>
  <c r="M169" i="8"/>
  <c r="AN173" i="6" s="1"/>
  <c r="AC172" i="7"/>
  <c r="AC179" i="7"/>
  <c r="X157" i="6" l="1"/>
  <c r="Q47" i="6"/>
  <c r="R47" i="6"/>
  <c r="D29" i="11"/>
  <c r="T47" i="6"/>
  <c r="S47" i="6"/>
  <c r="W47" i="6"/>
  <c r="W67" i="6" s="1"/>
  <c r="U47" i="6"/>
  <c r="U66" i="6" s="1"/>
  <c r="V47" i="6"/>
  <c r="V66" i="6" s="1"/>
  <c r="X47" i="6"/>
  <c r="Y157" i="6"/>
  <c r="Y176" i="6" s="1"/>
  <c r="Q56" i="6"/>
  <c r="R56" i="6"/>
  <c r="S56" i="6"/>
  <c r="T56" i="6"/>
  <c r="H36" i="4" s="1"/>
  <c r="U56" i="6"/>
  <c r="V56" i="6"/>
  <c r="X56" i="6"/>
  <c r="I36" i="4" s="1"/>
  <c r="W56" i="6"/>
  <c r="Q166" i="6"/>
  <c r="R166" i="6"/>
  <c r="T166" i="6"/>
  <c r="H96" i="4" s="1"/>
  <c r="S166" i="6"/>
  <c r="U166" i="6"/>
  <c r="V166" i="6"/>
  <c r="W166" i="6"/>
  <c r="X166" i="6"/>
  <c r="I96" i="4" s="1"/>
  <c r="AX166" i="6"/>
  <c r="AY166" i="6"/>
  <c r="AW166" i="6"/>
  <c r="BW166" i="6"/>
  <c r="AR166" i="6"/>
  <c r="N96" i="4" s="1"/>
  <c r="CA166" i="6"/>
  <c r="AG166" i="6"/>
  <c r="AT166" i="6"/>
  <c r="AZ166" i="6"/>
  <c r="P96" i="4" s="1"/>
  <c r="AU166" i="6"/>
  <c r="BF166" i="6"/>
  <c r="BZ166" i="6"/>
  <c r="BX166" i="6"/>
  <c r="V96" i="4" s="1"/>
  <c r="BA166" i="6"/>
  <c r="Z166" i="6"/>
  <c r="AA166" i="6"/>
  <c r="BC166" i="6"/>
  <c r="BV166" i="6"/>
  <c r="AC166" i="6"/>
  <c r="AD166" i="6"/>
  <c r="AE166" i="6"/>
  <c r="BL166" i="6"/>
  <c r="S96" i="4" s="1"/>
  <c r="AS166" i="6"/>
  <c r="AL166" i="6"/>
  <c r="BK166" i="6"/>
  <c r="AF166" i="6"/>
  <c r="K96" i="4" s="1"/>
  <c r="BY166" i="6"/>
  <c r="BR166" i="6"/>
  <c r="BN166" i="6"/>
  <c r="CE166" i="6"/>
  <c r="CB166" i="6"/>
  <c r="W96" i="4" s="1"/>
  <c r="AP166" i="6"/>
  <c r="BS166" i="6"/>
  <c r="BO166" i="6"/>
  <c r="BJ166" i="6"/>
  <c r="BI166" i="6"/>
  <c r="CD166" i="6"/>
  <c r="CC166" i="6"/>
  <c r="BM166" i="6"/>
  <c r="BU166" i="6"/>
  <c r="BQ166" i="6"/>
  <c r="BE166" i="6"/>
  <c r="BT166" i="6"/>
  <c r="U96" i="4" s="1"/>
  <c r="BH166" i="6"/>
  <c r="R96" i="4" s="1"/>
  <c r="BD166" i="6"/>
  <c r="Q96" i="4" s="1"/>
  <c r="AB166" i="6"/>
  <c r="J96" i="4" s="1"/>
  <c r="AI166" i="6"/>
  <c r="BG166" i="6"/>
  <c r="AH166" i="6"/>
  <c r="AJ166" i="6"/>
  <c r="L96" i="4" s="1"/>
  <c r="BP166" i="6"/>
  <c r="T96" i="4" s="1"/>
  <c r="AM166" i="6"/>
  <c r="AV166" i="6"/>
  <c r="O96" i="4" s="1"/>
  <c r="BB166" i="6"/>
  <c r="AQ166" i="6"/>
  <c r="AN166" i="6"/>
  <c r="M96" i="4" s="1"/>
  <c r="AK166" i="6"/>
  <c r="CF166" i="6"/>
  <c r="Y166" i="6"/>
  <c r="AO166" i="6"/>
  <c r="E67" i="6"/>
  <c r="E85" i="8"/>
  <c r="E66" i="6"/>
  <c r="R66" i="6"/>
  <c r="R67" i="6"/>
  <c r="S176" i="6"/>
  <c r="S177" i="6"/>
  <c r="BY56" i="6"/>
  <c r="Z56" i="6"/>
  <c r="BU56" i="6"/>
  <c r="BT56" i="6"/>
  <c r="U36" i="4" s="1"/>
  <c r="BB56" i="6"/>
  <c r="AD56" i="6"/>
  <c r="AP56" i="6"/>
  <c r="AU56" i="6"/>
  <c r="CE56" i="6"/>
  <c r="AB56" i="6"/>
  <c r="J36" i="4" s="1"/>
  <c r="BR56" i="6"/>
  <c r="Y56" i="6"/>
  <c r="BO56" i="6"/>
  <c r="AX56" i="6"/>
  <c r="AS56" i="6"/>
  <c r="BS56" i="6"/>
  <c r="BI56" i="6"/>
  <c r="AG56" i="6"/>
  <c r="AF56" i="6"/>
  <c r="K36" i="4" s="1"/>
  <c r="AM56" i="6"/>
  <c r="BW56" i="6"/>
  <c r="BX56" i="6"/>
  <c r="V36" i="4" s="1"/>
  <c r="BD56" i="6"/>
  <c r="Q36" i="4" s="1"/>
  <c r="CA56" i="6"/>
  <c r="AO56" i="6"/>
  <c r="AK56" i="6"/>
  <c r="CB56" i="6"/>
  <c r="W36" i="4" s="1"/>
  <c r="AJ56" i="6"/>
  <c r="L36" i="4" s="1"/>
  <c r="AL56" i="6"/>
  <c r="BK56" i="6"/>
  <c r="BZ56" i="6"/>
  <c r="AR56" i="6"/>
  <c r="N36" i="4" s="1"/>
  <c r="BH56" i="6"/>
  <c r="R36" i="4" s="1"/>
  <c r="AZ56" i="6"/>
  <c r="P36" i="4" s="1"/>
  <c r="BV56" i="6"/>
  <c r="AT56" i="6"/>
  <c r="BN56" i="6"/>
  <c r="AN56" i="6"/>
  <c r="M36" i="4" s="1"/>
  <c r="AY56" i="6"/>
  <c r="CD56" i="6"/>
  <c r="AI56" i="6"/>
  <c r="CC56" i="6"/>
  <c r="AV56" i="6"/>
  <c r="O36" i="4" s="1"/>
  <c r="BF56" i="6"/>
  <c r="AQ56" i="6"/>
  <c r="AA56" i="6"/>
  <c r="BJ56" i="6"/>
  <c r="AW56" i="6"/>
  <c r="AH56" i="6"/>
  <c r="BA56" i="6"/>
  <c r="BE56" i="6"/>
  <c r="BG56" i="6"/>
  <c r="CF56" i="6"/>
  <c r="BC56" i="6"/>
  <c r="BQ56" i="6"/>
  <c r="BL56" i="6"/>
  <c r="S36" i="4" s="1"/>
  <c r="BP56" i="6"/>
  <c r="T36" i="4" s="1"/>
  <c r="AC56" i="6"/>
  <c r="AE56" i="6"/>
  <c r="BM56" i="6"/>
  <c r="O66" i="6"/>
  <c r="O67" i="6"/>
  <c r="J67" i="6"/>
  <c r="J66" i="6"/>
  <c r="V177" i="6"/>
  <c r="V176" i="6"/>
  <c r="K177" i="6"/>
  <c r="K176" i="6"/>
  <c r="M66" i="6"/>
  <c r="M67" i="6"/>
  <c r="G85" i="8"/>
  <c r="S67" i="6"/>
  <c r="S66" i="6"/>
  <c r="F85" i="8"/>
  <c r="I66" i="6"/>
  <c r="I67" i="6"/>
  <c r="Q176" i="6"/>
  <c r="Q177" i="6"/>
  <c r="H235" i="8"/>
  <c r="E176" i="6"/>
  <c r="E177" i="6"/>
  <c r="E235" i="8"/>
  <c r="Q66" i="6"/>
  <c r="Q67" i="6"/>
  <c r="H85" i="8"/>
  <c r="BF57" i="6"/>
  <c r="Y57" i="6"/>
  <c r="AZ57" i="6"/>
  <c r="BV57" i="6"/>
  <c r="BL57" i="6"/>
  <c r="BO57" i="6"/>
  <c r="CB57" i="6"/>
  <c r="AI57" i="6"/>
  <c r="BJ57" i="6"/>
  <c r="AR57" i="6"/>
  <c r="T57" i="6"/>
  <c r="N57" i="6"/>
  <c r="Z57" i="6"/>
  <c r="E57" i="6"/>
  <c r="K57" i="6"/>
  <c r="BP57" i="6"/>
  <c r="BB57" i="6"/>
  <c r="D47" i="6"/>
  <c r="BE57" i="6"/>
  <c r="X57" i="6"/>
  <c r="AN57" i="6"/>
  <c r="AL57" i="6"/>
  <c r="AE57" i="6"/>
  <c r="R57" i="6"/>
  <c r="BD57" i="6"/>
  <c r="F57" i="6"/>
  <c r="AD57" i="6"/>
  <c r="BY57" i="6"/>
  <c r="BC57" i="6"/>
  <c r="AT57" i="6"/>
  <c r="M57" i="6"/>
  <c r="AY57" i="6"/>
  <c r="AM57" i="6"/>
  <c r="BN57" i="6"/>
  <c r="BA57" i="6"/>
  <c r="CA57" i="6"/>
  <c r="AW57" i="6"/>
  <c r="AA57" i="6"/>
  <c r="AQ57" i="6"/>
  <c r="AF57" i="6"/>
  <c r="CC57" i="6"/>
  <c r="BX57" i="6"/>
  <c r="BM57" i="6"/>
  <c r="BW57" i="6"/>
  <c r="AC57" i="6"/>
  <c r="I57" i="6"/>
  <c r="W57" i="6"/>
  <c r="BG57" i="6"/>
  <c r="BR57" i="6"/>
  <c r="G57" i="6"/>
  <c r="BH57" i="6"/>
  <c r="AH57" i="6"/>
  <c r="Q57" i="6"/>
  <c r="AK57" i="6"/>
  <c r="V57" i="6"/>
  <c r="CD57" i="6"/>
  <c r="H57" i="6"/>
  <c r="S57" i="6"/>
  <c r="BZ57" i="6"/>
  <c r="BU57" i="6"/>
  <c r="BT57" i="6"/>
  <c r="AJ57" i="6"/>
  <c r="O57" i="6"/>
  <c r="BQ57" i="6"/>
  <c r="CF57" i="6"/>
  <c r="J57" i="6"/>
  <c r="BS57" i="6"/>
  <c r="BI57" i="6"/>
  <c r="AO57" i="6"/>
  <c r="P57" i="6"/>
  <c r="AB57" i="6"/>
  <c r="AX57" i="6"/>
  <c r="L57" i="6"/>
  <c r="AS57" i="6"/>
  <c r="AP57" i="6"/>
  <c r="AU57" i="6"/>
  <c r="D57" i="6"/>
  <c r="AV57" i="6"/>
  <c r="BK57" i="6"/>
  <c r="U57" i="6"/>
  <c r="AG57" i="6"/>
  <c r="CE57" i="6"/>
  <c r="W176" i="6"/>
  <c r="W177" i="6"/>
  <c r="U177" i="6"/>
  <c r="U176" i="6"/>
  <c r="K67" i="6"/>
  <c r="K66" i="6"/>
  <c r="O177" i="6"/>
  <c r="O176" i="6"/>
  <c r="R176" i="6"/>
  <c r="R177" i="6"/>
  <c r="F66" i="6"/>
  <c r="F67" i="6"/>
  <c r="N66" i="6"/>
  <c r="N67" i="6"/>
  <c r="F176" i="6"/>
  <c r="F177" i="6"/>
  <c r="G176" i="6"/>
  <c r="G177" i="6"/>
  <c r="N176" i="6"/>
  <c r="N177" i="6"/>
  <c r="U67" i="6"/>
  <c r="V67" i="6"/>
  <c r="G66" i="6"/>
  <c r="G67" i="6"/>
  <c r="M177" i="6"/>
  <c r="M176" i="6"/>
  <c r="G235" i="8"/>
  <c r="Y47" i="6"/>
  <c r="Y66" i="6" s="1"/>
  <c r="J177" i="6"/>
  <c r="J176" i="6"/>
  <c r="H167" i="6"/>
  <c r="G167" i="6"/>
  <c r="CA167" i="6"/>
  <c r="AC167" i="6"/>
  <c r="BK167" i="6"/>
  <c r="AK167" i="6"/>
  <c r="R167" i="6"/>
  <c r="AA167" i="6"/>
  <c r="AP167" i="6"/>
  <c r="BO167" i="6"/>
  <c r="AL167" i="6"/>
  <c r="BT167" i="6"/>
  <c r="BJ167" i="6"/>
  <c r="AX167" i="6"/>
  <c r="L167" i="6"/>
  <c r="BW167" i="6"/>
  <c r="BG167" i="6"/>
  <c r="X167" i="6"/>
  <c r="AH167" i="6"/>
  <c r="Q167" i="6"/>
  <c r="AZ167" i="6"/>
  <c r="BL167" i="6"/>
  <c r="AV167" i="6"/>
  <c r="AQ167" i="6"/>
  <c r="CF167" i="6"/>
  <c r="Y167" i="6"/>
  <c r="BV167" i="6"/>
  <c r="N167" i="6"/>
  <c r="BR167" i="6"/>
  <c r="M167" i="6"/>
  <c r="F167" i="6"/>
  <c r="AB167" i="6"/>
  <c r="AD167" i="6"/>
  <c r="S167" i="6"/>
  <c r="BQ167" i="6"/>
  <c r="BP167" i="6"/>
  <c r="AO167" i="6"/>
  <c r="I167" i="6"/>
  <c r="AM167" i="6"/>
  <c r="BC167" i="6"/>
  <c r="D167" i="6"/>
  <c r="AW167" i="6"/>
  <c r="AI167" i="6"/>
  <c r="AY167" i="6"/>
  <c r="CD167" i="6"/>
  <c r="BY167" i="6"/>
  <c r="O167" i="6"/>
  <c r="T167" i="6"/>
  <c r="U167" i="6"/>
  <c r="BD167" i="6"/>
  <c r="W167" i="6"/>
  <c r="AJ167" i="6"/>
  <c r="V167" i="6"/>
  <c r="J167" i="6"/>
  <c r="CE167" i="6"/>
  <c r="BA167" i="6"/>
  <c r="BS167" i="6"/>
  <c r="AU167" i="6"/>
  <c r="BB167" i="6"/>
  <c r="BU167" i="6"/>
  <c r="BX167" i="6"/>
  <c r="E167" i="6"/>
  <c r="CB167" i="6"/>
  <c r="BN167" i="6"/>
  <c r="BI167" i="6"/>
  <c r="D157" i="6"/>
  <c r="BF167" i="6"/>
  <c r="AG167" i="6"/>
  <c r="AE167" i="6"/>
  <c r="AF167" i="6"/>
  <c r="BE167" i="6"/>
  <c r="AR167" i="6"/>
  <c r="P167" i="6"/>
  <c r="BM167" i="6"/>
  <c r="K167" i="6"/>
  <c r="CC167" i="6"/>
  <c r="Z167" i="6"/>
  <c r="AN167" i="6"/>
  <c r="BZ167" i="6"/>
  <c r="BH167" i="6"/>
  <c r="AT167" i="6"/>
  <c r="AS167" i="6"/>
  <c r="I177" i="6"/>
  <c r="I176" i="6"/>
  <c r="F235" i="8"/>
  <c r="Y21" i="7"/>
  <c r="Y20" i="7"/>
  <c r="Y46" i="7" s="1"/>
  <c r="Z123" i="7"/>
  <c r="Z155" i="5"/>
  <c r="Z157" i="6" s="1"/>
  <c r="Z156" i="5"/>
  <c r="AA153" i="5"/>
  <c r="AB150" i="5" s="1"/>
  <c r="AA152" i="5"/>
  <c r="M13" i="8"/>
  <c r="M19" i="8"/>
  <c r="AN63" i="6" s="1"/>
  <c r="Y177" i="7"/>
  <c r="Y176" i="7"/>
  <c r="AA68" i="7"/>
  <c r="AE129" i="7"/>
  <c r="AE120" i="7"/>
  <c r="AE128" i="7" s="1"/>
  <c r="AE155" i="7" s="1"/>
  <c r="AE175" i="7"/>
  <c r="Y130" i="7"/>
  <c r="Y156" i="7" s="1"/>
  <c r="Y131" i="7"/>
  <c r="Z13" i="7"/>
  <c r="Z45" i="5"/>
  <c r="Z47" i="6" s="1"/>
  <c r="Z46" i="5"/>
  <c r="AA180" i="7"/>
  <c r="AD62" i="7"/>
  <c r="AD69" i="7"/>
  <c r="M18" i="8"/>
  <c r="Z182" i="7"/>
  <c r="AD172" i="7"/>
  <c r="AD179" i="7"/>
  <c r="AF162" i="6"/>
  <c r="AF161" i="6"/>
  <c r="AF163" i="6" s="1"/>
  <c r="AF179" i="6" s="1"/>
  <c r="K75" i="4" s="1"/>
  <c r="AC174" i="7"/>
  <c r="AC173" i="7"/>
  <c r="AE65" i="7"/>
  <c r="AE19" i="7"/>
  <c r="AE10" i="7"/>
  <c r="AE18" i="7" s="1"/>
  <c r="AE45" i="7" s="1"/>
  <c r="Z71" i="7"/>
  <c r="AF52" i="6"/>
  <c r="AF51" i="6"/>
  <c r="AF53" i="6" s="1"/>
  <c r="AF69" i="6" s="1"/>
  <c r="K15" i="4" s="1"/>
  <c r="Z70" i="7"/>
  <c r="AB178" i="7"/>
  <c r="AC63" i="7"/>
  <c r="AC64" i="7"/>
  <c r="AA43" i="5"/>
  <c r="AB40" i="5" s="1"/>
  <c r="AA42" i="5"/>
  <c r="Y72" i="7"/>
  <c r="AA181" i="7"/>
  <c r="M164" i="8"/>
  <c r="M165" i="8" s="1"/>
  <c r="M193" i="8"/>
  <c r="M189" i="8"/>
  <c r="M190" i="8"/>
  <c r="M191" i="8"/>
  <c r="M192" i="8"/>
  <c r="Y67" i="7"/>
  <c r="Y66" i="7"/>
  <c r="Y177" i="6" l="1"/>
  <c r="W66" i="6"/>
  <c r="I85" i="8"/>
  <c r="Y67" i="6"/>
  <c r="D177" i="6"/>
  <c r="D235" i="8"/>
  <c r="D176" i="6"/>
  <c r="D77" i="4" s="1"/>
  <c r="E95" i="8"/>
  <c r="E91" i="8"/>
  <c r="E111" i="8" s="1"/>
  <c r="F95" i="8"/>
  <c r="F91" i="8"/>
  <c r="F112" i="8" s="1"/>
  <c r="G241" i="8"/>
  <c r="G263" i="8" s="1"/>
  <c r="G245" i="8"/>
  <c r="D67" i="6"/>
  <c r="D66" i="6"/>
  <c r="D17" i="4" s="1"/>
  <c r="D85" i="8"/>
  <c r="G95" i="8"/>
  <c r="G91" i="8"/>
  <c r="G113" i="8" s="1"/>
  <c r="E45" i="3"/>
  <c r="X96" i="4"/>
  <c r="CF171" i="6"/>
  <c r="X236" i="8" s="1"/>
  <c r="H95" i="8"/>
  <c r="H91" i="8"/>
  <c r="H114" i="8" s="1"/>
  <c r="B45" i="3"/>
  <c r="F36" i="1" s="1"/>
  <c r="X36" i="4"/>
  <c r="CF61" i="6"/>
  <c r="X86" i="8" s="1"/>
  <c r="E245" i="8"/>
  <c r="E241" i="8"/>
  <c r="E261" i="8" s="1"/>
  <c r="I91" i="8"/>
  <c r="I115" i="8" s="1"/>
  <c r="I95" i="8"/>
  <c r="H241" i="8"/>
  <c r="H264" i="8" s="1"/>
  <c r="H245" i="8"/>
  <c r="F245" i="8"/>
  <c r="F241" i="8"/>
  <c r="F262" i="8" s="1"/>
  <c r="M14" i="8"/>
  <c r="M15" i="8" s="1"/>
  <c r="M43" i="8"/>
  <c r="M41" i="8"/>
  <c r="M42" i="8"/>
  <c r="M40" i="8"/>
  <c r="M39" i="8"/>
  <c r="AB41" i="5"/>
  <c r="AA123" i="7"/>
  <c r="AA155" i="5"/>
  <c r="AA157" i="6" s="1"/>
  <c r="AA156" i="5"/>
  <c r="AE62" i="7"/>
  <c r="AE69" i="7"/>
  <c r="AD63" i="7"/>
  <c r="AD64" i="7"/>
  <c r="AE172" i="7"/>
  <c r="AE179" i="7"/>
  <c r="AB151" i="5"/>
  <c r="AB153" i="5" s="1"/>
  <c r="Z177" i="7"/>
  <c r="Z176" i="7"/>
  <c r="N162" i="8"/>
  <c r="AC178" i="7"/>
  <c r="J93" i="4"/>
  <c r="Z177" i="6"/>
  <c r="Z176" i="6"/>
  <c r="M167" i="8"/>
  <c r="AB181" i="7"/>
  <c r="Z131" i="7"/>
  <c r="Z130" i="7"/>
  <c r="Z156" i="7" s="1"/>
  <c r="AA70" i="7"/>
  <c r="AA72" i="7" s="1"/>
  <c r="AB68" i="7"/>
  <c r="AA71" i="7"/>
  <c r="AA13" i="7"/>
  <c r="AA45" i="5"/>
  <c r="AA47" i="6" s="1"/>
  <c r="AA46" i="5"/>
  <c r="M171" i="8"/>
  <c r="AN172" i="6"/>
  <c r="Z72" i="7"/>
  <c r="AF129" i="7"/>
  <c r="AF120" i="7"/>
  <c r="AF128" i="7" s="1"/>
  <c r="AF155" i="7" s="1"/>
  <c r="K85" i="4" s="1"/>
  <c r="AB180" i="7"/>
  <c r="AB182" i="7" s="1"/>
  <c r="AF19" i="7"/>
  <c r="AF10" i="7"/>
  <c r="AF18" i="7" s="1"/>
  <c r="AF45" i="7" s="1"/>
  <c r="K25" i="4" s="1"/>
  <c r="AG160" i="6"/>
  <c r="K98" i="4"/>
  <c r="AA182" i="7"/>
  <c r="AG50" i="6"/>
  <c r="K38" i="4"/>
  <c r="Z67" i="7"/>
  <c r="Z66" i="7"/>
  <c r="AD173" i="7"/>
  <c r="AD174" i="7"/>
  <c r="Z66" i="6"/>
  <c r="Z67" i="6"/>
  <c r="Z21" i="7"/>
  <c r="Z20" i="7"/>
  <c r="Z46" i="7" s="1"/>
  <c r="D91" i="8" l="1"/>
  <c r="D110" i="8" s="1"/>
  <c r="D88" i="8"/>
  <c r="D89" i="8" s="1"/>
  <c r="D90" i="8" s="1"/>
  <c r="D95" i="8"/>
  <c r="D94" i="8"/>
  <c r="D65" i="6" s="1"/>
  <c r="D21" i="7" s="1"/>
  <c r="D37" i="7" s="1"/>
  <c r="D40" i="7" s="1"/>
  <c r="D241" i="8"/>
  <c r="D260" i="8" s="1"/>
  <c r="D244" i="8"/>
  <c r="D175" i="6" s="1"/>
  <c r="D131" i="7" s="1"/>
  <c r="D147" i="7" s="1"/>
  <c r="D150" i="7" s="1"/>
  <c r="D245" i="8"/>
  <c r="D238" i="8"/>
  <c r="D239" i="8" s="1"/>
  <c r="D240" i="8" s="1"/>
  <c r="N168" i="8"/>
  <c r="M17" i="8"/>
  <c r="AA66" i="6"/>
  <c r="AA67" i="6"/>
  <c r="AA130" i="7"/>
  <c r="AA156" i="7" s="1"/>
  <c r="AA131" i="7"/>
  <c r="AA20" i="7"/>
  <c r="AA46" i="7" s="1"/>
  <c r="AA21" i="7"/>
  <c r="AB14" i="7"/>
  <c r="J20" i="4"/>
  <c r="AB124" i="7"/>
  <c r="J80" i="4"/>
  <c r="AB42" i="5"/>
  <c r="AB46" i="5" s="1"/>
  <c r="J23" i="4" s="1"/>
  <c r="AC180" i="7"/>
  <c r="AC182" i="7" s="1"/>
  <c r="J95" i="4"/>
  <c r="AB152" i="5"/>
  <c r="AB43" i="5"/>
  <c r="AA177" i="7"/>
  <c r="AA176" i="7"/>
  <c r="J92" i="4"/>
  <c r="AC150" i="5"/>
  <c r="AC151" i="5" s="1"/>
  <c r="AC124" i="7" s="1"/>
  <c r="N12" i="8"/>
  <c r="AC68" i="7"/>
  <c r="AC71" i="7" s="1"/>
  <c r="J33" i="4"/>
  <c r="H87" i="1" s="1"/>
  <c r="AE173" i="7"/>
  <c r="AE174" i="7"/>
  <c r="AA177" i="6"/>
  <c r="AA176" i="6"/>
  <c r="AG52" i="6"/>
  <c r="AH50" i="6" s="1"/>
  <c r="AG51" i="6"/>
  <c r="AG53" i="6" s="1"/>
  <c r="AG69" i="6" s="1"/>
  <c r="AD178" i="7"/>
  <c r="AF179" i="7"/>
  <c r="AF172" i="7"/>
  <c r="AC181" i="7"/>
  <c r="AB71" i="7"/>
  <c r="AG161" i="6"/>
  <c r="AG163" i="6" s="1"/>
  <c r="AG179" i="6" s="1"/>
  <c r="AG162" i="6"/>
  <c r="AH160" i="6" s="1"/>
  <c r="AB70" i="7"/>
  <c r="M21" i="8"/>
  <c r="AN62" i="6"/>
  <c r="N169" i="8"/>
  <c r="AR173" i="6" s="1"/>
  <c r="N163" i="8"/>
  <c r="AF62" i="7"/>
  <c r="AF69" i="7"/>
  <c r="AE63" i="7"/>
  <c r="AE64" i="7"/>
  <c r="AA67" i="7"/>
  <c r="AA66" i="7"/>
  <c r="D174" i="6" l="1"/>
  <c r="D246" i="8"/>
  <c r="E237" i="8"/>
  <c r="D242" i="8"/>
  <c r="D64" i="6"/>
  <c r="D96" i="8"/>
  <c r="D92" i="8"/>
  <c r="E87" i="8"/>
  <c r="AF173" i="7"/>
  <c r="AF174" i="7"/>
  <c r="AE178" i="7"/>
  <c r="AE181" i="7" s="1"/>
  <c r="AD181" i="7"/>
  <c r="AD68" i="7"/>
  <c r="AD71" i="7" s="1"/>
  <c r="AC40" i="5"/>
  <c r="AC41" i="5" s="1"/>
  <c r="AC14" i="7" s="1"/>
  <c r="J32" i="4"/>
  <c r="AF63" i="7"/>
  <c r="AF64" i="7"/>
  <c r="AB123" i="7"/>
  <c r="AB155" i="5"/>
  <c r="AB157" i="6" s="1"/>
  <c r="J81" i="4"/>
  <c r="AG175" i="7"/>
  <c r="AG129" i="7"/>
  <c r="AG120" i="7"/>
  <c r="AG128" i="7" s="1"/>
  <c r="AG155" i="7" s="1"/>
  <c r="AH162" i="6"/>
  <c r="AI160" i="6" s="1"/>
  <c r="AH161" i="6"/>
  <c r="AH163" i="6" s="1"/>
  <c r="AH179" i="6" s="1"/>
  <c r="N164" i="8"/>
  <c r="N165" i="8" s="1"/>
  <c r="N194" i="8"/>
  <c r="N191" i="8"/>
  <c r="N190" i="8"/>
  <c r="N192" i="8"/>
  <c r="N193" i="8"/>
  <c r="N13" i="8"/>
  <c r="N19" i="8"/>
  <c r="AR63" i="6" s="1"/>
  <c r="AG65" i="7"/>
  <c r="AG19" i="7"/>
  <c r="AG10" i="7"/>
  <c r="AG18" i="7" s="1"/>
  <c r="AG45" i="7" s="1"/>
  <c r="AD180" i="7"/>
  <c r="AD182" i="7" s="1"/>
  <c r="AH52" i="6"/>
  <c r="AI50" i="6" s="1"/>
  <c r="AH51" i="6"/>
  <c r="AH53" i="6" s="1"/>
  <c r="AH69" i="6" s="1"/>
  <c r="AB13" i="7"/>
  <c r="AB45" i="5"/>
  <c r="AB47" i="6" s="1"/>
  <c r="J21" i="4"/>
  <c r="AC153" i="5"/>
  <c r="AD150" i="5" s="1"/>
  <c r="AD151" i="5" s="1"/>
  <c r="AD124" i="7" s="1"/>
  <c r="AC152" i="5"/>
  <c r="AC70" i="7"/>
  <c r="J35" i="4"/>
  <c r="C87" i="1"/>
  <c r="AB72" i="7"/>
  <c r="N18" i="8"/>
  <c r="AB156" i="5"/>
  <c r="E94" i="8" l="1"/>
  <c r="E88" i="8"/>
  <c r="E93" i="8"/>
  <c r="D65" i="7"/>
  <c r="D20" i="7"/>
  <c r="D16" i="4"/>
  <c r="E243" i="8"/>
  <c r="E244" i="8"/>
  <c r="E238" i="8"/>
  <c r="D76" i="4"/>
  <c r="D130" i="7"/>
  <c r="D175" i="7"/>
  <c r="J235" i="8"/>
  <c r="N14" i="8"/>
  <c r="N15" i="8" s="1"/>
  <c r="N44" i="8"/>
  <c r="N43" i="8"/>
  <c r="N40" i="8"/>
  <c r="N41" i="8"/>
  <c r="N42" i="8"/>
  <c r="J83" i="4"/>
  <c r="AC43" i="5"/>
  <c r="AD40" i="5" s="1"/>
  <c r="AD41" i="5" s="1"/>
  <c r="AD14" i="7" s="1"/>
  <c r="AC42" i="5"/>
  <c r="AI52" i="6"/>
  <c r="AJ50" i="6" s="1"/>
  <c r="AI51" i="6"/>
  <c r="AI53" i="6" s="1"/>
  <c r="AI69" i="6" s="1"/>
  <c r="AE180" i="7"/>
  <c r="AE182" i="7" s="1"/>
  <c r="N171" i="8"/>
  <c r="AR172" i="6"/>
  <c r="AE68" i="7"/>
  <c r="AH65" i="7"/>
  <c r="AH19" i="7"/>
  <c r="AH10" i="7"/>
  <c r="AH18" i="7" s="1"/>
  <c r="AH45" i="7" s="1"/>
  <c r="AG62" i="7"/>
  <c r="AG69" i="7"/>
  <c r="AI162" i="6"/>
  <c r="AJ160" i="6" s="1"/>
  <c r="AI161" i="6"/>
  <c r="AI163" i="6" s="1"/>
  <c r="AI179" i="6" s="1"/>
  <c r="AG179" i="7"/>
  <c r="AG172" i="7"/>
  <c r="AH175" i="7"/>
  <c r="AH129" i="7"/>
  <c r="AH120" i="7"/>
  <c r="AH128" i="7" s="1"/>
  <c r="AH155" i="7" s="1"/>
  <c r="AD70" i="7"/>
  <c r="AF178" i="7"/>
  <c r="AF181" i="7" s="1"/>
  <c r="O162" i="8"/>
  <c r="AC72" i="7"/>
  <c r="AC123" i="7"/>
  <c r="AC155" i="5"/>
  <c r="AC157" i="6" s="1"/>
  <c r="AC156" i="5"/>
  <c r="N167" i="8"/>
  <c r="AD153" i="5"/>
  <c r="AE150" i="5" s="1"/>
  <c r="AE151" i="5" s="1"/>
  <c r="AE124" i="7" s="1"/>
  <c r="AD152" i="5"/>
  <c r="D82" i="4" l="1"/>
  <c r="D177" i="7"/>
  <c r="D91" i="4" s="1"/>
  <c r="D156" i="7"/>
  <c r="D137" i="7"/>
  <c r="E260" i="8"/>
  <c r="E239" i="8"/>
  <c r="E240" i="8" s="1"/>
  <c r="H175" i="6"/>
  <c r="H131" i="7" s="1"/>
  <c r="H177" i="6"/>
  <c r="D46" i="7"/>
  <c r="D27" i="7"/>
  <c r="D22" i="4"/>
  <c r="B81" i="1" s="1"/>
  <c r="D67" i="7"/>
  <c r="D31" i="4" s="1"/>
  <c r="E89" i="8"/>
  <c r="E90" i="8" s="1"/>
  <c r="E110" i="8"/>
  <c r="H65" i="6"/>
  <c r="H21" i="7" s="1"/>
  <c r="H67" i="6"/>
  <c r="AI65" i="7"/>
  <c r="AI19" i="7"/>
  <c r="AI10" i="7"/>
  <c r="AI18" i="7" s="1"/>
  <c r="AI45" i="7" s="1"/>
  <c r="O12" i="8"/>
  <c r="AJ52" i="6"/>
  <c r="AJ51" i="6"/>
  <c r="AJ53" i="6" s="1"/>
  <c r="AJ69" i="6" s="1"/>
  <c r="N17" i="8"/>
  <c r="AF180" i="7"/>
  <c r="AF182" i="7" s="1"/>
  <c r="AE70" i="7"/>
  <c r="AE72" i="7" s="1"/>
  <c r="AH62" i="7"/>
  <c r="AH69" i="7"/>
  <c r="N21" i="8"/>
  <c r="AR62" i="6"/>
  <c r="AC130" i="7"/>
  <c r="AC156" i="7" s="1"/>
  <c r="AC131" i="7"/>
  <c r="AD72" i="7"/>
  <c r="AG173" i="7"/>
  <c r="AG174" i="7"/>
  <c r="AC177" i="7"/>
  <c r="AC176" i="7"/>
  <c r="O163" i="8"/>
  <c r="O169" i="8"/>
  <c r="AV173" i="6" s="1"/>
  <c r="J241" i="8"/>
  <c r="J266" i="8" s="1"/>
  <c r="J245" i="8"/>
  <c r="AH179" i="7"/>
  <c r="AH172" i="7"/>
  <c r="AC177" i="6"/>
  <c r="AC176" i="6"/>
  <c r="AC13" i="7"/>
  <c r="AC45" i="5"/>
  <c r="AC47" i="6" s="1"/>
  <c r="AC46" i="5"/>
  <c r="AG63" i="7"/>
  <c r="AG64" i="7"/>
  <c r="AF68" i="7"/>
  <c r="AD42" i="5"/>
  <c r="AD43" i="5"/>
  <c r="AE40" i="5" s="1"/>
  <c r="AE41" i="5" s="1"/>
  <c r="AE14" i="7" s="1"/>
  <c r="AJ161" i="6"/>
  <c r="AJ163" i="6" s="1"/>
  <c r="AJ179" i="6" s="1"/>
  <c r="AJ162" i="6"/>
  <c r="AD123" i="7"/>
  <c r="AD155" i="5"/>
  <c r="AD157" i="6" s="1"/>
  <c r="AD156" i="5"/>
  <c r="AE153" i="5"/>
  <c r="AF150" i="5" s="1"/>
  <c r="AE152" i="5"/>
  <c r="O168" i="8"/>
  <c r="AG178" i="7"/>
  <c r="AG181" i="7" s="1"/>
  <c r="K93" i="4"/>
  <c r="AE71" i="7"/>
  <c r="AI120" i="7"/>
  <c r="AI128" i="7" s="1"/>
  <c r="AI155" i="7" s="1"/>
  <c r="AI175" i="7"/>
  <c r="AI129" i="7"/>
  <c r="E92" i="8" l="1"/>
  <c r="F87" i="8"/>
  <c r="H64" i="6"/>
  <c r="E96" i="8"/>
  <c r="H66" i="6"/>
  <c r="E17" i="4" s="1"/>
  <c r="D49" i="7"/>
  <c r="D30" i="7"/>
  <c r="D76" i="7"/>
  <c r="D54" i="7"/>
  <c r="D55" i="7" s="1"/>
  <c r="D60" i="7" s="1"/>
  <c r="H174" i="6"/>
  <c r="E246" i="8"/>
  <c r="H176" i="6"/>
  <c r="E77" i="4" s="1"/>
  <c r="E242" i="8"/>
  <c r="F237" i="8"/>
  <c r="D159" i="7"/>
  <c r="D140" i="7"/>
  <c r="D164" i="7"/>
  <c r="D165" i="7" s="1"/>
  <c r="D170" i="7" s="1"/>
  <c r="D186" i="7"/>
  <c r="O18" i="8"/>
  <c r="AK50" i="6"/>
  <c r="L38" i="4"/>
  <c r="AC67" i="7"/>
  <c r="AC66" i="7"/>
  <c r="O13" i="8"/>
  <c r="O19" i="8"/>
  <c r="AV63" i="6" s="1"/>
  <c r="AJ19" i="7"/>
  <c r="AJ10" i="7"/>
  <c r="AJ18" i="7" s="1"/>
  <c r="AJ45" i="7" s="1"/>
  <c r="AC66" i="6"/>
  <c r="AC67" i="6"/>
  <c r="AH63" i="7"/>
  <c r="AH64" i="7"/>
  <c r="AI62" i="7"/>
  <c r="AI69" i="7"/>
  <c r="AJ129" i="7"/>
  <c r="AJ120" i="7"/>
  <c r="AJ128" i="7" s="1"/>
  <c r="AJ155" i="7" s="1"/>
  <c r="L85" i="4" s="1"/>
  <c r="O164" i="8"/>
  <c r="O165" i="8" s="1"/>
  <c r="O195" i="8"/>
  <c r="O193" i="8"/>
  <c r="O192" i="8"/>
  <c r="O194" i="8"/>
  <c r="O191" i="8"/>
  <c r="AF70" i="7"/>
  <c r="AF72" i="7" s="1"/>
  <c r="AD177" i="6"/>
  <c r="AD176" i="6"/>
  <c r="AD130" i="7"/>
  <c r="AD156" i="7" s="1"/>
  <c r="AD131" i="7"/>
  <c r="AC20" i="7"/>
  <c r="AC46" i="7" s="1"/>
  <c r="AC21" i="7"/>
  <c r="AH178" i="7"/>
  <c r="AH181" i="7" s="1"/>
  <c r="L75" i="4"/>
  <c r="AE43" i="5"/>
  <c r="AF40" i="5" s="1"/>
  <c r="AE42" i="5"/>
  <c r="AD13" i="7"/>
  <c r="AD45" i="5"/>
  <c r="AD47" i="6" s="1"/>
  <c r="AD46" i="5"/>
  <c r="AG68" i="7"/>
  <c r="K33" i="4"/>
  <c r="H88" i="1" s="1"/>
  <c r="AF71" i="7"/>
  <c r="AF151" i="5"/>
  <c r="AF153" i="5" s="1"/>
  <c r="L15" i="4"/>
  <c r="AI179" i="7"/>
  <c r="AI172" i="7"/>
  <c r="AH173" i="7"/>
  <c r="AH174" i="7"/>
  <c r="AE123" i="7"/>
  <c r="AE155" i="5"/>
  <c r="AE157" i="6" s="1"/>
  <c r="AE156" i="5"/>
  <c r="AD177" i="7"/>
  <c r="AD176" i="7"/>
  <c r="AK160" i="6"/>
  <c r="L98" i="4"/>
  <c r="AG180" i="7"/>
  <c r="AG182" i="7" s="1"/>
  <c r="K95" i="4"/>
  <c r="D168" i="7" l="1"/>
  <c r="E163" i="7" s="1"/>
  <c r="F244" i="8"/>
  <c r="F238" i="8"/>
  <c r="H130" i="7"/>
  <c r="H156" i="7" s="1"/>
  <c r="H175" i="7"/>
  <c r="E76" i="4"/>
  <c r="D58" i="7"/>
  <c r="D77" i="7"/>
  <c r="E76" i="7"/>
  <c r="F243" i="8"/>
  <c r="D79" i="7"/>
  <c r="D27" i="4"/>
  <c r="F81" i="1" s="1"/>
  <c r="E186" i="7"/>
  <c r="D187" i="7"/>
  <c r="H20" i="7"/>
  <c r="H46" i="7" s="1"/>
  <c r="H65" i="7"/>
  <c r="E16" i="4"/>
  <c r="F88" i="8"/>
  <c r="F94" i="8"/>
  <c r="D87" i="4"/>
  <c r="D189" i="7"/>
  <c r="F93" i="8"/>
  <c r="AF152" i="5"/>
  <c r="K81" i="4" s="1"/>
  <c r="AJ62" i="7"/>
  <c r="AJ69" i="7"/>
  <c r="AI178" i="7"/>
  <c r="AI181" i="7" s="1"/>
  <c r="O171" i="8"/>
  <c r="AV172" i="6"/>
  <c r="AJ172" i="7"/>
  <c r="AJ179" i="7"/>
  <c r="L94" i="4" s="1"/>
  <c r="AH68" i="7"/>
  <c r="AH71" i="7" s="1"/>
  <c r="AE177" i="7"/>
  <c r="AE176" i="7"/>
  <c r="AG71" i="7"/>
  <c r="AG150" i="5"/>
  <c r="AG151" i="5" s="1"/>
  <c r="AG124" i="7" s="1"/>
  <c r="K92" i="4"/>
  <c r="AE130" i="7"/>
  <c r="AE156" i="7" s="1"/>
  <c r="AE131" i="7"/>
  <c r="AD66" i="6"/>
  <c r="AD67" i="6"/>
  <c r="O14" i="8"/>
  <c r="O15" i="8" s="1"/>
  <c r="O45" i="8"/>
  <c r="O42" i="8"/>
  <c r="O43" i="8"/>
  <c r="O44" i="8"/>
  <c r="O41" i="8"/>
  <c r="AE13" i="7"/>
  <c r="AE45" i="5"/>
  <c r="AE47" i="6" s="1"/>
  <c r="AE46" i="5"/>
  <c r="L25" i="4"/>
  <c r="AF41" i="5"/>
  <c r="AD67" i="7"/>
  <c r="AD66" i="7"/>
  <c r="AI64" i="7"/>
  <c r="AI63" i="7"/>
  <c r="AI173" i="7"/>
  <c r="AI174" i="7"/>
  <c r="AH180" i="7"/>
  <c r="AH182" i="7" s="1"/>
  <c r="AD21" i="7"/>
  <c r="AD20" i="7"/>
  <c r="AD46" i="7" s="1"/>
  <c r="AG70" i="7"/>
  <c r="AG72" i="7" s="1"/>
  <c r="K35" i="4"/>
  <c r="P162" i="8"/>
  <c r="AE177" i="6"/>
  <c r="AE176" i="6"/>
  <c r="O167" i="8"/>
  <c r="AK52" i="6"/>
  <c r="AL50" i="6" s="1"/>
  <c r="AK51" i="6"/>
  <c r="AK53" i="6" s="1"/>
  <c r="AK69" i="6" s="1"/>
  <c r="AK161" i="6"/>
  <c r="AK163" i="6" s="1"/>
  <c r="AK179" i="6" s="1"/>
  <c r="AK162" i="6"/>
  <c r="AL160" i="6" s="1"/>
  <c r="AF124" i="7"/>
  <c r="K80" i="4"/>
  <c r="D169" i="7" l="1"/>
  <c r="D90" i="4"/>
  <c r="E187" i="7"/>
  <c r="F186" i="7"/>
  <c r="F76" i="7"/>
  <c r="E77" i="7"/>
  <c r="E53" i="7"/>
  <c r="D59" i="7"/>
  <c r="D30" i="4"/>
  <c r="E81" i="1" s="1"/>
  <c r="L67" i="6"/>
  <c r="L65" i="6"/>
  <c r="L21" i="7" s="1"/>
  <c r="F89" i="8"/>
  <c r="F90" i="8" s="1"/>
  <c r="F111" i="8"/>
  <c r="F110" i="8"/>
  <c r="H177" i="7"/>
  <c r="E82" i="4"/>
  <c r="H67" i="7"/>
  <c r="E22" i="4"/>
  <c r="B82" i="1" s="1"/>
  <c r="F261" i="8"/>
  <c r="F239" i="8"/>
  <c r="F240" i="8" s="1"/>
  <c r="F260" i="8"/>
  <c r="L175" i="6"/>
  <c r="L131" i="7" s="1"/>
  <c r="L177" i="6"/>
  <c r="AF156" i="5"/>
  <c r="AF123" i="7"/>
  <c r="AF155" i="5"/>
  <c r="AF157" i="6" s="1"/>
  <c r="P168" i="8"/>
  <c r="AF14" i="7"/>
  <c r="K20" i="4"/>
  <c r="O21" i="8"/>
  <c r="AV62" i="6"/>
  <c r="AK65" i="7"/>
  <c r="AK19" i="7"/>
  <c r="AK10" i="7"/>
  <c r="AK18" i="7" s="1"/>
  <c r="AK45" i="7" s="1"/>
  <c r="AF43" i="5"/>
  <c r="AJ173" i="7"/>
  <c r="AJ174" i="7"/>
  <c r="AL162" i="6"/>
  <c r="AM160" i="6" s="1"/>
  <c r="AL161" i="6"/>
  <c r="AL163" i="6" s="1"/>
  <c r="AL179" i="6" s="1"/>
  <c r="AF42" i="5"/>
  <c r="AF46" i="5" s="1"/>
  <c r="K23" i="4" s="1"/>
  <c r="P12" i="8"/>
  <c r="AI68" i="7"/>
  <c r="AI71" i="7" s="1"/>
  <c r="AL52" i="6"/>
  <c r="AM50" i="6" s="1"/>
  <c r="AL51" i="6"/>
  <c r="AL53" i="6" s="1"/>
  <c r="AL69" i="6" s="1"/>
  <c r="AE67" i="7"/>
  <c r="AE66" i="7"/>
  <c r="AJ178" i="7"/>
  <c r="AJ181" i="7" s="1"/>
  <c r="AE66" i="6"/>
  <c r="AE67" i="6"/>
  <c r="P169" i="8"/>
  <c r="AZ173" i="6" s="1"/>
  <c r="P163" i="8"/>
  <c r="AE21" i="7"/>
  <c r="AE20" i="7"/>
  <c r="AE46" i="7" s="1"/>
  <c r="AJ64" i="7"/>
  <c r="AJ63" i="7"/>
  <c r="AK175" i="7"/>
  <c r="AK129" i="7"/>
  <c r="AK120" i="7"/>
  <c r="AK128" i="7" s="1"/>
  <c r="AK155" i="7" s="1"/>
  <c r="AI180" i="7"/>
  <c r="AI182" i="7" s="1"/>
  <c r="AG152" i="5"/>
  <c r="AG153" i="5"/>
  <c r="AH150" i="5" s="1"/>
  <c r="AH151" i="5" s="1"/>
  <c r="AH124" i="7" s="1"/>
  <c r="AH70" i="7"/>
  <c r="AH72" i="7" s="1"/>
  <c r="O17" i="8"/>
  <c r="K83" i="4"/>
  <c r="F92" i="8" l="1"/>
  <c r="G87" i="8"/>
  <c r="L64" i="6"/>
  <c r="F96" i="8"/>
  <c r="L66" i="6"/>
  <c r="F17" i="4" s="1"/>
  <c r="G237" i="8"/>
  <c r="F242" i="8"/>
  <c r="G76" i="7"/>
  <c r="F77" i="7"/>
  <c r="L176" i="6"/>
  <c r="F77" i="4" s="1"/>
  <c r="L174" i="6"/>
  <c r="F246" i="8"/>
  <c r="G186" i="7"/>
  <c r="F187" i="7"/>
  <c r="AI70" i="7"/>
  <c r="AH153" i="5"/>
  <c r="AI150" i="5" s="1"/>
  <c r="AI151" i="5" s="1"/>
  <c r="AI124" i="7" s="1"/>
  <c r="AH152" i="5"/>
  <c r="AG123" i="7"/>
  <c r="AG155" i="5"/>
  <c r="AG157" i="6" s="1"/>
  <c r="AG156" i="5"/>
  <c r="AL10" i="7"/>
  <c r="AL18" i="7" s="1"/>
  <c r="AL45" i="7" s="1"/>
  <c r="AL65" i="7"/>
  <c r="AL19" i="7"/>
  <c r="P164" i="8"/>
  <c r="P165" i="8" s="1"/>
  <c r="P196" i="8"/>
  <c r="P195" i="8"/>
  <c r="P194" i="8"/>
  <c r="P192" i="8"/>
  <c r="P193" i="8"/>
  <c r="AJ68" i="7"/>
  <c r="AJ180" i="7"/>
  <c r="AJ182" i="7" s="1"/>
  <c r="AK179" i="7"/>
  <c r="AK172" i="7"/>
  <c r="AK178" i="7"/>
  <c r="AK181" i="7" s="1"/>
  <c r="L93" i="4"/>
  <c r="AF13" i="7"/>
  <c r="AF45" i="5"/>
  <c r="AF47" i="6" s="1"/>
  <c r="K21" i="4"/>
  <c r="C88" i="1"/>
  <c r="P19" i="8"/>
  <c r="AZ63" i="6" s="1"/>
  <c r="P13" i="8"/>
  <c r="AL175" i="7"/>
  <c r="AL129" i="7"/>
  <c r="AL120" i="7"/>
  <c r="AL128" i="7" s="1"/>
  <c r="AL155" i="7" s="1"/>
  <c r="AG40" i="5"/>
  <c r="AG41" i="5" s="1"/>
  <c r="AG14" i="7" s="1"/>
  <c r="K32" i="4"/>
  <c r="AM161" i="6"/>
  <c r="AM163" i="6" s="1"/>
  <c r="AM179" i="6" s="1"/>
  <c r="AM162" i="6"/>
  <c r="AN160" i="6" s="1"/>
  <c r="AK62" i="7"/>
  <c r="AK69" i="7"/>
  <c r="AM52" i="6"/>
  <c r="AN50" i="6" s="1"/>
  <c r="AM51" i="6"/>
  <c r="AM53" i="6" s="1"/>
  <c r="AM69" i="6" s="1"/>
  <c r="P18" i="8"/>
  <c r="H186" i="7" l="1"/>
  <c r="G187" i="7"/>
  <c r="L175" i="7"/>
  <c r="L177" i="7" s="1"/>
  <c r="L130" i="7"/>
  <c r="L156" i="7" s="1"/>
  <c r="F76" i="4"/>
  <c r="G77" i="7"/>
  <c r="H76" i="7"/>
  <c r="G243" i="8"/>
  <c r="G238" i="8"/>
  <c r="G244" i="8"/>
  <c r="L65" i="7"/>
  <c r="L20" i="7"/>
  <c r="L46" i="7" s="1"/>
  <c r="F16" i="4"/>
  <c r="G88" i="8"/>
  <c r="G94" i="8"/>
  <c r="G93" i="8"/>
  <c r="P167" i="8"/>
  <c r="AG177" i="7"/>
  <c r="AG176" i="7"/>
  <c r="AG176" i="6"/>
  <c r="AG177" i="6"/>
  <c r="AK68" i="7"/>
  <c r="L33" i="4"/>
  <c r="H89" i="1" s="1"/>
  <c r="AG130" i="7"/>
  <c r="AG156" i="7" s="1"/>
  <c r="AG131" i="7"/>
  <c r="AJ71" i="7"/>
  <c r="AH123" i="7"/>
  <c r="AH155" i="5"/>
  <c r="AH157" i="6" s="1"/>
  <c r="AH156" i="5"/>
  <c r="P14" i="8"/>
  <c r="P15" i="8" s="1"/>
  <c r="P46" i="8"/>
  <c r="P45" i="8"/>
  <c r="P44" i="8"/>
  <c r="P43" i="8"/>
  <c r="P42" i="8"/>
  <c r="Q162" i="8"/>
  <c r="AI152" i="5"/>
  <c r="AI153" i="5"/>
  <c r="AJ150" i="5" s="1"/>
  <c r="AK180" i="7"/>
  <c r="L95" i="4"/>
  <c r="AJ70" i="7"/>
  <c r="AL62" i="7"/>
  <c r="AL69" i="7"/>
  <c r="AN52" i="6"/>
  <c r="AN51" i="6"/>
  <c r="AN53" i="6" s="1"/>
  <c r="AN69" i="6" s="1"/>
  <c r="K85" i="8"/>
  <c r="AI72" i="7"/>
  <c r="AN162" i="6"/>
  <c r="AN161" i="6"/>
  <c r="AN163" i="6" s="1"/>
  <c r="AN179" i="6" s="1"/>
  <c r="AL178" i="7"/>
  <c r="AL181" i="7" s="1"/>
  <c r="AM65" i="7"/>
  <c r="AM19" i="7"/>
  <c r="AM10" i="7"/>
  <c r="AM18" i="7" s="1"/>
  <c r="AM45" i="7" s="1"/>
  <c r="AM175" i="7"/>
  <c r="AM129" i="7"/>
  <c r="AM120" i="7"/>
  <c r="AM128" i="7" s="1"/>
  <c r="AM155" i="7" s="1"/>
  <c r="AG42" i="5"/>
  <c r="AG43" i="5"/>
  <c r="AH40" i="5" s="1"/>
  <c r="AH41" i="5" s="1"/>
  <c r="AH14" i="7" s="1"/>
  <c r="P171" i="8"/>
  <c r="AZ172" i="6"/>
  <c r="AK64" i="7"/>
  <c r="AK63" i="7"/>
  <c r="AL179" i="7"/>
  <c r="AL172" i="7"/>
  <c r="AK173" i="7"/>
  <c r="AK174" i="7"/>
  <c r="L67" i="7" l="1"/>
  <c r="F22" i="4"/>
  <c r="B83" i="1" s="1"/>
  <c r="P177" i="6"/>
  <c r="P175" i="6"/>
  <c r="P131" i="7" s="1"/>
  <c r="G260" i="8"/>
  <c r="G239" i="8"/>
  <c r="G240" i="8" s="1"/>
  <c r="G262" i="8"/>
  <c r="G261" i="8"/>
  <c r="P65" i="6"/>
  <c r="P21" i="7" s="1"/>
  <c r="P67" i="6"/>
  <c r="H77" i="7"/>
  <c r="I76" i="7"/>
  <c r="G110" i="8"/>
  <c r="G111" i="8"/>
  <c r="G112" i="8"/>
  <c r="G89" i="8"/>
  <c r="G90" i="8" s="1"/>
  <c r="H187" i="7"/>
  <c r="I186" i="7"/>
  <c r="Q168" i="8"/>
  <c r="P17" i="8"/>
  <c r="AL180" i="7"/>
  <c r="AL182" i="7" s="1"/>
  <c r="AJ151" i="5"/>
  <c r="K91" i="8"/>
  <c r="K117" i="8" s="1"/>
  <c r="K95" i="8"/>
  <c r="AI123" i="7"/>
  <c r="AI155" i="5"/>
  <c r="AI157" i="6" s="1"/>
  <c r="AI156" i="5"/>
  <c r="AL68" i="7"/>
  <c r="Q163" i="8"/>
  <c r="Q169" i="8"/>
  <c r="BD173" i="6" s="1"/>
  <c r="AK71" i="7"/>
  <c r="Q12" i="8"/>
  <c r="AN19" i="7"/>
  <c r="AN10" i="7"/>
  <c r="AN18" i="7" s="1"/>
  <c r="AN45" i="7" s="1"/>
  <c r="M25" i="4" s="1"/>
  <c r="AK70" i="7"/>
  <c r="L35" i="4"/>
  <c r="AM62" i="7"/>
  <c r="AM69" i="7"/>
  <c r="AJ72" i="7"/>
  <c r="P21" i="8"/>
  <c r="AZ62" i="6"/>
  <c r="AL173" i="7"/>
  <c r="AL174" i="7"/>
  <c r="AL64" i="7"/>
  <c r="AL63" i="7"/>
  <c r="AH42" i="5"/>
  <c r="AH43" i="5"/>
  <c r="AI40" i="5" s="1"/>
  <c r="AI41" i="5" s="1"/>
  <c r="AI14" i="7" s="1"/>
  <c r="AM178" i="7"/>
  <c r="AM181" i="7" s="1"/>
  <c r="AH177" i="7"/>
  <c r="AH176" i="7"/>
  <c r="AN129" i="7"/>
  <c r="AN120" i="7"/>
  <c r="AN128" i="7" s="1"/>
  <c r="AN155" i="7" s="1"/>
  <c r="M75" i="4"/>
  <c r="AH176" i="6"/>
  <c r="AH177" i="6"/>
  <c r="AO50" i="6"/>
  <c r="M38" i="4"/>
  <c r="AG13" i="7"/>
  <c r="AG45" i="5"/>
  <c r="AG47" i="6" s="1"/>
  <c r="AG46" i="5"/>
  <c r="AM172" i="7"/>
  <c r="AM179" i="7"/>
  <c r="AO160" i="6"/>
  <c r="M98" i="4"/>
  <c r="AK182" i="7"/>
  <c r="AH131" i="7"/>
  <c r="AH130" i="7"/>
  <c r="AH156" i="7" s="1"/>
  <c r="H87" i="8" l="1"/>
  <c r="G92" i="8"/>
  <c r="J76" i="7"/>
  <c r="I77" i="7"/>
  <c r="P174" i="6"/>
  <c r="P176" i="6"/>
  <c r="G77" i="4" s="1"/>
  <c r="G246" i="8"/>
  <c r="G242" i="8"/>
  <c r="H237" i="8"/>
  <c r="P66" i="6"/>
  <c r="G17" i="4" s="1"/>
  <c r="G96" i="8"/>
  <c r="P64" i="6"/>
  <c r="I187" i="7"/>
  <c r="J186" i="7"/>
  <c r="AI176" i="6"/>
  <c r="AI177" i="6"/>
  <c r="AI130" i="7"/>
  <c r="AI156" i="7" s="1"/>
  <c r="AI131" i="7"/>
  <c r="Q19" i="8"/>
  <c r="BD63" i="6" s="1"/>
  <c r="Q13" i="8"/>
  <c r="AN172" i="7"/>
  <c r="AN179" i="7"/>
  <c r="M94" i="4" s="1"/>
  <c r="AM64" i="7"/>
  <c r="AM63" i="7"/>
  <c r="AJ124" i="7"/>
  <c r="L80" i="4"/>
  <c r="AJ153" i="5"/>
  <c r="AI177" i="7"/>
  <c r="AI176" i="7"/>
  <c r="AO162" i="6"/>
  <c r="AP160" i="6" s="1"/>
  <c r="AO161" i="6"/>
  <c r="AO163" i="6" s="1"/>
  <c r="AO179" i="6" s="1"/>
  <c r="AG67" i="6"/>
  <c r="AG66" i="6"/>
  <c r="AG20" i="7"/>
  <c r="AG46" i="7" s="1"/>
  <c r="AG21" i="7"/>
  <c r="AI42" i="5"/>
  <c r="AI43" i="5"/>
  <c r="AJ40" i="5" s="1"/>
  <c r="AJ152" i="5"/>
  <c r="AJ156" i="5" s="1"/>
  <c r="L83" i="4" s="1"/>
  <c r="AG67" i="7"/>
  <c r="AG66" i="7"/>
  <c r="AH13" i="7"/>
  <c r="AH45" i="5"/>
  <c r="AH47" i="6" s="1"/>
  <c r="AH46" i="5"/>
  <c r="AL70" i="7"/>
  <c r="AL72" i="7" s="1"/>
  <c r="AO52" i="6"/>
  <c r="AP50" i="6" s="1"/>
  <c r="AO51" i="6"/>
  <c r="AO53" i="6" s="1"/>
  <c r="AO69" i="6" s="1"/>
  <c r="AK72" i="7"/>
  <c r="Q164" i="8"/>
  <c r="Q165" i="8" s="1"/>
  <c r="Q197" i="8"/>
  <c r="Q194" i="8"/>
  <c r="Q196" i="8"/>
  <c r="Q195" i="8"/>
  <c r="Q193" i="8"/>
  <c r="AM180" i="7"/>
  <c r="AM182" i="7" s="1"/>
  <c r="AM68" i="7"/>
  <c r="AM174" i="7"/>
  <c r="AM173" i="7"/>
  <c r="Q18" i="8"/>
  <c r="AN178" i="7"/>
  <c r="AN181" i="7" s="1"/>
  <c r="AN62" i="7"/>
  <c r="AN69" i="7"/>
  <c r="AL71" i="7"/>
  <c r="H238" i="8" l="1"/>
  <c r="H244" i="8"/>
  <c r="H243" i="8"/>
  <c r="G76" i="4"/>
  <c r="P175" i="7"/>
  <c r="P177" i="7" s="1"/>
  <c r="P130" i="7"/>
  <c r="P156" i="7" s="1"/>
  <c r="J77" i="7"/>
  <c r="K76" i="7"/>
  <c r="H93" i="8"/>
  <c r="H88" i="8"/>
  <c r="H94" i="8"/>
  <c r="G16" i="4"/>
  <c r="P65" i="7"/>
  <c r="P67" i="7" s="1"/>
  <c r="P20" i="7"/>
  <c r="P46" i="7" s="1"/>
  <c r="J187" i="7"/>
  <c r="K186" i="7"/>
  <c r="Q171" i="8"/>
  <c r="BD172" i="6"/>
  <c r="AN174" i="7"/>
  <c r="AN173" i="7"/>
  <c r="Q14" i="8"/>
  <c r="Q15" i="8" s="1"/>
  <c r="Q47" i="8"/>
  <c r="Q46" i="8"/>
  <c r="Q45" i="8"/>
  <c r="Q43" i="8"/>
  <c r="Q44" i="8"/>
  <c r="M93" i="4"/>
  <c r="AP162" i="6"/>
  <c r="AQ160" i="6" s="1"/>
  <c r="AP161" i="6"/>
  <c r="AP163" i="6" s="1"/>
  <c r="AP179" i="6" s="1"/>
  <c r="AN64" i="7"/>
  <c r="AN63" i="7"/>
  <c r="AH67" i="6"/>
  <c r="AH66" i="6"/>
  <c r="AP52" i="6"/>
  <c r="AQ50" i="6" s="1"/>
  <c r="AP51" i="6"/>
  <c r="AP53" i="6" s="1"/>
  <c r="AP69" i="6" s="1"/>
  <c r="AK150" i="5"/>
  <c r="AK151" i="5" s="1"/>
  <c r="AK124" i="7" s="1"/>
  <c r="L92" i="4"/>
  <c r="Q167" i="8"/>
  <c r="AO65" i="7"/>
  <c r="AO10" i="7"/>
  <c r="AO18" i="7" s="1"/>
  <c r="AO45" i="7" s="1"/>
  <c r="AO19" i="7"/>
  <c r="AN68" i="7"/>
  <c r="AJ123" i="7"/>
  <c r="AJ155" i="5"/>
  <c r="AJ157" i="6" s="1"/>
  <c r="L81" i="4"/>
  <c r="AO175" i="7"/>
  <c r="AO129" i="7"/>
  <c r="AO120" i="7"/>
  <c r="AO128" i="7" s="1"/>
  <c r="AO155" i="7" s="1"/>
  <c r="AO178" i="7" s="1"/>
  <c r="AO181" i="7" s="1"/>
  <c r="AH67" i="7"/>
  <c r="AH66" i="7"/>
  <c r="AM71" i="7"/>
  <c r="AN180" i="7"/>
  <c r="AJ41" i="5"/>
  <c r="AM70" i="7"/>
  <c r="AM72" i="7" s="1"/>
  <c r="AH20" i="7"/>
  <c r="AH46" i="7" s="1"/>
  <c r="AH21" i="7"/>
  <c r="R162" i="8"/>
  <c r="AI13" i="7"/>
  <c r="AI45" i="5"/>
  <c r="AI47" i="6" s="1"/>
  <c r="AI46" i="5"/>
  <c r="L186" i="7" l="1"/>
  <c r="K187" i="7"/>
  <c r="T65" i="6"/>
  <c r="T21" i="7" s="1"/>
  <c r="T67" i="6"/>
  <c r="H89" i="8"/>
  <c r="H90" i="8" s="1"/>
  <c r="H110" i="8"/>
  <c r="H113" i="8"/>
  <c r="H112" i="8"/>
  <c r="H111" i="8"/>
  <c r="K77" i="7"/>
  <c r="L76" i="7"/>
  <c r="T177" i="6"/>
  <c r="T175" i="6"/>
  <c r="T131" i="7" s="1"/>
  <c r="H261" i="8"/>
  <c r="H263" i="8"/>
  <c r="H239" i="8"/>
  <c r="H240" i="8" s="1"/>
  <c r="H260" i="8"/>
  <c r="H262" i="8"/>
  <c r="R168" i="8"/>
  <c r="AQ161" i="6"/>
  <c r="AQ163" i="6" s="1"/>
  <c r="AQ179" i="6" s="1"/>
  <c r="AQ162" i="6"/>
  <c r="AR160" i="6" s="1"/>
  <c r="AP175" i="7"/>
  <c r="AP129" i="7"/>
  <c r="AP120" i="7"/>
  <c r="AP128" i="7" s="1"/>
  <c r="AP155" i="7" s="1"/>
  <c r="AP178" i="7" s="1"/>
  <c r="AJ14" i="7"/>
  <c r="L20" i="4"/>
  <c r="AJ42" i="5"/>
  <c r="AK152" i="5"/>
  <c r="AK153" i="5"/>
  <c r="AL150" i="5" s="1"/>
  <c r="AL151" i="5" s="1"/>
  <c r="AL124" i="7" s="1"/>
  <c r="L235" i="8"/>
  <c r="R12" i="8"/>
  <c r="Q17" i="8"/>
  <c r="AI67" i="7"/>
  <c r="AI66" i="7"/>
  <c r="AI21" i="7"/>
  <c r="AI20" i="7"/>
  <c r="AI46" i="7" s="1"/>
  <c r="Q21" i="8"/>
  <c r="BD62" i="6"/>
  <c r="M95" i="4"/>
  <c r="AN182" i="7"/>
  <c r="AO62" i="7"/>
  <c r="AO69" i="7"/>
  <c r="AJ43" i="5"/>
  <c r="AO68" i="7"/>
  <c r="M33" i="4"/>
  <c r="H90" i="1" s="1"/>
  <c r="AQ51" i="6"/>
  <c r="AQ53" i="6" s="1"/>
  <c r="AQ69" i="6" s="1"/>
  <c r="AQ52" i="6"/>
  <c r="AR50" i="6" s="1"/>
  <c r="AI67" i="6"/>
  <c r="AI66" i="6"/>
  <c r="AO172" i="7"/>
  <c r="AO179" i="7"/>
  <c r="AN71" i="7"/>
  <c r="AN70" i="7"/>
  <c r="AN72" i="7" s="1"/>
  <c r="AP10" i="7"/>
  <c r="AP18" i="7" s="1"/>
  <c r="AP45" i="7" s="1"/>
  <c r="AP19" i="7"/>
  <c r="AP65" i="7"/>
  <c r="R163" i="8"/>
  <c r="R169" i="8"/>
  <c r="BH173" i="6" s="1"/>
  <c r="H246" i="8" l="1"/>
  <c r="T174" i="6"/>
  <c r="T176" i="6"/>
  <c r="H77" i="4" s="1"/>
  <c r="L77" i="7"/>
  <c r="M76" i="7"/>
  <c r="I87" i="8"/>
  <c r="H92" i="8"/>
  <c r="H96" i="8"/>
  <c r="T64" i="6"/>
  <c r="T66" i="6"/>
  <c r="H17" i="4" s="1"/>
  <c r="H242" i="8"/>
  <c r="I237" i="8"/>
  <c r="L187" i="7"/>
  <c r="M186" i="7"/>
  <c r="R18" i="8"/>
  <c r="AL152" i="5"/>
  <c r="AL153" i="5"/>
  <c r="AM150" i="5" s="1"/>
  <c r="AM151" i="5" s="1"/>
  <c r="AM124" i="7" s="1"/>
  <c r="AK123" i="7"/>
  <c r="AK155" i="5"/>
  <c r="AK157" i="6" s="1"/>
  <c r="AK156" i="5"/>
  <c r="AJ13" i="7"/>
  <c r="AJ45" i="5"/>
  <c r="AJ47" i="6" s="1"/>
  <c r="L21" i="4"/>
  <c r="AP68" i="7"/>
  <c r="AP71" i="7" s="1"/>
  <c r="AO71" i="7"/>
  <c r="AJ46" i="5"/>
  <c r="AO64" i="7"/>
  <c r="AO63" i="7"/>
  <c r="AP172" i="7"/>
  <c r="AP179" i="7"/>
  <c r="AO180" i="7"/>
  <c r="AO174" i="7"/>
  <c r="AO173" i="7"/>
  <c r="R19" i="8"/>
  <c r="BH63" i="6" s="1"/>
  <c r="R13" i="8"/>
  <c r="AP181" i="7"/>
  <c r="AK40" i="5"/>
  <c r="AK41" i="5" s="1"/>
  <c r="AK14" i="7" s="1"/>
  <c r="L32" i="4"/>
  <c r="L241" i="8"/>
  <c r="L268" i="8" s="1"/>
  <c r="L245" i="8"/>
  <c r="AP62" i="7"/>
  <c r="AP69" i="7"/>
  <c r="AO70" i="7"/>
  <c r="M35" i="4"/>
  <c r="AR162" i="6"/>
  <c r="AR161" i="6"/>
  <c r="AR163" i="6" s="1"/>
  <c r="AR179" i="6" s="1"/>
  <c r="AR52" i="6"/>
  <c r="AR51" i="6"/>
  <c r="AR53" i="6" s="1"/>
  <c r="AR69" i="6" s="1"/>
  <c r="AQ175" i="7"/>
  <c r="AQ129" i="7"/>
  <c r="AQ120" i="7"/>
  <c r="AQ128" i="7" s="1"/>
  <c r="AQ155" i="7" s="1"/>
  <c r="R164" i="8"/>
  <c r="R165" i="8" s="1"/>
  <c r="R198" i="8"/>
  <c r="R194" i="8"/>
  <c r="R197" i="8"/>
  <c r="R196" i="8"/>
  <c r="R195" i="8"/>
  <c r="AQ65" i="7"/>
  <c r="AQ19" i="7"/>
  <c r="AQ10" i="7"/>
  <c r="AQ18" i="7" s="1"/>
  <c r="AQ45" i="7" s="1"/>
  <c r="I93" i="8" l="1"/>
  <c r="I243" i="8"/>
  <c r="T65" i="7"/>
  <c r="H16" i="4"/>
  <c r="T20" i="7"/>
  <c r="T46" i="7" s="1"/>
  <c r="I88" i="8"/>
  <c r="I94" i="8"/>
  <c r="N76" i="7"/>
  <c r="M77" i="7"/>
  <c r="M187" i="7"/>
  <c r="N186" i="7"/>
  <c r="T130" i="7"/>
  <c r="T156" i="7" s="1"/>
  <c r="T175" i="7"/>
  <c r="H76" i="4"/>
  <c r="S162" i="8"/>
  <c r="L85" i="8"/>
  <c r="AK177" i="7"/>
  <c r="AK176" i="7"/>
  <c r="AR129" i="7"/>
  <c r="AR120" i="7"/>
  <c r="AR128" i="7" s="1"/>
  <c r="AR155" i="7" s="1"/>
  <c r="N75" i="4"/>
  <c r="AP70" i="7"/>
  <c r="AP180" i="7"/>
  <c r="AO182" i="7"/>
  <c r="AK176" i="6"/>
  <c r="AK177" i="6"/>
  <c r="AP63" i="7"/>
  <c r="AP64" i="7"/>
  <c r="AK131" i="7"/>
  <c r="AK130" i="7"/>
  <c r="AK156" i="7" s="1"/>
  <c r="AQ172" i="7"/>
  <c r="AQ179" i="7"/>
  <c r="AP174" i="7"/>
  <c r="AP173" i="7"/>
  <c r="AQ178" i="7"/>
  <c r="AS160" i="6"/>
  <c r="N98" i="4"/>
  <c r="R14" i="8"/>
  <c r="R15" i="8" s="1"/>
  <c r="R48" i="8"/>
  <c r="R46" i="8"/>
  <c r="R44" i="8"/>
  <c r="R47" i="8"/>
  <c r="R45" i="8"/>
  <c r="R171" i="8"/>
  <c r="BH172" i="6"/>
  <c r="AS50" i="6"/>
  <c r="N38" i="4"/>
  <c r="AK42" i="5"/>
  <c r="AK43" i="5"/>
  <c r="AL40" i="5" s="1"/>
  <c r="AL41" i="5" s="1"/>
  <c r="AL14" i="7" s="1"/>
  <c r="AQ68" i="7"/>
  <c r="AQ62" i="7"/>
  <c r="AQ69" i="7"/>
  <c r="AM152" i="5"/>
  <c r="AM153" i="5"/>
  <c r="AN150" i="5" s="1"/>
  <c r="R167" i="8"/>
  <c r="AO72" i="7"/>
  <c r="AR19" i="7"/>
  <c r="AR10" i="7"/>
  <c r="AR18" i="7" s="1"/>
  <c r="AR45" i="7" s="1"/>
  <c r="L23" i="4"/>
  <c r="AL123" i="7"/>
  <c r="AL155" i="5"/>
  <c r="AL157" i="6" s="1"/>
  <c r="AL156" i="5"/>
  <c r="T177" i="7" l="1"/>
  <c r="T176" i="7"/>
  <c r="T67" i="7"/>
  <c r="T66" i="7"/>
  <c r="N187" i="7"/>
  <c r="O186" i="7"/>
  <c r="O76" i="7"/>
  <c r="N77" i="7"/>
  <c r="X67" i="6"/>
  <c r="X65" i="6"/>
  <c r="X21" i="7" s="1"/>
  <c r="I110" i="8"/>
  <c r="I111" i="8"/>
  <c r="I114" i="8"/>
  <c r="I89" i="8"/>
  <c r="I90" i="8" s="1"/>
  <c r="I113" i="8"/>
  <c r="I112" i="8"/>
  <c r="S168" i="8"/>
  <c r="S12" i="8"/>
  <c r="AN151" i="5"/>
  <c r="R21" i="8"/>
  <c r="BH62" i="6"/>
  <c r="AR172" i="7"/>
  <c r="AR179" i="7"/>
  <c r="N94" i="4" s="1"/>
  <c r="AL177" i="7"/>
  <c r="AL176" i="7"/>
  <c r="AQ63" i="7"/>
  <c r="AQ64" i="7"/>
  <c r="L95" i="8"/>
  <c r="L91" i="8"/>
  <c r="L118" i="8" s="1"/>
  <c r="C89" i="1"/>
  <c r="R17" i="8"/>
  <c r="AL130" i="7"/>
  <c r="AL156" i="7" s="1"/>
  <c r="AL131" i="7"/>
  <c r="AR68" i="7"/>
  <c r="AR71" i="7" s="1"/>
  <c r="AR178" i="7"/>
  <c r="AR181" i="7" s="1"/>
  <c r="AQ181" i="7"/>
  <c r="AL42" i="5"/>
  <c r="AL43" i="5"/>
  <c r="AM40" i="5" s="1"/>
  <c r="AM41" i="5" s="1"/>
  <c r="AM14" i="7" s="1"/>
  <c r="AQ180" i="7"/>
  <c r="AQ182" i="7" s="1"/>
  <c r="AM123" i="7"/>
  <c r="AM155" i="5"/>
  <c r="AM157" i="6" s="1"/>
  <c r="AM156" i="5"/>
  <c r="AQ71" i="7"/>
  <c r="AK13" i="7"/>
  <c r="AK45" i="5"/>
  <c r="AK47" i="6" s="1"/>
  <c r="AK46" i="5"/>
  <c r="AP182" i="7"/>
  <c r="AL176" i="6"/>
  <c r="AL177" i="6"/>
  <c r="AQ70" i="7"/>
  <c r="S169" i="8"/>
  <c r="BL173" i="6" s="1"/>
  <c r="S163" i="8"/>
  <c r="AQ174" i="7"/>
  <c r="AQ173" i="7"/>
  <c r="AS162" i="6"/>
  <c r="AT160" i="6" s="1"/>
  <c r="AS161" i="6"/>
  <c r="AS163" i="6" s="1"/>
  <c r="AS179" i="6" s="1"/>
  <c r="AR69" i="7"/>
  <c r="AR62" i="7"/>
  <c r="N25" i="4"/>
  <c r="AS51" i="6"/>
  <c r="AS53" i="6" s="1"/>
  <c r="AS69" i="6" s="1"/>
  <c r="AS52" i="6"/>
  <c r="AT50" i="6" s="1"/>
  <c r="N85" i="4"/>
  <c r="AP72" i="7"/>
  <c r="I96" i="8" l="1"/>
  <c r="X64" i="6"/>
  <c r="X66" i="6"/>
  <c r="J87" i="8"/>
  <c r="I92" i="8"/>
  <c r="O77" i="7"/>
  <c r="P76" i="7"/>
  <c r="P186" i="7"/>
  <c r="O187" i="7"/>
  <c r="S18" i="8"/>
  <c r="AK67" i="6"/>
  <c r="AK66" i="6"/>
  <c r="AM177" i="7"/>
  <c r="AM176" i="7"/>
  <c r="AR174" i="7"/>
  <c r="AR173" i="7"/>
  <c r="N33" i="4"/>
  <c r="H91" i="1" s="1"/>
  <c r="AR63" i="7"/>
  <c r="AR64" i="7"/>
  <c r="AM176" i="6"/>
  <c r="AM177" i="6"/>
  <c r="AN124" i="7"/>
  <c r="M80" i="4"/>
  <c r="AN153" i="5"/>
  <c r="N93" i="4"/>
  <c r="AK21" i="7"/>
  <c r="AK20" i="7"/>
  <c r="AK46" i="7" s="1"/>
  <c r="S164" i="8"/>
  <c r="S165" i="8" s="1"/>
  <c r="S199" i="8"/>
  <c r="S195" i="8"/>
  <c r="S197" i="8"/>
  <c r="S196" i="8"/>
  <c r="S198" i="8"/>
  <c r="AM131" i="7"/>
  <c r="AM130" i="7"/>
  <c r="AM156" i="7" s="1"/>
  <c r="AR70" i="7"/>
  <c r="AR72" i="7" s="1"/>
  <c r="AN152" i="5"/>
  <c r="AS175" i="7"/>
  <c r="AS129" i="7"/>
  <c r="AS120" i="7"/>
  <c r="AS128" i="7" s="1"/>
  <c r="AS155" i="7" s="1"/>
  <c r="AS178" i="7" s="1"/>
  <c r="AR180" i="7"/>
  <c r="AQ72" i="7"/>
  <c r="AT51" i="6"/>
  <c r="AT53" i="6" s="1"/>
  <c r="AT69" i="6" s="1"/>
  <c r="AT52" i="6"/>
  <c r="AU50" i="6" s="1"/>
  <c r="AM42" i="5"/>
  <c r="AM43" i="5"/>
  <c r="AN40" i="5" s="1"/>
  <c r="AT161" i="6"/>
  <c r="AT163" i="6" s="1"/>
  <c r="AT179" i="6" s="1"/>
  <c r="AT162" i="6"/>
  <c r="AU160" i="6" s="1"/>
  <c r="AS65" i="7"/>
  <c r="AS19" i="7"/>
  <c r="AS10" i="7"/>
  <c r="AS18" i="7" s="1"/>
  <c r="AS45" i="7" s="1"/>
  <c r="AS68" i="7" s="1"/>
  <c r="AK67" i="7"/>
  <c r="AK66" i="7"/>
  <c r="AL13" i="7"/>
  <c r="AL45" i="5"/>
  <c r="AL47" i="6" s="1"/>
  <c r="AL46" i="5"/>
  <c r="S19" i="8"/>
  <c r="BL63" i="6" s="1"/>
  <c r="S13" i="8"/>
  <c r="Q186" i="7" l="1"/>
  <c r="P187" i="7"/>
  <c r="P77" i="7"/>
  <c r="Q76" i="7"/>
  <c r="J93" i="8"/>
  <c r="X20" i="7"/>
  <c r="X46" i="7" s="1"/>
  <c r="I16" i="4"/>
  <c r="X65" i="7"/>
  <c r="AS71" i="7"/>
  <c r="AS181" i="7"/>
  <c r="S167" i="8"/>
  <c r="S171" i="8"/>
  <c r="BL172" i="6"/>
  <c r="T162" i="8"/>
  <c r="AL20" i="7"/>
  <c r="AL46" i="7" s="1"/>
  <c r="AL21" i="7"/>
  <c r="N95" i="4"/>
  <c r="AR182" i="7"/>
  <c r="AS69" i="7"/>
  <c r="AS70" i="7" s="1"/>
  <c r="AS72" i="7" s="1"/>
  <c r="AS62" i="7"/>
  <c r="AT120" i="7"/>
  <c r="AT128" i="7" s="1"/>
  <c r="AT155" i="7" s="1"/>
  <c r="AT175" i="7"/>
  <c r="AT129" i="7"/>
  <c r="AN123" i="7"/>
  <c r="AN155" i="5"/>
  <c r="AN157" i="6" s="1"/>
  <c r="M81" i="4"/>
  <c r="AO150" i="5"/>
  <c r="AO151" i="5" s="1"/>
  <c r="AO124" i="7" s="1"/>
  <c r="M92" i="4"/>
  <c r="AT65" i="7"/>
  <c r="AT19" i="7"/>
  <c r="AT10" i="7"/>
  <c r="AT18" i="7" s="1"/>
  <c r="AT45" i="7" s="1"/>
  <c r="AU161" i="6"/>
  <c r="AU163" i="6" s="1"/>
  <c r="AU179" i="6" s="1"/>
  <c r="AU162" i="6"/>
  <c r="AV160" i="6" s="1"/>
  <c r="S49" i="8"/>
  <c r="S14" i="8"/>
  <c r="S15" i="8" s="1"/>
  <c r="S45" i="8"/>
  <c r="S46" i="8"/>
  <c r="S47" i="8"/>
  <c r="S48" i="8"/>
  <c r="AN41" i="5"/>
  <c r="AN43" i="5" s="1"/>
  <c r="N35" i="4"/>
  <c r="AL67" i="6"/>
  <c r="AL66" i="6"/>
  <c r="AS172" i="7"/>
  <c r="AS179" i="7"/>
  <c r="AS180" i="7" s="1"/>
  <c r="AM13" i="7"/>
  <c r="AM45" i="5"/>
  <c r="AM47" i="6" s="1"/>
  <c r="AM46" i="5"/>
  <c r="AL67" i="7"/>
  <c r="AL66" i="7"/>
  <c r="AU51" i="6"/>
  <c r="AU53" i="6" s="1"/>
  <c r="AU69" i="6" s="1"/>
  <c r="AU52" i="6"/>
  <c r="AV50" i="6" s="1"/>
  <c r="AN156" i="5"/>
  <c r="X67" i="7" l="1"/>
  <c r="X66" i="7"/>
  <c r="Q77" i="7"/>
  <c r="R76" i="7"/>
  <c r="R186" i="7"/>
  <c r="Q187" i="7"/>
  <c r="S17" i="8"/>
  <c r="AS182" i="7"/>
  <c r="AO40" i="5"/>
  <c r="AO41" i="5" s="1"/>
  <c r="AO14" i="7" s="1"/>
  <c r="M32" i="4"/>
  <c r="AT172" i="7"/>
  <c r="AT179" i="7"/>
  <c r="AT180" i="7" s="1"/>
  <c r="T163" i="8"/>
  <c r="T169" i="8"/>
  <c r="BP173" i="6" s="1"/>
  <c r="AT62" i="7"/>
  <c r="AT69" i="7"/>
  <c r="AV52" i="6"/>
  <c r="AV51" i="6"/>
  <c r="AV53" i="6" s="1"/>
  <c r="AV69" i="6" s="1"/>
  <c r="O15" i="4" s="1"/>
  <c r="AS63" i="7"/>
  <c r="AS64" i="7"/>
  <c r="T168" i="8"/>
  <c r="AU175" i="7"/>
  <c r="AU129" i="7"/>
  <c r="AU120" i="7"/>
  <c r="AU128" i="7" s="1"/>
  <c r="AU155" i="7" s="1"/>
  <c r="M83" i="4"/>
  <c r="AN42" i="5"/>
  <c r="AN46" i="5" s="1"/>
  <c r="AT178" i="7"/>
  <c r="AU65" i="7"/>
  <c r="AU19" i="7"/>
  <c r="AU10" i="7"/>
  <c r="AU18" i="7" s="1"/>
  <c r="AU45" i="7" s="1"/>
  <c r="AM66" i="6"/>
  <c r="AM67" i="6"/>
  <c r="T12" i="8"/>
  <c r="AO152" i="5"/>
  <c r="AO153" i="5"/>
  <c r="AP150" i="5" s="1"/>
  <c r="AP151" i="5" s="1"/>
  <c r="AP124" i="7" s="1"/>
  <c r="AN14" i="7"/>
  <c r="M20" i="4"/>
  <c r="AM67" i="7"/>
  <c r="AM66" i="7"/>
  <c r="S21" i="8"/>
  <c r="BL62" i="6"/>
  <c r="AT68" i="7"/>
  <c r="AM20" i="7"/>
  <c r="AM46" i="7" s="1"/>
  <c r="AM21" i="7"/>
  <c r="AS174" i="7"/>
  <c r="AS173" i="7"/>
  <c r="AV162" i="6"/>
  <c r="AV161" i="6"/>
  <c r="AV163" i="6" s="1"/>
  <c r="AV179" i="6" s="1"/>
  <c r="O75" i="4" s="1"/>
  <c r="S186" i="7" l="1"/>
  <c r="R187" i="7"/>
  <c r="R77" i="7"/>
  <c r="S76" i="7"/>
  <c r="AT182" i="7"/>
  <c r="M23" i="4"/>
  <c r="AW50" i="6"/>
  <c r="O38" i="4"/>
  <c r="AT63" i="7"/>
  <c r="AT64" i="7"/>
  <c r="AP153" i="5"/>
  <c r="AQ150" i="5" s="1"/>
  <c r="AQ151" i="5" s="1"/>
  <c r="AQ124" i="7" s="1"/>
  <c r="AP152" i="5"/>
  <c r="T164" i="8"/>
  <c r="T165" i="8" s="1"/>
  <c r="T200" i="8"/>
  <c r="T198" i="8"/>
  <c r="T197" i="8"/>
  <c r="T196" i="8"/>
  <c r="T199" i="8"/>
  <c r="T19" i="8"/>
  <c r="BP63" i="6" s="1"/>
  <c r="T13" i="8"/>
  <c r="AT173" i="7"/>
  <c r="AT174" i="7"/>
  <c r="AU68" i="7"/>
  <c r="AU71" i="7" s="1"/>
  <c r="AT71" i="7"/>
  <c r="AT70" i="7"/>
  <c r="AO43" i="5"/>
  <c r="AP40" i="5" s="1"/>
  <c r="AP41" i="5" s="1"/>
  <c r="AP14" i="7" s="1"/>
  <c r="AO42" i="5"/>
  <c r="AO123" i="7"/>
  <c r="AO155" i="5"/>
  <c r="AO157" i="6" s="1"/>
  <c r="AO156" i="5"/>
  <c r="AV129" i="7"/>
  <c r="AV120" i="7"/>
  <c r="AV128" i="7" s="1"/>
  <c r="AV155" i="7" s="1"/>
  <c r="AU172" i="7"/>
  <c r="AU179" i="7"/>
  <c r="AU62" i="7"/>
  <c r="AU69" i="7"/>
  <c r="AU178" i="7"/>
  <c r="AT181" i="7"/>
  <c r="AW160" i="6"/>
  <c r="O98" i="4"/>
  <c r="T18" i="8"/>
  <c r="AN13" i="7"/>
  <c r="AN45" i="5"/>
  <c r="AN47" i="6" s="1"/>
  <c r="M21" i="4"/>
  <c r="AV19" i="7"/>
  <c r="AV10" i="7"/>
  <c r="AV18" i="7" s="1"/>
  <c r="AV45" i="7" s="1"/>
  <c r="S77" i="7" l="1"/>
  <c r="T76" i="7"/>
  <c r="S187" i="7"/>
  <c r="T186" i="7"/>
  <c r="AO130" i="7"/>
  <c r="AO156" i="7" s="1"/>
  <c r="AO131" i="7"/>
  <c r="AQ153" i="5"/>
  <c r="AR150" i="5" s="1"/>
  <c r="AQ152" i="5"/>
  <c r="T171" i="8"/>
  <c r="BP172" i="6"/>
  <c r="AP123" i="7"/>
  <c r="AP155" i="5"/>
  <c r="AP157" i="6" s="1"/>
  <c r="AP156" i="5"/>
  <c r="AU63" i="7"/>
  <c r="AU64" i="7"/>
  <c r="AV178" i="7"/>
  <c r="AV181" i="7" s="1"/>
  <c r="AV62" i="7"/>
  <c r="AV69" i="7"/>
  <c r="O25" i="4"/>
  <c r="AU173" i="7"/>
  <c r="AU174" i="7"/>
  <c r="AW52" i="6"/>
  <c r="AX50" i="6" s="1"/>
  <c r="AW51" i="6"/>
  <c r="AW53" i="6" s="1"/>
  <c r="AW69" i="6" s="1"/>
  <c r="AU181" i="7"/>
  <c r="AV179" i="7"/>
  <c r="AV172" i="7"/>
  <c r="O94" i="4"/>
  <c r="C90" i="1"/>
  <c r="AO13" i="7"/>
  <c r="AO45" i="5"/>
  <c r="AO47" i="6" s="1"/>
  <c r="AO46" i="5"/>
  <c r="T14" i="8"/>
  <c r="T15" i="8" s="1"/>
  <c r="T50" i="8"/>
  <c r="T48" i="8"/>
  <c r="T47" i="8"/>
  <c r="T49" i="8"/>
  <c r="T46" i="8"/>
  <c r="AV68" i="7"/>
  <c r="AV71" i="7" s="1"/>
  <c r="AO177" i="7"/>
  <c r="AO176" i="7"/>
  <c r="T167" i="8"/>
  <c r="U162" i="8"/>
  <c r="AU180" i="7"/>
  <c r="AP43" i="5"/>
  <c r="AQ40" i="5" s="1"/>
  <c r="AQ41" i="5" s="1"/>
  <c r="AQ14" i="7" s="1"/>
  <c r="AP42" i="5"/>
  <c r="AU70" i="7"/>
  <c r="AU72" i="7" s="1"/>
  <c r="AT72" i="7"/>
  <c r="AW161" i="6"/>
  <c r="AW163" i="6" s="1"/>
  <c r="AW179" i="6" s="1"/>
  <c r="AW162" i="6"/>
  <c r="AX160" i="6" s="1"/>
  <c r="AO177" i="6"/>
  <c r="AO176" i="6"/>
  <c r="T187" i="7" l="1"/>
  <c r="U186" i="7"/>
  <c r="T77" i="7"/>
  <c r="U76" i="7"/>
  <c r="T17" i="8"/>
  <c r="T21" i="8"/>
  <c r="BP62" i="6"/>
  <c r="AO67" i="7"/>
  <c r="AO66" i="7"/>
  <c r="O93" i="4"/>
  <c r="AP177" i="7"/>
  <c r="AP176" i="7"/>
  <c r="AV173" i="7"/>
  <c r="AV174" i="7"/>
  <c r="AP177" i="6"/>
  <c r="AP176" i="6"/>
  <c r="AW175" i="7"/>
  <c r="AW129" i="7"/>
  <c r="AW120" i="7"/>
  <c r="AW128" i="7" s="1"/>
  <c r="AW155" i="7" s="1"/>
  <c r="AP131" i="7"/>
  <c r="AP130" i="7"/>
  <c r="AP156" i="7" s="1"/>
  <c r="U168" i="8"/>
  <c r="AW65" i="7"/>
  <c r="AW19" i="7"/>
  <c r="AW10" i="7"/>
  <c r="AW18" i="7" s="1"/>
  <c r="AW45" i="7" s="1"/>
  <c r="AO66" i="6"/>
  <c r="AO67" i="6"/>
  <c r="AX52" i="6"/>
  <c r="AY50" i="6" s="1"/>
  <c r="AX51" i="6"/>
  <c r="AX53" i="6" s="1"/>
  <c r="AX69" i="6" s="1"/>
  <c r="AQ123" i="7"/>
  <c r="AQ155" i="5"/>
  <c r="AQ157" i="6" s="1"/>
  <c r="AQ156" i="5"/>
  <c r="AO21" i="7"/>
  <c r="AO20" i="7"/>
  <c r="AO46" i="7" s="1"/>
  <c r="AX162" i="6"/>
  <c r="AY160" i="6" s="1"/>
  <c r="AX161" i="6"/>
  <c r="AX163" i="6" s="1"/>
  <c r="AX179" i="6" s="1"/>
  <c r="AP13" i="7"/>
  <c r="AP45" i="5"/>
  <c r="AP47" i="6" s="1"/>
  <c r="AP46" i="5"/>
  <c r="AQ43" i="5"/>
  <c r="AR40" i="5" s="1"/>
  <c r="AQ42" i="5"/>
  <c r="U12" i="8"/>
  <c r="U18" i="8" s="1"/>
  <c r="AR151" i="5"/>
  <c r="AV63" i="7"/>
  <c r="AV64" i="7"/>
  <c r="O33" i="4"/>
  <c r="H92" i="1" s="1"/>
  <c r="AV70" i="7"/>
  <c r="AV72" i="7" s="1"/>
  <c r="AV180" i="7"/>
  <c r="AU182" i="7"/>
  <c r="U163" i="8"/>
  <c r="U169" i="8"/>
  <c r="BT173" i="6" s="1"/>
  <c r="U77" i="7" l="1"/>
  <c r="V76" i="7"/>
  <c r="U187" i="7"/>
  <c r="V186" i="7"/>
  <c r="AP67" i="7"/>
  <c r="AP66" i="7"/>
  <c r="O95" i="4"/>
  <c r="AV182" i="7"/>
  <c r="AQ177" i="7"/>
  <c r="AQ176" i="7"/>
  <c r="AW69" i="7"/>
  <c r="AW62" i="7"/>
  <c r="AQ177" i="6"/>
  <c r="AQ176" i="6"/>
  <c r="AR124" i="7"/>
  <c r="N80" i="4"/>
  <c r="AQ130" i="7"/>
  <c r="AQ156" i="7" s="1"/>
  <c r="AQ131" i="7"/>
  <c r="AX65" i="7"/>
  <c r="AX19" i="7"/>
  <c r="AX10" i="7"/>
  <c r="AX18" i="7" s="1"/>
  <c r="AX45" i="7" s="1"/>
  <c r="AW179" i="7"/>
  <c r="AW172" i="7"/>
  <c r="AW178" i="7"/>
  <c r="AX175" i="7"/>
  <c r="AX129" i="7"/>
  <c r="AX120" i="7"/>
  <c r="AX128" i="7" s="1"/>
  <c r="AX155" i="7" s="1"/>
  <c r="O35" i="4"/>
  <c r="AR152" i="5"/>
  <c r="AR153" i="5"/>
  <c r="AY161" i="6"/>
  <c r="AY163" i="6" s="1"/>
  <c r="AY179" i="6" s="1"/>
  <c r="AY162" i="6"/>
  <c r="AZ160" i="6" s="1"/>
  <c r="AP66" i="6"/>
  <c r="AP67" i="6"/>
  <c r="AP21" i="7"/>
  <c r="AP20" i="7"/>
  <c r="AP46" i="7" s="1"/>
  <c r="AW68" i="7"/>
  <c r="U19" i="8"/>
  <c r="BT63" i="6" s="1"/>
  <c r="U13" i="8"/>
  <c r="AQ13" i="7"/>
  <c r="AQ45" i="5"/>
  <c r="AQ47" i="6" s="1"/>
  <c r="AQ46" i="5"/>
  <c r="AY52" i="6"/>
  <c r="AZ50" i="6" s="1"/>
  <c r="AY51" i="6"/>
  <c r="AY53" i="6" s="1"/>
  <c r="AY69" i="6" s="1"/>
  <c r="U164" i="8"/>
  <c r="U165" i="8" s="1"/>
  <c r="U201" i="8"/>
  <c r="U199" i="8"/>
  <c r="U198" i="8"/>
  <c r="U200" i="8"/>
  <c r="U197" i="8"/>
  <c r="AR41" i="5"/>
  <c r="W186" i="7" l="1"/>
  <c r="W187" i="7" s="1"/>
  <c r="V187" i="7"/>
  <c r="W76" i="7"/>
  <c r="V77" i="7"/>
  <c r="U171" i="8"/>
  <c r="BT172" i="6"/>
  <c r="AW173" i="7"/>
  <c r="AW174" i="7"/>
  <c r="AW63" i="7"/>
  <c r="AW64" i="7"/>
  <c r="AR123" i="7"/>
  <c r="AR155" i="5"/>
  <c r="AR157" i="6" s="1"/>
  <c r="N81" i="4"/>
  <c r="AQ67" i="7"/>
  <c r="AQ66" i="7"/>
  <c r="AQ66" i="6"/>
  <c r="AQ67" i="6"/>
  <c r="AY65" i="7"/>
  <c r="AY19" i="7"/>
  <c r="AY10" i="7"/>
  <c r="AY18" i="7" s="1"/>
  <c r="AY45" i="7" s="1"/>
  <c r="N92" i="4"/>
  <c r="AS150" i="5"/>
  <c r="AS151" i="5" s="1"/>
  <c r="AR160" i="5"/>
  <c r="AQ21" i="7"/>
  <c r="AQ20" i="7"/>
  <c r="AQ46" i="7" s="1"/>
  <c r="AW70" i="7"/>
  <c r="AZ51" i="6"/>
  <c r="AZ53" i="6" s="1"/>
  <c r="AZ69" i="6" s="1"/>
  <c r="P15" i="4" s="1"/>
  <c r="AZ52" i="6"/>
  <c r="AX179" i="7"/>
  <c r="AX172" i="7"/>
  <c r="AW180" i="7"/>
  <c r="AZ161" i="6"/>
  <c r="AZ163" i="6" s="1"/>
  <c r="AZ179" i="6" s="1"/>
  <c r="AZ162" i="6"/>
  <c r="AY175" i="7"/>
  <c r="AY129" i="7"/>
  <c r="AY120" i="7"/>
  <c r="AY128" i="7" s="1"/>
  <c r="AY155" i="7" s="1"/>
  <c r="U14" i="8"/>
  <c r="U15" i="8" s="1"/>
  <c r="U51" i="8"/>
  <c r="U48" i="8"/>
  <c r="U50" i="8"/>
  <c r="U49" i="8"/>
  <c r="U47" i="8"/>
  <c r="U167" i="8"/>
  <c r="AR156" i="5"/>
  <c r="AR14" i="7"/>
  <c r="N20" i="4"/>
  <c r="AR43" i="5"/>
  <c r="AX68" i="7"/>
  <c r="AW71" i="7"/>
  <c r="AX178" i="7"/>
  <c r="AW181" i="7"/>
  <c r="AX69" i="7"/>
  <c r="AX62" i="7"/>
  <c r="AR42" i="5"/>
  <c r="AR46" i="5" s="1"/>
  <c r="V162" i="8"/>
  <c r="X76" i="7" l="1"/>
  <c r="W77" i="7"/>
  <c r="AS124" i="7"/>
  <c r="AX70" i="7"/>
  <c r="AW72" i="7"/>
  <c r="N235" i="8"/>
  <c r="AS153" i="5"/>
  <c r="AS152" i="5"/>
  <c r="AY68" i="7"/>
  <c r="AY69" i="7"/>
  <c r="AY62" i="7"/>
  <c r="AY178" i="7"/>
  <c r="U21" i="8"/>
  <c r="BT62" i="6"/>
  <c r="AZ129" i="7"/>
  <c r="AZ120" i="7"/>
  <c r="AZ128" i="7" s="1"/>
  <c r="AZ155" i="7" s="1"/>
  <c r="P85" i="4" s="1"/>
  <c r="V12" i="8"/>
  <c r="N23" i="4"/>
  <c r="AX180" i="7"/>
  <c r="AX182" i="7" s="1"/>
  <c r="AW182" i="7"/>
  <c r="BA160" i="6"/>
  <c r="P98" i="4"/>
  <c r="AR13" i="7"/>
  <c r="AR45" i="5"/>
  <c r="AR47" i="6" s="1"/>
  <c r="N21" i="4"/>
  <c r="N83" i="4"/>
  <c r="AX173" i="7"/>
  <c r="AX174" i="7"/>
  <c r="AY179" i="7"/>
  <c r="AY172" i="7"/>
  <c r="V169" i="8"/>
  <c r="BX173" i="6" s="1"/>
  <c r="V163" i="8"/>
  <c r="AX63" i="7"/>
  <c r="AX64" i="7"/>
  <c r="V168" i="8"/>
  <c r="U17" i="8"/>
  <c r="BA50" i="6"/>
  <c r="P38" i="4"/>
  <c r="AZ19" i="7"/>
  <c r="AZ10" i="7"/>
  <c r="AZ18" i="7" s="1"/>
  <c r="AZ45" i="7" s="1"/>
  <c r="AX71" i="7"/>
  <c r="AS40" i="5"/>
  <c r="AS41" i="5" s="1"/>
  <c r="N32" i="4"/>
  <c r="AR50" i="5"/>
  <c r="AX181" i="7"/>
  <c r="X77" i="7" l="1"/>
  <c r="Y76" i="7"/>
  <c r="AT150" i="5"/>
  <c r="AT151" i="5" s="1"/>
  <c r="AT152" i="5" s="1"/>
  <c r="AS160" i="5"/>
  <c r="AS14" i="7"/>
  <c r="AZ69" i="7"/>
  <c r="AZ62" i="7"/>
  <c r="AZ178" i="7"/>
  <c r="AZ181" i="7" s="1"/>
  <c r="AY173" i="7"/>
  <c r="AY174" i="7"/>
  <c r="AZ68" i="7"/>
  <c r="C91" i="1"/>
  <c r="AY71" i="7"/>
  <c r="AS123" i="7"/>
  <c r="AS155" i="5"/>
  <c r="AS157" i="6" s="1"/>
  <c r="AS156" i="5"/>
  <c r="AY180" i="7"/>
  <c r="AY182" i="7" s="1"/>
  <c r="V164" i="8"/>
  <c r="V165" i="8" s="1"/>
  <c r="V202" i="8"/>
  <c r="V199" i="8"/>
  <c r="V200" i="8"/>
  <c r="V201" i="8"/>
  <c r="V198" i="8"/>
  <c r="P34" i="4"/>
  <c r="AZ172" i="7"/>
  <c r="AZ179" i="7"/>
  <c r="P94" i="4" s="1"/>
  <c r="N245" i="8"/>
  <c r="N241" i="8"/>
  <c r="N270" i="8" s="1"/>
  <c r="V18" i="8"/>
  <c r="AY64" i="7"/>
  <c r="AY63" i="7"/>
  <c r="BA52" i="6"/>
  <c r="BB50" i="6" s="1"/>
  <c r="BA51" i="6"/>
  <c r="BA53" i="6" s="1"/>
  <c r="BA69" i="6" s="1"/>
  <c r="V13" i="8"/>
  <c r="V19" i="8"/>
  <c r="BX63" i="6" s="1"/>
  <c r="BA161" i="6"/>
  <c r="BA163" i="6" s="1"/>
  <c r="BA179" i="6" s="1"/>
  <c r="BA162" i="6"/>
  <c r="BB160" i="6" s="1"/>
  <c r="AY70" i="7"/>
  <c r="AS43" i="5"/>
  <c r="AS42" i="5"/>
  <c r="AY181" i="7"/>
  <c r="AX72" i="7"/>
  <c r="AT153" i="5" l="1"/>
  <c r="Z76" i="7"/>
  <c r="Y77" i="7"/>
  <c r="AU150" i="5"/>
  <c r="AU151" i="5" s="1"/>
  <c r="AU124" i="7" s="1"/>
  <c r="AT160" i="5"/>
  <c r="AT124" i="7"/>
  <c r="AT40" i="5"/>
  <c r="AT41" i="5" s="1"/>
  <c r="AS50" i="5"/>
  <c r="V167" i="8"/>
  <c r="BA175" i="7"/>
  <c r="BA129" i="7"/>
  <c r="BA120" i="7"/>
  <c r="BA128" i="7" s="1"/>
  <c r="BA155" i="7" s="1"/>
  <c r="BA178" i="7" s="1"/>
  <c r="BA181" i="7" s="1"/>
  <c r="AS131" i="7"/>
  <c r="AS130" i="7"/>
  <c r="AS156" i="7" s="1"/>
  <c r="AS177" i="6"/>
  <c r="AS176" i="6"/>
  <c r="V14" i="8"/>
  <c r="V15" i="8" s="1"/>
  <c r="V52" i="8"/>
  <c r="V50" i="8"/>
  <c r="V49" i="8"/>
  <c r="V51" i="8"/>
  <c r="V48" i="8"/>
  <c r="P33" i="4"/>
  <c r="H93" i="1" s="1"/>
  <c r="AZ71" i="7"/>
  <c r="W162" i="8"/>
  <c r="AZ173" i="7"/>
  <c r="AZ174" i="7"/>
  <c r="AZ70" i="7"/>
  <c r="AS177" i="7"/>
  <c r="AS176" i="7"/>
  <c r="BA19" i="7"/>
  <c r="BA65" i="7"/>
  <c r="BA10" i="7"/>
  <c r="BA18" i="7" s="1"/>
  <c r="BA45" i="7" s="1"/>
  <c r="AS13" i="7"/>
  <c r="AS45" i="5"/>
  <c r="AS47" i="6" s="1"/>
  <c r="AS46" i="5"/>
  <c r="V171" i="8"/>
  <c r="BX172" i="6"/>
  <c r="AY72" i="7"/>
  <c r="AT123" i="7"/>
  <c r="AT155" i="5"/>
  <c r="AT157" i="6" s="1"/>
  <c r="AT156" i="5"/>
  <c r="P93" i="4"/>
  <c r="AU153" i="5"/>
  <c r="AU152" i="5"/>
  <c r="AZ64" i="7"/>
  <c r="AZ63" i="7"/>
  <c r="BB162" i="6"/>
  <c r="BC160" i="6" s="1"/>
  <c r="BB161" i="6"/>
  <c r="BB163" i="6" s="1"/>
  <c r="BB179" i="6" s="1"/>
  <c r="BB52" i="6"/>
  <c r="BC50" i="6" s="1"/>
  <c r="BB51" i="6"/>
  <c r="BB53" i="6" s="1"/>
  <c r="BB69" i="6" s="1"/>
  <c r="AZ180" i="7"/>
  <c r="AZ182" i="7" s="1"/>
  <c r="AT42" i="5" l="1"/>
  <c r="AT43" i="5"/>
  <c r="AA76" i="7"/>
  <c r="AA77" i="7" s="1"/>
  <c r="Z77" i="7"/>
  <c r="AV150" i="5"/>
  <c r="AV151" i="5" s="1"/>
  <c r="AV153" i="5" s="1"/>
  <c r="AV160" i="5" s="1"/>
  <c r="AU160" i="5"/>
  <c r="AU40" i="5"/>
  <c r="AU41" i="5" s="1"/>
  <c r="AU14" i="7" s="1"/>
  <c r="AT50" i="5"/>
  <c r="AT14" i="7"/>
  <c r="V21" i="8"/>
  <c r="BX62" i="6"/>
  <c r="BB65" i="7"/>
  <c r="BB19" i="7"/>
  <c r="BB10" i="7"/>
  <c r="BB18" i="7" s="1"/>
  <c r="BB45" i="7" s="1"/>
  <c r="AU43" i="5"/>
  <c r="BC161" i="6"/>
  <c r="BC163" i="6" s="1"/>
  <c r="BC179" i="6" s="1"/>
  <c r="BC162" i="6"/>
  <c r="BD160" i="6" s="1"/>
  <c r="W163" i="8"/>
  <c r="W169" i="8"/>
  <c r="CB173" i="6" s="1"/>
  <c r="BC52" i="6"/>
  <c r="BD50" i="6" s="1"/>
  <c r="BC51" i="6"/>
  <c r="BC53" i="6" s="1"/>
  <c r="BC69" i="6" s="1"/>
  <c r="P35" i="4"/>
  <c r="BA179" i="7"/>
  <c r="BA172" i="7"/>
  <c r="AU123" i="7"/>
  <c r="AU155" i="5"/>
  <c r="AU157" i="6" s="1"/>
  <c r="AU156" i="5"/>
  <c r="O81" i="4"/>
  <c r="AS20" i="7"/>
  <c r="AS46" i="7" s="1"/>
  <c r="AS21" i="7"/>
  <c r="BA69" i="7"/>
  <c r="BA62" i="7"/>
  <c r="W12" i="8"/>
  <c r="AS67" i="7"/>
  <c r="AS66" i="7"/>
  <c r="BB175" i="7"/>
  <c r="BB129" i="7"/>
  <c r="BB120" i="7"/>
  <c r="BB128" i="7" s="1"/>
  <c r="BB155" i="7" s="1"/>
  <c r="AS66" i="6"/>
  <c r="AS67" i="6"/>
  <c r="W168" i="8"/>
  <c r="AT177" i="7"/>
  <c r="AT176" i="7"/>
  <c r="BA68" i="7"/>
  <c r="AT13" i="7"/>
  <c r="AT45" i="5"/>
  <c r="AT47" i="6" s="1"/>
  <c r="AT46" i="5"/>
  <c r="AV152" i="5"/>
  <c r="AT177" i="6"/>
  <c r="AT176" i="6"/>
  <c r="AZ72" i="7"/>
  <c r="P95" i="4"/>
  <c r="AT131" i="7"/>
  <c r="AT130" i="7"/>
  <c r="AT156" i="7" s="1"/>
  <c r="V17" i="8"/>
  <c r="AV124" i="7" l="1"/>
  <c r="O80" i="4"/>
  <c r="AV40" i="5"/>
  <c r="AV41" i="5" s="1"/>
  <c r="AV43" i="5" s="1"/>
  <c r="AV50" i="5" s="1"/>
  <c r="AU50" i="5"/>
  <c r="AU42" i="5"/>
  <c r="AU46" i="5" s="1"/>
  <c r="W18" i="8"/>
  <c r="BD161" i="6"/>
  <c r="BD163" i="6" s="1"/>
  <c r="BD179" i="6" s="1"/>
  <c r="Q75" i="4" s="1"/>
  <c r="BD162" i="6"/>
  <c r="BC129" i="7"/>
  <c r="BC120" i="7"/>
  <c r="BC128" i="7" s="1"/>
  <c r="BC155" i="7" s="1"/>
  <c r="BC175" i="7"/>
  <c r="AU177" i="6"/>
  <c r="AU176" i="6"/>
  <c r="AV123" i="7"/>
  <c r="AV155" i="5"/>
  <c r="AV157" i="6" s="1"/>
  <c r="O235" i="8" s="1"/>
  <c r="AV156" i="5"/>
  <c r="AU130" i="7"/>
  <c r="AU156" i="7" s="1"/>
  <c r="AU131" i="7"/>
  <c r="BB172" i="7"/>
  <c r="BB179" i="7"/>
  <c r="BB69" i="7"/>
  <c r="BB62" i="7"/>
  <c r="BA173" i="7"/>
  <c r="BA174" i="7"/>
  <c r="AT67" i="7"/>
  <c r="AT66" i="7"/>
  <c r="AU177" i="7"/>
  <c r="AU176" i="7"/>
  <c r="O83" i="4"/>
  <c r="BA70" i="7"/>
  <c r="W164" i="8"/>
  <c r="W165" i="8" s="1"/>
  <c r="W203" i="8"/>
  <c r="W200" i="8"/>
  <c r="W202" i="8"/>
  <c r="W199" i="8"/>
  <c r="W201" i="8"/>
  <c r="W19" i="8"/>
  <c r="CB63" i="6" s="1"/>
  <c r="W13" i="8"/>
  <c r="AW150" i="5"/>
  <c r="AW151" i="5" s="1"/>
  <c r="O92" i="4"/>
  <c r="AT66" i="6"/>
  <c r="AT67" i="6"/>
  <c r="AT20" i="7"/>
  <c r="AT46" i="7" s="1"/>
  <c r="AT21" i="7"/>
  <c r="BC10" i="7"/>
  <c r="BC18" i="7" s="1"/>
  <c r="BC45" i="7" s="1"/>
  <c r="BC65" i="7"/>
  <c r="BC19" i="7"/>
  <c r="BB68" i="7"/>
  <c r="BB71" i="7" s="1"/>
  <c r="BA71" i="7"/>
  <c r="BB178" i="7"/>
  <c r="BA180" i="7"/>
  <c r="BA64" i="7"/>
  <c r="BA63" i="7"/>
  <c r="BD52" i="6"/>
  <c r="BD51" i="6"/>
  <c r="BD53" i="6" s="1"/>
  <c r="BD69" i="6" s="1"/>
  <c r="AV42" i="5" l="1"/>
  <c r="O21" i="4" s="1"/>
  <c r="AW124" i="7"/>
  <c r="AV14" i="7"/>
  <c r="O20" i="4"/>
  <c r="AU45" i="5"/>
  <c r="AU47" i="6" s="1"/>
  <c r="AU66" i="6" s="1"/>
  <c r="AU13" i="7"/>
  <c r="W167" i="8"/>
  <c r="AU21" i="7"/>
  <c r="AU20" i="7"/>
  <c r="AU46" i="7" s="1"/>
  <c r="O245" i="8"/>
  <c r="O241" i="8"/>
  <c r="O271" i="8" s="1"/>
  <c r="W14" i="8"/>
  <c r="W15" i="8" s="1"/>
  <c r="W53" i="8"/>
  <c r="W52" i="8"/>
  <c r="W50" i="8"/>
  <c r="W49" i="8"/>
  <c r="W51" i="8"/>
  <c r="BC178" i="7"/>
  <c r="BC181" i="7" s="1"/>
  <c r="BB181" i="7"/>
  <c r="AU67" i="7"/>
  <c r="AU66" i="7"/>
  <c r="O23" i="4"/>
  <c r="W171" i="8"/>
  <c r="CB172" i="6"/>
  <c r="BB173" i="7"/>
  <c r="BB174" i="7"/>
  <c r="BC172" i="7"/>
  <c r="BC179" i="7"/>
  <c r="BB180" i="7"/>
  <c r="BB182" i="7" s="1"/>
  <c r="BA182" i="7"/>
  <c r="BC69" i="7"/>
  <c r="BC62" i="7"/>
  <c r="BB70" i="7"/>
  <c r="BB72" i="7" s="1"/>
  <c r="BA72" i="7"/>
  <c r="AV13" i="7"/>
  <c r="AV45" i="5"/>
  <c r="AV47" i="6" s="1"/>
  <c r="AV46" i="5"/>
  <c r="AW40" i="5"/>
  <c r="AW41" i="5" s="1"/>
  <c r="O32" i="4"/>
  <c r="BD19" i="7"/>
  <c r="BD10" i="7"/>
  <c r="BD18" i="7" s="1"/>
  <c r="BD45" i="7" s="1"/>
  <c r="Q25" i="4" s="1"/>
  <c r="Q15" i="4"/>
  <c r="BE160" i="6"/>
  <c r="Q98" i="4"/>
  <c r="BC68" i="7"/>
  <c r="BB64" i="7"/>
  <c r="BB63" i="7"/>
  <c r="BD129" i="7"/>
  <c r="BD120" i="7"/>
  <c r="BD128" i="7" s="1"/>
  <c r="BD155" i="7" s="1"/>
  <c r="X162" i="8"/>
  <c r="BE50" i="6"/>
  <c r="Q38" i="4"/>
  <c r="AW152" i="5"/>
  <c r="AW153" i="5"/>
  <c r="AU67" i="6" l="1"/>
  <c r="AX150" i="5"/>
  <c r="AX151" i="5" s="1"/>
  <c r="AW160" i="5"/>
  <c r="AW14" i="7"/>
  <c r="W17" i="8"/>
  <c r="W21" i="8"/>
  <c r="CB62" i="6"/>
  <c r="C92" i="1"/>
  <c r="BC64" i="7"/>
  <c r="BC63" i="7"/>
  <c r="X163" i="8"/>
  <c r="X169" i="8"/>
  <c r="CF173" i="6" s="1"/>
  <c r="BD69" i="7"/>
  <c r="BD62" i="7"/>
  <c r="O85" i="8"/>
  <c r="BE52" i="6"/>
  <c r="BF50" i="6" s="1"/>
  <c r="BE51" i="6"/>
  <c r="BE53" i="6" s="1"/>
  <c r="BE69" i="6" s="1"/>
  <c r="BD178" i="7"/>
  <c r="BD181" i="7" s="1"/>
  <c r="BE162" i="6"/>
  <c r="BF160" i="6" s="1"/>
  <c r="BE161" i="6"/>
  <c r="BE163" i="6" s="1"/>
  <c r="BE179" i="6" s="1"/>
  <c r="BD68" i="7"/>
  <c r="BC71" i="7"/>
  <c r="BD172" i="7"/>
  <c r="BD179" i="7"/>
  <c r="Q85" i="4"/>
  <c r="BC180" i="7"/>
  <c r="BC182" i="7" s="1"/>
  <c r="X12" i="8"/>
  <c r="X18" i="8" s="1"/>
  <c r="AX152" i="5"/>
  <c r="AX153" i="5"/>
  <c r="AW123" i="7"/>
  <c r="AW155" i="5"/>
  <c r="AW157" i="6" s="1"/>
  <c r="AW156" i="5"/>
  <c r="X168" i="8"/>
  <c r="BC70" i="7"/>
  <c r="BC72" i="7" s="1"/>
  <c r="AW42" i="5"/>
  <c r="AW43" i="5"/>
  <c r="BC174" i="7"/>
  <c r="BC173" i="7"/>
  <c r="AY150" i="5" l="1"/>
  <c r="AY151" i="5" s="1"/>
  <c r="AY124" i="7" s="1"/>
  <c r="AX160" i="5"/>
  <c r="AX124" i="7"/>
  <c r="AX40" i="5"/>
  <c r="AX41" i="5" s="1"/>
  <c r="AX42" i="5" s="1"/>
  <c r="AW50" i="5"/>
  <c r="BD64" i="7"/>
  <c r="BD63" i="7"/>
  <c r="AX43" i="5"/>
  <c r="AW13" i="7"/>
  <c r="AW45" i="5"/>
  <c r="AW47" i="6" s="1"/>
  <c r="AW46" i="5"/>
  <c r="Q33" i="4"/>
  <c r="H94" i="1" s="1"/>
  <c r="BD174" i="7"/>
  <c r="BD173" i="7"/>
  <c r="O95" i="8"/>
  <c r="O91" i="8"/>
  <c r="O121" i="8" s="1"/>
  <c r="BD71" i="7"/>
  <c r="BF162" i="6"/>
  <c r="BG160" i="6" s="1"/>
  <c r="BF161" i="6"/>
  <c r="BF163" i="6" s="1"/>
  <c r="BF179" i="6" s="1"/>
  <c r="BE175" i="7"/>
  <c r="BE129" i="7"/>
  <c r="BE120" i="7"/>
  <c r="BE128" i="7" s="1"/>
  <c r="BE155" i="7" s="1"/>
  <c r="BE178" i="7" s="1"/>
  <c r="AW130" i="7"/>
  <c r="AW156" i="7" s="1"/>
  <c r="AW131" i="7"/>
  <c r="AY152" i="5"/>
  <c r="AY153" i="5"/>
  <c r="BD70" i="7"/>
  <c r="BD72" i="7" s="1"/>
  <c r="AW176" i="6"/>
  <c r="AW177" i="6"/>
  <c r="AX123" i="7"/>
  <c r="AX155" i="5"/>
  <c r="AX157" i="6" s="1"/>
  <c r="AX156" i="5"/>
  <c r="Q93" i="4"/>
  <c r="BE65" i="7"/>
  <c r="BE10" i="7"/>
  <c r="BE18" i="7" s="1"/>
  <c r="BE45" i="7" s="1"/>
  <c r="BE68" i="7" s="1"/>
  <c r="BE19" i="7"/>
  <c r="BD180" i="7"/>
  <c r="X164" i="8"/>
  <c r="X165" i="8" s="1"/>
  <c r="X204" i="8"/>
  <c r="X203" i="8"/>
  <c r="X201" i="8"/>
  <c r="X202" i="8"/>
  <c r="X200" i="8"/>
  <c r="AW177" i="7"/>
  <c r="AW176" i="7"/>
  <c r="X13" i="8"/>
  <c r="X19" i="8"/>
  <c r="CF63" i="6" s="1"/>
  <c r="BF52" i="6"/>
  <c r="BG50" i="6" s="1"/>
  <c r="BF51" i="6"/>
  <c r="BF53" i="6" s="1"/>
  <c r="BF69" i="6" s="1"/>
  <c r="AZ150" i="5" l="1"/>
  <c r="AZ151" i="5" s="1"/>
  <c r="AY160" i="5"/>
  <c r="AY40" i="5"/>
  <c r="AY41" i="5" s="1"/>
  <c r="AY14" i="7" s="1"/>
  <c r="AX50" i="5"/>
  <c r="AX14" i="7"/>
  <c r="X167" i="8"/>
  <c r="BE71" i="7"/>
  <c r="BE181" i="7"/>
  <c r="AY123" i="7"/>
  <c r="AY155" i="5"/>
  <c r="AY157" i="6" s="1"/>
  <c r="AY156" i="5"/>
  <c r="P81" i="4"/>
  <c r="BF65" i="7"/>
  <c r="BF10" i="7"/>
  <c r="BF18" i="7" s="1"/>
  <c r="BF45" i="7" s="1"/>
  <c r="BF19" i="7"/>
  <c r="AZ152" i="5"/>
  <c r="AZ153" i="5"/>
  <c r="AZ160" i="5" s="1"/>
  <c r="BE69" i="7"/>
  <c r="BE70" i="7" s="1"/>
  <c r="BE72" i="7" s="1"/>
  <c r="BE62" i="7"/>
  <c r="AW67" i="7"/>
  <c r="AW66" i="7"/>
  <c r="AW67" i="6"/>
  <c r="AW66" i="6"/>
  <c r="X14" i="8"/>
  <c r="X15" i="8" s="1"/>
  <c r="X54" i="8"/>
  <c r="X53" i="8"/>
  <c r="X50" i="8"/>
  <c r="X51" i="8"/>
  <c r="X52" i="8"/>
  <c r="AX131" i="7"/>
  <c r="AX130" i="7"/>
  <c r="AX156" i="7" s="1"/>
  <c r="BF175" i="7"/>
  <c r="BF129" i="7"/>
  <c r="BF120" i="7"/>
  <c r="BF128" i="7" s="1"/>
  <c r="BF155" i="7" s="1"/>
  <c r="AW20" i="7"/>
  <c r="AW46" i="7" s="1"/>
  <c r="AW21" i="7"/>
  <c r="BG51" i="6"/>
  <c r="BG53" i="6" s="1"/>
  <c r="BG69" i="6" s="1"/>
  <c r="BG52" i="6"/>
  <c r="BH50" i="6" s="1"/>
  <c r="BE172" i="7"/>
  <c r="BE179" i="7"/>
  <c r="BE180" i="7" s="1"/>
  <c r="BE182" i="7" s="1"/>
  <c r="BG162" i="6"/>
  <c r="BH160" i="6" s="1"/>
  <c r="BG161" i="6"/>
  <c r="BG163" i="6" s="1"/>
  <c r="BG179" i="6" s="1"/>
  <c r="AY42" i="5"/>
  <c r="AY43" i="5"/>
  <c r="AX13" i="7"/>
  <c r="AX45" i="5"/>
  <c r="AX47" i="6" s="1"/>
  <c r="AX46" i="5"/>
  <c r="AX176" i="6"/>
  <c r="AX177" i="6"/>
  <c r="AX177" i="7"/>
  <c r="AX176" i="7"/>
  <c r="X171" i="8"/>
  <c r="CF172" i="6"/>
  <c r="Q95" i="4"/>
  <c r="BD182" i="7"/>
  <c r="Q35" i="4"/>
  <c r="E15" i="3" l="1"/>
  <c r="AZ124" i="7"/>
  <c r="P80" i="4"/>
  <c r="AZ40" i="5"/>
  <c r="AZ41" i="5" s="1"/>
  <c r="AY50" i="5"/>
  <c r="E27" i="1"/>
  <c r="G15" i="3"/>
  <c r="G27" i="1" s="1"/>
  <c r="X21" i="8"/>
  <c r="CF62" i="6"/>
  <c r="BF62" i="7"/>
  <c r="BF69" i="7"/>
  <c r="BF70" i="7" s="1"/>
  <c r="BF72" i="7" s="1"/>
  <c r="AY177" i="7"/>
  <c r="AY176" i="7"/>
  <c r="AY176" i="6"/>
  <c r="AY177" i="6"/>
  <c r="BH52" i="6"/>
  <c r="BH51" i="6"/>
  <c r="BH53" i="6" s="1"/>
  <c r="BH69" i="6" s="1"/>
  <c r="AX21" i="7"/>
  <c r="AX20" i="7"/>
  <c r="AX46" i="7" s="1"/>
  <c r="AY131" i="7"/>
  <c r="AY130" i="7"/>
  <c r="AY156" i="7" s="1"/>
  <c r="BF172" i="7"/>
  <c r="BF179" i="7"/>
  <c r="BF180" i="7" s="1"/>
  <c r="AX67" i="7"/>
  <c r="AX66" i="7"/>
  <c r="BF178" i="7"/>
  <c r="AX67" i="6"/>
  <c r="AX66" i="6"/>
  <c r="AZ42" i="5"/>
  <c r="P21" i="4" s="1"/>
  <c r="AZ43" i="5"/>
  <c r="AZ50" i="5" s="1"/>
  <c r="AY13" i="7"/>
  <c r="AY45" i="5"/>
  <c r="AY47" i="6" s="1"/>
  <c r="AY46" i="5"/>
  <c r="BE64" i="7"/>
  <c r="BE63" i="7"/>
  <c r="BG65" i="7"/>
  <c r="BG19" i="7"/>
  <c r="BG10" i="7"/>
  <c r="BG18" i="7" s="1"/>
  <c r="BG45" i="7" s="1"/>
  <c r="BG129" i="7"/>
  <c r="BG175" i="7"/>
  <c r="BG120" i="7"/>
  <c r="BG128" i="7" s="1"/>
  <c r="BG155" i="7" s="1"/>
  <c r="BH162" i="6"/>
  <c r="BH161" i="6"/>
  <c r="BH163" i="6" s="1"/>
  <c r="BH179" i="6" s="1"/>
  <c r="R75" i="4" s="1"/>
  <c r="BA150" i="5"/>
  <c r="P92" i="4"/>
  <c r="BE174" i="7"/>
  <c r="BE173" i="7"/>
  <c r="AZ123" i="7"/>
  <c r="AZ155" i="5"/>
  <c r="AZ157" i="6" s="1"/>
  <c r="AZ156" i="5"/>
  <c r="P83" i="4" s="1"/>
  <c r="BF68" i="7"/>
  <c r="X17" i="8"/>
  <c r="B15" i="3" l="1"/>
  <c r="AZ14" i="7"/>
  <c r="P20" i="4"/>
  <c r="B27" i="1"/>
  <c r="F15" i="3"/>
  <c r="F27" i="1" s="1"/>
  <c r="BH19" i="7"/>
  <c r="BH10" i="7"/>
  <c r="BH18" i="7" s="1"/>
  <c r="BH45" i="7" s="1"/>
  <c r="BI50" i="6"/>
  <c r="R38" i="4"/>
  <c r="AY21" i="7"/>
  <c r="AY20" i="7"/>
  <c r="AY46" i="7" s="1"/>
  <c r="BG62" i="7"/>
  <c r="BG69" i="7"/>
  <c r="BG70" i="7" s="1"/>
  <c r="BF63" i="7"/>
  <c r="BF64" i="7"/>
  <c r="R15" i="4"/>
  <c r="BF174" i="7"/>
  <c r="BF173" i="7"/>
  <c r="BG172" i="7"/>
  <c r="BG179" i="7"/>
  <c r="BF182" i="7"/>
  <c r="BA152" i="5"/>
  <c r="BA153" i="5"/>
  <c r="BB150" i="5" s="1"/>
  <c r="BA40" i="5"/>
  <c r="P32" i="4"/>
  <c r="BG68" i="7"/>
  <c r="BG71" i="7" s="1"/>
  <c r="BF71" i="7"/>
  <c r="AY67" i="6"/>
  <c r="AY66" i="6"/>
  <c r="AZ13" i="7"/>
  <c r="AZ45" i="5"/>
  <c r="AZ47" i="6" s="1"/>
  <c r="P85" i="8" s="1"/>
  <c r="AZ46" i="5"/>
  <c r="BG178" i="7"/>
  <c r="BF181" i="7"/>
  <c r="BH120" i="7"/>
  <c r="BH128" i="7" s="1"/>
  <c r="BH155" i="7" s="1"/>
  <c r="BH129" i="7"/>
  <c r="BI160" i="6"/>
  <c r="R98" i="4"/>
  <c r="AY67" i="7"/>
  <c r="AY66" i="7"/>
  <c r="P23" i="4"/>
  <c r="BG174" i="7" l="1"/>
  <c r="BG173" i="7"/>
  <c r="BI51" i="6"/>
  <c r="BI53" i="6" s="1"/>
  <c r="BI69" i="6" s="1"/>
  <c r="BI52" i="6"/>
  <c r="BJ50" i="6" s="1"/>
  <c r="BG72" i="7"/>
  <c r="P95" i="8"/>
  <c r="P91" i="8"/>
  <c r="P122" i="8" s="1"/>
  <c r="BH69" i="7"/>
  <c r="BH70" i="7" s="1"/>
  <c r="BH62" i="7"/>
  <c r="R25" i="4"/>
  <c r="C93" i="1"/>
  <c r="BH178" i="7"/>
  <c r="R94" i="4"/>
  <c r="BG180" i="7"/>
  <c r="BI161" i="6"/>
  <c r="BI163" i="6" s="1"/>
  <c r="BI179" i="6" s="1"/>
  <c r="BI162" i="6"/>
  <c r="BJ160" i="6" s="1"/>
  <c r="BA42" i="5"/>
  <c r="BA43" i="5"/>
  <c r="BB40" i="5" s="1"/>
  <c r="BG63" i="7"/>
  <c r="BG64" i="7"/>
  <c r="BB152" i="5"/>
  <c r="BB153" i="5"/>
  <c r="BC150" i="5" s="1"/>
  <c r="BG181" i="7"/>
  <c r="BH68" i="7"/>
  <c r="BH172" i="7"/>
  <c r="BH179" i="7"/>
  <c r="BA123" i="7"/>
  <c r="BA155" i="5"/>
  <c r="BA157" i="6" s="1"/>
  <c r="BA156" i="5"/>
  <c r="R35" i="4" l="1"/>
  <c r="BH72" i="7"/>
  <c r="BB43" i="5"/>
  <c r="BC40" i="5" s="1"/>
  <c r="BB42" i="5"/>
  <c r="BA176" i="6"/>
  <c r="BA177" i="6"/>
  <c r="R93" i="4"/>
  <c r="BI129" i="7"/>
  <c r="BI175" i="7"/>
  <c r="BI120" i="7"/>
  <c r="BI128" i="7" s="1"/>
  <c r="BI155" i="7" s="1"/>
  <c r="BI178" i="7" s="1"/>
  <c r="BI181" i="7" s="1"/>
  <c r="BH180" i="7"/>
  <c r="BG182" i="7"/>
  <c r="BA131" i="7"/>
  <c r="BA130" i="7"/>
  <c r="BA156" i="7" s="1"/>
  <c r="BH181" i="7"/>
  <c r="BJ51" i="6"/>
  <c r="BJ53" i="6" s="1"/>
  <c r="BJ69" i="6" s="1"/>
  <c r="BJ52" i="6"/>
  <c r="BK50" i="6" s="1"/>
  <c r="BI19" i="7"/>
  <c r="BI65" i="7"/>
  <c r="BI10" i="7"/>
  <c r="BI18" i="7" s="1"/>
  <c r="BI45" i="7" s="1"/>
  <c r="BI68" i="7" s="1"/>
  <c r="BH174" i="7"/>
  <c r="BH173" i="7"/>
  <c r="R33" i="4"/>
  <c r="H95" i="1" s="1"/>
  <c r="BH71" i="7"/>
  <c r="BA13" i="7"/>
  <c r="BA45" i="5"/>
  <c r="BA47" i="6" s="1"/>
  <c r="BA46" i="5"/>
  <c r="BA177" i="7"/>
  <c r="BA176" i="7"/>
  <c r="BC152" i="5"/>
  <c r="BC153" i="5"/>
  <c r="BD150" i="5" s="1"/>
  <c r="BH63" i="7"/>
  <c r="BH64" i="7"/>
  <c r="BJ161" i="6"/>
  <c r="BJ163" i="6" s="1"/>
  <c r="BJ179" i="6" s="1"/>
  <c r="BJ162" i="6"/>
  <c r="BK160" i="6" s="1"/>
  <c r="BB123" i="7"/>
  <c r="BB155" i="5"/>
  <c r="BB157" i="6" s="1"/>
  <c r="BB156" i="5"/>
  <c r="BB177" i="7" l="1"/>
  <c r="BB176" i="7"/>
  <c r="BB13" i="7"/>
  <c r="BB45" i="5"/>
  <c r="BB47" i="6" s="1"/>
  <c r="BB46" i="5"/>
  <c r="BA20" i="7"/>
  <c r="BA46" i="7" s="1"/>
  <c r="BA21" i="7"/>
  <c r="BC42" i="5"/>
  <c r="BC43" i="5"/>
  <c r="BD40" i="5" s="1"/>
  <c r="BA67" i="7"/>
  <c r="BA66" i="7"/>
  <c r="R95" i="4"/>
  <c r="BC123" i="7"/>
  <c r="BC155" i="5"/>
  <c r="BC157" i="6" s="1"/>
  <c r="BC156" i="5"/>
  <c r="BA67" i="6"/>
  <c r="BA66" i="6"/>
  <c r="BB176" i="6"/>
  <c r="BB177" i="6"/>
  <c r="BB131" i="7"/>
  <c r="BB130" i="7"/>
  <c r="BB156" i="7" s="1"/>
  <c r="BI71" i="7"/>
  <c r="BH182" i="7"/>
  <c r="BI172" i="7"/>
  <c r="BI179" i="7"/>
  <c r="BK51" i="6"/>
  <c r="BK53" i="6" s="1"/>
  <c r="BK69" i="6" s="1"/>
  <c r="BK52" i="6"/>
  <c r="BL50" i="6" s="1"/>
  <c r="BJ129" i="7"/>
  <c r="BJ120" i="7"/>
  <c r="BJ128" i="7" s="1"/>
  <c r="BJ155" i="7" s="1"/>
  <c r="BJ178" i="7" s="1"/>
  <c r="BJ175" i="7"/>
  <c r="BD152" i="5"/>
  <c r="Q81" i="4" s="1"/>
  <c r="BD153" i="5"/>
  <c r="BJ65" i="7"/>
  <c r="BJ19" i="7"/>
  <c r="BJ10" i="7"/>
  <c r="BJ18" i="7" s="1"/>
  <c r="BJ45" i="7" s="1"/>
  <c r="BK161" i="6"/>
  <c r="BK163" i="6" s="1"/>
  <c r="BK179" i="6" s="1"/>
  <c r="BK162" i="6"/>
  <c r="BL160" i="6" s="1"/>
  <c r="BI69" i="7"/>
  <c r="BI62" i="7"/>
  <c r="BD43" i="5" l="1"/>
  <c r="BD42" i="5"/>
  <c r="BC13" i="7"/>
  <c r="BC45" i="5"/>
  <c r="BC47" i="6" s="1"/>
  <c r="BC46" i="5"/>
  <c r="Q21" i="4"/>
  <c r="BJ181" i="7"/>
  <c r="BD123" i="7"/>
  <c r="BD155" i="5"/>
  <c r="BD157" i="6" s="1"/>
  <c r="BD156" i="5"/>
  <c r="BK65" i="7"/>
  <c r="BK19" i="7"/>
  <c r="BK10" i="7"/>
  <c r="BK18" i="7" s="1"/>
  <c r="BK45" i="7" s="1"/>
  <c r="BC131" i="7"/>
  <c r="BC130" i="7"/>
  <c r="BC156" i="7" s="1"/>
  <c r="BB67" i="7"/>
  <c r="BB66" i="7"/>
  <c r="BL162" i="6"/>
  <c r="BL161" i="6"/>
  <c r="BL163" i="6" s="1"/>
  <c r="BL179" i="6" s="1"/>
  <c r="BB67" i="6"/>
  <c r="BB66" i="6"/>
  <c r="BC176" i="6"/>
  <c r="BC177" i="6"/>
  <c r="BI180" i="7"/>
  <c r="BB20" i="7"/>
  <c r="BB46" i="7" s="1"/>
  <c r="BB21" i="7"/>
  <c r="BK175" i="7"/>
  <c r="BK129" i="7"/>
  <c r="BK120" i="7"/>
  <c r="BK128" i="7" s="1"/>
  <c r="BK155" i="7" s="1"/>
  <c r="BK178" i="7" s="1"/>
  <c r="BI174" i="7"/>
  <c r="BI173" i="7"/>
  <c r="BC177" i="7"/>
  <c r="BC176" i="7"/>
  <c r="Q83" i="4"/>
  <c r="Q84" i="4" s="1"/>
  <c r="Q102" i="4" s="1"/>
  <c r="BI63" i="7"/>
  <c r="BI64" i="7"/>
  <c r="BJ69" i="7"/>
  <c r="BJ62" i="7"/>
  <c r="BJ68" i="7"/>
  <c r="BE150" i="5"/>
  <c r="Q92" i="4"/>
  <c r="BJ172" i="7"/>
  <c r="BJ179" i="7"/>
  <c r="BL52" i="6"/>
  <c r="BL51" i="6"/>
  <c r="BL53" i="6" s="1"/>
  <c r="BL69" i="6" s="1"/>
  <c r="BI70" i="7"/>
  <c r="BK181" i="7" l="1"/>
  <c r="BJ70" i="7"/>
  <c r="BI72" i="7"/>
  <c r="BL19" i="7"/>
  <c r="BL10" i="7"/>
  <c r="BL18" i="7" s="1"/>
  <c r="BL45" i="7" s="1"/>
  <c r="BC67" i="7"/>
  <c r="BC66" i="7"/>
  <c r="Q23" i="4"/>
  <c r="BC66" i="6"/>
  <c r="BC67" i="6"/>
  <c r="BL129" i="7"/>
  <c r="BL120" i="7"/>
  <c r="BL128" i="7" s="1"/>
  <c r="BL155" i="7" s="1"/>
  <c r="BC20" i="7"/>
  <c r="BC46" i="7" s="1"/>
  <c r="BC21" i="7"/>
  <c r="S75" i="4"/>
  <c r="S15" i="4"/>
  <c r="BD13" i="7"/>
  <c r="BD45" i="5"/>
  <c r="BD47" i="6" s="1"/>
  <c r="BD46" i="5"/>
  <c r="BD176" i="7"/>
  <c r="BM50" i="6"/>
  <c r="S38" i="4"/>
  <c r="BM160" i="6"/>
  <c r="S98" i="4"/>
  <c r="BK68" i="7"/>
  <c r="BK71" i="7" s="1"/>
  <c r="BJ71" i="7"/>
  <c r="BK69" i="7"/>
  <c r="BK62" i="7"/>
  <c r="S25" i="4"/>
  <c r="BE40" i="5"/>
  <c r="Q32" i="4"/>
  <c r="BK172" i="7"/>
  <c r="BK179" i="7"/>
  <c r="BJ173" i="7"/>
  <c r="BJ174" i="7"/>
  <c r="BE152" i="5"/>
  <c r="BE153" i="5"/>
  <c r="BF150" i="5" s="1"/>
  <c r="BJ63" i="7"/>
  <c r="BJ64" i="7"/>
  <c r="BJ180" i="7"/>
  <c r="BI182" i="7"/>
  <c r="Q235" i="8"/>
  <c r="BE43" i="5" l="1"/>
  <c r="BF40" i="5" s="1"/>
  <c r="BE42" i="5"/>
  <c r="Q245" i="8"/>
  <c r="Q241" i="8"/>
  <c r="Q273" i="8" s="1"/>
  <c r="C94" i="1"/>
  <c r="Q24" i="4"/>
  <c r="Q42" i="4" s="1"/>
  <c r="BK173" i="7"/>
  <c r="BK174" i="7"/>
  <c r="BK70" i="7"/>
  <c r="BK72" i="7" s="1"/>
  <c r="BL179" i="7"/>
  <c r="BL172" i="7"/>
  <c r="S85" i="4"/>
  <c r="BJ72" i="7"/>
  <c r="BK63" i="7"/>
  <c r="BK64" i="7"/>
  <c r="BD66" i="7"/>
  <c r="BL69" i="7"/>
  <c r="BL62" i="7"/>
  <c r="BF153" i="5"/>
  <c r="BG150" i="5" s="1"/>
  <c r="BF152" i="5"/>
  <c r="Q85" i="8"/>
  <c r="BK180" i="7"/>
  <c r="BK182" i="7" s="1"/>
  <c r="BE123" i="7"/>
  <c r="BE155" i="5"/>
  <c r="BE157" i="6" s="1"/>
  <c r="BE156" i="5"/>
  <c r="BM52" i="6"/>
  <c r="BN50" i="6" s="1"/>
  <c r="BM51" i="6"/>
  <c r="BM53" i="6" s="1"/>
  <c r="BM69" i="6" s="1"/>
  <c r="S34" i="4"/>
  <c r="BL68" i="7"/>
  <c r="BL71" i="7" s="1"/>
  <c r="BJ182" i="7"/>
  <c r="BM162" i="6"/>
  <c r="BN160" i="6" s="1"/>
  <c r="BM161" i="6"/>
  <c r="BM163" i="6" s="1"/>
  <c r="BM179" i="6" s="1"/>
  <c r="BL178" i="7"/>
  <c r="BE131" i="7" l="1"/>
  <c r="BE130" i="7"/>
  <c r="BE156" i="7" s="1"/>
  <c r="BL63" i="7"/>
  <c r="BL64" i="7"/>
  <c r="BL173" i="7"/>
  <c r="BL174" i="7"/>
  <c r="BF123" i="7"/>
  <c r="BF155" i="5"/>
  <c r="BF157" i="6" s="1"/>
  <c r="BF156" i="5"/>
  <c r="S33" i="4"/>
  <c r="H96" i="1" s="1"/>
  <c r="Q95" i="8"/>
  <c r="Q91" i="8"/>
  <c r="Q123" i="8" s="1"/>
  <c r="BM120" i="7"/>
  <c r="BM128" i="7" s="1"/>
  <c r="BM155" i="7" s="1"/>
  <c r="BM178" i="7" s="1"/>
  <c r="BM181" i="7" s="1"/>
  <c r="BM175" i="7"/>
  <c r="BM129" i="7"/>
  <c r="S93" i="4"/>
  <c r="BL181" i="7"/>
  <c r="BN162" i="6"/>
  <c r="BO160" i="6" s="1"/>
  <c r="BN161" i="6"/>
  <c r="BN163" i="6" s="1"/>
  <c r="BN179" i="6" s="1"/>
  <c r="BM65" i="7"/>
  <c r="BM19" i="7"/>
  <c r="BM10" i="7"/>
  <c r="BM18" i="7" s="1"/>
  <c r="BM45" i="7" s="1"/>
  <c r="BM68" i="7" s="1"/>
  <c r="BN52" i="6"/>
  <c r="BO50" i="6" s="1"/>
  <c r="BN51" i="6"/>
  <c r="BN53" i="6" s="1"/>
  <c r="BN69" i="6" s="1"/>
  <c r="BE177" i="7"/>
  <c r="BE176" i="7"/>
  <c r="BE13" i="7"/>
  <c r="BE45" i="5"/>
  <c r="BE47" i="6" s="1"/>
  <c r="BE46" i="5"/>
  <c r="BL180" i="7"/>
  <c r="BL70" i="7"/>
  <c r="BG153" i="5"/>
  <c r="BH150" i="5" s="1"/>
  <c r="BG152" i="5"/>
  <c r="BE177" i="6"/>
  <c r="BE176" i="6"/>
  <c r="BF42" i="5"/>
  <c r="BF43" i="5"/>
  <c r="BG40" i="5" s="1"/>
  <c r="BE67" i="7" l="1"/>
  <c r="BE66" i="7"/>
  <c r="S95" i="4"/>
  <c r="BL182" i="7"/>
  <c r="BM71" i="7"/>
  <c r="S35" i="4"/>
  <c r="BE21" i="7"/>
  <c r="BE20" i="7"/>
  <c r="BE46" i="7" s="1"/>
  <c r="BF177" i="7"/>
  <c r="BF176" i="7"/>
  <c r="BO162" i="6"/>
  <c r="BP160" i="6" s="1"/>
  <c r="BO161" i="6"/>
  <c r="BO163" i="6" s="1"/>
  <c r="BO179" i="6" s="1"/>
  <c r="BF177" i="6"/>
  <c r="BF176" i="6"/>
  <c r="BF130" i="7"/>
  <c r="BF156" i="7" s="1"/>
  <c r="BF131" i="7"/>
  <c r="BG42" i="5"/>
  <c r="BG43" i="5"/>
  <c r="BH40" i="5" s="1"/>
  <c r="BE66" i="6"/>
  <c r="BE67" i="6"/>
  <c r="BF13" i="7"/>
  <c r="BF45" i="5"/>
  <c r="BF47" i="6" s="1"/>
  <c r="BF46" i="5"/>
  <c r="BO52" i="6"/>
  <c r="BP50" i="6" s="1"/>
  <c r="BO51" i="6"/>
  <c r="BO53" i="6" s="1"/>
  <c r="BO69" i="6" s="1"/>
  <c r="BM179" i="7"/>
  <c r="BM180" i="7" s="1"/>
  <c r="BM172" i="7"/>
  <c r="BN120" i="7"/>
  <c r="BN128" i="7" s="1"/>
  <c r="BN155" i="7" s="1"/>
  <c r="BN178" i="7" s="1"/>
  <c r="BN175" i="7"/>
  <c r="BN129" i="7"/>
  <c r="BM69" i="7"/>
  <c r="BM62" i="7"/>
  <c r="BG123" i="7"/>
  <c r="BG155" i="5"/>
  <c r="BG157" i="6" s="1"/>
  <c r="BG156" i="5"/>
  <c r="BN10" i="7"/>
  <c r="BN18" i="7" s="1"/>
  <c r="BN45" i="7" s="1"/>
  <c r="BN68" i="7" s="1"/>
  <c r="BN65" i="7"/>
  <c r="BN19" i="7"/>
  <c r="BH153" i="5"/>
  <c r="BH152" i="5"/>
  <c r="R81" i="4" s="1"/>
  <c r="BL72" i="7"/>
  <c r="BM182" i="7" l="1"/>
  <c r="BN71" i="7"/>
  <c r="BI150" i="5"/>
  <c r="R92" i="4"/>
  <c r="BH42" i="5"/>
  <c r="BH43" i="5"/>
  <c r="BM70" i="7"/>
  <c r="BG13" i="7"/>
  <c r="BG45" i="5"/>
  <c r="BG47" i="6" s="1"/>
  <c r="BG46" i="5"/>
  <c r="BH123" i="7"/>
  <c r="BH155" i="5"/>
  <c r="BH157" i="6" s="1"/>
  <c r="BH156" i="5"/>
  <c r="BN179" i="7"/>
  <c r="BN180" i="7" s="1"/>
  <c r="BN172" i="7"/>
  <c r="BM63" i="7"/>
  <c r="BM64" i="7"/>
  <c r="BM173" i="7"/>
  <c r="BM174" i="7"/>
  <c r="BO19" i="7"/>
  <c r="BO65" i="7"/>
  <c r="BO10" i="7"/>
  <c r="BO18" i="7" s="1"/>
  <c r="BO45" i="7" s="1"/>
  <c r="BO68" i="7" s="1"/>
  <c r="BO175" i="7"/>
  <c r="BO129" i="7"/>
  <c r="BO120" i="7"/>
  <c r="BO128" i="7" s="1"/>
  <c r="BO155" i="7" s="1"/>
  <c r="BG177" i="7"/>
  <c r="BG176" i="7"/>
  <c r="R83" i="4"/>
  <c r="R84" i="4" s="1"/>
  <c r="R102" i="4" s="1"/>
  <c r="BG177" i="6"/>
  <c r="BG176" i="6"/>
  <c r="R235" i="8"/>
  <c r="BP52" i="6"/>
  <c r="BP51" i="6"/>
  <c r="BP53" i="6" s="1"/>
  <c r="BP69" i="6" s="1"/>
  <c r="T15" i="4" s="1"/>
  <c r="BP161" i="6"/>
  <c r="BP163" i="6" s="1"/>
  <c r="BP179" i="6" s="1"/>
  <c r="BP162" i="6"/>
  <c r="BG131" i="7"/>
  <c r="BG130" i="7"/>
  <c r="BG156" i="7" s="1"/>
  <c r="BF66" i="6"/>
  <c r="BF67" i="6"/>
  <c r="BN69" i="7"/>
  <c r="BN62" i="7"/>
  <c r="BF67" i="7"/>
  <c r="BF66" i="7"/>
  <c r="BF20" i="7"/>
  <c r="BF46" i="7" s="1"/>
  <c r="BF21" i="7"/>
  <c r="BN181" i="7"/>
  <c r="BN182" i="7" l="1"/>
  <c r="BO71" i="7"/>
  <c r="BG20" i="7"/>
  <c r="BG46" i="7" s="1"/>
  <c r="BG21" i="7"/>
  <c r="BQ50" i="6"/>
  <c r="T38" i="4"/>
  <c r="BH13" i="7"/>
  <c r="BH45" i="5"/>
  <c r="BH47" i="6" s="1"/>
  <c r="R85" i="8" s="1"/>
  <c r="BH46" i="5"/>
  <c r="R241" i="8"/>
  <c r="R274" i="8" s="1"/>
  <c r="R245" i="8"/>
  <c r="BN70" i="7"/>
  <c r="BM72" i="7"/>
  <c r="BI153" i="5"/>
  <c r="BJ150" i="5" s="1"/>
  <c r="BI152" i="5"/>
  <c r="BO172" i="7"/>
  <c r="BO179" i="7"/>
  <c r="BN173" i="7"/>
  <c r="BN174" i="7"/>
  <c r="BO178" i="7"/>
  <c r="BN63" i="7"/>
  <c r="BN64" i="7"/>
  <c r="BH176" i="7"/>
  <c r="BI40" i="5"/>
  <c r="R32" i="4"/>
  <c r="BO69" i="7"/>
  <c r="BO62" i="7"/>
  <c r="R21" i="4"/>
  <c r="BQ160" i="6"/>
  <c r="T98" i="4"/>
  <c r="BP120" i="7"/>
  <c r="BP128" i="7" s="1"/>
  <c r="BP155" i="7" s="1"/>
  <c r="T85" i="4" s="1"/>
  <c r="BP129" i="7"/>
  <c r="T75" i="4"/>
  <c r="BG67" i="7"/>
  <c r="BG66" i="7"/>
  <c r="BP19" i="7"/>
  <c r="BP10" i="7"/>
  <c r="BP18" i="7" s="1"/>
  <c r="BP45" i="7" s="1"/>
  <c r="BP68" i="7" s="1"/>
  <c r="BG66" i="6"/>
  <c r="BG67" i="6"/>
  <c r="T33" i="4" l="1"/>
  <c r="H97" i="1" s="1"/>
  <c r="BP71" i="7"/>
  <c r="BP178" i="7"/>
  <c r="BP181" i="7" s="1"/>
  <c r="BO181" i="7"/>
  <c r="BQ52" i="6"/>
  <c r="BR50" i="6" s="1"/>
  <c r="BQ51" i="6"/>
  <c r="BQ53" i="6" s="1"/>
  <c r="BQ69" i="6" s="1"/>
  <c r="R95" i="8"/>
  <c r="R91" i="8"/>
  <c r="R124" i="8" s="1"/>
  <c r="BO173" i="7"/>
  <c r="BO174" i="7"/>
  <c r="BJ153" i="5"/>
  <c r="BK150" i="5" s="1"/>
  <c r="BJ152" i="5"/>
  <c r="BP172" i="7"/>
  <c r="BP179" i="7"/>
  <c r="T94" i="4" s="1"/>
  <c r="BP69" i="7"/>
  <c r="BP62" i="7"/>
  <c r="T25" i="4"/>
  <c r="BI123" i="7"/>
  <c r="BI155" i="5"/>
  <c r="BI157" i="6" s="1"/>
  <c r="BI156" i="5"/>
  <c r="BO70" i="7"/>
  <c r="BI43" i="5"/>
  <c r="BJ40" i="5" s="1"/>
  <c r="BI42" i="5"/>
  <c r="BN72" i="7"/>
  <c r="BO64" i="7"/>
  <c r="BO63" i="7"/>
  <c r="BO180" i="7"/>
  <c r="BH66" i="7"/>
  <c r="R23" i="4"/>
  <c r="BQ162" i="6"/>
  <c r="BR160" i="6" s="1"/>
  <c r="BQ161" i="6"/>
  <c r="BQ163" i="6" s="1"/>
  <c r="BQ179" i="6" s="1"/>
  <c r="BQ120" i="7" l="1"/>
  <c r="BQ128" i="7" s="1"/>
  <c r="BQ155" i="7" s="1"/>
  <c r="BQ178" i="7" s="1"/>
  <c r="BQ175" i="7"/>
  <c r="BQ129" i="7"/>
  <c r="C95" i="1"/>
  <c r="R24" i="4"/>
  <c r="R42" i="4" s="1"/>
  <c r="BR52" i="6"/>
  <c r="BS50" i="6" s="1"/>
  <c r="BR51" i="6"/>
  <c r="BR53" i="6" s="1"/>
  <c r="BR69" i="6" s="1"/>
  <c r="BI177" i="6"/>
  <c r="BI176" i="6"/>
  <c r="BK153" i="5"/>
  <c r="BL150" i="5" s="1"/>
  <c r="BK152" i="5"/>
  <c r="T93" i="4"/>
  <c r="BQ65" i="7"/>
  <c r="BQ19" i="7"/>
  <c r="BQ10" i="7"/>
  <c r="BQ18" i="7" s="1"/>
  <c r="BQ45" i="7" s="1"/>
  <c r="BI177" i="7"/>
  <c r="BI176" i="7"/>
  <c r="BR162" i="6"/>
  <c r="BS160" i="6" s="1"/>
  <c r="BR161" i="6"/>
  <c r="BR163" i="6" s="1"/>
  <c r="BR179" i="6" s="1"/>
  <c r="BJ123" i="7"/>
  <c r="BJ155" i="5"/>
  <c r="BJ157" i="6" s="1"/>
  <c r="BJ156" i="5"/>
  <c r="BJ43" i="5"/>
  <c r="BK40" i="5" s="1"/>
  <c r="BJ42" i="5"/>
  <c r="BP173" i="7"/>
  <c r="BP174" i="7"/>
  <c r="BI13" i="7"/>
  <c r="BI45" i="5"/>
  <c r="BI47" i="6" s="1"/>
  <c r="BI46" i="5"/>
  <c r="BP70" i="7"/>
  <c r="BI130" i="7"/>
  <c r="BI156" i="7" s="1"/>
  <c r="BI131" i="7"/>
  <c r="BP64" i="7"/>
  <c r="BP63" i="7"/>
  <c r="BP180" i="7"/>
  <c r="BO182" i="7"/>
  <c r="BO72" i="7"/>
  <c r="T95" i="4" l="1"/>
  <c r="BJ130" i="7"/>
  <c r="BJ156" i="7" s="1"/>
  <c r="BJ131" i="7"/>
  <c r="BR129" i="7"/>
  <c r="BR120" i="7"/>
  <c r="BR128" i="7" s="1"/>
  <c r="BR155" i="7" s="1"/>
  <c r="BR175" i="7"/>
  <c r="BR65" i="7"/>
  <c r="BR19" i="7"/>
  <c r="BR10" i="7"/>
  <c r="BR18" i="7" s="1"/>
  <c r="BR45" i="7" s="1"/>
  <c r="BS52" i="6"/>
  <c r="BT50" i="6" s="1"/>
  <c r="BS51" i="6"/>
  <c r="BS53" i="6" s="1"/>
  <c r="BS69" i="6" s="1"/>
  <c r="BJ177" i="7"/>
  <c r="BJ176" i="7"/>
  <c r="BL152" i="5"/>
  <c r="BL153" i="5"/>
  <c r="T35" i="4"/>
  <c r="BI66" i="6"/>
  <c r="BI67" i="6"/>
  <c r="BK123" i="7"/>
  <c r="BK155" i="5"/>
  <c r="BK157" i="6" s="1"/>
  <c r="BK156" i="5"/>
  <c r="S81" i="4"/>
  <c r="BI20" i="7"/>
  <c r="BI46" i="7" s="1"/>
  <c r="BI21" i="7"/>
  <c r="BP182" i="7"/>
  <c r="BP72" i="7"/>
  <c r="BI67" i="7"/>
  <c r="BI66" i="7"/>
  <c r="BJ177" i="6"/>
  <c r="BJ176" i="6"/>
  <c r="BS161" i="6"/>
  <c r="BS163" i="6" s="1"/>
  <c r="BS179" i="6" s="1"/>
  <c r="BS162" i="6"/>
  <c r="BT160" i="6" s="1"/>
  <c r="BQ69" i="7"/>
  <c r="BQ62" i="7"/>
  <c r="BQ68" i="7"/>
  <c r="BQ172" i="7"/>
  <c r="BQ179" i="7"/>
  <c r="BJ13" i="7"/>
  <c r="BJ45" i="5"/>
  <c r="BJ47" i="6" s="1"/>
  <c r="BJ46" i="5"/>
  <c r="BK43" i="5"/>
  <c r="BL40" i="5" s="1"/>
  <c r="BK42" i="5"/>
  <c r="BQ181" i="7"/>
  <c r="BT52" i="6" l="1"/>
  <c r="BT51" i="6"/>
  <c r="BT53" i="6" s="1"/>
  <c r="BT69" i="6" s="1"/>
  <c r="BS120" i="7"/>
  <c r="BS128" i="7" s="1"/>
  <c r="BS155" i="7" s="1"/>
  <c r="BS175" i="7"/>
  <c r="BS129" i="7"/>
  <c r="BR172" i="7"/>
  <c r="BR179" i="7"/>
  <c r="BK177" i="7"/>
  <c r="BK176" i="7"/>
  <c r="S83" i="4"/>
  <c r="S84" i="4" s="1"/>
  <c r="S102" i="4" s="1"/>
  <c r="BK177" i="6"/>
  <c r="BK176" i="6"/>
  <c r="BL43" i="5"/>
  <c r="BL42" i="5"/>
  <c r="S21" i="4" s="1"/>
  <c r="BJ66" i="6"/>
  <c r="BJ67" i="6"/>
  <c r="BJ67" i="7"/>
  <c r="BJ66" i="7"/>
  <c r="BJ20" i="7"/>
  <c r="BJ46" i="7" s="1"/>
  <c r="BJ21" i="7"/>
  <c r="BM150" i="5"/>
  <c r="S92" i="4"/>
  <c r="BQ173" i="7"/>
  <c r="BQ174" i="7"/>
  <c r="BL123" i="7"/>
  <c r="BL155" i="5"/>
  <c r="BL157" i="6" s="1"/>
  <c r="S235" i="8" s="1"/>
  <c r="BL156" i="5"/>
  <c r="BR178" i="7"/>
  <c r="BT162" i="6"/>
  <c r="BT161" i="6"/>
  <c r="BT163" i="6" s="1"/>
  <c r="BT179" i="6" s="1"/>
  <c r="U75" i="4" s="1"/>
  <c r="BK13" i="7"/>
  <c r="BK45" i="5"/>
  <c r="BK47" i="6" s="1"/>
  <c r="BK46" i="5"/>
  <c r="BQ70" i="7"/>
  <c r="BR68" i="7"/>
  <c r="BR71" i="7" s="1"/>
  <c r="BQ71" i="7"/>
  <c r="BQ180" i="7"/>
  <c r="BR69" i="7"/>
  <c r="BR62" i="7"/>
  <c r="BK131" i="7"/>
  <c r="BK130" i="7"/>
  <c r="BK156" i="7" s="1"/>
  <c r="BQ64" i="7"/>
  <c r="BQ63" i="7"/>
  <c r="BS65" i="7"/>
  <c r="BS19" i="7"/>
  <c r="BS10" i="7"/>
  <c r="BS18" i="7" s="1"/>
  <c r="BS45" i="7" s="1"/>
  <c r="S241" i="8" l="1"/>
  <c r="S275" i="8" s="1"/>
  <c r="S245" i="8"/>
  <c r="BR173" i="7"/>
  <c r="BR174" i="7"/>
  <c r="BS68" i="7"/>
  <c r="BM152" i="5"/>
  <c r="BM153" i="5"/>
  <c r="BN150" i="5" s="1"/>
  <c r="BS172" i="7"/>
  <c r="BS179" i="7"/>
  <c r="U85" i="4"/>
  <c r="BS69" i="7"/>
  <c r="BS62" i="7"/>
  <c r="BS178" i="7"/>
  <c r="BS181" i="7" s="1"/>
  <c r="BR181" i="7"/>
  <c r="BL13" i="7"/>
  <c r="BL45" i="5"/>
  <c r="BL47" i="6" s="1"/>
  <c r="S85" i="8" s="1"/>
  <c r="BL46" i="5"/>
  <c r="BT19" i="7"/>
  <c r="BT10" i="7"/>
  <c r="BT18" i="7" s="1"/>
  <c r="BT45" i="7" s="1"/>
  <c r="U25" i="4" s="1"/>
  <c r="U15" i="4"/>
  <c r="BL176" i="7"/>
  <c r="BU50" i="6"/>
  <c r="U38" i="4"/>
  <c r="BT129" i="7"/>
  <c r="BT120" i="7"/>
  <c r="BT128" i="7" s="1"/>
  <c r="BT155" i="7" s="1"/>
  <c r="BU160" i="6"/>
  <c r="U98" i="4"/>
  <c r="BK66" i="6"/>
  <c r="BK67" i="6"/>
  <c r="BK21" i="7"/>
  <c r="BK20" i="7"/>
  <c r="BK46" i="7" s="1"/>
  <c r="BM40" i="5"/>
  <c r="S32" i="4"/>
  <c r="BR64" i="7"/>
  <c r="BR63" i="7"/>
  <c r="BR180" i="7"/>
  <c r="BR182" i="7" s="1"/>
  <c r="BQ182" i="7"/>
  <c r="BR70" i="7"/>
  <c r="BQ72" i="7"/>
  <c r="BK67" i="7"/>
  <c r="BK66" i="7"/>
  <c r="S23" i="4"/>
  <c r="BT68" i="7" l="1"/>
  <c r="S95" i="8"/>
  <c r="S91" i="8"/>
  <c r="S125" i="8" s="1"/>
  <c r="BN153" i="5"/>
  <c r="BO150" i="5" s="1"/>
  <c r="BN152" i="5"/>
  <c r="BS71" i="7"/>
  <c r="C96" i="1"/>
  <c r="S24" i="4"/>
  <c r="S42" i="4" s="1"/>
  <c r="BT69" i="7"/>
  <c r="U34" i="4" s="1"/>
  <c r="BT62" i="7"/>
  <c r="BL66" i="7"/>
  <c r="BS70" i="7"/>
  <c r="BR72" i="7"/>
  <c r="BU162" i="6"/>
  <c r="BV160" i="6" s="1"/>
  <c r="BU161" i="6"/>
  <c r="BU163" i="6" s="1"/>
  <c r="BU179" i="6" s="1"/>
  <c r="BS180" i="7"/>
  <c r="BS182" i="7" s="1"/>
  <c r="BT178" i="7"/>
  <c r="BT181" i="7" s="1"/>
  <c r="BS174" i="7"/>
  <c r="BS173" i="7"/>
  <c r="BM123" i="7"/>
  <c r="BM155" i="5"/>
  <c r="BM157" i="6" s="1"/>
  <c r="BM156" i="5"/>
  <c r="BT172" i="7"/>
  <c r="BT179" i="7"/>
  <c r="U94" i="4" s="1"/>
  <c r="BM42" i="5"/>
  <c r="BM43" i="5"/>
  <c r="BN40" i="5" s="1"/>
  <c r="BU52" i="6"/>
  <c r="BV50" i="6" s="1"/>
  <c r="BU51" i="6"/>
  <c r="BU53" i="6" s="1"/>
  <c r="BU69" i="6" s="1"/>
  <c r="BS64" i="7"/>
  <c r="BS63" i="7"/>
  <c r="BU65" i="7" l="1"/>
  <c r="BU10" i="7"/>
  <c r="BU18" i="7" s="1"/>
  <c r="BU45" i="7" s="1"/>
  <c r="BU68" i="7" s="1"/>
  <c r="BU71" i="7" s="1"/>
  <c r="BU19" i="7"/>
  <c r="BT64" i="7"/>
  <c r="BT63" i="7"/>
  <c r="U93" i="4"/>
  <c r="BN42" i="5"/>
  <c r="BN43" i="5"/>
  <c r="BO40" i="5" s="1"/>
  <c r="BV162" i="6"/>
  <c r="BW160" i="6" s="1"/>
  <c r="BV161" i="6"/>
  <c r="BV163" i="6" s="1"/>
  <c r="BV179" i="6" s="1"/>
  <c r="BV52" i="6"/>
  <c r="BW50" i="6" s="1"/>
  <c r="BV51" i="6"/>
  <c r="BV53" i="6" s="1"/>
  <c r="BV69" i="6" s="1"/>
  <c r="BN123" i="7"/>
  <c r="BN155" i="5"/>
  <c r="BN157" i="6" s="1"/>
  <c r="BN156" i="5"/>
  <c r="BT180" i="7"/>
  <c r="BM177" i="7"/>
  <c r="BM176" i="7"/>
  <c r="BM13" i="7"/>
  <c r="BM45" i="5"/>
  <c r="BM47" i="6" s="1"/>
  <c r="BM46" i="5"/>
  <c r="BT174" i="7"/>
  <c r="BT173" i="7"/>
  <c r="BT70" i="7"/>
  <c r="BO152" i="5"/>
  <c r="BO153" i="5"/>
  <c r="BP150" i="5" s="1"/>
  <c r="BM176" i="6"/>
  <c r="BM177" i="6"/>
  <c r="BS72" i="7"/>
  <c r="BU120" i="7"/>
  <c r="BU128" i="7" s="1"/>
  <c r="BU155" i="7" s="1"/>
  <c r="BU178" i="7" s="1"/>
  <c r="BU175" i="7"/>
  <c r="BU129" i="7"/>
  <c r="U33" i="4"/>
  <c r="H98" i="1" s="1"/>
  <c r="BM131" i="7"/>
  <c r="BM130" i="7"/>
  <c r="BM156" i="7" s="1"/>
  <c r="BT71" i="7"/>
  <c r="BU181" i="7" l="1"/>
  <c r="BW161" i="6"/>
  <c r="BW163" i="6" s="1"/>
  <c r="BW179" i="6" s="1"/>
  <c r="BW162" i="6"/>
  <c r="BX160" i="6" s="1"/>
  <c r="BN13" i="7"/>
  <c r="BN45" i="5"/>
  <c r="BN47" i="6" s="1"/>
  <c r="BN46" i="5"/>
  <c r="BM21" i="7"/>
  <c r="BM20" i="7"/>
  <c r="BM46" i="7" s="1"/>
  <c r="BV175" i="7"/>
  <c r="BV129" i="7"/>
  <c r="BV120" i="7"/>
  <c r="BV128" i="7" s="1"/>
  <c r="BV155" i="7" s="1"/>
  <c r="BV178" i="7" s="1"/>
  <c r="U95" i="4"/>
  <c r="BM67" i="7"/>
  <c r="BM66" i="7"/>
  <c r="BT182" i="7"/>
  <c r="BM67" i="6"/>
  <c r="BM66" i="6"/>
  <c r="BN177" i="7"/>
  <c r="BN176" i="7"/>
  <c r="BU69" i="7"/>
  <c r="BU70" i="7" s="1"/>
  <c r="BU62" i="7"/>
  <c r="BP152" i="5"/>
  <c r="BP153" i="5"/>
  <c r="BN176" i="6"/>
  <c r="BN177" i="6"/>
  <c r="BO123" i="7"/>
  <c r="BO155" i="5"/>
  <c r="BO157" i="6" s="1"/>
  <c r="BO156" i="5"/>
  <c r="T81" i="4"/>
  <c r="BN131" i="7"/>
  <c r="BN130" i="7"/>
  <c r="BN156" i="7" s="1"/>
  <c r="BO43" i="5"/>
  <c r="BP40" i="5" s="1"/>
  <c r="BO42" i="5"/>
  <c r="BV10" i="7"/>
  <c r="BV18" i="7" s="1"/>
  <c r="BV45" i="7" s="1"/>
  <c r="BV19" i="7"/>
  <c r="BV65" i="7"/>
  <c r="BU172" i="7"/>
  <c r="BU179" i="7"/>
  <c r="U35" i="4"/>
  <c r="BT72" i="7"/>
  <c r="BW51" i="6"/>
  <c r="BW53" i="6" s="1"/>
  <c r="BW69" i="6" s="1"/>
  <c r="BW52" i="6"/>
  <c r="BX50" i="6" s="1"/>
  <c r="BV181" i="7" l="1"/>
  <c r="BU72" i="7"/>
  <c r="BV69" i="7"/>
  <c r="BV70" i="7" s="1"/>
  <c r="BV62" i="7"/>
  <c r="BO13" i="7"/>
  <c r="BO45" i="5"/>
  <c r="BO47" i="6" s="1"/>
  <c r="BO46" i="5"/>
  <c r="T21" i="4"/>
  <c r="BW65" i="7"/>
  <c r="BW19" i="7"/>
  <c r="BW10" i="7"/>
  <c r="BW18" i="7" s="1"/>
  <c r="BW45" i="7" s="1"/>
  <c r="BN67" i="7"/>
  <c r="BN66" i="7"/>
  <c r="BO176" i="6"/>
  <c r="BO177" i="6"/>
  <c r="T235" i="8"/>
  <c r="BN67" i="6"/>
  <c r="BN66" i="6"/>
  <c r="BN20" i="7"/>
  <c r="BN46" i="7" s="1"/>
  <c r="BN21" i="7"/>
  <c r="BO177" i="7"/>
  <c r="BO176" i="7"/>
  <c r="T83" i="4"/>
  <c r="T84" i="4" s="1"/>
  <c r="T102" i="4" s="1"/>
  <c r="BX162" i="6"/>
  <c r="BX161" i="6"/>
  <c r="BX163" i="6" s="1"/>
  <c r="BX179" i="6" s="1"/>
  <c r="V75" i="4" s="1"/>
  <c r="BO131" i="7"/>
  <c r="BO130" i="7"/>
  <c r="BO156" i="7" s="1"/>
  <c r="BW175" i="7"/>
  <c r="BW120" i="7"/>
  <c r="BW128" i="7" s="1"/>
  <c r="BW155" i="7" s="1"/>
  <c r="BW129" i="7"/>
  <c r="BU180" i="7"/>
  <c r="BQ150" i="5"/>
  <c r="T92" i="4"/>
  <c r="BP123" i="7"/>
  <c r="BP155" i="5"/>
  <c r="BP157" i="6" s="1"/>
  <c r="BP156" i="5"/>
  <c r="BX51" i="6"/>
  <c r="BX53" i="6" s="1"/>
  <c r="BX69" i="6" s="1"/>
  <c r="BX52" i="6"/>
  <c r="BP43" i="5"/>
  <c r="BP42" i="5"/>
  <c r="BU174" i="7"/>
  <c r="BU173" i="7"/>
  <c r="BV68" i="7"/>
  <c r="BU64" i="7"/>
  <c r="BU63" i="7"/>
  <c r="BV172" i="7"/>
  <c r="BV179" i="7"/>
  <c r="BV72" i="7" l="1"/>
  <c r="BV174" i="7"/>
  <c r="BV173" i="7"/>
  <c r="BO67" i="7"/>
  <c r="BO66" i="7"/>
  <c r="T23" i="4"/>
  <c r="BO67" i="6"/>
  <c r="BO66" i="6"/>
  <c r="BO20" i="7"/>
  <c r="BO46" i="7" s="1"/>
  <c r="BO21" i="7"/>
  <c r="BV63" i="7"/>
  <c r="BV64" i="7"/>
  <c r="BV180" i="7"/>
  <c r="BU182" i="7"/>
  <c r="BW172" i="7"/>
  <c r="BW179" i="7"/>
  <c r="T241" i="8"/>
  <c r="T276" i="8" s="1"/>
  <c r="T245" i="8"/>
  <c r="BQ40" i="5"/>
  <c r="T32" i="4"/>
  <c r="BY50" i="6"/>
  <c r="V38" i="4"/>
  <c r="BP13" i="7"/>
  <c r="BP45" i="5"/>
  <c r="BP47" i="6" s="1"/>
  <c r="T85" i="8" s="1"/>
  <c r="BP46" i="5"/>
  <c r="BX120" i="7"/>
  <c r="BX128" i="7" s="1"/>
  <c r="BX155" i="7" s="1"/>
  <c r="V85" i="4" s="1"/>
  <c r="BX129" i="7"/>
  <c r="BW62" i="7"/>
  <c r="BW69" i="7"/>
  <c r="BW68" i="7"/>
  <c r="BW71" i="7" s="1"/>
  <c r="BV71" i="7"/>
  <c r="BP176" i="7"/>
  <c r="BY160" i="6"/>
  <c r="V98" i="4"/>
  <c r="BW178" i="7"/>
  <c r="BQ152" i="5"/>
  <c r="BQ153" i="5"/>
  <c r="BR150" i="5" s="1"/>
  <c r="BX19" i="7"/>
  <c r="BX10" i="7"/>
  <c r="BX18" i="7" s="1"/>
  <c r="BX45" i="7" s="1"/>
  <c r="V15" i="4"/>
  <c r="T95" i="8" l="1"/>
  <c r="T91" i="8"/>
  <c r="T126" i="8" s="1"/>
  <c r="T24" i="4"/>
  <c r="T42" i="4" s="1"/>
  <c r="C97" i="1"/>
  <c r="BQ43" i="5"/>
  <c r="BR40" i="5" s="1"/>
  <c r="BQ42" i="5"/>
  <c r="BX69" i="7"/>
  <c r="BX62" i="7"/>
  <c r="V25" i="4"/>
  <c r="V94" i="4"/>
  <c r="BW174" i="7"/>
  <c r="BW173" i="7"/>
  <c r="BX68" i="7"/>
  <c r="BW63" i="7"/>
  <c r="BW64" i="7"/>
  <c r="BQ123" i="7"/>
  <c r="BQ155" i="5"/>
  <c r="BQ157" i="6" s="1"/>
  <c r="BQ156" i="5"/>
  <c r="BP66" i="7"/>
  <c r="BX172" i="7"/>
  <c r="BX179" i="7"/>
  <c r="BW180" i="7"/>
  <c r="BW182" i="7" s="1"/>
  <c r="BW70" i="7"/>
  <c r="BY51" i="6"/>
  <c r="BY53" i="6" s="1"/>
  <c r="BY69" i="6" s="1"/>
  <c r="BY52" i="6"/>
  <c r="BZ50" i="6" s="1"/>
  <c r="BR152" i="5"/>
  <c r="BR153" i="5"/>
  <c r="BS150" i="5" s="1"/>
  <c r="BX178" i="7"/>
  <c r="BX181" i="7" s="1"/>
  <c r="BW181" i="7"/>
  <c r="BV182" i="7"/>
  <c r="BY161" i="6"/>
  <c r="BY163" i="6" s="1"/>
  <c r="BY179" i="6" s="1"/>
  <c r="BY162" i="6"/>
  <c r="BZ160" i="6" s="1"/>
  <c r="BQ177" i="7" l="1"/>
  <c r="BQ176" i="7"/>
  <c r="BX174" i="7"/>
  <c r="BX173" i="7"/>
  <c r="BZ161" i="6"/>
  <c r="BZ163" i="6" s="1"/>
  <c r="BZ179" i="6" s="1"/>
  <c r="BZ162" i="6"/>
  <c r="CA160" i="6" s="1"/>
  <c r="BX63" i="7"/>
  <c r="BX64" i="7"/>
  <c r="BY129" i="7"/>
  <c r="BY175" i="7"/>
  <c r="BY120" i="7"/>
  <c r="BY128" i="7" s="1"/>
  <c r="BY155" i="7" s="1"/>
  <c r="BR43" i="5"/>
  <c r="BS40" i="5" s="1"/>
  <c r="BR42" i="5"/>
  <c r="BY65" i="7"/>
  <c r="BY19" i="7"/>
  <c r="BY10" i="7"/>
  <c r="BY18" i="7" s="1"/>
  <c r="BY45" i="7" s="1"/>
  <c r="BY68" i="7" s="1"/>
  <c r="BQ176" i="6"/>
  <c r="BQ177" i="6"/>
  <c r="BZ51" i="6"/>
  <c r="BZ53" i="6" s="1"/>
  <c r="BZ69" i="6" s="1"/>
  <c r="BZ52" i="6"/>
  <c r="CA50" i="6" s="1"/>
  <c r="V33" i="4"/>
  <c r="H99" i="1" s="1"/>
  <c r="BQ13" i="7"/>
  <c r="BQ45" i="5"/>
  <c r="BQ47" i="6" s="1"/>
  <c r="BQ46" i="5"/>
  <c r="V93" i="4"/>
  <c r="BS152" i="5"/>
  <c r="BS153" i="5"/>
  <c r="BT150" i="5" s="1"/>
  <c r="BR123" i="7"/>
  <c r="BR155" i="5"/>
  <c r="BR157" i="6" s="1"/>
  <c r="BR156" i="5"/>
  <c r="BQ130" i="7"/>
  <c r="BQ156" i="7" s="1"/>
  <c r="BQ131" i="7"/>
  <c r="BX70" i="7"/>
  <c r="BX72" i="7" s="1"/>
  <c r="BW72" i="7"/>
  <c r="BX180" i="7"/>
  <c r="BX71" i="7"/>
  <c r="BY172" i="7" l="1"/>
  <c r="BY179" i="7"/>
  <c r="V35" i="4"/>
  <c r="BY71" i="7"/>
  <c r="BZ65" i="7"/>
  <c r="BZ19" i="7"/>
  <c r="BZ10" i="7"/>
  <c r="BZ18" i="7" s="1"/>
  <c r="BZ45" i="7" s="1"/>
  <c r="BR131" i="7"/>
  <c r="BR130" i="7"/>
  <c r="BR156" i="7" s="1"/>
  <c r="BY69" i="7"/>
  <c r="BY70" i="7" s="1"/>
  <c r="BY62" i="7"/>
  <c r="BR177" i="7"/>
  <c r="BR176" i="7"/>
  <c r="CA161" i="6"/>
  <c r="CA163" i="6" s="1"/>
  <c r="CA179" i="6" s="1"/>
  <c r="CA162" i="6"/>
  <c r="CB160" i="6" s="1"/>
  <c r="CA51" i="6"/>
  <c r="CA53" i="6" s="1"/>
  <c r="CA69" i="6" s="1"/>
  <c r="CA52" i="6"/>
  <c r="CB50" i="6" s="1"/>
  <c r="BT152" i="5"/>
  <c r="BT153" i="5"/>
  <c r="BY178" i="7"/>
  <c r="BZ175" i="7"/>
  <c r="BZ129" i="7"/>
  <c r="BZ120" i="7"/>
  <c r="BZ128" i="7" s="1"/>
  <c r="BZ155" i="7" s="1"/>
  <c r="BS123" i="7"/>
  <c r="BS155" i="5"/>
  <c r="BS157" i="6" s="1"/>
  <c r="BS156" i="5"/>
  <c r="U81" i="4"/>
  <c r="BR176" i="6"/>
  <c r="BR177" i="6"/>
  <c r="BQ67" i="7"/>
  <c r="BQ66" i="7"/>
  <c r="BY180" i="7"/>
  <c r="BY182" i="7" s="1"/>
  <c r="V95" i="4"/>
  <c r="BX182" i="7"/>
  <c r="BQ67" i="6"/>
  <c r="BQ66" i="6"/>
  <c r="BR13" i="7"/>
  <c r="BR45" i="5"/>
  <c r="BR47" i="6" s="1"/>
  <c r="BR46" i="5"/>
  <c r="BQ21" i="7"/>
  <c r="BQ20" i="7"/>
  <c r="BQ46" i="7" s="1"/>
  <c r="BS42" i="5"/>
  <c r="BS43" i="5"/>
  <c r="BT40" i="5" s="1"/>
  <c r="BY72" i="7" l="1"/>
  <c r="BZ69" i="7"/>
  <c r="BZ70" i="7" s="1"/>
  <c r="BZ62" i="7"/>
  <c r="BU150" i="5"/>
  <c r="U92" i="4"/>
  <c r="BT123" i="7"/>
  <c r="BT155" i="5"/>
  <c r="BT157" i="6" s="1"/>
  <c r="BT156" i="5"/>
  <c r="CB52" i="6"/>
  <c r="CB51" i="6"/>
  <c r="CB53" i="6" s="1"/>
  <c r="CB69" i="6" s="1"/>
  <c r="CB162" i="6"/>
  <c r="CB161" i="6"/>
  <c r="CB163" i="6" s="1"/>
  <c r="CB179" i="6" s="1"/>
  <c r="W75" i="4" s="1"/>
  <c r="BT43" i="5"/>
  <c r="BT42" i="5"/>
  <c r="CA175" i="7"/>
  <c r="CA129" i="7"/>
  <c r="CA120" i="7"/>
  <c r="CA128" i="7" s="1"/>
  <c r="CA155" i="7" s="1"/>
  <c r="BZ68" i="7"/>
  <c r="BR67" i="7"/>
  <c r="BR66" i="7"/>
  <c r="BS177" i="7"/>
  <c r="BS176" i="7"/>
  <c r="BZ178" i="7"/>
  <c r="BZ181" i="7" s="1"/>
  <c r="BY181" i="7"/>
  <c r="BS13" i="7"/>
  <c r="BS45" i="5"/>
  <c r="BS47" i="6" s="1"/>
  <c r="BS46" i="5"/>
  <c r="U21" i="4"/>
  <c r="BS176" i="6"/>
  <c r="BS177" i="6"/>
  <c r="BS130" i="7"/>
  <c r="BS156" i="7" s="1"/>
  <c r="BS131" i="7"/>
  <c r="BR21" i="7"/>
  <c r="BR20" i="7"/>
  <c r="BR46" i="7" s="1"/>
  <c r="BZ172" i="7"/>
  <c r="BZ179" i="7"/>
  <c r="BZ180" i="7" s="1"/>
  <c r="BZ182" i="7" s="1"/>
  <c r="BY63" i="7"/>
  <c r="BY64" i="7"/>
  <c r="BY174" i="7"/>
  <c r="BY173" i="7"/>
  <c r="CA65" i="7"/>
  <c r="CA19" i="7"/>
  <c r="CA10" i="7"/>
  <c r="CA18" i="7" s="1"/>
  <c r="CA45" i="7" s="1"/>
  <c r="BR67" i="6"/>
  <c r="BR66" i="6"/>
  <c r="BZ72" i="7" l="1"/>
  <c r="CB19" i="7"/>
  <c r="CB10" i="7"/>
  <c r="CB18" i="7" s="1"/>
  <c r="CB45" i="7" s="1"/>
  <c r="CC50" i="6"/>
  <c r="W38" i="4"/>
  <c r="CA69" i="7"/>
  <c r="CA62" i="7"/>
  <c r="CA172" i="7"/>
  <c r="CA179" i="7"/>
  <c r="BU152" i="5"/>
  <c r="BU153" i="5"/>
  <c r="BV150" i="5" s="1"/>
  <c r="BZ63" i="7"/>
  <c r="BZ64" i="7"/>
  <c r="BT176" i="7"/>
  <c r="U83" i="4"/>
  <c r="U84" i="4" s="1"/>
  <c r="U102" i="4" s="1"/>
  <c r="BS67" i="7"/>
  <c r="BS66" i="7"/>
  <c r="U23" i="4"/>
  <c r="BS66" i="6"/>
  <c r="BS67" i="6"/>
  <c r="BS20" i="7"/>
  <c r="BS46" i="7" s="1"/>
  <c r="BS21" i="7"/>
  <c r="BT13" i="7"/>
  <c r="BT45" i="5"/>
  <c r="BT47" i="6" s="1"/>
  <c r="BT46" i="5"/>
  <c r="CA178" i="7"/>
  <c r="CA181" i="7" s="1"/>
  <c r="BU40" i="5"/>
  <c r="U32" i="4"/>
  <c r="CA68" i="7"/>
  <c r="CA71" i="7" s="1"/>
  <c r="BZ71" i="7"/>
  <c r="CB129" i="7"/>
  <c r="CB120" i="7"/>
  <c r="CB128" i="7" s="1"/>
  <c r="CB155" i="7" s="1"/>
  <c r="W85" i="4" s="1"/>
  <c r="BZ173" i="7"/>
  <c r="BZ174" i="7"/>
  <c r="CC160" i="6"/>
  <c r="W98" i="4"/>
  <c r="C98" i="1" l="1"/>
  <c r="U24" i="4"/>
  <c r="U42" i="4" s="1"/>
  <c r="CC52" i="6"/>
  <c r="CD50" i="6" s="1"/>
  <c r="CC51" i="6"/>
  <c r="CC53" i="6" s="1"/>
  <c r="CC69" i="6" s="1"/>
  <c r="CB69" i="7"/>
  <c r="CB62" i="7"/>
  <c r="W25" i="4"/>
  <c r="CB178" i="7"/>
  <c r="CB181" i="7" s="1"/>
  <c r="BV153" i="5"/>
  <c r="BW150" i="5" s="1"/>
  <c r="BV152" i="5"/>
  <c r="CC162" i="6"/>
  <c r="CD160" i="6" s="1"/>
  <c r="CC161" i="6"/>
  <c r="CC163" i="6" s="1"/>
  <c r="CC179" i="6" s="1"/>
  <c r="BT66" i="7"/>
  <c r="BU123" i="7"/>
  <c r="BU155" i="5"/>
  <c r="BU157" i="6" s="1"/>
  <c r="BU156" i="5"/>
  <c r="CA173" i="7"/>
  <c r="CA174" i="7"/>
  <c r="CA63" i="7"/>
  <c r="CA64" i="7"/>
  <c r="CB68" i="7"/>
  <c r="CB71" i="7" s="1"/>
  <c r="CB179" i="7"/>
  <c r="CB172" i="7"/>
  <c r="U85" i="8"/>
  <c r="BU43" i="5"/>
  <c r="BV40" i="5" s="1"/>
  <c r="BU42" i="5"/>
  <c r="CA180" i="7"/>
  <c r="CA70" i="7"/>
  <c r="CB63" i="7" l="1"/>
  <c r="CB64" i="7"/>
  <c r="BV123" i="7"/>
  <c r="BV155" i="5"/>
  <c r="BV157" i="6" s="1"/>
  <c r="BV156" i="5"/>
  <c r="U95" i="8"/>
  <c r="U91" i="8"/>
  <c r="U127" i="8" s="1"/>
  <c r="W33" i="4"/>
  <c r="H100" i="1" s="1"/>
  <c r="CC65" i="7"/>
  <c r="CC19" i="7"/>
  <c r="CC10" i="7"/>
  <c r="CC18" i="7" s="1"/>
  <c r="CC45" i="7" s="1"/>
  <c r="CC68" i="7" s="1"/>
  <c r="CD162" i="6"/>
  <c r="CE160" i="6" s="1"/>
  <c r="CD161" i="6"/>
  <c r="CD163" i="6" s="1"/>
  <c r="CD179" i="6" s="1"/>
  <c r="CB180" i="7"/>
  <c r="CB182" i="7" s="1"/>
  <c r="CA182" i="7"/>
  <c r="BU177" i="7"/>
  <c r="BU176" i="7"/>
  <c r="CD52" i="6"/>
  <c r="CE50" i="6" s="1"/>
  <c r="CD51" i="6"/>
  <c r="CD53" i="6" s="1"/>
  <c r="CD69" i="6" s="1"/>
  <c r="CB173" i="7"/>
  <c r="CB174" i="7"/>
  <c r="BW153" i="5"/>
  <c r="BX150" i="5" s="1"/>
  <c r="BW152" i="5"/>
  <c r="W93" i="4"/>
  <c r="CB70" i="7"/>
  <c r="CB72" i="7" s="1"/>
  <c r="CA72" i="7"/>
  <c r="BU13" i="7"/>
  <c r="BU45" i="5"/>
  <c r="BU47" i="6" s="1"/>
  <c r="BU46" i="5"/>
  <c r="CC175" i="7"/>
  <c r="CC129" i="7"/>
  <c r="CC120" i="7"/>
  <c r="CC128" i="7" s="1"/>
  <c r="CC155" i="7" s="1"/>
  <c r="CC178" i="7" s="1"/>
  <c r="BU177" i="6"/>
  <c r="BU176" i="6"/>
  <c r="BV42" i="5"/>
  <c r="BV43" i="5"/>
  <c r="BW40" i="5" s="1"/>
  <c r="BU130" i="7"/>
  <c r="BU156" i="7" s="1"/>
  <c r="BU131" i="7"/>
  <c r="CC181" i="7" l="1"/>
  <c r="BU67" i="7"/>
  <c r="BU66" i="7"/>
  <c r="BU66" i="6"/>
  <c r="BU67" i="6"/>
  <c r="BU20" i="7"/>
  <c r="BU46" i="7" s="1"/>
  <c r="BU21" i="7"/>
  <c r="BW42" i="5"/>
  <c r="BW43" i="5"/>
  <c r="BX40" i="5" s="1"/>
  <c r="W95" i="4"/>
  <c r="CD175" i="7"/>
  <c r="CD120" i="7"/>
  <c r="CD128" i="7" s="1"/>
  <c r="CD155" i="7" s="1"/>
  <c r="CD129" i="7"/>
  <c r="BV177" i="7"/>
  <c r="BV176" i="7"/>
  <c r="BV13" i="7"/>
  <c r="BV45" i="5"/>
  <c r="BV47" i="6" s="1"/>
  <c r="BV46" i="5"/>
  <c r="CE161" i="6"/>
  <c r="CE163" i="6" s="1"/>
  <c r="CE179" i="6" s="1"/>
  <c r="CE162" i="6"/>
  <c r="CF160" i="6" s="1"/>
  <c r="BV177" i="6"/>
  <c r="BV176" i="6"/>
  <c r="CC69" i="7"/>
  <c r="CC70" i="7" s="1"/>
  <c r="CC62" i="7"/>
  <c r="BV130" i="7"/>
  <c r="BV156" i="7" s="1"/>
  <c r="BV131" i="7"/>
  <c r="CD10" i="7"/>
  <c r="CD18" i="7" s="1"/>
  <c r="CD45" i="7" s="1"/>
  <c r="CD19" i="7"/>
  <c r="CD65" i="7"/>
  <c r="CC71" i="7"/>
  <c r="BX153" i="5"/>
  <c r="BX152" i="5"/>
  <c r="CE52" i="6"/>
  <c r="CF50" i="6" s="1"/>
  <c r="CE51" i="6"/>
  <c r="CE53" i="6" s="1"/>
  <c r="CE69" i="6" s="1"/>
  <c r="W35" i="4"/>
  <c r="CC179" i="7"/>
  <c r="CC172" i="7"/>
  <c r="BW123" i="7"/>
  <c r="BW155" i="5"/>
  <c r="BW157" i="6" s="1"/>
  <c r="BW156" i="5"/>
  <c r="V81" i="4"/>
  <c r="CC72" i="7" l="1"/>
  <c r="BW13" i="7"/>
  <c r="BW45" i="5"/>
  <c r="BW47" i="6" s="1"/>
  <c r="BW46" i="5"/>
  <c r="V21" i="4"/>
  <c r="CD69" i="7"/>
  <c r="CD70" i="7" s="1"/>
  <c r="CD62" i="7"/>
  <c r="BW177" i="6"/>
  <c r="BW176" i="6"/>
  <c r="BV67" i="7"/>
  <c r="BV66" i="7"/>
  <c r="CE120" i="7"/>
  <c r="CE128" i="7" s="1"/>
  <c r="CE155" i="7" s="1"/>
  <c r="CE175" i="7"/>
  <c r="CE129" i="7"/>
  <c r="BW177" i="7"/>
  <c r="BW176" i="7"/>
  <c r="CC63" i="7"/>
  <c r="CC64" i="7"/>
  <c r="BV66" i="6"/>
  <c r="BV67" i="6"/>
  <c r="CE65" i="7"/>
  <c r="CE19" i="7"/>
  <c r="CE10" i="7"/>
  <c r="CE18" i="7" s="1"/>
  <c r="CE45" i="7" s="1"/>
  <c r="CD172" i="7"/>
  <c r="CD179" i="7"/>
  <c r="CF51" i="6"/>
  <c r="CF52" i="6"/>
  <c r="CD68" i="7"/>
  <c r="BX123" i="7"/>
  <c r="BX155" i="5"/>
  <c r="BX157" i="6" s="1"/>
  <c r="V235" i="8" s="1"/>
  <c r="BX156" i="5"/>
  <c r="V83" i="4" s="1"/>
  <c r="V84" i="4" s="1"/>
  <c r="V102" i="4" s="1"/>
  <c r="BW130" i="7"/>
  <c r="BW156" i="7" s="1"/>
  <c r="BW131" i="7"/>
  <c r="CC173" i="7"/>
  <c r="CC174" i="7"/>
  <c r="BY150" i="5"/>
  <c r="V92" i="4"/>
  <c r="CC180" i="7"/>
  <c r="CD178" i="7"/>
  <c r="BV20" i="7"/>
  <c r="BV46" i="7" s="1"/>
  <c r="BV21" i="7"/>
  <c r="CF161" i="6"/>
  <c r="CF162" i="6"/>
  <c r="BX42" i="5"/>
  <c r="BX43" i="5"/>
  <c r="CD72" i="7" l="1"/>
  <c r="V241" i="8"/>
  <c r="V278" i="8" s="1"/>
  <c r="V245" i="8"/>
  <c r="BW67" i="7"/>
  <c r="BW66" i="7"/>
  <c r="V23" i="4"/>
  <c r="X38" i="4"/>
  <c r="B46" i="3"/>
  <c r="BW66" i="6"/>
  <c r="BW67" i="6"/>
  <c r="BW21" i="7"/>
  <c r="BW20" i="7"/>
  <c r="BW46" i="7" s="1"/>
  <c r="BY40" i="5"/>
  <c r="V32" i="4"/>
  <c r="CE68" i="7"/>
  <c r="CD71" i="7"/>
  <c r="CE69" i="7"/>
  <c r="CE62" i="7"/>
  <c r="BY153" i="5"/>
  <c r="BZ150" i="5" s="1"/>
  <c r="BY152" i="5"/>
  <c r="CE172" i="7"/>
  <c r="CE179" i="7"/>
  <c r="X98" i="4"/>
  <c r="E46" i="3"/>
  <c r="CF53" i="6"/>
  <c r="CF69" i="6" s="1"/>
  <c r="CF73" i="6"/>
  <c r="X41" i="4" s="1"/>
  <c r="CD173" i="7"/>
  <c r="CD174" i="7"/>
  <c r="BX13" i="7"/>
  <c r="BX45" i="5"/>
  <c r="BX47" i="6" s="1"/>
  <c r="BX46" i="5"/>
  <c r="CD63" i="7"/>
  <c r="CD64" i="7"/>
  <c r="CE178" i="7"/>
  <c r="CE181" i="7" s="1"/>
  <c r="CD181" i="7"/>
  <c r="CD180" i="7"/>
  <c r="CD182" i="7" s="1"/>
  <c r="CC182" i="7"/>
  <c r="CF163" i="6"/>
  <c r="CF179" i="6" s="1"/>
  <c r="CF183" i="6"/>
  <c r="X101" i="4" s="1"/>
  <c r="BX176" i="7"/>
  <c r="CE180" i="7" l="1"/>
  <c r="V24" i="4"/>
  <c r="V42" i="4" s="1"/>
  <c r="C99" i="1"/>
  <c r="BY123" i="7"/>
  <c r="BY155" i="5"/>
  <c r="BY157" i="6" s="1"/>
  <c r="BY156" i="5"/>
  <c r="BX66" i="7"/>
  <c r="CE64" i="7"/>
  <c r="CE63" i="7"/>
  <c r="CE173" i="7"/>
  <c r="CE174" i="7"/>
  <c r="BZ153" i="5"/>
  <c r="CA150" i="5" s="1"/>
  <c r="BZ152" i="5"/>
  <c r="CE71" i="7"/>
  <c r="BY42" i="5"/>
  <c r="BY43" i="5"/>
  <c r="BZ40" i="5" s="1"/>
  <c r="CF19" i="7"/>
  <c r="CF10" i="7"/>
  <c r="CF18" i="7" s="1"/>
  <c r="I15" i="4"/>
  <c r="M15" i="4"/>
  <c r="N15" i="4"/>
  <c r="W15" i="4"/>
  <c r="X15" i="4"/>
  <c r="CE70" i="7"/>
  <c r="CF129" i="7"/>
  <c r="CF120" i="7"/>
  <c r="CF128" i="7" s="1"/>
  <c r="P75" i="4"/>
  <c r="X75" i="4"/>
  <c r="BZ42" i="5" l="1"/>
  <c r="BZ43" i="5"/>
  <c r="CA40" i="5" s="1"/>
  <c r="BY177" i="7"/>
  <c r="BY176" i="7"/>
  <c r="BY13" i="7"/>
  <c r="BY45" i="5"/>
  <c r="BY47" i="6" s="1"/>
  <c r="BY46" i="5"/>
  <c r="BY177" i="6"/>
  <c r="BY176" i="6"/>
  <c r="BY131" i="7"/>
  <c r="BY130" i="7"/>
  <c r="BY156" i="7" s="1"/>
  <c r="E41" i="3"/>
  <c r="E39" i="3"/>
  <c r="CE72" i="7"/>
  <c r="B39" i="3"/>
  <c r="D31" i="1" s="1"/>
  <c r="B41" i="3"/>
  <c r="D32" i="1" s="1"/>
  <c r="CF155" i="7"/>
  <c r="E40" i="3"/>
  <c r="E38" i="3"/>
  <c r="CF45" i="7"/>
  <c r="B40" i="3"/>
  <c r="B32" i="1" s="1"/>
  <c r="B38" i="3"/>
  <c r="B31" i="1" s="1"/>
  <c r="BZ123" i="7"/>
  <c r="BZ155" i="5"/>
  <c r="BZ157" i="6" s="1"/>
  <c r="BZ156" i="5"/>
  <c r="CA153" i="5"/>
  <c r="CB150" i="5" s="1"/>
  <c r="CA152" i="5"/>
  <c r="CE182" i="7"/>
  <c r="BZ177" i="6" l="1"/>
  <c r="BZ176" i="6"/>
  <c r="BZ130" i="7"/>
  <c r="BZ156" i="7" s="1"/>
  <c r="BZ131" i="7"/>
  <c r="CF69" i="7"/>
  <c r="CF62" i="7"/>
  <c r="B6" i="3"/>
  <c r="B8" i="3"/>
  <c r="I25" i="4"/>
  <c r="P25" i="4"/>
  <c r="X25" i="4"/>
  <c r="CF68" i="7"/>
  <c r="BY67" i="7"/>
  <c r="BY66" i="7"/>
  <c r="BY66" i="6"/>
  <c r="BY67" i="6"/>
  <c r="BY21" i="7"/>
  <c r="BY20" i="7"/>
  <c r="BY46" i="7" s="1"/>
  <c r="BZ177" i="7"/>
  <c r="BZ176" i="7"/>
  <c r="CF172" i="7"/>
  <c r="CF179" i="7"/>
  <c r="G85" i="4"/>
  <c r="E8" i="3"/>
  <c r="E6" i="3"/>
  <c r="M85" i="4"/>
  <c r="O85" i="4"/>
  <c r="R85" i="4"/>
  <c r="X85" i="4"/>
  <c r="CF178" i="7"/>
  <c r="CA123" i="7"/>
  <c r="CA155" i="5"/>
  <c r="CA157" i="6" s="1"/>
  <c r="CA156" i="5"/>
  <c r="W81" i="4"/>
  <c r="CA43" i="5"/>
  <c r="CB40" i="5" s="1"/>
  <c r="CA42" i="5"/>
  <c r="CB152" i="5"/>
  <c r="CB153" i="5"/>
  <c r="BZ13" i="7"/>
  <c r="BZ45" i="5"/>
  <c r="BZ47" i="6" s="1"/>
  <c r="BZ46" i="5"/>
  <c r="BZ66" i="6" l="1"/>
  <c r="BZ67" i="6"/>
  <c r="X33" i="4"/>
  <c r="H101" i="1" s="1"/>
  <c r="CF71" i="7"/>
  <c r="B10" i="3" s="1"/>
  <c r="E52" i="3"/>
  <c r="E20" i="1"/>
  <c r="G8" i="3"/>
  <c r="G20" i="1" s="1"/>
  <c r="W92" i="4"/>
  <c r="CC150" i="5"/>
  <c r="CB123" i="7"/>
  <c r="CB155" i="5"/>
  <c r="CB157" i="6" s="1"/>
  <c r="CB156" i="5"/>
  <c r="CA13" i="7"/>
  <c r="CA45" i="5"/>
  <c r="CA47" i="6" s="1"/>
  <c r="CA46" i="5"/>
  <c r="W21" i="4"/>
  <c r="CB43" i="5"/>
  <c r="CB42" i="5"/>
  <c r="D15" i="10"/>
  <c r="D55" i="10"/>
  <c r="D35" i="10"/>
  <c r="B52" i="3"/>
  <c r="B20" i="1"/>
  <c r="F8" i="3"/>
  <c r="F20" i="1" s="1"/>
  <c r="F6" i="3"/>
  <c r="F18" i="1" s="1"/>
  <c r="B18" i="1"/>
  <c r="CA177" i="7"/>
  <c r="CA176" i="7"/>
  <c r="CA130" i="7"/>
  <c r="CA156" i="7" s="1"/>
  <c r="CA131" i="7"/>
  <c r="CF64" i="7"/>
  <c r="B25" i="3" s="1"/>
  <c r="CF63" i="7"/>
  <c r="CA177" i="6"/>
  <c r="CA176" i="6"/>
  <c r="F34" i="4"/>
  <c r="G34" i="4"/>
  <c r="H34" i="4"/>
  <c r="I34" i="4"/>
  <c r="J34" i="4"/>
  <c r="K34" i="4"/>
  <c r="L34" i="4"/>
  <c r="M34" i="4"/>
  <c r="N34" i="4"/>
  <c r="O34" i="4"/>
  <c r="Q34" i="4"/>
  <c r="R34" i="4"/>
  <c r="T34" i="4"/>
  <c r="V34" i="4"/>
  <c r="W34" i="4"/>
  <c r="X34" i="4"/>
  <c r="CF70" i="7"/>
  <c r="F94" i="4"/>
  <c r="G94" i="4"/>
  <c r="H94" i="4"/>
  <c r="I94" i="4"/>
  <c r="J94" i="4"/>
  <c r="K94" i="4"/>
  <c r="Q94" i="4"/>
  <c r="S94" i="4"/>
  <c r="W94" i="4"/>
  <c r="X94" i="4"/>
  <c r="CF180" i="7"/>
  <c r="CF173" i="7"/>
  <c r="CF174" i="7"/>
  <c r="E25" i="3" s="1"/>
  <c r="X93" i="4"/>
  <c r="CF181" i="7"/>
  <c r="E10" i="3" s="1"/>
  <c r="E18" i="1"/>
  <c r="G6" i="3"/>
  <c r="G18" i="1" s="1"/>
  <c r="BZ20" i="7"/>
  <c r="BZ46" i="7" s="1"/>
  <c r="BZ21" i="7"/>
  <c r="BZ67" i="7"/>
  <c r="BZ66" i="7"/>
  <c r="CB176" i="7" l="1"/>
  <c r="W83" i="4"/>
  <c r="W84" i="4" s="1"/>
  <c r="W102" i="4" s="1"/>
  <c r="W235" i="8"/>
  <c r="CA66" i="6"/>
  <c r="CA67" i="6"/>
  <c r="CC152" i="5"/>
  <c r="CC153" i="5"/>
  <c r="CD150" i="5" s="1"/>
  <c r="CA21" i="7"/>
  <c r="CA20" i="7"/>
  <c r="CA46" i="7" s="1"/>
  <c r="B22" i="1"/>
  <c r="F10" i="3"/>
  <c r="F22" i="1" s="1"/>
  <c r="G10" i="3"/>
  <c r="G22" i="1" s="1"/>
  <c r="E22" i="1"/>
  <c r="X35" i="4"/>
  <c r="CF72" i="7"/>
  <c r="B11" i="3" s="1"/>
  <c r="CB13" i="7"/>
  <c r="CB45" i="5"/>
  <c r="CB47" i="6" s="1"/>
  <c r="CB46" i="5"/>
  <c r="W85" i="8"/>
  <c r="X95" i="4"/>
  <c r="CF182" i="7"/>
  <c r="E11" i="3" s="1"/>
  <c r="CC40" i="5"/>
  <c r="W32" i="4"/>
  <c r="CA67" i="7"/>
  <c r="CA66" i="7"/>
  <c r="W23" i="4"/>
  <c r="CD153" i="5" l="1"/>
  <c r="CE150" i="5" s="1"/>
  <c r="CD152" i="5"/>
  <c r="CC123" i="7"/>
  <c r="CC155" i="5"/>
  <c r="CC157" i="6" s="1"/>
  <c r="CC156" i="5"/>
  <c r="C100" i="1"/>
  <c r="W24" i="4"/>
  <c r="W42" i="4" s="1"/>
  <c r="W241" i="8"/>
  <c r="W279" i="8" s="1"/>
  <c r="W245" i="8"/>
  <c r="CC42" i="5"/>
  <c r="CC43" i="5"/>
  <c r="CD40" i="5" s="1"/>
  <c r="W95" i="8"/>
  <c r="W91" i="8"/>
  <c r="W129" i="8" s="1"/>
  <c r="CB66" i="7"/>
  <c r="F11" i="3"/>
  <c r="F23" i="1" s="1"/>
  <c r="B23" i="1"/>
  <c r="E23" i="1"/>
  <c r="G11" i="3"/>
  <c r="G23" i="1" s="1"/>
  <c r="CC13" i="7" l="1"/>
  <c r="CC45" i="5"/>
  <c r="CC47" i="6" s="1"/>
  <c r="CC46" i="5"/>
  <c r="CD42" i="5"/>
  <c r="CD43" i="5"/>
  <c r="CE40" i="5" s="1"/>
  <c r="CC176" i="6"/>
  <c r="CC177" i="6"/>
  <c r="CC130" i="7"/>
  <c r="CC156" i="7" s="1"/>
  <c r="CC131" i="7"/>
  <c r="CC177" i="7"/>
  <c r="CC176" i="7"/>
  <c r="CD123" i="7"/>
  <c r="CD155" i="5"/>
  <c r="CD157" i="6" s="1"/>
  <c r="CD156" i="5"/>
  <c r="CE152" i="5"/>
  <c r="CE153" i="5"/>
  <c r="CF150" i="5" s="1"/>
  <c r="CD13" i="7" l="1"/>
  <c r="CD45" i="5"/>
  <c r="CD47" i="6" s="1"/>
  <c r="CD46" i="5"/>
  <c r="CD131" i="7"/>
  <c r="CD130" i="7"/>
  <c r="CD156" i="7" s="1"/>
  <c r="CE43" i="5"/>
  <c r="CF40" i="5" s="1"/>
  <c r="CE42" i="5"/>
  <c r="CC67" i="7"/>
  <c r="CC66" i="7"/>
  <c r="CD176" i="6"/>
  <c r="CD177" i="6"/>
  <c r="CF152" i="5"/>
  <c r="CF153" i="5"/>
  <c r="CC67" i="6"/>
  <c r="CC66" i="6"/>
  <c r="CE123" i="7"/>
  <c r="CE155" i="5"/>
  <c r="CE157" i="6" s="1"/>
  <c r="CE156" i="5"/>
  <c r="X81" i="4"/>
  <c r="CD177" i="7"/>
  <c r="CD176" i="7"/>
  <c r="CC20" i="7"/>
  <c r="CC46" i="7" s="1"/>
  <c r="CC21" i="7"/>
  <c r="X92" i="4" l="1"/>
  <c r="C15" i="11"/>
  <c r="CE13" i="7"/>
  <c r="CE45" i="5"/>
  <c r="CE47" i="6" s="1"/>
  <c r="CE46" i="5"/>
  <c r="X21" i="4"/>
  <c r="CE176" i="6"/>
  <c r="CE177" i="6"/>
  <c r="CE130" i="7"/>
  <c r="CE156" i="7" s="1"/>
  <c r="CE131" i="7"/>
  <c r="CD67" i="7"/>
  <c r="CD66" i="7"/>
  <c r="CD67" i="6"/>
  <c r="CD66" i="6"/>
  <c r="CF123" i="7"/>
  <c r="CF155" i="5"/>
  <c r="CF157" i="6" s="1"/>
  <c r="CF156" i="5"/>
  <c r="CF43" i="5"/>
  <c r="CF42" i="5"/>
  <c r="CE177" i="7"/>
  <c r="CE176" i="7"/>
  <c r="X83" i="4"/>
  <c r="X84" i="4" s="1"/>
  <c r="X102" i="4" s="1"/>
  <c r="CD21" i="7"/>
  <c r="CD20" i="7"/>
  <c r="CD46" i="7" s="1"/>
  <c r="CE67" i="7" l="1"/>
  <c r="CE66" i="7"/>
  <c r="CE67" i="6"/>
  <c r="CE66" i="6"/>
  <c r="CF13" i="7"/>
  <c r="CF45" i="5"/>
  <c r="CF47" i="6" s="1"/>
  <c r="CF46" i="5"/>
  <c r="X32" i="4"/>
  <c r="B33" i="5"/>
  <c r="B15" i="11"/>
  <c r="D15" i="11" s="1"/>
  <c r="CE21" i="7"/>
  <c r="CE20" i="7"/>
  <c r="CE46" i="7" s="1"/>
  <c r="I235" i="8"/>
  <c r="K235" i="8"/>
  <c r="M235" i="8"/>
  <c r="P235" i="8"/>
  <c r="U235" i="8"/>
  <c r="X235" i="8"/>
  <c r="CF176" i="7"/>
  <c r="H83" i="4"/>
  <c r="CF66" i="7" l="1"/>
  <c r="J85" i="8"/>
  <c r="M85" i="8"/>
  <c r="N85" i="8"/>
  <c r="V85" i="8"/>
  <c r="C9" i="11"/>
  <c r="B9" i="11"/>
  <c r="E49" i="3"/>
  <c r="B49" i="3"/>
  <c r="X241" i="8"/>
  <c r="X280" i="8" s="1"/>
  <c r="X245" i="8"/>
  <c r="X85" i="8"/>
  <c r="U241" i="8"/>
  <c r="U277" i="8" s="1"/>
  <c r="U245" i="8"/>
  <c r="P245" i="8"/>
  <c r="P241" i="8"/>
  <c r="P272" i="8" s="1"/>
  <c r="X23" i="4"/>
  <c r="M241" i="8"/>
  <c r="M269" i="8" s="1"/>
  <c r="M245" i="8"/>
  <c r="K241" i="8"/>
  <c r="K267" i="8" s="1"/>
  <c r="K245" i="8"/>
  <c r="I238" i="8"/>
  <c r="I239" i="8" s="1"/>
  <c r="I240" i="8" s="1"/>
  <c r="I241" i="8"/>
  <c r="I265" i="8" s="1"/>
  <c r="I244" i="8"/>
  <c r="I245" i="8"/>
  <c r="D9" i="11" l="1"/>
  <c r="I246" i="8"/>
  <c r="X174" i="6"/>
  <c r="X176" i="6"/>
  <c r="X24" i="4"/>
  <c r="X42" i="4" s="1"/>
  <c r="C101" i="1"/>
  <c r="X175" i="6"/>
  <c r="X131" i="7" s="1"/>
  <c r="X177" i="6"/>
  <c r="V95" i="8"/>
  <c r="V91" i="8"/>
  <c r="V128" i="8" s="1"/>
  <c r="N91" i="8"/>
  <c r="N120" i="8" s="1"/>
  <c r="N95" i="8"/>
  <c r="M91" i="8"/>
  <c r="M119" i="8" s="1"/>
  <c r="M95" i="8"/>
  <c r="J88" i="8"/>
  <c r="J89" i="8" s="1"/>
  <c r="J90" i="8" s="1"/>
  <c r="J91" i="8"/>
  <c r="J116" i="8" s="1"/>
  <c r="J94" i="8"/>
  <c r="J95" i="8"/>
  <c r="I264" i="8"/>
  <c r="I260" i="8"/>
  <c r="I261" i="8"/>
  <c r="I262" i="8"/>
  <c r="I263" i="8"/>
  <c r="X91" i="8"/>
  <c r="X130" i="8" s="1"/>
  <c r="X95" i="8"/>
  <c r="J96" i="8" l="1"/>
  <c r="AB64" i="6"/>
  <c r="AB66" i="6"/>
  <c r="J115" i="8"/>
  <c r="J111" i="8"/>
  <c r="J113" i="8"/>
  <c r="J112" i="8"/>
  <c r="J114" i="8"/>
  <c r="AB65" i="6"/>
  <c r="AB21" i="7" s="1"/>
  <c r="AB67" i="6"/>
  <c r="J237" i="8"/>
  <c r="I242" i="8"/>
  <c r="I76" i="4"/>
  <c r="X175" i="7"/>
  <c r="X130" i="7"/>
  <c r="X156" i="7" s="1"/>
  <c r="X186" i="7" s="1"/>
  <c r="K87" i="8" l="1"/>
  <c r="J92" i="8"/>
  <c r="Y186" i="7"/>
  <c r="X187" i="7"/>
  <c r="X177" i="7"/>
  <c r="X176" i="7"/>
  <c r="J16" i="4"/>
  <c r="AB65" i="7"/>
  <c r="AB20" i="7"/>
  <c r="AB46" i="7" s="1"/>
  <c r="AB76" i="7" s="1"/>
  <c r="J244" i="8"/>
  <c r="J238" i="8"/>
  <c r="J243" i="8"/>
  <c r="AB175" i="6" l="1"/>
  <c r="AB131" i="7" s="1"/>
  <c r="AB177" i="6"/>
  <c r="AB67" i="7"/>
  <c r="AB66" i="7"/>
  <c r="Z186" i="7"/>
  <c r="Y187" i="7"/>
  <c r="AB77" i="7"/>
  <c r="AC76" i="7"/>
  <c r="J239" i="8"/>
  <c r="J240" i="8" s="1"/>
  <c r="J265" i="8"/>
  <c r="J264" i="8"/>
  <c r="J263" i="8"/>
  <c r="J262" i="8"/>
  <c r="J261" i="8"/>
  <c r="K94" i="8"/>
  <c r="K88" i="8"/>
  <c r="K93" i="8"/>
  <c r="K89" i="8" l="1"/>
  <c r="K90" i="8" s="1"/>
  <c r="K116" i="8"/>
  <c r="K112" i="8"/>
  <c r="K113" i="8"/>
  <c r="K114" i="8"/>
  <c r="K115" i="8"/>
  <c r="AF65" i="6"/>
  <c r="AF21" i="7" s="1"/>
  <c r="AF67" i="6"/>
  <c r="J246" i="8"/>
  <c r="AB174" i="6"/>
  <c r="AB176" i="6"/>
  <c r="Z187" i="7"/>
  <c r="AA186" i="7"/>
  <c r="K237" i="8"/>
  <c r="AC77" i="7"/>
  <c r="AD76" i="7"/>
  <c r="J242" i="8"/>
  <c r="K243" i="8" l="1"/>
  <c r="AA187" i="7"/>
  <c r="L87" i="8"/>
  <c r="K92" i="8"/>
  <c r="AD77" i="7"/>
  <c r="AE76" i="7"/>
  <c r="J76" i="4"/>
  <c r="AB175" i="7"/>
  <c r="AB130" i="7"/>
  <c r="AB156" i="7" s="1"/>
  <c r="AB186" i="7" s="1"/>
  <c r="K244" i="8"/>
  <c r="K238" i="8"/>
  <c r="K96" i="8"/>
  <c r="AF64" i="6"/>
  <c r="AF66" i="6"/>
  <c r="AC186" i="7" l="1"/>
  <c r="AB187" i="7"/>
  <c r="AB177" i="7"/>
  <c r="AB176" i="7"/>
  <c r="AE77" i="7"/>
  <c r="L94" i="8"/>
  <c r="L88" i="8"/>
  <c r="AF175" i="6"/>
  <c r="AF131" i="7" s="1"/>
  <c r="AF177" i="6"/>
  <c r="L93" i="8"/>
  <c r="K266" i="8"/>
  <c r="K239" i="8"/>
  <c r="K240" i="8" s="1"/>
  <c r="K262" i="8"/>
  <c r="K265" i="8"/>
  <c r="K263" i="8"/>
  <c r="K264" i="8"/>
  <c r="K16" i="4"/>
  <c r="AF20" i="7"/>
  <c r="AF46" i="7" s="1"/>
  <c r="AF76" i="7" s="1"/>
  <c r="AF65" i="7"/>
  <c r="K242" i="8" l="1"/>
  <c r="AF77" i="7"/>
  <c r="AG76" i="7"/>
  <c r="AF66" i="7"/>
  <c r="AF67" i="7"/>
  <c r="AJ65" i="6"/>
  <c r="AJ21" i="7" s="1"/>
  <c r="AJ67" i="6"/>
  <c r="L237" i="8"/>
  <c r="K246" i="8"/>
  <c r="AF174" i="6"/>
  <c r="AF176" i="6"/>
  <c r="L117" i="8"/>
  <c r="L89" i="8"/>
  <c r="L90" i="8" s="1"/>
  <c r="L113" i="8"/>
  <c r="L116" i="8"/>
  <c r="L115" i="8"/>
  <c r="L114" i="8"/>
  <c r="AD186" i="7"/>
  <c r="AC187" i="7"/>
  <c r="K76" i="4" l="1"/>
  <c r="AF175" i="7"/>
  <c r="AF130" i="7"/>
  <c r="AF156" i="7" s="1"/>
  <c r="AE186" i="7"/>
  <c r="AD187" i="7"/>
  <c r="M87" i="8"/>
  <c r="AG77" i="7"/>
  <c r="AH76" i="7"/>
  <c r="L96" i="8"/>
  <c r="AJ64" i="6"/>
  <c r="AJ66" i="6"/>
  <c r="L244" i="8"/>
  <c r="L238" i="8"/>
  <c r="L92" i="8"/>
  <c r="L243" i="8"/>
  <c r="AI76" i="7" l="1"/>
  <c r="AH77" i="7"/>
  <c r="AE187" i="7"/>
  <c r="AF186" i="7"/>
  <c r="L16" i="4"/>
  <c r="AJ65" i="7"/>
  <c r="AJ20" i="7"/>
  <c r="AJ46" i="7" s="1"/>
  <c r="M94" i="8"/>
  <c r="M88" i="8"/>
  <c r="AJ175" i="6"/>
  <c r="AJ131" i="7" s="1"/>
  <c r="AJ177" i="6"/>
  <c r="M93" i="8"/>
  <c r="AF176" i="7"/>
  <c r="AF177" i="7"/>
  <c r="L239" i="8"/>
  <c r="L240" i="8" s="1"/>
  <c r="L267" i="8"/>
  <c r="L266" i="8"/>
  <c r="L264" i="8"/>
  <c r="L263" i="8"/>
  <c r="L265" i="8"/>
  <c r="L246" i="8" l="1"/>
  <c r="AJ174" i="6"/>
  <c r="AJ176" i="6"/>
  <c r="AN65" i="6"/>
  <c r="AN21" i="7" s="1"/>
  <c r="AN67" i="6"/>
  <c r="AF187" i="7"/>
  <c r="AG186" i="7"/>
  <c r="L242" i="8"/>
  <c r="M118" i="8"/>
  <c r="M89" i="8"/>
  <c r="M90" i="8" s="1"/>
  <c r="M115" i="8"/>
  <c r="M114" i="8"/>
  <c r="M117" i="8"/>
  <c r="M116" i="8"/>
  <c r="AJ67" i="7"/>
  <c r="AJ66" i="7"/>
  <c r="M237" i="8"/>
  <c r="AJ76" i="7"/>
  <c r="AI77" i="7"/>
  <c r="M243" i="8" l="1"/>
  <c r="M96" i="8"/>
  <c r="AN64" i="6"/>
  <c r="AN66" i="6"/>
  <c r="M92" i="8"/>
  <c r="N87" i="8"/>
  <c r="AG187" i="7"/>
  <c r="AH186" i="7"/>
  <c r="AK76" i="7"/>
  <c r="AJ77" i="7"/>
  <c r="L76" i="4"/>
  <c r="AJ175" i="7"/>
  <c r="AJ130" i="7"/>
  <c r="AJ156" i="7" s="1"/>
  <c r="M244" i="8"/>
  <c r="M238" i="8"/>
  <c r="N88" i="8" l="1"/>
  <c r="N94" i="8"/>
  <c r="AH187" i="7"/>
  <c r="AI186" i="7"/>
  <c r="N93" i="8"/>
  <c r="AJ177" i="7"/>
  <c r="AJ176" i="7"/>
  <c r="AL76" i="7"/>
  <c r="AK77" i="7"/>
  <c r="M268" i="8"/>
  <c r="M239" i="8"/>
  <c r="M240" i="8" s="1"/>
  <c r="M264" i="8"/>
  <c r="M266" i="8"/>
  <c r="M267" i="8"/>
  <c r="M265" i="8"/>
  <c r="M16" i="4"/>
  <c r="AN20" i="7"/>
  <c r="AN46" i="7" s="1"/>
  <c r="AN65" i="7"/>
  <c r="AN175" i="6"/>
  <c r="AN131" i="7" s="1"/>
  <c r="AN177" i="6"/>
  <c r="M246" i="8" l="1"/>
  <c r="AN174" i="6"/>
  <c r="AN176" i="6"/>
  <c r="AM76" i="7"/>
  <c r="AL77" i="7"/>
  <c r="AJ186" i="7"/>
  <c r="AI187" i="7"/>
  <c r="N237" i="8"/>
  <c r="M242" i="8"/>
  <c r="AN67" i="7"/>
  <c r="AN66" i="7"/>
  <c r="AR65" i="6"/>
  <c r="AR21" i="7" s="1"/>
  <c r="AR67" i="6"/>
  <c r="N89" i="8"/>
  <c r="N90" i="8" s="1"/>
  <c r="N119" i="8"/>
  <c r="N117" i="8"/>
  <c r="N116" i="8"/>
  <c r="N118" i="8"/>
  <c r="N115" i="8"/>
  <c r="N92" i="8" l="1"/>
  <c r="AN76" i="7"/>
  <c r="AM77" i="7"/>
  <c r="N243" i="8"/>
  <c r="N244" i="8"/>
  <c r="N238" i="8"/>
  <c r="AJ187" i="7"/>
  <c r="AK186" i="7"/>
  <c r="O87" i="8"/>
  <c r="M76" i="4"/>
  <c r="AN130" i="7"/>
  <c r="AN156" i="7" s="1"/>
  <c r="AN175" i="7"/>
  <c r="N96" i="8"/>
  <c r="AR64" i="6"/>
  <c r="AR66" i="6"/>
  <c r="O88" i="8" l="1"/>
  <c r="O94" i="8"/>
  <c r="AR175" i="6"/>
  <c r="AR131" i="7" s="1"/>
  <c r="AR177" i="6"/>
  <c r="N239" i="8"/>
  <c r="N240" i="8" s="1"/>
  <c r="N269" i="8"/>
  <c r="N267" i="8"/>
  <c r="N265" i="8"/>
  <c r="N268" i="8"/>
  <c r="N266" i="8"/>
  <c r="AO76" i="7"/>
  <c r="AN77" i="7"/>
  <c r="AK187" i="7"/>
  <c r="AL186" i="7"/>
  <c r="O93" i="8"/>
  <c r="AN177" i="7"/>
  <c r="AN176" i="7"/>
  <c r="N16" i="4"/>
  <c r="AR65" i="7"/>
  <c r="AR20" i="7"/>
  <c r="AR46" i="7" s="1"/>
  <c r="AL187" i="7" l="1"/>
  <c r="AM186" i="7"/>
  <c r="AP76" i="7"/>
  <c r="AO77" i="7"/>
  <c r="N242" i="8"/>
  <c r="N246" i="8"/>
  <c r="AR174" i="6"/>
  <c r="AR176" i="6"/>
  <c r="O237" i="8"/>
  <c r="AR66" i="7"/>
  <c r="AR67" i="7"/>
  <c r="AV65" i="6"/>
  <c r="AV21" i="7" s="1"/>
  <c r="AV67" i="6"/>
  <c r="O89" i="8"/>
  <c r="O90" i="8" s="1"/>
  <c r="O120" i="8"/>
  <c r="O118" i="8"/>
  <c r="O117" i="8"/>
  <c r="O116" i="8"/>
  <c r="O119" i="8"/>
  <c r="P87" i="8" l="1"/>
  <c r="O244" i="8"/>
  <c r="O238" i="8"/>
  <c r="O92" i="8"/>
  <c r="AP77" i="7"/>
  <c r="AQ76" i="7"/>
  <c r="N76" i="4"/>
  <c r="AR175" i="7"/>
  <c r="AR130" i="7"/>
  <c r="AR156" i="7" s="1"/>
  <c r="O243" i="8"/>
  <c r="O96" i="8"/>
  <c r="AV64" i="6"/>
  <c r="AV66" i="6"/>
  <c r="AN186" i="7"/>
  <c r="AM187" i="7"/>
  <c r="AQ77" i="7" l="1"/>
  <c r="AR76" i="7"/>
  <c r="P93" i="8"/>
  <c r="O16" i="4"/>
  <c r="AV65" i="7"/>
  <c r="AV20" i="7"/>
  <c r="AV46" i="7" s="1"/>
  <c r="P94" i="8"/>
  <c r="P88" i="8"/>
  <c r="AR176" i="7"/>
  <c r="AR177" i="7"/>
  <c r="AV175" i="6"/>
  <c r="AV131" i="7" s="1"/>
  <c r="AV177" i="6"/>
  <c r="O270" i="8"/>
  <c r="O239" i="8"/>
  <c r="O240" i="8" s="1"/>
  <c r="O269" i="8"/>
  <c r="O268" i="8"/>
  <c r="O266" i="8"/>
  <c r="O267" i="8"/>
  <c r="AO186" i="7"/>
  <c r="AN187" i="7"/>
  <c r="AV67" i="7" l="1"/>
  <c r="AV66" i="7"/>
  <c r="O246" i="8"/>
  <c r="AV174" i="6"/>
  <c r="AV176" i="6"/>
  <c r="AZ65" i="6"/>
  <c r="AZ21" i="7" s="1"/>
  <c r="AZ67" i="6"/>
  <c r="AP186" i="7"/>
  <c r="AO187" i="7"/>
  <c r="P121" i="8"/>
  <c r="P89" i="8"/>
  <c r="P90" i="8" s="1"/>
  <c r="P119" i="8"/>
  <c r="P118" i="8"/>
  <c r="P117" i="8"/>
  <c r="P120" i="8"/>
  <c r="P237" i="8"/>
  <c r="AR77" i="7"/>
  <c r="AS76" i="7"/>
  <c r="O242" i="8"/>
  <c r="P243" i="8" l="1"/>
  <c r="Q87" i="8"/>
  <c r="AP187" i="7"/>
  <c r="AQ186" i="7"/>
  <c r="P92" i="8"/>
  <c r="P96" i="8"/>
  <c r="AZ64" i="6"/>
  <c r="AZ66" i="6"/>
  <c r="O76" i="4"/>
  <c r="AV175" i="7"/>
  <c r="AV130" i="7"/>
  <c r="AV156" i="7" s="1"/>
  <c r="AS77" i="7"/>
  <c r="AT76" i="7"/>
  <c r="P244" i="8"/>
  <c r="P238" i="8"/>
  <c r="AV177" i="7" l="1"/>
  <c r="AV176" i="7"/>
  <c r="Q93" i="8"/>
  <c r="AT77" i="7"/>
  <c r="AU76" i="7"/>
  <c r="P16" i="4"/>
  <c r="AZ65" i="7"/>
  <c r="AZ20" i="7"/>
  <c r="AZ46" i="7" s="1"/>
  <c r="Q94" i="8"/>
  <c r="Q88" i="8"/>
  <c r="AQ187" i="7"/>
  <c r="AR186" i="7"/>
  <c r="P271" i="8"/>
  <c r="P239" i="8"/>
  <c r="P240" i="8" s="1"/>
  <c r="P270" i="8"/>
  <c r="P268" i="8"/>
  <c r="P269" i="8"/>
  <c r="P267" i="8"/>
  <c r="AZ175" i="6"/>
  <c r="AZ131" i="7" s="1"/>
  <c r="AZ177" i="6"/>
  <c r="AZ67" i="7" l="1"/>
  <c r="AZ66" i="7"/>
  <c r="Q237" i="8"/>
  <c r="AS186" i="7"/>
  <c r="AR187" i="7"/>
  <c r="P242" i="8"/>
  <c r="P246" i="8"/>
  <c r="AZ174" i="6"/>
  <c r="AZ176" i="6"/>
  <c r="BD65" i="6"/>
  <c r="BD21" i="7" s="1"/>
  <c r="BD67" i="6"/>
  <c r="Q122" i="8"/>
  <c r="Q89" i="8"/>
  <c r="Q90" i="8" s="1"/>
  <c r="Q118" i="8"/>
  <c r="Q121" i="8"/>
  <c r="Q119" i="8"/>
  <c r="Q120" i="8"/>
  <c r="AU77" i="7"/>
  <c r="AV76" i="7"/>
  <c r="Q243" i="8" l="1"/>
  <c r="P76" i="4"/>
  <c r="AZ130" i="7"/>
  <c r="AZ156" i="7" s="1"/>
  <c r="AZ175" i="7"/>
  <c r="Q92" i="8"/>
  <c r="AV77" i="7"/>
  <c r="AW76" i="7"/>
  <c r="AT186" i="7"/>
  <c r="AS187" i="7"/>
  <c r="Q96" i="8"/>
  <c r="BD64" i="6"/>
  <c r="BD66" i="6"/>
  <c r="Q238" i="8"/>
  <c r="Q244" i="8"/>
  <c r="R87" i="8"/>
  <c r="AZ177" i="7" l="1"/>
  <c r="AZ176" i="7"/>
  <c r="BD175" i="6"/>
  <c r="BD131" i="7" s="1"/>
  <c r="BD177" i="6"/>
  <c r="Q16" i="4"/>
  <c r="BD65" i="7"/>
  <c r="BD67" i="7" s="1"/>
  <c r="BD20" i="7"/>
  <c r="BD46" i="7" s="1"/>
  <c r="R93" i="8"/>
  <c r="AW77" i="7"/>
  <c r="AX76" i="7"/>
  <c r="Q239" i="8"/>
  <c r="Q240" i="8" s="1"/>
  <c r="Q272" i="8"/>
  <c r="Q268" i="8"/>
  <c r="Q270" i="8"/>
  <c r="Q269" i="8"/>
  <c r="Q271" i="8"/>
  <c r="AU186" i="7"/>
  <c r="AT187" i="7"/>
  <c r="R88" i="8"/>
  <c r="R94" i="8"/>
  <c r="AU187" i="7" l="1"/>
  <c r="AV186" i="7"/>
  <c r="R237" i="8"/>
  <c r="Q246" i="8"/>
  <c r="BD174" i="6"/>
  <c r="BD176" i="6"/>
  <c r="AY76" i="7"/>
  <c r="AX77" i="7"/>
  <c r="BH65" i="6"/>
  <c r="BH21" i="7" s="1"/>
  <c r="BH67" i="6"/>
  <c r="Q242" i="8"/>
  <c r="R123" i="8"/>
  <c r="R89" i="8"/>
  <c r="R90" i="8" s="1"/>
  <c r="R121" i="8"/>
  <c r="R119" i="8"/>
  <c r="R122" i="8"/>
  <c r="R120" i="8"/>
  <c r="R243" i="8" l="1"/>
  <c r="Q76" i="4"/>
  <c r="BD175" i="7"/>
  <c r="BD177" i="7" s="1"/>
  <c r="BD130" i="7"/>
  <c r="BD156" i="7" s="1"/>
  <c r="S87" i="8"/>
  <c r="AZ76" i="7"/>
  <c r="AY77" i="7"/>
  <c r="R244" i="8"/>
  <c r="R238" i="8"/>
  <c r="AV187" i="7"/>
  <c r="AW186" i="7"/>
  <c r="R92" i="8"/>
  <c r="R96" i="8"/>
  <c r="BH64" i="6"/>
  <c r="BH66" i="6"/>
  <c r="S93" i="8" l="1"/>
  <c r="AW187" i="7"/>
  <c r="AX186" i="7"/>
  <c r="BH175" i="6"/>
  <c r="BH131" i="7" s="1"/>
  <c r="BH177" i="6"/>
  <c r="R273" i="8"/>
  <c r="R239" i="8"/>
  <c r="R240" i="8" s="1"/>
  <c r="R271" i="8"/>
  <c r="R272" i="8"/>
  <c r="R269" i="8"/>
  <c r="R270" i="8"/>
  <c r="BA76" i="7"/>
  <c r="AZ77" i="7"/>
  <c r="S94" i="8"/>
  <c r="S88" i="8"/>
  <c r="R16" i="4"/>
  <c r="BH65" i="7"/>
  <c r="BH67" i="7" s="1"/>
  <c r="BH20" i="7"/>
  <c r="BH46" i="7" s="1"/>
  <c r="S237" i="8" l="1"/>
  <c r="BL65" i="6"/>
  <c r="BL21" i="7" s="1"/>
  <c r="BL67" i="6"/>
  <c r="R242" i="8"/>
  <c r="R246" i="8"/>
  <c r="BH174" i="6"/>
  <c r="BH176" i="6"/>
  <c r="S124" i="8"/>
  <c r="S89" i="8"/>
  <c r="S90" i="8" s="1"/>
  <c r="S123" i="8"/>
  <c r="S122" i="8"/>
  <c r="S120" i="8"/>
  <c r="S121" i="8"/>
  <c r="BB76" i="7"/>
  <c r="BA77" i="7"/>
  <c r="AX187" i="7"/>
  <c r="AY186" i="7"/>
  <c r="S243" i="8" l="1"/>
  <c r="BC76" i="7"/>
  <c r="BB77" i="7"/>
  <c r="R76" i="4"/>
  <c r="BH175" i="7"/>
  <c r="BH177" i="7" s="1"/>
  <c r="BH130" i="7"/>
  <c r="BH156" i="7" s="1"/>
  <c r="S92" i="8"/>
  <c r="S96" i="8"/>
  <c r="BL64" i="6"/>
  <c r="BL66" i="6"/>
  <c r="T87" i="8"/>
  <c r="S238" i="8"/>
  <c r="S244" i="8"/>
  <c r="AZ186" i="7"/>
  <c r="AY187" i="7"/>
  <c r="BL175" i="6" l="1"/>
  <c r="BL131" i="7" s="1"/>
  <c r="BL177" i="6"/>
  <c r="S274" i="8"/>
  <c r="S239" i="8"/>
  <c r="S240" i="8" s="1"/>
  <c r="S270" i="8"/>
  <c r="S271" i="8"/>
  <c r="S272" i="8"/>
  <c r="S273" i="8"/>
  <c r="T93" i="8"/>
  <c r="T88" i="8"/>
  <c r="T94" i="8"/>
  <c r="S16" i="4"/>
  <c r="BL65" i="7"/>
  <c r="BL67" i="7" s="1"/>
  <c r="BL20" i="7"/>
  <c r="BL46" i="7" s="1"/>
  <c r="AZ187" i="7"/>
  <c r="BA186" i="7"/>
  <c r="BD76" i="7"/>
  <c r="BC77" i="7"/>
  <c r="BA187" i="7" l="1"/>
  <c r="BB186" i="7"/>
  <c r="T237" i="8"/>
  <c r="S246" i="8"/>
  <c r="BL174" i="6"/>
  <c r="BL176" i="6"/>
  <c r="T125" i="8"/>
  <c r="T89" i="8"/>
  <c r="T90" i="8" s="1"/>
  <c r="T122" i="8"/>
  <c r="T121" i="8"/>
  <c r="T123" i="8"/>
  <c r="T124" i="8"/>
  <c r="S242" i="8"/>
  <c r="BP65" i="6"/>
  <c r="BP21" i="7" s="1"/>
  <c r="BP67" i="6"/>
  <c r="BE76" i="7"/>
  <c r="BD77" i="7"/>
  <c r="T92" i="8" l="1"/>
  <c r="T238" i="8"/>
  <c r="T244" i="8"/>
  <c r="S76" i="4"/>
  <c r="BL130" i="7"/>
  <c r="BL156" i="7" s="1"/>
  <c r="BL175" i="7"/>
  <c r="BL177" i="7" s="1"/>
  <c r="BF76" i="7"/>
  <c r="BE77" i="7"/>
  <c r="U87" i="8"/>
  <c r="BB187" i="7"/>
  <c r="BC186" i="7"/>
  <c r="T96" i="8"/>
  <c r="BP64" i="6"/>
  <c r="BP66" i="6"/>
  <c r="T243" i="8"/>
  <c r="BF77" i="7" l="1"/>
  <c r="BG76" i="7"/>
  <c r="BP175" i="6"/>
  <c r="BP131" i="7" s="1"/>
  <c r="BP177" i="6"/>
  <c r="T275" i="8"/>
  <c r="T239" i="8"/>
  <c r="T240" i="8" s="1"/>
  <c r="T273" i="8"/>
  <c r="T272" i="8"/>
  <c r="T274" i="8"/>
  <c r="T271" i="8"/>
  <c r="BD186" i="7"/>
  <c r="BC187" i="7"/>
  <c r="U94" i="8"/>
  <c r="U88" i="8"/>
  <c r="T16" i="4"/>
  <c r="BP20" i="7"/>
  <c r="BP46" i="7" s="1"/>
  <c r="BP65" i="7"/>
  <c r="BP67" i="7" s="1"/>
  <c r="U93" i="8"/>
  <c r="BT65" i="6" l="1"/>
  <c r="BT21" i="7" s="1"/>
  <c r="BT67" i="6"/>
  <c r="T242" i="8"/>
  <c r="U237" i="8"/>
  <c r="T246" i="8"/>
  <c r="BP174" i="6"/>
  <c r="BP176" i="6"/>
  <c r="BG77" i="7"/>
  <c r="BH76" i="7"/>
  <c r="U126" i="8"/>
  <c r="U89" i="8"/>
  <c r="U90" i="8" s="1"/>
  <c r="U124" i="8"/>
  <c r="U125" i="8"/>
  <c r="U122" i="8"/>
  <c r="U123" i="8"/>
  <c r="BE186" i="7"/>
  <c r="BD187" i="7"/>
  <c r="T76" i="4" l="1"/>
  <c r="BP175" i="7"/>
  <c r="BP177" i="7" s="1"/>
  <c r="BP130" i="7"/>
  <c r="BP156" i="7" s="1"/>
  <c r="U238" i="8"/>
  <c r="U244" i="8"/>
  <c r="BF186" i="7"/>
  <c r="BE187" i="7"/>
  <c r="BH77" i="7"/>
  <c r="BI76" i="7"/>
  <c r="V87" i="8"/>
  <c r="U243" i="8"/>
  <c r="U92" i="8"/>
  <c r="U96" i="8"/>
  <c r="BT64" i="6"/>
  <c r="BT66" i="6"/>
  <c r="BI77" i="7" l="1"/>
  <c r="BJ76" i="7"/>
  <c r="V93" i="8"/>
  <c r="U276" i="8"/>
  <c r="U239" i="8"/>
  <c r="U240" i="8" s="1"/>
  <c r="U275" i="8"/>
  <c r="U274" i="8"/>
  <c r="U272" i="8"/>
  <c r="U273" i="8"/>
  <c r="BT175" i="6"/>
  <c r="BT131" i="7" s="1"/>
  <c r="BT177" i="6"/>
  <c r="BF187" i="7"/>
  <c r="BG186" i="7"/>
  <c r="V94" i="8"/>
  <c r="V88" i="8"/>
  <c r="U16" i="4"/>
  <c r="BT65" i="7"/>
  <c r="BT67" i="7" s="1"/>
  <c r="BT20" i="7"/>
  <c r="BT46" i="7" s="1"/>
  <c r="BG187" i="7" l="1"/>
  <c r="BH186" i="7"/>
  <c r="BX65" i="6"/>
  <c r="BX21" i="7" s="1"/>
  <c r="BX67" i="6"/>
  <c r="U242" i="8"/>
  <c r="V237" i="8"/>
  <c r="U246" i="8"/>
  <c r="BT174" i="6"/>
  <c r="BT176" i="6"/>
  <c r="V127" i="8"/>
  <c r="V89" i="8"/>
  <c r="V90" i="8" s="1"/>
  <c r="V124" i="8"/>
  <c r="V125" i="8"/>
  <c r="V126" i="8"/>
  <c r="V123" i="8"/>
  <c r="BJ77" i="7"/>
  <c r="BK76" i="7"/>
  <c r="W87" i="8" l="1"/>
  <c r="V238" i="8"/>
  <c r="V244" i="8"/>
  <c r="V243" i="8"/>
  <c r="V96" i="8"/>
  <c r="BX64" i="6"/>
  <c r="BX66" i="6"/>
  <c r="BK77" i="7"/>
  <c r="BL76" i="7"/>
  <c r="BI186" i="7"/>
  <c r="BH187" i="7"/>
  <c r="U76" i="4"/>
  <c r="BT175" i="7"/>
  <c r="BT177" i="7" s="1"/>
  <c r="BT130" i="7"/>
  <c r="BT156" i="7" s="1"/>
  <c r="V92" i="8"/>
  <c r="W93" i="8" l="1"/>
  <c r="BL77" i="7"/>
  <c r="BM76" i="7"/>
  <c r="BX175" i="6"/>
  <c r="BX131" i="7" s="1"/>
  <c r="BX177" i="6"/>
  <c r="BJ186" i="7"/>
  <c r="BI187" i="7"/>
  <c r="V239" i="8"/>
  <c r="V240" i="8" s="1"/>
  <c r="V277" i="8"/>
  <c r="V275" i="8"/>
  <c r="V276" i="8"/>
  <c r="V274" i="8"/>
  <c r="V273" i="8"/>
  <c r="W94" i="8"/>
  <c r="W88" i="8"/>
  <c r="V16" i="4"/>
  <c r="BX65" i="7"/>
  <c r="BX67" i="7" s="1"/>
  <c r="BX20" i="7"/>
  <c r="BX46" i="7" s="1"/>
  <c r="V242" i="8" l="1"/>
  <c r="W89" i="8"/>
  <c r="W90" i="8" s="1"/>
  <c r="W128" i="8"/>
  <c r="W124" i="8"/>
  <c r="W125" i="8"/>
  <c r="W127" i="8"/>
  <c r="W126" i="8"/>
  <c r="W237" i="8"/>
  <c r="V246" i="8"/>
  <c r="BX174" i="6"/>
  <c r="BX176" i="6"/>
  <c r="CB65" i="6"/>
  <c r="CB21" i="7" s="1"/>
  <c r="CB67" i="6"/>
  <c r="BM77" i="7"/>
  <c r="BN76" i="7"/>
  <c r="BK186" i="7"/>
  <c r="BJ187" i="7"/>
  <c r="V76" i="4" l="1"/>
  <c r="BX130" i="7"/>
  <c r="BX156" i="7" s="1"/>
  <c r="BX175" i="7"/>
  <c r="BX177" i="7" s="1"/>
  <c r="X87" i="8"/>
  <c r="W92" i="8"/>
  <c r="W238" i="8"/>
  <c r="W244" i="8"/>
  <c r="W243" i="8"/>
  <c r="BK187" i="7"/>
  <c r="BL186" i="7"/>
  <c r="BO76" i="7"/>
  <c r="BN77" i="7"/>
  <c r="W96" i="8"/>
  <c r="CB64" i="6"/>
  <c r="CB66" i="6"/>
  <c r="BP76" i="7" l="1"/>
  <c r="BO77" i="7"/>
  <c r="W278" i="8"/>
  <c r="W239" i="8"/>
  <c r="W240" i="8" s="1"/>
  <c r="W277" i="8"/>
  <c r="W276" i="8"/>
  <c r="W274" i="8"/>
  <c r="W275" i="8"/>
  <c r="BL187" i="7"/>
  <c r="BM186" i="7"/>
  <c r="CB175" i="6"/>
  <c r="CB131" i="7" s="1"/>
  <c r="CB177" i="6"/>
  <c r="X93" i="8"/>
  <c r="X88" i="8"/>
  <c r="X94" i="8"/>
  <c r="W16" i="4"/>
  <c r="CB65" i="7"/>
  <c r="CB67" i="7" s="1"/>
  <c r="CB20" i="7"/>
  <c r="CB46" i="7" s="1"/>
  <c r="W242" i="8" l="1"/>
  <c r="CF65" i="6"/>
  <c r="CF21" i="7" s="1"/>
  <c r="CE35" i="7" s="1"/>
  <c r="CD35" i="7" s="1"/>
  <c r="CC35" i="7" s="1"/>
  <c r="CB35" i="7" s="1"/>
  <c r="CA35" i="7" s="1"/>
  <c r="BZ35" i="7" s="1"/>
  <c r="BY35" i="7" s="1"/>
  <c r="BX35" i="7" s="1"/>
  <c r="BW35" i="7" s="1"/>
  <c r="BV35" i="7" s="1"/>
  <c r="BU35" i="7" s="1"/>
  <c r="BT35" i="7" s="1"/>
  <c r="BS35" i="7" s="1"/>
  <c r="BR35" i="7" s="1"/>
  <c r="BQ35" i="7" s="1"/>
  <c r="BP35" i="7" s="1"/>
  <c r="BO35" i="7" s="1"/>
  <c r="BN35" i="7" s="1"/>
  <c r="BM35" i="7" s="1"/>
  <c r="BL35" i="7" s="1"/>
  <c r="BK35" i="7" s="1"/>
  <c r="BJ35" i="7" s="1"/>
  <c r="BI35" i="7" s="1"/>
  <c r="BH35" i="7" s="1"/>
  <c r="BG35" i="7" s="1"/>
  <c r="BF35" i="7" s="1"/>
  <c r="BE35" i="7" s="1"/>
  <c r="BD35" i="7" s="1"/>
  <c r="BC35" i="7" s="1"/>
  <c r="BB35" i="7" s="1"/>
  <c r="BA35" i="7" s="1"/>
  <c r="AZ35" i="7" s="1"/>
  <c r="AY35" i="7" s="1"/>
  <c r="AX35" i="7" s="1"/>
  <c r="AW35" i="7" s="1"/>
  <c r="AV35" i="7" s="1"/>
  <c r="AU35" i="7" s="1"/>
  <c r="AT35" i="7" s="1"/>
  <c r="AS35" i="7" s="1"/>
  <c r="AR35" i="7" s="1"/>
  <c r="AQ35" i="7" s="1"/>
  <c r="AP35" i="7" s="1"/>
  <c r="AO35" i="7" s="1"/>
  <c r="AN35" i="7" s="1"/>
  <c r="AM35" i="7" s="1"/>
  <c r="AL35" i="7" s="1"/>
  <c r="AK35" i="7" s="1"/>
  <c r="AJ35" i="7" s="1"/>
  <c r="AI35" i="7" s="1"/>
  <c r="AH35" i="7" s="1"/>
  <c r="AG35" i="7" s="1"/>
  <c r="AF35" i="7" s="1"/>
  <c r="AE35" i="7" s="1"/>
  <c r="AD35" i="7" s="1"/>
  <c r="AC35" i="7" s="1"/>
  <c r="AB35" i="7" s="1"/>
  <c r="AA35" i="7" s="1"/>
  <c r="Z35" i="7" s="1"/>
  <c r="Y35" i="7" s="1"/>
  <c r="X35" i="7" s="1"/>
  <c r="W35" i="7" s="1"/>
  <c r="V35" i="7" s="1"/>
  <c r="U35" i="7" s="1"/>
  <c r="T35" i="7" s="1"/>
  <c r="S35" i="7" s="1"/>
  <c r="R35" i="7" s="1"/>
  <c r="Q35" i="7" s="1"/>
  <c r="P35" i="7" s="1"/>
  <c r="O35" i="7" s="1"/>
  <c r="N35" i="7" s="1"/>
  <c r="M35" i="7" s="1"/>
  <c r="L35" i="7" s="1"/>
  <c r="K35" i="7" s="1"/>
  <c r="J35" i="7" s="1"/>
  <c r="I35" i="7" s="1"/>
  <c r="H35" i="7" s="1"/>
  <c r="G35" i="7" s="1"/>
  <c r="F35" i="7" s="1"/>
  <c r="E35" i="7" s="1"/>
  <c r="D35" i="7" s="1"/>
  <c r="D38" i="7" s="1"/>
  <c r="CF67" i="6"/>
  <c r="X237" i="8"/>
  <c r="X243" i="8" s="1"/>
  <c r="X129" i="8"/>
  <c r="X89" i="8"/>
  <c r="X90" i="8" s="1"/>
  <c r="X126" i="8"/>
  <c r="X128" i="8"/>
  <c r="X127" i="8"/>
  <c r="X125" i="8"/>
  <c r="BM187" i="7"/>
  <c r="BN186" i="7"/>
  <c r="W246" i="8"/>
  <c r="CB174" i="6"/>
  <c r="CB176" i="6"/>
  <c r="BQ76" i="7"/>
  <c r="BP77" i="7"/>
  <c r="X96" i="8" l="1"/>
  <c r="CF64" i="6"/>
  <c r="CF66" i="6"/>
  <c r="BN187" i="7"/>
  <c r="BO186" i="7"/>
  <c r="X244" i="8"/>
  <c r="X238" i="8"/>
  <c r="BR76" i="7"/>
  <c r="BQ77" i="7"/>
  <c r="X92" i="8"/>
  <c r="W76" i="4"/>
  <c r="CB130" i="7"/>
  <c r="CB156" i="7" s="1"/>
  <c r="CB175" i="7"/>
  <c r="CB177" i="7" s="1"/>
  <c r="D41" i="7"/>
  <c r="D39" i="7"/>
  <c r="E36" i="7" s="1"/>
  <c r="D42" i="7" l="1"/>
  <c r="X279" i="8"/>
  <c r="X239" i="8"/>
  <c r="X240" i="8" s="1"/>
  <c r="X275" i="8"/>
  <c r="X277" i="8"/>
  <c r="X276" i="8"/>
  <c r="X278" i="8"/>
  <c r="CF175" i="6"/>
  <c r="CF131" i="7" s="1"/>
  <c r="CE145" i="7" s="1"/>
  <c r="CD145" i="7" s="1"/>
  <c r="CC145" i="7" s="1"/>
  <c r="CB145" i="7" s="1"/>
  <c r="CA145" i="7" s="1"/>
  <c r="BZ145" i="7" s="1"/>
  <c r="BY145" i="7" s="1"/>
  <c r="BX145" i="7" s="1"/>
  <c r="BW145" i="7" s="1"/>
  <c r="BV145" i="7" s="1"/>
  <c r="BU145" i="7" s="1"/>
  <c r="BT145" i="7" s="1"/>
  <c r="BS145" i="7" s="1"/>
  <c r="BR145" i="7" s="1"/>
  <c r="BQ145" i="7" s="1"/>
  <c r="BP145" i="7" s="1"/>
  <c r="BO145" i="7" s="1"/>
  <c r="BN145" i="7" s="1"/>
  <c r="BM145" i="7" s="1"/>
  <c r="BL145" i="7" s="1"/>
  <c r="BK145" i="7" s="1"/>
  <c r="BJ145" i="7" s="1"/>
  <c r="BI145" i="7" s="1"/>
  <c r="BH145" i="7" s="1"/>
  <c r="BG145" i="7" s="1"/>
  <c r="BF145" i="7" s="1"/>
  <c r="BE145" i="7" s="1"/>
  <c r="BD145" i="7" s="1"/>
  <c r="BC145" i="7" s="1"/>
  <c r="BB145" i="7" s="1"/>
  <c r="BA145" i="7" s="1"/>
  <c r="AZ145" i="7" s="1"/>
  <c r="AY145" i="7" s="1"/>
  <c r="AX145" i="7" s="1"/>
  <c r="AW145" i="7" s="1"/>
  <c r="AV145" i="7" s="1"/>
  <c r="AU145" i="7" s="1"/>
  <c r="AT145" i="7" s="1"/>
  <c r="AS145" i="7" s="1"/>
  <c r="AR145" i="7" s="1"/>
  <c r="AQ145" i="7" s="1"/>
  <c r="AP145" i="7" s="1"/>
  <c r="AO145" i="7" s="1"/>
  <c r="AN145" i="7" s="1"/>
  <c r="AM145" i="7" s="1"/>
  <c r="AL145" i="7" s="1"/>
  <c r="AK145" i="7" s="1"/>
  <c r="AJ145" i="7" s="1"/>
  <c r="AI145" i="7" s="1"/>
  <c r="AH145" i="7" s="1"/>
  <c r="AG145" i="7" s="1"/>
  <c r="AF145" i="7" s="1"/>
  <c r="AE145" i="7" s="1"/>
  <c r="AD145" i="7" s="1"/>
  <c r="AC145" i="7" s="1"/>
  <c r="AB145" i="7" s="1"/>
  <c r="AA145" i="7" s="1"/>
  <c r="Z145" i="7" s="1"/>
  <c r="Y145" i="7" s="1"/>
  <c r="X145" i="7" s="1"/>
  <c r="W145" i="7" s="1"/>
  <c r="V145" i="7" s="1"/>
  <c r="U145" i="7" s="1"/>
  <c r="T145" i="7" s="1"/>
  <c r="S145" i="7" s="1"/>
  <c r="R145" i="7" s="1"/>
  <c r="Q145" i="7" s="1"/>
  <c r="P145" i="7" s="1"/>
  <c r="O145" i="7" s="1"/>
  <c r="N145" i="7" s="1"/>
  <c r="M145" i="7" s="1"/>
  <c r="L145" i="7" s="1"/>
  <c r="K145" i="7" s="1"/>
  <c r="J145" i="7" s="1"/>
  <c r="I145" i="7" s="1"/>
  <c r="H145" i="7" s="1"/>
  <c r="G145" i="7" s="1"/>
  <c r="F145" i="7" s="1"/>
  <c r="E145" i="7" s="1"/>
  <c r="D145" i="7" s="1"/>
  <c r="D148" i="7" s="1"/>
  <c r="CF177" i="6"/>
  <c r="X16" i="4"/>
  <c r="CF20" i="7"/>
  <c r="CF65" i="7"/>
  <c r="E37" i="7"/>
  <c r="E38" i="7" s="1"/>
  <c r="E41" i="7" s="1"/>
  <c r="BS76" i="7"/>
  <c r="BR77" i="7"/>
  <c r="BP186" i="7"/>
  <c r="BO187" i="7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E39" i="7" l="1"/>
  <c r="G22" i="4"/>
  <c r="B84" i="1" s="1"/>
  <c r="H22" i="4"/>
  <c r="I22" i="4"/>
  <c r="J22" i="4"/>
  <c r="K22" i="4"/>
  <c r="L22" i="4"/>
  <c r="M22" i="4"/>
  <c r="N22" i="4"/>
  <c r="O22" i="4"/>
  <c r="P22" i="4"/>
  <c r="Q22" i="4"/>
  <c r="B94" i="1" s="1"/>
  <c r="R22" i="4"/>
  <c r="B95" i="1" s="1"/>
  <c r="S22" i="4"/>
  <c r="B96" i="1" s="1"/>
  <c r="T22" i="4"/>
  <c r="B97" i="1" s="1"/>
  <c r="U22" i="4"/>
  <c r="B98" i="1" s="1"/>
  <c r="V22" i="4"/>
  <c r="B99" i="1" s="1"/>
  <c r="W22" i="4"/>
  <c r="B100" i="1" s="1"/>
  <c r="X22" i="4"/>
  <c r="B101" i="1" s="1"/>
  <c r="CF67" i="7"/>
  <c r="CF46" i="7"/>
  <c r="CE25" i="7"/>
  <c r="D151" i="7"/>
  <c r="D149" i="7"/>
  <c r="E146" i="7" s="1"/>
  <c r="BP187" i="7"/>
  <c r="BQ186" i="7"/>
  <c r="X242" i="8"/>
  <c r="B35" i="3"/>
  <c r="B37" i="1" s="1"/>
  <c r="X246" i="8"/>
  <c r="CF174" i="6"/>
  <c r="CF176" i="6"/>
  <c r="BT76" i="7"/>
  <c r="BS77" i="7"/>
  <c r="E40" i="7"/>
  <c r="B93" i="1" l="1"/>
  <c r="P24" i="4"/>
  <c r="P42" i="4" s="1"/>
  <c r="B92" i="1"/>
  <c r="O24" i="4"/>
  <c r="O42" i="4" s="1"/>
  <c r="X76" i="4"/>
  <c r="CF175" i="7"/>
  <c r="CF130" i="7"/>
  <c r="B91" i="1"/>
  <c r="N24" i="4"/>
  <c r="N42" i="4" s="1"/>
  <c r="BQ187" i="7"/>
  <c r="BR186" i="7"/>
  <c r="B90" i="1"/>
  <c r="M24" i="4"/>
  <c r="M42" i="4" s="1"/>
  <c r="B89" i="1"/>
  <c r="L24" i="4"/>
  <c r="L42" i="4" s="1"/>
  <c r="CE48" i="7"/>
  <c r="CD25" i="7"/>
  <c r="B88" i="1"/>
  <c r="K24" i="4"/>
  <c r="K42" i="4" s="1"/>
  <c r="B87" i="1"/>
  <c r="J24" i="4"/>
  <c r="J42" i="4" s="1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B86" i="1"/>
  <c r="I24" i="4"/>
  <c r="I42" i="4" s="1"/>
  <c r="B85" i="1"/>
  <c r="H24" i="4"/>
  <c r="D152" i="7"/>
  <c r="BU76" i="7"/>
  <c r="BT77" i="7"/>
  <c r="F36" i="7"/>
  <c r="E42" i="7"/>
  <c r="E147" i="7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CD48" i="7" l="1"/>
  <c r="CC25" i="7"/>
  <c r="F37" i="7"/>
  <c r="BV76" i="7"/>
  <c r="BU77" i="7"/>
  <c r="H42" i="4"/>
  <c r="B12" i="3" s="1"/>
  <c r="BR187" i="7"/>
  <c r="BS186" i="7"/>
  <c r="E35" i="3"/>
  <c r="E148" i="7"/>
  <c r="CF156" i="7"/>
  <c r="CE135" i="7"/>
  <c r="F82" i="4"/>
  <c r="G82" i="4"/>
  <c r="H82" i="4"/>
  <c r="H84" i="4" s="1"/>
  <c r="I82" i="4"/>
  <c r="I84" i="4" s="1"/>
  <c r="I102" i="4" s="1"/>
  <c r="J82" i="4"/>
  <c r="J84" i="4" s="1"/>
  <c r="J102" i="4" s="1"/>
  <c r="K82" i="4"/>
  <c r="K84" i="4" s="1"/>
  <c r="K102" i="4" s="1"/>
  <c r="L82" i="4"/>
  <c r="L84" i="4" s="1"/>
  <c r="L102" i="4" s="1"/>
  <c r="M82" i="4"/>
  <c r="M84" i="4" s="1"/>
  <c r="M102" i="4" s="1"/>
  <c r="N82" i="4"/>
  <c r="N84" i="4" s="1"/>
  <c r="N102" i="4" s="1"/>
  <c r="O82" i="4"/>
  <c r="O84" i="4" s="1"/>
  <c r="O102" i="4" s="1"/>
  <c r="P82" i="4"/>
  <c r="P84" i="4" s="1"/>
  <c r="P102" i="4" s="1"/>
  <c r="Q82" i="4"/>
  <c r="R82" i="4"/>
  <c r="S82" i="4"/>
  <c r="T82" i="4"/>
  <c r="U82" i="4"/>
  <c r="V82" i="4"/>
  <c r="W82" i="4"/>
  <c r="X82" i="4"/>
  <c r="CF177" i="7"/>
  <c r="E150" i="7"/>
  <c r="B48" i="3" l="1"/>
  <c r="B35" i="1" s="1"/>
  <c r="B24" i="1"/>
  <c r="F12" i="3"/>
  <c r="F24" i="1" s="1"/>
  <c r="BV77" i="7"/>
  <c r="BW76" i="7"/>
  <c r="F40" i="7"/>
  <c r="H102" i="4"/>
  <c r="E12" i="3" s="1"/>
  <c r="F38" i="7"/>
  <c r="F41" i="7" s="1"/>
  <c r="BT186" i="7"/>
  <c r="BS187" i="7"/>
  <c r="CE158" i="7"/>
  <c r="CD135" i="7"/>
  <c r="CC48" i="7"/>
  <c r="CB25" i="7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E151" i="7"/>
  <c r="E149" i="7"/>
  <c r="F146" i="7" s="1"/>
  <c r="F39" i="7" l="1"/>
  <c r="G36" i="7" s="1"/>
  <c r="G37" i="7" s="1"/>
  <c r="E152" i="7"/>
  <c r="CB48" i="7"/>
  <c r="CA25" i="7"/>
  <c r="BU186" i="7"/>
  <c r="BT187" i="7"/>
  <c r="CD158" i="7"/>
  <c r="CC135" i="7"/>
  <c r="E24" i="1"/>
  <c r="G12" i="3"/>
  <c r="G24" i="1" s="1"/>
  <c r="E48" i="3"/>
  <c r="F147" i="7"/>
  <c r="F148" i="7" s="1"/>
  <c r="F151" i="7" s="1"/>
  <c r="BW77" i="7"/>
  <c r="BX76" i="7"/>
  <c r="F42" i="7" l="1"/>
  <c r="G40" i="7"/>
  <c r="CC158" i="7"/>
  <c r="CB135" i="7"/>
  <c r="BX77" i="7"/>
  <c r="BY76" i="7"/>
  <c r="G38" i="7"/>
  <c r="G41" i="7" s="1"/>
  <c r="CA48" i="7"/>
  <c r="BZ25" i="7"/>
  <c r="BV186" i="7"/>
  <c r="BU187" i="7"/>
  <c r="F150" i="7"/>
  <c r="F149" i="7"/>
  <c r="G146" i="7" s="1"/>
  <c r="G39" i="7" l="1"/>
  <c r="H36" i="7" s="1"/>
  <c r="H37" i="7" s="1"/>
  <c r="BV187" i="7"/>
  <c r="BW186" i="7"/>
  <c r="G147" i="7"/>
  <c r="G148" i="7" s="1"/>
  <c r="G151" i="7" s="1"/>
  <c r="BZ48" i="7"/>
  <c r="BY25" i="7"/>
  <c r="F152" i="7"/>
  <c r="BY77" i="7"/>
  <c r="BZ76" i="7"/>
  <c r="CB158" i="7"/>
  <c r="CA135" i="7"/>
  <c r="G42" i="7" l="1"/>
  <c r="BZ77" i="7"/>
  <c r="CA76" i="7"/>
  <c r="G150" i="7"/>
  <c r="H40" i="7"/>
  <c r="BY48" i="7"/>
  <c r="BX25" i="7"/>
  <c r="G149" i="7"/>
  <c r="H146" i="7" s="1"/>
  <c r="BW187" i="7"/>
  <c r="BX186" i="7"/>
  <c r="H38" i="7"/>
  <c r="H41" i="7" s="1"/>
  <c r="CA158" i="7"/>
  <c r="BZ135" i="7"/>
  <c r="H39" i="7" l="1"/>
  <c r="I36" i="7" s="1"/>
  <c r="I37" i="7" s="1"/>
  <c r="I40" i="7" s="1"/>
  <c r="G152" i="7"/>
  <c r="H147" i="7"/>
  <c r="BZ158" i="7"/>
  <c r="BY135" i="7"/>
  <c r="CA77" i="7"/>
  <c r="CB76" i="7"/>
  <c r="BY186" i="7"/>
  <c r="BX187" i="7"/>
  <c r="BX48" i="7"/>
  <c r="BW25" i="7"/>
  <c r="H42" i="7" l="1"/>
  <c r="CB77" i="7"/>
  <c r="CC76" i="7"/>
  <c r="BW48" i="7"/>
  <c r="BV25" i="7"/>
  <c r="BZ186" i="7"/>
  <c r="BY187" i="7"/>
  <c r="H150" i="7"/>
  <c r="I38" i="7"/>
  <c r="I41" i="7" s="1"/>
  <c r="BY158" i="7"/>
  <c r="BX135" i="7"/>
  <c r="H148" i="7"/>
  <c r="H151" i="7" s="1"/>
  <c r="H149" i="7" l="1"/>
  <c r="I146" i="7" s="1"/>
  <c r="I147" i="7" s="1"/>
  <c r="I150" i="7" s="1"/>
  <c r="I39" i="7"/>
  <c r="J36" i="7" s="1"/>
  <c r="CA186" i="7"/>
  <c r="BZ187" i="7"/>
  <c r="BX158" i="7"/>
  <c r="BW135" i="7"/>
  <c r="BV48" i="7"/>
  <c r="BU25" i="7"/>
  <c r="CC77" i="7"/>
  <c r="CD76" i="7"/>
  <c r="H152" i="7" l="1"/>
  <c r="I42" i="7"/>
  <c r="I148" i="7"/>
  <c r="I151" i="7" s="1"/>
  <c r="BU48" i="7"/>
  <c r="BT25" i="7"/>
  <c r="CE76" i="7"/>
  <c r="CD77" i="7"/>
  <c r="BW158" i="7"/>
  <c r="BV135" i="7"/>
  <c r="CA187" i="7"/>
  <c r="CB186" i="7"/>
  <c r="J37" i="7"/>
  <c r="J40" i="7" s="1"/>
  <c r="I149" i="7" l="1"/>
  <c r="J146" i="7" s="1"/>
  <c r="J147" i="7" s="1"/>
  <c r="J150" i="7" s="1"/>
  <c r="J38" i="7"/>
  <c r="J41" i="7" s="1"/>
  <c r="CB187" i="7"/>
  <c r="CC186" i="7"/>
  <c r="BV158" i="7"/>
  <c r="BU135" i="7"/>
  <c r="CF76" i="7"/>
  <c r="CF77" i="7" s="1"/>
  <c r="CE77" i="7"/>
  <c r="BT48" i="7"/>
  <c r="BS25" i="7"/>
  <c r="I152" i="7" l="1"/>
  <c r="J39" i="7"/>
  <c r="BS48" i="7"/>
  <c r="BR25" i="7"/>
  <c r="J148" i="7"/>
  <c r="J151" i="7" s="1"/>
  <c r="BU158" i="7"/>
  <c r="BT135" i="7"/>
  <c r="CC187" i="7"/>
  <c r="CD186" i="7"/>
  <c r="B7" i="13"/>
  <c r="B30" i="3"/>
  <c r="F12" i="1" s="1"/>
  <c r="B29" i="3"/>
  <c r="B12" i="1" s="1"/>
  <c r="K36" i="7" l="1"/>
  <c r="K37" i="7" s="1"/>
  <c r="K40" i="7" s="1"/>
  <c r="J42" i="7"/>
  <c r="D24" i="13"/>
  <c r="F21" i="13"/>
  <c r="C24" i="13"/>
  <c r="F26" i="13"/>
  <c r="B24" i="13"/>
  <c r="D21" i="13"/>
  <c r="C21" i="13"/>
  <c r="C26" i="13"/>
  <c r="B26" i="13"/>
  <c r="D23" i="13"/>
  <c r="C23" i="13"/>
  <c r="B23" i="13"/>
  <c r="F22" i="13"/>
  <c r="D22" i="13"/>
  <c r="C22" i="13"/>
  <c r="F24" i="13"/>
  <c r="B22" i="13"/>
  <c r="B8" i="13"/>
  <c r="D26" i="13"/>
  <c r="F23" i="13"/>
  <c r="B21" i="13"/>
  <c r="BT158" i="7"/>
  <c r="BS135" i="7"/>
  <c r="CD187" i="7"/>
  <c r="CE186" i="7"/>
  <c r="BR48" i="7"/>
  <c r="BQ25" i="7"/>
  <c r="K38" i="7"/>
  <c r="K41" i="7" s="1"/>
  <c r="J149" i="7"/>
  <c r="K146" i="7" s="1"/>
  <c r="E24" i="13" l="1"/>
  <c r="G24" i="13" s="1"/>
  <c r="E21" i="13"/>
  <c r="G21" i="13" s="1"/>
  <c r="E26" i="13"/>
  <c r="G26" i="13" s="1"/>
  <c r="E22" i="13"/>
  <c r="G22" i="13" s="1"/>
  <c r="K147" i="7"/>
  <c r="K150" i="7" s="1"/>
  <c r="K39" i="7"/>
  <c r="L36" i="7" s="1"/>
  <c r="BQ48" i="7"/>
  <c r="BP25" i="7"/>
  <c r="CF186" i="7"/>
  <c r="CF187" i="7" s="1"/>
  <c r="CE187" i="7"/>
  <c r="J152" i="7"/>
  <c r="E23" i="13"/>
  <c r="G23" i="13" s="1"/>
  <c r="BS158" i="7"/>
  <c r="BR135" i="7"/>
  <c r="K42" i="7" l="1"/>
  <c r="BR158" i="7"/>
  <c r="BQ135" i="7"/>
  <c r="E30" i="3"/>
  <c r="E29" i="3"/>
  <c r="L37" i="7"/>
  <c r="L40" i="7" s="1"/>
  <c r="K148" i="7"/>
  <c r="K151" i="7" s="1"/>
  <c r="BP48" i="7"/>
  <c r="BO25" i="7"/>
  <c r="K149" i="7" l="1"/>
  <c r="L146" i="7" s="1"/>
  <c r="L147" i="7" s="1"/>
  <c r="L150" i="7" s="1"/>
  <c r="BO48" i="7"/>
  <c r="BN25" i="7"/>
  <c r="L38" i="7"/>
  <c r="L41" i="7" s="1"/>
  <c r="BQ158" i="7"/>
  <c r="BP135" i="7"/>
  <c r="K152" i="7" l="1"/>
  <c r="BP158" i="7"/>
  <c r="BO135" i="7"/>
  <c r="L39" i="7"/>
  <c r="M36" i="7" s="1"/>
  <c r="BN48" i="7"/>
  <c r="BM25" i="7"/>
  <c r="L148" i="7"/>
  <c r="L151" i="7" s="1"/>
  <c r="L149" i="7" l="1"/>
  <c r="M146" i="7" s="1"/>
  <c r="M37" i="7"/>
  <c r="M40" i="7" s="1"/>
  <c r="BM48" i="7"/>
  <c r="BL25" i="7"/>
  <c r="L42" i="7"/>
  <c r="BO158" i="7"/>
  <c r="BN135" i="7"/>
  <c r="BL48" i="7" l="1"/>
  <c r="BK25" i="7"/>
  <c r="M38" i="7"/>
  <c r="M41" i="7" s="1"/>
  <c r="BN158" i="7"/>
  <c r="BM135" i="7"/>
  <c r="M147" i="7"/>
  <c r="M150" i="7" s="1"/>
  <c r="L152" i="7"/>
  <c r="M148" i="7" l="1"/>
  <c r="M151" i="7" s="1"/>
  <c r="BM158" i="7"/>
  <c r="BL135" i="7"/>
  <c r="M39" i="7"/>
  <c r="BK48" i="7"/>
  <c r="BJ25" i="7"/>
  <c r="N36" i="7" l="1"/>
  <c r="M42" i="7"/>
  <c r="BJ48" i="7"/>
  <c r="BI25" i="7"/>
  <c r="BL158" i="7"/>
  <c r="BK135" i="7"/>
  <c r="M149" i="7"/>
  <c r="N146" i="7" s="1"/>
  <c r="N147" i="7" l="1"/>
  <c r="N150" i="7" s="1"/>
  <c r="BI48" i="7"/>
  <c r="BH25" i="7"/>
  <c r="M152" i="7"/>
  <c r="BK158" i="7"/>
  <c r="BJ135" i="7"/>
  <c r="N37" i="7"/>
  <c r="N40" i="7" s="1"/>
  <c r="N38" i="7" l="1"/>
  <c r="N41" i="7" s="1"/>
  <c r="BH48" i="7"/>
  <c r="BG25" i="7"/>
  <c r="BI135" i="7"/>
  <c r="BJ158" i="7"/>
  <c r="N148" i="7"/>
  <c r="N149" i="7" s="1"/>
  <c r="O146" i="7" s="1"/>
  <c r="N39" i="7" l="1"/>
  <c r="O36" i="7" s="1"/>
  <c r="O37" i="7" s="1"/>
  <c r="O40" i="7" s="1"/>
  <c r="O147" i="7"/>
  <c r="O150" i="7" s="1"/>
  <c r="N151" i="7"/>
  <c r="N152" i="7"/>
  <c r="BH135" i="7"/>
  <c r="BI158" i="7"/>
  <c r="BG48" i="7"/>
  <c r="BF25" i="7"/>
  <c r="N42" i="7" l="1"/>
  <c r="BF48" i="7"/>
  <c r="BE25" i="7"/>
  <c r="O38" i="7"/>
  <c r="O41" i="7" s="1"/>
  <c r="BH158" i="7"/>
  <c r="BG135" i="7"/>
  <c r="O148" i="7"/>
  <c r="O149" i="7" s="1"/>
  <c r="P146" i="7" s="1"/>
  <c r="P147" i="7" l="1"/>
  <c r="P150" i="7" s="1"/>
  <c r="BG158" i="7"/>
  <c r="BF135" i="7"/>
  <c r="O39" i="7"/>
  <c r="O151" i="7"/>
  <c r="O152" i="7"/>
  <c r="BE48" i="7"/>
  <c r="BD25" i="7"/>
  <c r="BF158" i="7" l="1"/>
  <c r="BE135" i="7"/>
  <c r="BD48" i="7"/>
  <c r="BC25" i="7"/>
  <c r="P36" i="7"/>
  <c r="O42" i="7"/>
  <c r="P148" i="7"/>
  <c r="P151" i="7" l="1"/>
  <c r="P149" i="7"/>
  <c r="Q146" i="7" s="1"/>
  <c r="P37" i="7"/>
  <c r="P40" i="7" s="1"/>
  <c r="BC48" i="7"/>
  <c r="BB25" i="7"/>
  <c r="BE158" i="7"/>
  <c r="BD135" i="7"/>
  <c r="BB48" i="7" l="1"/>
  <c r="BA25" i="7"/>
  <c r="P38" i="7"/>
  <c r="P41" i="7" s="1"/>
  <c r="BD158" i="7"/>
  <c r="BC135" i="7"/>
  <c r="Q147" i="7"/>
  <c r="Q150" i="7" s="1"/>
  <c r="P152" i="7"/>
  <c r="P39" i="7" l="1"/>
  <c r="Q36" i="7" s="1"/>
  <c r="Q37" i="7" s="1"/>
  <c r="Q40" i="7" s="1"/>
  <c r="Q148" i="7"/>
  <c r="Q151" i="7" s="1"/>
  <c r="BC158" i="7"/>
  <c r="BB135" i="7"/>
  <c r="BA48" i="7"/>
  <c r="AZ25" i="7"/>
  <c r="P42" i="7" l="1"/>
  <c r="Q149" i="7"/>
  <c r="R146" i="7" s="1"/>
  <c r="AZ48" i="7"/>
  <c r="AY25" i="7"/>
  <c r="BB158" i="7"/>
  <c r="BA135" i="7"/>
  <c r="Q38" i="7"/>
  <c r="Q41" i="7" s="1"/>
  <c r="Q152" i="7" l="1"/>
  <c r="Q39" i="7"/>
  <c r="R36" i="7" s="1"/>
  <c r="BA158" i="7"/>
  <c r="AZ135" i="7"/>
  <c r="AY48" i="7"/>
  <c r="AX25" i="7"/>
  <c r="R147" i="7"/>
  <c r="R150" i="7" s="1"/>
  <c r="Q42" i="7" l="1"/>
  <c r="R148" i="7"/>
  <c r="R151" i="7" s="1"/>
  <c r="AX48" i="7"/>
  <c r="AW25" i="7"/>
  <c r="AZ158" i="7"/>
  <c r="AY135" i="7"/>
  <c r="R37" i="7"/>
  <c r="R40" i="7" s="1"/>
  <c r="R149" i="7" l="1"/>
  <c r="S146" i="7" s="1"/>
  <c r="S147" i="7" s="1"/>
  <c r="S150" i="7" s="1"/>
  <c r="R38" i="7"/>
  <c r="R41" i="7" s="1"/>
  <c r="AW48" i="7"/>
  <c r="AV25" i="7"/>
  <c r="AY158" i="7"/>
  <c r="AX135" i="7"/>
  <c r="R152" i="7" l="1"/>
  <c r="R39" i="7"/>
  <c r="S148" i="7"/>
  <c r="S151" i="7" s="1"/>
  <c r="AX158" i="7"/>
  <c r="AW135" i="7"/>
  <c r="AV48" i="7"/>
  <c r="AU25" i="7"/>
  <c r="S149" i="7" l="1"/>
  <c r="T146" i="7" s="1"/>
  <c r="T147" i="7" s="1"/>
  <c r="T150" i="7" s="1"/>
  <c r="S36" i="7"/>
  <c r="S37" i="7" s="1"/>
  <c r="S40" i="7" s="1"/>
  <c r="R42" i="7"/>
  <c r="AU48" i="7"/>
  <c r="AT25" i="7"/>
  <c r="AW158" i="7"/>
  <c r="AV135" i="7"/>
  <c r="S38" i="7" l="1"/>
  <c r="S41" i="7" s="1"/>
  <c r="S152" i="7"/>
  <c r="T148" i="7"/>
  <c r="T151" i="7" s="1"/>
  <c r="AV158" i="7"/>
  <c r="AU135" i="7"/>
  <c r="AT48" i="7"/>
  <c r="AS25" i="7"/>
  <c r="S39" i="7" l="1"/>
  <c r="T36" i="7" s="1"/>
  <c r="T149" i="7"/>
  <c r="U146" i="7" s="1"/>
  <c r="U147" i="7" s="1"/>
  <c r="U150" i="7" s="1"/>
  <c r="S42" i="7"/>
  <c r="AS48" i="7"/>
  <c r="AR25" i="7"/>
  <c r="T37" i="7"/>
  <c r="T40" i="7" s="1"/>
  <c r="AU158" i="7"/>
  <c r="AT135" i="7"/>
  <c r="T152" i="7" l="1"/>
  <c r="U148" i="7"/>
  <c r="U151" i="7" s="1"/>
  <c r="AT158" i="7"/>
  <c r="AS135" i="7"/>
  <c r="T38" i="7"/>
  <c r="T41" i="7" s="1"/>
  <c r="AR48" i="7"/>
  <c r="AQ25" i="7"/>
  <c r="U149" i="7" l="1"/>
  <c r="V146" i="7" s="1"/>
  <c r="V147" i="7" s="1"/>
  <c r="V150" i="7" s="1"/>
  <c r="T39" i="7"/>
  <c r="U36" i="7" s="1"/>
  <c r="AQ48" i="7"/>
  <c r="AP25" i="7"/>
  <c r="AS158" i="7"/>
  <c r="AR135" i="7"/>
  <c r="T42" i="7" l="1"/>
  <c r="U152" i="7"/>
  <c r="V148" i="7"/>
  <c r="V151" i="7" s="1"/>
  <c r="AR158" i="7"/>
  <c r="AQ135" i="7"/>
  <c r="AP48" i="7"/>
  <c r="AO25" i="7"/>
  <c r="U37" i="7"/>
  <c r="U40" i="7" s="1"/>
  <c r="V149" i="7" l="1"/>
  <c r="W146" i="7" s="1"/>
  <c r="W147" i="7" s="1"/>
  <c r="W150" i="7" s="1"/>
  <c r="U38" i="7"/>
  <c r="U41" i="7" s="1"/>
  <c r="AO48" i="7"/>
  <c r="AN25" i="7"/>
  <c r="V152" i="7"/>
  <c r="AP135" i="7"/>
  <c r="AQ158" i="7"/>
  <c r="W148" i="7" l="1"/>
  <c r="W151" i="7" s="1"/>
  <c r="AO135" i="7"/>
  <c r="AP158" i="7"/>
  <c r="AN48" i="7"/>
  <c r="AM25" i="7"/>
  <c r="U39" i="7"/>
  <c r="W149" i="7" l="1"/>
  <c r="X146" i="7" s="1"/>
  <c r="AM48" i="7"/>
  <c r="AL25" i="7"/>
  <c r="V36" i="7"/>
  <c r="U42" i="7"/>
  <c r="X147" i="7"/>
  <c r="X150" i="7" s="1"/>
  <c r="AO158" i="7"/>
  <c r="AN135" i="7"/>
  <c r="W152" i="7" l="1"/>
  <c r="X148" i="7"/>
  <c r="X151" i="7" s="1"/>
  <c r="AN158" i="7"/>
  <c r="AM135" i="7"/>
  <c r="V37" i="7"/>
  <c r="V40" i="7" s="1"/>
  <c r="AL48" i="7"/>
  <c r="AK25" i="7"/>
  <c r="X149" i="7" l="1"/>
  <c r="Y146" i="7" s="1"/>
  <c r="Y147" i="7" s="1"/>
  <c r="Y150" i="7" s="1"/>
  <c r="AK48" i="7"/>
  <c r="AJ25" i="7"/>
  <c r="V38" i="7"/>
  <c r="V41" i="7" s="1"/>
  <c r="AM158" i="7"/>
  <c r="AL135" i="7"/>
  <c r="X152" i="7" l="1"/>
  <c r="Y148" i="7"/>
  <c r="Y151" i="7" s="1"/>
  <c r="AL158" i="7"/>
  <c r="AK135" i="7"/>
  <c r="V39" i="7"/>
  <c r="W36" i="7" s="1"/>
  <c r="AJ48" i="7"/>
  <c r="AI25" i="7"/>
  <c r="V42" i="7" l="1"/>
  <c r="Y149" i="7"/>
  <c r="Z146" i="7" s="1"/>
  <c r="Z147" i="7" s="1"/>
  <c r="Z150" i="7" s="1"/>
  <c r="AI48" i="7"/>
  <c r="AH25" i="7"/>
  <c r="W37" i="7"/>
  <c r="W40" i="7" s="1"/>
  <c r="AK158" i="7"/>
  <c r="AJ135" i="7"/>
  <c r="Y152" i="7" l="1"/>
  <c r="Z148" i="7"/>
  <c r="Z151" i="7" s="1"/>
  <c r="AJ158" i="7"/>
  <c r="AI135" i="7"/>
  <c r="W38" i="7"/>
  <c r="W41" i="7" s="1"/>
  <c r="AH48" i="7"/>
  <c r="AG25" i="7"/>
  <c r="Z149" i="7" l="1"/>
  <c r="W39" i="7"/>
  <c r="X36" i="7" s="1"/>
  <c r="X37" i="7" s="1"/>
  <c r="X40" i="7" s="1"/>
  <c r="AG48" i="7"/>
  <c r="AF25" i="7"/>
  <c r="AI158" i="7"/>
  <c r="AH135" i="7"/>
  <c r="W42" i="7" l="1"/>
  <c r="AA146" i="7"/>
  <c r="AA147" i="7" s="1"/>
  <c r="AA150" i="7" s="1"/>
  <c r="Z152" i="7"/>
  <c r="AH158" i="7"/>
  <c r="AG135" i="7"/>
  <c r="AF48" i="7"/>
  <c r="AE25" i="7"/>
  <c r="X38" i="7"/>
  <c r="X41" i="7" s="1"/>
  <c r="AA148" i="7" l="1"/>
  <c r="AA151" i="7" s="1"/>
  <c r="X39" i="7"/>
  <c r="Y36" i="7" s="1"/>
  <c r="Y37" i="7" s="1"/>
  <c r="Y40" i="7" s="1"/>
  <c r="AE48" i="7"/>
  <c r="AD25" i="7"/>
  <c r="X42" i="7"/>
  <c r="AG158" i="7"/>
  <c r="AF135" i="7"/>
  <c r="AA149" i="7" l="1"/>
  <c r="AB146" i="7" s="1"/>
  <c r="AF158" i="7"/>
  <c r="AE135" i="7"/>
  <c r="Y38" i="7"/>
  <c r="Y41" i="7" s="1"/>
  <c r="AD48" i="7"/>
  <c r="AC25" i="7"/>
  <c r="AA152" i="7" l="1"/>
  <c r="AB147" i="7"/>
  <c r="AB150" i="7" s="1"/>
  <c r="AC48" i="7"/>
  <c r="AB25" i="7"/>
  <c r="Y39" i="7"/>
  <c r="Z36" i="7" s="1"/>
  <c r="AE158" i="7"/>
  <c r="AD135" i="7"/>
  <c r="Z37" i="7" l="1"/>
  <c r="Z40" i="7" s="1"/>
  <c r="AD158" i="7"/>
  <c r="AC135" i="7"/>
  <c r="AB48" i="7"/>
  <c r="AA25" i="7"/>
  <c r="Y42" i="7"/>
  <c r="AB148" i="7"/>
  <c r="AB151" i="7" s="1"/>
  <c r="AB149" i="7" l="1"/>
  <c r="AA48" i="7"/>
  <c r="Z25" i="7"/>
  <c r="AC158" i="7"/>
  <c r="AB135" i="7"/>
  <c r="Z38" i="7"/>
  <c r="Z41" i="7" s="1"/>
  <c r="Z39" i="7" l="1"/>
  <c r="AA36" i="7" s="1"/>
  <c r="AA37" i="7" s="1"/>
  <c r="AA40" i="7" s="1"/>
  <c r="AB158" i="7"/>
  <c r="AA135" i="7"/>
  <c r="Z48" i="7"/>
  <c r="Y25" i="7"/>
  <c r="AC146" i="7"/>
  <c r="AB152" i="7"/>
  <c r="Z42" i="7" l="1"/>
  <c r="Y48" i="7"/>
  <c r="X25" i="7"/>
  <c r="AC147" i="7"/>
  <c r="AC150" i="7" s="1"/>
  <c r="Z135" i="7"/>
  <c r="AA158" i="7"/>
  <c r="AA38" i="7"/>
  <c r="AA41" i="7" s="1"/>
  <c r="AA39" i="7" l="1"/>
  <c r="AB36" i="7" s="1"/>
  <c r="AB37" i="7" s="1"/>
  <c r="AB40" i="7" s="1"/>
  <c r="Z158" i="7"/>
  <c r="Y135" i="7"/>
  <c r="AC148" i="7"/>
  <c r="AC151" i="7" s="1"/>
  <c r="X48" i="7"/>
  <c r="W25" i="7"/>
  <c r="AA42" i="7" l="1"/>
  <c r="Y158" i="7"/>
  <c r="X135" i="7"/>
  <c r="AB38" i="7"/>
  <c r="AB41" i="7" s="1"/>
  <c r="W48" i="7"/>
  <c r="V25" i="7"/>
  <c r="AC149" i="7"/>
  <c r="AD146" i="7" s="1"/>
  <c r="AB39" i="7" l="1"/>
  <c r="AC36" i="7" s="1"/>
  <c r="AC37" i="7" s="1"/>
  <c r="AC40" i="7" s="1"/>
  <c r="V48" i="7"/>
  <c r="U25" i="7"/>
  <c r="AC152" i="7"/>
  <c r="AD147" i="7"/>
  <c r="AD150" i="7" s="1"/>
  <c r="X158" i="7"/>
  <c r="W135" i="7"/>
  <c r="AB42" i="7" l="1"/>
  <c r="W158" i="7"/>
  <c r="V135" i="7"/>
  <c r="AD148" i="7"/>
  <c r="AD151" i="7" s="1"/>
  <c r="AC38" i="7"/>
  <c r="AC41" i="7" s="1"/>
  <c r="U48" i="7"/>
  <c r="T25" i="7"/>
  <c r="T48" i="7" l="1"/>
  <c r="S25" i="7"/>
  <c r="AC39" i="7"/>
  <c r="AD36" i="7" s="1"/>
  <c r="AD149" i="7"/>
  <c r="AE146" i="7" s="1"/>
  <c r="V158" i="7"/>
  <c r="U135" i="7"/>
  <c r="AC42" i="7" l="1"/>
  <c r="U158" i="7"/>
  <c r="T135" i="7"/>
  <c r="AD37" i="7"/>
  <c r="AD40" i="7" s="1"/>
  <c r="AE147" i="7"/>
  <c r="AE150" i="7" s="1"/>
  <c r="S48" i="7"/>
  <c r="R25" i="7"/>
  <c r="AD152" i="7"/>
  <c r="R48" i="7" l="1"/>
  <c r="Q25" i="7"/>
  <c r="AE148" i="7"/>
  <c r="AE151" i="7" s="1"/>
  <c r="AD38" i="7"/>
  <c r="AD41" i="7" s="1"/>
  <c r="T158" i="7"/>
  <c r="S135" i="7"/>
  <c r="AD39" i="7" l="1"/>
  <c r="AE36" i="7" s="1"/>
  <c r="AE37" i="7" s="1"/>
  <c r="AE40" i="7" s="1"/>
  <c r="S158" i="7"/>
  <c r="R135" i="7"/>
  <c r="Q48" i="7"/>
  <c r="P25" i="7"/>
  <c r="AE149" i="7"/>
  <c r="AF146" i="7" s="1"/>
  <c r="AD42" i="7" l="1"/>
  <c r="AF147" i="7"/>
  <c r="AF150" i="7" s="1"/>
  <c r="R158" i="7"/>
  <c r="Q135" i="7"/>
  <c r="P48" i="7"/>
  <c r="O25" i="7"/>
  <c r="AE152" i="7"/>
  <c r="AE38" i="7"/>
  <c r="AE41" i="7" l="1"/>
  <c r="AE39" i="7"/>
  <c r="AF36" i="7" s="1"/>
  <c r="Q158" i="7"/>
  <c r="P135" i="7"/>
  <c r="O48" i="7"/>
  <c r="N25" i="7"/>
  <c r="AF148" i="7"/>
  <c r="AE42" i="7" l="1"/>
  <c r="AF151" i="7"/>
  <c r="N48" i="7"/>
  <c r="M25" i="7"/>
  <c r="P158" i="7"/>
  <c r="O135" i="7"/>
  <c r="AF149" i="7"/>
  <c r="AG146" i="7" s="1"/>
  <c r="AF37" i="7"/>
  <c r="AF40" i="7" s="1"/>
  <c r="AG147" i="7" l="1"/>
  <c r="AG150" i="7" s="1"/>
  <c r="M48" i="7"/>
  <c r="L25" i="7"/>
  <c r="AF38" i="7"/>
  <c r="AF41" i="7" s="1"/>
  <c r="O158" i="7"/>
  <c r="N135" i="7"/>
  <c r="AF152" i="7"/>
  <c r="L48" i="7" l="1"/>
  <c r="K25" i="7"/>
  <c r="N158" i="7"/>
  <c r="M135" i="7"/>
  <c r="AG148" i="7"/>
  <c r="AG151" i="7" s="1"/>
  <c r="AF39" i="7"/>
  <c r="AG36" i="7" s="1"/>
  <c r="AF42" i="7" l="1"/>
  <c r="AG149" i="7"/>
  <c r="AH146" i="7" s="1"/>
  <c r="AG37" i="7"/>
  <c r="AG40" i="7" s="1"/>
  <c r="M158" i="7"/>
  <c r="L135" i="7"/>
  <c r="K48" i="7"/>
  <c r="J25" i="7"/>
  <c r="AG152" i="7" l="1"/>
  <c r="J48" i="7"/>
  <c r="I25" i="7"/>
  <c r="L158" i="7"/>
  <c r="K135" i="7"/>
  <c r="AG38" i="7"/>
  <c r="AG41" i="7" s="1"/>
  <c r="AH147" i="7"/>
  <c r="AH150" i="7" s="1"/>
  <c r="AH148" i="7" l="1"/>
  <c r="AH151" i="7" s="1"/>
  <c r="AG39" i="7"/>
  <c r="K158" i="7"/>
  <c r="J135" i="7"/>
  <c r="I48" i="7"/>
  <c r="H25" i="7"/>
  <c r="AH149" i="7" l="1"/>
  <c r="H48" i="7"/>
  <c r="G25" i="7"/>
  <c r="J158" i="7"/>
  <c r="I135" i="7"/>
  <c r="AH36" i="7"/>
  <c r="AG42" i="7"/>
  <c r="AI146" i="7" l="1"/>
  <c r="AI147" i="7" s="1"/>
  <c r="AI150" i="7" s="1"/>
  <c r="AH152" i="7"/>
  <c r="I158" i="7"/>
  <c r="H135" i="7"/>
  <c r="AH37" i="7"/>
  <c r="AH40" i="7" s="1"/>
  <c r="G48" i="7"/>
  <c r="F25" i="7"/>
  <c r="AI148" i="7" l="1"/>
  <c r="AI151" i="7" s="1"/>
  <c r="F48" i="7"/>
  <c r="E25" i="7"/>
  <c r="AH38" i="7"/>
  <c r="AH41" i="7" s="1"/>
  <c r="H158" i="7"/>
  <c r="G135" i="7"/>
  <c r="AI149" i="7" l="1"/>
  <c r="AJ146" i="7" s="1"/>
  <c r="AJ147" i="7" s="1"/>
  <c r="AJ150" i="7" s="1"/>
  <c r="G158" i="7"/>
  <c r="F135" i="7"/>
  <c r="AH39" i="7"/>
  <c r="AI36" i="7" s="1"/>
  <c r="E48" i="7"/>
  <c r="D25" i="7"/>
  <c r="AI152" i="7" l="1"/>
  <c r="AJ148" i="7"/>
  <c r="AJ151" i="7" s="1"/>
  <c r="D48" i="7"/>
  <c r="D56" i="7" s="1"/>
  <c r="D28" i="7"/>
  <c r="AI37" i="7"/>
  <c r="AI40" i="7" s="1"/>
  <c r="F158" i="7"/>
  <c r="E135" i="7"/>
  <c r="AH42" i="7"/>
  <c r="AJ149" i="7"/>
  <c r="AK146" i="7" s="1"/>
  <c r="AJ152" i="7" l="1"/>
  <c r="E158" i="7"/>
  <c r="D135" i="7"/>
  <c r="AI38" i="7"/>
  <c r="AI39" i="7" s="1"/>
  <c r="AJ36" i="7" s="1"/>
  <c r="AK147" i="7"/>
  <c r="AK150" i="7" s="1"/>
  <c r="D50" i="7"/>
  <c r="D28" i="4" s="1"/>
  <c r="G81" i="1" s="1"/>
  <c r="D31" i="7"/>
  <c r="D29" i="7"/>
  <c r="D57" i="7"/>
  <c r="D61" i="7" s="1"/>
  <c r="AK148" i="7" l="1"/>
  <c r="AK151" i="7" s="1"/>
  <c r="D51" i="7"/>
  <c r="E26" i="7"/>
  <c r="AJ37" i="7"/>
  <c r="AJ40" i="7" s="1"/>
  <c r="E52" i="7"/>
  <c r="D32" i="7"/>
  <c r="D47" i="7"/>
  <c r="AI41" i="7"/>
  <c r="AI42" i="7"/>
  <c r="D158" i="7"/>
  <c r="D166" i="7" s="1"/>
  <c r="D138" i="7"/>
  <c r="AK149" i="7" l="1"/>
  <c r="AL146" i="7" s="1"/>
  <c r="AL147" i="7" s="1"/>
  <c r="AL150" i="7" s="1"/>
  <c r="D73" i="7"/>
  <c r="D74" i="7" s="1"/>
  <c r="D26" i="4"/>
  <c r="E54" i="7"/>
  <c r="E55" i="7" s="1"/>
  <c r="E27" i="7"/>
  <c r="AJ38" i="7"/>
  <c r="AJ41" i="7" s="1"/>
  <c r="D160" i="7"/>
  <c r="D88" i="4" s="1"/>
  <c r="D141" i="7"/>
  <c r="D139" i="7"/>
  <c r="D29" i="4"/>
  <c r="D81" i="1" s="1"/>
  <c r="D167" i="7"/>
  <c r="D171" i="7" s="1"/>
  <c r="AK152" i="7" l="1"/>
  <c r="AL148" i="7"/>
  <c r="AL151" i="7" s="1"/>
  <c r="E28" i="7"/>
  <c r="E29" i="7" s="1"/>
  <c r="E60" i="7"/>
  <c r="D161" i="7"/>
  <c r="E136" i="7"/>
  <c r="E162" i="7"/>
  <c r="E58" i="7"/>
  <c r="AJ39" i="7"/>
  <c r="D142" i="7"/>
  <c r="D157" i="7"/>
  <c r="E49" i="7"/>
  <c r="E30" i="7"/>
  <c r="AL149" i="7"/>
  <c r="AM146" i="7" s="1"/>
  <c r="E50" i="7" l="1"/>
  <c r="E31" i="7"/>
  <c r="AL152" i="7"/>
  <c r="E51" i="7"/>
  <c r="F26" i="7"/>
  <c r="E32" i="7"/>
  <c r="F53" i="7"/>
  <c r="E59" i="7"/>
  <c r="E164" i="7"/>
  <c r="E165" i="7" s="1"/>
  <c r="E137" i="7"/>
  <c r="E138" i="7" s="1"/>
  <c r="D89" i="4"/>
  <c r="AM147" i="7"/>
  <c r="AM150" i="7" s="1"/>
  <c r="E79" i="7"/>
  <c r="F27" i="7"/>
  <c r="F28" i="7" s="1"/>
  <c r="E47" i="7"/>
  <c r="D183" i="7"/>
  <c r="D184" i="7" s="1"/>
  <c r="D86" i="4"/>
  <c r="AK36" i="7"/>
  <c r="AJ42" i="7"/>
  <c r="AM148" i="7" l="1"/>
  <c r="AM151" i="7" s="1"/>
  <c r="E141" i="7"/>
  <c r="E160" i="7"/>
  <c r="E159" i="7"/>
  <c r="E140" i="7"/>
  <c r="E139" i="7"/>
  <c r="E142" i="7" s="1"/>
  <c r="F50" i="7"/>
  <c r="F31" i="7"/>
  <c r="E170" i="7"/>
  <c r="E168" i="7"/>
  <c r="F49" i="7"/>
  <c r="F30" i="7"/>
  <c r="AK37" i="7"/>
  <c r="AK40" i="7" s="1"/>
  <c r="E73" i="7"/>
  <c r="E56" i="7"/>
  <c r="F29" i="7"/>
  <c r="F32" i="7" s="1"/>
  <c r="AM149" i="7" l="1"/>
  <c r="AN146" i="7" s="1"/>
  <c r="AN147" i="7" s="1"/>
  <c r="AN150" i="7" s="1"/>
  <c r="F79" i="7"/>
  <c r="F163" i="7"/>
  <c r="E169" i="7"/>
  <c r="F47" i="7"/>
  <c r="E57" i="7"/>
  <c r="E61" i="7" s="1"/>
  <c r="E161" i="7"/>
  <c r="F136" i="7"/>
  <c r="E189" i="7"/>
  <c r="AK38" i="7"/>
  <c r="AK41" i="7" s="1"/>
  <c r="E157" i="7"/>
  <c r="F51" i="7"/>
  <c r="G26" i="7"/>
  <c r="E74" i="7"/>
  <c r="E75" i="7"/>
  <c r="AM152" i="7" l="1"/>
  <c r="AN148" i="7"/>
  <c r="AN151" i="7" s="1"/>
  <c r="F73" i="7"/>
  <c r="G27" i="7"/>
  <c r="G28" i="7" s="1"/>
  <c r="AK39" i="7"/>
  <c r="AL36" i="7" s="1"/>
  <c r="F137" i="7"/>
  <c r="AN149" i="7"/>
  <c r="AO146" i="7" s="1"/>
  <c r="E166" i="7"/>
  <c r="E183" i="7"/>
  <c r="F52" i="7"/>
  <c r="AK42" i="7"/>
  <c r="AN152" i="7" l="1"/>
  <c r="G29" i="7"/>
  <c r="G51" i="7" s="1"/>
  <c r="AL37" i="7"/>
  <c r="AL40" i="7" s="1"/>
  <c r="E184" i="7"/>
  <c r="E185" i="7"/>
  <c r="F138" i="7"/>
  <c r="F54" i="7"/>
  <c r="F55" i="7" s="1"/>
  <c r="G32" i="7"/>
  <c r="F159" i="7"/>
  <c r="F140" i="7"/>
  <c r="G50" i="7"/>
  <c r="G31" i="7"/>
  <c r="E167" i="7"/>
  <c r="E171" i="7" s="1"/>
  <c r="G49" i="7"/>
  <c r="G30" i="7"/>
  <c r="AO147" i="7"/>
  <c r="AO150" i="7" s="1"/>
  <c r="F74" i="7"/>
  <c r="F75" i="7"/>
  <c r="H26" i="7" l="1"/>
  <c r="H27" i="7" s="1"/>
  <c r="AO148" i="7"/>
  <c r="AO151" i="7" s="1"/>
  <c r="F60" i="7"/>
  <c r="F58" i="7"/>
  <c r="F141" i="7"/>
  <c r="F160" i="7"/>
  <c r="AL38" i="7"/>
  <c r="AL41" i="7" s="1"/>
  <c r="G79" i="7"/>
  <c r="F162" i="7"/>
  <c r="G47" i="7"/>
  <c r="F189" i="7"/>
  <c r="F139" i="7"/>
  <c r="AO149" i="7" l="1"/>
  <c r="AL39" i="7"/>
  <c r="AM36" i="7" s="1"/>
  <c r="AM37" i="7" s="1"/>
  <c r="AM40" i="7" s="1"/>
  <c r="F164" i="7"/>
  <c r="F165" i="7" s="1"/>
  <c r="H49" i="7"/>
  <c r="H30" i="7"/>
  <c r="AL42" i="7"/>
  <c r="F157" i="7"/>
  <c r="G73" i="7"/>
  <c r="G53" i="7"/>
  <c r="F59" i="7"/>
  <c r="F161" i="7"/>
  <c r="G136" i="7"/>
  <c r="F142" i="7"/>
  <c r="H28" i="7"/>
  <c r="H29" i="7" s="1"/>
  <c r="AP146" i="7" l="1"/>
  <c r="AO152" i="7"/>
  <c r="G137" i="7"/>
  <c r="G138" i="7" s="1"/>
  <c r="G74" i="7"/>
  <c r="G75" i="7"/>
  <c r="H51" i="7"/>
  <c r="E29" i="4" s="1"/>
  <c r="D82" i="1" s="1"/>
  <c r="I26" i="7"/>
  <c r="E27" i="4"/>
  <c r="F82" i="1" s="1"/>
  <c r="H79" i="7"/>
  <c r="AM38" i="7"/>
  <c r="AM41" i="7" s="1"/>
  <c r="F183" i="7"/>
  <c r="F56" i="7"/>
  <c r="H50" i="7"/>
  <c r="H31" i="7"/>
  <c r="H32" i="7"/>
  <c r="F170" i="7"/>
  <c r="F168" i="7"/>
  <c r="AP147" i="7" l="1"/>
  <c r="AP148" i="7" s="1"/>
  <c r="AP151" i="7" s="1"/>
  <c r="F57" i="7"/>
  <c r="I27" i="7"/>
  <c r="I28" i="7" s="1"/>
  <c r="I29" i="7" s="1"/>
  <c r="G163" i="7"/>
  <c r="F169" i="7"/>
  <c r="F184" i="7"/>
  <c r="F185" i="7"/>
  <c r="G160" i="7"/>
  <c r="G141" i="7"/>
  <c r="G159" i="7"/>
  <c r="G140" i="7"/>
  <c r="G139" i="7"/>
  <c r="H47" i="7"/>
  <c r="AM39" i="7"/>
  <c r="AP149" i="7" l="1"/>
  <c r="AQ146" i="7" s="1"/>
  <c r="AP150" i="7"/>
  <c r="F166" i="7"/>
  <c r="I51" i="7"/>
  <c r="J26" i="7"/>
  <c r="AN36" i="7"/>
  <c r="AM42" i="7"/>
  <c r="G189" i="7"/>
  <c r="I50" i="7"/>
  <c r="I31" i="7"/>
  <c r="I47" i="7" s="1"/>
  <c r="G157" i="7"/>
  <c r="I32" i="7"/>
  <c r="H73" i="7"/>
  <c r="E26" i="4"/>
  <c r="I49" i="7"/>
  <c r="I30" i="7"/>
  <c r="G52" i="7"/>
  <c r="G161" i="7"/>
  <c r="H136" i="7"/>
  <c r="G142" i="7"/>
  <c r="F61" i="7"/>
  <c r="AP152" i="7" l="1"/>
  <c r="AQ147" i="7"/>
  <c r="AQ148" i="7" s="1"/>
  <c r="I73" i="7"/>
  <c r="H137" i="7"/>
  <c r="H138" i="7" s="1"/>
  <c r="AN37" i="7"/>
  <c r="AN40" i="7" s="1"/>
  <c r="G54" i="7"/>
  <c r="G55" i="7" s="1"/>
  <c r="J27" i="7"/>
  <c r="G183" i="7"/>
  <c r="H74" i="7"/>
  <c r="H75" i="7"/>
  <c r="I79" i="7"/>
  <c r="F167" i="7"/>
  <c r="F171" i="7" s="1"/>
  <c r="AQ151" i="7" l="1"/>
  <c r="AQ150" i="7"/>
  <c r="AQ149" i="7"/>
  <c r="AR146" i="7" s="1"/>
  <c r="AR147" i="7" s="1"/>
  <c r="AR150" i="7" s="1"/>
  <c r="G60" i="7"/>
  <c r="G162" i="7"/>
  <c r="AN38" i="7"/>
  <c r="AN41" i="7" s="1"/>
  <c r="G58" i="7"/>
  <c r="J49" i="7"/>
  <c r="J30" i="7"/>
  <c r="H160" i="7"/>
  <c r="H141" i="7"/>
  <c r="H159" i="7"/>
  <c r="H140" i="7"/>
  <c r="G184" i="7"/>
  <c r="G185" i="7"/>
  <c r="H139" i="7"/>
  <c r="J28" i="7"/>
  <c r="J29" i="7" s="1"/>
  <c r="I74" i="7"/>
  <c r="I75" i="7"/>
  <c r="AQ152" i="7" l="1"/>
  <c r="J51" i="7"/>
  <c r="K26" i="7"/>
  <c r="J32" i="7"/>
  <c r="J79" i="7"/>
  <c r="H53" i="7"/>
  <c r="G59" i="7"/>
  <c r="G164" i="7"/>
  <c r="G165" i="7" s="1"/>
  <c r="G168" i="7" s="1"/>
  <c r="AR148" i="7"/>
  <c r="AR151" i="7" s="1"/>
  <c r="H161" i="7"/>
  <c r="E89" i="4" s="1"/>
  <c r="I136" i="7"/>
  <c r="H142" i="7"/>
  <c r="E87" i="4"/>
  <c r="H189" i="7"/>
  <c r="J50" i="7"/>
  <c r="J31" i="7"/>
  <c r="J47" i="7" s="1"/>
  <c r="H157" i="7"/>
  <c r="AN39" i="7"/>
  <c r="AO36" i="7" s="1"/>
  <c r="H163" i="7" l="1"/>
  <c r="G169" i="7"/>
  <c r="AR149" i="7"/>
  <c r="AS146" i="7" s="1"/>
  <c r="G56" i="7"/>
  <c r="G170" i="7"/>
  <c r="J73" i="7"/>
  <c r="I137" i="7"/>
  <c r="AO37" i="7"/>
  <c r="AO40" i="7" s="1"/>
  <c r="H183" i="7"/>
  <c r="E86" i="4"/>
  <c r="K27" i="7"/>
  <c r="AN42" i="7"/>
  <c r="AR152" i="7" l="1"/>
  <c r="J74" i="7"/>
  <c r="J75" i="7"/>
  <c r="K49" i="7"/>
  <c r="K30" i="7"/>
  <c r="K28" i="7"/>
  <c r="G57" i="7"/>
  <c r="G61" i="7" s="1"/>
  <c r="H185" i="7"/>
  <c r="H184" i="7"/>
  <c r="AS147" i="7"/>
  <c r="AS150" i="7" s="1"/>
  <c r="I159" i="7"/>
  <c r="I140" i="7"/>
  <c r="AO38" i="7"/>
  <c r="AO41" i="7" s="1"/>
  <c r="G166" i="7"/>
  <c r="I138" i="7"/>
  <c r="AS148" i="7" l="1"/>
  <c r="AS151" i="7" s="1"/>
  <c r="I160" i="7"/>
  <c r="I141" i="7"/>
  <c r="I157" i="7" s="1"/>
  <c r="I189" i="7"/>
  <c r="H52" i="7"/>
  <c r="K50" i="7"/>
  <c r="K31" i="7"/>
  <c r="K47" i="7" s="1"/>
  <c r="K29" i="7"/>
  <c r="K32" i="7" s="1"/>
  <c r="AO39" i="7"/>
  <c r="G167" i="7"/>
  <c r="G171" i="7" s="1"/>
  <c r="K79" i="7"/>
  <c r="AS149" i="7"/>
  <c r="AT146" i="7" s="1"/>
  <c r="I139" i="7"/>
  <c r="I142" i="7" s="1"/>
  <c r="AS152" i="7" l="1"/>
  <c r="H162" i="7"/>
  <c r="K51" i="7"/>
  <c r="L26" i="7"/>
  <c r="K73" i="7"/>
  <c r="H54" i="7"/>
  <c r="H55" i="7" s="1"/>
  <c r="H58" i="7" s="1"/>
  <c r="AT147" i="7"/>
  <c r="AT150" i="7" s="1"/>
  <c r="I183" i="7"/>
  <c r="AP36" i="7"/>
  <c r="AO42" i="7"/>
  <c r="I161" i="7"/>
  <c r="J136" i="7"/>
  <c r="I53" i="7" l="1"/>
  <c r="E30" i="4"/>
  <c r="E82" i="1" s="1"/>
  <c r="H59" i="7"/>
  <c r="I184" i="7"/>
  <c r="I185" i="7"/>
  <c r="H60" i="7"/>
  <c r="AT148" i="7"/>
  <c r="K74" i="7"/>
  <c r="K75" i="7"/>
  <c r="J137" i="7"/>
  <c r="L27" i="7"/>
  <c r="AP37" i="7"/>
  <c r="AP40" i="7" s="1"/>
  <c r="H164" i="7"/>
  <c r="H165" i="7" s="1"/>
  <c r="H168" i="7" l="1"/>
  <c r="J159" i="7"/>
  <c r="J140" i="7"/>
  <c r="AT151" i="7"/>
  <c r="AP38" i="7"/>
  <c r="AP41" i="7" s="1"/>
  <c r="H56" i="7"/>
  <c r="AT149" i="7"/>
  <c r="AU146" i="7" s="1"/>
  <c r="H170" i="7"/>
  <c r="L49" i="7"/>
  <c r="L30" i="7"/>
  <c r="L28" i="7"/>
  <c r="J138" i="7"/>
  <c r="H57" i="7" l="1"/>
  <c r="H61" i="7" s="1"/>
  <c r="AU147" i="7"/>
  <c r="AU150" i="7" s="1"/>
  <c r="AT152" i="7"/>
  <c r="L79" i="7"/>
  <c r="F27" i="4"/>
  <c r="F83" i="1" s="1"/>
  <c r="J160" i="7"/>
  <c r="J141" i="7"/>
  <c r="J157" i="7" s="1"/>
  <c r="J139" i="7"/>
  <c r="L50" i="7"/>
  <c r="L31" i="7"/>
  <c r="L47" i="7" s="1"/>
  <c r="L29" i="7"/>
  <c r="J189" i="7"/>
  <c r="I163" i="7"/>
  <c r="E90" i="4"/>
  <c r="H169" i="7"/>
  <c r="AP39" i="7"/>
  <c r="J161" i="7" l="1"/>
  <c r="K136" i="7"/>
  <c r="L51" i="7"/>
  <c r="F29" i="4" s="1"/>
  <c r="D83" i="1" s="1"/>
  <c r="M26" i="7"/>
  <c r="AQ36" i="7"/>
  <c r="AP42" i="7"/>
  <c r="J183" i="7"/>
  <c r="H166" i="7"/>
  <c r="I52" i="7"/>
  <c r="L73" i="7"/>
  <c r="F26" i="4"/>
  <c r="AU148" i="7"/>
  <c r="AU149" i="7" s="1"/>
  <c r="AV146" i="7" s="1"/>
  <c r="L32" i="7"/>
  <c r="J142" i="7"/>
  <c r="AV147" i="7" l="1"/>
  <c r="AV150" i="7" s="1"/>
  <c r="L74" i="7"/>
  <c r="L75" i="7"/>
  <c r="H167" i="7"/>
  <c r="J184" i="7"/>
  <c r="J185" i="7"/>
  <c r="AQ37" i="7"/>
  <c r="AQ40" i="7" s="1"/>
  <c r="M27" i="7"/>
  <c r="M28" i="7" s="1"/>
  <c r="K137" i="7"/>
  <c r="K138" i="7" s="1"/>
  <c r="I54" i="7"/>
  <c r="I55" i="7" s="1"/>
  <c r="I60" i="7" s="1"/>
  <c r="AU151" i="7"/>
  <c r="AU152" i="7"/>
  <c r="AQ38" i="7" l="1"/>
  <c r="AQ41" i="7" s="1"/>
  <c r="I162" i="7"/>
  <c r="H171" i="7"/>
  <c r="K160" i="7"/>
  <c r="K141" i="7"/>
  <c r="K157" i="7" s="1"/>
  <c r="K159" i="7"/>
  <c r="K140" i="7"/>
  <c r="M50" i="7"/>
  <c r="M31" i="7"/>
  <c r="M47" i="7" s="1"/>
  <c r="I58" i="7"/>
  <c r="K139" i="7"/>
  <c r="M49" i="7"/>
  <c r="M30" i="7"/>
  <c r="M29" i="7"/>
  <c r="AV148" i="7"/>
  <c r="AV151" i="7" s="1"/>
  <c r="AV149" i="7" l="1"/>
  <c r="AW146" i="7" s="1"/>
  <c r="AW147" i="7" s="1"/>
  <c r="AW150" i="7" s="1"/>
  <c r="AQ39" i="7"/>
  <c r="AR36" i="7" s="1"/>
  <c r="K189" i="7"/>
  <c r="K183" i="7"/>
  <c r="M73" i="7"/>
  <c r="J53" i="7"/>
  <c r="I59" i="7"/>
  <c r="M79" i="7"/>
  <c r="I164" i="7"/>
  <c r="I165" i="7" s="1"/>
  <c r="I170" i="7" s="1"/>
  <c r="AR37" i="7"/>
  <c r="AR40" i="7" s="1"/>
  <c r="M51" i="7"/>
  <c r="N26" i="7"/>
  <c r="K161" i="7"/>
  <c r="L136" i="7"/>
  <c r="K142" i="7"/>
  <c r="M32" i="7"/>
  <c r="AV152" i="7" l="1"/>
  <c r="AQ42" i="7"/>
  <c r="I168" i="7"/>
  <c r="J163" i="7" s="1"/>
  <c r="I56" i="7"/>
  <c r="L137" i="7"/>
  <c r="N27" i="7"/>
  <c r="AR38" i="7"/>
  <c r="AR41" i="7" s="1"/>
  <c r="AW148" i="7"/>
  <c r="AW149" i="7" s="1"/>
  <c r="AX146" i="7" s="1"/>
  <c r="M75" i="7"/>
  <c r="M74" i="7"/>
  <c r="K184" i="7"/>
  <c r="K185" i="7"/>
  <c r="I169" i="7" l="1"/>
  <c r="L159" i="7"/>
  <c r="L140" i="7"/>
  <c r="N28" i="7"/>
  <c r="N29" i="7" s="1"/>
  <c r="AR39" i="7"/>
  <c r="AS36" i="7" s="1"/>
  <c r="N49" i="7"/>
  <c r="N30" i="7"/>
  <c r="L138" i="7"/>
  <c r="I166" i="7"/>
  <c r="AX147" i="7"/>
  <c r="AX150" i="7" s="1"/>
  <c r="AW151" i="7"/>
  <c r="AW152" i="7"/>
  <c r="I57" i="7"/>
  <c r="J52" i="7" s="1"/>
  <c r="AR42" i="7" l="1"/>
  <c r="N51" i="7"/>
  <c r="O26" i="7"/>
  <c r="AX148" i="7"/>
  <c r="AX151" i="7" s="1"/>
  <c r="L160" i="7"/>
  <c r="L141" i="7"/>
  <c r="L157" i="7" s="1"/>
  <c r="L139" i="7"/>
  <c r="L142" i="7" s="1"/>
  <c r="AS37" i="7"/>
  <c r="AS40" i="7" s="1"/>
  <c r="I167" i="7"/>
  <c r="J162" i="7" s="1"/>
  <c r="N79" i="7"/>
  <c r="J54" i="7"/>
  <c r="J55" i="7" s="1"/>
  <c r="J60" i="7" s="1"/>
  <c r="N50" i="7"/>
  <c r="N31" i="7"/>
  <c r="N47" i="7" s="1"/>
  <c r="I61" i="7"/>
  <c r="L189" i="7"/>
  <c r="F87" i="4"/>
  <c r="N32" i="7"/>
  <c r="J164" i="7" l="1"/>
  <c r="J165" i="7" s="1"/>
  <c r="J170" i="7" s="1"/>
  <c r="L183" i="7"/>
  <c r="F86" i="4"/>
  <c r="AS38" i="7"/>
  <c r="AS41" i="7" s="1"/>
  <c r="I171" i="7"/>
  <c r="L161" i="7"/>
  <c r="F89" i="4" s="1"/>
  <c r="M136" i="7"/>
  <c r="AX149" i="7"/>
  <c r="AY146" i="7" s="1"/>
  <c r="O27" i="7"/>
  <c r="N73" i="7"/>
  <c r="J58" i="7"/>
  <c r="AX152" i="7" l="1"/>
  <c r="J168" i="7"/>
  <c r="K163" i="7" s="1"/>
  <c r="N75" i="7"/>
  <c r="N74" i="7"/>
  <c r="K53" i="7"/>
  <c r="J59" i="7"/>
  <c r="AY147" i="7"/>
  <c r="AY150" i="7" s="1"/>
  <c r="M137" i="7"/>
  <c r="AS39" i="7"/>
  <c r="AT36" i="7" s="1"/>
  <c r="O49" i="7"/>
  <c r="O30" i="7"/>
  <c r="L184" i="7"/>
  <c r="L185" i="7"/>
  <c r="O28" i="7"/>
  <c r="J169" i="7" l="1"/>
  <c r="AS42" i="7"/>
  <c r="AY148" i="7"/>
  <c r="AY151" i="7" s="1"/>
  <c r="M159" i="7"/>
  <c r="M140" i="7"/>
  <c r="O50" i="7"/>
  <c r="O31" i="7"/>
  <c r="O47" i="7" s="1"/>
  <c r="O29" i="7"/>
  <c r="O79" i="7"/>
  <c r="J56" i="7"/>
  <c r="AT37" i="7"/>
  <c r="AT40" i="7" s="1"/>
  <c r="M138" i="7"/>
  <c r="M139" i="7" s="1"/>
  <c r="J166" i="7"/>
  <c r="AY149" i="7" l="1"/>
  <c r="AZ146" i="7" s="1"/>
  <c r="AZ147" i="7" s="1"/>
  <c r="AZ150" i="7" s="1"/>
  <c r="AT38" i="7"/>
  <c r="AT41" i="7" s="1"/>
  <c r="M161" i="7"/>
  <c r="N136" i="7"/>
  <c r="J167" i="7"/>
  <c r="K162" i="7" s="1"/>
  <c r="M142" i="7"/>
  <c r="O51" i="7"/>
  <c r="P26" i="7"/>
  <c r="O32" i="7"/>
  <c r="J57" i="7"/>
  <c r="K52" i="7" s="1"/>
  <c r="O73" i="7"/>
  <c r="M160" i="7"/>
  <c r="M141" i="7"/>
  <c r="M157" i="7" s="1"/>
  <c r="M189" i="7"/>
  <c r="AY152" i="7" l="1"/>
  <c r="AT39" i="7"/>
  <c r="AU36" i="7" s="1"/>
  <c r="AU37" i="7" s="1"/>
  <c r="AU40" i="7" s="1"/>
  <c r="J61" i="7"/>
  <c r="J171" i="7"/>
  <c r="AZ148" i="7"/>
  <c r="AZ151" i="7" s="1"/>
  <c r="K54" i="7"/>
  <c r="K55" i="7" s="1"/>
  <c r="K60" i="7" s="1"/>
  <c r="O75" i="7"/>
  <c r="O74" i="7"/>
  <c r="K164" i="7"/>
  <c r="K165" i="7" s="1"/>
  <c r="K170" i="7" s="1"/>
  <c r="M183" i="7"/>
  <c r="N137" i="7"/>
  <c r="P27" i="7"/>
  <c r="AT42" i="7" l="1"/>
  <c r="AZ149" i="7"/>
  <c r="P49" i="7"/>
  <c r="P30" i="7"/>
  <c r="N159" i="7"/>
  <c r="N140" i="7"/>
  <c r="K58" i="7"/>
  <c r="N138" i="7"/>
  <c r="N139" i="7" s="1"/>
  <c r="AU38" i="7"/>
  <c r="AU41" i="7" s="1"/>
  <c r="K168" i="7"/>
  <c r="P28" i="7"/>
  <c r="M185" i="7"/>
  <c r="M184" i="7"/>
  <c r="BA146" i="7" l="1"/>
  <c r="BA147" i="7" s="1"/>
  <c r="BA150" i="7" s="1"/>
  <c r="AZ152" i="7"/>
  <c r="AU39" i="7"/>
  <c r="AV36" i="7" s="1"/>
  <c r="AV37" i="7" s="1"/>
  <c r="AV40" i="7" s="1"/>
  <c r="P79" i="7"/>
  <c r="G27" i="4"/>
  <c r="F84" i="1" s="1"/>
  <c r="N189" i="7"/>
  <c r="P50" i="7"/>
  <c r="P31" i="7"/>
  <c r="P47" i="7" s="1"/>
  <c r="L163" i="7"/>
  <c r="K169" i="7"/>
  <c r="N161" i="7"/>
  <c r="O136" i="7"/>
  <c r="N160" i="7"/>
  <c r="N141" i="7"/>
  <c r="N157" i="7" s="1"/>
  <c r="N142" i="7"/>
  <c r="L53" i="7"/>
  <c r="K59" i="7"/>
  <c r="P29" i="7"/>
  <c r="BA148" i="7" l="1"/>
  <c r="AU42" i="7"/>
  <c r="K56" i="7"/>
  <c r="N183" i="7"/>
  <c r="P51" i="7"/>
  <c r="Q26" i="7"/>
  <c r="P32" i="7"/>
  <c r="P73" i="7"/>
  <c r="G26" i="4"/>
  <c r="AV38" i="7"/>
  <c r="AV41" i="7" s="1"/>
  <c r="O137" i="7"/>
  <c r="K166" i="7"/>
  <c r="BA151" i="7" l="1"/>
  <c r="BA149" i="7"/>
  <c r="AV39" i="7"/>
  <c r="AW36" i="7" s="1"/>
  <c r="AW37" i="7" s="1"/>
  <c r="AW40" i="7" s="1"/>
  <c r="K167" i="7"/>
  <c r="L162" i="7" s="1"/>
  <c r="Q27" i="7"/>
  <c r="Q28" i="7" s="1"/>
  <c r="N185" i="7"/>
  <c r="N184" i="7"/>
  <c r="O159" i="7"/>
  <c r="O140" i="7"/>
  <c r="P75" i="7"/>
  <c r="P74" i="7"/>
  <c r="O138" i="7"/>
  <c r="G29" i="4"/>
  <c r="D84" i="1" s="1"/>
  <c r="K57" i="7"/>
  <c r="L52" i="7" s="1"/>
  <c r="BB146" i="7" l="1"/>
  <c r="BA152" i="7"/>
  <c r="AV42" i="7"/>
  <c r="K61" i="7"/>
  <c r="Q50" i="7"/>
  <c r="Q31" i="7"/>
  <c r="Q47" i="7" s="1"/>
  <c r="L54" i="7"/>
  <c r="L55" i="7" s="1"/>
  <c r="L60" i="7" s="1"/>
  <c r="L164" i="7"/>
  <c r="L165" i="7" s="1"/>
  <c r="L170" i="7" s="1"/>
  <c r="Q49" i="7"/>
  <c r="Q30" i="7"/>
  <c r="Q29" i="7"/>
  <c r="O160" i="7"/>
  <c r="O141" i="7"/>
  <c r="O157" i="7" s="1"/>
  <c r="AW38" i="7"/>
  <c r="AW41" i="7" s="1"/>
  <c r="K171" i="7"/>
  <c r="O189" i="7"/>
  <c r="O139" i="7"/>
  <c r="BB147" i="7" l="1"/>
  <c r="BB148" i="7" s="1"/>
  <c r="BB151" i="7" s="1"/>
  <c r="L168" i="7"/>
  <c r="O161" i="7"/>
  <c r="P136" i="7"/>
  <c r="AW39" i="7"/>
  <c r="AX36" i="7" s="1"/>
  <c r="L58" i="7"/>
  <c r="Q51" i="7"/>
  <c r="R26" i="7"/>
  <c r="Q32" i="7"/>
  <c r="M163" i="7"/>
  <c r="F90" i="4"/>
  <c r="L169" i="7"/>
  <c r="O142" i="7"/>
  <c r="O183" i="7"/>
  <c r="Q73" i="7"/>
  <c r="Q79" i="7"/>
  <c r="BB149" i="7" l="1"/>
  <c r="BC146" i="7" s="1"/>
  <c r="BB150" i="7"/>
  <c r="R27" i="7"/>
  <c r="R28" i="7" s="1"/>
  <c r="Q75" i="7"/>
  <c r="Q74" i="7"/>
  <c r="AW42" i="7"/>
  <c r="M53" i="7"/>
  <c r="F30" i="4"/>
  <c r="E83" i="1" s="1"/>
  <c r="L59" i="7"/>
  <c r="AX37" i="7"/>
  <c r="AX40" i="7" s="1"/>
  <c r="O184" i="7"/>
  <c r="O185" i="7"/>
  <c r="P137" i="7"/>
  <c r="L166" i="7"/>
  <c r="BB152" i="7" l="1"/>
  <c r="BC147" i="7"/>
  <c r="BC148" i="7" s="1"/>
  <c r="BC151" i="7" s="1"/>
  <c r="AX38" i="7"/>
  <c r="AX41" i="7" s="1"/>
  <c r="L56" i="7"/>
  <c r="L167" i="7"/>
  <c r="M162" i="7" s="1"/>
  <c r="P159" i="7"/>
  <c r="P140" i="7"/>
  <c r="P138" i="7"/>
  <c r="P139" i="7" s="1"/>
  <c r="P142" i="7" s="1"/>
  <c r="R49" i="7"/>
  <c r="R30" i="7"/>
  <c r="R50" i="7"/>
  <c r="R31" i="7"/>
  <c r="R47" i="7" s="1"/>
  <c r="R29" i="7"/>
  <c r="R32" i="7" s="1"/>
  <c r="BC150" i="7" l="1"/>
  <c r="BC149" i="7"/>
  <c r="L171" i="7"/>
  <c r="AX39" i="7"/>
  <c r="AY36" i="7" s="1"/>
  <c r="AY37" i="7" s="1"/>
  <c r="AY40" i="7" s="1"/>
  <c r="R51" i="7"/>
  <c r="S26" i="7"/>
  <c r="P161" i="7"/>
  <c r="G89" i="4" s="1"/>
  <c r="Q136" i="7"/>
  <c r="M164" i="7"/>
  <c r="M165" i="7" s="1"/>
  <c r="M170" i="7" s="1"/>
  <c r="R73" i="7"/>
  <c r="R79" i="7"/>
  <c r="P189" i="7"/>
  <c r="G87" i="4"/>
  <c r="L57" i="7"/>
  <c r="M52" i="7" s="1"/>
  <c r="P160" i="7"/>
  <c r="P141" i="7"/>
  <c r="P157" i="7" s="1"/>
  <c r="BD146" i="7" l="1"/>
  <c r="BC152" i="7"/>
  <c r="AX42" i="7"/>
  <c r="M168" i="7"/>
  <c r="N163" i="7" s="1"/>
  <c r="P183" i="7"/>
  <c r="G86" i="4"/>
  <c r="R75" i="7"/>
  <c r="R74" i="7"/>
  <c r="Q137" i="7"/>
  <c r="M54" i="7"/>
  <c r="M55" i="7" s="1"/>
  <c r="M60" i="7" s="1"/>
  <c r="L61" i="7"/>
  <c r="AY38" i="7"/>
  <c r="AY41" i="7" s="1"/>
  <c r="S27" i="7"/>
  <c r="S28" i="7" s="1"/>
  <c r="M169" i="7" l="1"/>
  <c r="BD147" i="7"/>
  <c r="BD150" i="7" s="1"/>
  <c r="M58" i="7"/>
  <c r="M59" i="7" s="1"/>
  <c r="Q159" i="7"/>
  <c r="Q140" i="7"/>
  <c r="S49" i="7"/>
  <c r="S30" i="7"/>
  <c r="S50" i="7"/>
  <c r="S31" i="7"/>
  <c r="S47" i="7" s="1"/>
  <c r="M166" i="7"/>
  <c r="S29" i="7"/>
  <c r="AY39" i="7"/>
  <c r="Q138" i="7"/>
  <c r="Q139" i="7" s="1"/>
  <c r="P185" i="7"/>
  <c r="P184" i="7"/>
  <c r="BD148" i="7" l="1"/>
  <c r="BD151" i="7" s="1"/>
  <c r="N53" i="7"/>
  <c r="S73" i="7"/>
  <c r="M167" i="7"/>
  <c r="N162" i="7" s="1"/>
  <c r="Q161" i="7"/>
  <c r="R136" i="7"/>
  <c r="M56" i="7"/>
  <c r="Q160" i="7"/>
  <c r="Q141" i="7"/>
  <c r="Q157" i="7" s="1"/>
  <c r="Q142" i="7"/>
  <c r="S51" i="7"/>
  <c r="T26" i="7"/>
  <c r="S79" i="7"/>
  <c r="Q189" i="7"/>
  <c r="AZ36" i="7"/>
  <c r="AY42" i="7"/>
  <c r="S32" i="7"/>
  <c r="BD149" i="7" l="1"/>
  <c r="BE146" i="7" s="1"/>
  <c r="M171" i="7"/>
  <c r="T27" i="7"/>
  <c r="T28" i="7" s="1"/>
  <c r="Q183" i="7"/>
  <c r="M57" i="7"/>
  <c r="N52" i="7" s="1"/>
  <c r="AZ37" i="7"/>
  <c r="AZ40" i="7" s="1"/>
  <c r="R137" i="7"/>
  <c r="N164" i="7"/>
  <c r="N165" i="7" s="1"/>
  <c r="N170" i="7" s="1"/>
  <c r="S75" i="7"/>
  <c r="S74" i="7"/>
  <c r="BD152" i="7" l="1"/>
  <c r="BE147" i="7"/>
  <c r="BE148" i="7" s="1"/>
  <c r="BE151" i="7" s="1"/>
  <c r="N54" i="7"/>
  <c r="N55" i="7" s="1"/>
  <c r="N60" i="7" s="1"/>
  <c r="N168" i="7"/>
  <c r="T50" i="7"/>
  <c r="T31" i="7"/>
  <c r="T47" i="7" s="1"/>
  <c r="R159" i="7"/>
  <c r="R140" i="7"/>
  <c r="AZ38" i="7"/>
  <c r="AZ41" i="7" s="1"/>
  <c r="M61" i="7"/>
  <c r="Q184" i="7"/>
  <c r="Q185" i="7"/>
  <c r="R138" i="7"/>
  <c r="R139" i="7" s="1"/>
  <c r="T49" i="7"/>
  <c r="T30" i="7"/>
  <c r="T29" i="7"/>
  <c r="BE149" i="7" l="1"/>
  <c r="BF146" i="7" s="1"/>
  <c r="BE150" i="7"/>
  <c r="AZ39" i="7"/>
  <c r="BA36" i="7" s="1"/>
  <c r="BA37" i="7" s="1"/>
  <c r="BA40" i="7" s="1"/>
  <c r="R161" i="7"/>
  <c r="S136" i="7"/>
  <c r="T51" i="7"/>
  <c r="H29" i="4" s="1"/>
  <c r="D85" i="1" s="1"/>
  <c r="U26" i="7"/>
  <c r="R160" i="7"/>
  <c r="R141" i="7"/>
  <c r="R157" i="7" s="1"/>
  <c r="O163" i="7"/>
  <c r="N169" i="7"/>
  <c r="T73" i="7"/>
  <c r="H26" i="4"/>
  <c r="N58" i="7"/>
  <c r="R189" i="7"/>
  <c r="T79" i="7"/>
  <c r="H27" i="4"/>
  <c r="F85" i="1" s="1"/>
  <c r="R142" i="7"/>
  <c r="T32" i="7"/>
  <c r="BE152" i="7" l="1"/>
  <c r="BF147" i="7"/>
  <c r="BF150" i="7" s="1"/>
  <c r="AZ42" i="7"/>
  <c r="T74" i="7"/>
  <c r="T75" i="7"/>
  <c r="N166" i="7"/>
  <c r="BA38" i="7"/>
  <c r="BA41" i="7" s="1"/>
  <c r="R183" i="7"/>
  <c r="U27" i="7"/>
  <c r="S137" i="7"/>
  <c r="O53" i="7"/>
  <c r="N59" i="7"/>
  <c r="BF148" i="7" l="1"/>
  <c r="BF151" i="7" s="1"/>
  <c r="S138" i="7"/>
  <c r="S139" i="7" s="1"/>
  <c r="U49" i="7"/>
  <c r="U30" i="7"/>
  <c r="N56" i="7"/>
  <c r="U28" i="7"/>
  <c r="BA39" i="7"/>
  <c r="BB36" i="7" s="1"/>
  <c r="R184" i="7"/>
  <c r="R185" i="7"/>
  <c r="BA42" i="7"/>
  <c r="N167" i="7"/>
  <c r="O162" i="7" s="1"/>
  <c r="S159" i="7"/>
  <c r="S140" i="7"/>
  <c r="S141" i="7" l="1"/>
  <c r="S157" i="7" s="1"/>
  <c r="S183" i="7" s="1"/>
  <c r="S160" i="7"/>
  <c r="BF149" i="7"/>
  <c r="BG146" i="7" s="1"/>
  <c r="BG147" i="7" s="1"/>
  <c r="BG150" i="7" s="1"/>
  <c r="S161" i="7"/>
  <c r="T136" i="7"/>
  <c r="T137" i="7" s="1"/>
  <c r="T138" i="7" s="1"/>
  <c r="S142" i="7"/>
  <c r="N171" i="7"/>
  <c r="BB37" i="7"/>
  <c r="BB40" i="7" s="1"/>
  <c r="U50" i="7"/>
  <c r="U31" i="7"/>
  <c r="U47" i="7" s="1"/>
  <c r="U29" i="7"/>
  <c r="U32" i="7" s="1"/>
  <c r="S189" i="7"/>
  <c r="N57" i="7"/>
  <c r="O52" i="7" s="1"/>
  <c r="U79" i="7"/>
  <c r="O164" i="7"/>
  <c r="O165" i="7" s="1"/>
  <c r="O170" i="7" s="1"/>
  <c r="BF152" i="7" l="1"/>
  <c r="BG148" i="7"/>
  <c r="BG151" i="7" s="1"/>
  <c r="N61" i="7"/>
  <c r="T139" i="7"/>
  <c r="O168" i="7"/>
  <c r="U51" i="7"/>
  <c r="V26" i="7"/>
  <c r="BB38" i="7"/>
  <c r="BB41" i="7" s="1"/>
  <c r="T160" i="7"/>
  <c r="T141" i="7"/>
  <c r="T157" i="7" s="1"/>
  <c r="U73" i="7"/>
  <c r="O54" i="7"/>
  <c r="O55" i="7" s="1"/>
  <c r="O60" i="7" s="1"/>
  <c r="S185" i="7"/>
  <c r="S184" i="7"/>
  <c r="T159" i="7"/>
  <c r="T140" i="7"/>
  <c r="BG149" i="7" l="1"/>
  <c r="BH146" i="7" s="1"/>
  <c r="U74" i="7"/>
  <c r="U75" i="7"/>
  <c r="T189" i="7"/>
  <c r="H87" i="4"/>
  <c r="P163" i="7"/>
  <c r="O169" i="7"/>
  <c r="T161" i="7"/>
  <c r="H89" i="4" s="1"/>
  <c r="U136" i="7"/>
  <c r="T183" i="7"/>
  <c r="H86" i="4"/>
  <c r="BB39" i="7"/>
  <c r="BC36" i="7" s="1"/>
  <c r="V27" i="7"/>
  <c r="O58" i="7"/>
  <c r="T142" i="7"/>
  <c r="BG152" i="7" l="1"/>
  <c r="BH147" i="7"/>
  <c r="BH150" i="7" s="1"/>
  <c r="T184" i="7"/>
  <c r="T185" i="7"/>
  <c r="BB42" i="7"/>
  <c r="BC37" i="7"/>
  <c r="BC40" i="7" s="1"/>
  <c r="U137" i="7"/>
  <c r="O166" i="7"/>
  <c r="V49" i="7"/>
  <c r="V30" i="7"/>
  <c r="P53" i="7"/>
  <c r="O59" i="7"/>
  <c r="V28" i="7"/>
  <c r="V29" i="7" s="1"/>
  <c r="BH148" i="7" l="1"/>
  <c r="BH151" i="7" s="1"/>
  <c r="U138" i="7"/>
  <c r="U139" i="7" s="1"/>
  <c r="V51" i="7"/>
  <c r="W26" i="7"/>
  <c r="V50" i="7"/>
  <c r="V31" i="7"/>
  <c r="V47" i="7" s="1"/>
  <c r="U159" i="7"/>
  <c r="U140" i="7"/>
  <c r="BC38" i="7"/>
  <c r="BC41" i="7" s="1"/>
  <c r="O56" i="7"/>
  <c r="O167" i="7"/>
  <c r="P162" i="7" s="1"/>
  <c r="V32" i="7"/>
  <c r="V79" i="7"/>
  <c r="BH149" i="7" l="1"/>
  <c r="BI146" i="7" s="1"/>
  <c r="BI147" i="7" s="1"/>
  <c r="BI150" i="7" s="1"/>
  <c r="O171" i="7"/>
  <c r="U161" i="7"/>
  <c r="V136" i="7"/>
  <c r="BC39" i="7"/>
  <c r="BD36" i="7" s="1"/>
  <c r="V73" i="7"/>
  <c r="W27" i="7"/>
  <c r="W28" i="7" s="1"/>
  <c r="U189" i="7"/>
  <c r="U160" i="7"/>
  <c r="U141" i="7"/>
  <c r="U157" i="7" s="1"/>
  <c r="P164" i="7"/>
  <c r="P165" i="7" s="1"/>
  <c r="P170" i="7" s="1"/>
  <c r="O57" i="7"/>
  <c r="P52" i="7" s="1"/>
  <c r="U142" i="7"/>
  <c r="BH152" i="7" l="1"/>
  <c r="BC42" i="7"/>
  <c r="BI148" i="7"/>
  <c r="BI151" i="7" s="1"/>
  <c r="O61" i="7"/>
  <c r="W50" i="7"/>
  <c r="W31" i="7"/>
  <c r="W47" i="7" s="1"/>
  <c r="W49" i="7"/>
  <c r="W30" i="7"/>
  <c r="W29" i="7"/>
  <c r="P54" i="7"/>
  <c r="P55" i="7" s="1"/>
  <c r="P60" i="7" s="1"/>
  <c r="P168" i="7"/>
  <c r="V137" i="7"/>
  <c r="V138" i="7" s="1"/>
  <c r="V139" i="7" s="1"/>
  <c r="V74" i="7"/>
  <c r="V75" i="7"/>
  <c r="BD37" i="7"/>
  <c r="BD40" i="7" s="1"/>
  <c r="U183" i="7"/>
  <c r="BI149" i="7" l="1"/>
  <c r="BJ146" i="7" s="1"/>
  <c r="BJ147" i="7" s="1"/>
  <c r="BJ148" i="7" s="1"/>
  <c r="BJ151" i="7" s="1"/>
  <c r="V161" i="7"/>
  <c r="W136" i="7"/>
  <c r="W51" i="7"/>
  <c r="X26" i="7"/>
  <c r="U184" i="7"/>
  <c r="U185" i="7"/>
  <c r="P58" i="7"/>
  <c r="W79" i="7"/>
  <c r="W73" i="7"/>
  <c r="BD38" i="7"/>
  <c r="BD41" i="7" s="1"/>
  <c r="V160" i="7"/>
  <c r="V141" i="7"/>
  <c r="V157" i="7" s="1"/>
  <c r="V159" i="7"/>
  <c r="V140" i="7"/>
  <c r="W32" i="7"/>
  <c r="V142" i="7"/>
  <c r="Q163" i="7"/>
  <c r="G90" i="4"/>
  <c r="P169" i="7"/>
  <c r="BJ150" i="7" l="1"/>
  <c r="BJ149" i="7"/>
  <c r="BI152" i="7"/>
  <c r="BD39" i="7"/>
  <c r="BE36" i="7" s="1"/>
  <c r="BE37" i="7" s="1"/>
  <c r="BE40" i="7" s="1"/>
  <c r="P166" i="7"/>
  <c r="Q53" i="7"/>
  <c r="G30" i="4"/>
  <c r="E84" i="1" s="1"/>
  <c r="P59" i="7"/>
  <c r="V189" i="7"/>
  <c r="W74" i="7"/>
  <c r="W75" i="7"/>
  <c r="V183" i="7"/>
  <c r="W137" i="7"/>
  <c r="W138" i="7" s="1"/>
  <c r="X27" i="7"/>
  <c r="X28" i="7" s="1"/>
  <c r="BK146" i="7" l="1"/>
  <c r="BJ152" i="7"/>
  <c r="BD42" i="7"/>
  <c r="W160" i="7"/>
  <c r="W141" i="7"/>
  <c r="W157" i="7" s="1"/>
  <c r="X50" i="7"/>
  <c r="X31" i="7"/>
  <c r="X47" i="7" s="1"/>
  <c r="X29" i="7"/>
  <c r="P167" i="7"/>
  <c r="Q162" i="7" s="1"/>
  <c r="BE38" i="7"/>
  <c r="BE41" i="7" s="1"/>
  <c r="X49" i="7"/>
  <c r="X30" i="7"/>
  <c r="W159" i="7"/>
  <c r="W140" i="7"/>
  <c r="P56" i="7"/>
  <c r="W139" i="7"/>
  <c r="W142" i="7" s="1"/>
  <c r="V184" i="7"/>
  <c r="V185" i="7"/>
  <c r="BK147" i="7" l="1"/>
  <c r="Q164" i="7"/>
  <c r="Q165" i="7" s="1"/>
  <c r="Q170" i="7" s="1"/>
  <c r="W189" i="7"/>
  <c r="X79" i="7"/>
  <c r="I27" i="4"/>
  <c r="F86" i="1" s="1"/>
  <c r="P171" i="7"/>
  <c r="W183" i="7"/>
  <c r="BE39" i="7"/>
  <c r="BF36" i="7" s="1"/>
  <c r="X73" i="7"/>
  <c r="I26" i="4"/>
  <c r="X51" i="7"/>
  <c r="I29" i="4" s="1"/>
  <c r="D86" i="1" s="1"/>
  <c r="Y26" i="7"/>
  <c r="W161" i="7"/>
  <c r="X136" i="7"/>
  <c r="P57" i="7"/>
  <c r="Q52" i="7" s="1"/>
  <c r="X32" i="7"/>
  <c r="BK148" i="7" l="1"/>
  <c r="BK150" i="7"/>
  <c r="BE42" i="7"/>
  <c r="W184" i="7"/>
  <c r="W185" i="7"/>
  <c r="Q54" i="7"/>
  <c r="Q55" i="7" s="1"/>
  <c r="Q60" i="7" s="1"/>
  <c r="P61" i="7"/>
  <c r="Y27" i="7"/>
  <c r="Y28" i="7" s="1"/>
  <c r="Y29" i="7" s="1"/>
  <c r="X74" i="7"/>
  <c r="X75" i="7"/>
  <c r="Q168" i="7"/>
  <c r="X137" i="7"/>
  <c r="BF37" i="7"/>
  <c r="BF40" i="7" s="1"/>
  <c r="BK151" i="7" l="1"/>
  <c r="BK149" i="7"/>
  <c r="Y51" i="7"/>
  <c r="Z26" i="7"/>
  <c r="Y49" i="7"/>
  <c r="Y30" i="7"/>
  <c r="X138" i="7"/>
  <c r="BF38" i="7"/>
  <c r="BF41" i="7" s="1"/>
  <c r="Y32" i="7"/>
  <c r="Q58" i="7"/>
  <c r="Y50" i="7"/>
  <c r="Y31" i="7"/>
  <c r="Y47" i="7" s="1"/>
  <c r="X159" i="7"/>
  <c r="X140" i="7"/>
  <c r="R163" i="7"/>
  <c r="Q169" i="7"/>
  <c r="BL146" i="7" l="1"/>
  <c r="BK152" i="7"/>
  <c r="R53" i="7"/>
  <c r="Q59" i="7"/>
  <c r="Q166" i="7"/>
  <c r="X189" i="7"/>
  <c r="I87" i="4"/>
  <c r="X160" i="7"/>
  <c r="X141" i="7"/>
  <c r="X157" i="7" s="1"/>
  <c r="Y79" i="7"/>
  <c r="Z27" i="7"/>
  <c r="Z28" i="7" s="1"/>
  <c r="Z29" i="7" s="1"/>
  <c r="BF39" i="7"/>
  <c r="BG36" i="7" s="1"/>
  <c r="Y73" i="7"/>
  <c r="X139" i="7"/>
  <c r="BL147" i="7" l="1"/>
  <c r="BL150" i="7" s="1"/>
  <c r="BF42" i="7"/>
  <c r="Z51" i="7"/>
  <c r="B20" i="13" s="1"/>
  <c r="AA26" i="7"/>
  <c r="X183" i="7"/>
  <c r="I86" i="4"/>
  <c r="X161" i="7"/>
  <c r="I89" i="4" s="1"/>
  <c r="Y136" i="7"/>
  <c r="X142" i="7"/>
  <c r="BG37" i="7"/>
  <c r="BG40" i="7" s="1"/>
  <c r="Q167" i="7"/>
  <c r="R162" i="7" s="1"/>
  <c r="Y74" i="7"/>
  <c r="Y75" i="7"/>
  <c r="Q56" i="7"/>
  <c r="Z50" i="7"/>
  <c r="Z31" i="7"/>
  <c r="Z47" i="7" s="1"/>
  <c r="Z32" i="7"/>
  <c r="Z49" i="7"/>
  <c r="Z30" i="7"/>
  <c r="BL148" i="7" l="1"/>
  <c r="BL151" i="7" s="1"/>
  <c r="Q57" i="7"/>
  <c r="R52" i="7" s="1"/>
  <c r="Z79" i="7"/>
  <c r="R164" i="7"/>
  <c r="R165" i="7" s="1"/>
  <c r="R170" i="7" s="1"/>
  <c r="Y137" i="7"/>
  <c r="Q171" i="7"/>
  <c r="BG38" i="7"/>
  <c r="BG41" i="7" s="1"/>
  <c r="AA27" i="7"/>
  <c r="Z73" i="7"/>
  <c r="X185" i="7"/>
  <c r="X184" i="7"/>
  <c r="BL149" i="7" l="1"/>
  <c r="BM146" i="7" s="1"/>
  <c r="BM147" i="7" s="1"/>
  <c r="BM150" i="7" s="1"/>
  <c r="BG39" i="7"/>
  <c r="BH36" i="7" s="1"/>
  <c r="BH37" i="7" s="1"/>
  <c r="BH40" i="7" s="1"/>
  <c r="Y159" i="7"/>
  <c r="Y140" i="7"/>
  <c r="AA28" i="7"/>
  <c r="Z74" i="7"/>
  <c r="Z75" i="7"/>
  <c r="AA49" i="7"/>
  <c r="AA30" i="7"/>
  <c r="R54" i="7"/>
  <c r="R55" i="7" s="1"/>
  <c r="R60" i="7" s="1"/>
  <c r="R168" i="7"/>
  <c r="Y138" i="7"/>
  <c r="Q61" i="7"/>
  <c r="BL152" i="7" l="1"/>
  <c r="BM148" i="7"/>
  <c r="BM151" i="7" s="1"/>
  <c r="F25" i="13"/>
  <c r="B25" i="13"/>
  <c r="C25" i="13"/>
  <c r="D25" i="13"/>
  <c r="BG42" i="7"/>
  <c r="Y160" i="7"/>
  <c r="Y141" i="7"/>
  <c r="Y157" i="7" s="1"/>
  <c r="Y139" i="7"/>
  <c r="Y142" i="7" s="1"/>
  <c r="AA79" i="7"/>
  <c r="BH38" i="7"/>
  <c r="BH41" i="7" s="1"/>
  <c r="S163" i="7"/>
  <c r="R169" i="7"/>
  <c r="Y189" i="7"/>
  <c r="AA50" i="7"/>
  <c r="AA31" i="7"/>
  <c r="AA47" i="7" s="1"/>
  <c r="AA29" i="7"/>
  <c r="AA32" i="7" s="1"/>
  <c r="R58" i="7"/>
  <c r="BM149" i="7" l="1"/>
  <c r="BN146" i="7" s="1"/>
  <c r="BN147" i="7" s="1"/>
  <c r="BN148" i="7" s="1"/>
  <c r="BN151" i="7" s="1"/>
  <c r="F27" i="13"/>
  <c r="C27" i="13"/>
  <c r="B27" i="13"/>
  <c r="B28" i="13" s="1"/>
  <c r="D27" i="13"/>
  <c r="E25" i="13"/>
  <c r="G25" i="13" s="1"/>
  <c r="AA51" i="7"/>
  <c r="F28" i="13" s="1"/>
  <c r="AB26" i="7"/>
  <c r="S53" i="7"/>
  <c r="R59" i="7"/>
  <c r="Y161" i="7"/>
  <c r="Z136" i="7"/>
  <c r="AA73" i="7"/>
  <c r="Y183" i="7"/>
  <c r="BH39" i="7"/>
  <c r="BI36" i="7" s="1"/>
  <c r="R166" i="7"/>
  <c r="BM152" i="7" l="1"/>
  <c r="BN150" i="7"/>
  <c r="BN149" i="7"/>
  <c r="E27" i="13"/>
  <c r="G27" i="13" s="1"/>
  <c r="C20" i="13"/>
  <c r="C28" i="13" s="1"/>
  <c r="B29" i="13"/>
  <c r="R167" i="7"/>
  <c r="S162" i="7" s="1"/>
  <c r="R56" i="7"/>
  <c r="BI37" i="7"/>
  <c r="BI40" i="7" s="1"/>
  <c r="AA74" i="7"/>
  <c r="AA75" i="7"/>
  <c r="AB27" i="7"/>
  <c r="AB28" i="7" s="1"/>
  <c r="Y184" i="7"/>
  <c r="Y185" i="7"/>
  <c r="Z137" i="7"/>
  <c r="Z138" i="7" s="1"/>
  <c r="BH42" i="7"/>
  <c r="BO146" i="7" l="1"/>
  <c r="BO147" i="7" s="1"/>
  <c r="BO150" i="7" s="1"/>
  <c r="BN152" i="7"/>
  <c r="D20" i="13"/>
  <c r="D28" i="13" s="1"/>
  <c r="C29" i="13"/>
  <c r="AB50" i="7"/>
  <c r="AB31" i="7"/>
  <c r="AB47" i="7" s="1"/>
  <c r="AB49" i="7"/>
  <c r="AB30" i="7"/>
  <c r="AB29" i="7"/>
  <c r="BI38" i="7"/>
  <c r="BI41" i="7" s="1"/>
  <c r="S164" i="7"/>
  <c r="S165" i="7" s="1"/>
  <c r="S170" i="7" s="1"/>
  <c r="R57" i="7"/>
  <c r="S52" i="7" s="1"/>
  <c r="Z160" i="7"/>
  <c r="Z141" i="7"/>
  <c r="Z157" i="7" s="1"/>
  <c r="Z159" i="7"/>
  <c r="Z140" i="7"/>
  <c r="Z139" i="7"/>
  <c r="R171" i="7"/>
  <c r="BO148" i="7" l="1"/>
  <c r="BO151" i="7" s="1"/>
  <c r="D29" i="13"/>
  <c r="B33" i="13" s="1"/>
  <c r="E28" i="13"/>
  <c r="G28" i="13" s="1"/>
  <c r="B34" i="13" s="1"/>
  <c r="B35" i="13" s="1"/>
  <c r="A41" i="1" s="1"/>
  <c r="R61" i="7"/>
  <c r="BI39" i="7"/>
  <c r="AB51" i="7"/>
  <c r="J29" i="4" s="1"/>
  <c r="D87" i="1" s="1"/>
  <c r="AC26" i="7"/>
  <c r="Z189" i="7"/>
  <c r="Z161" i="7"/>
  <c r="AA136" i="7"/>
  <c r="Z142" i="7"/>
  <c r="Z183" i="7"/>
  <c r="AB79" i="7"/>
  <c r="J27" i="4"/>
  <c r="F87" i="1" s="1"/>
  <c r="AB32" i="7"/>
  <c r="AB73" i="7"/>
  <c r="J26" i="4"/>
  <c r="S168" i="7"/>
  <c r="S54" i="7"/>
  <c r="S55" i="7" s="1"/>
  <c r="S60" i="7" s="1"/>
  <c r="BO149" i="7" l="1"/>
  <c r="S58" i="7"/>
  <c r="AA137" i="7"/>
  <c r="AA138" i="7" s="1"/>
  <c r="T163" i="7"/>
  <c r="S169" i="7"/>
  <c r="AC27" i="7"/>
  <c r="AB74" i="7"/>
  <c r="AB75" i="7"/>
  <c r="T53" i="7"/>
  <c r="S59" i="7"/>
  <c r="BJ36" i="7"/>
  <c r="BI42" i="7"/>
  <c r="Z184" i="7"/>
  <c r="Z185" i="7"/>
  <c r="BP146" i="7" l="1"/>
  <c r="BO152" i="7"/>
  <c r="AC28" i="7"/>
  <c r="BJ37" i="7"/>
  <c r="BJ40" i="7" s="1"/>
  <c r="S166" i="7"/>
  <c r="AA160" i="7"/>
  <c r="AA141" i="7"/>
  <c r="AA157" i="7" s="1"/>
  <c r="AA159" i="7"/>
  <c r="AA140" i="7"/>
  <c r="AC49" i="7"/>
  <c r="AC30" i="7"/>
  <c r="S56" i="7"/>
  <c r="AA139" i="7"/>
  <c r="AA142" i="7" s="1"/>
  <c r="BP147" i="7" l="1"/>
  <c r="AA189" i="7"/>
  <c r="AC50" i="7"/>
  <c r="AC31" i="7"/>
  <c r="AC47" i="7" s="1"/>
  <c r="AA183" i="7"/>
  <c r="AC79" i="7"/>
  <c r="S167" i="7"/>
  <c r="T162" i="7" s="1"/>
  <c r="AA161" i="7"/>
  <c r="AB136" i="7"/>
  <c r="BJ38" i="7"/>
  <c r="BJ41" i="7" s="1"/>
  <c r="S57" i="7"/>
  <c r="T52" i="7" s="1"/>
  <c r="AC29" i="7"/>
  <c r="BP148" i="7" l="1"/>
  <c r="BP150" i="7"/>
  <c r="S61" i="7"/>
  <c r="BJ39" i="7"/>
  <c r="BK36" i="7" s="1"/>
  <c r="BK37" i="7" s="1"/>
  <c r="BK40" i="7" s="1"/>
  <c r="AA185" i="7"/>
  <c r="AA184" i="7"/>
  <c r="AC73" i="7"/>
  <c r="AC51" i="7"/>
  <c r="AD26" i="7"/>
  <c r="AC32" i="7"/>
  <c r="T54" i="7"/>
  <c r="T55" i="7" s="1"/>
  <c r="T60" i="7" s="1"/>
  <c r="T164" i="7"/>
  <c r="T165" i="7" s="1"/>
  <c r="T170" i="7" s="1"/>
  <c r="S171" i="7"/>
  <c r="AB137" i="7"/>
  <c r="BJ42" i="7" l="1"/>
  <c r="BP151" i="7"/>
  <c r="BP149" i="7"/>
  <c r="T58" i="7"/>
  <c r="U53" i="7" s="1"/>
  <c r="AB159" i="7"/>
  <c r="AB140" i="7"/>
  <c r="AD27" i="7"/>
  <c r="AB138" i="7"/>
  <c r="AC75" i="7"/>
  <c r="AC74" i="7"/>
  <c r="T168" i="7"/>
  <c r="BK38" i="7"/>
  <c r="BK41" i="7" s="1"/>
  <c r="BQ146" i="7" l="1"/>
  <c r="BP152" i="7"/>
  <c r="H30" i="4"/>
  <c r="E85" i="1" s="1"/>
  <c r="T59" i="7"/>
  <c r="BK39" i="7"/>
  <c r="BL36" i="7" s="1"/>
  <c r="BL37" i="7" s="1"/>
  <c r="BL40" i="7" s="1"/>
  <c r="AD49" i="7"/>
  <c r="AD30" i="7"/>
  <c r="AD28" i="7"/>
  <c r="T56" i="7"/>
  <c r="AB160" i="7"/>
  <c r="AB141" i="7"/>
  <c r="AB157" i="7" s="1"/>
  <c r="AB139" i="7"/>
  <c r="AB142" i="7" s="1"/>
  <c r="U163" i="7"/>
  <c r="H90" i="4"/>
  <c r="T169" i="7"/>
  <c r="AB189" i="7"/>
  <c r="J87" i="4"/>
  <c r="BQ147" i="7" l="1"/>
  <c r="BK42" i="7"/>
  <c r="AD50" i="7"/>
  <c r="AD31" i="7"/>
  <c r="AD47" i="7" s="1"/>
  <c r="T166" i="7"/>
  <c r="BL38" i="7"/>
  <c r="BL41" i="7" s="1"/>
  <c r="T57" i="7"/>
  <c r="U52" i="7" s="1"/>
  <c r="AD29" i="7"/>
  <c r="AD32" i="7" s="1"/>
  <c r="AD79" i="7"/>
  <c r="AB161" i="7"/>
  <c r="J89" i="4" s="1"/>
  <c r="AC136" i="7"/>
  <c r="AB183" i="7"/>
  <c r="J86" i="4"/>
  <c r="BQ148" i="7" l="1"/>
  <c r="BQ150" i="7"/>
  <c r="BL39" i="7"/>
  <c r="BM36" i="7" s="1"/>
  <c r="BM37" i="7" s="1"/>
  <c r="BM40" i="7" s="1"/>
  <c r="T61" i="7"/>
  <c r="AD51" i="7"/>
  <c r="AE26" i="7"/>
  <c r="U54" i="7"/>
  <c r="U55" i="7" s="1"/>
  <c r="U60" i="7" s="1"/>
  <c r="AC137" i="7"/>
  <c r="AC138" i="7" s="1"/>
  <c r="AD73" i="7"/>
  <c r="T167" i="7"/>
  <c r="U162" i="7" s="1"/>
  <c r="AB184" i="7"/>
  <c r="AB185" i="7"/>
  <c r="BQ151" i="7" l="1"/>
  <c r="BQ149" i="7"/>
  <c r="BR146" i="7" s="1"/>
  <c r="BL42" i="7"/>
  <c r="BM38" i="7"/>
  <c r="BM41" i="7" s="1"/>
  <c r="AC160" i="7"/>
  <c r="AC141" i="7"/>
  <c r="AC157" i="7" s="1"/>
  <c r="T171" i="7"/>
  <c r="AC159" i="7"/>
  <c r="AC140" i="7"/>
  <c r="U164" i="7"/>
  <c r="U165" i="7" s="1"/>
  <c r="U170" i="7" s="1"/>
  <c r="U58" i="7"/>
  <c r="AE27" i="7"/>
  <c r="BM39" i="7"/>
  <c r="BN36" i="7" s="1"/>
  <c r="AD75" i="7"/>
  <c r="AD74" i="7"/>
  <c r="AC139" i="7"/>
  <c r="AC142" i="7" s="1"/>
  <c r="BQ152" i="7" l="1"/>
  <c r="BR147" i="7"/>
  <c r="BM42" i="7"/>
  <c r="AE49" i="7"/>
  <c r="AE30" i="7"/>
  <c r="U168" i="7"/>
  <c r="AC161" i="7"/>
  <c r="AD136" i="7"/>
  <c r="AE28" i="7"/>
  <c r="BN37" i="7"/>
  <c r="BN40" i="7" s="1"/>
  <c r="AC189" i="7"/>
  <c r="V53" i="7"/>
  <c r="U59" i="7"/>
  <c r="AC183" i="7"/>
  <c r="BR148" i="7" l="1"/>
  <c r="BR150" i="7"/>
  <c r="BN38" i="7"/>
  <c r="BN41" i="7" s="1"/>
  <c r="AE50" i="7"/>
  <c r="AE31" i="7"/>
  <c r="AE47" i="7" s="1"/>
  <c r="U56" i="7"/>
  <c r="AE29" i="7"/>
  <c r="AE32" i="7" s="1"/>
  <c r="AD137" i="7"/>
  <c r="AD138" i="7" s="1"/>
  <c r="AE79" i="7"/>
  <c r="AC185" i="7"/>
  <c r="AC184" i="7"/>
  <c r="V163" i="7"/>
  <c r="U169" i="7"/>
  <c r="BR151" i="7" l="1"/>
  <c r="BR149" i="7"/>
  <c r="BS146" i="7" s="1"/>
  <c r="AD160" i="7"/>
  <c r="AD141" i="7"/>
  <c r="AD157" i="7" s="1"/>
  <c r="U57" i="7"/>
  <c r="V52" i="7" s="1"/>
  <c r="AD159" i="7"/>
  <c r="AD140" i="7"/>
  <c r="U166" i="7"/>
  <c r="AD139" i="7"/>
  <c r="AD142" i="7" s="1"/>
  <c r="AE51" i="7"/>
  <c r="AF26" i="7"/>
  <c r="AE73" i="7"/>
  <c r="BN39" i="7"/>
  <c r="BO36" i="7" s="1"/>
  <c r="BS147" i="7" l="1"/>
  <c r="BR152" i="7"/>
  <c r="BN42" i="7"/>
  <c r="AF27" i="7"/>
  <c r="V54" i="7"/>
  <c r="V55" i="7" s="1"/>
  <c r="V60" i="7" s="1"/>
  <c r="BO37" i="7"/>
  <c r="BO40" i="7" s="1"/>
  <c r="AD161" i="7"/>
  <c r="AE136" i="7"/>
  <c r="AD189" i="7"/>
  <c r="AD183" i="7"/>
  <c r="U167" i="7"/>
  <c r="V162" i="7" s="1"/>
  <c r="U61" i="7"/>
  <c r="AE75" i="7"/>
  <c r="AE74" i="7"/>
  <c r="BS148" i="7" l="1"/>
  <c r="BS150" i="7"/>
  <c r="BO38" i="7"/>
  <c r="BO41" i="7" s="1"/>
  <c r="V58" i="7"/>
  <c r="AF49" i="7"/>
  <c r="AF30" i="7"/>
  <c r="AE137" i="7"/>
  <c r="U171" i="7"/>
  <c r="V164" i="7"/>
  <c r="V165" i="7" s="1"/>
  <c r="V170" i="7" s="1"/>
  <c r="AD185" i="7"/>
  <c r="AD184" i="7"/>
  <c r="AF28" i="7"/>
  <c r="BS151" i="7" l="1"/>
  <c r="BS149" i="7"/>
  <c r="BT146" i="7" s="1"/>
  <c r="BO39" i="7"/>
  <c r="BP36" i="7" s="1"/>
  <c r="AF50" i="7"/>
  <c r="AF31" i="7"/>
  <c r="AF47" i="7" s="1"/>
  <c r="V168" i="7"/>
  <c r="BP37" i="7"/>
  <c r="BP40" i="7" s="1"/>
  <c r="W53" i="7"/>
  <c r="V59" i="7"/>
  <c r="AE159" i="7"/>
  <c r="AE140" i="7"/>
  <c r="AE138" i="7"/>
  <c r="AF79" i="7"/>
  <c r="K27" i="4"/>
  <c r="F88" i="1" s="1"/>
  <c r="AF29" i="7"/>
  <c r="BT147" i="7" l="1"/>
  <c r="BO42" i="7"/>
  <c r="BS152" i="7"/>
  <c r="AE189" i="7"/>
  <c r="AE160" i="7"/>
  <c r="AE141" i="7"/>
  <c r="AE157" i="7" s="1"/>
  <c r="AF51" i="7"/>
  <c r="K29" i="4" s="1"/>
  <c r="D88" i="1" s="1"/>
  <c r="AG26" i="7"/>
  <c r="BP38" i="7"/>
  <c r="BP41" i="7" s="1"/>
  <c r="V56" i="7"/>
  <c r="AF73" i="7"/>
  <c r="K26" i="4"/>
  <c r="W163" i="7"/>
  <c r="V169" i="7"/>
  <c r="AE139" i="7"/>
  <c r="AE142" i="7" s="1"/>
  <c r="AF32" i="7"/>
  <c r="BT148" i="7" l="1"/>
  <c r="BT150" i="7"/>
  <c r="BP39" i="7"/>
  <c r="BQ36" i="7" s="1"/>
  <c r="BQ37" i="7" s="1"/>
  <c r="BQ40" i="7" s="1"/>
  <c r="AF75" i="7"/>
  <c r="AF74" i="7"/>
  <c r="V57" i="7"/>
  <c r="W52" i="7" s="1"/>
  <c r="AG27" i="7"/>
  <c r="AE183" i="7"/>
  <c r="AE161" i="7"/>
  <c r="AF136" i="7"/>
  <c r="V166" i="7"/>
  <c r="BP42" i="7" l="1"/>
  <c r="BT151" i="7"/>
  <c r="BT149" i="7"/>
  <c r="BU146" i="7" s="1"/>
  <c r="AE185" i="7"/>
  <c r="AE184" i="7"/>
  <c r="AG49" i="7"/>
  <c r="AG30" i="7"/>
  <c r="AG28" i="7"/>
  <c r="AG29" i="7" s="1"/>
  <c r="V61" i="7"/>
  <c r="V167" i="7"/>
  <c r="W162" i="7" s="1"/>
  <c r="BQ38" i="7"/>
  <c r="BQ41" i="7" s="1"/>
  <c r="W54" i="7"/>
  <c r="W55" i="7" s="1"/>
  <c r="W60" i="7" s="1"/>
  <c r="AF137" i="7"/>
  <c r="BT152" i="7" l="1"/>
  <c r="BU147" i="7"/>
  <c r="W58" i="7"/>
  <c r="X53" i="7" s="1"/>
  <c r="V171" i="7"/>
  <c r="AG50" i="7"/>
  <c r="AG31" i="7"/>
  <c r="AG47" i="7" s="1"/>
  <c r="AG32" i="7"/>
  <c r="W164" i="7"/>
  <c r="W165" i="7" s="1"/>
  <c r="W170" i="7" s="1"/>
  <c r="AG51" i="7"/>
  <c r="AH26" i="7"/>
  <c r="AF159" i="7"/>
  <c r="AF140" i="7"/>
  <c r="BQ39" i="7"/>
  <c r="BR36" i="7" s="1"/>
  <c r="AF138" i="7"/>
  <c r="AG79" i="7"/>
  <c r="BU148" i="7" l="1"/>
  <c r="BU150" i="7"/>
  <c r="W59" i="7"/>
  <c r="W56" i="7" s="1"/>
  <c r="BQ42" i="7"/>
  <c r="AH27" i="7"/>
  <c r="AH28" i="7" s="1"/>
  <c r="AF189" i="7"/>
  <c r="K87" i="4"/>
  <c r="W168" i="7"/>
  <c r="AG73" i="7"/>
  <c r="AF160" i="7"/>
  <c r="AF141" i="7"/>
  <c r="AF157" i="7" s="1"/>
  <c r="BR37" i="7"/>
  <c r="BR40" i="7" s="1"/>
  <c r="AF139" i="7"/>
  <c r="AF142" i="7" s="1"/>
  <c r="BU151" i="7" l="1"/>
  <c r="BU149" i="7"/>
  <c r="BV146" i="7" s="1"/>
  <c r="AG75" i="7"/>
  <c r="AG74" i="7"/>
  <c r="X163" i="7"/>
  <c r="W169" i="7"/>
  <c r="W57" i="7"/>
  <c r="X52" i="7" s="1"/>
  <c r="AF161" i="7"/>
  <c r="K89" i="4" s="1"/>
  <c r="AG136" i="7"/>
  <c r="BR38" i="7"/>
  <c r="BR41" i="7" s="1"/>
  <c r="AH49" i="7"/>
  <c r="AH30" i="7"/>
  <c r="AH50" i="7"/>
  <c r="AH31" i="7"/>
  <c r="AH47" i="7" s="1"/>
  <c r="AF183" i="7"/>
  <c r="K86" i="4"/>
  <c r="AH29" i="7"/>
  <c r="BV147" i="7" l="1"/>
  <c r="BU152" i="7"/>
  <c r="W61" i="7"/>
  <c r="AG137" i="7"/>
  <c r="AH79" i="7"/>
  <c r="X54" i="7"/>
  <c r="X55" i="7" s="1"/>
  <c r="X60" i="7" s="1"/>
  <c r="AF185" i="7"/>
  <c r="AF184" i="7"/>
  <c r="BR39" i="7"/>
  <c r="BS36" i="7" s="1"/>
  <c r="W166" i="7"/>
  <c r="AH73" i="7"/>
  <c r="AH51" i="7"/>
  <c r="AI26" i="7"/>
  <c r="AH32" i="7"/>
  <c r="BV148" i="7" l="1"/>
  <c r="BV150" i="7"/>
  <c r="W167" i="7"/>
  <c r="X162" i="7" s="1"/>
  <c r="AH75" i="7"/>
  <c r="AH74" i="7"/>
  <c r="BS37" i="7"/>
  <c r="BS40" i="7" s="1"/>
  <c r="X58" i="7"/>
  <c r="AI27" i="7"/>
  <c r="AI28" i="7" s="1"/>
  <c r="BR42" i="7"/>
  <c r="AG159" i="7"/>
  <c r="AG140" i="7"/>
  <c r="AG138" i="7"/>
  <c r="BV151" i="7" l="1"/>
  <c r="BV149" i="7"/>
  <c r="BW146" i="7" s="1"/>
  <c r="W171" i="7"/>
  <c r="AG160" i="7"/>
  <c r="AG141" i="7"/>
  <c r="AG157" i="7" s="1"/>
  <c r="AG189" i="7"/>
  <c r="AG139" i="7"/>
  <c r="AG142" i="7" s="1"/>
  <c r="Y53" i="7"/>
  <c r="I30" i="4"/>
  <c r="E86" i="1" s="1"/>
  <c r="X59" i="7"/>
  <c r="AI49" i="7"/>
  <c r="AI30" i="7"/>
  <c r="AI50" i="7"/>
  <c r="AI31" i="7"/>
  <c r="AI47" i="7" s="1"/>
  <c r="AI29" i="7"/>
  <c r="X164" i="7"/>
  <c r="X165" i="7" s="1"/>
  <c r="X170" i="7" s="1"/>
  <c r="BS38" i="7"/>
  <c r="BS41" i="7" s="1"/>
  <c r="BW147" i="7" l="1"/>
  <c r="BV152" i="7"/>
  <c r="BS39" i="7"/>
  <c r="BT36" i="7" s="1"/>
  <c r="BT37" i="7" s="1"/>
  <c r="BT40" i="7" s="1"/>
  <c r="AI73" i="7"/>
  <c r="AI51" i="7"/>
  <c r="AJ26" i="7"/>
  <c r="AG161" i="7"/>
  <c r="AH136" i="7"/>
  <c r="AI79" i="7"/>
  <c r="X56" i="7"/>
  <c r="AG183" i="7"/>
  <c r="X168" i="7"/>
  <c r="AI32" i="7"/>
  <c r="BW148" i="7" l="1"/>
  <c r="BW150" i="7"/>
  <c r="BS42" i="7"/>
  <c r="Y163" i="7"/>
  <c r="I90" i="4"/>
  <c r="X169" i="7"/>
  <c r="BT38" i="7"/>
  <c r="BT41" i="7" s="1"/>
  <c r="AJ27" i="7"/>
  <c r="AJ28" i="7" s="1"/>
  <c r="AG184" i="7"/>
  <c r="AG185" i="7"/>
  <c r="AH137" i="7"/>
  <c r="X57" i="7"/>
  <c r="Y52" i="7" s="1"/>
  <c r="AI75" i="7"/>
  <c r="AI74" i="7"/>
  <c r="BW151" i="7" l="1"/>
  <c r="BW149" i="7"/>
  <c r="BX146" i="7" s="1"/>
  <c r="BT39" i="7"/>
  <c r="BU36" i="7" s="1"/>
  <c r="BU37" i="7" s="1"/>
  <c r="BU40" i="7" s="1"/>
  <c r="AJ50" i="7"/>
  <c r="AJ31" i="7"/>
  <c r="AJ47" i="7" s="1"/>
  <c r="AH159" i="7"/>
  <c r="AH140" i="7"/>
  <c r="AJ49" i="7"/>
  <c r="AJ30" i="7"/>
  <c r="AJ29" i="7"/>
  <c r="AJ32" i="7" s="1"/>
  <c r="X166" i="7"/>
  <c r="Y54" i="7"/>
  <c r="Y55" i="7" s="1"/>
  <c r="Y60" i="7" s="1"/>
  <c r="X61" i="7"/>
  <c r="AH138" i="7"/>
  <c r="BW152" i="7" l="1"/>
  <c r="BX147" i="7"/>
  <c r="BT42" i="7"/>
  <c r="X167" i="7"/>
  <c r="Y162" i="7" s="1"/>
  <c r="AK26" i="7"/>
  <c r="AJ51" i="7"/>
  <c r="L29" i="4" s="1"/>
  <c r="D89" i="1" s="1"/>
  <c r="AJ79" i="7"/>
  <c r="L27" i="4"/>
  <c r="F89" i="1" s="1"/>
  <c r="AH160" i="7"/>
  <c r="AH141" i="7"/>
  <c r="AH157" i="7" s="1"/>
  <c r="AH139" i="7"/>
  <c r="AH189" i="7"/>
  <c r="Y58" i="7"/>
  <c r="AJ73" i="7"/>
  <c r="L26" i="4"/>
  <c r="BU38" i="7"/>
  <c r="BX148" i="7" l="1"/>
  <c r="BX150" i="7"/>
  <c r="AH161" i="7"/>
  <c r="AI136" i="7"/>
  <c r="AH142" i="7"/>
  <c r="AH183" i="7"/>
  <c r="BU41" i="7"/>
  <c r="BU39" i="7"/>
  <c r="BV36" i="7" s="1"/>
  <c r="AK27" i="7"/>
  <c r="Y164" i="7"/>
  <c r="Y165" i="7" s="1"/>
  <c r="Y170" i="7" s="1"/>
  <c r="AJ74" i="7"/>
  <c r="AJ75" i="7"/>
  <c r="Z53" i="7"/>
  <c r="Y59" i="7"/>
  <c r="X171" i="7"/>
  <c r="BX151" i="7" l="1"/>
  <c r="BX149" i="7"/>
  <c r="BY146" i="7" s="1"/>
  <c r="BU42" i="7"/>
  <c r="AK49" i="7"/>
  <c r="AK30" i="7"/>
  <c r="Y56" i="7"/>
  <c r="Y168" i="7"/>
  <c r="BV37" i="7"/>
  <c r="BV40" i="7" s="1"/>
  <c r="AH184" i="7"/>
  <c r="AH185" i="7"/>
  <c r="AK28" i="7"/>
  <c r="AI137" i="7"/>
  <c r="AI138" i="7" s="1"/>
  <c r="BX152" i="7" l="1"/>
  <c r="BY147" i="7"/>
  <c r="BY150" i="7" s="1"/>
  <c r="AK50" i="7"/>
  <c r="AK31" i="7"/>
  <c r="AK47" i="7" s="1"/>
  <c r="AK29" i="7"/>
  <c r="AK32" i="7" s="1"/>
  <c r="BV38" i="7"/>
  <c r="BV41" i="7" s="1"/>
  <c r="AI160" i="7"/>
  <c r="AI141" i="7"/>
  <c r="AI157" i="7" s="1"/>
  <c r="Z163" i="7"/>
  <c r="Y169" i="7"/>
  <c r="Y57" i="7"/>
  <c r="Z52" i="7" s="1"/>
  <c r="AI159" i="7"/>
  <c r="AI140" i="7"/>
  <c r="AI139" i="7"/>
  <c r="AK79" i="7"/>
  <c r="BY148" i="7" l="1"/>
  <c r="BY151" i="7" s="1"/>
  <c r="Y61" i="7"/>
  <c r="BV39" i="7"/>
  <c r="AI161" i="7"/>
  <c r="AJ136" i="7"/>
  <c r="AI183" i="7"/>
  <c r="AK73" i="7"/>
  <c r="AI142" i="7"/>
  <c r="AL26" i="7"/>
  <c r="AK51" i="7"/>
  <c r="AI189" i="7"/>
  <c r="Z54" i="7"/>
  <c r="Z55" i="7" s="1"/>
  <c r="Z60" i="7" s="1"/>
  <c r="Y166" i="7"/>
  <c r="BY149" i="7" l="1"/>
  <c r="BZ146" i="7" s="1"/>
  <c r="BZ147" i="7" s="1"/>
  <c r="BZ150" i="7" s="1"/>
  <c r="Z58" i="7"/>
  <c r="AA53" i="7" s="1"/>
  <c r="AL27" i="7"/>
  <c r="AL28" i="7" s="1"/>
  <c r="Y167" i="7"/>
  <c r="Z162" i="7" s="1"/>
  <c r="AJ137" i="7"/>
  <c r="AJ138" i="7" s="1"/>
  <c r="AK74" i="7"/>
  <c r="AK75" i="7"/>
  <c r="AI185" i="7"/>
  <c r="AI184" i="7"/>
  <c r="BW36" i="7"/>
  <c r="BV42" i="7"/>
  <c r="BY152" i="7" l="1"/>
  <c r="BZ148" i="7"/>
  <c r="BZ151" i="7" s="1"/>
  <c r="Z59" i="7"/>
  <c r="Y171" i="7"/>
  <c r="AJ160" i="7"/>
  <c r="AJ141" i="7"/>
  <c r="AJ157" i="7" s="1"/>
  <c r="AJ139" i="7"/>
  <c r="AJ142" i="7" s="1"/>
  <c r="BW37" i="7"/>
  <c r="BW40" i="7" s="1"/>
  <c r="Z164" i="7"/>
  <c r="Z165" i="7" s="1"/>
  <c r="Z170" i="7" s="1"/>
  <c r="Z56" i="7"/>
  <c r="AJ159" i="7"/>
  <c r="AJ140" i="7"/>
  <c r="AL49" i="7"/>
  <c r="AL30" i="7"/>
  <c r="AL50" i="7"/>
  <c r="AL31" i="7"/>
  <c r="AL47" i="7" s="1"/>
  <c r="AL29" i="7"/>
  <c r="BZ149" i="7" l="1"/>
  <c r="CA146" i="7" s="1"/>
  <c r="CA147" i="7" s="1"/>
  <c r="CA150" i="7" s="1"/>
  <c r="Z57" i="7"/>
  <c r="AA52" i="7" s="1"/>
  <c r="AJ189" i="7"/>
  <c r="L87" i="4"/>
  <c r="AL73" i="7"/>
  <c r="BW38" i="7"/>
  <c r="BW41" i="7" s="1"/>
  <c r="AJ161" i="7"/>
  <c r="L89" i="4" s="1"/>
  <c r="AK136" i="7"/>
  <c r="Z168" i="7"/>
  <c r="AL51" i="7"/>
  <c r="AM26" i="7"/>
  <c r="AL32" i="7"/>
  <c r="AJ183" i="7"/>
  <c r="L86" i="4"/>
  <c r="AL79" i="7"/>
  <c r="BZ152" i="7" l="1"/>
  <c r="CA148" i="7"/>
  <c r="CA151" i="7" s="1"/>
  <c r="BW39" i="7"/>
  <c r="BX36" i="7" s="1"/>
  <c r="BX37" i="7" s="1"/>
  <c r="BX40" i="7" s="1"/>
  <c r="AK137" i="7"/>
  <c r="AK138" i="7" s="1"/>
  <c r="AL74" i="7"/>
  <c r="AL75" i="7"/>
  <c r="AA163" i="7"/>
  <c r="Z169" i="7"/>
  <c r="AA54" i="7"/>
  <c r="AA55" i="7" s="1"/>
  <c r="AA60" i="7" s="1"/>
  <c r="AJ184" i="7"/>
  <c r="AJ185" i="7"/>
  <c r="AM27" i="7"/>
  <c r="AM28" i="7" s="1"/>
  <c r="Z61" i="7"/>
  <c r="CA149" i="7" l="1"/>
  <c r="CA152" i="7" s="1"/>
  <c r="BW42" i="7"/>
  <c r="AM29" i="7"/>
  <c r="AM51" i="7" s="1"/>
  <c r="BX38" i="7"/>
  <c r="BX41" i="7" s="1"/>
  <c r="AM49" i="7"/>
  <c r="AM30" i="7"/>
  <c r="Z166" i="7"/>
  <c r="AK139" i="7"/>
  <c r="AK142" i="7" s="1"/>
  <c r="AM50" i="7"/>
  <c r="AM31" i="7"/>
  <c r="AM47" i="7" s="1"/>
  <c r="AK160" i="7"/>
  <c r="AK141" i="7"/>
  <c r="AK157" i="7" s="1"/>
  <c r="AK159" i="7"/>
  <c r="AK140" i="7"/>
  <c r="AA58" i="7"/>
  <c r="CB146" i="7" l="1"/>
  <c r="CB147" i="7" s="1"/>
  <c r="CB150" i="7" s="1"/>
  <c r="AM32" i="7"/>
  <c r="AN26" i="7"/>
  <c r="AB53" i="7"/>
  <c r="AA59" i="7"/>
  <c r="AK189" i="7"/>
  <c r="Z167" i="7"/>
  <c r="AA162" i="7" s="1"/>
  <c r="BX39" i="7"/>
  <c r="AK183" i="7"/>
  <c r="AN27" i="7"/>
  <c r="AN28" i="7" s="1"/>
  <c r="AK161" i="7"/>
  <c r="AL136" i="7"/>
  <c r="AM79" i="7"/>
  <c r="AM73" i="7"/>
  <c r="CB148" i="7" l="1"/>
  <c r="CB151" i="7" s="1"/>
  <c r="AN29" i="7"/>
  <c r="AN51" i="7" s="1"/>
  <c r="M29" i="4" s="1"/>
  <c r="D90" i="1" s="1"/>
  <c r="AL137" i="7"/>
  <c r="AL138" i="7" s="1"/>
  <c r="BY36" i="7"/>
  <c r="BX42" i="7"/>
  <c r="AN50" i="7"/>
  <c r="AN31" i="7"/>
  <c r="AN47" i="7" s="1"/>
  <c r="AN49" i="7"/>
  <c r="AN30" i="7"/>
  <c r="AK184" i="7"/>
  <c r="AK185" i="7"/>
  <c r="Z171" i="7"/>
  <c r="AA56" i="7"/>
  <c r="AA164" i="7"/>
  <c r="AA165" i="7" s="1"/>
  <c r="AA170" i="7" s="1"/>
  <c r="AM74" i="7"/>
  <c r="AM75" i="7"/>
  <c r="CB149" i="7" l="1"/>
  <c r="AN32" i="7"/>
  <c r="AO26" i="7"/>
  <c r="AO27" i="7" s="1"/>
  <c r="AO28" i="7" s="1"/>
  <c r="AA168" i="7"/>
  <c r="AN73" i="7"/>
  <c r="M26" i="4"/>
  <c r="AL160" i="7"/>
  <c r="AL141" i="7"/>
  <c r="AL157" i="7" s="1"/>
  <c r="AB163" i="7"/>
  <c r="AA169" i="7"/>
  <c r="AN79" i="7"/>
  <c r="M27" i="4"/>
  <c r="F90" i="1" s="1"/>
  <c r="AL159" i="7"/>
  <c r="AL140" i="7"/>
  <c r="AL139" i="7"/>
  <c r="BY37" i="7"/>
  <c r="BY40" i="7" s="1"/>
  <c r="AA57" i="7"/>
  <c r="AB52" i="7" s="1"/>
  <c r="CC146" i="7" l="1"/>
  <c r="CB152" i="7"/>
  <c r="AA61" i="7"/>
  <c r="AL189" i="7"/>
  <c r="BY38" i="7"/>
  <c r="BY41" i="7" s="1"/>
  <c r="AA166" i="7"/>
  <c r="AO50" i="7"/>
  <c r="AO31" i="7"/>
  <c r="AO47" i="7" s="1"/>
  <c r="AL161" i="7"/>
  <c r="AM136" i="7"/>
  <c r="AB54" i="7"/>
  <c r="AB55" i="7" s="1"/>
  <c r="AB60" i="7" s="1"/>
  <c r="AO29" i="7"/>
  <c r="AO32" i="7" s="1"/>
  <c r="AL183" i="7"/>
  <c r="AO49" i="7"/>
  <c r="AO30" i="7"/>
  <c r="AL142" i="7"/>
  <c r="AN74" i="7"/>
  <c r="AN75" i="7"/>
  <c r="CC147" i="7" l="1"/>
  <c r="CC148" i="7" s="1"/>
  <c r="BY39" i="7"/>
  <c r="BZ36" i="7" s="1"/>
  <c r="BZ37" i="7" s="1"/>
  <c r="BZ40" i="7" s="1"/>
  <c r="AO73" i="7"/>
  <c r="AA167" i="7"/>
  <c r="AB162" i="7" s="1"/>
  <c r="AB58" i="7"/>
  <c r="AM137" i="7"/>
  <c r="AO79" i="7"/>
  <c r="AL184" i="7"/>
  <c r="AL185" i="7"/>
  <c r="AO51" i="7"/>
  <c r="AP26" i="7"/>
  <c r="CC149" i="7" l="1"/>
  <c r="CD146" i="7" s="1"/>
  <c r="CC151" i="7"/>
  <c r="CC150" i="7"/>
  <c r="CC152" i="7"/>
  <c r="BY42" i="7"/>
  <c r="BZ38" i="7"/>
  <c r="BZ41" i="7" s="1"/>
  <c r="AC53" i="7"/>
  <c r="J30" i="4"/>
  <c r="E87" i="1" s="1"/>
  <c r="AB59" i="7"/>
  <c r="AA171" i="7"/>
  <c r="AB164" i="7"/>
  <c r="AB165" i="7" s="1"/>
  <c r="AB170" i="7" s="1"/>
  <c r="AP27" i="7"/>
  <c r="AO74" i="7"/>
  <c r="AO75" i="7"/>
  <c r="AM159" i="7"/>
  <c r="AM140" i="7"/>
  <c r="AM138" i="7"/>
  <c r="AM139" i="7" s="1"/>
  <c r="BZ39" i="7" l="1"/>
  <c r="CA36" i="7" s="1"/>
  <c r="CA37" i="7" s="1"/>
  <c r="CA40" i="7" s="1"/>
  <c r="CD147" i="7"/>
  <c r="CD148" i="7" s="1"/>
  <c r="CD151" i="7" s="1"/>
  <c r="AM161" i="7"/>
  <c r="AN136" i="7"/>
  <c r="AP28" i="7"/>
  <c r="AB168" i="7"/>
  <c r="AM189" i="7"/>
  <c r="AB56" i="7"/>
  <c r="AP49" i="7"/>
  <c r="AP30" i="7"/>
  <c r="AM160" i="7"/>
  <c r="AM141" i="7"/>
  <c r="AM157" i="7" s="1"/>
  <c r="AM142" i="7"/>
  <c r="BZ42" i="7" l="1"/>
  <c r="CD150" i="7"/>
  <c r="CD149" i="7"/>
  <c r="CE146" i="7" s="1"/>
  <c r="CE147" i="7" s="1"/>
  <c r="CE150" i="7" s="1"/>
  <c r="AB57" i="7"/>
  <c r="AC52" i="7" s="1"/>
  <c r="AP79" i="7"/>
  <c r="CA38" i="7"/>
  <c r="AN137" i="7"/>
  <c r="AN138" i="7" s="1"/>
  <c r="AC163" i="7"/>
  <c r="J90" i="4"/>
  <c r="AB169" i="7"/>
  <c r="AP50" i="7"/>
  <c r="AP31" i="7"/>
  <c r="AP47" i="7" s="1"/>
  <c r="AP29" i="7"/>
  <c r="AP32" i="7" s="1"/>
  <c r="AM183" i="7"/>
  <c r="CE148" i="7" l="1"/>
  <c r="CE149" i="7" s="1"/>
  <c r="CF146" i="7" s="1"/>
  <c r="CF147" i="7" s="1"/>
  <c r="CF150" i="7" s="1"/>
  <c r="CD152" i="7"/>
  <c r="CE151" i="7"/>
  <c r="CE152" i="7"/>
  <c r="AB61" i="7"/>
  <c r="AN160" i="7"/>
  <c r="AN141" i="7"/>
  <c r="AN157" i="7" s="1"/>
  <c r="CA41" i="7"/>
  <c r="CA39" i="7"/>
  <c r="CB36" i="7" s="1"/>
  <c r="AB166" i="7"/>
  <c r="AN159" i="7"/>
  <c r="AN140" i="7"/>
  <c r="AP73" i="7"/>
  <c r="AN139" i="7"/>
  <c r="AM184" i="7"/>
  <c r="AM185" i="7"/>
  <c r="AP51" i="7"/>
  <c r="AQ26" i="7"/>
  <c r="AC54" i="7"/>
  <c r="AC55" i="7" s="1"/>
  <c r="AC60" i="7" s="1"/>
  <c r="CA42" i="7" l="1"/>
  <c r="CF148" i="7"/>
  <c r="CF151" i="7" s="1"/>
  <c r="E43" i="3" s="1"/>
  <c r="AP74" i="7"/>
  <c r="AP75" i="7"/>
  <c r="AN189" i="7"/>
  <c r="M87" i="4"/>
  <c r="AN161" i="7"/>
  <c r="M89" i="4" s="1"/>
  <c r="AO136" i="7"/>
  <c r="AN142" i="7"/>
  <c r="AN183" i="7"/>
  <c r="M86" i="4"/>
  <c r="AB167" i="7"/>
  <c r="AC162" i="7" s="1"/>
  <c r="CB37" i="7"/>
  <c r="CB40" i="7" s="1"/>
  <c r="AC58" i="7"/>
  <c r="AQ27" i="7"/>
  <c r="CF149" i="7" l="1"/>
  <c r="CF152" i="7" s="1"/>
  <c r="C17" i="11" s="1"/>
  <c r="AC164" i="7"/>
  <c r="AC165" i="7" s="1"/>
  <c r="AC170" i="7" s="1"/>
  <c r="AQ49" i="7"/>
  <c r="AQ30" i="7"/>
  <c r="AB171" i="7"/>
  <c r="AN185" i="7"/>
  <c r="AN184" i="7"/>
  <c r="AO137" i="7"/>
  <c r="AQ28" i="7"/>
  <c r="AD53" i="7"/>
  <c r="AC59" i="7"/>
  <c r="CB38" i="7"/>
  <c r="AC168" i="7" l="1"/>
  <c r="AD163" i="7" s="1"/>
  <c r="AQ50" i="7"/>
  <c r="AQ31" i="7"/>
  <c r="AQ47" i="7" s="1"/>
  <c r="AO159" i="7"/>
  <c r="AO140" i="7"/>
  <c r="AO138" i="7"/>
  <c r="CB41" i="7"/>
  <c r="CB39" i="7"/>
  <c r="CC36" i="7" s="1"/>
  <c r="AQ29" i="7"/>
  <c r="AQ32" i="7" s="1"/>
  <c r="AQ79" i="7"/>
  <c r="AC56" i="7"/>
  <c r="AC169" i="7" l="1"/>
  <c r="AC166" i="7" s="1"/>
  <c r="CC37" i="7"/>
  <c r="CC40" i="7" s="1"/>
  <c r="AQ51" i="7"/>
  <c r="AR26" i="7"/>
  <c r="AO160" i="7"/>
  <c r="AO141" i="7"/>
  <c r="AO157" i="7" s="1"/>
  <c r="AO139" i="7"/>
  <c r="AQ73" i="7"/>
  <c r="AC57" i="7"/>
  <c r="AD52" i="7" s="1"/>
  <c r="CB42" i="7"/>
  <c r="AO189" i="7"/>
  <c r="AD54" i="7" l="1"/>
  <c r="AD55" i="7" s="1"/>
  <c r="AD60" i="7" s="1"/>
  <c r="AO161" i="7"/>
  <c r="AP136" i="7"/>
  <c r="AR27" i="7"/>
  <c r="AR28" i="7" s="1"/>
  <c r="AQ74" i="7"/>
  <c r="AQ75" i="7"/>
  <c r="CC38" i="7"/>
  <c r="CC41" i="7" s="1"/>
  <c r="AC61" i="7"/>
  <c r="AC167" i="7"/>
  <c r="AD162" i="7" s="1"/>
  <c r="AO183" i="7"/>
  <c r="AO142" i="7"/>
  <c r="CC39" i="7" l="1"/>
  <c r="CD36" i="7" s="1"/>
  <c r="AR49" i="7"/>
  <c r="AR30" i="7"/>
  <c r="AP137" i="7"/>
  <c r="AR29" i="7"/>
  <c r="AO184" i="7"/>
  <c r="AO185" i="7"/>
  <c r="AC171" i="7"/>
  <c r="AD58" i="7"/>
  <c r="AR50" i="7"/>
  <c r="AR31" i="7"/>
  <c r="AR47" i="7" s="1"/>
  <c r="AD164" i="7"/>
  <c r="AD165" i="7" s="1"/>
  <c r="AD170" i="7" s="1"/>
  <c r="CC42" i="7" l="1"/>
  <c r="AE53" i="7"/>
  <c r="AD59" i="7"/>
  <c r="AP138" i="7"/>
  <c r="CD37" i="7"/>
  <c r="CD40" i="7" s="1"/>
  <c r="AR51" i="7"/>
  <c r="N29" i="4" s="1"/>
  <c r="D91" i="1" s="1"/>
  <c r="AS26" i="7"/>
  <c r="AP159" i="7"/>
  <c r="AP140" i="7"/>
  <c r="AD168" i="7"/>
  <c r="AR79" i="7"/>
  <c r="N27" i="4"/>
  <c r="F91" i="1" s="1"/>
  <c r="AR73" i="7"/>
  <c r="N26" i="4"/>
  <c r="AR32" i="7"/>
  <c r="CD38" i="7" l="1"/>
  <c r="CD41" i="7" s="1"/>
  <c r="AS27" i="7"/>
  <c r="AD56" i="7"/>
  <c r="AR74" i="7"/>
  <c r="AR75" i="7"/>
  <c r="AP189" i="7"/>
  <c r="AP160" i="7"/>
  <c r="AP141" i="7"/>
  <c r="AP157" i="7" s="1"/>
  <c r="AE163" i="7"/>
  <c r="AD169" i="7"/>
  <c r="AP139" i="7"/>
  <c r="AP142" i="7" s="1"/>
  <c r="CD39" i="7" l="1"/>
  <c r="CE36" i="7" s="1"/>
  <c r="CE37" i="7" s="1"/>
  <c r="CE40" i="7" s="1"/>
  <c r="AP183" i="7"/>
  <c r="AD166" i="7"/>
  <c r="AS49" i="7"/>
  <c r="AS30" i="7"/>
  <c r="AD57" i="7"/>
  <c r="AE52" i="7" s="1"/>
  <c r="AP161" i="7"/>
  <c r="AQ136" i="7"/>
  <c r="AS28" i="7"/>
  <c r="CD42" i="7" l="1"/>
  <c r="AD61" i="7"/>
  <c r="AD167" i="7"/>
  <c r="AE162" i="7" s="1"/>
  <c r="AE54" i="7"/>
  <c r="AE55" i="7" s="1"/>
  <c r="AE60" i="7" s="1"/>
  <c r="AS50" i="7"/>
  <c r="AS31" i="7"/>
  <c r="AS47" i="7" s="1"/>
  <c r="AP184" i="7"/>
  <c r="AP185" i="7"/>
  <c r="AS79" i="7"/>
  <c r="AS29" i="7"/>
  <c r="AQ137" i="7"/>
  <c r="CE38" i="7"/>
  <c r="CE39" i="7" s="1"/>
  <c r="CF36" i="7" s="1"/>
  <c r="AD171" i="7" l="1"/>
  <c r="CF37" i="7"/>
  <c r="CF40" i="7" s="1"/>
  <c r="AQ159" i="7"/>
  <c r="AQ140" i="7"/>
  <c r="AS73" i="7"/>
  <c r="AE58" i="7"/>
  <c r="AS51" i="7"/>
  <c r="AT26" i="7"/>
  <c r="AS32" i="7"/>
  <c r="CE41" i="7"/>
  <c r="CE42" i="7"/>
  <c r="AQ138" i="7"/>
  <c r="AE164" i="7"/>
  <c r="AE165" i="7" s="1"/>
  <c r="AE170" i="7" s="1"/>
  <c r="AT27" i="7" l="1"/>
  <c r="AF53" i="7"/>
  <c r="AE59" i="7"/>
  <c r="AQ160" i="7"/>
  <c r="AQ141" i="7"/>
  <c r="AQ157" i="7" s="1"/>
  <c r="AQ189" i="7"/>
  <c r="AE168" i="7"/>
  <c r="AS75" i="7"/>
  <c r="AS74" i="7"/>
  <c r="CF38" i="7"/>
  <c r="CF41" i="7" s="1"/>
  <c r="B43" i="3" s="1"/>
  <c r="D33" i="1" s="1"/>
  <c r="AQ139" i="7"/>
  <c r="CF39" i="7" l="1"/>
  <c r="CF42" i="7" s="1"/>
  <c r="B17" i="11" s="1"/>
  <c r="D17" i="11" s="1"/>
  <c r="AF163" i="7"/>
  <c r="AE169" i="7"/>
  <c r="AQ161" i="7"/>
  <c r="AR136" i="7"/>
  <c r="AQ183" i="7"/>
  <c r="AE56" i="7"/>
  <c r="AT49" i="7"/>
  <c r="AT30" i="7"/>
  <c r="AQ142" i="7"/>
  <c r="AT28" i="7"/>
  <c r="AT31" i="7" l="1"/>
  <c r="AT47" i="7" s="1"/>
  <c r="AT50" i="7"/>
  <c r="AT79" i="7"/>
  <c r="AQ184" i="7"/>
  <c r="AQ185" i="7"/>
  <c r="AE57" i="7"/>
  <c r="AF52" i="7" s="1"/>
  <c r="AR137" i="7"/>
  <c r="AR138" i="7" s="1"/>
  <c r="AE166" i="7"/>
  <c r="AT29" i="7"/>
  <c r="AE61" i="7" l="1"/>
  <c r="AR160" i="7"/>
  <c r="AR141" i="7"/>
  <c r="AR157" i="7" s="1"/>
  <c r="AT51" i="7"/>
  <c r="AU26" i="7"/>
  <c r="AE167" i="7"/>
  <c r="AF162" i="7" s="1"/>
  <c r="AF54" i="7"/>
  <c r="AF55" i="7" s="1"/>
  <c r="AF60" i="7" s="1"/>
  <c r="AR159" i="7"/>
  <c r="AR140" i="7"/>
  <c r="AR139" i="7"/>
  <c r="AT32" i="7"/>
  <c r="AT73" i="7"/>
  <c r="AE171" i="7" l="1"/>
  <c r="AR161" i="7"/>
  <c r="N89" i="4" s="1"/>
  <c r="AS136" i="7"/>
  <c r="AR142" i="7"/>
  <c r="AF58" i="7"/>
  <c r="AF164" i="7"/>
  <c r="AF165" i="7" s="1"/>
  <c r="AF170" i="7" s="1"/>
  <c r="AU27" i="7"/>
  <c r="AR183" i="7"/>
  <c r="N86" i="4"/>
  <c r="AT75" i="7"/>
  <c r="AT74" i="7"/>
  <c r="AR189" i="7"/>
  <c r="N87" i="4"/>
  <c r="AF168" i="7" l="1"/>
  <c r="AG53" i="7"/>
  <c r="K30" i="4"/>
  <c r="E88" i="1" s="1"/>
  <c r="AF59" i="7"/>
  <c r="AU49" i="7"/>
  <c r="AU30" i="7"/>
  <c r="AU28" i="7"/>
  <c r="AU29" i="7" s="1"/>
  <c r="AS137" i="7"/>
  <c r="AS138" i="7" s="1"/>
  <c r="AR184" i="7"/>
  <c r="AR185" i="7"/>
  <c r="AS160" i="7" l="1"/>
  <c r="AS141" i="7"/>
  <c r="AS157" i="7" s="1"/>
  <c r="AS139" i="7"/>
  <c r="AS142" i="7" s="1"/>
  <c r="AU51" i="7"/>
  <c r="AV26" i="7"/>
  <c r="AU50" i="7"/>
  <c r="AU31" i="7"/>
  <c r="AU47" i="7" s="1"/>
  <c r="AF56" i="7"/>
  <c r="AG163" i="7"/>
  <c r="K90" i="4"/>
  <c r="AF169" i="7"/>
  <c r="AS159" i="7"/>
  <c r="AS140" i="7"/>
  <c r="AU79" i="7"/>
  <c r="AU32" i="7"/>
  <c r="AS189" i="7" l="1"/>
  <c r="AF57" i="7"/>
  <c r="AG52" i="7" s="1"/>
  <c r="AV27" i="7"/>
  <c r="AU73" i="7"/>
  <c r="AS161" i="7"/>
  <c r="AT136" i="7"/>
  <c r="AS183" i="7"/>
  <c r="AF166" i="7"/>
  <c r="AT137" i="7" l="1"/>
  <c r="AF167" i="7"/>
  <c r="AG162" i="7" s="1"/>
  <c r="AV49" i="7"/>
  <c r="AV30" i="7"/>
  <c r="AS185" i="7"/>
  <c r="AS184" i="7"/>
  <c r="AU75" i="7"/>
  <c r="AU74" i="7"/>
  <c r="AF61" i="7"/>
  <c r="AV28" i="7"/>
  <c r="AV29" i="7" s="1"/>
  <c r="AG54" i="7"/>
  <c r="AG55" i="7" s="1"/>
  <c r="AG60" i="7" s="1"/>
  <c r="AV51" i="7" l="1"/>
  <c r="O29" i="4" s="1"/>
  <c r="D92" i="1" s="1"/>
  <c r="AW26" i="7"/>
  <c r="AV50" i="7"/>
  <c r="AV31" i="7"/>
  <c r="AV47" i="7" s="1"/>
  <c r="AG164" i="7"/>
  <c r="AG165" i="7" s="1"/>
  <c r="AG170" i="7" s="1"/>
  <c r="AG58" i="7"/>
  <c r="AV32" i="7"/>
  <c r="AV79" i="7"/>
  <c r="O27" i="4"/>
  <c r="F92" i="1" s="1"/>
  <c r="AF171" i="7"/>
  <c r="AT159" i="7"/>
  <c r="AT140" i="7"/>
  <c r="AT138" i="7"/>
  <c r="AT139" i="7" s="1"/>
  <c r="AT161" i="7" l="1"/>
  <c r="AU136" i="7"/>
  <c r="AH53" i="7"/>
  <c r="AG59" i="7"/>
  <c r="AV73" i="7"/>
  <c r="O26" i="4"/>
  <c r="AT142" i="7"/>
  <c r="AG168" i="7"/>
  <c r="AW27" i="7"/>
  <c r="AT160" i="7"/>
  <c r="AT141" i="7"/>
  <c r="AT157" i="7" s="1"/>
  <c r="AT189" i="7"/>
  <c r="AW28" i="7" l="1"/>
  <c r="AH163" i="7"/>
  <c r="AG169" i="7"/>
  <c r="AG56" i="7"/>
  <c r="AW49" i="7"/>
  <c r="AW30" i="7"/>
  <c r="AT183" i="7"/>
  <c r="AU137" i="7"/>
  <c r="AU138" i="7" s="1"/>
  <c r="AV75" i="7"/>
  <c r="AV74" i="7"/>
  <c r="AU160" i="7" l="1"/>
  <c r="AU141" i="7"/>
  <c r="AU157" i="7" s="1"/>
  <c r="AU139" i="7"/>
  <c r="AG57" i="7"/>
  <c r="AH52" i="7" s="1"/>
  <c r="AU159" i="7"/>
  <c r="AU140" i="7"/>
  <c r="AG166" i="7"/>
  <c r="AW50" i="7"/>
  <c r="AW31" i="7"/>
  <c r="AW47" i="7" s="1"/>
  <c r="AU142" i="7"/>
  <c r="AT185" i="7"/>
  <c r="AT184" i="7"/>
  <c r="AW79" i="7"/>
  <c r="AW29" i="7"/>
  <c r="AU189" i="7" l="1"/>
  <c r="AH54" i="7"/>
  <c r="AH55" i="7" s="1"/>
  <c r="AH60" i="7" s="1"/>
  <c r="AU183" i="7"/>
  <c r="AW73" i="7"/>
  <c r="AG167" i="7"/>
  <c r="AH162" i="7" s="1"/>
  <c r="AG61" i="7"/>
  <c r="AU161" i="7"/>
  <c r="AV136" i="7"/>
  <c r="AW51" i="7"/>
  <c r="AX26" i="7"/>
  <c r="AW32" i="7"/>
  <c r="AH164" i="7" l="1"/>
  <c r="AH165" i="7" s="1"/>
  <c r="AH170" i="7" s="1"/>
  <c r="AV137" i="7"/>
  <c r="AG171" i="7"/>
  <c r="AW75" i="7"/>
  <c r="AW74" i="7"/>
  <c r="AU185" i="7"/>
  <c r="AU184" i="7"/>
  <c r="AX27" i="7"/>
  <c r="AX28" i="7" s="1"/>
  <c r="AH58" i="7"/>
  <c r="AV159" i="7" l="1"/>
  <c r="AV140" i="7"/>
  <c r="AV138" i="7"/>
  <c r="AI53" i="7"/>
  <c r="AH59" i="7"/>
  <c r="AH168" i="7"/>
  <c r="AX50" i="7"/>
  <c r="AX31" i="7"/>
  <c r="AX47" i="7" s="1"/>
  <c r="AX49" i="7"/>
  <c r="AX30" i="7"/>
  <c r="AX29" i="7"/>
  <c r="AX32" i="7" s="1"/>
  <c r="AX73" i="7" l="1"/>
  <c r="AH56" i="7"/>
  <c r="AI163" i="7"/>
  <c r="AH169" i="7"/>
  <c r="AX51" i="7"/>
  <c r="AY26" i="7"/>
  <c r="AV160" i="7"/>
  <c r="AV141" i="7"/>
  <c r="AV157" i="7" s="1"/>
  <c r="AV189" i="7"/>
  <c r="O87" i="4"/>
  <c r="AX79" i="7"/>
  <c r="AV139" i="7"/>
  <c r="AV142" i="7" s="1"/>
  <c r="AH57" i="7" l="1"/>
  <c r="AI52" i="7" s="1"/>
  <c r="AY27" i="7"/>
  <c r="AY28" i="7" s="1"/>
  <c r="AV183" i="7"/>
  <c r="O86" i="4"/>
  <c r="AH166" i="7"/>
  <c r="AV161" i="7"/>
  <c r="O89" i="4" s="1"/>
  <c r="AW136" i="7"/>
  <c r="AX75" i="7"/>
  <c r="AX74" i="7"/>
  <c r="AW137" i="7" l="1"/>
  <c r="AV185" i="7"/>
  <c r="AV184" i="7"/>
  <c r="AI54" i="7"/>
  <c r="AI55" i="7" s="1"/>
  <c r="AI60" i="7" s="1"/>
  <c r="AH167" i="7"/>
  <c r="AI162" i="7" s="1"/>
  <c r="AY50" i="7"/>
  <c r="AY31" i="7"/>
  <c r="AY47" i="7" s="1"/>
  <c r="AY49" i="7"/>
  <c r="AY30" i="7"/>
  <c r="AY29" i="7"/>
  <c r="AY32" i="7" s="1"/>
  <c r="AH61" i="7"/>
  <c r="AI58" i="7" l="1"/>
  <c r="AJ53" i="7" s="1"/>
  <c r="AY73" i="7"/>
  <c r="AI164" i="7"/>
  <c r="AI165" i="7" s="1"/>
  <c r="AI170" i="7" s="1"/>
  <c r="AY79" i="7"/>
  <c r="AH171" i="7"/>
  <c r="AW159" i="7"/>
  <c r="AW140" i="7"/>
  <c r="AY51" i="7"/>
  <c r="AZ26" i="7"/>
  <c r="AW138" i="7"/>
  <c r="AI59" i="7" l="1"/>
  <c r="AI56" i="7" s="1"/>
  <c r="AW160" i="7"/>
  <c r="AW141" i="7"/>
  <c r="AW157" i="7" s="1"/>
  <c r="AZ27" i="7"/>
  <c r="AZ28" i="7" s="1"/>
  <c r="AI168" i="7"/>
  <c r="AW139" i="7"/>
  <c r="AY75" i="7"/>
  <c r="AY74" i="7"/>
  <c r="AW189" i="7"/>
  <c r="AJ163" i="7" l="1"/>
  <c r="AI169" i="7"/>
  <c r="AW161" i="7"/>
  <c r="AX136" i="7"/>
  <c r="AW183" i="7"/>
  <c r="AZ50" i="7"/>
  <c r="AZ31" i="7"/>
  <c r="AZ47" i="7" s="1"/>
  <c r="AZ49" i="7"/>
  <c r="AZ30" i="7"/>
  <c r="AZ29" i="7"/>
  <c r="AZ32" i="7" s="1"/>
  <c r="AW142" i="7"/>
  <c r="AI57" i="7"/>
  <c r="AJ52" i="7" s="1"/>
  <c r="AI61" i="7" l="1"/>
  <c r="AZ79" i="7"/>
  <c r="P27" i="4"/>
  <c r="F93" i="1" s="1"/>
  <c r="AI166" i="7"/>
  <c r="AJ54" i="7"/>
  <c r="AJ55" i="7" s="1"/>
  <c r="AJ60" i="7" s="1"/>
  <c r="AZ51" i="7"/>
  <c r="P29" i="4" s="1"/>
  <c r="D93" i="1" s="1"/>
  <c r="BA26" i="7"/>
  <c r="AZ73" i="7"/>
  <c r="P26" i="4"/>
  <c r="AW184" i="7"/>
  <c r="AW185" i="7"/>
  <c r="AX137" i="7"/>
  <c r="AX138" i="7" s="1"/>
  <c r="AX160" i="7" l="1"/>
  <c r="AX141" i="7"/>
  <c r="AX157" i="7" s="1"/>
  <c r="AZ74" i="7"/>
  <c r="AZ75" i="7"/>
  <c r="BA27" i="7"/>
  <c r="AJ58" i="7"/>
  <c r="AI167" i="7"/>
  <c r="AJ162" i="7" s="1"/>
  <c r="AX159" i="7"/>
  <c r="AX140" i="7"/>
  <c r="AX139" i="7"/>
  <c r="AI171" i="7" l="1"/>
  <c r="BA28" i="7"/>
  <c r="BA29" i="7" s="1"/>
  <c r="AJ164" i="7"/>
  <c r="AJ165" i="7" s="1"/>
  <c r="AJ170" i="7" s="1"/>
  <c r="AK53" i="7"/>
  <c r="L30" i="4"/>
  <c r="E89" i="1" s="1"/>
  <c r="AJ59" i="7"/>
  <c r="BA49" i="7"/>
  <c r="BA30" i="7"/>
  <c r="AX161" i="7"/>
  <c r="AY136" i="7"/>
  <c r="BA50" i="7"/>
  <c r="BA31" i="7"/>
  <c r="BA47" i="7" s="1"/>
  <c r="AX183" i="7"/>
  <c r="AX189" i="7"/>
  <c r="AX142" i="7"/>
  <c r="BB26" i="7" l="1"/>
  <c r="BA51" i="7"/>
  <c r="BA32" i="7"/>
  <c r="BA73" i="7"/>
  <c r="BA79" i="7"/>
  <c r="AJ168" i="7"/>
  <c r="AY137" i="7"/>
  <c r="AJ56" i="7"/>
  <c r="BB27" i="7"/>
  <c r="AX185" i="7"/>
  <c r="AX184" i="7"/>
  <c r="BB28" i="7" l="1"/>
  <c r="BB29" i="7" s="1"/>
  <c r="AY159" i="7"/>
  <c r="AY140" i="7"/>
  <c r="AK163" i="7"/>
  <c r="L90" i="4"/>
  <c r="AJ169" i="7"/>
  <c r="AY138" i="7"/>
  <c r="AJ57" i="7"/>
  <c r="AK52" i="7" s="1"/>
  <c r="BB49" i="7"/>
  <c r="BB30" i="7"/>
  <c r="BA74" i="7"/>
  <c r="BA75" i="7"/>
  <c r="BB50" i="7" l="1"/>
  <c r="BB31" i="7"/>
  <c r="BB47" i="7" s="1"/>
  <c r="BB73" i="7" s="1"/>
  <c r="BC26" i="7"/>
  <c r="BB51" i="7"/>
  <c r="BB32" i="7"/>
  <c r="AK54" i="7"/>
  <c r="AK55" i="7" s="1"/>
  <c r="AK60" i="7" s="1"/>
  <c r="AY160" i="7"/>
  <c r="AY141" i="7"/>
  <c r="AY157" i="7" s="1"/>
  <c r="AY189" i="7"/>
  <c r="BB79" i="7"/>
  <c r="BC27" i="7"/>
  <c r="AJ61" i="7"/>
  <c r="AJ166" i="7"/>
  <c r="AY139" i="7"/>
  <c r="BC49" i="7" l="1"/>
  <c r="BC30" i="7"/>
  <c r="AY161" i="7"/>
  <c r="AZ136" i="7"/>
  <c r="AY142" i="7"/>
  <c r="AJ167" i="7"/>
  <c r="AK162" i="7" s="1"/>
  <c r="AY183" i="7"/>
  <c r="AK58" i="7"/>
  <c r="BC28" i="7"/>
  <c r="BB74" i="7"/>
  <c r="BB75" i="7"/>
  <c r="AY185" i="7" l="1"/>
  <c r="AY184" i="7"/>
  <c r="AK164" i="7"/>
  <c r="AK165" i="7" s="1"/>
  <c r="AK170" i="7" s="1"/>
  <c r="BC79" i="7"/>
  <c r="AL53" i="7"/>
  <c r="AK59" i="7"/>
  <c r="AJ171" i="7"/>
  <c r="AZ137" i="7"/>
  <c r="AZ138" i="7" s="1"/>
  <c r="BC50" i="7"/>
  <c r="BC31" i="7"/>
  <c r="BC47" i="7" s="1"/>
  <c r="BC29" i="7"/>
  <c r="AZ160" i="7" l="1"/>
  <c r="AZ141" i="7"/>
  <c r="AZ157" i="7" s="1"/>
  <c r="AZ159" i="7"/>
  <c r="AZ140" i="7"/>
  <c r="AZ139" i="7"/>
  <c r="AZ142" i="7" s="1"/>
  <c r="BC51" i="7"/>
  <c r="BD26" i="7"/>
  <c r="BC32" i="7"/>
  <c r="AK168" i="7"/>
  <c r="AK56" i="7"/>
  <c r="BC73" i="7"/>
  <c r="AZ161" i="7" l="1"/>
  <c r="P89" i="4" s="1"/>
  <c r="BA136" i="7"/>
  <c r="AZ189" i="7"/>
  <c r="P87" i="4"/>
  <c r="AK57" i="7"/>
  <c r="AL52" i="7" s="1"/>
  <c r="AL163" i="7"/>
  <c r="AK169" i="7"/>
  <c r="AZ183" i="7"/>
  <c r="P86" i="4"/>
  <c r="BD27" i="7"/>
  <c r="BC74" i="7"/>
  <c r="BC75" i="7"/>
  <c r="BD49" i="7" l="1"/>
  <c r="BD30" i="7"/>
  <c r="AK166" i="7"/>
  <c r="AL54" i="7"/>
  <c r="AL55" i="7" s="1"/>
  <c r="AL60" i="7" s="1"/>
  <c r="AK61" i="7"/>
  <c r="BA137" i="7"/>
  <c r="BA138" i="7" s="1"/>
  <c r="BD28" i="7"/>
  <c r="BD29" i="7" s="1"/>
  <c r="AZ185" i="7"/>
  <c r="AZ184" i="7"/>
  <c r="BD51" i="7" l="1"/>
  <c r="Q29" i="4" s="1"/>
  <c r="D94" i="1" s="1"/>
  <c r="BE26" i="7"/>
  <c r="BA160" i="7"/>
  <c r="BA141" i="7"/>
  <c r="BA157" i="7" s="1"/>
  <c r="AL58" i="7"/>
  <c r="BA159" i="7"/>
  <c r="BA140" i="7"/>
  <c r="BD50" i="7"/>
  <c r="BD31" i="7"/>
  <c r="BD47" i="7" s="1"/>
  <c r="BA139" i="7"/>
  <c r="BD79" i="7"/>
  <c r="Q27" i="4"/>
  <c r="F94" i="1" s="1"/>
  <c r="AK167" i="7"/>
  <c r="AL162" i="7" s="1"/>
  <c r="BD32" i="7"/>
  <c r="AK171" i="7" l="1"/>
  <c r="BA189" i="7"/>
  <c r="AM53" i="7"/>
  <c r="AL59" i="7"/>
  <c r="BD73" i="7"/>
  <c r="Q26" i="4"/>
  <c r="BA183" i="7"/>
  <c r="BA161" i="7"/>
  <c r="BB136" i="7"/>
  <c r="BA142" i="7"/>
  <c r="AL164" i="7"/>
  <c r="AL165" i="7" s="1"/>
  <c r="AL170" i="7" s="1"/>
  <c r="BE27" i="7"/>
  <c r="BE28" i="7" s="1"/>
  <c r="AL168" i="7" l="1"/>
  <c r="AL56" i="7"/>
  <c r="BE29" i="7"/>
  <c r="BB137" i="7"/>
  <c r="BA185" i="7"/>
  <c r="BA184" i="7"/>
  <c r="BD74" i="7"/>
  <c r="BD75" i="7"/>
  <c r="BE50" i="7"/>
  <c r="BE31" i="7"/>
  <c r="BE47" i="7" s="1"/>
  <c r="BE49" i="7"/>
  <c r="BE30" i="7"/>
  <c r="AL57" i="7" l="1"/>
  <c r="AM52" i="7" s="1"/>
  <c r="BB159" i="7"/>
  <c r="BB140" i="7"/>
  <c r="AM163" i="7"/>
  <c r="AL169" i="7"/>
  <c r="BB138" i="7"/>
  <c r="BE79" i="7"/>
  <c r="BE73" i="7"/>
  <c r="BE51" i="7"/>
  <c r="BF26" i="7"/>
  <c r="BE32" i="7"/>
  <c r="AL61" i="7" l="1"/>
  <c r="BF27" i="7"/>
  <c r="BF28" i="7" s="1"/>
  <c r="BB160" i="7"/>
  <c r="BB141" i="7"/>
  <c r="BB157" i="7" s="1"/>
  <c r="AL166" i="7"/>
  <c r="BB189" i="7"/>
  <c r="BB139" i="7"/>
  <c r="BB142" i="7" s="1"/>
  <c r="BE74" i="7"/>
  <c r="BE75" i="7"/>
  <c r="AM54" i="7"/>
  <c r="AM55" i="7" s="1"/>
  <c r="AM60" i="7" s="1"/>
  <c r="AM58" i="7" l="1"/>
  <c r="AN53" i="7" s="1"/>
  <c r="BB183" i="7"/>
  <c r="AL167" i="7"/>
  <c r="AM162" i="7" s="1"/>
  <c r="BF50" i="7"/>
  <c r="BF31" i="7"/>
  <c r="BF47" i="7" s="1"/>
  <c r="BB161" i="7"/>
  <c r="BC136" i="7"/>
  <c r="BF29" i="7"/>
  <c r="BF49" i="7"/>
  <c r="BF30" i="7"/>
  <c r="AM59" i="7" l="1"/>
  <c r="AM56" i="7" s="1"/>
  <c r="AL171" i="7"/>
  <c r="BF51" i="7"/>
  <c r="BG26" i="7"/>
  <c r="BF32" i="7"/>
  <c r="BC137" i="7"/>
  <c r="BF73" i="7"/>
  <c r="AM164" i="7"/>
  <c r="AM165" i="7" s="1"/>
  <c r="AM170" i="7" s="1"/>
  <c r="BB184" i="7"/>
  <c r="BB185" i="7"/>
  <c r="BF79" i="7"/>
  <c r="AM168" i="7" l="1"/>
  <c r="BF74" i="7"/>
  <c r="BF75" i="7"/>
  <c r="BC159" i="7"/>
  <c r="BC140" i="7"/>
  <c r="AM57" i="7"/>
  <c r="AN52" i="7" s="1"/>
  <c r="BC138" i="7"/>
  <c r="BG27" i="7"/>
  <c r="AM61" i="7" l="1"/>
  <c r="BG49" i="7"/>
  <c r="BG30" i="7"/>
  <c r="AN54" i="7"/>
  <c r="AN55" i="7" s="1"/>
  <c r="AN60" i="7" s="1"/>
  <c r="BG28" i="7"/>
  <c r="BC160" i="7"/>
  <c r="BC141" i="7"/>
  <c r="BC157" i="7" s="1"/>
  <c r="BC189" i="7"/>
  <c r="AN163" i="7"/>
  <c r="AM169" i="7"/>
  <c r="BC139" i="7"/>
  <c r="AM166" i="7" l="1"/>
  <c r="BC183" i="7"/>
  <c r="BG50" i="7"/>
  <c r="BG31" i="7"/>
  <c r="BG47" i="7" s="1"/>
  <c r="AN58" i="7"/>
  <c r="BG29" i="7"/>
  <c r="BC161" i="7"/>
  <c r="BD136" i="7"/>
  <c r="BC142" i="7"/>
  <c r="BG79" i="7"/>
  <c r="AO53" i="7" l="1"/>
  <c r="M30" i="4"/>
  <c r="E90" i="1" s="1"/>
  <c r="AN59" i="7"/>
  <c r="BD137" i="7"/>
  <c r="BG73" i="7"/>
  <c r="BC184" i="7"/>
  <c r="BC185" i="7"/>
  <c r="BG51" i="7"/>
  <c r="BH26" i="7"/>
  <c r="BG32" i="7"/>
  <c r="AM167" i="7"/>
  <c r="AN162" i="7" s="1"/>
  <c r="AM171" i="7" l="1"/>
  <c r="BH27" i="7"/>
  <c r="BG74" i="7"/>
  <c r="BG75" i="7"/>
  <c r="AN164" i="7"/>
  <c r="AN165" i="7" s="1"/>
  <c r="AN170" i="7" s="1"/>
  <c r="BD138" i="7"/>
  <c r="AN56" i="7"/>
  <c r="BD159" i="7"/>
  <c r="BD140" i="7"/>
  <c r="BD160" i="7" l="1"/>
  <c r="BD141" i="7"/>
  <c r="BD157" i="7" s="1"/>
  <c r="AN168" i="7"/>
  <c r="AN57" i="7"/>
  <c r="AO52" i="7" s="1"/>
  <c r="BD139" i="7"/>
  <c r="BH49" i="7"/>
  <c r="BH30" i="7"/>
  <c r="BH28" i="7"/>
  <c r="BD189" i="7"/>
  <c r="Q87" i="4"/>
  <c r="AN61" i="7" l="1"/>
  <c r="BH50" i="7"/>
  <c r="BH31" i="7"/>
  <c r="BH47" i="7" s="1"/>
  <c r="BH29" i="7"/>
  <c r="BH79" i="7"/>
  <c r="R27" i="4"/>
  <c r="F95" i="1" s="1"/>
  <c r="AO163" i="7"/>
  <c r="M90" i="4"/>
  <c r="AN169" i="7"/>
  <c r="BH32" i="7"/>
  <c r="BD161" i="7"/>
  <c r="Q89" i="4" s="1"/>
  <c r="BE136" i="7"/>
  <c r="AO54" i="7"/>
  <c r="AO55" i="7" s="1"/>
  <c r="AO60" i="7" s="1"/>
  <c r="BD183" i="7"/>
  <c r="Q86" i="4"/>
  <c r="BD142" i="7"/>
  <c r="BD185" i="7" l="1"/>
  <c r="BD184" i="7"/>
  <c r="AN166" i="7"/>
  <c r="BH51" i="7"/>
  <c r="R29" i="4" s="1"/>
  <c r="D95" i="1" s="1"/>
  <c r="BI26" i="7"/>
  <c r="AO58" i="7"/>
  <c r="BE137" i="7"/>
  <c r="BH73" i="7"/>
  <c r="R26" i="4"/>
  <c r="BH74" i="7" l="1"/>
  <c r="BH75" i="7"/>
  <c r="AP53" i="7"/>
  <c r="AO59" i="7"/>
  <c r="BE138" i="7"/>
  <c r="BI27" i="7"/>
  <c r="BE159" i="7"/>
  <c r="BE140" i="7"/>
  <c r="AN167" i="7"/>
  <c r="AO162" i="7" s="1"/>
  <c r="AO164" i="7" l="1"/>
  <c r="AO165" i="7" s="1"/>
  <c r="AO170" i="7" s="1"/>
  <c r="BE160" i="7"/>
  <c r="BE141" i="7"/>
  <c r="BE157" i="7" s="1"/>
  <c r="BI49" i="7"/>
  <c r="BI30" i="7"/>
  <c r="BI28" i="7"/>
  <c r="BI29" i="7" s="1"/>
  <c r="BI32" i="7" s="1"/>
  <c r="AO56" i="7"/>
  <c r="AN171" i="7"/>
  <c r="BE189" i="7"/>
  <c r="BE139" i="7"/>
  <c r="BI31" i="7" l="1"/>
  <c r="BI47" i="7" s="1"/>
  <c r="BI50" i="7"/>
  <c r="BE183" i="7"/>
  <c r="BI51" i="7"/>
  <c r="BJ26" i="7"/>
  <c r="AO57" i="7"/>
  <c r="AP52" i="7" s="1"/>
  <c r="BI79" i="7"/>
  <c r="BE161" i="7"/>
  <c r="BF136" i="7"/>
  <c r="BE142" i="7"/>
  <c r="AO168" i="7"/>
  <c r="AO61" i="7" l="1"/>
  <c r="BJ27" i="7"/>
  <c r="AP54" i="7"/>
  <c r="AP55" i="7" s="1"/>
  <c r="AP60" i="7" s="1"/>
  <c r="AP163" i="7"/>
  <c r="AO169" i="7"/>
  <c r="BE184" i="7"/>
  <c r="BE185" i="7"/>
  <c r="BF137" i="7"/>
  <c r="BF138" i="7" s="1"/>
  <c r="BI73" i="7"/>
  <c r="BF139" i="7" l="1"/>
  <c r="BF142" i="7" s="1"/>
  <c r="BJ49" i="7"/>
  <c r="BJ30" i="7"/>
  <c r="AO166" i="7"/>
  <c r="AP58" i="7"/>
  <c r="BI75" i="7"/>
  <c r="BI74" i="7"/>
  <c r="BF160" i="7"/>
  <c r="BF141" i="7"/>
  <c r="BF157" i="7" s="1"/>
  <c r="BF159" i="7"/>
  <c r="BF140" i="7"/>
  <c r="BJ28" i="7"/>
  <c r="BJ29" i="7" s="1"/>
  <c r="BG136" i="7" l="1"/>
  <c r="BF161" i="7"/>
  <c r="BJ51" i="7"/>
  <c r="BK26" i="7"/>
  <c r="AO167" i="7"/>
  <c r="AP162" i="7" s="1"/>
  <c r="AQ53" i="7"/>
  <c r="AP59" i="7"/>
  <c r="BG137" i="7"/>
  <c r="BG138" i="7" s="1"/>
  <c r="BJ32" i="7"/>
  <c r="BJ31" i="7"/>
  <c r="BJ47" i="7" s="1"/>
  <c r="BJ50" i="7"/>
  <c r="BJ79" i="7"/>
  <c r="BF189" i="7"/>
  <c r="BF183" i="7"/>
  <c r="AO171" i="7" l="1"/>
  <c r="BG139" i="7"/>
  <c r="BG161" i="7" s="1"/>
  <c r="BG160" i="7"/>
  <c r="BG141" i="7"/>
  <c r="BG157" i="7" s="1"/>
  <c r="BJ73" i="7"/>
  <c r="BG142" i="7"/>
  <c r="AP56" i="7"/>
  <c r="AP164" i="7"/>
  <c r="AP165" i="7" s="1"/>
  <c r="AP170" i="7" s="1"/>
  <c r="BG159" i="7"/>
  <c r="BG140" i="7"/>
  <c r="BK27" i="7"/>
  <c r="BF184" i="7"/>
  <c r="BF185" i="7"/>
  <c r="BH136" i="7" l="1"/>
  <c r="BH137" i="7" s="1"/>
  <c r="AP168" i="7"/>
  <c r="BG189" i="7"/>
  <c r="AP57" i="7"/>
  <c r="AQ52" i="7" s="1"/>
  <c r="BJ75" i="7"/>
  <c r="BJ74" i="7"/>
  <c r="BG183" i="7"/>
  <c r="BK49" i="7"/>
  <c r="BK30" i="7"/>
  <c r="BK28" i="7"/>
  <c r="BH159" i="7" l="1"/>
  <c r="BH140" i="7"/>
  <c r="AQ54" i="7"/>
  <c r="AQ55" i="7" s="1"/>
  <c r="AQ60" i="7" s="1"/>
  <c r="BG184" i="7"/>
  <c r="BG185" i="7"/>
  <c r="BK50" i="7"/>
  <c r="BK31" i="7"/>
  <c r="BK47" i="7" s="1"/>
  <c r="BH138" i="7"/>
  <c r="AP61" i="7"/>
  <c r="BK29" i="7"/>
  <c r="BK79" i="7"/>
  <c r="AQ163" i="7"/>
  <c r="AP169" i="7"/>
  <c r="BK73" i="7" l="1"/>
  <c r="BK51" i="7"/>
  <c r="BL26" i="7"/>
  <c r="BK32" i="7"/>
  <c r="BH160" i="7"/>
  <c r="BH141" i="7"/>
  <c r="BH157" i="7" s="1"/>
  <c r="AP166" i="7"/>
  <c r="AQ58" i="7"/>
  <c r="BH139" i="7"/>
  <c r="BH142" i="7" s="1"/>
  <c r="BH189" i="7"/>
  <c r="R87" i="4"/>
  <c r="BH183" i="7" l="1"/>
  <c r="R86" i="4"/>
  <c r="BL27" i="7"/>
  <c r="BH161" i="7"/>
  <c r="R89" i="4" s="1"/>
  <c r="BI136" i="7"/>
  <c r="AR53" i="7"/>
  <c r="AQ59" i="7"/>
  <c r="AP167" i="7"/>
  <c r="AQ162" i="7" s="1"/>
  <c r="BK75" i="7"/>
  <c r="BK74" i="7"/>
  <c r="AQ164" i="7" l="1"/>
  <c r="AQ165" i="7" s="1"/>
  <c r="AQ170" i="7" s="1"/>
  <c r="AQ56" i="7"/>
  <c r="AP171" i="7"/>
  <c r="BI137" i="7"/>
  <c r="BI138" i="7" s="1"/>
  <c r="BL49" i="7"/>
  <c r="BL30" i="7"/>
  <c r="BL28" i="7"/>
  <c r="BL29" i="7" s="1"/>
  <c r="BH184" i="7"/>
  <c r="BH185" i="7"/>
  <c r="AQ168" i="7" l="1"/>
  <c r="AQ169" i="7" s="1"/>
  <c r="BL51" i="7"/>
  <c r="S29" i="4" s="1"/>
  <c r="D96" i="1" s="1"/>
  <c r="BM26" i="7"/>
  <c r="BI160" i="7"/>
  <c r="BI141" i="7"/>
  <c r="BI157" i="7" s="1"/>
  <c r="BI139" i="7"/>
  <c r="BI159" i="7"/>
  <c r="BI140" i="7"/>
  <c r="BL50" i="7"/>
  <c r="BL31" i="7"/>
  <c r="BL47" i="7" s="1"/>
  <c r="BL32" i="7"/>
  <c r="BL79" i="7"/>
  <c r="S27" i="4"/>
  <c r="F96" i="1" s="1"/>
  <c r="AQ57" i="7"/>
  <c r="AR52" i="7" s="1"/>
  <c r="AR163" i="7" l="1"/>
  <c r="AQ61" i="7"/>
  <c r="BL73" i="7"/>
  <c r="S26" i="4"/>
  <c r="AQ166" i="7"/>
  <c r="BI189" i="7"/>
  <c r="BI183" i="7"/>
  <c r="BI161" i="7"/>
  <c r="BJ136" i="7"/>
  <c r="BI142" i="7"/>
  <c r="AR54" i="7"/>
  <c r="AR55" i="7" s="1"/>
  <c r="AR60" i="7" s="1"/>
  <c r="BM27" i="7"/>
  <c r="AR58" i="7" l="1"/>
  <c r="BJ137" i="7"/>
  <c r="BI185" i="7"/>
  <c r="BI184" i="7"/>
  <c r="BM49" i="7"/>
  <c r="BM30" i="7"/>
  <c r="AQ167" i="7"/>
  <c r="AR162" i="7" s="1"/>
  <c r="BM28" i="7"/>
  <c r="BM29" i="7" s="1"/>
  <c r="BL75" i="7"/>
  <c r="BL74" i="7"/>
  <c r="AQ171" i="7" l="1"/>
  <c r="AR164" i="7"/>
  <c r="AR165" i="7" s="1"/>
  <c r="AR170" i="7" s="1"/>
  <c r="BJ159" i="7"/>
  <c r="BJ140" i="7"/>
  <c r="AS53" i="7"/>
  <c r="N30" i="4"/>
  <c r="E91" i="1" s="1"/>
  <c r="AR59" i="7"/>
  <c r="BM51" i="7"/>
  <c r="BN26" i="7"/>
  <c r="BM79" i="7"/>
  <c r="BJ138" i="7"/>
  <c r="BM50" i="7"/>
  <c r="BM31" i="7"/>
  <c r="BM47" i="7" s="1"/>
  <c r="BM32" i="7"/>
  <c r="AR168" i="7" l="1"/>
  <c r="N90" i="4" s="1"/>
  <c r="AR56" i="7"/>
  <c r="BN27" i="7"/>
  <c r="BN28" i="7" s="1"/>
  <c r="BJ189" i="7"/>
  <c r="BJ160" i="7"/>
  <c r="BJ141" i="7"/>
  <c r="BJ157" i="7" s="1"/>
  <c r="BM73" i="7"/>
  <c r="BJ139" i="7"/>
  <c r="AS163" i="7" l="1"/>
  <c r="AR169" i="7"/>
  <c r="BN29" i="7"/>
  <c r="BN32" i="7" s="1"/>
  <c r="BJ183" i="7"/>
  <c r="BM75" i="7"/>
  <c r="BM74" i="7"/>
  <c r="BJ161" i="7"/>
  <c r="BK136" i="7"/>
  <c r="BJ142" i="7"/>
  <c r="BN50" i="7"/>
  <c r="BN31" i="7"/>
  <c r="BN47" i="7" s="1"/>
  <c r="BN49" i="7"/>
  <c r="BN30" i="7"/>
  <c r="AR166" i="7"/>
  <c r="AR57" i="7"/>
  <c r="AS52" i="7" s="1"/>
  <c r="BO26" i="7" l="1"/>
  <c r="BN51" i="7"/>
  <c r="AR61" i="7"/>
  <c r="AR167" i="7"/>
  <c r="AS162" i="7" s="1"/>
  <c r="BN73" i="7"/>
  <c r="BN79" i="7"/>
  <c r="BK137" i="7"/>
  <c r="BJ185" i="7"/>
  <c r="BJ184" i="7"/>
  <c r="BO27" i="7"/>
  <c r="AS54" i="7"/>
  <c r="AS55" i="7" s="1"/>
  <c r="AS60" i="7" s="1"/>
  <c r="BN75" i="7" l="1"/>
  <c r="BN74" i="7"/>
  <c r="BO49" i="7"/>
  <c r="BO30" i="7"/>
  <c r="AS58" i="7"/>
  <c r="AS164" i="7"/>
  <c r="AS165" i="7" s="1"/>
  <c r="AS170" i="7" s="1"/>
  <c r="BO28" i="7"/>
  <c r="BO29" i="7" s="1"/>
  <c r="BK159" i="7"/>
  <c r="BK140" i="7"/>
  <c r="BK138" i="7"/>
  <c r="AR171" i="7"/>
  <c r="AS168" i="7" l="1"/>
  <c r="BK189" i="7"/>
  <c r="AT53" i="7"/>
  <c r="AS59" i="7"/>
  <c r="BO79" i="7"/>
  <c r="BK160" i="7"/>
  <c r="BK141" i="7"/>
  <c r="BK157" i="7" s="1"/>
  <c r="BK139" i="7"/>
  <c r="BO51" i="7"/>
  <c r="BP26" i="7"/>
  <c r="BO50" i="7"/>
  <c r="BO31" i="7"/>
  <c r="BO47" i="7" s="1"/>
  <c r="BO32" i="7"/>
  <c r="BK183" i="7" l="1"/>
  <c r="BO73" i="7"/>
  <c r="BK161" i="7"/>
  <c r="BL136" i="7"/>
  <c r="BK142" i="7"/>
  <c r="AS56" i="7"/>
  <c r="AT163" i="7"/>
  <c r="AS169" i="7"/>
  <c r="BP27" i="7"/>
  <c r="BP28" i="7" s="1"/>
  <c r="BP49" i="7" l="1"/>
  <c r="BP30" i="7"/>
  <c r="AS57" i="7"/>
  <c r="AT52" i="7" s="1"/>
  <c r="AS166" i="7"/>
  <c r="BL137" i="7"/>
  <c r="BP50" i="7"/>
  <c r="BP31" i="7"/>
  <c r="BP47" i="7" s="1"/>
  <c r="BP29" i="7"/>
  <c r="BO75" i="7"/>
  <c r="BO74" i="7"/>
  <c r="BK185" i="7"/>
  <c r="BK184" i="7"/>
  <c r="BP73" i="7" l="1"/>
  <c r="T26" i="4"/>
  <c r="BP51" i="7"/>
  <c r="T29" i="4" s="1"/>
  <c r="D97" i="1" s="1"/>
  <c r="BQ26" i="7"/>
  <c r="BL159" i="7"/>
  <c r="BL140" i="7"/>
  <c r="BL138" i="7"/>
  <c r="BL139" i="7" s="1"/>
  <c r="BL142" i="7" s="1"/>
  <c r="AS167" i="7"/>
  <c r="AT162" i="7" s="1"/>
  <c r="BP32" i="7"/>
  <c r="AT54" i="7"/>
  <c r="AT55" i="7" s="1"/>
  <c r="AT60" i="7" s="1"/>
  <c r="AS61" i="7"/>
  <c r="BP79" i="7"/>
  <c r="T27" i="4"/>
  <c r="F97" i="1" s="1"/>
  <c r="AT164" i="7" l="1"/>
  <c r="AT165" i="7" s="1"/>
  <c r="AT170" i="7" s="1"/>
  <c r="BL189" i="7"/>
  <c r="S87" i="4"/>
  <c r="AT58" i="7"/>
  <c r="BL160" i="7"/>
  <c r="BL141" i="7"/>
  <c r="BL157" i="7" s="1"/>
  <c r="BQ27" i="7"/>
  <c r="AS171" i="7"/>
  <c r="BL161" i="7"/>
  <c r="S89" i="4" s="1"/>
  <c r="BM136" i="7"/>
  <c r="BP74" i="7"/>
  <c r="BP75" i="7"/>
  <c r="BQ49" i="7" l="1"/>
  <c r="BQ30" i="7"/>
  <c r="BQ28" i="7"/>
  <c r="BQ29" i="7" s="1"/>
  <c r="BQ32" i="7" s="1"/>
  <c r="BM137" i="7"/>
  <c r="BL183" i="7"/>
  <c r="S86" i="4"/>
  <c r="AU53" i="7"/>
  <c r="AT59" i="7"/>
  <c r="AT168" i="7"/>
  <c r="BL185" i="7" l="1"/>
  <c r="BL184" i="7"/>
  <c r="BM159" i="7"/>
  <c r="BM140" i="7"/>
  <c r="BQ51" i="7"/>
  <c r="BR26" i="7"/>
  <c r="AT56" i="7"/>
  <c r="BM138" i="7"/>
  <c r="BQ50" i="7"/>
  <c r="BQ31" i="7"/>
  <c r="BQ47" i="7" s="1"/>
  <c r="AU163" i="7"/>
  <c r="AT169" i="7"/>
  <c r="BQ79" i="7"/>
  <c r="BM160" i="7" l="1"/>
  <c r="BM141" i="7"/>
  <c r="BM157" i="7" s="1"/>
  <c r="BR27" i="7"/>
  <c r="AT166" i="7"/>
  <c r="AT57" i="7"/>
  <c r="AU52" i="7" s="1"/>
  <c r="BQ73" i="7"/>
  <c r="BM139" i="7"/>
  <c r="BM142" i="7" s="1"/>
  <c r="BM189" i="7"/>
  <c r="BR28" i="7" l="1"/>
  <c r="BR29" i="7" s="1"/>
  <c r="AT61" i="7"/>
  <c r="BQ74" i="7"/>
  <c r="BQ75" i="7"/>
  <c r="AT167" i="7"/>
  <c r="AU162" i="7" s="1"/>
  <c r="BM183" i="7"/>
  <c r="BM161" i="7"/>
  <c r="BN136" i="7"/>
  <c r="AU54" i="7"/>
  <c r="AU55" i="7" s="1"/>
  <c r="AU60" i="7" s="1"/>
  <c r="BR49" i="7"/>
  <c r="BR30" i="7"/>
  <c r="BR31" i="7" l="1"/>
  <c r="BR47" i="7" s="1"/>
  <c r="BR73" i="7" s="1"/>
  <c r="BR50" i="7"/>
  <c r="BR51" i="7"/>
  <c r="BR32" i="7"/>
  <c r="BS26" i="7"/>
  <c r="AU58" i="7"/>
  <c r="AU59" i="7" s="1"/>
  <c r="BN137" i="7"/>
  <c r="AU164" i="7"/>
  <c r="AU165" i="7" s="1"/>
  <c r="AU170" i="7" s="1"/>
  <c r="BR79" i="7"/>
  <c r="BS27" i="7"/>
  <c r="BS28" i="7" s="1"/>
  <c r="BM184" i="7"/>
  <c r="BM185" i="7"/>
  <c r="AT171" i="7"/>
  <c r="AV53" i="7" l="1"/>
  <c r="AU168" i="7"/>
  <c r="AU56" i="7"/>
  <c r="BN159" i="7"/>
  <c r="BN140" i="7"/>
  <c r="BS50" i="7"/>
  <c r="BS31" i="7"/>
  <c r="BS47" i="7" s="1"/>
  <c r="BR74" i="7"/>
  <c r="BR75" i="7"/>
  <c r="BS49" i="7"/>
  <c r="BS30" i="7"/>
  <c r="BS29" i="7"/>
  <c r="BS32" i="7" s="1"/>
  <c r="BN138" i="7"/>
  <c r="BN139" i="7" s="1"/>
  <c r="BN142" i="7" l="1"/>
  <c r="BS73" i="7"/>
  <c r="BN189" i="7"/>
  <c r="BS51" i="7"/>
  <c r="BT26" i="7"/>
  <c r="AU57" i="7"/>
  <c r="AV52" i="7" s="1"/>
  <c r="BN160" i="7"/>
  <c r="BN141" i="7"/>
  <c r="BN157" i="7" s="1"/>
  <c r="BN161" i="7"/>
  <c r="BO136" i="7"/>
  <c r="AV163" i="7"/>
  <c r="AU169" i="7"/>
  <c r="BS79" i="7"/>
  <c r="BN183" i="7" l="1"/>
  <c r="AU166" i="7"/>
  <c r="BO137" i="7"/>
  <c r="AU61" i="7"/>
  <c r="AV54" i="7"/>
  <c r="AV55" i="7" s="1"/>
  <c r="AV60" i="7" s="1"/>
  <c r="BT27" i="7"/>
  <c r="BS74" i="7"/>
  <c r="BS75" i="7"/>
  <c r="AV58" i="7" l="1"/>
  <c r="BT49" i="7"/>
  <c r="BT30" i="7"/>
  <c r="BO159" i="7"/>
  <c r="BO140" i="7"/>
  <c r="BO138" i="7"/>
  <c r="BO139" i="7" s="1"/>
  <c r="AU167" i="7"/>
  <c r="AV162" i="7" s="1"/>
  <c r="BT28" i="7"/>
  <c r="BN185" i="7"/>
  <c r="BN184" i="7"/>
  <c r="BO161" i="7" l="1"/>
  <c r="BP136" i="7"/>
  <c r="AV164" i="7"/>
  <c r="AV165" i="7" s="1"/>
  <c r="AV170" i="7" s="1"/>
  <c r="AU171" i="7"/>
  <c r="BT50" i="7"/>
  <c r="BT31" i="7"/>
  <c r="BT47" i="7" s="1"/>
  <c r="BO160" i="7"/>
  <c r="BO141" i="7"/>
  <c r="BO157" i="7" s="1"/>
  <c r="BO142" i="7"/>
  <c r="BO189" i="7"/>
  <c r="BT79" i="7"/>
  <c r="U27" i="4"/>
  <c r="F98" i="1" s="1"/>
  <c r="AW53" i="7"/>
  <c r="O30" i="4"/>
  <c r="E92" i="1" s="1"/>
  <c r="AV59" i="7"/>
  <c r="BT29" i="7"/>
  <c r="BO183" i="7" l="1"/>
  <c r="AV56" i="7"/>
  <c r="BP137" i="7"/>
  <c r="BT73" i="7"/>
  <c r="U26" i="4"/>
  <c r="AV168" i="7"/>
  <c r="BT51" i="7"/>
  <c r="U29" i="4" s="1"/>
  <c r="D98" i="1" s="1"/>
  <c r="BU26" i="7"/>
  <c r="BT32" i="7"/>
  <c r="AW163" i="7" l="1"/>
  <c r="O90" i="4"/>
  <c r="AV169" i="7"/>
  <c r="BP159" i="7"/>
  <c r="BP140" i="7"/>
  <c r="BP138" i="7"/>
  <c r="BT74" i="7"/>
  <c r="BT75" i="7"/>
  <c r="AV57" i="7"/>
  <c r="AW52" i="7" s="1"/>
  <c r="BU27" i="7"/>
  <c r="BU28" i="7" s="1"/>
  <c r="BU29" i="7" s="1"/>
  <c r="BO185" i="7"/>
  <c r="BO184" i="7"/>
  <c r="BU51" i="7" l="1"/>
  <c r="BV26" i="7"/>
  <c r="BU32" i="7"/>
  <c r="AW54" i="7"/>
  <c r="AW55" i="7" s="1"/>
  <c r="AW60" i="7" s="1"/>
  <c r="BP160" i="7"/>
  <c r="BP141" i="7"/>
  <c r="BP157" i="7" s="1"/>
  <c r="BU49" i="7"/>
  <c r="BU30" i="7"/>
  <c r="BP139" i="7"/>
  <c r="BU50" i="7"/>
  <c r="BU31" i="7"/>
  <c r="BU47" i="7" s="1"/>
  <c r="AV61" i="7"/>
  <c r="BP189" i="7"/>
  <c r="T87" i="4"/>
  <c r="AV166" i="7"/>
  <c r="BU73" i="7" l="1"/>
  <c r="BU79" i="7"/>
  <c r="BP161" i="7"/>
  <c r="T89" i="4" s="1"/>
  <c r="BQ136" i="7"/>
  <c r="BP142" i="7"/>
  <c r="BP183" i="7"/>
  <c r="T86" i="4"/>
  <c r="AW58" i="7"/>
  <c r="AV167" i="7"/>
  <c r="AW162" i="7" s="1"/>
  <c r="BV27" i="7"/>
  <c r="BV28" i="7" s="1"/>
  <c r="BV29" i="7" l="1"/>
  <c r="BW26" i="7" s="1"/>
  <c r="AW164" i="7"/>
  <c r="AW165" i="7" s="1"/>
  <c r="AW170" i="7" s="1"/>
  <c r="BP184" i="7"/>
  <c r="BP185" i="7"/>
  <c r="BQ137" i="7"/>
  <c r="BV50" i="7"/>
  <c r="BV31" i="7"/>
  <c r="BV47" i="7" s="1"/>
  <c r="AX53" i="7"/>
  <c r="AW59" i="7"/>
  <c r="BV49" i="7"/>
  <c r="BV30" i="7"/>
  <c r="AV171" i="7"/>
  <c r="BU74" i="7"/>
  <c r="BU75" i="7"/>
  <c r="BV32" i="7" l="1"/>
  <c r="BV51" i="7"/>
  <c r="BQ159" i="7"/>
  <c r="BQ140" i="7"/>
  <c r="AW168" i="7"/>
  <c r="BQ138" i="7"/>
  <c r="BQ139" i="7" s="1"/>
  <c r="BV73" i="7"/>
  <c r="BW27" i="7"/>
  <c r="BW28" i="7" s="1"/>
  <c r="BV79" i="7"/>
  <c r="AW56" i="7"/>
  <c r="BW50" i="7" l="1"/>
  <c r="BW31" i="7"/>
  <c r="BW47" i="7" s="1"/>
  <c r="BQ161" i="7"/>
  <c r="BR136" i="7"/>
  <c r="BW29" i="7"/>
  <c r="BV74" i="7"/>
  <c r="BV75" i="7"/>
  <c r="BQ160" i="7"/>
  <c r="BQ141" i="7"/>
  <c r="BQ157" i="7" s="1"/>
  <c r="BW49" i="7"/>
  <c r="BW30" i="7"/>
  <c r="AW57" i="7"/>
  <c r="AX52" i="7" s="1"/>
  <c r="BW32" i="7"/>
  <c r="AX163" i="7"/>
  <c r="AW169" i="7"/>
  <c r="BQ189" i="7"/>
  <c r="BQ142" i="7"/>
  <c r="AW61" i="7" l="1"/>
  <c r="BW79" i="7"/>
  <c r="BR137" i="7"/>
  <c r="AX54" i="7"/>
  <c r="AX55" i="7" s="1"/>
  <c r="AX60" i="7" s="1"/>
  <c r="BW51" i="7"/>
  <c r="BX26" i="7"/>
  <c r="BQ183" i="7"/>
  <c r="BW73" i="7"/>
  <c r="AW166" i="7"/>
  <c r="BW74" i="7" l="1"/>
  <c r="BW75" i="7"/>
  <c r="BQ184" i="7"/>
  <c r="BQ185" i="7"/>
  <c r="BR159" i="7"/>
  <c r="BR140" i="7"/>
  <c r="AX58" i="7"/>
  <c r="AW167" i="7"/>
  <c r="AX162" i="7" s="1"/>
  <c r="BX27" i="7"/>
  <c r="BX28" i="7" s="1"/>
  <c r="BR138" i="7"/>
  <c r="BR139" i="7" s="1"/>
  <c r="AW171" i="7" l="1"/>
  <c r="AX164" i="7"/>
  <c r="AX165" i="7" s="1"/>
  <c r="AX170" i="7" s="1"/>
  <c r="AY53" i="7"/>
  <c r="AX59" i="7"/>
  <c r="BX50" i="7"/>
  <c r="BX31" i="7"/>
  <c r="BX47" i="7" s="1"/>
  <c r="BR161" i="7"/>
  <c r="BS136" i="7"/>
  <c r="BR142" i="7"/>
  <c r="BR189" i="7"/>
  <c r="BR160" i="7"/>
  <c r="BR141" i="7"/>
  <c r="BR157" i="7" s="1"/>
  <c r="BX49" i="7"/>
  <c r="BX30" i="7"/>
  <c r="BX29" i="7"/>
  <c r="AX56" i="7" l="1"/>
  <c r="BR183" i="7"/>
  <c r="BS137" i="7"/>
  <c r="BS138" i="7" s="1"/>
  <c r="BX51" i="7"/>
  <c r="V29" i="4" s="1"/>
  <c r="D99" i="1" s="1"/>
  <c r="BY26" i="7"/>
  <c r="BX32" i="7"/>
  <c r="BX73" i="7"/>
  <c r="V26" i="4"/>
  <c r="AX168" i="7"/>
  <c r="BX79" i="7"/>
  <c r="V27" i="4"/>
  <c r="F99" i="1" s="1"/>
  <c r="BX74" i="7" l="1"/>
  <c r="BX75" i="7"/>
  <c r="BS160" i="7"/>
  <c r="BS141" i="7"/>
  <c r="BS157" i="7" s="1"/>
  <c r="BR184" i="7"/>
  <c r="BR185" i="7"/>
  <c r="BY27" i="7"/>
  <c r="BS159" i="7"/>
  <c r="BS140" i="7"/>
  <c r="BS139" i="7"/>
  <c r="AX57" i="7"/>
  <c r="AY52" i="7" s="1"/>
  <c r="AY163" i="7"/>
  <c r="AX169" i="7"/>
  <c r="AX61" i="7" l="1"/>
  <c r="BY49" i="7"/>
  <c r="BY30" i="7"/>
  <c r="AY54" i="7"/>
  <c r="AY55" i="7" s="1"/>
  <c r="AY60" i="7" s="1"/>
  <c r="BS189" i="7"/>
  <c r="BY28" i="7"/>
  <c r="BS183" i="7"/>
  <c r="BS161" i="7"/>
  <c r="BT136" i="7"/>
  <c r="BS142" i="7"/>
  <c r="AX166" i="7"/>
  <c r="AY58" i="7" l="1"/>
  <c r="AY59" i="7" s="1"/>
  <c r="BT137" i="7"/>
  <c r="BT138" i="7" s="1"/>
  <c r="BS184" i="7"/>
  <c r="BS185" i="7"/>
  <c r="BY31" i="7"/>
  <c r="BY47" i="7" s="1"/>
  <c r="BY50" i="7"/>
  <c r="BY29" i="7"/>
  <c r="AX167" i="7"/>
  <c r="AY162" i="7" s="1"/>
  <c r="BY79" i="7"/>
  <c r="AZ53" i="7" l="1"/>
  <c r="BY73" i="7"/>
  <c r="BY51" i="7"/>
  <c r="BZ26" i="7"/>
  <c r="BY32" i="7"/>
  <c r="AY56" i="7"/>
  <c r="BT160" i="7"/>
  <c r="BT141" i="7"/>
  <c r="BT157" i="7" s="1"/>
  <c r="BT159" i="7"/>
  <c r="BT140" i="7"/>
  <c r="AY164" i="7"/>
  <c r="AY165" i="7" s="1"/>
  <c r="AY170" i="7" s="1"/>
  <c r="AX171" i="7"/>
  <c r="BT139" i="7"/>
  <c r="AY168" i="7" l="1"/>
  <c r="BT183" i="7"/>
  <c r="U86" i="4"/>
  <c r="AY57" i="7"/>
  <c r="AZ52" i="7" s="1"/>
  <c r="BY75" i="7"/>
  <c r="BY74" i="7"/>
  <c r="BT189" i="7"/>
  <c r="U87" i="4"/>
  <c r="BZ27" i="7"/>
  <c r="BT161" i="7"/>
  <c r="U89" i="4" s="1"/>
  <c r="BU136" i="7"/>
  <c r="BT142" i="7"/>
  <c r="BZ49" i="7" l="1"/>
  <c r="BZ30" i="7"/>
  <c r="AY61" i="7"/>
  <c r="BT185" i="7"/>
  <c r="BT184" i="7"/>
  <c r="BZ28" i="7"/>
  <c r="AZ54" i="7"/>
  <c r="AZ55" i="7" s="1"/>
  <c r="AZ60" i="7" s="1"/>
  <c r="BU137" i="7"/>
  <c r="BU138" i="7" s="1"/>
  <c r="AZ163" i="7"/>
  <c r="AY169" i="7"/>
  <c r="BU160" i="7" l="1"/>
  <c r="BU141" i="7"/>
  <c r="BU157" i="7" s="1"/>
  <c r="BU159" i="7"/>
  <c r="BU140" i="7"/>
  <c r="AZ58" i="7"/>
  <c r="AY166" i="7"/>
  <c r="BZ31" i="7"/>
  <c r="BZ47" i="7" s="1"/>
  <c r="BZ50" i="7"/>
  <c r="BU139" i="7"/>
  <c r="BU142" i="7" s="1"/>
  <c r="BZ29" i="7"/>
  <c r="BZ79" i="7"/>
  <c r="BU161" i="7" l="1"/>
  <c r="BV136" i="7"/>
  <c r="BZ73" i="7"/>
  <c r="BA53" i="7"/>
  <c r="P30" i="4"/>
  <c r="E93" i="1" s="1"/>
  <c r="AZ59" i="7"/>
  <c r="AY167" i="7"/>
  <c r="AZ162" i="7" s="1"/>
  <c r="BU189" i="7"/>
  <c r="BU183" i="7"/>
  <c r="BZ51" i="7"/>
  <c r="CA26" i="7"/>
  <c r="BZ32" i="7"/>
  <c r="BU184" i="7" l="1"/>
  <c r="BU185" i="7"/>
  <c r="AZ164" i="7"/>
  <c r="AZ165" i="7" s="1"/>
  <c r="AZ170" i="7" s="1"/>
  <c r="AY171" i="7"/>
  <c r="AZ56" i="7"/>
  <c r="BV137" i="7"/>
  <c r="BV138" i="7" s="1"/>
  <c r="BZ75" i="7"/>
  <c r="BZ74" i="7"/>
  <c r="CA27" i="7"/>
  <c r="CA28" i="7" s="1"/>
  <c r="BV139" i="7" l="1"/>
  <c r="BV161" i="7" s="1"/>
  <c r="AZ57" i="7"/>
  <c r="BA52" i="7" s="1"/>
  <c r="BV160" i="7"/>
  <c r="BV141" i="7"/>
  <c r="BV157" i="7" s="1"/>
  <c r="BV159" i="7"/>
  <c r="BV140" i="7"/>
  <c r="AZ168" i="7"/>
  <c r="CA50" i="7"/>
  <c r="CA31" i="7"/>
  <c r="CA47" i="7" s="1"/>
  <c r="CA49" i="7"/>
  <c r="CA30" i="7"/>
  <c r="CA29" i="7"/>
  <c r="BV142" i="7" l="1"/>
  <c r="BW136" i="7"/>
  <c r="BA163" i="7"/>
  <c r="P90" i="4"/>
  <c r="AZ169" i="7"/>
  <c r="BV183" i="7"/>
  <c r="CA73" i="7"/>
  <c r="BV189" i="7"/>
  <c r="BA54" i="7"/>
  <c r="BA55" i="7" s="1"/>
  <c r="BA60" i="7" s="1"/>
  <c r="CA51" i="7"/>
  <c r="CB26" i="7"/>
  <c r="AZ61" i="7"/>
  <c r="BW137" i="7"/>
  <c r="BW138" i="7" s="1"/>
  <c r="CA79" i="7"/>
  <c r="CA32" i="7"/>
  <c r="BA58" i="7" l="1"/>
  <c r="CB27" i="7"/>
  <c r="CA75" i="7"/>
  <c r="CA74" i="7"/>
  <c r="AZ166" i="7"/>
  <c r="BW160" i="7"/>
  <c r="BW141" i="7"/>
  <c r="BW157" i="7" s="1"/>
  <c r="BV184" i="7"/>
  <c r="BV185" i="7"/>
  <c r="BW159" i="7"/>
  <c r="BW140" i="7"/>
  <c r="BW139" i="7"/>
  <c r="BW161" i="7" l="1"/>
  <c r="BX136" i="7"/>
  <c r="CB28" i="7"/>
  <c r="BB53" i="7"/>
  <c r="BA59" i="7"/>
  <c r="BW183" i="7"/>
  <c r="AZ167" i="7"/>
  <c r="BA162" i="7" s="1"/>
  <c r="CB49" i="7"/>
  <c r="CB30" i="7"/>
  <c r="BW189" i="7"/>
  <c r="BW142" i="7"/>
  <c r="BA164" i="7" l="1"/>
  <c r="BA165" i="7" s="1"/>
  <c r="BA170" i="7" s="1"/>
  <c r="AZ171" i="7"/>
  <c r="BW184" i="7"/>
  <c r="BW185" i="7"/>
  <c r="CB50" i="7"/>
  <c r="CB31" i="7"/>
  <c r="CB47" i="7" s="1"/>
  <c r="BX137" i="7"/>
  <c r="BX138" i="7" s="1"/>
  <c r="BX139" i="7" s="1"/>
  <c r="BA56" i="7"/>
  <c r="CB79" i="7"/>
  <c r="W27" i="4"/>
  <c r="F100" i="1" s="1"/>
  <c r="CB29" i="7"/>
  <c r="CB32" i="7" s="1"/>
  <c r="BX142" i="7" l="1"/>
  <c r="BX161" i="7"/>
  <c r="V89" i="4" s="1"/>
  <c r="BY136" i="7"/>
  <c r="BA57" i="7"/>
  <c r="BB52" i="7" s="1"/>
  <c r="BX159" i="7"/>
  <c r="BX140" i="7"/>
  <c r="BX160" i="7"/>
  <c r="BX141" i="7"/>
  <c r="BX157" i="7" s="1"/>
  <c r="CB73" i="7"/>
  <c r="W26" i="4"/>
  <c r="CB51" i="7"/>
  <c r="W29" i="4" s="1"/>
  <c r="D100" i="1" s="1"/>
  <c r="CC26" i="7"/>
  <c r="BA168" i="7"/>
  <c r="BX183" i="7" l="1"/>
  <c r="V86" i="4"/>
  <c r="BX189" i="7"/>
  <c r="V87" i="4"/>
  <c r="BY137" i="7"/>
  <c r="BY138" i="7" s="1"/>
  <c r="BY139" i="7" s="1"/>
  <c r="CC27" i="7"/>
  <c r="CB75" i="7"/>
  <c r="CB74" i="7"/>
  <c r="BB54" i="7"/>
  <c r="BB55" i="7" s="1"/>
  <c r="BB60" i="7" s="1"/>
  <c r="BA61" i="7"/>
  <c r="BB163" i="7"/>
  <c r="BA169" i="7"/>
  <c r="BB58" i="7" l="1"/>
  <c r="BC53" i="7" s="1"/>
  <c r="BY161" i="7"/>
  <c r="BZ136" i="7"/>
  <c r="BY160" i="7"/>
  <c r="BY141" i="7"/>
  <c r="BY157" i="7" s="1"/>
  <c r="BY142" i="7"/>
  <c r="BY159" i="7"/>
  <c r="BY140" i="7"/>
  <c r="CC49" i="7"/>
  <c r="CC30" i="7"/>
  <c r="BA166" i="7"/>
  <c r="CC28" i="7"/>
  <c r="CC29" i="7" s="1"/>
  <c r="BX184" i="7"/>
  <c r="BX185" i="7"/>
  <c r="BB59" i="7" l="1"/>
  <c r="BB56" i="7" s="1"/>
  <c r="CC51" i="7"/>
  <c r="CD26" i="7"/>
  <c r="CC79" i="7"/>
  <c r="BY189" i="7"/>
  <c r="BY183" i="7"/>
  <c r="BA167" i="7"/>
  <c r="BB162" i="7" s="1"/>
  <c r="BZ137" i="7"/>
  <c r="BZ138" i="7" s="1"/>
  <c r="CC50" i="7"/>
  <c r="CC31" i="7"/>
  <c r="CC47" i="7" s="1"/>
  <c r="CC32" i="7"/>
  <c r="BZ160" i="7" l="1"/>
  <c r="BZ141" i="7"/>
  <c r="BZ157" i="7" s="1"/>
  <c r="BB57" i="7"/>
  <c r="BC52" i="7" s="1"/>
  <c r="BA171" i="7"/>
  <c r="BY185" i="7"/>
  <c r="BY184" i="7"/>
  <c r="BZ139" i="7"/>
  <c r="CD27" i="7"/>
  <c r="CD28" i="7" s="1"/>
  <c r="BB164" i="7"/>
  <c r="BB165" i="7" s="1"/>
  <c r="BB170" i="7" s="1"/>
  <c r="CC73" i="7"/>
  <c r="BZ159" i="7"/>
  <c r="BZ140" i="7"/>
  <c r="BB168" i="7" l="1"/>
  <c r="BC163" i="7" s="1"/>
  <c r="CD29" i="7"/>
  <c r="CD51" i="7" s="1"/>
  <c r="BZ161" i="7"/>
  <c r="CA136" i="7"/>
  <c r="CD50" i="7"/>
  <c r="CD31" i="7"/>
  <c r="CD47" i="7" s="1"/>
  <c r="BZ189" i="7"/>
  <c r="BB61" i="7"/>
  <c r="CD32" i="7"/>
  <c r="BC54" i="7"/>
  <c r="BC55" i="7" s="1"/>
  <c r="BC60" i="7" s="1"/>
  <c r="CC75" i="7"/>
  <c r="CC74" i="7"/>
  <c r="BZ183" i="7"/>
  <c r="CD49" i="7"/>
  <c r="CD30" i="7"/>
  <c r="BZ142" i="7"/>
  <c r="BB169" i="7" l="1"/>
  <c r="CE26" i="7"/>
  <c r="CE27" i="7" s="1"/>
  <c r="BC58" i="7"/>
  <c r="BB166" i="7"/>
  <c r="CD79" i="7"/>
  <c r="CA137" i="7"/>
  <c r="BD53" i="7"/>
  <c r="BC59" i="7"/>
  <c r="BZ185" i="7"/>
  <c r="BZ184" i="7"/>
  <c r="CD73" i="7"/>
  <c r="BC56" i="7" l="1"/>
  <c r="CA159" i="7"/>
  <c r="CA140" i="7"/>
  <c r="CA138" i="7"/>
  <c r="CA139" i="7" s="1"/>
  <c r="CE49" i="7"/>
  <c r="CE30" i="7"/>
  <c r="CE28" i="7"/>
  <c r="CD75" i="7"/>
  <c r="CD74" i="7"/>
  <c r="BB167" i="7"/>
  <c r="BC162" i="7" s="1"/>
  <c r="CA142" i="7" l="1"/>
  <c r="BC164" i="7"/>
  <c r="BC165" i="7" s="1"/>
  <c r="BC170" i="7" s="1"/>
  <c r="CA161" i="7"/>
  <c r="CB136" i="7"/>
  <c r="CE79" i="7"/>
  <c r="CA189" i="7"/>
  <c r="BB171" i="7"/>
  <c r="CE50" i="7"/>
  <c r="CE31" i="7"/>
  <c r="CE47" i="7" s="1"/>
  <c r="CA160" i="7"/>
  <c r="CA141" i="7"/>
  <c r="CA157" i="7" s="1"/>
  <c r="BC57" i="7"/>
  <c r="BD52" i="7" s="1"/>
  <c r="CE29" i="7"/>
  <c r="BD54" i="7" l="1"/>
  <c r="BD55" i="7" s="1"/>
  <c r="BD60" i="7" s="1"/>
  <c r="CE73" i="7"/>
  <c r="CA183" i="7"/>
  <c r="CB137" i="7"/>
  <c r="CE51" i="7"/>
  <c r="CF26" i="7"/>
  <c r="CE32" i="7"/>
  <c r="BC61" i="7"/>
  <c r="BC168" i="7"/>
  <c r="CB159" i="7" l="1"/>
  <c r="CB140" i="7"/>
  <c r="CB138" i="7"/>
  <c r="CB139" i="7" s="1"/>
  <c r="CB142" i="7" s="1"/>
  <c r="CA185" i="7"/>
  <c r="CA184" i="7"/>
  <c r="CE75" i="7"/>
  <c r="CE74" i="7"/>
  <c r="BD58" i="7"/>
  <c r="BD163" i="7"/>
  <c r="BC169" i="7"/>
  <c r="CF27" i="7"/>
  <c r="CF28" i="7" s="1"/>
  <c r="BC166" i="7" l="1"/>
  <c r="CB161" i="7"/>
  <c r="W89" i="4" s="1"/>
  <c r="CC136" i="7"/>
  <c r="CF50" i="7"/>
  <c r="CF31" i="7"/>
  <c r="CB160" i="7"/>
  <c r="CB141" i="7"/>
  <c r="CB157" i="7" s="1"/>
  <c r="BE53" i="7"/>
  <c r="Q30" i="4"/>
  <c r="E94" i="1" s="1"/>
  <c r="BD59" i="7"/>
  <c r="CF49" i="7"/>
  <c r="CF30" i="7"/>
  <c r="CF29" i="7"/>
  <c r="CF51" i="7" s="1"/>
  <c r="CB189" i="7"/>
  <c r="W87" i="4"/>
  <c r="BD56" i="7" l="1"/>
  <c r="CF32" i="7"/>
  <c r="B16" i="11" s="1"/>
  <c r="B13" i="3"/>
  <c r="CF79" i="7"/>
  <c r="B32" i="3" s="1"/>
  <c r="X27" i="4"/>
  <c r="F101" i="1" s="1"/>
  <c r="CF47" i="7"/>
  <c r="B42" i="3"/>
  <c r="B33" i="1" s="1"/>
  <c r="X29" i="4"/>
  <c r="D101" i="1" s="1"/>
  <c r="B47" i="3"/>
  <c r="B13" i="1" s="1"/>
  <c r="CB183" i="7"/>
  <c r="W86" i="4"/>
  <c r="E28" i="4"/>
  <c r="G82" i="1" s="1"/>
  <c r="F28" i="4"/>
  <c r="G83" i="1" s="1"/>
  <c r="G28" i="4"/>
  <c r="G84" i="1" s="1"/>
  <c r="H28" i="4"/>
  <c r="G85" i="1" s="1"/>
  <c r="I28" i="4"/>
  <c r="G86" i="1" s="1"/>
  <c r="J28" i="4"/>
  <c r="G87" i="1" s="1"/>
  <c r="K28" i="4"/>
  <c r="G88" i="1" s="1"/>
  <c r="L28" i="4"/>
  <c r="G89" i="1" s="1"/>
  <c r="M28" i="4"/>
  <c r="G90" i="1" s="1"/>
  <c r="N28" i="4"/>
  <c r="G91" i="1" s="1"/>
  <c r="O28" i="4"/>
  <c r="G92" i="1" s="1"/>
  <c r="P28" i="4"/>
  <c r="G93" i="1" s="1"/>
  <c r="Q28" i="4"/>
  <c r="G94" i="1" s="1"/>
  <c r="R28" i="4"/>
  <c r="G95" i="1" s="1"/>
  <c r="S28" i="4"/>
  <c r="G96" i="1" s="1"/>
  <c r="T28" i="4"/>
  <c r="G97" i="1" s="1"/>
  <c r="U28" i="4"/>
  <c r="G98" i="1" s="1"/>
  <c r="V28" i="4"/>
  <c r="G99" i="1" s="1"/>
  <c r="W28" i="4"/>
  <c r="G100" i="1" s="1"/>
  <c r="X28" i="4"/>
  <c r="G101" i="1" s="1"/>
  <c r="CC137" i="7"/>
  <c r="BC167" i="7"/>
  <c r="BD162" i="7" s="1"/>
  <c r="CB185" i="7" l="1"/>
  <c r="CB184" i="7"/>
  <c r="CF73" i="7"/>
  <c r="B9" i="3"/>
  <c r="B7" i="3"/>
  <c r="X26" i="4"/>
  <c r="BD164" i="7"/>
  <c r="BD165" i="7" s="1"/>
  <c r="BD170" i="7" s="1"/>
  <c r="D45" i="10"/>
  <c r="B10" i="1"/>
  <c r="F13" i="3"/>
  <c r="F25" i="1" s="1"/>
  <c r="B25" i="1"/>
  <c r="BC171" i="7"/>
  <c r="CC159" i="7"/>
  <c r="CC140" i="7"/>
  <c r="CC138" i="7"/>
  <c r="BD57" i="7"/>
  <c r="BE52" i="7" s="1"/>
  <c r="BD61" i="7" l="1"/>
  <c r="BD168" i="7"/>
  <c r="CC160" i="7"/>
  <c r="CC141" i="7"/>
  <c r="CC157" i="7" s="1"/>
  <c r="B21" i="1"/>
  <c r="F9" i="3"/>
  <c r="F21" i="1" s="1"/>
  <c r="BE54" i="7"/>
  <c r="BE55" i="7" s="1"/>
  <c r="BE60" i="7" s="1"/>
  <c r="CF74" i="7"/>
  <c r="CF75" i="7"/>
  <c r="B26" i="3" s="1"/>
  <c r="B19" i="1"/>
  <c r="F7" i="3"/>
  <c r="CC139" i="7"/>
  <c r="CC189" i="7"/>
  <c r="BE58" i="7" l="1"/>
  <c r="CC183" i="7"/>
  <c r="BE163" i="7"/>
  <c r="Q90" i="4"/>
  <c r="BD169" i="7"/>
  <c r="CC161" i="7"/>
  <c r="CD136" i="7"/>
  <c r="CC142" i="7"/>
  <c r="F19" i="1"/>
  <c r="BD166" i="7" l="1"/>
  <c r="CD137" i="7"/>
  <c r="CC184" i="7"/>
  <c r="CC185" i="7"/>
  <c r="BF53" i="7"/>
  <c r="BE59" i="7"/>
  <c r="BE56" i="7" l="1"/>
  <c r="CD159" i="7"/>
  <c r="CD140" i="7"/>
  <c r="CD138" i="7"/>
  <c r="BD167" i="7"/>
  <c r="BE162" i="7" s="1"/>
  <c r="BE164" i="7" l="1"/>
  <c r="BE165" i="7" s="1"/>
  <c r="BE170" i="7" s="1"/>
  <c r="BD171" i="7"/>
  <c r="CD189" i="7"/>
  <c r="CD160" i="7"/>
  <c r="CD141" i="7"/>
  <c r="CD157" i="7" s="1"/>
  <c r="CD139" i="7"/>
  <c r="BE57" i="7"/>
  <c r="BF52" i="7" s="1"/>
  <c r="CD183" i="7" l="1"/>
  <c r="CD161" i="7"/>
  <c r="CE136" i="7"/>
  <c r="BE61" i="7"/>
  <c r="BF54" i="7"/>
  <c r="BF55" i="7" s="1"/>
  <c r="BF60" i="7" s="1"/>
  <c r="CD142" i="7"/>
  <c r="BE168" i="7"/>
  <c r="BF58" i="7" l="1"/>
  <c r="BF163" i="7"/>
  <c r="BE169" i="7"/>
  <c r="CE137" i="7"/>
  <c r="CE138" i="7" s="1"/>
  <c r="CD185" i="7"/>
  <c r="CD184" i="7"/>
  <c r="CE160" i="7" l="1"/>
  <c r="CE141" i="7"/>
  <c r="CE157" i="7" s="1"/>
  <c r="BE166" i="7"/>
  <c r="CE159" i="7"/>
  <c r="CE140" i="7"/>
  <c r="CE139" i="7"/>
  <c r="BG53" i="7"/>
  <c r="BF59" i="7"/>
  <c r="CE189" i="7" l="1"/>
  <c r="CE183" i="7"/>
  <c r="BF56" i="7"/>
  <c r="CE161" i="7"/>
  <c r="CF136" i="7"/>
  <c r="BE167" i="7"/>
  <c r="BF162" i="7" s="1"/>
  <c r="CE142" i="7"/>
  <c r="CF137" i="7" l="1"/>
  <c r="BF57" i="7"/>
  <c r="BG52" i="7" s="1"/>
  <c r="BE171" i="7"/>
  <c r="CE185" i="7"/>
  <c r="CE184" i="7"/>
  <c r="BF164" i="7"/>
  <c r="BF165" i="7" s="1"/>
  <c r="BF170" i="7" s="1"/>
  <c r="BF61" i="7" l="1"/>
  <c r="BF168" i="7"/>
  <c r="BG54" i="7"/>
  <c r="BG55" i="7" s="1"/>
  <c r="BG60" i="7" s="1"/>
  <c r="CF159" i="7"/>
  <c r="CF140" i="7"/>
  <c r="CF138" i="7"/>
  <c r="CF160" i="7" l="1"/>
  <c r="CF141" i="7"/>
  <c r="CF139" i="7"/>
  <c r="CF161" i="7" s="1"/>
  <c r="CF189" i="7"/>
  <c r="E32" i="3" s="1"/>
  <c r="E13" i="3"/>
  <c r="X87" i="4"/>
  <c r="BG58" i="7"/>
  <c r="BG163" i="7"/>
  <c r="BF169" i="7"/>
  <c r="CF142" i="7" l="1"/>
  <c r="C16" i="11" s="1"/>
  <c r="D16" i="11" s="1"/>
  <c r="BF166" i="7"/>
  <c r="BH53" i="7"/>
  <c r="BG59" i="7"/>
  <c r="G13" i="3"/>
  <c r="G25" i="1" s="1"/>
  <c r="E25" i="1"/>
  <c r="X89" i="4"/>
  <c r="E47" i="3"/>
  <c r="CF157" i="7"/>
  <c r="E42" i="3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CF183" i="7" l="1"/>
  <c r="E9" i="3"/>
  <c r="E7" i="3"/>
  <c r="X86" i="4"/>
  <c r="BG56" i="7"/>
  <c r="BF167" i="7"/>
  <c r="BG162" i="7" s="1"/>
  <c r="BF171" i="7" l="1"/>
  <c r="BG57" i="7"/>
  <c r="BH52" i="7" s="1"/>
  <c r="BG164" i="7"/>
  <c r="BG165" i="7" s="1"/>
  <c r="BG170" i="7" s="1"/>
  <c r="E21" i="1"/>
  <c r="G9" i="3"/>
  <c r="G21" i="1" s="1"/>
  <c r="E19" i="1"/>
  <c r="G7" i="3"/>
  <c r="CF185" i="7"/>
  <c r="E26" i="3" s="1"/>
  <c r="CF184" i="7"/>
  <c r="G19" i="1" l="1"/>
  <c r="BG168" i="7"/>
  <c r="BG61" i="7"/>
  <c r="BH54" i="7"/>
  <c r="BH55" i="7" s="1"/>
  <c r="BH60" i="7" s="1"/>
  <c r="BH58" i="7" l="1"/>
  <c r="BH163" i="7"/>
  <c r="BG169" i="7"/>
  <c r="BG166" i="7" l="1"/>
  <c r="BI53" i="7"/>
  <c r="R30" i="4"/>
  <c r="E95" i="1" s="1"/>
  <c r="BH59" i="7"/>
  <c r="BH56" i="7" l="1"/>
  <c r="BG167" i="7"/>
  <c r="BH162" i="7" s="1"/>
  <c r="BH164" i="7" l="1"/>
  <c r="BH165" i="7" s="1"/>
  <c r="BH170" i="7" s="1"/>
  <c r="BG171" i="7"/>
  <c r="BH57" i="7"/>
  <c r="BI52" i="7" s="1"/>
  <c r="BH168" i="7" l="1"/>
  <c r="R90" i="4" s="1"/>
  <c r="BI54" i="7"/>
  <c r="BI55" i="7" s="1"/>
  <c r="BI60" i="7" s="1"/>
  <c r="BH61" i="7"/>
  <c r="BI163" i="7" l="1"/>
  <c r="BH169" i="7"/>
  <c r="BH166" i="7" s="1"/>
  <c r="BI58" i="7"/>
  <c r="BJ53" i="7" l="1"/>
  <c r="BI59" i="7"/>
  <c r="BH167" i="7"/>
  <c r="BI162" i="7" s="1"/>
  <c r="BI164" i="7" l="1"/>
  <c r="BI165" i="7" s="1"/>
  <c r="BI170" i="7" s="1"/>
  <c r="BI56" i="7"/>
  <c r="BH171" i="7"/>
  <c r="BI57" i="7" l="1"/>
  <c r="BJ52" i="7" s="1"/>
  <c r="BI168" i="7"/>
  <c r="BI61" i="7" l="1"/>
  <c r="BJ163" i="7"/>
  <c r="BI169" i="7"/>
  <c r="BJ54" i="7"/>
  <c r="BJ55" i="7" s="1"/>
  <c r="BJ60" i="7" s="1"/>
  <c r="BI166" i="7" l="1"/>
  <c r="BJ58" i="7"/>
  <c r="BK53" i="7" l="1"/>
  <c r="BJ59" i="7"/>
  <c r="BI167" i="7"/>
  <c r="BJ162" i="7" s="1"/>
  <c r="BI171" i="7" l="1"/>
  <c r="BJ56" i="7"/>
  <c r="BJ164" i="7"/>
  <c r="BJ165" i="7" s="1"/>
  <c r="BJ170" i="7" s="1"/>
  <c r="BJ168" i="7" l="1"/>
  <c r="BJ57" i="7"/>
  <c r="BK52" i="7" s="1"/>
  <c r="BJ61" i="7" l="1"/>
  <c r="BK54" i="7"/>
  <c r="BK55" i="7" s="1"/>
  <c r="BK60" i="7" s="1"/>
  <c r="BK163" i="7"/>
  <c r="BJ169" i="7"/>
  <c r="BJ166" i="7" l="1"/>
  <c r="BK58" i="7"/>
  <c r="BL53" i="7" l="1"/>
  <c r="BK59" i="7"/>
  <c r="BJ167" i="7"/>
  <c r="BK162" i="7" s="1"/>
  <c r="BJ171" i="7" l="1"/>
  <c r="BK164" i="7"/>
  <c r="BK165" i="7" s="1"/>
  <c r="BK170" i="7" s="1"/>
  <c r="BK56" i="7"/>
  <c r="BK57" i="7" l="1"/>
  <c r="BL52" i="7" s="1"/>
  <c r="BK168" i="7"/>
  <c r="BL163" i="7" l="1"/>
  <c r="BK169" i="7"/>
  <c r="BL54" i="7"/>
  <c r="BL55" i="7" s="1"/>
  <c r="BL60" i="7" s="1"/>
  <c r="BK61" i="7"/>
  <c r="BL58" i="7" l="1"/>
  <c r="BK166" i="7"/>
  <c r="BK167" i="7" l="1"/>
  <c r="BL162" i="7" s="1"/>
  <c r="BM53" i="7"/>
  <c r="S30" i="4"/>
  <c r="E96" i="1" s="1"/>
  <c r="BL59" i="7"/>
  <c r="BL56" i="7" l="1"/>
  <c r="BL164" i="7"/>
  <c r="BL165" i="7" s="1"/>
  <c r="BL170" i="7" s="1"/>
  <c r="BK171" i="7"/>
  <c r="BL168" i="7" l="1"/>
  <c r="BL57" i="7"/>
  <c r="BM52" i="7" s="1"/>
  <c r="BL61" i="7" l="1"/>
  <c r="BM54" i="7"/>
  <c r="BM55" i="7" s="1"/>
  <c r="BM60" i="7" s="1"/>
  <c r="BM163" i="7"/>
  <c r="S90" i="4"/>
  <c r="BL169" i="7"/>
  <c r="BL166" i="7" l="1"/>
  <c r="BM58" i="7"/>
  <c r="BN53" i="7" l="1"/>
  <c r="BM59" i="7"/>
  <c r="BL167" i="7"/>
  <c r="BM162" i="7" s="1"/>
  <c r="BM164" i="7" l="1"/>
  <c r="BM165" i="7" s="1"/>
  <c r="BM170" i="7" s="1"/>
  <c r="BL171" i="7"/>
  <c r="BM56" i="7"/>
  <c r="BM57" i="7" l="1"/>
  <c r="BN52" i="7" s="1"/>
  <c r="BM168" i="7"/>
  <c r="BN163" i="7" l="1"/>
  <c r="BM169" i="7"/>
  <c r="BN54" i="7"/>
  <c r="BN55" i="7" s="1"/>
  <c r="BN60" i="7" s="1"/>
  <c r="BM61" i="7"/>
  <c r="BN58" i="7" l="1"/>
  <c r="BM166" i="7"/>
  <c r="BM167" i="7" l="1"/>
  <c r="BN162" i="7" s="1"/>
  <c r="BO53" i="7"/>
  <c r="BN59" i="7"/>
  <c r="BM171" i="7" l="1"/>
  <c r="BN56" i="7"/>
  <c r="BN164" i="7"/>
  <c r="BN165" i="7" s="1"/>
  <c r="BN170" i="7" s="1"/>
  <c r="BN168" i="7" l="1"/>
  <c r="BN57" i="7"/>
  <c r="BO52" i="7" s="1"/>
  <c r="BN61" i="7" l="1"/>
  <c r="BO54" i="7"/>
  <c r="BO55" i="7" s="1"/>
  <c r="BO60" i="7" s="1"/>
  <c r="BO163" i="7"/>
  <c r="BN169" i="7"/>
  <c r="BO58" i="7" l="1"/>
  <c r="BP53" i="7" s="1"/>
  <c r="BN166" i="7"/>
  <c r="BO59" i="7" l="1"/>
  <c r="BO56" i="7" s="1"/>
  <c r="BN167" i="7"/>
  <c r="BO162" i="7" s="1"/>
  <c r="BO57" i="7" l="1"/>
  <c r="BP52" i="7" s="1"/>
  <c r="BO164" i="7"/>
  <c r="BO165" i="7" s="1"/>
  <c r="BO170" i="7" s="1"/>
  <c r="BN171" i="7"/>
  <c r="BO61" i="7" l="1"/>
  <c r="BO168" i="7"/>
  <c r="BP54" i="7"/>
  <c r="BP55" i="7" s="1"/>
  <c r="BP60" i="7" s="1"/>
  <c r="BP58" i="7" l="1"/>
  <c r="BP163" i="7"/>
  <c r="BO169" i="7"/>
  <c r="BO166" i="7" l="1"/>
  <c r="BQ53" i="7"/>
  <c r="T30" i="4"/>
  <c r="E97" i="1" s="1"/>
  <c r="BP59" i="7"/>
  <c r="BP56" i="7" l="1"/>
  <c r="BO167" i="7"/>
  <c r="BP162" i="7" s="1"/>
  <c r="BP57" i="7" l="1"/>
  <c r="BQ52" i="7" s="1"/>
  <c r="BP164" i="7"/>
  <c r="BP165" i="7" s="1"/>
  <c r="BP170" i="7" s="1"/>
  <c r="BO171" i="7"/>
  <c r="BQ54" i="7" l="1"/>
  <c r="BQ55" i="7" s="1"/>
  <c r="BQ60" i="7" s="1"/>
  <c r="BP168" i="7"/>
  <c r="BP61" i="7"/>
  <c r="BQ163" i="7" l="1"/>
  <c r="T90" i="4"/>
  <c r="BP169" i="7"/>
  <c r="BQ58" i="7"/>
  <c r="BR53" i="7" l="1"/>
  <c r="BQ59" i="7"/>
  <c r="BP166" i="7"/>
  <c r="BQ56" i="7" l="1"/>
  <c r="BP167" i="7"/>
  <c r="BQ162" i="7" s="1"/>
  <c r="BP171" i="7" l="1"/>
  <c r="BQ164" i="7"/>
  <c r="BQ165" i="7" s="1"/>
  <c r="BQ170" i="7" s="1"/>
  <c r="BQ57" i="7"/>
  <c r="BR52" i="7" s="1"/>
  <c r="BQ61" i="7" l="1"/>
  <c r="BR54" i="7"/>
  <c r="BR55" i="7" s="1"/>
  <c r="BR60" i="7" s="1"/>
  <c r="BQ168" i="7"/>
  <c r="BR163" i="7" l="1"/>
  <c r="BQ169" i="7"/>
  <c r="BR58" i="7"/>
  <c r="BQ166" i="7" l="1"/>
  <c r="BS53" i="7"/>
  <c r="BR59" i="7"/>
  <c r="BR56" i="7" l="1"/>
  <c r="BQ167" i="7"/>
  <c r="BR162" i="7" s="1"/>
  <c r="BQ171" i="7" l="1"/>
  <c r="BR164" i="7"/>
  <c r="BR165" i="7" s="1"/>
  <c r="BR170" i="7" s="1"/>
  <c r="BR57" i="7"/>
  <c r="BS52" i="7" s="1"/>
  <c r="BS54" i="7" l="1"/>
  <c r="BS55" i="7" s="1"/>
  <c r="BS60" i="7" s="1"/>
  <c r="BR61" i="7"/>
  <c r="BR168" i="7"/>
  <c r="BS163" i="7" l="1"/>
  <c r="BR169" i="7"/>
  <c r="BS58" i="7"/>
  <c r="BT53" i="7" l="1"/>
  <c r="BS59" i="7"/>
  <c r="BR166" i="7"/>
  <c r="BS56" i="7" l="1"/>
  <c r="BR167" i="7"/>
  <c r="BS162" i="7" s="1"/>
  <c r="BR171" i="7" l="1"/>
  <c r="BS164" i="7"/>
  <c r="BS165" i="7" s="1"/>
  <c r="BS170" i="7" s="1"/>
  <c r="BS57" i="7"/>
  <c r="BT52" i="7" s="1"/>
  <c r="BT54" i="7" l="1"/>
  <c r="BT55" i="7" s="1"/>
  <c r="BT60" i="7" s="1"/>
  <c r="BS61" i="7"/>
  <c r="BS168" i="7"/>
  <c r="BT163" i="7" l="1"/>
  <c r="BS169" i="7"/>
  <c r="BT58" i="7"/>
  <c r="BS166" i="7" l="1"/>
  <c r="BU53" i="7"/>
  <c r="U30" i="4"/>
  <c r="E98" i="1" s="1"/>
  <c r="BT59" i="7"/>
  <c r="BT56" i="7" l="1"/>
  <c r="BS167" i="7"/>
  <c r="BT162" i="7" s="1"/>
  <c r="BS171" i="7" l="1"/>
  <c r="BT164" i="7"/>
  <c r="BT165" i="7" s="1"/>
  <c r="BT170" i="7" s="1"/>
  <c r="BT57" i="7"/>
  <c r="BU52" i="7" s="1"/>
  <c r="BT61" i="7" l="1"/>
  <c r="BU54" i="7"/>
  <c r="BU55" i="7" s="1"/>
  <c r="BU60" i="7" s="1"/>
  <c r="BT168" i="7"/>
  <c r="BU58" i="7" l="1"/>
  <c r="BU163" i="7"/>
  <c r="U90" i="4"/>
  <c r="BT169" i="7"/>
  <c r="BT166" i="7" l="1"/>
  <c r="BV53" i="7"/>
  <c r="BU59" i="7"/>
  <c r="BU56" i="7" l="1"/>
  <c r="BT167" i="7"/>
  <c r="BU162" i="7" s="1"/>
  <c r="BU164" i="7" l="1"/>
  <c r="BU165" i="7" s="1"/>
  <c r="BU170" i="7" s="1"/>
  <c r="BT171" i="7"/>
  <c r="BU57" i="7"/>
  <c r="BV52" i="7" s="1"/>
  <c r="BU61" i="7" l="1"/>
  <c r="BV54" i="7"/>
  <c r="BV55" i="7" s="1"/>
  <c r="BV60" i="7" s="1"/>
  <c r="BU168" i="7"/>
  <c r="BV163" i="7" l="1"/>
  <c r="BU169" i="7"/>
  <c r="BV58" i="7"/>
  <c r="BU166" i="7" l="1"/>
  <c r="BW53" i="7"/>
  <c r="BV59" i="7"/>
  <c r="BV56" i="7" l="1"/>
  <c r="BU167" i="7"/>
  <c r="BV162" i="7" s="1"/>
  <c r="BU171" i="7" l="1"/>
  <c r="BV164" i="7"/>
  <c r="BV165" i="7" s="1"/>
  <c r="BV170" i="7" s="1"/>
  <c r="BV57" i="7"/>
  <c r="BW52" i="7" s="1"/>
  <c r="BV168" i="7" l="1"/>
  <c r="BV169" i="7" s="1"/>
  <c r="BV61" i="7"/>
  <c r="BW54" i="7"/>
  <c r="BW55" i="7" s="1"/>
  <c r="BW60" i="7" s="1"/>
  <c r="BW163" i="7" l="1"/>
  <c r="BW58" i="7"/>
  <c r="BV166" i="7"/>
  <c r="BV167" i="7" l="1"/>
  <c r="BW162" i="7" s="1"/>
  <c r="BX53" i="7"/>
  <c r="BW59" i="7"/>
  <c r="BV171" i="7" l="1"/>
  <c r="BW56" i="7"/>
  <c r="BW164" i="7"/>
  <c r="BW165" i="7" s="1"/>
  <c r="BW170" i="7" s="1"/>
  <c r="BW168" i="7" l="1"/>
  <c r="BW57" i="7"/>
  <c r="BX52" i="7" s="1"/>
  <c r="BW61" i="7" l="1"/>
  <c r="BX54" i="7"/>
  <c r="BX55" i="7" s="1"/>
  <c r="BX60" i="7" s="1"/>
  <c r="BX163" i="7"/>
  <c r="BW169" i="7"/>
  <c r="BW166" i="7" l="1"/>
  <c r="BX58" i="7"/>
  <c r="BY53" i="7" l="1"/>
  <c r="V30" i="4"/>
  <c r="E99" i="1" s="1"/>
  <c r="BX59" i="7"/>
  <c r="BW167" i="7"/>
  <c r="BX162" i="7" s="1"/>
  <c r="BW171" i="7" l="1"/>
  <c r="BX164" i="7"/>
  <c r="BX165" i="7" s="1"/>
  <c r="BX170" i="7" s="1"/>
  <c r="BX56" i="7"/>
  <c r="BX168" i="7" l="1"/>
  <c r="BY163" i="7" s="1"/>
  <c r="BX57" i="7"/>
  <c r="BY52" i="7" s="1"/>
  <c r="V90" i="4" l="1"/>
  <c r="BX169" i="7"/>
  <c r="BX166" i="7" s="1"/>
  <c r="BX61" i="7"/>
  <c r="BY54" i="7"/>
  <c r="BY55" i="7" s="1"/>
  <c r="BY60" i="7" s="1"/>
  <c r="BY58" i="7" l="1"/>
  <c r="BX167" i="7"/>
  <c r="BY162" i="7" s="1"/>
  <c r="BY164" i="7" l="1"/>
  <c r="BY165" i="7" s="1"/>
  <c r="BY170" i="7" s="1"/>
  <c r="BZ53" i="7"/>
  <c r="BY59" i="7"/>
  <c r="BX171" i="7"/>
  <c r="BY168" i="7" l="1"/>
  <c r="BZ163" i="7" s="1"/>
  <c r="BY56" i="7"/>
  <c r="BY169" i="7" l="1"/>
  <c r="BY166" i="7" s="1"/>
  <c r="BY57" i="7"/>
  <c r="BZ52" i="7" s="1"/>
  <c r="BY167" i="7" l="1"/>
  <c r="BZ162" i="7" s="1"/>
  <c r="BZ54" i="7"/>
  <c r="BZ55" i="7" s="1"/>
  <c r="BZ60" i="7" s="1"/>
  <c r="BY61" i="7"/>
  <c r="BY171" i="7" l="1"/>
  <c r="BZ58" i="7"/>
  <c r="BZ164" i="7"/>
  <c r="BZ165" i="7" s="1"/>
  <c r="BZ170" i="7" s="1"/>
  <c r="BZ168" i="7" l="1"/>
  <c r="CA53" i="7"/>
  <c r="BZ59" i="7"/>
  <c r="BZ56" i="7" l="1"/>
  <c r="CA163" i="7"/>
  <c r="BZ169" i="7"/>
  <c r="BZ166" i="7" l="1"/>
  <c r="BZ57" i="7"/>
  <c r="CA52" i="7" s="1"/>
  <c r="CA54" i="7" l="1"/>
  <c r="CA55" i="7" s="1"/>
  <c r="CA60" i="7" s="1"/>
  <c r="BZ61" i="7"/>
  <c r="BZ167" i="7"/>
  <c r="CA162" i="7" s="1"/>
  <c r="CA164" i="7" l="1"/>
  <c r="CA165" i="7" s="1"/>
  <c r="CA170" i="7" s="1"/>
  <c r="BZ171" i="7"/>
  <c r="CA58" i="7"/>
  <c r="CB53" i="7" l="1"/>
  <c r="CA59" i="7"/>
  <c r="CA168" i="7"/>
  <c r="CB163" i="7" l="1"/>
  <c r="CA169" i="7"/>
  <c r="CA56" i="7"/>
  <c r="CA166" i="7" l="1"/>
  <c r="CA57" i="7"/>
  <c r="CB52" i="7" s="1"/>
  <c r="CA61" i="7" l="1"/>
  <c r="CB54" i="7"/>
  <c r="CB55" i="7" s="1"/>
  <c r="CB60" i="7" s="1"/>
  <c r="CA167" i="7"/>
  <c r="CB162" i="7" s="1"/>
  <c r="CB58" i="7" l="1"/>
  <c r="CB59" i="7" s="1"/>
  <c r="CA171" i="7"/>
  <c r="CB164" i="7"/>
  <c r="CB165" i="7" s="1"/>
  <c r="CB170" i="7" s="1"/>
  <c r="W30" i="4" l="1"/>
  <c r="E100" i="1" s="1"/>
  <c r="CC53" i="7"/>
  <c r="CB56" i="7"/>
  <c r="CB168" i="7"/>
  <c r="CC163" i="7" l="1"/>
  <c r="W90" i="4"/>
  <c r="CB169" i="7"/>
  <c r="CB57" i="7"/>
  <c r="CC52" i="7" s="1"/>
  <c r="CB61" i="7" l="1"/>
  <c r="CB166" i="7"/>
  <c r="CC54" i="7"/>
  <c r="CC55" i="7" s="1"/>
  <c r="CC60" i="7" s="1"/>
  <c r="CC58" i="7" l="1"/>
  <c r="CB167" i="7"/>
  <c r="CC162" i="7" s="1"/>
  <c r="CB171" i="7" l="1"/>
  <c r="CC164" i="7"/>
  <c r="CC165" i="7" s="1"/>
  <c r="CC170" i="7" s="1"/>
  <c r="CD53" i="7"/>
  <c r="CC59" i="7"/>
  <c r="CC56" i="7" l="1"/>
  <c r="CC168" i="7"/>
  <c r="CD163" i="7" l="1"/>
  <c r="CC169" i="7"/>
  <c r="CC57" i="7"/>
  <c r="CD52" i="7" s="1"/>
  <c r="CC61" i="7" l="1"/>
  <c r="CD54" i="7"/>
  <c r="CD55" i="7" s="1"/>
  <c r="CD60" i="7" s="1"/>
  <c r="CC166" i="7"/>
  <c r="CD58" i="7" l="1"/>
  <c r="CE53" i="7" s="1"/>
  <c r="CC167" i="7"/>
  <c r="CD162" i="7" s="1"/>
  <c r="CD59" i="7" l="1"/>
  <c r="CD56" i="7" s="1"/>
  <c r="CD164" i="7"/>
  <c r="CD165" i="7" s="1"/>
  <c r="CD170" i="7" s="1"/>
  <c r="CC171" i="7"/>
  <c r="CD57" i="7" l="1"/>
  <c r="CE52" i="7" s="1"/>
  <c r="CD168" i="7"/>
  <c r="CD61" i="7" l="1"/>
  <c r="CE163" i="7"/>
  <c r="CD169" i="7"/>
  <c r="CE54" i="7"/>
  <c r="CE55" i="7" s="1"/>
  <c r="CE60" i="7" s="1"/>
  <c r="CE58" i="7" l="1"/>
  <c r="CD166" i="7"/>
  <c r="CD167" i="7" l="1"/>
  <c r="CE162" i="7" s="1"/>
  <c r="CF53" i="7"/>
  <c r="CE59" i="7"/>
  <c r="CE56" i="7" l="1"/>
  <c r="CE164" i="7"/>
  <c r="CE165" i="7" s="1"/>
  <c r="CE170" i="7" s="1"/>
  <c r="CD171" i="7"/>
  <c r="CE168" i="7" l="1"/>
  <c r="CE57" i="7"/>
  <c r="CF52" i="7" s="1"/>
  <c r="CE61" i="7" l="1"/>
  <c r="CF54" i="7"/>
  <c r="CF55" i="7" s="1"/>
  <c r="CF163" i="7"/>
  <c r="CE169" i="7"/>
  <c r="CE166" i="7" l="1"/>
  <c r="B19" i="11"/>
  <c r="CF60" i="7"/>
  <c r="CF58" i="7"/>
  <c r="B14" i="3" l="1"/>
  <c r="X30" i="4"/>
  <c r="E101" i="1" s="1"/>
  <c r="CF59" i="7"/>
  <c r="CF56" i="7" s="1"/>
  <c r="CE167" i="7"/>
  <c r="CF162" i="7" s="1"/>
  <c r="CE171" i="7" l="1"/>
  <c r="CF57" i="7"/>
  <c r="B33" i="3" s="1"/>
  <c r="CF164" i="7"/>
  <c r="CF165" i="7" s="1"/>
  <c r="B11" i="1"/>
  <c r="F14" i="3"/>
  <c r="A39" i="1"/>
  <c r="B27" i="3"/>
  <c r="F13" i="1" s="1"/>
  <c r="B26" i="1"/>
  <c r="B31" i="3"/>
  <c r="F11" i="1" s="1"/>
  <c r="B51" i="3"/>
  <c r="CF61" i="7" l="1"/>
  <c r="B18" i="11" s="1"/>
  <c r="F26" i="1"/>
  <c r="B50" i="3"/>
  <c r="C19" i="11"/>
  <c r="D19" i="11" s="1"/>
  <c r="CF170" i="7"/>
  <c r="CF168" i="7"/>
  <c r="E14" i="3" l="1"/>
  <c r="X90" i="4"/>
  <c r="CF169" i="7"/>
  <c r="CF166" i="7" s="1"/>
  <c r="D25" i="10"/>
  <c r="CF167" i="7" l="1"/>
  <c r="E33" i="3" s="1"/>
  <c r="G14" i="3"/>
  <c r="E27" i="3"/>
  <c r="E26" i="1"/>
  <c r="E31" i="3"/>
  <c r="E51" i="3"/>
  <c r="G26" i="1" l="1"/>
  <c r="E50" i="3"/>
  <c r="A4" i="1" s="1"/>
  <c r="CF171" i="7"/>
  <c r="C18" i="11" s="1"/>
  <c r="D18" i="11" s="1"/>
</calcChain>
</file>

<file path=xl/sharedStrings.xml><?xml version="1.0" encoding="utf-8"?>
<sst xmlns="http://schemas.openxmlformats.org/spreadsheetml/2006/main" count="1868" uniqueCount="788">
  <si>
    <t>决策看板 · V3模拟测算</t>
  </si>
  <si>
    <t>项目名称</t>
  </si>
  <si>
    <t>经营模式</t>
  </si>
  <si>
    <t>当前期末口径</t>
  </si>
  <si>
    <t>测算期限（年）</t>
  </si>
  <si>
    <t>总投资（万元）</t>
  </si>
  <si>
    <t>既定贷款（万元）</t>
  </si>
  <si>
    <t>所需累计资本金（万元）</t>
  </si>
  <si>
    <t>资本金额度（万元）</t>
  </si>
  <si>
    <t>最大未落实缺口（万元）</t>
  </si>
  <si>
    <t>缺口发生季度</t>
  </si>
  <si>
    <t>融资前峰值需要（万元）</t>
  </si>
  <si>
    <t>峰值发生季度</t>
  </si>
  <si>
    <t>理论最大留存现金（万元）</t>
  </si>
  <si>
    <t>收益口径</t>
  </si>
  <si>
    <t>指标／资金约束</t>
  </si>
  <si>
    <t>基准</t>
  </si>
  <si>
    <t>单位</t>
  </si>
  <si>
    <t>阈值</t>
  </si>
  <si>
    <t>压力</t>
  </si>
  <si>
    <t>基准状态</t>
  </si>
  <si>
    <t>压力状态</t>
  </si>
  <si>
    <t>项目税后IRR（年化）</t>
  </si>
  <si>
    <t>资本金IRR（年化）</t>
  </si>
  <si>
    <t>项目NPV</t>
  </si>
  <si>
    <t>资本金NPV</t>
  </si>
  <si>
    <t>静态投资回收期</t>
  </si>
  <si>
    <t>动态投资回收期</t>
  </si>
  <si>
    <t>最低年度经营DSCR</t>
  </si>
  <si>
    <t>所需累计资本金</t>
  </si>
  <si>
    <t>最大未落实资金缺口</t>
  </si>
  <si>
    <t>到期计划本金余额</t>
  </si>
  <si>
    <t>持续持有与期末出售（同一经营、融资假设）</t>
  </si>
  <si>
    <t>指标</t>
  </si>
  <si>
    <t>持续持有</t>
  </si>
  <si>
    <t>期末出售</t>
  </si>
  <si>
    <t>说明</t>
  </si>
  <si>
    <t>项目IRR</t>
  </si>
  <si>
    <t>%</t>
  </si>
  <si>
    <t>万元</t>
  </si>
  <si>
    <t>资本金IRR</t>
  </si>
  <si>
    <t>最低经营DSCR发生年度</t>
  </si>
  <si>
    <t>稳定经营现金保本出租率</t>
  </si>
  <si>
    <t>期末销售应收（万元）</t>
  </si>
  <si>
    <t>持续持有账面净值（万元）</t>
  </si>
  <si>
    <t>累计净利润（万元）</t>
  </si>
  <si>
    <t>精确边界刷新状态</t>
  </si>
  <si>
    <t>项目年</t>
  </si>
  <si>
    <t>经营CFADS</t>
  </si>
  <si>
    <t>合同本息</t>
  </si>
  <si>
    <t>年末留存</t>
  </si>
  <si>
    <t>未落实缺口</t>
  </si>
  <si>
    <t>所需股东出资</t>
  </si>
  <si>
    <t>股东分配</t>
  </si>
  <si>
    <t>累计项目现金</t>
  </si>
  <si>
    <t>核心参数输入 · V3模拟测算</t>
  </si>
  <si>
    <t>参数</t>
  </si>
  <si>
    <t>输入值</t>
  </si>
  <si>
    <t>口径、来源与状态</t>
  </si>
  <si>
    <t>基础与建筑参数</t>
  </si>
  <si>
    <t>模拟产业园 · 租售结合</t>
  </si>
  <si>
    <t>文本</t>
  </si>
  <si>
    <t>全部数据为虚构模拟数据</t>
  </si>
  <si>
    <t>V2保存参数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</si>
  <si>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</si>
  <si>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</si>
  <si>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</si>
  <si>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</si>
  <si>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</si>
  <si>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</si>
  <si>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</si>
  <si>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</si>
  <si>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</si>
  <si>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</si>
  <si>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</si>
  <si>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</si>
  <si>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其余为公共及非经营空间；共同成本仍计入</t>
  </si>
  <si>
    <t>地下建筑面积</t>
  </si>
  <si>
    <t>地下空间不独立产生收入</t>
  </si>
  <si>
    <t>可经营面积销售占比</t>
  </si>
  <si>
    <t>混合模式使用；纯出售／纯持有由B95切换，原55%示意值保留</t>
  </si>
  <si>
    <t>实际出租占比（模式后）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</si>
  <si>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</si>
  <si>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</si>
  <si>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</si>
  <si>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</si>
  <si>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</si>
  <si>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</si>
  <si>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</si>
  <si>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</si>
  <si>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</si>
  <si>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</si>
  <si>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</si>
  <si>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</si>
  <si>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</si>
  <si>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</si>
  <si>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</si>
  <si>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</si>
  <si>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</si>
  <si>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</si>
  <si>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</si>
  <si>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</si>
  <si>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</si>
  <si>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</si>
  <si>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</si>
  <si>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</si>
  <si>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</si>
  <si>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</si>
  <si>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</si>
  <si>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</si>
  <si>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</si>
  <si>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</si>
  <si>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</si>
  <si>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</si>
  <si>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</si>
  <si>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</si>
  <si>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</si>
  <si>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</si>
  <si>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</si>
  <si>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</si>
  <si>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</si>
  <si>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</si>
  <si>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第1个出租年度年末目标；V3按季内入驻位置形成平均面积</t>
  </si>
  <si>
    <t>出租第2年出租率</t>
  </si>
  <si>
    <t>第2个出租年度年末目标</t>
  </si>
  <si>
    <t>出租第3年出租率</t>
  </si>
  <si>
    <t>第3个出租年度年末目标</t>
  </si>
  <si>
    <t>第4年起稳定出租率</t>
  </si>
  <si>
    <t>第4出租年末及以后目标；不模拟租户更替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</si>
  <si>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</si>
  <si>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</si>
  <si>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</si>
  <si>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</si>
  <si>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</si>
  <si>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</si>
  <si>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</si>
  <si>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</si>
  <si>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</si>
  <si>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</si>
  <si>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</si>
  <si>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</si>
  <si>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</si>
  <si>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</si>
  <si>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</si>
  <si>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</si>
  <si>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常年维护按基准持有面积缩放；重大更新另列B117</t>
  </si>
  <si>
    <t>简化运营相关税费率</t>
  </si>
  <si>
    <t>租金及其他经营收入×综合率；不另计复杂税种</t>
  </si>
  <si>
    <t>企业所得税率</t>
  </si>
  <si>
    <t>年度计税，按B100:B101结转亏损；与现金支付时间分开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</si>
  <si>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</si>
  <si>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</si>
  <si>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</si>
  <si>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</si>
  <si>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</t>
  </si>
  <si>
    <t>贷款金额</t>
  </si>
  <si>
    <t>既定贷款额度；季度提款可覆盖，提款滞后不自动增贷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</si>
  <si>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</si>
  <si>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</si>
  <si>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</si>
  <si>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</si>
  <si>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</si>
  <si>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原开始年度年末首笔还本；整体延期时配套后移</t>
  </si>
  <si>
    <t>可投入资本金总额度</t>
  </si>
  <si>
    <t>按需投入且不突破额度；缺口单列，不作为真实资金</t>
  </si>
  <si>
    <t>期末处置</t>
  </si>
  <si>
    <t>是否计入期末处置</t>
  </si>
  <si>
    <t>0关闭/1开启</t>
  </si>
  <si>
    <t>当前展示口径开关；持有与出售结果始终并列计算</t>
  </si>
  <si>
    <t>持有物业期末处置价值</t>
  </si>
  <si>
    <t>仅持有物业的第N年含税售价；变更期限应重估</t>
  </si>
  <si>
    <t>期末处置费用率</t>
  </si>
  <si>
    <t>综合退出费用已包含交易税费，退出不再重复计销项增值税</t>
  </si>
  <si>
    <t>模拟判断标准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</si>
  <si>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</si>
  <si>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</si>
  <si>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</si>
  <si>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</si>
  <si>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</si>
  <si>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</si>
  <si>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</si>
  <si>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</si>
  <si>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</si>
  <si>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</si>
  <si>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</si>
  <si>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</si>
  <si>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</si>
  <si>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</si>
  <si>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</si>
  <si>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</si>
  <si>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</si>
  <si>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</si>
  <si>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</si>
  <si>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</si>
  <si>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</si>
  <si>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</si>
  <si>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</si>
  <si>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</si>
  <si>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</si>
  <si>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</si>
  <si>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</si>
  <si>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年度建设分配比例</t>
  </si>
  <si>
    <t>年度签约销售比例</t>
  </si>
  <si>
    <t>V3补充假设（黄色输入；默认均为示意、待确认）</t>
  </si>
  <si>
    <t>编号</t>
  </si>
  <si>
    <t>1租售结合，2纯出售，3纯持有；混合模式读取原B14</t>
  </si>
  <si>
    <t>V3示意新增，待核对</t>
  </si>
  <si>
    <t>流转税计算口径</t>
  </si>
  <si>
    <t>1沿用V2综合率；2分离增值税，必须填B118:B122财务参数</t>
  </si>
  <si>
    <t>新增假设已完成项目核对</t>
  </si>
  <si>
    <t>0/1</t>
  </si>
  <si>
    <t>示意默认0；只有逐项核对后改1，仍不代表项目值得投资</t>
  </si>
  <si>
    <t>持有土地是否摊销</t>
  </si>
  <si>
    <t>V3示意开启；仅财务假设，非税务适用结论</t>
  </si>
  <si>
    <t>持有土地摊销年限</t>
  </si>
  <si>
    <t>示意新增；从建成后开始，零残值；须核对剩余年限</t>
  </si>
  <si>
    <t>是否结转所得税亏损</t>
  </si>
  <si>
    <t>按年度、分年份、先发生先使用；不跨项目共享</t>
  </si>
  <si>
    <t>亏损可结转年限</t>
  </si>
  <si>
    <t>示意新增，非实际适用规则；0表示无到期，最大30年</t>
  </si>
  <si>
    <t>销售交付当季收款比例</t>
  </si>
  <si>
    <t>其余按B103延迟；收入按交付确认，未收保留应收</t>
  </si>
  <si>
    <t>销售尾款延迟季度数</t>
  </si>
  <si>
    <t>季度</t>
  </si>
  <si>
    <t>示意新增；尾款超出测算期不自动收回，并提示应收余额</t>
  </si>
  <si>
    <t>租金收款延迟季度数</t>
  </si>
  <si>
    <t>收缴率视为最终可收回比例，其余记坏账；收款另按此延迟</t>
  </si>
  <si>
    <t>建设付款相对工程形成滞后</t>
  </si>
  <si>
    <t>可在季度计划逐季覆盖；形成成本与付款现金分开</t>
  </si>
  <si>
    <t>贷款提款相对建设付款滞后</t>
  </si>
  <si>
    <t>既定额度；滞后会增加股东垫资，不自动新增贷款</t>
  </si>
  <si>
    <t>整体开发延期季度数</t>
  </si>
  <si>
    <t>土地已于第0年投入；非土地开工及后续租售整体后移，建设跨度不变</t>
  </si>
  <si>
    <t>固定及维护成本对应持有面积</t>
  </si>
  <si>
    <t>V2持有面积基准；持有规模变化时按面积比例调整成本</t>
  </si>
  <si>
    <t>持续持有期末周转回收比例</t>
  </si>
  <si>
    <t>默认不因观察期结束回收周转资金</t>
  </si>
  <si>
    <t>出售退出期末周转回收比例</t>
  </si>
  <si>
    <t>示意全额；仅持有物业退出，不将未售存货或应收自动变现</t>
  </si>
  <si>
    <t>所得税现金支付滞后季度数</t>
  </si>
  <si>
    <t>年度计算、年末支付；期末未支付税款按终值负债结算扣除</t>
  </si>
  <si>
    <t>流转税现金支付滞后季度数</t>
  </si>
  <si>
    <t>含增值税及其他流转税；期末未付款作为负债结算扣除</t>
  </si>
  <si>
    <t>贷款一次性融资费用率</t>
  </si>
  <si>
    <t>首次提款支付并资本化，作为融资现金流出，不进入项目投资现金流</t>
  </si>
  <si>
    <t>拿地附加现金成本</t>
  </si>
  <si>
    <t>示意为零，须核对包含范围；归入土地成本且第0年支付</t>
  </si>
  <si>
    <t>持有部分专项装修配套投资</t>
  </si>
  <si>
    <t>示意为零，全部归持有部分；按建设比例形成及支付，不与共同成本重复</t>
  </si>
  <si>
    <t>持有重大更新发生项目年</t>
  </si>
  <si>
    <t>仅当B117非零生效；年末一次发生，现金费用化，财务假设待确认</t>
  </si>
  <si>
    <t>持有重大更新支出</t>
  </si>
  <si>
    <t>不随面积自动缩放，已含常年维护的部分不得重复填写</t>
  </si>
  <si>
    <t>销售收入增值税率</t>
  </si>
  <si>
    <t>仅口径2生效；零为待核对示意参数，不代表实际税率</t>
  </si>
  <si>
    <t>出租及其他收入增值税率</t>
  </si>
  <si>
    <t>仅口径2生效；按含税收入分离销项税</t>
  </si>
  <si>
    <t>建设支付可抵扣进项税额比例</t>
  </si>
  <si>
    <t>仅口径2生效；以含税支付额为分母，同时扣减资本成本；余额不自动退款</t>
  </si>
  <si>
    <t>销售其他流转税费率</t>
  </si>
  <si>
    <t>仅口径2生效，按含税销售金额；口径1仍用原B33综合率</t>
  </si>
  <si>
    <t>运营其他流转税费率</t>
  </si>
  <si>
    <t>仅口径2生效，按含税租赁及其他收入；口径1仍用原B51</t>
  </si>
  <si>
    <t>最低安全现金余额</t>
  </si>
  <si>
    <t>需要时填写；自首个正季度维持，期末出售释放</t>
  </si>
  <si>
    <t>压力情景额外开发延期</t>
  </si>
  <si>
    <t>除原四项压力外可再增加延期；默认0保留原压力设定</t>
  </si>
  <si>
    <t>新增租户季内入驻位置</t>
  </si>
  <si>
    <t>比例</t>
  </si>
  <si>
    <t>0季初、0.5季中、1季末；出租率输入改为各出租年末目标</t>
  </si>
  <si>
    <t>销售签约至交付延迟</t>
  </si>
  <si>
    <t>交付不得早于建成；收入、销售成本及首款以交付为起点</t>
  </si>
  <si>
    <t>合同还本间隔季度数</t>
  </si>
  <si>
    <t>4每年、1每季；从原开始还本年度的年末开始；到期结清计划本金</t>
  </si>
  <si>
    <t>年度计划第1季度权重</t>
  </si>
  <si>
    <t>四季权重合计100%；用于建设、销售默认分解，可逐季覆盖</t>
  </si>
  <si>
    <t>年度计划第2季度权重</t>
  </si>
  <si>
    <t>V3示意均匀分配，非实际合同付款安排</t>
  </si>
  <si>
    <t>年度计划第3季度权重</t>
  </si>
  <si>
    <t>用于原年度计划分解</t>
  </si>
  <si>
    <t>年度计划第4季度权重</t>
  </si>
  <si>
    <t>地价边界搜索上限</t>
  </si>
  <si>
    <t>财务测试范围，非市场区间；超范围只报告边界未找到</t>
  </si>
  <si>
    <t>售价边界搜索上限</t>
  </si>
  <si>
    <t>同一基准模型反复求解；修改参数后运行刷新工具</t>
  </si>
  <si>
    <t>月租金边界搜索上限</t>
  </si>
  <si>
    <t>财务测试范围，非市场区间</t>
  </si>
  <si>
    <t>建设成本倍数测试上限</t>
  </si>
  <si>
    <t>以V2非土地共同建设及专项装修为基数</t>
  </si>
  <si>
    <t>开发延期测试上限</t>
  </si>
  <si>
    <t>用于延期单因素边界，搜索不超过此范围</t>
  </si>
  <si>
    <t>出租率测试上限</t>
  </si>
  <si>
    <t>用于稳定出租率财务边界，不可超过100%</t>
  </si>
  <si>
    <t>压力情景期末售价系数</t>
  </si>
  <si>
    <t>默认1沿用V2处置价；需要时单独压低退出价格</t>
  </si>
  <si>
    <t>当前生效口径（公式）</t>
  </si>
  <si>
    <t>实际销售比例</t>
  </si>
  <si>
    <t>实际持有比例</t>
  </si>
  <si>
    <t>生效土地单价</t>
  </si>
  <si>
    <t>生效销售均价</t>
  </si>
  <si>
    <t>生效初始月租金</t>
  </si>
  <si>
    <t>生效非土地成本倍数</t>
  </si>
  <si>
    <t>生效整体延期季度</t>
  </si>
  <si>
    <t>经营模式名称</t>
  </si>
  <si>
    <t>输入基础有效标志</t>
  </si>
  <si>
    <t>税费口径</t>
  </si>
  <si>
    <t>指标与情景 · V3模拟测算</t>
  </si>
  <si>
    <t>季度IRR按(1+r)^4－1年化；只取第0季至第N年末</t>
  </si>
  <si>
    <t>完整出资并预留后续资金后的分配；不代表未落实资金已到位</t>
  </si>
  <si>
    <t>按年折现率换算季度有效利率，第0季不折现</t>
  </si>
  <si>
    <t>首次跨零、季内线性插值；若以后再次转负需另审视</t>
  </si>
  <si>
    <t>按年度CFADS／年度合同本息；季度覆盖另见现金流表</t>
  </si>
  <si>
    <t>合同计划还款后的余额，不等于实际已经偿还</t>
  </si>
  <si>
    <t>总投资含建设期融资费用</t>
  </si>
  <si>
    <t>既定贷款额度</t>
  </si>
  <si>
    <t>可投入资本金额度</t>
  </si>
  <si>
    <t>测算期销售交付比例</t>
  </si>
  <si>
    <t>销售交付完成时间</t>
  </si>
  <si>
    <t>持有出租面积</t>
  </si>
  <si>
    <t>稳定运营现金保本出租率</t>
  </si>
  <si>
    <t>仅稳定运营现金保本，不含所得税、折旧、本息和投资回收；无新增免租</t>
  </si>
  <si>
    <t>持有稳定NOI收益率</t>
  </si>
  <si>
    <t>稳定观察季度NOI×4／持有分摊总投资；非IRR</t>
  </si>
  <si>
    <t>期末净处置占现金流入</t>
  </si>
  <si>
    <t>项目IRR变号提示</t>
  </si>
  <si>
    <t>资本金IRR变号提示</t>
  </si>
  <si>
    <t>资本金收益可执行性</t>
  </si>
  <si>
    <t>稳定观察项目年度</t>
  </si>
  <si>
    <t>融资前峰值资金需要</t>
  </si>
  <si>
    <t>排除贷款和股东流入及本金偿还，包含融资利息和手续费</t>
  </si>
  <si>
    <t>融资前峰值发生季度</t>
  </si>
  <si>
    <t>未落实缺口高峰季度</t>
  </si>
  <si>
    <t>累计资本金投入高峰季度</t>
  </si>
  <si>
    <t>最低额度内期末现金</t>
  </si>
  <si>
    <t>期末销售应收余额</t>
  </si>
  <si>
    <t>累计净利润</t>
  </si>
  <si>
    <t>流转税口径</t>
  </si>
  <si>
    <t>贷款合同到期时间</t>
  </si>
  <si>
    <t>持续持有项目IRR</t>
  </si>
  <si>
    <t>持续持有不将物业、存货或应收自动变现；周转按B109</t>
  </si>
  <si>
    <t>期末出售项目IRR</t>
  </si>
  <si>
    <t>仅出售持有物业，扣费用与所得税，周转按B110</t>
  </si>
  <si>
    <t>持续持有项目NPV</t>
  </si>
  <si>
    <t>期末出售项目NPV</t>
  </si>
  <si>
    <t>持续持有资本金IRR</t>
  </si>
  <si>
    <t>期末出售资本金IRR</t>
  </si>
  <si>
    <t>当前口径周转回收</t>
  </si>
  <si>
    <t>持有账面净值（出售前）</t>
  </si>
  <si>
    <t>期末未抵扣进项税</t>
  </si>
  <si>
    <t>最大理论留存现金</t>
  </si>
  <si>
    <t>最低DSCR发生年度</t>
  </si>
  <si>
    <t>模型基础有效标志</t>
  </si>
  <si>
    <t>输入、计划、融资的本地必要条件；独立校验在模型校验表</t>
  </si>
  <si>
    <t>已建模全部财务条件达标标志</t>
  </si>
  <si>
    <t>只代表当前已建模财务条件；不包含未确认假设和市场论证</t>
  </si>
  <si>
    <t>资金约束达标标志</t>
  </si>
  <si>
    <t>项目NPV盈亏差额</t>
  </si>
  <si>
    <t>稳定经营现金NOI</t>
  </si>
  <si>
    <t>已建模参数确认状态</t>
  </si>
  <si>
    <t>年度汇总 · V3模拟测算</t>
  </si>
  <si>
    <t>项目年度</t>
  </si>
  <si>
    <t>日历年份</t>
  </si>
  <si>
    <t>基准 · 年度汇总</t>
  </si>
  <si>
    <t>销售收入（利润口径）</t>
  </si>
  <si>
    <t>持有收入（利润口径）</t>
  </si>
  <si>
    <t>销售实收现金</t>
  </si>
  <si>
    <t>租金实收现金</t>
  </si>
  <si>
    <t>其他经营实收现金</t>
  </si>
  <si>
    <t>现金成本及流转税</t>
  </si>
  <si>
    <t>融资所得税现金</t>
  </si>
  <si>
    <t>净利润</t>
  </si>
  <si>
    <t>投资支付含资本化融资费用</t>
  </si>
  <si>
    <t>贷款提款</t>
  </si>
  <si>
    <t>计划还本</t>
  </si>
  <si>
    <t>全部利息现金</t>
  </si>
  <si>
    <t>经营偿债现金CFADS</t>
  </si>
  <si>
    <t>年度经营DSCR</t>
  </si>
  <si>
    <t>项目投资现金流</t>
  </si>
  <si>
    <t>资本金现金流（完整出资）</t>
  </si>
  <si>
    <t>所需股东投入</t>
  </si>
  <si>
    <t>理论股东分配</t>
  </si>
  <si>
    <t>年末留存现金</t>
  </si>
  <si>
    <t>年内最大未落实缺口</t>
  </si>
  <si>
    <t>偿债需要其他资金支持</t>
  </si>
  <si>
    <t>年末计划贷款余额</t>
  </si>
  <si>
    <t>累计项目现金流</t>
  </si>
  <si>
    <t>本年项目折现现金流</t>
  </si>
  <si>
    <t>累计项目折现现金流</t>
  </si>
  <si>
    <t>持有期末账面净值</t>
  </si>
  <si>
    <t>年末销售应收</t>
  </si>
  <si>
    <t>年末进项税留抵</t>
  </si>
  <si>
    <t>周转资金回收</t>
  </si>
  <si>
    <t>持有物业出售净现金</t>
  </si>
  <si>
    <t>期末税款及负债结算</t>
  </si>
  <si>
    <t>最低DSCR辅助筛选</t>
  </si>
  <si>
    <t>组合压力 · 年度汇总</t>
  </si>
  <si>
    <t>季度投融资 · V3模拟测算</t>
  </si>
  <si>
    <t>季度索引</t>
  </si>
  <si>
    <t>日历期间</t>
  </si>
  <si>
    <t>土地及拿地附加成本</t>
  </si>
  <si>
    <t>地上建安</t>
  </si>
  <si>
    <t>地下建安</t>
  </si>
  <si>
    <t>共同配套</t>
  </si>
  <si>
    <t>前期费用</t>
  </si>
  <si>
    <t>建设管理及其他</t>
  </si>
  <si>
    <t>非土地共同成本小计</t>
  </si>
  <si>
    <t>预备费</t>
  </si>
  <si>
    <t>共同非土地成本含预备费</t>
  </si>
  <si>
    <t>持有专项装修配套</t>
  </si>
  <si>
    <t>非土地现金投资总额</t>
  </si>
  <si>
    <t>建设期利息</t>
  </si>
  <si>
    <t>融资手续费</t>
  </si>
  <si>
    <t>项目总投资（含融资费用）</t>
  </si>
  <si>
    <t>销售成本基数（项目）</t>
  </si>
  <si>
    <t>持有建筑成本（项目）</t>
  </si>
  <si>
    <t>持有土地成本</t>
  </si>
  <si>
    <t>销售成本基数（融资）</t>
  </si>
  <si>
    <t>持有建筑成本（融资）</t>
  </si>
  <si>
    <t>持有分摊投资含周转</t>
  </si>
  <si>
    <t>首次提款季度</t>
  </si>
  <si>
    <t>合同到期季度</t>
  </si>
  <si>
    <t>首笔还本季度</t>
  </si>
  <si>
    <t>计划还本次数</t>
  </si>
  <si>
    <t>地上可经营面积</t>
  </si>
  <si>
    <t>融资方案基础有效标志</t>
  </si>
  <si>
    <t>基准 · 季度投资和合同还款</t>
  </si>
  <si>
    <t>本季形成非土地投资</t>
  </si>
  <si>
    <t>土地现金支付</t>
  </si>
  <si>
    <t>建设现金付款</t>
  </si>
  <si>
    <t>周转资金投入</t>
  </si>
  <si>
    <t>本季贷款提款</t>
  </si>
  <si>
    <t>期初贷款本金</t>
  </si>
  <si>
    <t>合同计划还本</t>
  </si>
  <si>
    <t>本季现金利息</t>
  </si>
  <si>
    <t>期末计划贷款本金</t>
  </si>
  <si>
    <t>其中建设期利息</t>
  </si>
  <si>
    <t>其中经营期利息</t>
  </si>
  <si>
    <t>计划本息合计</t>
  </si>
  <si>
    <t>累计建设付款含土地</t>
  </si>
  <si>
    <t>投资现金含资本化融资费用</t>
  </si>
  <si>
    <t>本季融资手续费</t>
  </si>
  <si>
    <t>项目投资现金（不含融资费）</t>
  </si>
  <si>
    <t>累计工程形成成本含土地</t>
  </si>
  <si>
    <t>首次提款辅助标志</t>
  </si>
  <si>
    <t>组合压力 · 季度投资和合同还款</t>
  </si>
  <si>
    <t>季度经营税费 · V3模拟测算</t>
  </si>
  <si>
    <t>基准 · 交付、收款、成本与税费</t>
  </si>
  <si>
    <t>销售交付面积（平方米）</t>
  </si>
  <si>
    <t>含税销售收入</t>
  </si>
  <si>
    <t>期末销售应收款</t>
  </si>
  <si>
    <t>出租年度目标比例</t>
  </si>
  <si>
    <t>季度末出租率</t>
  </si>
  <si>
    <t>期初出租面积（平方米）</t>
  </si>
  <si>
    <t>期末出租面积（平方米）</t>
  </si>
  <si>
    <t>新增出租面积（平方米）</t>
  </si>
  <si>
    <t>季度平均出租面积（平方米）</t>
  </si>
  <si>
    <t>月租金（元/平方米/月）</t>
  </si>
  <si>
    <t>免租前合同租金</t>
  </si>
  <si>
    <t>新增租户免租减收</t>
  </si>
  <si>
    <t>合同租金收入（含税）</t>
  </si>
  <si>
    <t>预计租金坏账费用</t>
  </si>
  <si>
    <t>租金预计可收回额</t>
  </si>
  <si>
    <t>其他经营收入（含税）</t>
  </si>
  <si>
    <t>销售销项增值税</t>
  </si>
  <si>
    <t>出租销项增值税</t>
  </si>
  <si>
    <t>其他销项增值税</t>
  </si>
  <si>
    <t>营业收入合计（利润口径）</t>
  </si>
  <si>
    <t>销售费用</t>
  </si>
  <si>
    <t>销售其他流转税费计提</t>
  </si>
  <si>
    <t>持有固定运营成本</t>
  </si>
  <si>
    <t>持有变动成本</t>
  </si>
  <si>
    <t>常年维护及重大更新</t>
  </si>
  <si>
    <t>持有其他流转税费计提</t>
  </si>
  <si>
    <t>持有建筑折旧（项目）</t>
  </si>
  <si>
    <t>持有建筑折旧（融资）</t>
  </si>
  <si>
    <t>持有土地摊销</t>
  </si>
  <si>
    <t>销售成本结转（项目）</t>
  </si>
  <si>
    <t>销售成本结转（融资）</t>
  </si>
  <si>
    <t>不含融资经营税前利润</t>
  </si>
  <si>
    <t>融资经营税前利润</t>
  </si>
  <si>
    <t>本季可抵扣建设进项税</t>
  </si>
  <si>
    <t>期初未抵扣进项余额</t>
  </si>
  <si>
    <t>本季应付增值税</t>
  </si>
  <si>
    <t>期末未抵扣进项余额</t>
  </si>
  <si>
    <t>增值税现金支付及期末结算</t>
  </si>
  <si>
    <t>其他流转税现金支付及期末结算</t>
  </si>
  <si>
    <t>持有账面净值（项目）</t>
  </si>
  <si>
    <t>持有账面净值（融资）</t>
  </si>
  <si>
    <t>未售存货（融资）</t>
  </si>
  <si>
    <t>退出方案持有物业售价</t>
  </si>
  <si>
    <t>退出方案净处置现金</t>
  </si>
  <si>
    <t>退出方案处置损益（项目）</t>
  </si>
  <si>
    <t>退出方案处置损益（融资）</t>
  </si>
  <si>
    <t>项目所得税现金（持续持有）</t>
  </si>
  <si>
    <t>项目所得税现金（期末出售）</t>
  </si>
  <si>
    <t>融资所得税现金（持续持有）</t>
  </si>
  <si>
    <t>融资所得税现金（期末出售）</t>
  </si>
  <si>
    <t>净利润（持续持有）</t>
  </si>
  <si>
    <t>净利润（期末出售）</t>
  </si>
  <si>
    <t>经营及销售现金流入合计</t>
  </si>
  <si>
    <t>现金成本税费（不含所得税）</t>
  </si>
  <si>
    <t>持有NOI（含维护，不含所得税）</t>
  </si>
  <si>
    <t>销售其他流转税现金</t>
  </si>
  <si>
    <t>持有其他流转税现金</t>
  </si>
  <si>
    <t>期末税款结算（增值税）</t>
  </si>
  <si>
    <t>期末税款结算（其他流转税）</t>
  </si>
  <si>
    <t>期末税款结算（项目所得税持有）</t>
  </si>
  <si>
    <t>期末税款结算（融资所得税持有）</t>
  </si>
  <si>
    <t>组合压力 · 交付、收款、成本与税费</t>
  </si>
  <si>
    <t>季度现金流 · V3模拟测算</t>
  </si>
  <si>
    <t>基准 · 现金流与资金约束</t>
  </si>
  <si>
    <t>持续持有项目经营现金</t>
  </si>
  <si>
    <t>项目投资现金支出</t>
  </si>
  <si>
    <t>全部利息现金支付</t>
  </si>
  <si>
    <t>融资手续费现金支付</t>
  </si>
  <si>
    <t>持续持有周转回收</t>
  </si>
  <si>
    <t>出售退出周转回收</t>
  </si>
  <si>
    <t>项目现金流（持续持有）</t>
  </si>
  <si>
    <t>项目现金流（期末出售）</t>
  </si>
  <si>
    <t>股东投入前净现金（持有）</t>
  </si>
  <si>
    <t>股东投入前净现金（出售）</t>
  </si>
  <si>
    <t>持有后续资金留存需求</t>
  </si>
  <si>
    <t>持有理论期初现金</t>
  </si>
  <si>
    <t>持有完成计划所需出资</t>
  </si>
  <si>
    <t>持有可分配现金</t>
  </si>
  <si>
    <t>持有理论期末现金</t>
  </si>
  <si>
    <t>持有累计所需资本金</t>
  </si>
  <si>
    <t>资本金现金流（持续持有）</t>
  </si>
  <si>
    <t>持有理论资金平衡差额</t>
  </si>
  <si>
    <t>出售后续资金留存需求</t>
  </si>
  <si>
    <t>出售理论期初现金</t>
  </si>
  <si>
    <t>出售完成计划所需出资</t>
  </si>
  <si>
    <t>出售可分配现金</t>
  </si>
  <si>
    <t>出售理论期末现金</t>
  </si>
  <si>
    <t>出售累计所需资本金</t>
  </si>
  <si>
    <t>资本金现金流（期末出售）</t>
  </si>
  <si>
    <t>出售理论资金平衡差额</t>
  </si>
  <si>
    <t>当前项目现金流</t>
  </si>
  <si>
    <t>当前股东投入前净现金</t>
  </si>
  <si>
    <t>当前理论资本金现金流</t>
  </si>
  <si>
    <t>当前计划留存需求</t>
  </si>
  <si>
    <t>当前所需股东投入</t>
  </si>
  <si>
    <t>当前理论股东分配</t>
  </si>
  <si>
    <t>当前理论期末现金</t>
  </si>
  <si>
    <t>额度内期初现金</t>
  </si>
  <si>
    <t>期初未落实缺口</t>
  </si>
  <si>
    <t>额度内当季资金需要</t>
  </si>
  <si>
    <t>额度内实际可投入资本金</t>
  </si>
  <si>
    <t>额度内允许分配现金</t>
  </si>
  <si>
    <t>额度内期末可用现金</t>
  </si>
  <si>
    <t>期末未落实资金缺口</t>
  </si>
  <si>
    <t>历史最大未落实缺口</t>
  </si>
  <si>
    <t>累计额度内可投入资本金</t>
  </si>
  <si>
    <t>额度内资金平衡差额</t>
  </si>
  <si>
    <t>项目现金流符号</t>
  </si>
  <si>
    <t>项目最近非零符号</t>
  </si>
  <si>
    <t>项目现金流变号</t>
  </si>
  <si>
    <t>经营偿债现金CFADS（不含退出）</t>
  </si>
  <si>
    <t>当季经营偿债覆盖倍数</t>
  </si>
  <si>
    <t>需动用留存或股东的偿债金额</t>
  </si>
  <si>
    <t>当季项目折现现金流</t>
  </si>
  <si>
    <t>累计折现项目现金流</t>
  </si>
  <si>
    <t>静态首次跨零辅助</t>
  </si>
  <si>
    <t>动态首次跨零辅助</t>
  </si>
  <si>
    <t>资本金现金流符号</t>
  </si>
  <si>
    <t>资本金最近非零符号</t>
  </si>
  <si>
    <t>资本金现金流变号</t>
  </si>
  <si>
    <t>累计融资前现金（含融资成本）</t>
  </si>
  <si>
    <t>融资前累计资金需要</t>
  </si>
  <si>
    <t>累计已支付投资含融资费用</t>
  </si>
  <si>
    <t>当前累计所需股东出资</t>
  </si>
  <si>
    <t>组合压力 · 现金流与资金约束</t>
  </si>
  <si>
    <t>年度所得税 · V3模拟测算</t>
  </si>
  <si>
    <t>基准 · 项目所得税及亏损年份</t>
  </si>
  <si>
    <t>经营税前利润</t>
  </si>
  <si>
    <t>期末处置损益（出售方案）</t>
  </si>
  <si>
    <t>本年可用以前年度亏损</t>
  </si>
  <si>
    <t>本年弥补亏损</t>
  </si>
  <si>
    <t>计税利润（持续持有）</t>
  </si>
  <si>
    <t>所得税（持续持有）</t>
  </si>
  <si>
    <t>本年新增可结转亏损</t>
  </si>
  <si>
    <t>期末亏损余额</t>
  </si>
  <si>
    <t>本年到期作废亏损</t>
  </si>
  <si>
    <t>所得税（期末出售）</t>
  </si>
  <si>
    <t>含出售税前利润</t>
  </si>
  <si>
    <t>当前口径所得税</t>
  </si>
  <si>
    <t>第0年亏损结余</t>
  </si>
  <si>
    <t>第1年亏损结余</t>
  </si>
  <si>
    <t>第2年亏损结余</t>
  </si>
  <si>
    <t>第3年亏损结余</t>
  </si>
  <si>
    <t>第4年亏损结余</t>
  </si>
  <si>
    <t>第5年亏损结余</t>
  </si>
  <si>
    <t>第6年亏损结余</t>
  </si>
  <si>
    <t>第7年亏损结余</t>
  </si>
  <si>
    <t>第8年亏损结余</t>
  </si>
  <si>
    <t>第9年亏损结余</t>
  </si>
  <si>
    <t>第10年亏损结余</t>
  </si>
  <si>
    <t>第11年亏损结余</t>
  </si>
  <si>
    <t>第12年亏损结余</t>
  </si>
  <si>
    <t>第13年亏损结余</t>
  </si>
  <si>
    <t>第14年亏损结余</t>
  </si>
  <si>
    <t>第15年亏损结余</t>
  </si>
  <si>
    <t>第16年亏损结余</t>
  </si>
  <si>
    <t>第17年亏损结余</t>
  </si>
  <si>
    <t>第18年亏损结余</t>
  </si>
  <si>
    <t>第19年亏损结余</t>
  </si>
  <si>
    <t>第20年亏损结余</t>
  </si>
  <si>
    <t>第21年亏损结余</t>
  </si>
  <si>
    <t>第22年亏损结余</t>
  </si>
  <si>
    <t>第23年亏损结余</t>
  </si>
  <si>
    <t>第24年亏损结余</t>
  </si>
  <si>
    <t>第25年亏损结余</t>
  </si>
  <si>
    <t>第26年亏损结余</t>
  </si>
  <si>
    <t>第27年亏损结余</t>
  </si>
  <si>
    <t>第28年亏损结余</t>
  </si>
  <si>
    <t>第29年亏损结余</t>
  </si>
  <si>
    <t>第30年亏损结余</t>
  </si>
  <si>
    <t>基准 · 融资所得税及亏损年份</t>
  </si>
  <si>
    <t>组合压力 · 项目所得税及亏损年份</t>
  </si>
  <si>
    <t>组合压力 · 融资所得税及亏损年份</t>
  </si>
  <si>
    <t>季度计划 · V3模拟测算</t>
  </si>
  <si>
    <t>基准 · 季度计划</t>
  </si>
  <si>
    <t>默认建设形成比例</t>
  </si>
  <si>
    <t>生效工程形成比例</t>
  </si>
  <si>
    <t>生效现金付款比例</t>
  </si>
  <si>
    <t>生效贷款提款权重</t>
  </si>
  <si>
    <t>销售签约比例</t>
  </si>
  <si>
    <t>销售交付比例</t>
  </si>
  <si>
    <t>出租经营季度年龄</t>
  </si>
  <si>
    <t>建设完成季度</t>
  </si>
  <si>
    <t>工程形成比例覆盖</t>
  </si>
  <si>
    <t>现金付款比例覆盖</t>
  </si>
  <si>
    <t>贷款提款权重覆盖</t>
  </si>
  <si>
    <t>销售签约比例覆盖</t>
  </si>
  <si>
    <t>覆盖说明</t>
  </si>
  <si>
    <t>黄色覆盖区为原计划时点；整体延期后统一后移。空白用默认，0表示明确不发生。</t>
  </si>
  <si>
    <t>计划完整有效标志</t>
  </si>
  <si>
    <t>组合压力 · 季度计划</t>
  </si>
  <si>
    <t>敏感性与边界 · V3模拟测算</t>
  </si>
  <si>
    <t>临时土地单价覆盖</t>
  </si>
  <si>
    <t>黄色覆盖值留空使用核心参数；0是有效测试值。原生数据表仅临时替换这些真实驱动。</t>
  </si>
  <si>
    <t>临时销售均价覆盖</t>
  </si>
  <si>
    <t>临时月租金覆盖</t>
  </si>
  <si>
    <t>双变量矩阵为实时原生数据表。下方精确边界是刷新时快照，参数变化会提示需刷新。</t>
  </si>
  <si>
    <t>临时建设成本倍数覆盖</t>
  </si>
  <si>
    <t>临时整体延期季度覆盖</t>
  </si>
  <si>
    <t>售价（横轴）／月租金（纵轴）对项目NPV的影响</t>
  </si>
  <si>
    <t>售价／月租金：已建模全部条件达标标志（1达标、0未达标）</t>
  </si>
  <si>
    <t>建设成本倍数（横轴）／土地单价（纵轴）对项目NPV的影响</t>
  </si>
  <si>
    <t>建设成本倍数／土地单价对峰值资本金的影响</t>
  </si>
  <si>
    <t>售价（横轴）／整体延期季度（纵轴）对项目NPV的影响</t>
  </si>
  <si>
    <t>精确单因素边界（同一基准模型反复求解的刷新快照）</t>
  </si>
  <si>
    <t>边界刷新状态</t>
  </si>
  <si>
    <t>刷新时间</t>
  </si>
  <si>
    <t>当前输入签名</t>
  </si>
  <si>
    <t>上次刷新签名</t>
  </si>
  <si>
    <t>边界事项</t>
  </si>
  <si>
    <t>结果</t>
  </si>
  <si>
    <t>解释</t>
  </si>
  <si>
    <t>项目NPV=0的最高土地单价</t>
  </si>
  <si>
    <t>全部财务条件下最高土地单价</t>
  </si>
  <si>
    <t>项目NPV=0的最低销售均价</t>
  </si>
  <si>
    <t>全部财务条件下最低销售均价</t>
  </si>
  <si>
    <t>项目NPV=0的最低月租金</t>
  </si>
  <si>
    <t>全部财务条件下最低月租金</t>
  </si>
  <si>
    <t>全部财务条件下最低稳定出租率</t>
  </si>
  <si>
    <t>全部财务条件下最高建设成本倍数</t>
  </si>
  <si>
    <t>全部财务条件下最大整体延期</t>
  </si>
  <si>
    <t>边界口径</t>
  </si>
  <si>
    <t>其他条件保持基准；全部条件含收益、回收期、年度DSCR、资本金额度及缺口。示意假设确认开关不参与数值求解。</t>
  </si>
  <si>
    <t>模型校验 · V3模拟测算</t>
  </si>
  <si>
    <t>校验事项</t>
  </si>
  <si>
    <t>基准差额/标志</t>
  </si>
  <si>
    <t>压力差额/标志</t>
  </si>
  <si>
    <t>判断</t>
  </si>
  <si>
    <t>输入完整及基础范围</t>
  </si>
  <si>
    <t>必要输入完整、单位及范围正确</t>
  </si>
  <si>
    <t>季度建设、付款及销售时点</t>
  </si>
  <si>
    <t>形成与支付分别检验，交付不早于建成</t>
  </si>
  <si>
    <t>贷款方案基础有效</t>
  </si>
  <si>
    <t>首笔、到期、合同还款及额度范围</t>
  </si>
  <si>
    <t>经营面积分解</t>
  </si>
  <si>
    <t>金额差额容差0.01万元；零值为勾稽一致</t>
  </si>
  <si>
    <t>非土地工程形成总额</t>
  </si>
  <si>
    <t>非土地实际付款总额</t>
  </si>
  <si>
    <t>投资现金与总投资</t>
  </si>
  <si>
    <t>提款额度一致</t>
  </si>
  <si>
    <t>贷款滚动平衡</t>
  </si>
  <si>
    <t>持有理论现金平衡</t>
  </si>
  <si>
    <t>出售理论现金平衡</t>
  </si>
  <si>
    <t>额度内现金及缺口平衡</t>
  </si>
  <si>
    <t>资本金未突破额度</t>
  </si>
  <si>
    <t>持续持有周转回收总额</t>
  </si>
  <si>
    <t>持续持有周转仅在第N年末</t>
  </si>
  <si>
    <t>持续持有周转第N年末金额</t>
  </si>
  <si>
    <t>出售退出周转回收总额</t>
  </si>
  <si>
    <t>出售退出周转仅在第N年末</t>
  </si>
  <si>
    <t>出售退出周转第N年末金额</t>
  </si>
  <si>
    <t>持有物业处置仅在第N年末</t>
  </si>
  <si>
    <t>持有物业处置金额</t>
  </si>
  <si>
    <t>销售应收滚动</t>
  </si>
  <si>
    <t>销售与持有资本成本分摊</t>
  </si>
  <si>
    <t>纯出售无持有运营支出</t>
  </si>
  <si>
    <t>纯持有无销售收入</t>
  </si>
  <si>
    <t>使用说明</t>
  </si>
  <si>
    <t>本表为独立复核终点，不向测算和决策公式反馈。通过表示本表已覆盖关系一致，不代表项目可拿地。</t>
  </si>
  <si>
    <t>使用说明 · V3模拟测算</t>
  </si>
  <si>
    <t>用途</t>
  </si>
  <si>
    <t>拿地前方案测算；原示意参数及阈值保留。财务条件达标只对应已纳入模型的口径，不能替代业务假设核对。</t>
  </si>
  <si>
    <t>生成来源</t>
  </si>
  <si>
    <t>V2保存内容为参数来源，V1生成代码用于追溯关系；V3没有调用旧生成器初始化或覆盖V2。</t>
  </si>
  <si>
    <t>使用步骤</t>
  </si>
  <si>
    <t>先改核心参数黄色区及年度计划，再按合同需要改季度覆盖；查看指标与情景、季度缺口和模型校验；参数改动后运行同目录刷新_V3.ps1更新精确边界。</t>
  </si>
  <si>
    <t>季度与年度</t>
  </si>
  <si>
    <t>底层全期按季度等距计算，年报展示稳定期；第0年为输入年份年末，第一正季度为次年一季度。季度内仍使用平均时点，关键月份应另作支付核对。</t>
  </si>
  <si>
    <t>B95切换租售结合、纯出售、纯持有；原B14仅混合模式生效；纯出售不承担持有固定成本、维护或周转资金。</t>
  </si>
  <si>
    <t>投资范围</t>
  </si>
  <si>
    <t>共同建设费用按经营面积分摊；持有专项装修全部归持有；拿地附加成本归土地。新增零值不证明项目不存在该费用，须核对包含范围。</t>
  </si>
  <si>
    <t>计划与延期</t>
  </si>
  <si>
    <t>工程形成、付款和提款分别排布，黄色覆盖留空用年度分解、0表示明确零；整体延期表示土地已投后开工和租售后移，非建设跨度延长。融资首提款及合同还本配套后移。</t>
  </si>
  <si>
    <t>销售</t>
  </si>
  <si>
    <t>签约分解为季度，可延迟交付；收入与成本按交付确认；首款和尾款分季收回；期末未收不自动变现，不自动作为现金偿债。</t>
  </si>
  <si>
    <t>出租</t>
  </si>
  <si>
    <t>原首3年和稳定出租率在V3解释为出租年度年末目标；年内线性增长，季内按B125入驻。免租按每季新增租户队列跨季扣减，最长12个月。</t>
  </si>
  <si>
    <t>收缴与坏账</t>
  </si>
  <si>
    <t>收缴率为最终可回收比例，未收部分列预计坏账；可回收部分按收款滞后到现金。未建立租户更替，不支持出租率下降路径。</t>
  </si>
  <si>
    <t>流转税</t>
  </si>
  <si>
    <t>口径1保留销售8%及运营6%综合率；口径2按填写的销项率及进项比例分离，另设其他流转税率。新增零税率是示意待确认，未套用实际税务规则。</t>
  </si>
  <si>
    <t>所得税</t>
  </si>
  <si>
    <t>按年度利润计税；项目口径剔除融资，股东口径包含融资。亏损按发生年份先进先用，按输入年限到期；处置仅影响末年，分别计算持有与出售所得税。</t>
  </si>
  <si>
    <t>折旧摊销</t>
  </si>
  <si>
    <t>建筑直线折旧至残值，持有土地按输入开关和年限摊销；建设期利息及手续费仅融资口径资本化；未将销售成本和折旧重复扣现金。</t>
  </si>
  <si>
    <t>现金税与期末负债</t>
  </si>
  <si>
    <t>税费按计提和支付滞后分开；超出观察期的已计提税款在末期作为负债结算扣除，避免延期缴付虚增回报。留抵进项不自动退款。</t>
  </si>
  <si>
    <t>融资</t>
  </si>
  <si>
    <t>一笔固定额度贷款，季内平均提款和还本计息；建设利息和手续费资本金支付、不滚入本金；合同还款计划不随资金不足自动减少。</t>
  </si>
  <si>
    <t>资本金与留存</t>
  </si>
  <si>
    <t>理论路径按需补资并反向预留后续已知资金需求；额度路径只投入额度内资本金，缺口单列，发生过缺口后停止分配。缺口路径只定位无法执行的计划。</t>
  </si>
  <si>
    <t>持有和退出</t>
  </si>
  <si>
    <t>持续持有不将物业净值、存货、应收或周转自动变现；出售仅处置持有物业并扣费用和税，周转按各路径独立比例回收。退出费用为含综合交易税费口径，不重复征收销项增值税。</t>
  </si>
  <si>
    <t>收益指标</t>
  </si>
  <si>
    <t>季度IRR年化为(1+r)^4－1；折现率按有效季度换算；第0期不折现。回收期取首次跨零并在季度内插值；多次变号需结合NPV与后续资金审视。</t>
  </si>
  <si>
    <t>偿债与运营保本</t>
  </si>
  <si>
    <t>年度DSCR不包含退出、周转回收、贷款及股东流入；前期销售现金留存另表展示。稳定运营保本只覆盖运营支出及流转税，不代表投资回本或本息覆盖。</t>
  </si>
  <si>
    <t>敏感性与边界</t>
  </si>
  <si>
    <t>原生双变量数据表随Excel重算。精确边界通过同一模型扫描及二分求解，记录参数签名和刷新时间；无可行值、超搜索上限和不适用分别说明。边界数值不参与财务计算。</t>
  </si>
  <si>
    <t>适用范围</t>
  </si>
  <si>
    <t>同质业态、一次开发，最多30年；未建立多业态差异成本、多分期、租户更替、预售资金流和多笔债务。涉及这些情况须扩展对应驱动。</t>
  </si>
  <si>
    <t>已确认修正</t>
  </si>
  <si>
    <t>周转回收和物业处置分别校验总额、末期金额和其他期间为零，修正V2仅核总额却标示时点通过的问题；冻结表头及标签列。</t>
  </si>
  <si>
    <t>维护</t>
  </si>
  <si>
    <t>黄色单元格为输入，蓝字；公式受保护，文件无宏、无外部链接。保护仅防误改，可在Excel取消保护；新增年度超30年须同步扩展所有范围。</t>
  </si>
  <si>
    <t>关键月份核对 · 所选季度资金先后</t>
  </si>
  <si>
    <t>项目季度覆盖（留空自动取资金高峰）</t>
  </si>
  <si>
    <t>核对情景：1基准、2组合压力</t>
  </si>
  <si>
    <t>当前核对项目季度</t>
  </si>
  <si>
    <t>季度名称</t>
  </si>
  <si>
    <t>时点权重／现金项目</t>
  </si>
  <si>
    <t>第1月</t>
  </si>
  <si>
    <t>第2月</t>
  </si>
  <si>
    <t>第3月</t>
  </si>
  <si>
    <t>季度合计／末值</t>
  </si>
  <si>
    <t>季度模型值</t>
  </si>
  <si>
    <t>勾稽差额</t>
  </si>
  <si>
    <t>经营及退出现金流入</t>
  </si>
  <si>
    <t>经营成本、税及投资支付</t>
  </si>
  <si>
    <t>贷款到账</t>
  </si>
  <si>
    <t>股东出资</t>
  </si>
  <si>
    <t>还本付息及融资费用</t>
  </si>
  <si>
    <t>股东现金分配</t>
  </si>
  <si>
    <t>期初可用留存现金</t>
  </si>
  <si>
    <t>经营、退出及周转现金流入</t>
  </si>
  <si>
    <t>经营成本及税费现金</t>
  </si>
  <si>
    <t>土地、建设及周转现金投入</t>
  </si>
  <si>
    <t>合同贷款提款到账</t>
  </si>
  <si>
    <t>季度计划股东出资</t>
  </si>
  <si>
    <t>合同还本付息及融资费用</t>
  </si>
  <si>
    <t>季度计划股东分配</t>
  </si>
  <si>
    <t>月末现金余额（未补口）</t>
  </si>
  <si>
    <t>月内未覆盖资金缺口</t>
  </si>
  <si>
    <t>所选季度月内最大缺口</t>
  </si>
  <si>
    <t>月度权重及季度勾稽有效</t>
  </si>
  <si>
    <t>所选季度月度资金安排通过</t>
  </si>
  <si>
    <t>本表仅重排所选季度的到账、支付和出资先后，不自动增加资本金或改变合同计划。利息沿用季度已测金额；月内缺口需通过更早到账或提前出资落实。只检验所选季度，不代表全期月度最大缺口；精确边界仍按季度约束求解。</t>
  </si>
  <si>
    <t>测试范围内未找到可行值</t>
    <phoneticPr fontId="11" type="noConversion"/>
  </si>
  <si>
    <t>其他条件固定；检查未通过指标及搜索范围。扫描不证明范围外或网格间不存在解</t>
    <phoneticPr fontId="11" type="noConversion"/>
  </si>
  <si>
    <t>扫描定位可行区间后25次二分；其他条件固定，非多变量全局最优</t>
    <phoneticPr fontId="11" type="noConversion"/>
  </si>
  <si>
    <t>模拟产业园 · 租售结合|2026|20|100000|1.5|0.9|15000|0.55|3|4|4|800|2400|3000|4500|1800|2200|0.08|500|6500|0.025|0.08|26|0.015|0.5|0.7|0.85|0.9|3|0.98|0.05|300|0.02|0.12|180|0.06|0.25|30|0.05|30000|0.042|10|4|33000|0|30000|0.03|0.08|0.1|0.08|0.1|15|20|1.2|0.1|0.1|10|0.1|0|1|1|0|1|50|1|5|0.7|1|0|0|0|0|60750|0|1|0|0|0|0|0|10|0|0|0|0|0|0|0|0|0.5|0|4|0.25|0.25|0.25|0.25|3200|26000|208|2|8|1|1|0|0.3|0.4|0.3|0|0|0|0|0|0|0|0|0|0|0|0|0|0|0|0|0|0|0|0|0|0|0|0|0|0|0|0|0|0|0|0.3|0.4|0.3|0|0|0|0|0|0|0|0|0|0|0|0|0|0|0|0|0|0|0|0|0|0|0|0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</si>
</sst>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0;[Red]\(#,##0.00\);&quot;—&quot;"/>
    <numFmt numFmtId="177" formatCode="0.00%;[Red]\(0.00%\);&quot;—&quot;"/>
    <numFmt numFmtId="178" formatCode="0.00;[Red]\(0.00\);&quot;—&quot;"/>
    <numFmt numFmtId="179" formatCode="0.00;[Red]\(0.00\);0.00"/>
    <numFmt numFmtId="180" formatCode=";;;"/>
    <numFmt numFmtId="181" formatCode="#,##0.00;\(#,##0.00\);&quot;–&quot;"/>
  </numFmts>
  <fonts count="12">
    <font>
      <sz val="11"/>
      <name val="Carlito"/>
    </font>
    <font>
      <sz val="10"/>
      <color rgb="FF334155"/>
      <name val="Microsoft YaHei"/>
      <family val="2"/>
      <charset val="134"/>
    </font>
    <font>
      <b/>
      <sz val="16"/>
      <color rgb="FF1F2937"/>
      <name val="Microsoft YaHei"/>
      <family val="2"/>
      <charset val="134"/>
    </font>
    <font>
      <sz val="10"/>
      <color rgb="FF1256A0"/>
      <name val="Microsoft YaHei"/>
      <family val="2"/>
      <charset val="134"/>
    </font>
    <font>
      <sz val="10"/>
      <color rgb="FF64748B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color rgb="FF1256A0"/>
      <name val="Carlito"/>
    </font>
    <font>
      <b/>
      <sz val="10"/>
      <color rgb="FF334155"/>
      <name val="Microsoft YaHei"/>
      <family val="2"/>
      <charset val="134"/>
    </font>
    <font>
      <b/>
      <sz val="14"/>
      <color rgb="FF334155"/>
      <name val="Microsoft YaHei"/>
      <family val="2"/>
      <charset val="134"/>
    </font>
    <font>
      <b/>
      <sz val="16"/>
      <color rgb="FF334155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EAF2FF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FF9C4"/>
      </patternFill>
    </fill>
    <fill>
      <patternFill patternType="solid">
        <fgColor rgb="FFF7F9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49" fontId="3" fillId="2" borderId="0" xfId="1" applyNumberFormat="1" applyFont="1" applyFill="1" applyAlignment="1" applyProtection="1">
      <alignment vertical="center"/>
      <protection locked="0"/>
    </xf>
    <xf numFmtId="1" fontId="3" fillId="2" borderId="0" xfId="1" applyNumberFormat="1" applyFont="1" applyFill="1" applyAlignment="1" applyProtection="1">
      <alignment vertical="center"/>
      <protection locked="0"/>
    </xf>
    <xf numFmtId="176" fontId="3" fillId="2" borderId="0" xfId="1" applyNumberFormat="1" applyFont="1" applyFill="1" applyAlignment="1" applyProtection="1">
      <alignment vertical="center"/>
      <protection locked="0"/>
    </xf>
    <xf numFmtId="177" fontId="3" fillId="2" borderId="0" xfId="1" applyNumberFormat="1" applyFont="1" applyFill="1" applyAlignment="1" applyProtection="1">
      <alignment vertical="center"/>
      <protection locked="0"/>
    </xf>
    <xf numFmtId="177" fontId="6" fillId="2" borderId="0" xfId="1" applyNumberFormat="1" applyFont="1" applyFill="1" applyProtection="1">
      <protection locked="0"/>
    </xf>
    <xf numFmtId="0" fontId="3" fillId="9" borderId="0" xfId="1" applyFont="1" applyFill="1" applyAlignment="1" applyProtection="1">
      <alignment vertical="center"/>
      <protection locked="0"/>
    </xf>
    <xf numFmtId="10" fontId="3" fillId="9" borderId="0" xfId="1" applyNumberFormat="1" applyFont="1" applyFill="1" applyAlignment="1" applyProtection="1">
      <alignment vertical="center"/>
      <protection locked="0"/>
    </xf>
    <xf numFmtId="0" fontId="1" fillId="0" borderId="0" xfId="1" applyFont="1" applyAlignment="1" applyProtection="1">
      <alignment vertical="center"/>
    </xf>
    <xf numFmtId="176" fontId="1" fillId="0" borderId="0" xfId="1" applyNumberFormat="1" applyFont="1" applyAlignment="1" applyProtection="1">
      <alignment vertical="center"/>
    </xf>
    <xf numFmtId="0" fontId="0" fillId="0" borderId="0" xfId="0" applyProtection="1"/>
    <xf numFmtId="0" fontId="2" fillId="0" borderId="0" xfId="1" applyFont="1" applyAlignment="1" applyProtection="1">
      <alignment vertical="center"/>
    </xf>
    <xf numFmtId="176" fontId="2" fillId="0" borderId="0" xfId="1" applyNumberFormat="1" applyFont="1" applyAlignment="1" applyProtection="1">
      <alignment vertical="center"/>
    </xf>
    <xf numFmtId="0" fontId="8" fillId="5" borderId="0" xfId="1" applyFont="1" applyFill="1" applyAlignment="1" applyProtection="1">
      <alignment vertical="center" wrapText="1"/>
    </xf>
    <xf numFmtId="176" fontId="8" fillId="5" borderId="0" xfId="1" applyNumberFormat="1" applyFont="1" applyFill="1" applyAlignment="1" applyProtection="1">
      <alignment vertical="center" wrapText="1"/>
    </xf>
    <xf numFmtId="0" fontId="7" fillId="5" borderId="0" xfId="1" applyFont="1" applyFill="1" applyAlignment="1" applyProtection="1">
      <alignment vertical="center" wrapText="1"/>
    </xf>
    <xf numFmtId="176" fontId="7" fillId="5" borderId="0" xfId="1" applyNumberFormat="1" applyFont="1" applyFill="1" applyAlignment="1" applyProtection="1">
      <alignment vertical="center" wrapText="1"/>
    </xf>
    <xf numFmtId="1" fontId="7" fillId="5" borderId="0" xfId="1" applyNumberFormat="1" applyFont="1" applyFill="1" applyAlignment="1" applyProtection="1">
      <alignment vertical="center" wrapText="1"/>
    </xf>
    <xf numFmtId="0" fontId="4" fillId="0" borderId="0" xfId="1" applyFont="1" applyAlignment="1" applyProtection="1">
      <alignment vertical="center"/>
    </xf>
    <xf numFmtId="176" fontId="4" fillId="0" borderId="0" xfId="1" applyNumberFormat="1" applyFont="1" applyAlignment="1" applyProtection="1">
      <alignment vertical="center"/>
    </xf>
    <xf numFmtId="0" fontId="7" fillId="4" borderId="0" xfId="1" applyFont="1" applyFill="1" applyAlignment="1" applyProtection="1">
      <alignment horizontal="center" vertical="center"/>
    </xf>
    <xf numFmtId="176" fontId="7" fillId="4" borderId="0" xfId="1" applyNumberFormat="1" applyFont="1" applyFill="1" applyAlignment="1" applyProtection="1">
      <alignment horizontal="center" vertical="center"/>
    </xf>
    <xf numFmtId="177" fontId="1" fillId="0" borderId="0" xfId="1" applyNumberFormat="1" applyFont="1" applyAlignment="1" applyProtection="1">
      <alignment vertical="center"/>
    </xf>
    <xf numFmtId="0" fontId="5" fillId="3" borderId="0" xfId="1" applyFont="1" applyFill="1" applyAlignment="1" applyProtection="1">
      <alignment vertical="center"/>
    </xf>
    <xf numFmtId="176" fontId="5" fillId="3" borderId="0" xfId="1" applyNumberFormat="1" applyFont="1" applyFill="1" applyAlignment="1" applyProtection="1">
      <alignment vertical="center"/>
    </xf>
    <xf numFmtId="1" fontId="1" fillId="0" borderId="0" xfId="1" applyNumberFormat="1" applyFont="1" applyAlignment="1" applyProtection="1">
      <alignment vertical="center"/>
    </xf>
    <xf numFmtId="0" fontId="1" fillId="6" borderId="0" xfId="1" applyFont="1" applyFill="1" applyAlignment="1" applyProtection="1">
      <alignment vertical="center" wrapText="1"/>
    </xf>
    <xf numFmtId="176" fontId="1" fillId="6" borderId="0" xfId="1" applyNumberFormat="1" applyFont="1" applyFill="1" applyAlignment="1" applyProtection="1">
      <alignment vertical="center" wrapText="1"/>
    </xf>
    <xf numFmtId="0" fontId="1" fillId="10" borderId="0" xfId="1" applyFont="1" applyFill="1" applyAlignment="1" applyProtection="1">
      <alignment vertical="center" wrapText="1"/>
    </xf>
    <xf numFmtId="176" fontId="1" fillId="10" borderId="0" xfId="1" applyNumberFormat="1" applyFont="1" applyFill="1" applyAlignment="1" applyProtection="1">
      <alignment vertical="center" wrapText="1"/>
    </xf>
    <xf numFmtId="176" fontId="4" fillId="0" borderId="0" xfId="1" applyNumberFormat="1" applyFont="1" applyAlignment="1" applyProtection="1">
      <alignment vertical="center" wrapText="1"/>
    </xf>
    <xf numFmtId="1" fontId="7" fillId="4" borderId="0" xfId="1" applyNumberFormat="1" applyFont="1" applyFill="1" applyAlignment="1" applyProtection="1">
      <alignment horizontal="center" vertical="center"/>
    </xf>
    <xf numFmtId="178" fontId="1" fillId="0" borderId="0" xfId="1" applyNumberFormat="1" applyFont="1" applyAlignment="1" applyProtection="1">
      <alignment vertical="center"/>
    </xf>
    <xf numFmtId="176" fontId="7" fillId="4" borderId="0" xfId="1" applyNumberFormat="1" applyFont="1" applyFill="1" applyAlignment="1" applyProtection="1">
      <alignment vertical="center"/>
    </xf>
    <xf numFmtId="22" fontId="1" fillId="0" borderId="0" xfId="1" applyNumberFormat="1" applyFont="1" applyAlignment="1" applyProtection="1">
      <alignment vertical="center"/>
    </xf>
    <xf numFmtId="180" fontId="1" fillId="0" borderId="0" xfId="1" applyNumberFormat="1" applyFont="1" applyAlignment="1" applyProtection="1">
      <alignment vertical="center"/>
    </xf>
    <xf numFmtId="181" fontId="1" fillId="0" borderId="0" xfId="1" applyNumberFormat="1" applyFont="1" applyAlignment="1" applyProtection="1">
      <alignment vertical="center"/>
    </xf>
    <xf numFmtId="176" fontId="1" fillId="0" borderId="0" xfId="1" applyNumberFormat="1" applyFont="1" applyAlignment="1" applyProtection="1">
      <alignment vertical="top" wrapText="1"/>
    </xf>
    <xf numFmtId="10" fontId="1" fillId="0" borderId="0" xfId="1" applyNumberFormat="1" applyFont="1" applyAlignment="1" applyProtection="1">
      <alignment vertical="center"/>
    </xf>
    <xf numFmtId="179" fontId="1" fillId="0" borderId="0" xfId="1" applyNumberFormat="1" applyFont="1" applyAlignment="1" applyProtection="1">
      <alignment vertical="center"/>
    </xf>
    <xf numFmtId="0" fontId="7" fillId="4" borderId="0" xfId="1" applyFont="1" applyFill="1" applyAlignment="1" applyProtection="1">
      <alignment vertical="center" wrapText="1"/>
    </xf>
    <xf numFmtId="0" fontId="1" fillId="7" borderId="0" xfId="1" applyFont="1" applyFill="1" applyAlignment="1" applyProtection="1">
      <alignment vertical="center" wrapText="1"/>
    </xf>
    <xf numFmtId="176" fontId="1" fillId="7" borderId="0" xfId="1" applyNumberFormat="1" applyFont="1" applyFill="1" applyAlignment="1" applyProtection="1">
      <alignment vertical="center" wrapText="1"/>
    </xf>
    <xf numFmtId="0" fontId="9" fillId="0" borderId="0" xfId="1" applyFont="1" applyAlignment="1" applyProtection="1">
      <alignment vertical="center"/>
    </xf>
    <xf numFmtId="0" fontId="7" fillId="8" borderId="0" xfId="1" applyFont="1" applyFill="1" applyAlignment="1" applyProtection="1">
      <alignment vertical="center" wrapText="1"/>
    </xf>
  </cellXfs>
  <cellStyles count="2">
    <cellStyle name="Normal" xfId="1" xr:uid="{00000000-0005-0000-0000-000000000000}"/>
    <cellStyle name="常规" xfId="0" builtinId="0"/>
  </cellStyles>
  <dxfs count="4">
    <dxf>
      <font>
        <color rgb="FFA72C2C"/>
      </font>
      <fill>
        <patternFill>
          <bgColor rgb="FFFBE0E0"/>
        </patternFill>
      </fill>
    </dxf>
    <dxf>
      <font>
        <b/>
        <color rgb="FFA72C2C"/>
      </font>
      <fill>
        <patternFill>
          <bgColor rgb="FFFBE0E0"/>
        </patternFill>
      </fill>
    </dxf>
    <dxf>
      <font>
        <b/>
        <color rgb="FFA72C2C"/>
      </font>
      <fill>
        <patternFill>
          <bgColor rgb="FFFBE0E0"/>
        </patternFill>
      </fill>
    </dxf>
    <dxf>
      <font>
        <b/>
        <color rgb="FFA72C2C"/>
      </font>
      <fill>
        <patternFill>
          <bgColor rgb="FFFBE0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00">
                <a:latin typeface="Microsoft YaHei"/>
                <a:ea typeface="Microsoft YaHei"/>
                <a:cs typeface="Microsoft YaHei"/>
              </a:rPr>
              <a:t>年度经营现金与合同本息（万元）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经营CFADS</c:v>
          </c:tx>
          <c:spPr>
            <a:ln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[0]!V3ChartYear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[0]!V3ChartCFADS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11554.939162359376</c:v>
                </c:pt>
                <c:pt idx="5">
                  <c:v>16821.455477301264</c:v>
                </c:pt>
                <c:pt idx="6">
                  <c:v>13643.414217493944</c:v>
                </c:pt>
                <c:pt idx="7">
                  <c:v>2022.6792090597849</c:v>
                </c:pt>
                <c:pt idx="8">
                  <c:v>1018.1446682386667</c:v>
                </c:pt>
                <c:pt idx="9">
                  <c:v>1037.1813942500416</c:v>
                </c:pt>
                <c:pt idx="10">
                  <c:v>1053.7829939589919</c:v>
                </c:pt>
                <c:pt idx="11">
                  <c:v>1070.6004952394806</c:v>
                </c:pt>
                <c:pt idx="12">
                  <c:v>1087.6364741665989</c:v>
                </c:pt>
                <c:pt idx="13">
                  <c:v>1104.893532207594</c:v>
                </c:pt>
                <c:pt idx="14">
                  <c:v>1093.3816236908201</c:v>
                </c:pt>
                <c:pt idx="15">
                  <c:v>1068.3216893646361</c:v>
                </c:pt>
                <c:pt idx="16">
                  <c:v>1081.7738092331617</c:v>
                </c:pt>
                <c:pt idx="17">
                  <c:v>1095.3997349777762</c:v>
                </c:pt>
                <c:pt idx="18">
                  <c:v>1109.2015141681823</c:v>
                </c:pt>
                <c:pt idx="19">
                  <c:v>1123.1812138972587</c:v>
                </c:pt>
                <c:pt idx="20">
                  <c:v>1137.3409208501027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A-4AC8-85D4-8E1313A51EC9}"/>
            </c:ext>
          </c:extLst>
        </c:ser>
        <c:ser>
          <c:idx val="1"/>
          <c:order val="1"/>
          <c:tx>
            <c:v>合同本息</c:v>
          </c:tx>
          <c:spPr>
            <a:ln w="19050">
              <a:solidFill>
                <a:srgbClr val="A85F50"/>
              </a:solidFill>
              <a:prstDash val="solid"/>
            </a:ln>
          </c:spPr>
          <c:marker>
            <c:symbol val="none"/>
          </c:marker>
          <c:cat>
            <c:numRef>
              <c:f>[0]!V3ChartYear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[0]!V3ChartService</c:f>
              <c:numCache>
                <c:formatCode>General</c:formatCode>
                <c:ptCount val="21"/>
                <c:pt idx="0">
                  <c:v>0</c:v>
                </c:pt>
                <c:pt idx="1">
                  <c:v>177.1875</c:v>
                </c:pt>
                <c:pt idx="2">
                  <c:v>630</c:v>
                </c:pt>
                <c:pt idx="3">
                  <c:v>1071</c:v>
                </c:pt>
                <c:pt idx="4">
                  <c:v>5523.2142857142853</c:v>
                </c:pt>
                <c:pt idx="5">
                  <c:v>5343.2142857142853</c:v>
                </c:pt>
                <c:pt idx="6">
                  <c:v>5163.2142857142853</c:v>
                </c:pt>
                <c:pt idx="7">
                  <c:v>4983.2142857142853</c:v>
                </c:pt>
                <c:pt idx="8">
                  <c:v>4803.2142857142853</c:v>
                </c:pt>
                <c:pt idx="9">
                  <c:v>4623.2142857142853</c:v>
                </c:pt>
                <c:pt idx="10">
                  <c:v>4443.2142857142835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A-4AC8-85D4-8E1313A51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00">
                <a:latin typeface="Microsoft YaHei"/>
                <a:ea typeface="Microsoft YaHei"/>
                <a:cs typeface="Microsoft YaHei"/>
              </a:rPr>
              <a:t>留存现金与未落实缺口（万元）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年末留存</c:v>
          </c:tx>
          <c:spPr>
            <a:ln w="19050">
              <a:solidFill>
                <a:srgbClr val="237047"/>
              </a:solidFill>
              <a:prstDash val="solid"/>
            </a:ln>
          </c:spPr>
          <c:marker>
            <c:symbol val="none"/>
          </c:marker>
          <c:cat>
            <c:numRef>
              <c:f>[0]!V3ChartYear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[0]!V3ChartCash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5240.868945569995</c:v>
                </c:pt>
                <c:pt idx="6">
                  <c:v>13721.068877349653</c:v>
                </c:pt>
                <c:pt idx="7">
                  <c:v>10760.533800695153</c:v>
                </c:pt>
                <c:pt idx="8">
                  <c:v>6975.4641832195357</c:v>
                </c:pt>
                <c:pt idx="9">
                  <c:v>3389.4312917552916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A-4BB3-8FDE-3F4FE83E1440}"/>
            </c:ext>
          </c:extLst>
        </c:ser>
        <c:ser>
          <c:idx val="1"/>
          <c:order val="1"/>
          <c:tx>
            <c:v>未落实缺口</c:v>
          </c:tx>
          <c:spPr>
            <a:ln w="19050">
              <a:solidFill>
                <a:srgbClr val="B34B4B"/>
              </a:solidFill>
              <a:prstDash val="solid"/>
            </a:ln>
          </c:spPr>
          <c:marker>
            <c:symbol val="none"/>
          </c:marker>
          <c:cat>
            <c:numRef>
              <c:f>[0]!V3ChartYear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[0]!V3ChartGap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7A-4BB3-8FDE-3F4FE83E1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00">
                <a:latin typeface="Microsoft YaHei"/>
                <a:ea typeface="Microsoft YaHei"/>
                <a:cs typeface="Microsoft YaHei"/>
              </a:rPr>
              <a:t>股东投入与分配（万元）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所需股东出资</c:v>
          </c:tx>
          <c:spPr>
            <a:ln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[0]!V3ChartYear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[0]!V3ChartEquity</c:f>
              <c:numCache>
                <c:formatCode>#,##0.00;[Red]\(#,##0.00\);"—"</c:formatCode>
                <c:ptCount val="21"/>
                <c:pt idx="0">
                  <c:v>8000</c:v>
                </c:pt>
                <c:pt idx="1">
                  <c:v>7065</c:v>
                </c:pt>
                <c:pt idx="2">
                  <c:v>9798</c:v>
                </c:pt>
                <c:pt idx="3">
                  <c:v>7947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4-4E81-AA44-9D83EC0AD715}"/>
            </c:ext>
          </c:extLst>
        </c:ser>
        <c:ser>
          <c:idx val="1"/>
          <c:order val="1"/>
          <c:tx>
            <c:v>股东分配</c:v>
          </c:tx>
          <c:spPr>
            <a:ln w="19050">
              <a:solidFill>
                <a:srgbClr val="6B8E77"/>
              </a:solidFill>
              <a:prstDash val="solid"/>
            </a:ln>
          </c:spPr>
          <c:marker>
            <c:symbol val="none"/>
          </c:marker>
          <c:cat>
            <c:numRef>
              <c:f>[0]!V3ChartYear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[0]!V3ChartDistribution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5531.7248766450894</c:v>
                </c:pt>
                <c:pt idx="5">
                  <c:v>6237.3722460169847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1070.6004952394806</c:v>
                </c:pt>
                <c:pt idx="12">
                  <c:v>1087.6364741665989</c:v>
                </c:pt>
                <c:pt idx="13">
                  <c:v>1104.893532207594</c:v>
                </c:pt>
                <c:pt idx="14">
                  <c:v>1093.3816236908201</c:v>
                </c:pt>
                <c:pt idx="15">
                  <c:v>1068.3216893646361</c:v>
                </c:pt>
                <c:pt idx="16">
                  <c:v>1081.7738092331617</c:v>
                </c:pt>
                <c:pt idx="17">
                  <c:v>1095.3997349777762</c:v>
                </c:pt>
                <c:pt idx="18">
                  <c:v>1109.2015141681823</c:v>
                </c:pt>
                <c:pt idx="19">
                  <c:v>1123.1812138972587</c:v>
                </c:pt>
                <c:pt idx="20">
                  <c:v>1137.3409208501027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4-4E81-AA44-9D83EC0AD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17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61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180"/>
  <sheetViews>
    <sheetView showGridLines="0" tabSelected="1" workbookViewId="0"/>
  </sheetViews>
  <sheetFormatPr defaultRowHeight="14.25"/>
  <cols>
    <col min="1" max="1" width="37" style="10" customWidth="1"/>
    <col min="2" max="2" width="20" style="10" customWidth="1"/>
    <col min="3" max="3" width="13" style="10" customWidth="1"/>
    <col min="4" max="4" width="17" style="10" customWidth="1"/>
    <col min="5" max="5" width="20" style="10" customWidth="1"/>
    <col min="6" max="6" width="15" style="10" customWidth="1"/>
    <col min="7" max="7" width="24" style="10" customWidth="1"/>
    <col min="8" max="8" width="16" style="10" customWidth="1"/>
    <col min="9" max="16" width="12" style="10" customWidth="1"/>
    <col min="17" max="16384" width="9" style="10"/>
  </cols>
  <sheetData>
    <row r="1" spans="1:12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</row>
    <row r="2" spans="1:12" ht="30" customHeight="1">
      <c r="A2" s="11" t="s">
        <v>0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</row>
    <row r="3" spans="1:12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</row>
    <row r="4" spans="1:12" ht="21" customHeight="1">
      <c r="A4" s="13" t="str">
        <f>IF(OR(指标与情景!B49=0,AND(核心参数输入!$B$82=1,指标与情景!E49=0)),"待判断：输入或计划条件无效",IF(AND(指标与情景!B50=1,OR(核心参数输入!$B$82=0,指标与情景!E50=1)),IF(核心参数输入!$B$97=1,"已纳入模型的财务条件达标","财务条件达标；新增假设待项目核对"),"已纳入模型的财务条件未全部达标"))</f>
        <v>已纳入模型的财务条件未全部达标</v>
      </c>
      <c r="B4" s="13"/>
      <c r="C4" s="13"/>
      <c r="D4" s="14"/>
      <c r="E4" s="14"/>
      <c r="F4" s="14"/>
      <c r="G4" s="14"/>
      <c r="H4" s="9"/>
      <c r="I4" s="9"/>
      <c r="J4" s="9"/>
      <c r="K4" s="9"/>
      <c r="L4" s="9"/>
    </row>
    <row r="5" spans="1:12" ht="21" customHeight="1">
      <c r="A5" s="13"/>
      <c r="B5" s="13"/>
      <c r="C5" s="13"/>
      <c r="D5" s="14"/>
      <c r="E5" s="14"/>
      <c r="F5" s="14"/>
      <c r="G5" s="14"/>
      <c r="H5" s="9"/>
      <c r="I5" s="9"/>
      <c r="J5" s="9"/>
      <c r="K5" s="9"/>
      <c r="L5" s="9"/>
    </row>
    <row r="6" spans="1:12" ht="21" customHeight="1">
      <c r="A6" s="8"/>
      <c r="B6" s="8"/>
      <c r="C6" s="8"/>
      <c r="D6" s="9"/>
      <c r="E6" s="9"/>
      <c r="F6" s="9"/>
      <c r="G6" s="9"/>
      <c r="H6" s="9"/>
      <c r="I6" s="9"/>
      <c r="J6" s="9"/>
      <c r="K6" s="9"/>
      <c r="L6" s="9"/>
    </row>
    <row r="7" spans="1:12" ht="21" customHeight="1">
      <c r="A7" s="8" t="s">
        <v>1</v>
      </c>
      <c r="B7" s="15" t="str">
        <f>核心参数输入!$B$7</f>
        <v>模拟产业园 · 租售结合</v>
      </c>
      <c r="C7" s="15"/>
      <c r="D7" s="16"/>
      <c r="E7" s="9" t="s">
        <v>2</v>
      </c>
      <c r="F7" s="16" t="str">
        <f>核心参数输入!$B$149</f>
        <v>租售结合</v>
      </c>
      <c r="G7" s="16"/>
      <c r="H7" s="9"/>
      <c r="I7" s="9"/>
      <c r="J7" s="9"/>
      <c r="K7" s="9"/>
      <c r="L7" s="9"/>
    </row>
    <row r="8" spans="1:12" ht="21" customHeight="1">
      <c r="A8" s="8" t="s">
        <v>3</v>
      </c>
      <c r="B8" s="15" t="str">
        <f>IF(核心参数输入!$B$64=1,"期末出售持有物业","持续持有观察期")</f>
        <v>持续持有观察期</v>
      </c>
      <c r="C8" s="15"/>
      <c r="D8" s="16"/>
      <c r="E8" s="9" t="s">
        <v>4</v>
      </c>
      <c r="F8" s="17">
        <f>核心参数输入!$B$9</f>
        <v>20</v>
      </c>
      <c r="G8" s="16"/>
      <c r="H8" s="9"/>
      <c r="I8" s="9"/>
      <c r="J8" s="9"/>
      <c r="K8" s="9"/>
      <c r="L8" s="9"/>
    </row>
    <row r="9" spans="1:12" ht="21" customHeight="1">
      <c r="A9" s="8" t="s">
        <v>5</v>
      </c>
      <c r="B9" s="16">
        <f>指标与情景!B16</f>
        <v>63310</v>
      </c>
      <c r="C9" s="16"/>
      <c r="D9" s="16"/>
      <c r="E9" s="9" t="s">
        <v>6</v>
      </c>
      <c r="F9" s="16">
        <f>核心参数输入!$B$57</f>
        <v>30000</v>
      </c>
      <c r="G9" s="16"/>
      <c r="H9" s="9"/>
      <c r="I9" s="9"/>
      <c r="J9" s="9"/>
      <c r="K9" s="9"/>
      <c r="L9" s="9"/>
    </row>
    <row r="10" spans="1:12" ht="21" customHeight="1">
      <c r="A10" s="8" t="s">
        <v>7</v>
      </c>
      <c r="B10" s="16">
        <f>指标与情景!B13</f>
        <v>32810</v>
      </c>
      <c r="C10" s="16"/>
      <c r="D10" s="16"/>
      <c r="E10" s="9" t="s">
        <v>8</v>
      </c>
      <c r="F10" s="16">
        <f>核心参数输入!$B$61</f>
        <v>33000</v>
      </c>
      <c r="G10" s="16"/>
      <c r="H10" s="9"/>
      <c r="I10" s="9"/>
      <c r="J10" s="9"/>
      <c r="K10" s="9"/>
      <c r="L10" s="9"/>
    </row>
    <row r="11" spans="1:12" ht="21" customHeight="1">
      <c r="A11" s="8" t="s">
        <v>9</v>
      </c>
      <c r="B11" s="16">
        <f>指标与情景!B14</f>
        <v>0</v>
      </c>
      <c r="C11" s="16"/>
      <c r="D11" s="16"/>
      <c r="E11" s="9" t="s">
        <v>10</v>
      </c>
      <c r="F11" s="16" t="str">
        <f>指标与情景!B31</f>
        <v>无未落实缺口</v>
      </c>
      <c r="G11" s="16"/>
      <c r="H11" s="9"/>
      <c r="I11" s="9"/>
      <c r="J11" s="9"/>
      <c r="K11" s="9"/>
      <c r="L11" s="9"/>
    </row>
    <row r="12" spans="1:12" ht="21" customHeight="1">
      <c r="A12" s="8" t="s">
        <v>11</v>
      </c>
      <c r="B12" s="16">
        <f>指标与情景!B29</f>
        <v>62810</v>
      </c>
      <c r="C12" s="16"/>
      <c r="D12" s="16"/>
      <c r="E12" s="9" t="s">
        <v>12</v>
      </c>
      <c r="F12" s="16" t="str">
        <f>指标与情景!B30</f>
        <v>2029Q4</v>
      </c>
      <c r="G12" s="16"/>
      <c r="H12" s="9"/>
      <c r="I12" s="9"/>
      <c r="J12" s="9"/>
      <c r="K12" s="9"/>
      <c r="L12" s="9"/>
    </row>
    <row r="13" spans="1:12" ht="21" customHeight="1">
      <c r="A13" s="8" t="s">
        <v>13</v>
      </c>
      <c r="B13" s="16">
        <f>指标与情景!B47</f>
        <v>15161.955365746333</v>
      </c>
      <c r="C13" s="16"/>
      <c r="D13" s="16"/>
      <c r="E13" s="9" t="s">
        <v>14</v>
      </c>
      <c r="F13" s="16" t="str">
        <f>指标与情景!B27</f>
        <v>完整出资、留存后分配口径</v>
      </c>
      <c r="G13" s="16"/>
      <c r="H13" s="9"/>
      <c r="I13" s="9"/>
      <c r="J13" s="9"/>
      <c r="K13" s="9"/>
      <c r="L13" s="9"/>
    </row>
    <row r="14" spans="1:12" ht="21" customHeight="1">
      <c r="A14" s="8"/>
      <c r="B14" s="8"/>
      <c r="C14" s="8"/>
      <c r="D14" s="9"/>
      <c r="E14" s="9"/>
      <c r="F14" s="9"/>
      <c r="G14" s="9"/>
      <c r="H14" s="9"/>
      <c r="I14" s="9"/>
      <c r="J14" s="9"/>
      <c r="K14" s="9"/>
      <c r="L14" s="9"/>
    </row>
    <row r="15" spans="1:12" ht="27" customHeight="1">
      <c r="A15" s="18" t="str">
        <f>核心参数输入!$B$152&amp;"；季度计算、年度汇总；"&amp;指标与情景!B54</f>
        <v>综合税费率（沿用V2）；季度计算、年度汇总；新增假设待项目核对</v>
      </c>
      <c r="B15" s="18"/>
      <c r="C15" s="18"/>
      <c r="D15" s="19"/>
      <c r="E15" s="19"/>
      <c r="F15" s="19"/>
      <c r="G15" s="19"/>
      <c r="H15" s="9"/>
      <c r="I15" s="9"/>
      <c r="J15" s="9"/>
      <c r="K15" s="9"/>
      <c r="L15" s="9"/>
    </row>
    <row r="16" spans="1:12" ht="21" customHeight="1">
      <c r="A16" s="8"/>
      <c r="B16" s="8"/>
      <c r="C16" s="8"/>
      <c r="D16" s="9"/>
      <c r="E16" s="9"/>
      <c r="F16" s="9"/>
      <c r="G16" s="9"/>
      <c r="H16" s="9"/>
      <c r="I16" s="9"/>
      <c r="J16" s="9"/>
      <c r="K16" s="9"/>
      <c r="L16" s="9"/>
    </row>
    <row r="17" spans="1:12" ht="21" customHeight="1">
      <c r="A17" s="20" t="s">
        <v>15</v>
      </c>
      <c r="B17" s="20" t="s">
        <v>16</v>
      </c>
      <c r="C17" s="20" t="s">
        <v>17</v>
      </c>
      <c r="D17" s="21" t="s">
        <v>18</v>
      </c>
      <c r="E17" s="21" t="s">
        <v>19</v>
      </c>
      <c r="F17" s="21" t="s">
        <v>20</v>
      </c>
      <c r="G17" s="21" t="s">
        <v>21</v>
      </c>
      <c r="H17" s="9"/>
      <c r="I17" s="9"/>
      <c r="J17" s="9"/>
      <c r="K17" s="9"/>
      <c r="L17" s="9"/>
    </row>
    <row r="18" spans="1:12" ht="21" customHeight="1">
      <c r="A18" s="8" t="s">
        <v>22</v>
      </c>
      <c r="B18" s="22">
        <f>指标与情景!B6</f>
        <v>-1.4445334640145968E-2</v>
      </c>
      <c r="C18" s="22" t="str">
        <f>指标与情景!C6</f>
        <v>%</v>
      </c>
      <c r="D18" s="22">
        <f>指标与情景!D6</f>
        <v>0.08</v>
      </c>
      <c r="E18" s="22">
        <f>指标与情景!E6</f>
        <v>-4.9549602632143697E-2</v>
      </c>
      <c r="F18" s="9" t="str">
        <f>指标与情景!F6</f>
        <v>未通过</v>
      </c>
      <c r="G18" s="9" t="str">
        <f>指标与情景!G6</f>
        <v>未通过</v>
      </c>
      <c r="H18" s="9"/>
      <c r="I18" s="9"/>
      <c r="J18" s="9"/>
      <c r="K18" s="9"/>
      <c r="L18" s="9"/>
    </row>
    <row r="19" spans="1:12" ht="21" customHeight="1">
      <c r="A19" s="8" t="s">
        <v>23</v>
      </c>
      <c r="B19" s="22">
        <f>指标与情景!B7</f>
        <v>-4.0676665276822566E-2</v>
      </c>
      <c r="C19" s="22" t="str">
        <f>指标与情景!C7</f>
        <v>%</v>
      </c>
      <c r="D19" s="22">
        <f>指标与情景!D7</f>
        <v>0.1</v>
      </c>
      <c r="E19" s="22">
        <f>指标与情景!E7</f>
        <v>-8.74635310694164E-2</v>
      </c>
      <c r="F19" s="9" t="str">
        <f>指标与情景!F7</f>
        <v>未通过</v>
      </c>
      <c r="G19" s="9" t="str">
        <f>指标与情景!G7</f>
        <v>未通过</v>
      </c>
      <c r="H19" s="9"/>
      <c r="I19" s="9"/>
      <c r="J19" s="9"/>
      <c r="K19" s="9"/>
      <c r="L19" s="9"/>
    </row>
    <row r="20" spans="1:12" ht="21" customHeight="1">
      <c r="A20" s="8" t="s">
        <v>24</v>
      </c>
      <c r="B20" s="9">
        <f>指标与情景!B8</f>
        <v>-20406.095478339281</v>
      </c>
      <c r="C20" s="8" t="str">
        <f>指标与情景!C8</f>
        <v>万元</v>
      </c>
      <c r="D20" s="9">
        <f>指标与情景!D8</f>
        <v>0</v>
      </c>
      <c r="E20" s="9">
        <f>指标与情景!E8</f>
        <v>-28525.139536602372</v>
      </c>
      <c r="F20" s="9" t="str">
        <f>指标与情景!F8</f>
        <v>未通过</v>
      </c>
      <c r="G20" s="9" t="str">
        <f>指标与情景!G8</f>
        <v>未通过</v>
      </c>
      <c r="H20" s="9"/>
      <c r="I20" s="9"/>
      <c r="J20" s="9"/>
      <c r="K20" s="9"/>
      <c r="L20" s="9"/>
    </row>
    <row r="21" spans="1:12" ht="21" customHeight="1">
      <c r="A21" s="8" t="s">
        <v>25</v>
      </c>
      <c r="B21" s="9">
        <f>指标与情景!B9</f>
        <v>-18467.837126749066</v>
      </c>
      <c r="C21" s="8" t="str">
        <f>指标与情景!C9</f>
        <v>万元</v>
      </c>
      <c r="D21" s="9">
        <f>指标与情景!D9</f>
        <v>0</v>
      </c>
      <c r="E21" s="9">
        <f>指标与情景!E9</f>
        <v>-27195.961586091191</v>
      </c>
      <c r="F21" s="9" t="str">
        <f>指标与情景!F9</f>
        <v>未通过</v>
      </c>
      <c r="G21" s="9" t="str">
        <f>指标与情景!G9</f>
        <v>未通过</v>
      </c>
      <c r="H21" s="9"/>
      <c r="I21" s="9"/>
      <c r="J21" s="9"/>
      <c r="K21" s="9"/>
      <c r="L21" s="9"/>
    </row>
    <row r="22" spans="1:12" ht="21" customHeight="1">
      <c r="A22" s="8" t="s">
        <v>26</v>
      </c>
      <c r="B22" s="9" t="str">
        <f>指标与情景!B10</f>
        <v>测算期内未回收</v>
      </c>
      <c r="C22" s="8" t="str">
        <f>指标与情景!C10</f>
        <v>年</v>
      </c>
      <c r="D22" s="9">
        <f>指标与情景!D10</f>
        <v>15</v>
      </c>
      <c r="E22" s="9" t="str">
        <f>指标与情景!E10</f>
        <v>测算期内未回收</v>
      </c>
      <c r="F22" s="9" t="str">
        <f>指标与情景!F10</f>
        <v>未通过</v>
      </c>
      <c r="G22" s="9" t="str">
        <f>指标与情景!G10</f>
        <v>未通过</v>
      </c>
      <c r="H22" s="9"/>
      <c r="I22" s="9"/>
      <c r="J22" s="9"/>
      <c r="K22" s="9"/>
      <c r="L22" s="9"/>
    </row>
    <row r="23" spans="1:12" ht="21" customHeight="1">
      <c r="A23" s="8" t="s">
        <v>27</v>
      </c>
      <c r="B23" s="9" t="str">
        <f>指标与情景!B11</f>
        <v>测算期内未回收</v>
      </c>
      <c r="C23" s="8" t="str">
        <f>指标与情景!C11</f>
        <v>年</v>
      </c>
      <c r="D23" s="9">
        <f>指标与情景!D11</f>
        <v>20</v>
      </c>
      <c r="E23" s="9" t="str">
        <f>指标与情景!E11</f>
        <v>测算期内未回收</v>
      </c>
      <c r="F23" s="9" t="str">
        <f>指标与情景!F11</f>
        <v>未通过</v>
      </c>
      <c r="G23" s="9" t="str">
        <f>指标与情景!G11</f>
        <v>未通过</v>
      </c>
      <c r="H23" s="9"/>
      <c r="I23" s="9"/>
      <c r="J23" s="9"/>
      <c r="K23" s="9"/>
      <c r="L23" s="9"/>
    </row>
    <row r="24" spans="1:12" ht="21" customHeight="1">
      <c r="A24" s="8" t="s">
        <v>28</v>
      </c>
      <c r="B24" s="9">
        <f>指标与情景!B12</f>
        <v>0.21197152733052768</v>
      </c>
      <c r="C24" s="8" t="str">
        <f>指标与情景!C12</f>
        <v>倍</v>
      </c>
      <c r="D24" s="9">
        <f>指标与情景!D12</f>
        <v>1.2</v>
      </c>
      <c r="E24" s="9">
        <f>指标与情景!E12</f>
        <v>0.14850575361696278</v>
      </c>
      <c r="F24" s="9" t="str">
        <f>指标与情景!F12</f>
        <v>未通过</v>
      </c>
      <c r="G24" s="9" t="str">
        <f>指标与情景!G12</f>
        <v>未通过</v>
      </c>
      <c r="H24" s="9"/>
      <c r="I24" s="9"/>
      <c r="J24" s="9"/>
      <c r="K24" s="9"/>
      <c r="L24" s="9"/>
    </row>
    <row r="25" spans="1:12" ht="21" customHeight="1">
      <c r="A25" s="8" t="s">
        <v>29</v>
      </c>
      <c r="B25" s="9">
        <f>指标与情景!B13</f>
        <v>32810</v>
      </c>
      <c r="C25" s="8" t="str">
        <f>指标与情景!C13</f>
        <v>万元</v>
      </c>
      <c r="D25" s="9">
        <f>指标与情景!D13</f>
        <v>33000</v>
      </c>
      <c r="E25" s="9">
        <f>指标与情景!E13</f>
        <v>38102.000000000007</v>
      </c>
      <c r="F25" s="9" t="str">
        <f>指标与情景!F13</f>
        <v>通过</v>
      </c>
      <c r="G25" s="9" t="str">
        <f>指标与情景!G13</f>
        <v>未通过</v>
      </c>
      <c r="H25" s="9"/>
      <c r="I25" s="9"/>
      <c r="J25" s="9"/>
      <c r="K25" s="9"/>
      <c r="L25" s="9"/>
    </row>
    <row r="26" spans="1:12" ht="21" customHeight="1">
      <c r="A26" s="8" t="s">
        <v>30</v>
      </c>
      <c r="B26" s="9">
        <f>指标与情景!B14</f>
        <v>0</v>
      </c>
      <c r="C26" s="8" t="str">
        <f>指标与情景!C14</f>
        <v>万元</v>
      </c>
      <c r="D26" s="9">
        <f>指标与情景!D14</f>
        <v>0</v>
      </c>
      <c r="E26" s="9">
        <f>指标与情景!E14</f>
        <v>5102.0000000000018</v>
      </c>
      <c r="F26" s="9" t="str">
        <f>指标与情景!F14</f>
        <v>通过</v>
      </c>
      <c r="G26" s="9" t="str">
        <f>指标与情景!G14</f>
        <v>未通过</v>
      </c>
      <c r="H26" s="9"/>
      <c r="I26" s="9"/>
      <c r="J26" s="9"/>
      <c r="K26" s="9"/>
      <c r="L26" s="9"/>
    </row>
    <row r="27" spans="1:12" ht="21" customHeight="1">
      <c r="A27" s="8" t="s">
        <v>31</v>
      </c>
      <c r="B27" s="9">
        <f>指标与情景!B15</f>
        <v>0</v>
      </c>
      <c r="C27" s="8" t="str">
        <f>指标与情景!C15</f>
        <v>万元</v>
      </c>
      <c r="D27" s="9">
        <f>指标与情景!D15</f>
        <v>0</v>
      </c>
      <c r="E27" s="9">
        <f>指标与情景!E15</f>
        <v>0</v>
      </c>
      <c r="F27" s="9" t="str">
        <f>指标与情景!F15</f>
        <v>通过</v>
      </c>
      <c r="G27" s="9" t="str">
        <f>指标与情景!G15</f>
        <v>通过</v>
      </c>
      <c r="H27" s="9"/>
      <c r="I27" s="9"/>
      <c r="J27" s="9"/>
      <c r="K27" s="9"/>
      <c r="L27" s="9"/>
    </row>
    <row r="28" spans="1:12" ht="21" customHeight="1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</row>
    <row r="29" spans="1:12" ht="24" customHeight="1">
      <c r="A29" s="23" t="s">
        <v>32</v>
      </c>
      <c r="B29" s="23"/>
      <c r="C29" s="23"/>
      <c r="D29" s="24"/>
      <c r="E29" s="24"/>
      <c r="F29" s="24"/>
      <c r="G29" s="24"/>
      <c r="H29" s="9"/>
      <c r="I29" s="9"/>
      <c r="J29" s="9"/>
      <c r="K29" s="9"/>
      <c r="L29" s="9"/>
    </row>
    <row r="30" spans="1:12" ht="21" customHeight="1">
      <c r="A30" s="8" t="s">
        <v>33</v>
      </c>
      <c r="B30" s="8" t="s">
        <v>34</v>
      </c>
      <c r="C30" s="8"/>
      <c r="D30" s="9" t="s">
        <v>35</v>
      </c>
      <c r="E30" s="9"/>
      <c r="F30" s="9" t="s">
        <v>36</v>
      </c>
      <c r="G30" s="9"/>
      <c r="H30" s="9"/>
      <c r="I30" s="9"/>
      <c r="J30" s="9"/>
      <c r="K30" s="9"/>
      <c r="L30" s="9"/>
    </row>
    <row r="31" spans="1:12" ht="21" customHeight="1">
      <c r="A31" s="8" t="s">
        <v>37</v>
      </c>
      <c r="B31" s="22">
        <f>指标与情景!B38</f>
        <v>-1.4445334640145968E-2</v>
      </c>
      <c r="C31" s="22"/>
      <c r="D31" s="22">
        <f>指标与情景!B39</f>
        <v>3.3744637164136559E-2</v>
      </c>
      <c r="E31" s="9"/>
      <c r="F31" s="9" t="s">
        <v>38</v>
      </c>
      <c r="G31" s="9"/>
      <c r="H31" s="9"/>
      <c r="I31" s="9"/>
      <c r="J31" s="9"/>
      <c r="K31" s="9"/>
      <c r="L31" s="9"/>
    </row>
    <row r="32" spans="1:12" ht="21" customHeight="1">
      <c r="A32" s="8" t="s">
        <v>24</v>
      </c>
      <c r="B32" s="9">
        <f>指标与情景!B40</f>
        <v>-20406.095478339281</v>
      </c>
      <c r="C32" s="9"/>
      <c r="D32" s="9">
        <f>指标与情景!B41</f>
        <v>-14899.172391978911</v>
      </c>
      <c r="E32" s="9"/>
      <c r="F32" s="9" t="s">
        <v>39</v>
      </c>
      <c r="G32" s="9"/>
      <c r="H32" s="9"/>
      <c r="I32" s="9"/>
      <c r="J32" s="9"/>
      <c r="K32" s="9"/>
      <c r="L32" s="9"/>
    </row>
    <row r="33" spans="1:12" ht="21" customHeight="1">
      <c r="A33" s="8" t="s">
        <v>40</v>
      </c>
      <c r="B33" s="22">
        <f>指标与情景!B42</f>
        <v>-4.0676665276822566E-2</v>
      </c>
      <c r="C33" s="22"/>
      <c r="D33" s="22">
        <f>指标与情景!B43</f>
        <v>3.0390403446795444E-2</v>
      </c>
      <c r="E33" s="9"/>
      <c r="F33" s="9" t="s">
        <v>38</v>
      </c>
      <c r="G33" s="9"/>
      <c r="H33" s="9"/>
      <c r="I33" s="9"/>
      <c r="J33" s="9"/>
      <c r="K33" s="9"/>
      <c r="L33" s="9"/>
    </row>
    <row r="34" spans="1:12" ht="21" customHeight="1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</row>
    <row r="35" spans="1:12" ht="21" customHeight="1">
      <c r="A35" s="8" t="s">
        <v>41</v>
      </c>
      <c r="B35" s="25">
        <f>指标与情景!B48</f>
        <v>2034</v>
      </c>
      <c r="C35" s="8"/>
      <c r="D35" s="9"/>
      <c r="E35" s="9" t="s">
        <v>42</v>
      </c>
      <c r="F35" s="22">
        <f>指标与情景!B22</f>
        <v>0.29842494284342885</v>
      </c>
      <c r="G35" s="9"/>
      <c r="H35" s="9"/>
      <c r="I35" s="9"/>
      <c r="J35" s="9"/>
      <c r="K35" s="9"/>
      <c r="L35" s="9"/>
    </row>
    <row r="36" spans="1:12" ht="21" customHeight="1">
      <c r="A36" s="8" t="s">
        <v>43</v>
      </c>
      <c r="B36" s="9">
        <f>指标与情景!B34</f>
        <v>0</v>
      </c>
      <c r="C36" s="8"/>
      <c r="D36" s="9"/>
      <c r="E36" s="9" t="s">
        <v>44</v>
      </c>
      <c r="F36" s="9">
        <f>指标与情景!B45</f>
        <v>13762.777499999975</v>
      </c>
      <c r="G36" s="9"/>
      <c r="H36" s="9"/>
      <c r="I36" s="9"/>
      <c r="J36" s="9"/>
      <c r="K36" s="9"/>
      <c r="L36" s="9"/>
    </row>
    <row r="37" spans="1:12" ht="21" customHeight="1">
      <c r="A37" s="8" t="s">
        <v>45</v>
      </c>
      <c r="B37" s="9">
        <f>指标与情景!B35</f>
        <v>4193.605630457685</v>
      </c>
      <c r="C37" s="8"/>
      <c r="D37" s="9"/>
      <c r="E37" s="9" t="s">
        <v>46</v>
      </c>
      <c r="F37" s="9" t="str">
        <f>敏感性与边界!B66</f>
        <v>与当前参数一致</v>
      </c>
      <c r="G37" s="9"/>
      <c r="H37" s="9"/>
      <c r="I37" s="9"/>
      <c r="J37" s="9"/>
      <c r="K37" s="9"/>
      <c r="L37" s="9"/>
    </row>
    <row r="38" spans="1:12" ht="21" customHeight="1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</row>
    <row r="39" spans="1:12" ht="21" customHeight="1">
      <c r="A39" s="26" t="str">
        <f>"经营DSCR衡量当年经营现金；前期销售留存另行支持偿债。"&amp;IF(指标与情景!B14&gt;0.01," 存在未落实缺口，当前计划不能视为已执行。","")&amp;" "&amp;指标与情景!B25</f>
        <v>经营DSCR衡量当年经营现金；前期销售留存另行支持偿债。 单次变号或无变号</v>
      </c>
      <c r="B39" s="26"/>
      <c r="C39" s="26"/>
      <c r="D39" s="27"/>
      <c r="E39" s="27"/>
      <c r="F39" s="27"/>
      <c r="G39" s="27"/>
      <c r="H39" s="9"/>
      <c r="I39" s="9"/>
      <c r="J39" s="9"/>
      <c r="K39" s="9"/>
      <c r="L39" s="9"/>
    </row>
    <row r="40" spans="1:12" ht="21" customHeight="1">
      <c r="A40" s="26"/>
      <c r="B40" s="26"/>
      <c r="C40" s="26"/>
      <c r="D40" s="27"/>
      <c r="E40" s="27"/>
      <c r="F40" s="27"/>
      <c r="G40" s="27"/>
      <c r="H40" s="9"/>
      <c r="I40" s="9"/>
      <c r="J40" s="9"/>
      <c r="K40" s="9"/>
      <c r="L40" s="9"/>
    </row>
    <row r="41" spans="1:12" ht="21" customHeight="1">
      <c r="A41" s="28" t="str">
        <f>"所选季度月内最大缺口（万元）："&amp;TEXT(关键月份核对!B33,"#,##0.00")&amp;IF(关键月份核对!B35=1,"；该季度月度安排通过","；月度安排需调整")</f>
        <v>所选季度月内最大缺口（万元）：0.00；该季度月度安排通过</v>
      </c>
      <c r="B41" s="28"/>
      <c r="C41" s="28"/>
      <c r="D41" s="29"/>
      <c r="E41" s="29"/>
      <c r="F41" s="29"/>
      <c r="G41" s="29"/>
      <c r="H41" s="9"/>
      <c r="I41" s="9"/>
      <c r="J41" s="9"/>
      <c r="K41" s="9"/>
      <c r="L41" s="9"/>
    </row>
    <row r="42" spans="1:12" ht="21" customHeight="1">
      <c r="A42" s="28"/>
      <c r="B42" s="28"/>
      <c r="C42" s="28"/>
      <c r="D42" s="29"/>
      <c r="E42" s="29"/>
      <c r="F42" s="29"/>
      <c r="G42" s="29"/>
      <c r="H42" s="9"/>
      <c r="I42" s="9"/>
      <c r="J42" s="9"/>
      <c r="K42" s="9"/>
      <c r="L42" s="9"/>
    </row>
    <row r="43" spans="1:12" ht="21" customHeight="1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</row>
    <row r="44" spans="1:12" ht="21" customHeight="1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</row>
    <row r="45" spans="1:12" ht="21" customHeight="1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</row>
    <row r="46" spans="1:12" ht="21" customHeight="1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</row>
    <row r="47" spans="1:12" ht="21" customHeight="1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</row>
    <row r="48" spans="1:12" ht="21" customHeight="1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</row>
    <row r="49" spans="1:12" ht="21" customHeight="1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</row>
    <row r="50" spans="1:12" ht="21" customHeight="1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</row>
    <row r="51" spans="1:12" ht="21" customHeight="1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</row>
    <row r="52" spans="1:12" ht="21" customHeight="1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</row>
    <row r="53" spans="1:12" ht="21" customHeight="1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</row>
    <row r="54" spans="1:12" ht="21" customHeight="1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</row>
    <row r="55" spans="1:12" ht="21" customHeight="1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</row>
    <row r="56" spans="1:12" ht="21" customHeight="1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</row>
    <row r="57" spans="1:12" ht="21" customHeight="1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</row>
    <row r="58" spans="1:12" ht="21" customHeight="1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</row>
    <row r="59" spans="1:12" ht="21" customHeight="1">
      <c r="A59" s="8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</row>
    <row r="60" spans="1:12" ht="21" customHeight="1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</row>
    <row r="61" spans="1:12" ht="21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</row>
    <row r="62" spans="1:12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</row>
    <row r="63" spans="1:12" ht="21" customHeight="1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</row>
    <row r="64" spans="1:12" ht="21" customHeight="1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</row>
    <row r="65" spans="1:12" ht="21" customHeight="1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</row>
    <row r="66" spans="1:12" ht="21" customHeight="1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</row>
    <row r="67" spans="1:12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</row>
    <row r="68" spans="1:12" ht="21" customHeight="1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</row>
    <row r="69" spans="1:12" ht="21" customHeight="1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</row>
    <row r="70" spans="1:12" ht="21" customHeight="1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</row>
    <row r="71" spans="1:12" ht="21" customHeight="1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</row>
    <row r="72" spans="1:12" ht="21" customHeight="1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</row>
    <row r="73" spans="1:12" ht="21" customHeight="1">
      <c r="A73" s="8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</row>
    <row r="74" spans="1:12" ht="21" customHeight="1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</row>
    <row r="75" spans="1:12" ht="21" customHeight="1">
      <c r="A75" s="8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</row>
    <row r="76" spans="1:12" ht="21" customHeight="1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</row>
    <row r="77" spans="1:12" ht="21" customHeight="1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</row>
    <row r="78" spans="1:12" ht="21" customHeight="1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</row>
    <row r="79" spans="1:12" ht="21" customHeight="1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</row>
    <row r="80" spans="1:12" ht="21" customHeight="1">
      <c r="A80" s="8" t="s">
        <v>47</v>
      </c>
      <c r="B80" s="8" t="s">
        <v>48</v>
      </c>
      <c r="C80" s="8" t="s">
        <v>49</v>
      </c>
      <c r="D80" s="9" t="s">
        <v>50</v>
      </c>
      <c r="E80" s="9" t="s">
        <v>51</v>
      </c>
      <c r="F80" s="9" t="s">
        <v>52</v>
      </c>
      <c r="G80" s="9" t="s">
        <v>53</v>
      </c>
      <c r="H80" s="9" t="s">
        <v>54</v>
      </c>
      <c r="I80" s="9"/>
      <c r="J80" s="9"/>
      <c r="K80" s="9"/>
      <c r="L80" s="9"/>
    </row>
    <row r="81" spans="1:12" ht="21" customHeight="1">
      <c r="A81" s="8">
        <f>IF(0&lt;=核心参数输入!$B$9,0,"")</f>
        <v>0</v>
      </c>
      <c r="B81" s="8">
        <f>IF(0&lt;=核心参数输入!$B$9,年度汇总!D22,"")</f>
        <v>0</v>
      </c>
      <c r="C81" s="8">
        <f>IF(0&lt;=核心参数输入!$B$9,年度汇总!D23,"")</f>
        <v>0</v>
      </c>
      <c r="D81" s="9">
        <f>IF(0&lt;=核心参数输入!$B$9,年度汇总!D29,"")</f>
        <v>0</v>
      </c>
      <c r="E81" s="9">
        <f>IF(0&lt;=核心参数输入!$B$9,年度汇总!D30,"")</f>
        <v>0</v>
      </c>
      <c r="F81" s="9">
        <f>IF(0&lt;=核心参数输入!$B$9,年度汇总!D27,"")</f>
        <v>8000</v>
      </c>
      <c r="G81" s="9">
        <f>IF(0&lt;=核心参数输入!$B$9,年度汇总!D28,"")</f>
        <v>0</v>
      </c>
      <c r="H81" s="9">
        <f>IF(0&lt;=核心参数输入!$B$9,年度汇总!D33,"")</f>
        <v>-8000</v>
      </c>
      <c r="I81" s="9"/>
      <c r="J81" s="9"/>
      <c r="K81" s="9"/>
      <c r="L81" s="9"/>
    </row>
    <row r="82" spans="1:12" ht="21" customHeight="1">
      <c r="A82" s="8">
        <f>IF(1&lt;=核心参数输入!$B$9,1,"")</f>
        <v>1</v>
      </c>
      <c r="B82" s="8">
        <f>IF(1&lt;=核心参数输入!$B$9,年度汇总!E22,"")</f>
        <v>0</v>
      </c>
      <c r="C82" s="8">
        <f>IF(1&lt;=核心参数输入!$B$9,年度汇总!E23,"")</f>
        <v>177.1875</v>
      </c>
      <c r="D82" s="9">
        <f>IF(1&lt;=核心参数输入!$B$9,年度汇总!E29,"")</f>
        <v>0</v>
      </c>
      <c r="E82" s="9">
        <f>IF(1&lt;=核心参数输入!$B$9,年度汇总!E30,"")</f>
        <v>0</v>
      </c>
      <c r="F82" s="9">
        <f>IF(1&lt;=核心参数输入!$B$9,年度汇总!E27,"")</f>
        <v>7065</v>
      </c>
      <c r="G82" s="9">
        <f>IF(1&lt;=核心参数输入!$B$9,年度汇总!E28,"")</f>
        <v>0</v>
      </c>
      <c r="H82" s="9">
        <f>IF(1&lt;=核心参数输入!$B$9,年度汇总!E33,"")</f>
        <v>-23876</v>
      </c>
      <c r="I82" s="9"/>
      <c r="J82" s="9"/>
      <c r="K82" s="9"/>
      <c r="L82" s="9"/>
    </row>
    <row r="83" spans="1:12" ht="21" customHeight="1">
      <c r="A83" s="8">
        <f>IF(2&lt;=核心参数输入!$B$9,2,"")</f>
        <v>2</v>
      </c>
      <c r="B83" s="8">
        <f>IF(2&lt;=核心参数输入!$B$9,年度汇总!F22,"")</f>
        <v>0</v>
      </c>
      <c r="C83" s="8">
        <f>IF(2&lt;=核心参数输入!$B$9,年度汇总!F23,"")</f>
        <v>630</v>
      </c>
      <c r="D83" s="9">
        <f>IF(2&lt;=核心参数输入!$B$9,年度汇总!F29,"")</f>
        <v>0</v>
      </c>
      <c r="E83" s="9">
        <f>IF(2&lt;=核心参数输入!$B$9,年度汇总!F30,"")</f>
        <v>0</v>
      </c>
      <c r="F83" s="9">
        <f>IF(2&lt;=核心参数输入!$B$9,年度汇总!F27,"")</f>
        <v>9798</v>
      </c>
      <c r="G83" s="9">
        <f>IF(2&lt;=核心参数输入!$B$9,年度汇总!F28,"")</f>
        <v>0</v>
      </c>
      <c r="H83" s="9">
        <f>IF(2&lt;=核心参数输入!$B$9,年度汇总!F33,"")</f>
        <v>-45044</v>
      </c>
      <c r="I83" s="9"/>
      <c r="J83" s="9"/>
      <c r="K83" s="9"/>
      <c r="L83" s="9"/>
    </row>
    <row r="84" spans="1:12" ht="21" customHeight="1">
      <c r="A84" s="8">
        <f>IF(3&lt;=核心参数输入!$B$9,3,"")</f>
        <v>3</v>
      </c>
      <c r="B84" s="8">
        <f>IF(3&lt;=核心参数输入!$B$9,年度汇总!G22,"")</f>
        <v>0</v>
      </c>
      <c r="C84" s="8">
        <f>IF(3&lt;=核心参数输入!$B$9,年度汇总!G23,"")</f>
        <v>1071</v>
      </c>
      <c r="D84" s="9">
        <f>IF(3&lt;=核心参数输入!$B$9,年度汇总!G29,"")</f>
        <v>0</v>
      </c>
      <c r="E84" s="9">
        <f>IF(3&lt;=核心参数输入!$B$9,年度汇总!G30,"")</f>
        <v>0</v>
      </c>
      <c r="F84" s="9">
        <f>IF(3&lt;=核心参数输入!$B$9,年度汇总!G27,"")</f>
        <v>7947</v>
      </c>
      <c r="G84" s="9">
        <f>IF(3&lt;=核心参数输入!$B$9,年度汇总!G28,"")</f>
        <v>0</v>
      </c>
      <c r="H84" s="9">
        <f>IF(3&lt;=核心参数输入!$B$9,年度汇总!G33,"")</f>
        <v>-60920</v>
      </c>
      <c r="I84" s="9"/>
      <c r="J84" s="9"/>
      <c r="K84" s="9"/>
      <c r="L84" s="9"/>
    </row>
    <row r="85" spans="1:12" ht="21" customHeight="1">
      <c r="A85" s="8">
        <f>IF(4&lt;=核心参数输入!$B$9,4,"")</f>
        <v>4</v>
      </c>
      <c r="B85" s="8">
        <f>IF(4&lt;=核心参数输入!$B$9,年度汇总!H22,"")</f>
        <v>11554.939162359376</v>
      </c>
      <c r="C85" s="8">
        <f>IF(4&lt;=核心参数输入!$B$9,年度汇总!H23,"")</f>
        <v>5523.2142857142853</v>
      </c>
      <c r="D85" s="9">
        <f>IF(4&lt;=核心参数输入!$B$9,年度汇总!H29,"")</f>
        <v>0</v>
      </c>
      <c r="E85" s="9">
        <f>IF(4&lt;=核心参数输入!$B$9,年度汇总!H30,"")</f>
        <v>0</v>
      </c>
      <c r="F85" s="9">
        <f>IF(4&lt;=核心参数输入!$B$9,年度汇总!H27,"")</f>
        <v>0</v>
      </c>
      <c r="G85" s="9">
        <f>IF(4&lt;=核心参数输入!$B$9,年度汇总!H28,"")</f>
        <v>5531.7248766450894</v>
      </c>
      <c r="H85" s="9">
        <f>IF(4&lt;=核心参数输入!$B$9,年度汇总!H33,"")</f>
        <v>-50259.131462640624</v>
      </c>
      <c r="I85" s="9"/>
      <c r="J85" s="9"/>
      <c r="K85" s="9"/>
      <c r="L85" s="9"/>
    </row>
    <row r="86" spans="1:12" ht="21" customHeight="1">
      <c r="A86" s="8">
        <f>IF(5&lt;=核心参数输入!$B$9,5,"")</f>
        <v>5</v>
      </c>
      <c r="B86" s="8">
        <f>IF(5&lt;=核心参数输入!$B$9,年度汇总!I22,"")</f>
        <v>16821.455477301264</v>
      </c>
      <c r="C86" s="8">
        <f>IF(5&lt;=核心参数输入!$B$9,年度汇总!I23,"")</f>
        <v>5343.2142857142853</v>
      </c>
      <c r="D86" s="9">
        <f>IF(5&lt;=核心参数输入!$B$9,年度汇总!I29,"")</f>
        <v>5240.868945569995</v>
      </c>
      <c r="E86" s="9">
        <f>IF(5&lt;=核心参数输入!$B$9,年度汇总!I30,"")</f>
        <v>0</v>
      </c>
      <c r="F86" s="9">
        <f>IF(5&lt;=核心参数输入!$B$9,年度汇总!I27,"")</f>
        <v>0</v>
      </c>
      <c r="G86" s="9">
        <f>IF(5&lt;=核心参数输入!$B$9,年度汇总!I28,"")</f>
        <v>6237.3722460169847</v>
      </c>
      <c r="H86" s="9">
        <f>IF(5&lt;=核心参数输入!$B$9,年度汇总!I33,"")</f>
        <v>-33812.734110339356</v>
      </c>
      <c r="I86" s="9"/>
      <c r="J86" s="9"/>
      <c r="K86" s="9"/>
      <c r="L86" s="9"/>
    </row>
    <row r="87" spans="1:12" ht="21" customHeight="1">
      <c r="A87" s="8">
        <f>IF(6&lt;=核心参数输入!$B$9,6,"")</f>
        <v>6</v>
      </c>
      <c r="B87" s="8">
        <f>IF(6&lt;=核心参数输入!$B$9,年度汇总!J22,"")</f>
        <v>13643.414217493944</v>
      </c>
      <c r="C87" s="8">
        <f>IF(6&lt;=核心参数输入!$B$9,年度汇总!J23,"")</f>
        <v>5163.2142857142853</v>
      </c>
      <c r="D87" s="9">
        <f>IF(6&lt;=核心参数输入!$B$9,年度汇总!J29,"")</f>
        <v>13721.068877349653</v>
      </c>
      <c r="E87" s="9">
        <f>IF(6&lt;=核心参数输入!$B$9,年度汇总!J30,"")</f>
        <v>0</v>
      </c>
      <c r="F87" s="9">
        <f>IF(6&lt;=核心参数输入!$B$9,年度汇总!J27,"")</f>
        <v>0</v>
      </c>
      <c r="G87" s="9">
        <f>IF(6&lt;=核心参数输入!$B$9,年度汇总!J28,"")</f>
        <v>0</v>
      </c>
      <c r="H87" s="9">
        <f>IF(6&lt;=核心参数输入!$B$9,年度汇总!J33,"")</f>
        <v>-20473.390517845412</v>
      </c>
      <c r="I87" s="9"/>
      <c r="J87" s="9"/>
      <c r="K87" s="9"/>
      <c r="L87" s="9"/>
    </row>
    <row r="88" spans="1:12" ht="21" customHeight="1">
      <c r="A88" s="8">
        <f>IF(7&lt;=核心参数输入!$B$9,7,"")</f>
        <v>7</v>
      </c>
      <c r="B88" s="8">
        <f>IF(7&lt;=核心参数输入!$B$9,年度汇总!K22,"")</f>
        <v>2022.6792090597849</v>
      </c>
      <c r="C88" s="8">
        <f>IF(7&lt;=核心参数输入!$B$9,年度汇总!K23,"")</f>
        <v>4983.2142857142853</v>
      </c>
      <c r="D88" s="9">
        <f>IF(7&lt;=核心参数输入!$B$9,年度汇总!K29,"")</f>
        <v>10760.533800695153</v>
      </c>
      <c r="E88" s="9">
        <f>IF(7&lt;=核心参数输入!$B$9,年度汇总!K30,"")</f>
        <v>0</v>
      </c>
      <c r="F88" s="9">
        <f>IF(7&lt;=核心参数输入!$B$9,年度汇总!K27,"")</f>
        <v>0</v>
      </c>
      <c r="G88" s="9">
        <f>IF(7&lt;=核心参数输入!$B$9,年度汇总!K28,"")</f>
        <v>0</v>
      </c>
      <c r="H88" s="9">
        <f>IF(7&lt;=核心参数输入!$B$9,年度汇总!K33,"")</f>
        <v>-18478.377048550574</v>
      </c>
      <c r="I88" s="9"/>
      <c r="J88" s="9"/>
      <c r="K88" s="9"/>
      <c r="L88" s="9"/>
    </row>
    <row r="89" spans="1:12" ht="21" customHeight="1">
      <c r="A89" s="8">
        <f>IF(8&lt;=核心参数输入!$B$9,8,"")</f>
        <v>8</v>
      </c>
      <c r="B89" s="8">
        <f>IF(8&lt;=核心参数输入!$B$9,年度汇总!L22,"")</f>
        <v>1018.1446682386667</v>
      </c>
      <c r="C89" s="8">
        <f>IF(8&lt;=核心参数输入!$B$9,年度汇总!L23,"")</f>
        <v>4803.2142857142853</v>
      </c>
      <c r="D89" s="9">
        <f>IF(8&lt;=核心参数输入!$B$9,年度汇总!L29,"")</f>
        <v>6975.4641832195357</v>
      </c>
      <c r="E89" s="9">
        <f>IF(8&lt;=核心参数输入!$B$9,年度汇总!L30,"")</f>
        <v>0</v>
      </c>
      <c r="F89" s="9">
        <f>IF(8&lt;=核心参数输入!$B$9,年度汇总!L27,"")</f>
        <v>0</v>
      </c>
      <c r="G89" s="9">
        <f>IF(8&lt;=核心参数输入!$B$9,年度汇总!L28,"")</f>
        <v>0</v>
      </c>
      <c r="H89" s="9">
        <f>IF(8&lt;=核心参数输入!$B$9,年度汇总!L33,"")</f>
        <v>-17508.241047371575</v>
      </c>
      <c r="I89" s="9"/>
      <c r="J89" s="9"/>
      <c r="K89" s="9"/>
      <c r="L89" s="9"/>
    </row>
    <row r="90" spans="1:12" ht="21" customHeight="1">
      <c r="A90" s="8">
        <f>IF(9&lt;=核心参数输入!$B$9,9,"")</f>
        <v>9</v>
      </c>
      <c r="B90" s="8">
        <f>IF(9&lt;=核心参数输入!$B$9,年度汇总!M22,"")</f>
        <v>1037.1813942500416</v>
      </c>
      <c r="C90" s="8">
        <f>IF(9&lt;=核心参数输入!$B$9,年度汇总!M23,"")</f>
        <v>4623.2142857142853</v>
      </c>
      <c r="D90" s="9">
        <f>IF(9&lt;=核心参数输入!$B$9,年度汇总!M29,"")</f>
        <v>3389.4312917552916</v>
      </c>
      <c r="E90" s="9">
        <f>IF(9&lt;=核心参数输入!$B$9,年度汇总!M30,"")</f>
        <v>0</v>
      </c>
      <c r="F90" s="9">
        <f>IF(9&lt;=核心参数输入!$B$9,年度汇总!M27,"")</f>
        <v>0</v>
      </c>
      <c r="G90" s="9">
        <f>IF(9&lt;=核心参数输入!$B$9,年度汇总!M28,"")</f>
        <v>0</v>
      </c>
      <c r="H90" s="9">
        <f>IF(9&lt;=核心参数输入!$B$9,年度汇总!M33,"")</f>
        <v>-16523.827501684042</v>
      </c>
      <c r="I90" s="9"/>
      <c r="J90" s="9"/>
      <c r="K90" s="9"/>
      <c r="L90" s="9"/>
    </row>
    <row r="91" spans="1:12" ht="21" customHeight="1">
      <c r="A91" s="8">
        <f>IF(10&lt;=核心参数输入!$B$9,10,"")</f>
        <v>10</v>
      </c>
      <c r="B91" s="8">
        <f>IF(10&lt;=核心参数输入!$B$9,年度汇总!N22,"")</f>
        <v>1053.7829939589919</v>
      </c>
      <c r="C91" s="8">
        <f>IF(10&lt;=核心参数输入!$B$9,年度汇总!N23,"")</f>
        <v>4443.2142857142835</v>
      </c>
      <c r="D91" s="9">
        <f>IF(10&lt;=核心参数输入!$B$9,年度汇总!N29,"")</f>
        <v>0</v>
      </c>
      <c r="E91" s="9">
        <f>IF(10&lt;=核心参数输入!$B$9,年度汇总!N30,"")</f>
        <v>0</v>
      </c>
      <c r="F91" s="9">
        <f>IF(10&lt;=核心参数输入!$B$9,年度汇总!N27,"")</f>
        <v>0</v>
      </c>
      <c r="G91" s="9">
        <f>IF(10&lt;=核心参数输入!$B$9,年度汇总!N28,"")</f>
        <v>0</v>
      </c>
      <c r="H91" s="9">
        <f>IF(10&lt;=核心参数输入!$B$9,年度汇总!N33,"")</f>
        <v>-15526.962756214796</v>
      </c>
      <c r="I91" s="9"/>
      <c r="J91" s="9"/>
      <c r="K91" s="9"/>
      <c r="L91" s="9"/>
    </row>
    <row r="92" spans="1:12" ht="21" customHeight="1">
      <c r="A92" s="8">
        <f>IF(11&lt;=核心参数输入!$B$9,11,"")</f>
        <v>11</v>
      </c>
      <c r="B92" s="8">
        <f>IF(11&lt;=核心参数输入!$B$9,年度汇总!O22,"")</f>
        <v>1070.6004952394806</v>
      </c>
      <c r="C92" s="8">
        <f>IF(11&lt;=核心参数输入!$B$9,年度汇总!O23,"")</f>
        <v>0</v>
      </c>
      <c r="D92" s="9">
        <f>IF(11&lt;=核心参数输入!$B$9,年度汇总!O29,"")</f>
        <v>0</v>
      </c>
      <c r="E92" s="9">
        <f>IF(11&lt;=核心参数输入!$B$9,年度汇总!O30,"")</f>
        <v>0</v>
      </c>
      <c r="F92" s="9">
        <f>IF(11&lt;=核心参数输入!$B$9,年度汇总!O27,"")</f>
        <v>0</v>
      </c>
      <c r="G92" s="9">
        <f>IF(11&lt;=核心参数输入!$B$9,年度汇总!O28,"")</f>
        <v>1070.6004952394806</v>
      </c>
      <c r="H92" s="9">
        <f>IF(11&lt;=核心参数输入!$B$9,年度汇总!O33,"")</f>
        <v>-14517.484884785186</v>
      </c>
      <c r="I92" s="9"/>
      <c r="J92" s="9"/>
      <c r="K92" s="9"/>
      <c r="L92" s="9"/>
    </row>
    <row r="93" spans="1:12" ht="21" customHeight="1">
      <c r="A93" s="8">
        <f>IF(12&lt;=核心参数输入!$B$9,12,"")</f>
        <v>12</v>
      </c>
      <c r="B93" s="8">
        <f>IF(12&lt;=核心参数输入!$B$9,年度汇总!P22,"")</f>
        <v>1087.6364741665989</v>
      </c>
      <c r="C93" s="8">
        <f>IF(12&lt;=核心参数输入!$B$9,年度汇总!P23,"")</f>
        <v>0</v>
      </c>
      <c r="D93" s="9">
        <f>IF(12&lt;=核心参数输入!$B$9,年度汇总!P29,"")</f>
        <v>0</v>
      </c>
      <c r="E93" s="9">
        <f>IF(12&lt;=核心参数输入!$B$9,年度汇总!P30,"")</f>
        <v>0</v>
      </c>
      <c r="F93" s="9">
        <f>IF(12&lt;=核心参数输入!$B$9,年度汇总!P27,"")</f>
        <v>0</v>
      </c>
      <c r="G93" s="9">
        <f>IF(12&lt;=核心参数输入!$B$9,年度汇总!P28,"")</f>
        <v>1087.6364741665989</v>
      </c>
      <c r="H93" s="9">
        <f>IF(12&lt;=核心参数输入!$B$9,年度汇总!P33,"")</f>
        <v>-13495.230029160239</v>
      </c>
      <c r="I93" s="9"/>
      <c r="J93" s="9"/>
      <c r="K93" s="9"/>
      <c r="L93" s="9"/>
    </row>
    <row r="94" spans="1:12" ht="21" customHeight="1">
      <c r="A94" s="8">
        <f>IF(13&lt;=核心参数输入!$B$9,13,"")</f>
        <v>13</v>
      </c>
      <c r="B94" s="8">
        <f>IF(13&lt;=核心参数输入!$B$9,年度汇总!Q22,"")</f>
        <v>1104.893532207594</v>
      </c>
      <c r="C94" s="8">
        <f>IF(13&lt;=核心参数输入!$B$9,年度汇总!Q23,"")</f>
        <v>0</v>
      </c>
      <c r="D94" s="9">
        <f>IF(13&lt;=核心参数输入!$B$9,年度汇总!Q29,"")</f>
        <v>0</v>
      </c>
      <c r="E94" s="9">
        <f>IF(13&lt;=核心参数输入!$B$9,年度汇总!Q30,"")</f>
        <v>0</v>
      </c>
      <c r="F94" s="9">
        <f>IF(13&lt;=核心参数输入!$B$9,年度汇总!Q27,"")</f>
        <v>0</v>
      </c>
      <c r="G94" s="9">
        <f>IF(13&lt;=核心参数输入!$B$9,年度汇总!Q28,"")</f>
        <v>1104.893532207594</v>
      </c>
      <c r="H94" s="9">
        <f>IF(13&lt;=核心参数输入!$B$9,年度汇总!Q33,"")</f>
        <v>-12460.032380004544</v>
      </c>
      <c r="I94" s="9"/>
      <c r="J94" s="9"/>
      <c r="K94" s="9"/>
      <c r="L94" s="9"/>
    </row>
    <row r="95" spans="1:12" ht="21" customHeight="1">
      <c r="A95" s="8">
        <f>IF(14&lt;=核心参数输入!$B$9,14,"")</f>
        <v>14</v>
      </c>
      <c r="B95" s="8">
        <f>IF(14&lt;=核心参数输入!$B$9,年度汇总!R22,"")</f>
        <v>1093.3816236908201</v>
      </c>
      <c r="C95" s="8">
        <f>IF(14&lt;=核心参数输入!$B$9,年度汇总!R23,"")</f>
        <v>0</v>
      </c>
      <c r="D95" s="9">
        <f>IF(14&lt;=核心参数输入!$B$9,年度汇总!R29,"")</f>
        <v>0</v>
      </c>
      <c r="E95" s="9">
        <f>IF(14&lt;=核心参数输入!$B$9,年度汇总!R30,"")</f>
        <v>0</v>
      </c>
      <c r="F95" s="9">
        <f>IF(14&lt;=核心参数输入!$B$9,年度汇总!R27,"")</f>
        <v>0</v>
      </c>
      <c r="G95" s="9">
        <f>IF(14&lt;=核心参数输入!$B$9,年度汇总!R28,"")</f>
        <v>1093.3816236908201</v>
      </c>
      <c r="H95" s="9">
        <f>IF(14&lt;=核心参数输入!$B$9,年度汇总!R33,"")</f>
        <v>-11411.724157751214</v>
      </c>
      <c r="I95" s="9"/>
      <c r="J95" s="9"/>
      <c r="K95" s="9"/>
      <c r="L95" s="9"/>
    </row>
    <row r="96" spans="1:12" ht="21" customHeight="1">
      <c r="A96" s="8">
        <f>IF(15&lt;=核心参数输入!$B$9,15,"")</f>
        <v>15</v>
      </c>
      <c r="B96" s="8">
        <f>IF(15&lt;=核心参数输入!$B$9,年度汇总!S22,"")</f>
        <v>1068.3216893646361</v>
      </c>
      <c r="C96" s="8">
        <f>IF(15&lt;=核心参数输入!$B$9,年度汇总!S23,"")</f>
        <v>0</v>
      </c>
      <c r="D96" s="9">
        <f>IF(15&lt;=核心参数输入!$B$9,年度汇总!S29,"")</f>
        <v>0</v>
      </c>
      <c r="E96" s="9">
        <f>IF(15&lt;=核心参数输入!$B$9,年度汇总!S30,"")</f>
        <v>0</v>
      </c>
      <c r="F96" s="9">
        <f>IF(15&lt;=核心参数输入!$B$9,年度汇总!S27,"")</f>
        <v>0</v>
      </c>
      <c r="G96" s="9">
        <f>IF(15&lt;=核心参数输入!$B$9,年度汇总!S28,"")</f>
        <v>1068.3216893646361</v>
      </c>
      <c r="H96" s="9">
        <f>IF(15&lt;=核心参数输入!$B$9,年度汇总!S33,"")</f>
        <v>-10350.135593386578</v>
      </c>
      <c r="I96" s="9"/>
      <c r="J96" s="9"/>
      <c r="K96" s="9"/>
      <c r="L96" s="9"/>
    </row>
    <row r="97" spans="1:12" ht="21" customHeight="1">
      <c r="A97" s="8">
        <f>IF(16&lt;=核心参数输入!$B$9,16,"")</f>
        <v>16</v>
      </c>
      <c r="B97" s="8">
        <f>IF(16&lt;=核心参数输入!$B$9,年度汇总!T22,"")</f>
        <v>1081.7738092331617</v>
      </c>
      <c r="C97" s="8">
        <f>IF(16&lt;=核心参数输入!$B$9,年度汇总!T23,"")</f>
        <v>0</v>
      </c>
      <c r="D97" s="9">
        <f>IF(16&lt;=核心参数输入!$B$9,年度汇总!T29,"")</f>
        <v>0</v>
      </c>
      <c r="E97" s="9">
        <f>IF(16&lt;=核心参数输入!$B$9,年度汇总!T30,"")</f>
        <v>0</v>
      </c>
      <c r="F97" s="9">
        <f>IF(16&lt;=核心参数输入!$B$9,年度汇总!T27,"")</f>
        <v>0</v>
      </c>
      <c r="G97" s="9">
        <f>IF(16&lt;=核心参数输入!$B$9,年度汇总!T28,"")</f>
        <v>1081.7738092331617</v>
      </c>
      <c r="H97" s="9">
        <f>IF(16&lt;=核心参数输入!$B$9,年度汇总!T33,"")</f>
        <v>-9275.0949091534185</v>
      </c>
      <c r="I97" s="9"/>
      <c r="J97" s="9"/>
      <c r="K97" s="9"/>
      <c r="L97" s="9"/>
    </row>
    <row r="98" spans="1:12" ht="21" customHeight="1">
      <c r="A98" s="8">
        <f>IF(17&lt;=核心参数输入!$B$9,17,"")</f>
        <v>17</v>
      </c>
      <c r="B98" s="8">
        <f>IF(17&lt;=核心参数输入!$B$9,年度汇总!U22,"")</f>
        <v>1095.3997349777762</v>
      </c>
      <c r="C98" s="8">
        <f>IF(17&lt;=核心参数输入!$B$9,年度汇总!U23,"")</f>
        <v>0</v>
      </c>
      <c r="D98" s="9">
        <f>IF(17&lt;=核心参数输入!$B$9,年度汇总!U29,"")</f>
        <v>0</v>
      </c>
      <c r="E98" s="9">
        <f>IF(17&lt;=核心参数输入!$B$9,年度汇总!U30,"")</f>
        <v>0</v>
      </c>
      <c r="F98" s="9">
        <f>IF(17&lt;=核心参数输入!$B$9,年度汇总!U27,"")</f>
        <v>0</v>
      </c>
      <c r="G98" s="9">
        <f>IF(17&lt;=核心参数输入!$B$9,年度汇总!U28,"")</f>
        <v>1095.3997349777762</v>
      </c>
      <c r="H98" s="9">
        <f>IF(17&lt;=核心参数输入!$B$9,年度汇总!U33,"")</f>
        <v>-8186.4282991756445</v>
      </c>
      <c r="I98" s="9"/>
      <c r="J98" s="9"/>
      <c r="K98" s="9"/>
      <c r="L98" s="9"/>
    </row>
    <row r="99" spans="1:12" ht="21" customHeight="1">
      <c r="A99" s="8">
        <f>IF(18&lt;=核心参数输入!$B$9,18,"")</f>
        <v>18</v>
      </c>
      <c r="B99" s="8">
        <f>IF(18&lt;=核心参数输入!$B$9,年度汇总!V22,"")</f>
        <v>1109.2015141681823</v>
      </c>
      <c r="C99" s="8">
        <f>IF(18&lt;=核心参数输入!$B$9,年度汇总!V23,"")</f>
        <v>0</v>
      </c>
      <c r="D99" s="9">
        <f>IF(18&lt;=核心参数输入!$B$9,年度汇总!V29,"")</f>
        <v>0</v>
      </c>
      <c r="E99" s="9">
        <f>IF(18&lt;=核心参数输入!$B$9,年度汇总!V30,"")</f>
        <v>0</v>
      </c>
      <c r="F99" s="9">
        <f>IF(18&lt;=核心参数输入!$B$9,年度汇总!V27,"")</f>
        <v>0</v>
      </c>
      <c r="G99" s="9">
        <f>IF(18&lt;=核心参数输入!$B$9,年度汇总!V28,"")</f>
        <v>1109.2015141681823</v>
      </c>
      <c r="H99" s="9">
        <f>IF(18&lt;=核心参数输入!$B$9,年度汇总!V33,"")</f>
        <v>-7083.9599100074629</v>
      </c>
      <c r="I99" s="9"/>
      <c r="J99" s="9"/>
      <c r="K99" s="9"/>
      <c r="L99" s="9"/>
    </row>
    <row r="100" spans="1:12" ht="21" customHeight="1">
      <c r="A100" s="8">
        <f>IF(19&lt;=核心参数输入!$B$9,19,"")</f>
        <v>19</v>
      </c>
      <c r="B100" s="8">
        <f>IF(19&lt;=核心参数输入!$B$9,年度汇总!W22,"")</f>
        <v>1123.1812138972587</v>
      </c>
      <c r="C100" s="8">
        <f>IF(19&lt;=核心参数输入!$B$9,年度汇总!W23,"")</f>
        <v>0</v>
      </c>
      <c r="D100" s="9">
        <f>IF(19&lt;=核心参数输入!$B$9,年度汇总!W29,"")</f>
        <v>0</v>
      </c>
      <c r="E100" s="9">
        <f>IF(19&lt;=核心参数输入!$B$9,年度汇总!W30,"")</f>
        <v>0</v>
      </c>
      <c r="F100" s="9">
        <f>IF(19&lt;=核心参数输入!$B$9,年度汇总!W27,"")</f>
        <v>0</v>
      </c>
      <c r="G100" s="9">
        <f>IF(19&lt;=核心参数输入!$B$9,年度汇总!W28,"")</f>
        <v>1123.1812138972587</v>
      </c>
      <c r="H100" s="9">
        <f>IF(19&lt;=核心参数输入!$B$9,年度汇总!W33,"")</f>
        <v>-5967.5118211102044</v>
      </c>
      <c r="I100" s="9"/>
      <c r="J100" s="9"/>
      <c r="K100" s="9"/>
      <c r="L100" s="9"/>
    </row>
    <row r="101" spans="1:12" ht="21" customHeight="1">
      <c r="A101" s="8">
        <f>IF(20&lt;=核心参数输入!$B$9,20,"")</f>
        <v>20</v>
      </c>
      <c r="B101" s="8">
        <f>IF(20&lt;=核心参数输入!$B$9,年度汇总!X22,"")</f>
        <v>1137.3409208501027</v>
      </c>
      <c r="C101" s="8">
        <f>IF(20&lt;=核心参数输入!$B$9,年度汇总!X23,"")</f>
        <v>0</v>
      </c>
      <c r="D101" s="9">
        <f>IF(20&lt;=核心参数输入!$B$9,年度汇总!X29,"")</f>
        <v>0</v>
      </c>
      <c r="E101" s="9">
        <f>IF(20&lt;=核心参数输入!$B$9,年度汇总!X30,"")</f>
        <v>0</v>
      </c>
      <c r="F101" s="9">
        <f>IF(20&lt;=核心参数输入!$B$9,年度汇总!X27,"")</f>
        <v>0</v>
      </c>
      <c r="G101" s="9">
        <f>IF(20&lt;=核心参数输入!$B$9,年度汇总!X28,"")</f>
        <v>1137.3409208501027</v>
      </c>
      <c r="H101" s="9">
        <f>IF(20&lt;=核心参数输入!$B$9,年度汇总!X33,"")</f>
        <v>-4836.9040252601026</v>
      </c>
      <c r="I101" s="9"/>
      <c r="J101" s="9"/>
      <c r="K101" s="9"/>
      <c r="L101" s="9"/>
    </row>
    <row r="102" spans="1:12" ht="21" customHeight="1">
      <c r="A102" s="8" t="str">
        <f>IF(21&lt;=核心参数输入!$B$9,21,"")</f>
        <v/>
      </c>
      <c r="B102" s="8" t="str">
        <f>IF(21&lt;=核心参数输入!$B$9,年度汇总!Y22,"")</f>
        <v/>
      </c>
      <c r="C102" s="8" t="str">
        <f>IF(21&lt;=核心参数输入!$B$9,年度汇总!Y23,"")</f>
        <v/>
      </c>
      <c r="D102" s="9" t="str">
        <f>IF(21&lt;=核心参数输入!$B$9,年度汇总!Y29,"")</f>
        <v/>
      </c>
      <c r="E102" s="9" t="str">
        <f>IF(21&lt;=核心参数输入!$B$9,年度汇总!Y30,"")</f>
        <v/>
      </c>
      <c r="F102" s="9" t="str">
        <f>IF(21&lt;=核心参数输入!$B$9,年度汇总!Y27,"")</f>
        <v/>
      </c>
      <c r="G102" s="9" t="str">
        <f>IF(21&lt;=核心参数输入!$B$9,年度汇总!Y28,"")</f>
        <v/>
      </c>
      <c r="H102" s="9" t="str">
        <f>IF(21&lt;=核心参数输入!$B$9,年度汇总!Y33,"")</f>
        <v/>
      </c>
      <c r="I102" s="9"/>
      <c r="J102" s="9"/>
      <c r="K102" s="9"/>
      <c r="L102" s="9"/>
    </row>
    <row r="103" spans="1:12" ht="21" customHeight="1">
      <c r="A103" s="8" t="str">
        <f>IF(22&lt;=核心参数输入!$B$9,22,"")</f>
        <v/>
      </c>
      <c r="B103" s="8" t="str">
        <f>IF(22&lt;=核心参数输入!$B$9,年度汇总!Z22,"")</f>
        <v/>
      </c>
      <c r="C103" s="8" t="str">
        <f>IF(22&lt;=核心参数输入!$B$9,年度汇总!Z23,"")</f>
        <v/>
      </c>
      <c r="D103" s="9" t="str">
        <f>IF(22&lt;=核心参数输入!$B$9,年度汇总!Z29,"")</f>
        <v/>
      </c>
      <c r="E103" s="9" t="str">
        <f>IF(22&lt;=核心参数输入!$B$9,年度汇总!Z30,"")</f>
        <v/>
      </c>
      <c r="F103" s="9" t="str">
        <f>IF(22&lt;=核心参数输入!$B$9,年度汇总!Z27,"")</f>
        <v/>
      </c>
      <c r="G103" s="9" t="str">
        <f>IF(22&lt;=核心参数输入!$B$9,年度汇总!Z28,"")</f>
        <v/>
      </c>
      <c r="H103" s="9" t="str">
        <f>IF(22&lt;=核心参数输入!$B$9,年度汇总!Z33,"")</f>
        <v/>
      </c>
      <c r="I103" s="9"/>
      <c r="J103" s="9"/>
      <c r="K103" s="9"/>
      <c r="L103" s="9"/>
    </row>
    <row r="104" spans="1:12" ht="21" customHeight="1">
      <c r="A104" s="8" t="str">
        <f>IF(23&lt;=核心参数输入!$B$9,23,"")</f>
        <v/>
      </c>
      <c r="B104" s="8" t="str">
        <f>IF(23&lt;=核心参数输入!$B$9,年度汇总!AA22,"")</f>
        <v/>
      </c>
      <c r="C104" s="8" t="str">
        <f>IF(23&lt;=核心参数输入!$B$9,年度汇总!AA23,"")</f>
        <v/>
      </c>
      <c r="D104" s="9" t="str">
        <f>IF(23&lt;=核心参数输入!$B$9,年度汇总!AA29,"")</f>
        <v/>
      </c>
      <c r="E104" s="9" t="str">
        <f>IF(23&lt;=核心参数输入!$B$9,年度汇总!AA30,"")</f>
        <v/>
      </c>
      <c r="F104" s="9" t="str">
        <f>IF(23&lt;=核心参数输入!$B$9,年度汇总!AA27,"")</f>
        <v/>
      </c>
      <c r="G104" s="9" t="str">
        <f>IF(23&lt;=核心参数输入!$B$9,年度汇总!AA28,"")</f>
        <v/>
      </c>
      <c r="H104" s="9" t="str">
        <f>IF(23&lt;=核心参数输入!$B$9,年度汇总!AA33,"")</f>
        <v/>
      </c>
      <c r="I104" s="9"/>
      <c r="J104" s="9"/>
      <c r="K104" s="9"/>
      <c r="L104" s="9"/>
    </row>
    <row r="105" spans="1:12" ht="21" customHeight="1">
      <c r="A105" s="8" t="str">
        <f>IF(24&lt;=核心参数输入!$B$9,24,"")</f>
        <v/>
      </c>
      <c r="B105" s="8" t="str">
        <f>IF(24&lt;=核心参数输入!$B$9,年度汇总!AB22,"")</f>
        <v/>
      </c>
      <c r="C105" s="8" t="str">
        <f>IF(24&lt;=核心参数输入!$B$9,年度汇总!AB23,"")</f>
        <v/>
      </c>
      <c r="D105" s="9" t="str">
        <f>IF(24&lt;=核心参数输入!$B$9,年度汇总!AB29,"")</f>
        <v/>
      </c>
      <c r="E105" s="9" t="str">
        <f>IF(24&lt;=核心参数输入!$B$9,年度汇总!AB30,"")</f>
        <v/>
      </c>
      <c r="F105" s="9" t="str">
        <f>IF(24&lt;=核心参数输入!$B$9,年度汇总!AB27,"")</f>
        <v/>
      </c>
      <c r="G105" s="9" t="str">
        <f>IF(24&lt;=核心参数输入!$B$9,年度汇总!AB28,"")</f>
        <v/>
      </c>
      <c r="H105" s="9" t="str">
        <f>IF(24&lt;=核心参数输入!$B$9,年度汇总!AB33,"")</f>
        <v/>
      </c>
      <c r="I105" s="9"/>
      <c r="J105" s="9"/>
      <c r="K105" s="9"/>
      <c r="L105" s="9"/>
    </row>
    <row r="106" spans="1:12" ht="21" customHeight="1">
      <c r="A106" s="8" t="str">
        <f>IF(25&lt;=核心参数输入!$B$9,25,"")</f>
        <v/>
      </c>
      <c r="B106" s="8" t="str">
        <f>IF(25&lt;=核心参数输入!$B$9,年度汇总!AC22,"")</f>
        <v/>
      </c>
      <c r="C106" s="8" t="str">
        <f>IF(25&lt;=核心参数输入!$B$9,年度汇总!AC23,"")</f>
        <v/>
      </c>
      <c r="D106" s="9" t="str">
        <f>IF(25&lt;=核心参数输入!$B$9,年度汇总!AC29,"")</f>
        <v/>
      </c>
      <c r="E106" s="9" t="str">
        <f>IF(25&lt;=核心参数输入!$B$9,年度汇总!AC30,"")</f>
        <v/>
      </c>
      <c r="F106" s="9" t="str">
        <f>IF(25&lt;=核心参数输入!$B$9,年度汇总!AC27,"")</f>
        <v/>
      </c>
      <c r="G106" s="9" t="str">
        <f>IF(25&lt;=核心参数输入!$B$9,年度汇总!AC28,"")</f>
        <v/>
      </c>
      <c r="H106" s="9" t="str">
        <f>IF(25&lt;=核心参数输入!$B$9,年度汇总!AC33,"")</f>
        <v/>
      </c>
      <c r="I106" s="9"/>
      <c r="J106" s="9"/>
      <c r="K106" s="9"/>
      <c r="L106" s="9"/>
    </row>
    <row r="107" spans="1:12" ht="21" customHeight="1">
      <c r="A107" s="8" t="str">
        <f>IF(26&lt;=核心参数输入!$B$9,26,"")</f>
        <v/>
      </c>
      <c r="B107" s="8" t="str">
        <f>IF(26&lt;=核心参数输入!$B$9,年度汇总!AD22,"")</f>
        <v/>
      </c>
      <c r="C107" s="8" t="str">
        <f>IF(26&lt;=核心参数输入!$B$9,年度汇总!AD23,"")</f>
        <v/>
      </c>
      <c r="D107" s="9" t="str">
        <f>IF(26&lt;=核心参数输入!$B$9,年度汇总!AD29,"")</f>
        <v/>
      </c>
      <c r="E107" s="9" t="str">
        <f>IF(26&lt;=核心参数输入!$B$9,年度汇总!AD30,"")</f>
        <v/>
      </c>
      <c r="F107" s="9" t="str">
        <f>IF(26&lt;=核心参数输入!$B$9,年度汇总!AD27,"")</f>
        <v/>
      </c>
      <c r="G107" s="9" t="str">
        <f>IF(26&lt;=核心参数输入!$B$9,年度汇总!AD28,"")</f>
        <v/>
      </c>
      <c r="H107" s="9" t="str">
        <f>IF(26&lt;=核心参数输入!$B$9,年度汇总!AD33,"")</f>
        <v/>
      </c>
      <c r="I107" s="9"/>
      <c r="J107" s="9"/>
      <c r="K107" s="9"/>
      <c r="L107" s="9"/>
    </row>
    <row r="108" spans="1:12" ht="21" customHeight="1">
      <c r="A108" s="8" t="str">
        <f>IF(27&lt;=核心参数输入!$B$9,27,"")</f>
        <v/>
      </c>
      <c r="B108" s="8" t="str">
        <f>IF(27&lt;=核心参数输入!$B$9,年度汇总!AE22,"")</f>
        <v/>
      </c>
      <c r="C108" s="8" t="str">
        <f>IF(27&lt;=核心参数输入!$B$9,年度汇总!AE23,"")</f>
        <v/>
      </c>
      <c r="D108" s="9" t="str">
        <f>IF(27&lt;=核心参数输入!$B$9,年度汇总!AE29,"")</f>
        <v/>
      </c>
      <c r="E108" s="9" t="str">
        <f>IF(27&lt;=核心参数输入!$B$9,年度汇总!AE30,"")</f>
        <v/>
      </c>
      <c r="F108" s="9" t="str">
        <f>IF(27&lt;=核心参数输入!$B$9,年度汇总!AE27,"")</f>
        <v/>
      </c>
      <c r="G108" s="9" t="str">
        <f>IF(27&lt;=核心参数输入!$B$9,年度汇总!AE28,"")</f>
        <v/>
      </c>
      <c r="H108" s="9" t="str">
        <f>IF(27&lt;=核心参数输入!$B$9,年度汇总!AE33,"")</f>
        <v/>
      </c>
      <c r="I108" s="9"/>
      <c r="J108" s="9"/>
      <c r="K108" s="9"/>
      <c r="L108" s="9"/>
    </row>
    <row r="109" spans="1:12" ht="21" customHeight="1">
      <c r="A109" s="8" t="str">
        <f>IF(28&lt;=核心参数输入!$B$9,28,"")</f>
        <v/>
      </c>
      <c r="B109" s="8" t="str">
        <f>IF(28&lt;=核心参数输入!$B$9,年度汇总!AF22,"")</f>
        <v/>
      </c>
      <c r="C109" s="8" t="str">
        <f>IF(28&lt;=核心参数输入!$B$9,年度汇总!AF23,"")</f>
        <v/>
      </c>
      <c r="D109" s="9" t="str">
        <f>IF(28&lt;=核心参数输入!$B$9,年度汇总!AF29,"")</f>
        <v/>
      </c>
      <c r="E109" s="9" t="str">
        <f>IF(28&lt;=核心参数输入!$B$9,年度汇总!AF30,"")</f>
        <v/>
      </c>
      <c r="F109" s="9" t="str">
        <f>IF(28&lt;=核心参数输入!$B$9,年度汇总!AF27,"")</f>
        <v/>
      </c>
      <c r="G109" s="9" t="str">
        <f>IF(28&lt;=核心参数输入!$B$9,年度汇总!AF28,"")</f>
        <v/>
      </c>
      <c r="H109" s="9" t="str">
        <f>IF(28&lt;=核心参数输入!$B$9,年度汇总!AF33,"")</f>
        <v/>
      </c>
      <c r="I109" s="9"/>
      <c r="J109" s="9"/>
      <c r="K109" s="9"/>
      <c r="L109" s="9"/>
    </row>
    <row r="110" spans="1:12" ht="21" customHeight="1">
      <c r="A110" s="8" t="str">
        <f>IF(29&lt;=核心参数输入!$B$9,29,"")</f>
        <v/>
      </c>
      <c r="B110" s="8" t="str">
        <f>IF(29&lt;=核心参数输入!$B$9,年度汇总!AG22,"")</f>
        <v/>
      </c>
      <c r="C110" s="8" t="str">
        <f>IF(29&lt;=核心参数输入!$B$9,年度汇总!AG23,"")</f>
        <v/>
      </c>
      <c r="D110" s="9" t="str">
        <f>IF(29&lt;=核心参数输入!$B$9,年度汇总!AG29,"")</f>
        <v/>
      </c>
      <c r="E110" s="9" t="str">
        <f>IF(29&lt;=核心参数输入!$B$9,年度汇总!AG30,"")</f>
        <v/>
      </c>
      <c r="F110" s="9" t="str">
        <f>IF(29&lt;=核心参数输入!$B$9,年度汇总!AG27,"")</f>
        <v/>
      </c>
      <c r="G110" s="9" t="str">
        <f>IF(29&lt;=核心参数输入!$B$9,年度汇总!AG28,"")</f>
        <v/>
      </c>
      <c r="H110" s="9" t="str">
        <f>IF(29&lt;=核心参数输入!$B$9,年度汇总!AG33,"")</f>
        <v/>
      </c>
      <c r="I110" s="9"/>
      <c r="J110" s="9"/>
      <c r="K110" s="9"/>
      <c r="L110" s="9"/>
    </row>
    <row r="111" spans="1:12" ht="21" customHeight="1">
      <c r="A111" s="8" t="str">
        <f>IF(30&lt;=核心参数输入!$B$9,30,"")</f>
        <v/>
      </c>
      <c r="B111" s="8" t="str">
        <f>IF(30&lt;=核心参数输入!$B$9,年度汇总!AH22,"")</f>
        <v/>
      </c>
      <c r="C111" s="8" t="str">
        <f>IF(30&lt;=核心参数输入!$B$9,年度汇总!AH23,"")</f>
        <v/>
      </c>
      <c r="D111" s="9" t="str">
        <f>IF(30&lt;=核心参数输入!$B$9,年度汇总!AH29,"")</f>
        <v/>
      </c>
      <c r="E111" s="9" t="str">
        <f>IF(30&lt;=核心参数输入!$B$9,年度汇总!AH30,"")</f>
        <v/>
      </c>
      <c r="F111" s="9" t="str">
        <f>IF(30&lt;=核心参数输入!$B$9,年度汇总!AH27,"")</f>
        <v/>
      </c>
      <c r="G111" s="9" t="str">
        <f>IF(30&lt;=核心参数输入!$B$9,年度汇总!AH28,"")</f>
        <v/>
      </c>
      <c r="H111" s="9" t="str">
        <f>IF(30&lt;=核心参数输入!$B$9,年度汇总!AH33,"")</f>
        <v/>
      </c>
      <c r="I111" s="9"/>
      <c r="J111" s="9"/>
      <c r="K111" s="9"/>
      <c r="L111" s="9"/>
    </row>
    <row r="112" spans="1:12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21" customHeight="1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21" customHeight="1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21" customHeight="1">
      <c r="A121" s="8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21" customHeight="1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21" customHeight="1">
      <c r="A123" s="8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21" customHeight="1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21" customHeight="1">
      <c r="A125" s="8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21" customHeight="1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21" customHeight="1">
      <c r="A127" s="8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21" customHeight="1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21" customHeight="1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21" customHeight="1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21" customHeight="1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21" customHeight="1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21" customHeight="1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21" customHeight="1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21" customHeight="1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21" customHeight="1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21" customHeight="1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21" customHeight="1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21" customHeight="1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21" customHeight="1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21" customHeight="1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21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21" customHeight="1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21" customHeight="1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21" customHeight="1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21" customHeight="1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</row>
  </sheetData>
  <sheetProtection sheet="1" objects="1" scenarios="1"/>
  <mergeCells count="18">
    <mergeCell ref="F11:G11"/>
    <mergeCell ref="A15:G15"/>
    <mergeCell ref="A39:G40"/>
    <mergeCell ref="A41:G42"/>
    <mergeCell ref="B11:D11"/>
    <mergeCell ref="B12:D12"/>
    <mergeCell ref="B13:D13"/>
    <mergeCell ref="F12:G12"/>
    <mergeCell ref="F13:G13"/>
    <mergeCell ref="A4:G5"/>
    <mergeCell ref="B7:D7"/>
    <mergeCell ref="B8:D8"/>
    <mergeCell ref="B9:D9"/>
    <mergeCell ref="B10:D10"/>
    <mergeCell ref="F7:G7"/>
    <mergeCell ref="F8:G8"/>
    <mergeCell ref="F9:G9"/>
    <mergeCell ref="F10:G10"/>
  </mergeCells>
  <phoneticPr fontId="11" type="noConversion"/>
  <conditionalFormatting sqref="F18:G27">
    <cfRule type="expression" dxfId="3" priority="1">
      <formula>F18="未通过"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AH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:K7"/>
    </sheetView>
  </sheetViews>
  <sheetFormatPr defaultRowHeight="14.25"/>
  <cols>
    <col min="1" max="1" width="43" style="10" customWidth="1"/>
    <col min="2" max="2" width="18" style="10" customWidth="1"/>
    <col min="3" max="11" width="13" style="10" customWidth="1"/>
    <col min="12" max="12" width="25" style="10" customWidth="1"/>
    <col min="13" max="16384" width="9" style="10"/>
  </cols>
  <sheetData>
    <row r="1" spans="1:12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</row>
    <row r="2" spans="1:12" ht="30" customHeight="1">
      <c r="A2" s="11" t="s">
        <v>55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</row>
    <row r="3" spans="1:12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</row>
    <row r="4" spans="1:12" ht="21" customHeight="1">
      <c r="A4" s="8"/>
      <c r="B4" s="8"/>
      <c r="C4" s="8"/>
      <c r="D4" s="9"/>
      <c r="E4" s="9"/>
      <c r="F4" s="9"/>
      <c r="G4" s="9"/>
      <c r="H4" s="9"/>
      <c r="I4" s="9"/>
      <c r="J4" s="9"/>
      <c r="K4" s="9"/>
      <c r="L4" s="9"/>
    </row>
    <row r="5" spans="1:12" ht="21" customHeight="1">
      <c r="A5" s="8" t="s">
        <v>56</v>
      </c>
      <c r="B5" s="8" t="s">
        <v>57</v>
      </c>
      <c r="C5" s="8" t="s">
        <v>17</v>
      </c>
      <c r="D5" s="9" t="s">
        <v>58</v>
      </c>
      <c r="E5" s="9"/>
      <c r="F5" s="9"/>
      <c r="G5" s="9"/>
      <c r="H5" s="9"/>
      <c r="I5" s="9"/>
      <c r="J5" s="9"/>
      <c r="K5" s="9"/>
      <c r="L5" s="9"/>
    </row>
    <row r="6" spans="1:12" ht="24" customHeight="1">
      <c r="A6" s="23" t="s">
        <v>59</v>
      </c>
      <c r="B6" s="23"/>
      <c r="C6" s="23"/>
      <c r="D6" s="24"/>
      <c r="E6" s="24"/>
      <c r="F6" s="24"/>
      <c r="G6" s="24"/>
      <c r="H6" s="24"/>
      <c r="I6" s="24"/>
      <c r="J6" s="24"/>
      <c r="K6" s="24"/>
      <c r="L6" s="24"/>
    </row>
    <row r="7" spans="1:12" ht="21" customHeight="1">
      <c r="A7" s="8" t="s">
        <v>1</v>
      </c>
      <c r="B7" s="1" t="s">
        <v>60</v>
      </c>
      <c r="C7" s="8" t="s">
        <v>61</v>
      </c>
      <c r="D7" s="30" t="s">
        <v>62</v>
      </c>
      <c r="E7" s="30"/>
      <c r="F7" s="30"/>
      <c r="G7" s="30"/>
      <c r="H7" s="30"/>
      <c r="I7" s="30"/>
      <c r="J7" s="30"/>
      <c r="K7" s="30"/>
      <c r="L7" s="9" t="s">
        <v>63</v>
      </c>
    </row>
    <row r="8" spans="1:12" ht="21" customHeight="1">
      <c r="A8" s="8" t="s">
        <v>64</v>
      </c>
      <c r="B8" s="2">
        <v>2026</v>
      </c>
      <c r="C8" s="8" t="s">
        <v>65</v>
      </c>
      <c r="D8" s="30" t="s">
        <v>66</v>
      </c>
      <c r="E8" s="30"/>
      <c r="F8" s="30"/>
      <c r="G8" s="30"/>
      <c r="H8" s="30"/>
      <c r="I8" s="30"/>
      <c r="J8" s="30"/>
      <c r="K8" s="30"/>
      <c r="L8" s="9" t="s">
        <v>63</v>
      </c>
    </row>
    <row r="9" spans="1:12" ht="21" customHeight="1">
      <c r="A9" s="8" t="s">
        <v>67</v>
      </c>
      <c r="B9" s="2">
        <v>20</v>
      </c>
      <c r="C9" s="8" t="s">
        <v>65</v>
      </c>
      <c r="D9" s="30" t="s">
        <v>68</v>
      </c>
      <c r="E9" s="30"/>
      <c r="F9" s="30"/>
      <c r="G9" s="30"/>
      <c r="H9" s="30"/>
      <c r="I9" s="30"/>
      <c r="J9" s="30"/>
      <c r="K9" s="30"/>
      <c r="L9" s="9" t="s">
        <v>63</v>
      </c>
    </row>
    <row r="10" spans="1:12" ht="21" customHeight="1">
      <c r="A10" s="8" t="s">
        <v>69</v>
      </c>
      <c r="B10" s="3">
        <v>100000</v>
      </c>
      <c r="C10" s="8" t="s">
        <v>70</v>
      </c>
      <c r="D10" s="30" t="s">
        <v>71</v>
      </c>
      <c r="E10" s="30"/>
      <c r="F10" s="30"/>
      <c r="G10" s="30"/>
      <c r="H10" s="30"/>
      <c r="I10" s="30"/>
      <c r="J10" s="30"/>
      <c r="K10" s="30"/>
      <c r="L10" s="9" t="s">
        <v>63</v>
      </c>
    </row>
    <row r="11" spans="1:12" ht="21" customHeight="1">
      <c r="A11" s="8" t="s">
        <v>72</v>
      </c>
      <c r="B11" s="3">
        <v>1.5</v>
      </c>
      <c r="C11" s="8" t="s">
        <v>73</v>
      </c>
      <c r="D11" s="30" t="s">
        <v>74</v>
      </c>
      <c r="E11" s="30"/>
      <c r="F11" s="30"/>
      <c r="G11" s="30"/>
      <c r="H11" s="30"/>
      <c r="I11" s="30"/>
      <c r="J11" s="30"/>
      <c r="K11" s="30"/>
      <c r="L11" s="9" t="s">
        <v>63</v>
      </c>
    </row>
    <row r="12" spans="1:12" ht="21" customHeight="1">
      <c r="A12" s="8" t="s">
        <v>75</v>
      </c>
      <c r="B12" s="4">
        <v>0.9</v>
      </c>
      <c r="C12" s="8" t="s">
        <v>38</v>
      </c>
      <c r="D12" s="30" t="s">
        <v>76</v>
      </c>
      <c r="E12" s="30"/>
      <c r="F12" s="30"/>
      <c r="G12" s="30"/>
      <c r="H12" s="30"/>
      <c r="I12" s="30"/>
      <c r="J12" s="30"/>
      <c r="K12" s="30"/>
      <c r="L12" s="9" t="s">
        <v>63</v>
      </c>
    </row>
    <row r="13" spans="1:12" ht="21" customHeight="1">
      <c r="A13" s="8" t="s">
        <v>77</v>
      </c>
      <c r="B13" s="3">
        <v>15000</v>
      </c>
      <c r="C13" s="8" t="s">
        <v>70</v>
      </c>
      <c r="D13" s="30" t="s">
        <v>78</v>
      </c>
      <c r="E13" s="30"/>
      <c r="F13" s="30"/>
      <c r="G13" s="30"/>
      <c r="H13" s="30"/>
      <c r="I13" s="30"/>
      <c r="J13" s="30"/>
      <c r="K13" s="30"/>
      <c r="L13" s="9" t="s">
        <v>63</v>
      </c>
    </row>
    <row r="14" spans="1:12" ht="21" customHeight="1">
      <c r="A14" s="8" t="s">
        <v>79</v>
      </c>
      <c r="B14" s="4">
        <v>0.55000000000000004</v>
      </c>
      <c r="C14" s="8" t="s">
        <v>38</v>
      </c>
      <c r="D14" s="30" t="s">
        <v>80</v>
      </c>
      <c r="E14" s="30"/>
      <c r="F14" s="30"/>
      <c r="G14" s="30"/>
      <c r="H14" s="30"/>
      <c r="I14" s="30"/>
      <c r="J14" s="30"/>
      <c r="K14" s="30"/>
      <c r="L14" s="9" t="s">
        <v>63</v>
      </c>
    </row>
    <row r="15" spans="1:12" ht="21" customHeight="1">
      <c r="A15" s="8" t="s">
        <v>81</v>
      </c>
      <c r="B15" s="8">
        <f>核心参数输入!$B$143</f>
        <v>0.44999999999999996</v>
      </c>
      <c r="C15" s="8" t="s">
        <v>38</v>
      </c>
      <c r="D15" s="30" t="s">
        <v>82</v>
      </c>
      <c r="E15" s="30"/>
      <c r="F15" s="30"/>
      <c r="G15" s="30"/>
      <c r="H15" s="30"/>
      <c r="I15" s="30"/>
      <c r="J15" s="30"/>
      <c r="K15" s="30"/>
      <c r="L15" s="9" t="s">
        <v>63</v>
      </c>
    </row>
    <row r="16" spans="1:12" ht="21" customHeight="1">
      <c r="A16" s="8" t="s">
        <v>83</v>
      </c>
      <c r="B16" s="2">
        <v>3</v>
      </c>
      <c r="C16" s="8" t="s">
        <v>65</v>
      </c>
      <c r="D16" s="30" t="s">
        <v>84</v>
      </c>
      <c r="E16" s="30"/>
      <c r="F16" s="30"/>
      <c r="G16" s="30"/>
      <c r="H16" s="30"/>
      <c r="I16" s="30"/>
      <c r="J16" s="30"/>
      <c r="K16" s="30"/>
      <c r="L16" s="9" t="s">
        <v>63</v>
      </c>
    </row>
    <row r="17" spans="1:12" ht="21" customHeight="1">
      <c r="A17" s="8" t="s">
        <v>85</v>
      </c>
      <c r="B17" s="2">
        <v>4</v>
      </c>
      <c r="C17" s="8" t="s">
        <v>86</v>
      </c>
      <c r="D17" s="30" t="s">
        <v>87</v>
      </c>
      <c r="E17" s="30"/>
      <c r="F17" s="30"/>
      <c r="G17" s="30"/>
      <c r="H17" s="30"/>
      <c r="I17" s="30"/>
      <c r="J17" s="30"/>
      <c r="K17" s="30"/>
      <c r="L17" s="9" t="s">
        <v>63</v>
      </c>
    </row>
    <row r="18" spans="1:12" ht="21" customHeight="1">
      <c r="A18" s="8" t="s">
        <v>88</v>
      </c>
      <c r="B18" s="2">
        <v>4</v>
      </c>
      <c r="C18" s="8" t="s">
        <v>86</v>
      </c>
      <c r="D18" s="30" t="s">
        <v>89</v>
      </c>
      <c r="E18" s="30"/>
      <c r="F18" s="30"/>
      <c r="G18" s="30"/>
      <c r="H18" s="30"/>
      <c r="I18" s="30"/>
      <c r="J18" s="30"/>
      <c r="K18" s="30"/>
      <c r="L18" s="9" t="s">
        <v>63</v>
      </c>
    </row>
    <row r="19" spans="1:12" ht="21" customHeight="1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</row>
    <row r="20" spans="1:12" ht="24" customHeight="1">
      <c r="A20" s="23" t="s">
        <v>90</v>
      </c>
      <c r="B20" s="23"/>
      <c r="C20" s="23"/>
      <c r="D20" s="24"/>
      <c r="E20" s="24"/>
      <c r="F20" s="24"/>
      <c r="G20" s="24"/>
      <c r="H20" s="24"/>
      <c r="I20" s="24"/>
      <c r="J20" s="24"/>
      <c r="K20" s="24"/>
      <c r="L20" s="24"/>
    </row>
    <row r="21" spans="1:12" ht="21" customHeight="1">
      <c r="A21" s="8" t="s">
        <v>91</v>
      </c>
      <c r="B21" s="3">
        <v>800</v>
      </c>
      <c r="C21" s="8" t="s">
        <v>92</v>
      </c>
      <c r="D21" s="30" t="s">
        <v>93</v>
      </c>
      <c r="E21" s="30"/>
      <c r="F21" s="30"/>
      <c r="G21" s="30"/>
      <c r="H21" s="30"/>
      <c r="I21" s="30"/>
      <c r="J21" s="30"/>
      <c r="K21" s="30"/>
      <c r="L21" s="9" t="s">
        <v>63</v>
      </c>
    </row>
    <row r="22" spans="1:12" ht="21" customHeight="1">
      <c r="A22" s="8" t="s">
        <v>94</v>
      </c>
      <c r="B22" s="3">
        <v>2400</v>
      </c>
      <c r="C22" s="8" t="s">
        <v>92</v>
      </c>
      <c r="D22" s="30" t="s">
        <v>95</v>
      </c>
      <c r="E22" s="30"/>
      <c r="F22" s="30"/>
      <c r="G22" s="30"/>
      <c r="H22" s="30"/>
      <c r="I22" s="30"/>
      <c r="J22" s="30"/>
      <c r="K22" s="30"/>
      <c r="L22" s="9" t="s">
        <v>63</v>
      </c>
    </row>
    <row r="23" spans="1:12" ht="21" customHeight="1">
      <c r="A23" s="8" t="s">
        <v>96</v>
      </c>
      <c r="B23" s="3">
        <v>3000</v>
      </c>
      <c r="C23" s="8" t="s">
        <v>92</v>
      </c>
      <c r="D23" s="30" t="s">
        <v>97</v>
      </c>
      <c r="E23" s="30"/>
      <c r="F23" s="30"/>
      <c r="G23" s="30"/>
      <c r="H23" s="30"/>
      <c r="I23" s="30"/>
      <c r="J23" s="30"/>
      <c r="K23" s="30"/>
      <c r="L23" s="9" t="s">
        <v>63</v>
      </c>
    </row>
    <row r="24" spans="1:12" ht="21" customHeight="1">
      <c r="A24" s="8" t="s">
        <v>98</v>
      </c>
      <c r="B24" s="3">
        <v>4500</v>
      </c>
      <c r="C24" s="8" t="s">
        <v>39</v>
      </c>
      <c r="D24" s="30" t="s">
        <v>99</v>
      </c>
      <c r="E24" s="30"/>
      <c r="F24" s="30"/>
      <c r="G24" s="30"/>
      <c r="H24" s="30"/>
      <c r="I24" s="30"/>
      <c r="J24" s="30"/>
      <c r="K24" s="30"/>
      <c r="L24" s="9" t="s">
        <v>63</v>
      </c>
    </row>
    <row r="25" spans="1:12" ht="21" customHeight="1">
      <c r="A25" s="8" t="s">
        <v>100</v>
      </c>
      <c r="B25" s="3">
        <v>1800</v>
      </c>
      <c r="C25" s="8" t="s">
        <v>39</v>
      </c>
      <c r="D25" s="30" t="s">
        <v>101</v>
      </c>
      <c r="E25" s="30"/>
      <c r="F25" s="30"/>
      <c r="G25" s="30"/>
      <c r="H25" s="30"/>
      <c r="I25" s="30"/>
      <c r="J25" s="30"/>
      <c r="K25" s="30"/>
      <c r="L25" s="9" t="s">
        <v>63</v>
      </c>
    </row>
    <row r="26" spans="1:12" ht="21" customHeight="1">
      <c r="A26" s="8" t="s">
        <v>102</v>
      </c>
      <c r="B26" s="3">
        <v>2200</v>
      </c>
      <c r="C26" s="8" t="s">
        <v>39</v>
      </c>
      <c r="D26" s="30" t="s">
        <v>103</v>
      </c>
      <c r="E26" s="30"/>
      <c r="F26" s="30"/>
      <c r="G26" s="30"/>
      <c r="H26" s="30"/>
      <c r="I26" s="30"/>
      <c r="J26" s="30"/>
      <c r="K26" s="30"/>
      <c r="L26" s="9" t="s">
        <v>63</v>
      </c>
    </row>
    <row r="27" spans="1:12" ht="21" customHeight="1">
      <c r="A27" s="8" t="s">
        <v>104</v>
      </c>
      <c r="B27" s="4">
        <v>0.08</v>
      </c>
      <c r="C27" s="8" t="s">
        <v>38</v>
      </c>
      <c r="D27" s="30" t="s">
        <v>105</v>
      </c>
      <c r="E27" s="30"/>
      <c r="F27" s="30"/>
      <c r="G27" s="30"/>
      <c r="H27" s="30"/>
      <c r="I27" s="30"/>
      <c r="J27" s="30"/>
      <c r="K27" s="30"/>
      <c r="L27" s="9" t="s">
        <v>63</v>
      </c>
    </row>
    <row r="28" spans="1:12" ht="21" customHeight="1">
      <c r="A28" s="8" t="s">
        <v>106</v>
      </c>
      <c r="B28" s="3">
        <v>500</v>
      </c>
      <c r="C28" s="8" t="s">
        <v>39</v>
      </c>
      <c r="D28" s="30" t="s">
        <v>107</v>
      </c>
      <c r="E28" s="30"/>
      <c r="F28" s="30"/>
      <c r="G28" s="30"/>
      <c r="H28" s="30"/>
      <c r="I28" s="30"/>
      <c r="J28" s="30"/>
      <c r="K28" s="30"/>
      <c r="L28" s="9" t="s">
        <v>63</v>
      </c>
    </row>
    <row r="29" spans="1:12" ht="21" customHeight="1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</row>
    <row r="30" spans="1:12" ht="24" customHeight="1">
      <c r="A30" s="23" t="s">
        <v>108</v>
      </c>
      <c r="B30" s="23"/>
      <c r="C30" s="23"/>
      <c r="D30" s="24"/>
      <c r="E30" s="24"/>
      <c r="F30" s="24"/>
      <c r="G30" s="24"/>
      <c r="H30" s="24"/>
      <c r="I30" s="24"/>
      <c r="J30" s="24"/>
      <c r="K30" s="24"/>
      <c r="L30" s="24"/>
    </row>
    <row r="31" spans="1:12" ht="21" customHeight="1">
      <c r="A31" s="8" t="s">
        <v>109</v>
      </c>
      <c r="B31" s="3">
        <v>6500</v>
      </c>
      <c r="C31" s="8" t="s">
        <v>92</v>
      </c>
      <c r="D31" s="30" t="s">
        <v>110</v>
      </c>
      <c r="E31" s="30"/>
      <c r="F31" s="30"/>
      <c r="G31" s="30"/>
      <c r="H31" s="30"/>
      <c r="I31" s="30"/>
      <c r="J31" s="30"/>
      <c r="K31" s="30"/>
      <c r="L31" s="9" t="s">
        <v>63</v>
      </c>
    </row>
    <row r="32" spans="1:12" ht="21" customHeight="1">
      <c r="A32" s="8" t="s">
        <v>111</v>
      </c>
      <c r="B32" s="4">
        <v>2.5000000000000001E-2</v>
      </c>
      <c r="C32" s="8" t="s">
        <v>38</v>
      </c>
      <c r="D32" s="30" t="s">
        <v>112</v>
      </c>
      <c r="E32" s="30"/>
      <c r="F32" s="30"/>
      <c r="G32" s="30"/>
      <c r="H32" s="30"/>
      <c r="I32" s="30"/>
      <c r="J32" s="30"/>
      <c r="K32" s="30"/>
      <c r="L32" s="9" t="s">
        <v>63</v>
      </c>
    </row>
    <row r="33" spans="1:12" ht="21" customHeight="1">
      <c r="A33" s="8" t="s">
        <v>113</v>
      </c>
      <c r="B33" s="4">
        <v>0.08</v>
      </c>
      <c r="C33" s="8" t="s">
        <v>38</v>
      </c>
      <c r="D33" s="30" t="s">
        <v>114</v>
      </c>
      <c r="E33" s="30"/>
      <c r="F33" s="30"/>
      <c r="G33" s="30"/>
      <c r="H33" s="30"/>
      <c r="I33" s="30"/>
      <c r="J33" s="30"/>
      <c r="K33" s="30"/>
      <c r="L33" s="9" t="s">
        <v>63</v>
      </c>
    </row>
    <row r="34" spans="1:12" ht="21" customHeight="1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</row>
    <row r="35" spans="1:12" ht="24" customHeight="1">
      <c r="A35" s="23" t="s">
        <v>115</v>
      </c>
      <c r="B35" s="23"/>
      <c r="C35" s="23"/>
      <c r="D35" s="24"/>
      <c r="E35" s="24"/>
      <c r="F35" s="24"/>
      <c r="G35" s="24"/>
      <c r="H35" s="24"/>
      <c r="I35" s="24"/>
      <c r="J35" s="24"/>
      <c r="K35" s="24"/>
      <c r="L35" s="24"/>
    </row>
    <row r="36" spans="1:12" ht="21" customHeight="1">
      <c r="A36" s="8" t="s">
        <v>116</v>
      </c>
      <c r="B36" s="3">
        <v>26</v>
      </c>
      <c r="C36" s="8" t="s">
        <v>117</v>
      </c>
      <c r="D36" s="30" t="s">
        <v>118</v>
      </c>
      <c r="E36" s="30"/>
      <c r="F36" s="30"/>
      <c r="G36" s="30"/>
      <c r="H36" s="30"/>
      <c r="I36" s="30"/>
      <c r="J36" s="30"/>
      <c r="K36" s="30"/>
      <c r="L36" s="9" t="s">
        <v>63</v>
      </c>
    </row>
    <row r="37" spans="1:12" ht="21" customHeight="1">
      <c r="A37" s="8" t="s">
        <v>119</v>
      </c>
      <c r="B37" s="4">
        <v>1.4999999999999999E-2</v>
      </c>
      <c r="C37" s="8" t="s">
        <v>38</v>
      </c>
      <c r="D37" s="30" t="s">
        <v>120</v>
      </c>
      <c r="E37" s="30"/>
      <c r="F37" s="30"/>
      <c r="G37" s="30"/>
      <c r="H37" s="30"/>
      <c r="I37" s="30"/>
      <c r="J37" s="30"/>
      <c r="K37" s="30"/>
      <c r="L37" s="9" t="s">
        <v>63</v>
      </c>
    </row>
    <row r="38" spans="1:12" ht="21" customHeight="1">
      <c r="A38" s="8" t="s">
        <v>121</v>
      </c>
      <c r="B38" s="4">
        <v>0.5</v>
      </c>
      <c r="C38" s="8" t="s">
        <v>38</v>
      </c>
      <c r="D38" s="30" t="s">
        <v>122</v>
      </c>
      <c r="E38" s="30"/>
      <c r="F38" s="30"/>
      <c r="G38" s="30"/>
      <c r="H38" s="30"/>
      <c r="I38" s="30"/>
      <c r="J38" s="30"/>
      <c r="K38" s="30"/>
      <c r="L38" s="9" t="s">
        <v>63</v>
      </c>
    </row>
    <row r="39" spans="1:12" ht="21" customHeight="1">
      <c r="A39" s="8" t="s">
        <v>123</v>
      </c>
      <c r="B39" s="4">
        <v>0.7</v>
      </c>
      <c r="C39" s="8" t="s">
        <v>38</v>
      </c>
      <c r="D39" s="30" t="s">
        <v>124</v>
      </c>
      <c r="E39" s="30"/>
      <c r="F39" s="30"/>
      <c r="G39" s="30"/>
      <c r="H39" s="30"/>
      <c r="I39" s="30"/>
      <c r="J39" s="30"/>
      <c r="K39" s="30"/>
      <c r="L39" s="9" t="s">
        <v>63</v>
      </c>
    </row>
    <row r="40" spans="1:12" ht="21" customHeight="1">
      <c r="A40" s="8" t="s">
        <v>125</v>
      </c>
      <c r="B40" s="4">
        <v>0.85</v>
      </c>
      <c r="C40" s="8" t="s">
        <v>38</v>
      </c>
      <c r="D40" s="30" t="s">
        <v>126</v>
      </c>
      <c r="E40" s="30"/>
      <c r="F40" s="30"/>
      <c r="G40" s="30"/>
      <c r="H40" s="30"/>
      <c r="I40" s="30"/>
      <c r="J40" s="30"/>
      <c r="K40" s="30"/>
      <c r="L40" s="9" t="s">
        <v>63</v>
      </c>
    </row>
    <row r="41" spans="1:12" ht="21" customHeight="1">
      <c r="A41" s="8" t="s">
        <v>127</v>
      </c>
      <c r="B41" s="4">
        <v>0.9</v>
      </c>
      <c r="C41" s="8" t="s">
        <v>38</v>
      </c>
      <c r="D41" s="30" t="s">
        <v>128</v>
      </c>
      <c r="E41" s="30"/>
      <c r="F41" s="30"/>
      <c r="G41" s="30"/>
      <c r="H41" s="30"/>
      <c r="I41" s="30"/>
      <c r="J41" s="30"/>
      <c r="K41" s="30"/>
      <c r="L41" s="9" t="s">
        <v>63</v>
      </c>
    </row>
    <row r="42" spans="1:12" ht="21" customHeight="1">
      <c r="A42" s="8" t="s">
        <v>129</v>
      </c>
      <c r="B42" s="3">
        <v>3</v>
      </c>
      <c r="C42" s="8" t="s">
        <v>130</v>
      </c>
      <c r="D42" s="30" t="s">
        <v>131</v>
      </c>
      <c r="E42" s="30"/>
      <c r="F42" s="30"/>
      <c r="G42" s="30"/>
      <c r="H42" s="30"/>
      <c r="I42" s="30"/>
      <c r="J42" s="30"/>
      <c r="K42" s="30"/>
      <c r="L42" s="9" t="s">
        <v>63</v>
      </c>
    </row>
    <row r="43" spans="1:12" ht="21" customHeight="1">
      <c r="A43" s="8" t="s">
        <v>132</v>
      </c>
      <c r="B43" s="4">
        <v>0.98</v>
      </c>
      <c r="C43" s="8" t="s">
        <v>38</v>
      </c>
      <c r="D43" s="30" t="s">
        <v>133</v>
      </c>
      <c r="E43" s="30"/>
      <c r="F43" s="30"/>
      <c r="G43" s="30"/>
      <c r="H43" s="30"/>
      <c r="I43" s="30"/>
      <c r="J43" s="30"/>
      <c r="K43" s="30"/>
      <c r="L43" s="9" t="s">
        <v>63</v>
      </c>
    </row>
    <row r="44" spans="1:12" ht="21" customHeight="1">
      <c r="A44" s="8" t="s">
        <v>134</v>
      </c>
      <c r="B44" s="4">
        <v>0.05</v>
      </c>
      <c r="C44" s="8" t="s">
        <v>38</v>
      </c>
      <c r="D44" s="30" t="s">
        <v>135</v>
      </c>
      <c r="E44" s="30"/>
      <c r="F44" s="30"/>
      <c r="G44" s="30"/>
      <c r="H44" s="30"/>
      <c r="I44" s="30"/>
      <c r="J44" s="30"/>
      <c r="K44" s="30"/>
      <c r="L44" s="9" t="s">
        <v>63</v>
      </c>
    </row>
    <row r="45" spans="1:12" ht="21" customHeight="1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</row>
    <row r="46" spans="1:12" ht="24" customHeight="1">
      <c r="A46" s="23" t="s">
        <v>136</v>
      </c>
      <c r="B46" s="23"/>
      <c r="C46" s="23"/>
      <c r="D46" s="24"/>
      <c r="E46" s="24"/>
      <c r="F46" s="24"/>
      <c r="G46" s="24"/>
      <c r="H46" s="24"/>
      <c r="I46" s="24"/>
      <c r="J46" s="24"/>
      <c r="K46" s="24"/>
      <c r="L46" s="24"/>
    </row>
    <row r="47" spans="1:12" ht="21" customHeight="1">
      <c r="A47" s="8" t="s">
        <v>137</v>
      </c>
      <c r="B47" s="3">
        <v>300</v>
      </c>
      <c r="C47" s="8" t="s">
        <v>138</v>
      </c>
      <c r="D47" s="30" t="s">
        <v>139</v>
      </c>
      <c r="E47" s="30"/>
      <c r="F47" s="30"/>
      <c r="G47" s="30"/>
      <c r="H47" s="30"/>
      <c r="I47" s="30"/>
      <c r="J47" s="30"/>
      <c r="K47" s="30"/>
      <c r="L47" s="9" t="s">
        <v>63</v>
      </c>
    </row>
    <row r="48" spans="1:12" ht="21" customHeight="1">
      <c r="A48" s="8" t="s">
        <v>140</v>
      </c>
      <c r="B48" s="4">
        <v>0.02</v>
      </c>
      <c r="C48" s="8" t="s">
        <v>38</v>
      </c>
      <c r="D48" s="30" t="s">
        <v>141</v>
      </c>
      <c r="E48" s="30"/>
      <c r="F48" s="30"/>
      <c r="G48" s="30"/>
      <c r="H48" s="30"/>
      <c r="I48" s="30"/>
      <c r="J48" s="30"/>
      <c r="K48" s="30"/>
      <c r="L48" s="9" t="s">
        <v>63</v>
      </c>
    </row>
    <row r="49" spans="1:12" ht="21" customHeight="1">
      <c r="A49" s="8" t="s">
        <v>142</v>
      </c>
      <c r="B49" s="4">
        <v>0.12</v>
      </c>
      <c r="C49" s="8" t="s">
        <v>38</v>
      </c>
      <c r="D49" s="30" t="s">
        <v>143</v>
      </c>
      <c r="E49" s="30"/>
      <c r="F49" s="30"/>
      <c r="G49" s="30"/>
      <c r="H49" s="30"/>
      <c r="I49" s="30"/>
      <c r="J49" s="30"/>
      <c r="K49" s="30"/>
      <c r="L49" s="9" t="s">
        <v>63</v>
      </c>
    </row>
    <row r="50" spans="1:12" ht="21" customHeight="1">
      <c r="A50" s="8" t="s">
        <v>144</v>
      </c>
      <c r="B50" s="3">
        <v>180</v>
      </c>
      <c r="C50" s="8" t="s">
        <v>138</v>
      </c>
      <c r="D50" s="30" t="s">
        <v>145</v>
      </c>
      <c r="E50" s="30"/>
      <c r="F50" s="30"/>
      <c r="G50" s="30"/>
      <c r="H50" s="30"/>
      <c r="I50" s="30"/>
      <c r="J50" s="30"/>
      <c r="K50" s="30"/>
      <c r="L50" s="9" t="s">
        <v>63</v>
      </c>
    </row>
    <row r="51" spans="1:12" ht="21" customHeight="1">
      <c r="A51" s="8" t="s">
        <v>146</v>
      </c>
      <c r="B51" s="4">
        <v>0.06</v>
      </c>
      <c r="C51" s="8" t="s">
        <v>38</v>
      </c>
      <c r="D51" s="30" t="s">
        <v>147</v>
      </c>
      <c r="E51" s="30"/>
      <c r="F51" s="30"/>
      <c r="G51" s="30"/>
      <c r="H51" s="30"/>
      <c r="I51" s="30"/>
      <c r="J51" s="30"/>
      <c r="K51" s="30"/>
      <c r="L51" s="9" t="s">
        <v>63</v>
      </c>
    </row>
    <row r="52" spans="1:12" ht="21" customHeight="1">
      <c r="A52" s="8" t="s">
        <v>148</v>
      </c>
      <c r="B52" s="4">
        <v>0.25</v>
      </c>
      <c r="C52" s="8" t="s">
        <v>38</v>
      </c>
      <c r="D52" s="30" t="s">
        <v>149</v>
      </c>
      <c r="E52" s="30"/>
      <c r="F52" s="30"/>
      <c r="G52" s="30"/>
      <c r="H52" s="30"/>
      <c r="I52" s="30"/>
      <c r="J52" s="30"/>
      <c r="K52" s="30"/>
      <c r="L52" s="9" t="s">
        <v>63</v>
      </c>
    </row>
    <row r="53" spans="1:12" ht="21" customHeight="1">
      <c r="A53" s="8" t="s">
        <v>150</v>
      </c>
      <c r="B53" s="2">
        <v>30</v>
      </c>
      <c r="C53" s="8" t="s">
        <v>65</v>
      </c>
      <c r="D53" s="30" t="s">
        <v>151</v>
      </c>
      <c r="E53" s="30"/>
      <c r="F53" s="30"/>
      <c r="G53" s="30"/>
      <c r="H53" s="30"/>
      <c r="I53" s="30"/>
      <c r="J53" s="30"/>
      <c r="K53" s="30"/>
      <c r="L53" s="9" t="s">
        <v>63</v>
      </c>
    </row>
    <row r="54" spans="1:12" ht="21" customHeight="1">
      <c r="A54" s="8" t="s">
        <v>152</v>
      </c>
      <c r="B54" s="4">
        <v>0.05</v>
      </c>
      <c r="C54" s="8" t="s">
        <v>38</v>
      </c>
      <c r="D54" s="30" t="s">
        <v>153</v>
      </c>
      <c r="E54" s="30"/>
      <c r="F54" s="30"/>
      <c r="G54" s="30"/>
      <c r="H54" s="30"/>
      <c r="I54" s="30"/>
      <c r="J54" s="30"/>
      <c r="K54" s="30"/>
      <c r="L54" s="9" t="s">
        <v>63</v>
      </c>
    </row>
    <row r="55" spans="1:12" ht="21" customHeight="1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</row>
    <row r="56" spans="1:12" ht="24" customHeight="1">
      <c r="A56" s="23" t="s">
        <v>154</v>
      </c>
      <c r="B56" s="23"/>
      <c r="C56" s="23"/>
      <c r="D56" s="24"/>
      <c r="E56" s="24"/>
      <c r="F56" s="24"/>
      <c r="G56" s="24"/>
      <c r="H56" s="24"/>
      <c r="I56" s="24"/>
      <c r="J56" s="24"/>
      <c r="K56" s="24"/>
      <c r="L56" s="24"/>
    </row>
    <row r="57" spans="1:12" ht="21" customHeight="1">
      <c r="A57" s="8" t="s">
        <v>155</v>
      </c>
      <c r="B57" s="3">
        <v>30000</v>
      </c>
      <c r="C57" s="8" t="s">
        <v>39</v>
      </c>
      <c r="D57" s="30" t="s">
        <v>156</v>
      </c>
      <c r="E57" s="30"/>
      <c r="F57" s="30"/>
      <c r="G57" s="30"/>
      <c r="H57" s="30"/>
      <c r="I57" s="30"/>
      <c r="J57" s="30"/>
      <c r="K57" s="30"/>
      <c r="L57" s="9" t="s">
        <v>63</v>
      </c>
    </row>
    <row r="58" spans="1:12" ht="21" customHeight="1">
      <c r="A58" s="8" t="s">
        <v>157</v>
      </c>
      <c r="B58" s="4">
        <v>4.2000000000000003E-2</v>
      </c>
      <c r="C58" s="8" t="s">
        <v>38</v>
      </c>
      <c r="D58" s="30" t="s">
        <v>158</v>
      </c>
      <c r="E58" s="30"/>
      <c r="F58" s="30"/>
      <c r="G58" s="30"/>
      <c r="H58" s="30"/>
      <c r="I58" s="30"/>
      <c r="J58" s="30"/>
      <c r="K58" s="30"/>
      <c r="L58" s="9" t="s">
        <v>63</v>
      </c>
    </row>
    <row r="59" spans="1:12" ht="21" customHeight="1">
      <c r="A59" s="8" t="s">
        <v>159</v>
      </c>
      <c r="B59" s="2">
        <v>10</v>
      </c>
      <c r="C59" s="8" t="s">
        <v>65</v>
      </c>
      <c r="D59" s="30" t="s">
        <v>160</v>
      </c>
      <c r="E59" s="30"/>
      <c r="F59" s="30"/>
      <c r="G59" s="30"/>
      <c r="H59" s="30"/>
      <c r="I59" s="30"/>
      <c r="J59" s="30"/>
      <c r="K59" s="30"/>
      <c r="L59" s="9" t="s">
        <v>63</v>
      </c>
    </row>
    <row r="60" spans="1:12" ht="21" customHeight="1">
      <c r="A60" s="8" t="s">
        <v>161</v>
      </c>
      <c r="B60" s="2">
        <v>4</v>
      </c>
      <c r="C60" s="8" t="s">
        <v>86</v>
      </c>
      <c r="D60" s="30" t="s">
        <v>162</v>
      </c>
      <c r="E60" s="30"/>
      <c r="F60" s="30"/>
      <c r="G60" s="30"/>
      <c r="H60" s="30"/>
      <c r="I60" s="30"/>
      <c r="J60" s="30"/>
      <c r="K60" s="30"/>
      <c r="L60" s="9" t="s">
        <v>63</v>
      </c>
    </row>
    <row r="61" spans="1:12" ht="21" customHeight="1">
      <c r="A61" s="8" t="s">
        <v>163</v>
      </c>
      <c r="B61" s="3">
        <v>33000</v>
      </c>
      <c r="C61" s="8" t="s">
        <v>39</v>
      </c>
      <c r="D61" s="30" t="s">
        <v>164</v>
      </c>
      <c r="E61" s="30"/>
      <c r="F61" s="30"/>
      <c r="G61" s="30"/>
      <c r="H61" s="30"/>
      <c r="I61" s="30"/>
      <c r="J61" s="30"/>
      <c r="K61" s="30"/>
      <c r="L61" s="9" t="s">
        <v>63</v>
      </c>
    </row>
    <row r="62" spans="1:12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</row>
    <row r="63" spans="1:12" ht="24" customHeight="1">
      <c r="A63" s="23" t="s">
        <v>165</v>
      </c>
      <c r="B63" s="23"/>
      <c r="C63" s="23"/>
      <c r="D63" s="24"/>
      <c r="E63" s="24"/>
      <c r="F63" s="24"/>
      <c r="G63" s="24"/>
      <c r="H63" s="24"/>
      <c r="I63" s="24"/>
      <c r="J63" s="24"/>
      <c r="K63" s="24"/>
      <c r="L63" s="24"/>
    </row>
    <row r="64" spans="1:12" ht="21" customHeight="1">
      <c r="A64" s="8" t="s">
        <v>166</v>
      </c>
      <c r="B64" s="2">
        <v>0</v>
      </c>
      <c r="C64" s="8" t="s">
        <v>167</v>
      </c>
      <c r="D64" s="30" t="s">
        <v>168</v>
      </c>
      <c r="E64" s="30"/>
      <c r="F64" s="30"/>
      <c r="G64" s="30"/>
      <c r="H64" s="30"/>
      <c r="I64" s="30"/>
      <c r="J64" s="30"/>
      <c r="K64" s="30"/>
      <c r="L64" s="9" t="s">
        <v>63</v>
      </c>
    </row>
    <row r="65" spans="1:12" ht="21" customHeight="1">
      <c r="A65" s="8" t="s">
        <v>169</v>
      </c>
      <c r="B65" s="3">
        <v>30000</v>
      </c>
      <c r="C65" s="8" t="s">
        <v>39</v>
      </c>
      <c r="D65" s="30" t="s">
        <v>170</v>
      </c>
      <c r="E65" s="30"/>
      <c r="F65" s="30"/>
      <c r="G65" s="30"/>
      <c r="H65" s="30"/>
      <c r="I65" s="30"/>
      <c r="J65" s="30"/>
      <c r="K65" s="30"/>
      <c r="L65" s="9" t="s">
        <v>63</v>
      </c>
    </row>
    <row r="66" spans="1:12" ht="21" customHeight="1">
      <c r="A66" s="8" t="s">
        <v>171</v>
      </c>
      <c r="B66" s="4">
        <v>0.03</v>
      </c>
      <c r="C66" s="8" t="s">
        <v>38</v>
      </c>
      <c r="D66" s="30" t="s">
        <v>172</v>
      </c>
      <c r="E66" s="30"/>
      <c r="F66" s="30"/>
      <c r="G66" s="30"/>
      <c r="H66" s="30"/>
      <c r="I66" s="30"/>
      <c r="J66" s="30"/>
      <c r="K66" s="30"/>
      <c r="L66" s="9" t="s">
        <v>63</v>
      </c>
    </row>
    <row r="67" spans="1:12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</row>
    <row r="68" spans="1:12" ht="24" customHeight="1">
      <c r="A68" s="23" t="s">
        <v>173</v>
      </c>
      <c r="B68" s="23"/>
      <c r="C68" s="23"/>
      <c r="D68" s="24"/>
      <c r="E68" s="24"/>
      <c r="F68" s="24"/>
      <c r="G68" s="24"/>
      <c r="H68" s="24"/>
      <c r="I68" s="24"/>
      <c r="J68" s="24"/>
      <c r="K68" s="24"/>
      <c r="L68" s="24"/>
    </row>
    <row r="69" spans="1:12" ht="21" customHeight="1">
      <c r="A69" s="8" t="s">
        <v>174</v>
      </c>
      <c r="B69" s="4">
        <v>0.08</v>
      </c>
      <c r="C69" s="8" t="s">
        <v>38</v>
      </c>
      <c r="D69" s="30" t="s">
        <v>175</v>
      </c>
      <c r="E69" s="30"/>
      <c r="F69" s="30"/>
      <c r="G69" s="30"/>
      <c r="H69" s="30"/>
      <c r="I69" s="30"/>
      <c r="J69" s="30"/>
      <c r="K69" s="30"/>
      <c r="L69" s="9" t="s">
        <v>63</v>
      </c>
    </row>
    <row r="70" spans="1:12" ht="21" customHeight="1">
      <c r="A70" s="8" t="s">
        <v>176</v>
      </c>
      <c r="B70" s="4">
        <v>0.1</v>
      </c>
      <c r="C70" s="8" t="s">
        <v>38</v>
      </c>
      <c r="D70" s="30" t="s">
        <v>177</v>
      </c>
      <c r="E70" s="30"/>
      <c r="F70" s="30"/>
      <c r="G70" s="30"/>
      <c r="H70" s="30"/>
      <c r="I70" s="30"/>
      <c r="J70" s="30"/>
      <c r="K70" s="30"/>
      <c r="L70" s="9" t="s">
        <v>63</v>
      </c>
    </row>
    <row r="71" spans="1:12" ht="21" customHeight="1">
      <c r="A71" s="8" t="s">
        <v>178</v>
      </c>
      <c r="B71" s="4">
        <v>0.08</v>
      </c>
      <c r="C71" s="8" t="s">
        <v>38</v>
      </c>
      <c r="D71" s="30" t="s">
        <v>179</v>
      </c>
      <c r="E71" s="30"/>
      <c r="F71" s="30"/>
      <c r="G71" s="30"/>
      <c r="H71" s="30"/>
      <c r="I71" s="30"/>
      <c r="J71" s="30"/>
      <c r="K71" s="30"/>
      <c r="L71" s="9" t="s">
        <v>63</v>
      </c>
    </row>
    <row r="72" spans="1:12" ht="21" customHeight="1">
      <c r="A72" s="8" t="s">
        <v>180</v>
      </c>
      <c r="B72" s="4">
        <v>0.1</v>
      </c>
      <c r="C72" s="8" t="s">
        <v>38</v>
      </c>
      <c r="D72" s="30" t="s">
        <v>181</v>
      </c>
      <c r="E72" s="30"/>
      <c r="F72" s="30"/>
      <c r="G72" s="30"/>
      <c r="H72" s="30"/>
      <c r="I72" s="30"/>
      <c r="J72" s="30"/>
      <c r="K72" s="30"/>
      <c r="L72" s="9" t="s">
        <v>63</v>
      </c>
    </row>
    <row r="73" spans="1:12" ht="21" customHeight="1">
      <c r="A73" s="8" t="s">
        <v>182</v>
      </c>
      <c r="B73" s="2">
        <v>15</v>
      </c>
      <c r="C73" s="8" t="s">
        <v>65</v>
      </c>
      <c r="D73" s="30" t="s">
        <v>183</v>
      </c>
      <c r="E73" s="30"/>
      <c r="F73" s="30"/>
      <c r="G73" s="30"/>
      <c r="H73" s="30"/>
      <c r="I73" s="30"/>
      <c r="J73" s="30"/>
      <c r="K73" s="30"/>
      <c r="L73" s="9" t="s">
        <v>63</v>
      </c>
    </row>
    <row r="74" spans="1:12" ht="21" customHeight="1">
      <c r="A74" s="8" t="s">
        <v>184</v>
      </c>
      <c r="B74" s="2">
        <v>20</v>
      </c>
      <c r="C74" s="8" t="s">
        <v>65</v>
      </c>
      <c r="D74" s="30" t="s">
        <v>185</v>
      </c>
      <c r="E74" s="30"/>
      <c r="F74" s="30"/>
      <c r="G74" s="30"/>
      <c r="H74" s="30"/>
      <c r="I74" s="30"/>
      <c r="J74" s="30"/>
      <c r="K74" s="30"/>
      <c r="L74" s="9" t="s">
        <v>63</v>
      </c>
    </row>
    <row r="75" spans="1:12" ht="21" customHeight="1">
      <c r="A75" s="8" t="s">
        <v>186</v>
      </c>
      <c r="B75" s="3">
        <v>1.2</v>
      </c>
      <c r="C75" s="8" t="s">
        <v>73</v>
      </c>
      <c r="D75" s="30" t="s">
        <v>187</v>
      </c>
      <c r="E75" s="30"/>
      <c r="F75" s="30"/>
      <c r="G75" s="30"/>
      <c r="H75" s="30"/>
      <c r="I75" s="30"/>
      <c r="J75" s="30"/>
      <c r="K75" s="30"/>
      <c r="L75" s="9" t="s">
        <v>63</v>
      </c>
    </row>
    <row r="76" spans="1:12" ht="21" customHeight="1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</row>
    <row r="77" spans="1:12" ht="24" customHeight="1">
      <c r="A77" s="23" t="s">
        <v>188</v>
      </c>
      <c r="B77" s="23"/>
      <c r="C77" s="23"/>
      <c r="D77" s="24"/>
      <c r="E77" s="24"/>
      <c r="F77" s="24"/>
      <c r="G77" s="24"/>
      <c r="H77" s="24"/>
      <c r="I77" s="24"/>
      <c r="J77" s="24"/>
      <c r="K77" s="24"/>
      <c r="L77" s="24"/>
    </row>
    <row r="78" spans="1:12" ht="21" customHeight="1">
      <c r="A78" s="8" t="s">
        <v>189</v>
      </c>
      <c r="B78" s="4">
        <v>0.1</v>
      </c>
      <c r="C78" s="8" t="s">
        <v>38</v>
      </c>
      <c r="D78" s="30" t="s">
        <v>190</v>
      </c>
      <c r="E78" s="30"/>
      <c r="F78" s="30"/>
      <c r="G78" s="30"/>
      <c r="H78" s="30"/>
      <c r="I78" s="30"/>
      <c r="J78" s="30"/>
      <c r="K78" s="30"/>
      <c r="L78" s="9" t="s">
        <v>63</v>
      </c>
    </row>
    <row r="79" spans="1:12" ht="21" customHeight="1">
      <c r="A79" s="8" t="s">
        <v>191</v>
      </c>
      <c r="B79" s="4">
        <v>0.1</v>
      </c>
      <c r="C79" s="8" t="s">
        <v>38</v>
      </c>
      <c r="D79" s="30" t="s">
        <v>192</v>
      </c>
      <c r="E79" s="30"/>
      <c r="F79" s="30"/>
      <c r="G79" s="30"/>
      <c r="H79" s="30"/>
      <c r="I79" s="30"/>
      <c r="J79" s="30"/>
      <c r="K79" s="30"/>
      <c r="L79" s="9" t="s">
        <v>63</v>
      </c>
    </row>
    <row r="80" spans="1:12" ht="21" customHeight="1">
      <c r="A80" s="8" t="s">
        <v>193</v>
      </c>
      <c r="B80" s="2">
        <v>10</v>
      </c>
      <c r="C80" s="8" t="s">
        <v>194</v>
      </c>
      <c r="D80" s="30" t="s">
        <v>195</v>
      </c>
      <c r="E80" s="30"/>
      <c r="F80" s="30"/>
      <c r="G80" s="30"/>
      <c r="H80" s="30"/>
      <c r="I80" s="30"/>
      <c r="J80" s="30"/>
      <c r="K80" s="30"/>
      <c r="L80" s="9" t="s">
        <v>63</v>
      </c>
    </row>
    <row r="81" spans="1:34" ht="21" customHeight="1">
      <c r="A81" s="8" t="s">
        <v>196</v>
      </c>
      <c r="B81" s="4">
        <v>0.1</v>
      </c>
      <c r="C81" s="8" t="s">
        <v>38</v>
      </c>
      <c r="D81" s="30" t="s">
        <v>197</v>
      </c>
      <c r="E81" s="30"/>
      <c r="F81" s="30"/>
      <c r="G81" s="30"/>
      <c r="H81" s="30"/>
      <c r="I81" s="30"/>
      <c r="J81" s="30"/>
      <c r="K81" s="30"/>
      <c r="L81" s="9" t="s">
        <v>63</v>
      </c>
    </row>
    <row r="82" spans="1:34" ht="21" customHeight="1">
      <c r="A82" s="8" t="s">
        <v>198</v>
      </c>
      <c r="B82" s="2">
        <v>0</v>
      </c>
      <c r="C82" s="8" t="s">
        <v>199</v>
      </c>
      <c r="D82" s="30" t="s">
        <v>200</v>
      </c>
      <c r="E82" s="30"/>
      <c r="F82" s="30"/>
      <c r="G82" s="30"/>
      <c r="H82" s="30"/>
      <c r="I82" s="30"/>
      <c r="J82" s="30"/>
      <c r="K82" s="30"/>
      <c r="L82" s="9" t="s">
        <v>63</v>
      </c>
    </row>
    <row r="83" spans="1:34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</row>
    <row r="84" spans="1:34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</row>
    <row r="85" spans="1:34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</row>
    <row r="86" spans="1:34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</row>
    <row r="87" spans="1:34" ht="21" customHeight="1">
      <c r="A87" s="8"/>
      <c r="B87" s="8"/>
      <c r="C87" s="8"/>
      <c r="D87" s="9">
        <v>0</v>
      </c>
      <c r="E87" s="9">
        <v>1</v>
      </c>
      <c r="F87" s="9">
        <v>2</v>
      </c>
      <c r="G87" s="9">
        <v>3</v>
      </c>
      <c r="H87" s="9">
        <v>4</v>
      </c>
      <c r="I87" s="9">
        <v>5</v>
      </c>
      <c r="J87" s="9">
        <v>6</v>
      </c>
      <c r="K87" s="9">
        <v>7</v>
      </c>
      <c r="L87" s="9">
        <v>8</v>
      </c>
      <c r="M87" s="10">
        <v>9</v>
      </c>
      <c r="N87" s="10">
        <v>10</v>
      </c>
      <c r="O87" s="10">
        <v>11</v>
      </c>
      <c r="P87" s="10">
        <v>12</v>
      </c>
      <c r="Q87" s="10">
        <v>13</v>
      </c>
      <c r="R87" s="10">
        <v>14</v>
      </c>
      <c r="S87" s="10">
        <v>15</v>
      </c>
      <c r="T87" s="10">
        <v>16</v>
      </c>
      <c r="U87" s="10">
        <v>17</v>
      </c>
      <c r="V87" s="10">
        <v>18</v>
      </c>
      <c r="W87" s="10">
        <v>19</v>
      </c>
      <c r="X87" s="10">
        <v>20</v>
      </c>
      <c r="Y87" s="10">
        <v>21</v>
      </c>
      <c r="Z87" s="10">
        <v>22</v>
      </c>
      <c r="AA87" s="10">
        <v>23</v>
      </c>
      <c r="AB87" s="10">
        <v>24</v>
      </c>
      <c r="AC87" s="10">
        <v>25</v>
      </c>
      <c r="AD87" s="10">
        <v>26</v>
      </c>
      <c r="AE87" s="10">
        <v>27</v>
      </c>
      <c r="AF87" s="10">
        <v>28</v>
      </c>
      <c r="AG87" s="10">
        <v>29</v>
      </c>
      <c r="AH87" s="10">
        <v>30</v>
      </c>
    </row>
    <row r="88" spans="1:34" ht="21" customHeight="1">
      <c r="A88" s="8" t="s">
        <v>201</v>
      </c>
      <c r="B88" s="8"/>
      <c r="C88" s="8"/>
      <c r="D88" s="4">
        <v>0</v>
      </c>
      <c r="E88" s="4">
        <v>0.3</v>
      </c>
      <c r="F88" s="4">
        <v>0.4</v>
      </c>
      <c r="G88" s="4">
        <v>0.3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</row>
    <row r="89" spans="1:34" ht="21" customHeight="1">
      <c r="A89" s="8" t="s">
        <v>202</v>
      </c>
      <c r="B89" s="8"/>
      <c r="C89" s="8"/>
      <c r="D89" s="4">
        <v>0</v>
      </c>
      <c r="E89" s="4">
        <v>0</v>
      </c>
      <c r="F89" s="4">
        <v>0</v>
      </c>
      <c r="G89" s="4">
        <v>0</v>
      </c>
      <c r="H89" s="4">
        <v>0.3</v>
      </c>
      <c r="I89" s="4">
        <v>0.4</v>
      </c>
      <c r="J89" s="4">
        <v>0.3</v>
      </c>
      <c r="K89" s="4">
        <v>0</v>
      </c>
      <c r="L89" s="4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</row>
    <row r="90" spans="1:34" ht="21" customHeight="1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</row>
    <row r="91" spans="1:34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</row>
    <row r="92" spans="1:34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</row>
    <row r="93" spans="1:34" ht="24" customHeight="1">
      <c r="A93" s="23" t="s">
        <v>203</v>
      </c>
      <c r="B93" s="23"/>
      <c r="C93" s="23"/>
      <c r="D93" s="24"/>
      <c r="E93" s="24"/>
      <c r="F93" s="24"/>
      <c r="G93" s="24"/>
      <c r="H93" s="24"/>
      <c r="I93" s="24"/>
      <c r="J93" s="24"/>
      <c r="K93" s="24"/>
      <c r="L93" s="24"/>
    </row>
    <row r="94" spans="1:34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</row>
    <row r="95" spans="1:34" ht="21" customHeight="1">
      <c r="A95" s="8" t="s">
        <v>2</v>
      </c>
      <c r="B95" s="2">
        <v>1</v>
      </c>
      <c r="C95" s="8" t="s">
        <v>204</v>
      </c>
      <c r="D95" s="30" t="s">
        <v>205</v>
      </c>
      <c r="E95" s="30"/>
      <c r="F95" s="30"/>
      <c r="G95" s="30"/>
      <c r="H95" s="30"/>
      <c r="I95" s="30"/>
      <c r="J95" s="30"/>
      <c r="K95" s="30"/>
      <c r="L95" s="9" t="s">
        <v>206</v>
      </c>
    </row>
    <row r="96" spans="1:34" ht="21" customHeight="1">
      <c r="A96" s="8" t="s">
        <v>207</v>
      </c>
      <c r="B96" s="2">
        <v>1</v>
      </c>
      <c r="C96" s="8" t="s">
        <v>204</v>
      </c>
      <c r="D96" s="30" t="s">
        <v>208</v>
      </c>
      <c r="E96" s="30"/>
      <c r="F96" s="30"/>
      <c r="G96" s="30"/>
      <c r="H96" s="30"/>
      <c r="I96" s="30"/>
      <c r="J96" s="30"/>
      <c r="K96" s="30"/>
      <c r="L96" s="9" t="s">
        <v>206</v>
      </c>
    </row>
    <row r="97" spans="1:12" ht="21" customHeight="1">
      <c r="A97" s="8" t="s">
        <v>209</v>
      </c>
      <c r="B97" s="2">
        <v>0</v>
      </c>
      <c r="C97" s="8" t="s">
        <v>210</v>
      </c>
      <c r="D97" s="30" t="s">
        <v>211</v>
      </c>
      <c r="E97" s="30"/>
      <c r="F97" s="30"/>
      <c r="G97" s="30"/>
      <c r="H97" s="30"/>
      <c r="I97" s="30"/>
      <c r="J97" s="30"/>
      <c r="K97" s="30"/>
      <c r="L97" s="9" t="s">
        <v>206</v>
      </c>
    </row>
    <row r="98" spans="1:12" ht="21" customHeight="1">
      <c r="A98" s="8" t="s">
        <v>212</v>
      </c>
      <c r="B98" s="2">
        <v>1</v>
      </c>
      <c r="C98" s="8" t="s">
        <v>210</v>
      </c>
      <c r="D98" s="30" t="s">
        <v>213</v>
      </c>
      <c r="E98" s="30"/>
      <c r="F98" s="30"/>
      <c r="G98" s="30"/>
      <c r="H98" s="30"/>
      <c r="I98" s="30"/>
      <c r="J98" s="30"/>
      <c r="K98" s="30"/>
      <c r="L98" s="9" t="s">
        <v>206</v>
      </c>
    </row>
    <row r="99" spans="1:12" ht="21" customHeight="1">
      <c r="A99" s="8" t="s">
        <v>214</v>
      </c>
      <c r="B99" s="2">
        <v>50</v>
      </c>
      <c r="C99" s="8" t="s">
        <v>65</v>
      </c>
      <c r="D99" s="30" t="s">
        <v>215</v>
      </c>
      <c r="E99" s="30"/>
      <c r="F99" s="30"/>
      <c r="G99" s="30"/>
      <c r="H99" s="30"/>
      <c r="I99" s="30"/>
      <c r="J99" s="30"/>
      <c r="K99" s="30"/>
      <c r="L99" s="9" t="s">
        <v>206</v>
      </c>
    </row>
    <row r="100" spans="1:12" ht="21" customHeight="1">
      <c r="A100" s="8" t="s">
        <v>216</v>
      </c>
      <c r="B100" s="2">
        <v>1</v>
      </c>
      <c r="C100" s="8" t="s">
        <v>210</v>
      </c>
      <c r="D100" s="30" t="s">
        <v>217</v>
      </c>
      <c r="E100" s="30"/>
      <c r="F100" s="30"/>
      <c r="G100" s="30"/>
      <c r="H100" s="30"/>
      <c r="I100" s="30"/>
      <c r="J100" s="30"/>
      <c r="K100" s="30"/>
      <c r="L100" s="9" t="s">
        <v>206</v>
      </c>
    </row>
    <row r="101" spans="1:12" ht="21" customHeight="1">
      <c r="A101" s="8" t="s">
        <v>218</v>
      </c>
      <c r="B101" s="2">
        <v>5</v>
      </c>
      <c r="C101" s="8" t="s">
        <v>65</v>
      </c>
      <c r="D101" s="30" t="s">
        <v>219</v>
      </c>
      <c r="E101" s="30"/>
      <c r="F101" s="30"/>
      <c r="G101" s="30"/>
      <c r="H101" s="30"/>
      <c r="I101" s="30"/>
      <c r="J101" s="30"/>
      <c r="K101" s="30"/>
      <c r="L101" s="9" t="s">
        <v>206</v>
      </c>
    </row>
    <row r="102" spans="1:12" ht="21" customHeight="1">
      <c r="A102" s="8" t="s">
        <v>220</v>
      </c>
      <c r="B102" s="4">
        <v>0.7</v>
      </c>
      <c r="C102" s="8" t="s">
        <v>38</v>
      </c>
      <c r="D102" s="30" t="s">
        <v>221</v>
      </c>
      <c r="E102" s="30"/>
      <c r="F102" s="30"/>
      <c r="G102" s="30"/>
      <c r="H102" s="30"/>
      <c r="I102" s="30"/>
      <c r="J102" s="30"/>
      <c r="K102" s="30"/>
      <c r="L102" s="9" t="s">
        <v>206</v>
      </c>
    </row>
    <row r="103" spans="1:12" ht="21" customHeight="1">
      <c r="A103" s="8" t="s">
        <v>222</v>
      </c>
      <c r="B103" s="2">
        <v>1</v>
      </c>
      <c r="C103" s="8" t="s">
        <v>223</v>
      </c>
      <c r="D103" s="30" t="s">
        <v>224</v>
      </c>
      <c r="E103" s="30"/>
      <c r="F103" s="30"/>
      <c r="G103" s="30"/>
      <c r="H103" s="30"/>
      <c r="I103" s="30"/>
      <c r="J103" s="30"/>
      <c r="K103" s="30"/>
      <c r="L103" s="9" t="s">
        <v>206</v>
      </c>
    </row>
    <row r="104" spans="1:12" ht="21" customHeight="1">
      <c r="A104" s="8" t="s">
        <v>225</v>
      </c>
      <c r="B104" s="2">
        <v>0</v>
      </c>
      <c r="C104" s="8" t="s">
        <v>223</v>
      </c>
      <c r="D104" s="30" t="s">
        <v>226</v>
      </c>
      <c r="E104" s="30"/>
      <c r="F104" s="30"/>
      <c r="G104" s="30"/>
      <c r="H104" s="30"/>
      <c r="I104" s="30"/>
      <c r="J104" s="30"/>
      <c r="K104" s="30"/>
      <c r="L104" s="9" t="s">
        <v>206</v>
      </c>
    </row>
    <row r="105" spans="1:12" ht="21" customHeight="1">
      <c r="A105" s="8" t="s">
        <v>227</v>
      </c>
      <c r="B105" s="2">
        <v>0</v>
      </c>
      <c r="C105" s="8" t="s">
        <v>223</v>
      </c>
      <c r="D105" s="30" t="s">
        <v>228</v>
      </c>
      <c r="E105" s="30"/>
      <c r="F105" s="30"/>
      <c r="G105" s="30"/>
      <c r="H105" s="30"/>
      <c r="I105" s="30"/>
      <c r="J105" s="30"/>
      <c r="K105" s="30"/>
      <c r="L105" s="9" t="s">
        <v>206</v>
      </c>
    </row>
    <row r="106" spans="1:12" ht="21" customHeight="1">
      <c r="A106" s="8" t="s">
        <v>229</v>
      </c>
      <c r="B106" s="2">
        <v>0</v>
      </c>
      <c r="C106" s="8" t="s">
        <v>223</v>
      </c>
      <c r="D106" s="30" t="s">
        <v>230</v>
      </c>
      <c r="E106" s="30"/>
      <c r="F106" s="30"/>
      <c r="G106" s="30"/>
      <c r="H106" s="30"/>
      <c r="I106" s="30"/>
      <c r="J106" s="30"/>
      <c r="K106" s="30"/>
      <c r="L106" s="9" t="s">
        <v>206</v>
      </c>
    </row>
    <row r="107" spans="1:12" ht="21" customHeight="1">
      <c r="A107" s="8" t="s">
        <v>231</v>
      </c>
      <c r="B107" s="2">
        <v>0</v>
      </c>
      <c r="C107" s="8" t="s">
        <v>223</v>
      </c>
      <c r="D107" s="30" t="s">
        <v>232</v>
      </c>
      <c r="E107" s="30"/>
      <c r="F107" s="30"/>
      <c r="G107" s="30"/>
      <c r="H107" s="30"/>
      <c r="I107" s="30"/>
      <c r="J107" s="30"/>
      <c r="K107" s="30"/>
      <c r="L107" s="9" t="s">
        <v>206</v>
      </c>
    </row>
    <row r="108" spans="1:12" ht="21" customHeight="1">
      <c r="A108" s="8" t="s">
        <v>233</v>
      </c>
      <c r="B108" s="3">
        <v>60750</v>
      </c>
      <c r="C108" s="8" t="s">
        <v>70</v>
      </c>
      <c r="D108" s="30" t="s">
        <v>234</v>
      </c>
      <c r="E108" s="30"/>
      <c r="F108" s="30"/>
      <c r="G108" s="30"/>
      <c r="H108" s="30"/>
      <c r="I108" s="30"/>
      <c r="J108" s="30"/>
      <c r="K108" s="30"/>
      <c r="L108" s="9" t="s">
        <v>206</v>
      </c>
    </row>
    <row r="109" spans="1:12" ht="21" customHeight="1">
      <c r="A109" s="8" t="s">
        <v>235</v>
      </c>
      <c r="B109" s="4">
        <v>0</v>
      </c>
      <c r="C109" s="8" t="s">
        <v>38</v>
      </c>
      <c r="D109" s="30" t="s">
        <v>236</v>
      </c>
      <c r="E109" s="30"/>
      <c r="F109" s="30"/>
      <c r="G109" s="30"/>
      <c r="H109" s="30"/>
      <c r="I109" s="30"/>
      <c r="J109" s="30"/>
      <c r="K109" s="30"/>
      <c r="L109" s="9" t="s">
        <v>206</v>
      </c>
    </row>
    <row r="110" spans="1:12" ht="21" customHeight="1">
      <c r="A110" s="8" t="s">
        <v>237</v>
      </c>
      <c r="B110" s="4">
        <v>1</v>
      </c>
      <c r="C110" s="8" t="s">
        <v>38</v>
      </c>
      <c r="D110" s="30" t="s">
        <v>238</v>
      </c>
      <c r="E110" s="30"/>
      <c r="F110" s="30"/>
      <c r="G110" s="30"/>
      <c r="H110" s="30"/>
      <c r="I110" s="30"/>
      <c r="J110" s="30"/>
      <c r="K110" s="30"/>
      <c r="L110" s="9" t="s">
        <v>206</v>
      </c>
    </row>
    <row r="111" spans="1:12" ht="21" customHeight="1">
      <c r="A111" s="8" t="s">
        <v>239</v>
      </c>
      <c r="B111" s="2">
        <v>0</v>
      </c>
      <c r="C111" s="8" t="s">
        <v>223</v>
      </c>
      <c r="D111" s="30" t="s">
        <v>240</v>
      </c>
      <c r="E111" s="30"/>
      <c r="F111" s="30"/>
      <c r="G111" s="30"/>
      <c r="H111" s="30"/>
      <c r="I111" s="30"/>
      <c r="J111" s="30"/>
      <c r="K111" s="30"/>
      <c r="L111" s="9" t="s">
        <v>206</v>
      </c>
    </row>
    <row r="112" spans="1:12" ht="21" customHeight="1">
      <c r="A112" s="8" t="s">
        <v>241</v>
      </c>
      <c r="B112" s="2">
        <v>0</v>
      </c>
      <c r="C112" s="8" t="s">
        <v>223</v>
      </c>
      <c r="D112" s="30" t="s">
        <v>242</v>
      </c>
      <c r="E112" s="30"/>
      <c r="F112" s="30"/>
      <c r="G112" s="30"/>
      <c r="H112" s="30"/>
      <c r="I112" s="30"/>
      <c r="J112" s="30"/>
      <c r="K112" s="30"/>
      <c r="L112" s="9" t="s">
        <v>206</v>
      </c>
    </row>
    <row r="113" spans="1:12" ht="21" customHeight="1">
      <c r="A113" s="8" t="s">
        <v>243</v>
      </c>
      <c r="B113" s="4">
        <v>0</v>
      </c>
      <c r="C113" s="8" t="s">
        <v>38</v>
      </c>
      <c r="D113" s="30" t="s">
        <v>244</v>
      </c>
      <c r="E113" s="30"/>
      <c r="F113" s="30"/>
      <c r="G113" s="30"/>
      <c r="H113" s="30"/>
      <c r="I113" s="30"/>
      <c r="J113" s="30"/>
      <c r="K113" s="30"/>
      <c r="L113" s="9" t="s">
        <v>206</v>
      </c>
    </row>
    <row r="114" spans="1:12" ht="21" customHeight="1">
      <c r="A114" s="8" t="s">
        <v>245</v>
      </c>
      <c r="B114" s="3">
        <v>0</v>
      </c>
      <c r="C114" s="8" t="s">
        <v>39</v>
      </c>
      <c r="D114" s="30" t="s">
        <v>246</v>
      </c>
      <c r="E114" s="30"/>
      <c r="F114" s="30"/>
      <c r="G114" s="30"/>
      <c r="H114" s="30"/>
      <c r="I114" s="30"/>
      <c r="J114" s="30"/>
      <c r="K114" s="30"/>
      <c r="L114" s="9" t="s">
        <v>206</v>
      </c>
    </row>
    <row r="115" spans="1:12" ht="21" customHeight="1">
      <c r="A115" s="8" t="s">
        <v>247</v>
      </c>
      <c r="B115" s="3">
        <v>0</v>
      </c>
      <c r="C115" s="8" t="s">
        <v>39</v>
      </c>
      <c r="D115" s="30" t="s">
        <v>248</v>
      </c>
      <c r="E115" s="30"/>
      <c r="F115" s="30"/>
      <c r="G115" s="30"/>
      <c r="H115" s="30"/>
      <c r="I115" s="30"/>
      <c r="J115" s="30"/>
      <c r="K115" s="30"/>
      <c r="L115" s="9" t="s">
        <v>206</v>
      </c>
    </row>
    <row r="116" spans="1:12" ht="21" customHeight="1">
      <c r="A116" s="8" t="s">
        <v>249</v>
      </c>
      <c r="B116" s="2">
        <v>10</v>
      </c>
      <c r="C116" s="8" t="s">
        <v>65</v>
      </c>
      <c r="D116" s="30" t="s">
        <v>250</v>
      </c>
      <c r="E116" s="30"/>
      <c r="F116" s="30"/>
      <c r="G116" s="30"/>
      <c r="H116" s="30"/>
      <c r="I116" s="30"/>
      <c r="J116" s="30"/>
      <c r="K116" s="30"/>
      <c r="L116" s="9" t="s">
        <v>206</v>
      </c>
    </row>
    <row r="117" spans="1:12" ht="21" customHeight="1">
      <c r="A117" s="8" t="s">
        <v>251</v>
      </c>
      <c r="B117" s="3">
        <v>0</v>
      </c>
      <c r="C117" s="8" t="s">
        <v>39</v>
      </c>
      <c r="D117" s="30" t="s">
        <v>252</v>
      </c>
      <c r="E117" s="30"/>
      <c r="F117" s="30"/>
      <c r="G117" s="30"/>
      <c r="H117" s="30"/>
      <c r="I117" s="30"/>
      <c r="J117" s="30"/>
      <c r="K117" s="30"/>
      <c r="L117" s="9" t="s">
        <v>206</v>
      </c>
    </row>
    <row r="118" spans="1:12" ht="21" customHeight="1">
      <c r="A118" s="8" t="s">
        <v>253</v>
      </c>
      <c r="B118" s="4">
        <v>0</v>
      </c>
      <c r="C118" s="8" t="s">
        <v>38</v>
      </c>
      <c r="D118" s="30" t="s">
        <v>254</v>
      </c>
      <c r="E118" s="30"/>
      <c r="F118" s="30"/>
      <c r="G118" s="30"/>
      <c r="H118" s="30"/>
      <c r="I118" s="30"/>
      <c r="J118" s="30"/>
      <c r="K118" s="30"/>
      <c r="L118" s="9" t="s">
        <v>206</v>
      </c>
    </row>
    <row r="119" spans="1:12" ht="21" customHeight="1">
      <c r="A119" s="8" t="s">
        <v>255</v>
      </c>
      <c r="B119" s="4">
        <v>0</v>
      </c>
      <c r="C119" s="8" t="s">
        <v>38</v>
      </c>
      <c r="D119" s="30" t="s">
        <v>256</v>
      </c>
      <c r="E119" s="30"/>
      <c r="F119" s="30"/>
      <c r="G119" s="30"/>
      <c r="H119" s="30"/>
      <c r="I119" s="30"/>
      <c r="J119" s="30"/>
      <c r="K119" s="30"/>
      <c r="L119" s="9" t="s">
        <v>206</v>
      </c>
    </row>
    <row r="120" spans="1:12" ht="21" customHeight="1">
      <c r="A120" s="8" t="s">
        <v>257</v>
      </c>
      <c r="B120" s="4">
        <v>0</v>
      </c>
      <c r="C120" s="8" t="s">
        <v>38</v>
      </c>
      <c r="D120" s="30" t="s">
        <v>258</v>
      </c>
      <c r="E120" s="30"/>
      <c r="F120" s="30"/>
      <c r="G120" s="30"/>
      <c r="H120" s="30"/>
      <c r="I120" s="30"/>
      <c r="J120" s="30"/>
      <c r="K120" s="30"/>
      <c r="L120" s="9" t="s">
        <v>206</v>
      </c>
    </row>
    <row r="121" spans="1:12" ht="21" customHeight="1">
      <c r="A121" s="8" t="s">
        <v>259</v>
      </c>
      <c r="B121" s="4">
        <v>0</v>
      </c>
      <c r="C121" s="8" t="s">
        <v>38</v>
      </c>
      <c r="D121" s="30" t="s">
        <v>260</v>
      </c>
      <c r="E121" s="30"/>
      <c r="F121" s="30"/>
      <c r="G121" s="30"/>
      <c r="H121" s="30"/>
      <c r="I121" s="30"/>
      <c r="J121" s="30"/>
      <c r="K121" s="30"/>
      <c r="L121" s="9" t="s">
        <v>206</v>
      </c>
    </row>
    <row r="122" spans="1:12" ht="21" customHeight="1">
      <c r="A122" s="8" t="s">
        <v>261</v>
      </c>
      <c r="B122" s="4">
        <v>0</v>
      </c>
      <c r="C122" s="8" t="s">
        <v>38</v>
      </c>
      <c r="D122" s="30" t="s">
        <v>262</v>
      </c>
      <c r="E122" s="30"/>
      <c r="F122" s="30"/>
      <c r="G122" s="30"/>
      <c r="H122" s="30"/>
      <c r="I122" s="30"/>
      <c r="J122" s="30"/>
      <c r="K122" s="30"/>
      <c r="L122" s="9" t="s">
        <v>206</v>
      </c>
    </row>
    <row r="123" spans="1:12" ht="21" customHeight="1">
      <c r="A123" s="8" t="s">
        <v>263</v>
      </c>
      <c r="B123" s="3">
        <v>0</v>
      </c>
      <c r="C123" s="8" t="s">
        <v>39</v>
      </c>
      <c r="D123" s="30" t="s">
        <v>264</v>
      </c>
      <c r="E123" s="30"/>
      <c r="F123" s="30"/>
      <c r="G123" s="30"/>
      <c r="H123" s="30"/>
      <c r="I123" s="30"/>
      <c r="J123" s="30"/>
      <c r="K123" s="30"/>
      <c r="L123" s="9" t="s">
        <v>206</v>
      </c>
    </row>
    <row r="124" spans="1:12" ht="21" customHeight="1">
      <c r="A124" s="8" t="s">
        <v>265</v>
      </c>
      <c r="B124" s="2">
        <v>0</v>
      </c>
      <c r="C124" s="8" t="s">
        <v>223</v>
      </c>
      <c r="D124" s="30" t="s">
        <v>266</v>
      </c>
      <c r="E124" s="30"/>
      <c r="F124" s="30"/>
      <c r="G124" s="30"/>
      <c r="H124" s="30"/>
      <c r="I124" s="30"/>
      <c r="J124" s="30"/>
      <c r="K124" s="30"/>
      <c r="L124" s="9" t="s">
        <v>206</v>
      </c>
    </row>
    <row r="125" spans="1:12" ht="21" customHeight="1">
      <c r="A125" s="8" t="s">
        <v>267</v>
      </c>
      <c r="B125" s="3">
        <v>0.5</v>
      </c>
      <c r="C125" s="8" t="s">
        <v>268</v>
      </c>
      <c r="D125" s="30" t="s">
        <v>269</v>
      </c>
      <c r="E125" s="30"/>
      <c r="F125" s="30"/>
      <c r="G125" s="30"/>
      <c r="H125" s="30"/>
      <c r="I125" s="30"/>
      <c r="J125" s="30"/>
      <c r="K125" s="30"/>
      <c r="L125" s="9" t="s">
        <v>206</v>
      </c>
    </row>
    <row r="126" spans="1:12" ht="21" customHeight="1">
      <c r="A126" s="8" t="s">
        <v>270</v>
      </c>
      <c r="B126" s="2">
        <v>0</v>
      </c>
      <c r="C126" s="8" t="s">
        <v>223</v>
      </c>
      <c r="D126" s="30" t="s">
        <v>271</v>
      </c>
      <c r="E126" s="30"/>
      <c r="F126" s="30"/>
      <c r="G126" s="30"/>
      <c r="H126" s="30"/>
      <c r="I126" s="30"/>
      <c r="J126" s="30"/>
      <c r="K126" s="30"/>
      <c r="L126" s="9" t="s">
        <v>206</v>
      </c>
    </row>
    <row r="127" spans="1:12" ht="21" customHeight="1">
      <c r="A127" s="8" t="s">
        <v>272</v>
      </c>
      <c r="B127" s="2">
        <v>4</v>
      </c>
      <c r="C127" s="8" t="s">
        <v>223</v>
      </c>
      <c r="D127" s="30" t="s">
        <v>273</v>
      </c>
      <c r="E127" s="30"/>
      <c r="F127" s="30"/>
      <c r="G127" s="30"/>
      <c r="H127" s="30"/>
      <c r="I127" s="30"/>
      <c r="J127" s="30"/>
      <c r="K127" s="30"/>
      <c r="L127" s="9" t="s">
        <v>206</v>
      </c>
    </row>
    <row r="128" spans="1:12" ht="21" customHeight="1">
      <c r="A128" s="8" t="s">
        <v>274</v>
      </c>
      <c r="B128" s="4">
        <v>0.25</v>
      </c>
      <c r="C128" s="8" t="s">
        <v>38</v>
      </c>
      <c r="D128" s="30" t="s">
        <v>275</v>
      </c>
      <c r="E128" s="30"/>
      <c r="F128" s="30"/>
      <c r="G128" s="30"/>
      <c r="H128" s="30"/>
      <c r="I128" s="30"/>
      <c r="J128" s="30"/>
      <c r="K128" s="30"/>
      <c r="L128" s="9" t="s">
        <v>206</v>
      </c>
    </row>
    <row r="129" spans="1:12" ht="21" customHeight="1">
      <c r="A129" s="8" t="s">
        <v>276</v>
      </c>
      <c r="B129" s="4">
        <v>0.25</v>
      </c>
      <c r="C129" s="8" t="s">
        <v>38</v>
      </c>
      <c r="D129" s="30" t="s">
        <v>277</v>
      </c>
      <c r="E129" s="30"/>
      <c r="F129" s="30"/>
      <c r="G129" s="30"/>
      <c r="H129" s="30"/>
      <c r="I129" s="30"/>
      <c r="J129" s="30"/>
      <c r="K129" s="30"/>
      <c r="L129" s="9" t="s">
        <v>206</v>
      </c>
    </row>
    <row r="130" spans="1:12" ht="21" customHeight="1">
      <c r="A130" s="8" t="s">
        <v>278</v>
      </c>
      <c r="B130" s="4">
        <v>0.25</v>
      </c>
      <c r="C130" s="8" t="s">
        <v>38</v>
      </c>
      <c r="D130" s="30" t="s">
        <v>279</v>
      </c>
      <c r="E130" s="30"/>
      <c r="F130" s="30"/>
      <c r="G130" s="30"/>
      <c r="H130" s="30"/>
      <c r="I130" s="30"/>
      <c r="J130" s="30"/>
      <c r="K130" s="30"/>
      <c r="L130" s="9" t="s">
        <v>206</v>
      </c>
    </row>
    <row r="131" spans="1:12" ht="21" customHeight="1">
      <c r="A131" s="8" t="s">
        <v>280</v>
      </c>
      <c r="B131" s="4">
        <v>0.25</v>
      </c>
      <c r="C131" s="8" t="s">
        <v>38</v>
      </c>
      <c r="D131" s="30" t="s">
        <v>279</v>
      </c>
      <c r="E131" s="30"/>
      <c r="F131" s="30"/>
      <c r="G131" s="30"/>
      <c r="H131" s="30"/>
      <c r="I131" s="30"/>
      <c r="J131" s="30"/>
      <c r="K131" s="30"/>
      <c r="L131" s="9" t="s">
        <v>206</v>
      </c>
    </row>
    <row r="132" spans="1:12" ht="21" customHeight="1">
      <c r="A132" s="8" t="s">
        <v>281</v>
      </c>
      <c r="B132" s="3">
        <v>3200</v>
      </c>
      <c r="C132" s="8" t="s">
        <v>92</v>
      </c>
      <c r="D132" s="30" t="s">
        <v>282</v>
      </c>
      <c r="E132" s="30"/>
      <c r="F132" s="30"/>
      <c r="G132" s="30"/>
      <c r="H132" s="30"/>
      <c r="I132" s="30"/>
      <c r="J132" s="30"/>
      <c r="K132" s="30"/>
      <c r="L132" s="9" t="s">
        <v>206</v>
      </c>
    </row>
    <row r="133" spans="1:12" ht="21" customHeight="1">
      <c r="A133" s="8" t="s">
        <v>283</v>
      </c>
      <c r="B133" s="3">
        <v>26000</v>
      </c>
      <c r="C133" s="8" t="s">
        <v>92</v>
      </c>
      <c r="D133" s="30" t="s">
        <v>284</v>
      </c>
      <c r="E133" s="30"/>
      <c r="F133" s="30"/>
      <c r="G133" s="30"/>
      <c r="H133" s="30"/>
      <c r="I133" s="30"/>
      <c r="J133" s="30"/>
      <c r="K133" s="30"/>
      <c r="L133" s="9" t="s">
        <v>206</v>
      </c>
    </row>
    <row r="134" spans="1:12" ht="21" customHeight="1">
      <c r="A134" s="8" t="s">
        <v>285</v>
      </c>
      <c r="B134" s="3">
        <v>208</v>
      </c>
      <c r="C134" s="8" t="s">
        <v>117</v>
      </c>
      <c r="D134" s="30" t="s">
        <v>286</v>
      </c>
      <c r="E134" s="30"/>
      <c r="F134" s="30"/>
      <c r="G134" s="30"/>
      <c r="H134" s="30"/>
      <c r="I134" s="30"/>
      <c r="J134" s="30"/>
      <c r="K134" s="30"/>
      <c r="L134" s="9" t="s">
        <v>206</v>
      </c>
    </row>
    <row r="135" spans="1:12" ht="21" customHeight="1">
      <c r="A135" s="8" t="s">
        <v>287</v>
      </c>
      <c r="B135" s="3">
        <v>2</v>
      </c>
      <c r="C135" s="8" t="s">
        <v>73</v>
      </c>
      <c r="D135" s="30" t="s">
        <v>288</v>
      </c>
      <c r="E135" s="30"/>
      <c r="F135" s="30"/>
      <c r="G135" s="30"/>
      <c r="H135" s="30"/>
      <c r="I135" s="30"/>
      <c r="J135" s="30"/>
      <c r="K135" s="30"/>
      <c r="L135" s="9" t="s">
        <v>206</v>
      </c>
    </row>
    <row r="136" spans="1:12" ht="21" customHeight="1">
      <c r="A136" s="8" t="s">
        <v>289</v>
      </c>
      <c r="B136" s="2">
        <v>8</v>
      </c>
      <c r="C136" s="8" t="s">
        <v>223</v>
      </c>
      <c r="D136" s="30" t="s">
        <v>290</v>
      </c>
      <c r="E136" s="30"/>
      <c r="F136" s="30"/>
      <c r="G136" s="30"/>
      <c r="H136" s="30"/>
      <c r="I136" s="30"/>
      <c r="J136" s="30"/>
      <c r="K136" s="30"/>
      <c r="L136" s="9" t="s">
        <v>206</v>
      </c>
    </row>
    <row r="137" spans="1:12" ht="21" customHeight="1">
      <c r="A137" s="8" t="s">
        <v>291</v>
      </c>
      <c r="B137" s="4">
        <v>1</v>
      </c>
      <c r="C137" s="8" t="s">
        <v>38</v>
      </c>
      <c r="D137" s="30" t="s">
        <v>292</v>
      </c>
      <c r="E137" s="30"/>
      <c r="F137" s="30"/>
      <c r="G137" s="30"/>
      <c r="H137" s="30"/>
      <c r="I137" s="30"/>
      <c r="J137" s="30"/>
      <c r="K137" s="30"/>
      <c r="L137" s="9" t="s">
        <v>206</v>
      </c>
    </row>
    <row r="138" spans="1:12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21" customHeight="1">
      <c r="A139" s="8" t="s">
        <v>293</v>
      </c>
      <c r="B139" s="3">
        <v>1</v>
      </c>
      <c r="C139" s="8" t="s">
        <v>73</v>
      </c>
      <c r="D139" s="30" t="s">
        <v>294</v>
      </c>
      <c r="E139" s="30"/>
      <c r="F139" s="30"/>
      <c r="G139" s="30"/>
      <c r="H139" s="30"/>
      <c r="I139" s="30"/>
      <c r="J139" s="30"/>
      <c r="K139" s="30"/>
      <c r="L139" s="9" t="s">
        <v>206</v>
      </c>
    </row>
    <row r="140" spans="1:12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24" customHeight="1">
      <c r="A141" s="23" t="s">
        <v>295</v>
      </c>
      <c r="B141" s="23"/>
      <c r="C141" s="23"/>
      <c r="D141" s="24"/>
      <c r="E141" s="24"/>
      <c r="F141" s="24"/>
      <c r="G141" s="24"/>
      <c r="H141" s="24"/>
      <c r="I141" s="24"/>
      <c r="J141" s="24"/>
      <c r="K141" s="24"/>
      <c r="L141" s="24"/>
    </row>
    <row r="142" spans="1:12" ht="21" customHeight="1">
      <c r="A142" s="8" t="s">
        <v>296</v>
      </c>
      <c r="B142" s="22">
        <f>IF(核心参数输入!$B$95=2,1,IF(核心参数输入!$B$95=3,0,核心参数输入!$B$14))</f>
        <v>0.55000000000000004</v>
      </c>
      <c r="C142" s="8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21" customHeight="1">
      <c r="A143" s="8" t="s">
        <v>297</v>
      </c>
      <c r="B143" s="22">
        <f>1-核心参数输入!$B$142</f>
        <v>0.44999999999999996</v>
      </c>
      <c r="C143" s="8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21" customHeight="1">
      <c r="A144" s="8" t="s">
        <v>298</v>
      </c>
      <c r="B144" s="8">
        <f>IF(ISNUMBER(敏感性与边界!$B$6),敏感性与边界!$B$6,核心参数输入!$B$21)</f>
        <v>800</v>
      </c>
      <c r="C144" s="8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21" customHeight="1">
      <c r="A145" s="8" t="s">
        <v>299</v>
      </c>
      <c r="B145" s="8">
        <f>IF(ISNUMBER(敏感性与边界!$B$7),敏感性与边界!$B$7,核心参数输入!$B$31)</f>
        <v>6500</v>
      </c>
      <c r="C145" s="8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21" customHeight="1">
      <c r="A146" s="8" t="s">
        <v>300</v>
      </c>
      <c r="B146" s="8">
        <f>IF(ISNUMBER(敏感性与边界!$B$8),敏感性与边界!$B$8,核心参数输入!$B$36)</f>
        <v>26</v>
      </c>
      <c r="C146" s="8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21" customHeight="1">
      <c r="A147" s="8" t="s">
        <v>301</v>
      </c>
      <c r="B147" s="8">
        <f>IF(ISNUMBER(敏感性与边界!$B$9),敏感性与边界!$B$9,1)</f>
        <v>1</v>
      </c>
      <c r="C147" s="8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21" customHeight="1">
      <c r="A148" s="8" t="s">
        <v>302</v>
      </c>
      <c r="B148" s="8">
        <f>IF(ISNUMBER(敏感性与边界!$B$10),敏感性与边界!$B$10,核心参数输入!$B$107)</f>
        <v>0</v>
      </c>
      <c r="C148" s="8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21" customHeight="1">
      <c r="A149" s="8" t="s">
        <v>303</v>
      </c>
      <c r="B149" s="8" t="str">
        <f>CHOOSE(核心参数输入!$B$95,"租售结合","纯出售","纯持有")</f>
        <v>租售结合</v>
      </c>
      <c r="C149" s="8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21" customHeight="1">
      <c r="A150" s="8" t="s">
        <v>304</v>
      </c>
      <c r="B150" s="8">
        <f>IF(AND(IF(AND(COUNT(B8,B9,B10,B11,B12,B13,B14,B16,B17,B18,B21,B22,B23,B24,B25,B26,B27,B28,B31,B32,B33,B36,B37,B38,B39,B40,B41,B42,B43,B44,B47,B48,B49,B50,B51,B52,B53,B54,B57,B58,B59,B60,B61,B64,B65,B66,B69,B70,B71,B72,B73,B74,B75,B78,B79,B80,B81,B82)=58,COUNT(B95,B96,B97,B98,B99,B100,B101,B102,B103,B104,B105,B106,B107,B108,B109,B110,B111,B112,B113,B114,B115,B116,B117,B118,B119,B120,B121,B122,B123,B124,B125,B126,B127,B128,B129,B130,B131,B132,B133,B134,B135,B136,B137,B139)=44,B7&lt;&gt;"",B9=INT(B9),B9&gt;B16,B9&lt;=30,B16&gt;=1,B16=INT(B16),B10&gt;0,B11&gt;0,B12&gt;0,B12&lt;=1,B13&gt;=0,B14&gt;=0,B14&lt;=1,B95&gt;=1,B95&lt;=3,B95=INT(B95),OR(B96=1,B96=2),MIN(B21:B26,B28,B31,B36,B47,B50,B57,B61,B65,B108,B114:B115,B117,B123)&gt;=0,MIN(B38:B41)&gt;=0,MAX(B38:B41)&lt;=1,B38&lt;=B39,B39&lt;=B40,B40&lt;=B41,B42&gt;=0,B42&lt;=12,B43&gt;=0,B43&lt;=1,B37&gt;-1,B48&gt;-1,B53&gt;=1,B53=INT(B53),B99&gt;=1,B99=INT(B99),B101&gt;=0,B101=INT(B101),B69&gt;=0,B70&gt;=0,B71&gt;=0,B72&gt;=0,B73&gt;0,B74&gt;0,B75&gt;0,SUM(B128:B131)&gt;0,ABS(SUM(B128:B131)-1)&lt;0.000001,MIN(B128:B131)&gt;=0,MIN(D88:AH89)&gt;=0,MAX(D88:AH89)&lt;=1,COUNT(D88:AH88)=31,COUNT(D89:AH89)=31,ABS(SUM(D88:AH88)-1)&lt;0.000001,SUM(D89:AH89)&lt;=1.000001,OR(B142=0,AND(B17&gt;B16,B17&lt;=B9,B17=INT(B17))),OR(B143=0,AND(B18&gt;B16,B18&lt;=B9,B18=INT(B18),B108&gt;0)),B102&gt;=0,B102&lt;=1,B105&gt;=0,B105=INT(B105),B106&gt;=0,B106=INT(B106),B148&gt;=0,B148=INT(B148),B127&gt;=1,B127=INT(B127),MIN(B118:B122)&gt;=0,MAX(B118:B122)&lt;=1,OR(B98=0,B98=1),OR(B100=0,B100=1),OR(B64=0,B64=1),OR(B82=0,B82=1)),1,0)=1,AND(B12&gt;=0,B12&lt;=1),AND(B14&gt;=0,B14&lt;=1),AND(B27&gt;=0,B27&lt;=1),AND(B32&gt;=0,B32&lt;=1),AND(B33&gt;=0,B33&lt;=1),AND(B38&gt;=0,B38&lt;=1),AND(B39&gt;=0,B39&lt;=1),AND(B40&gt;=0,B40&lt;=1),AND(B41&gt;=0,B41&lt;=1),AND(B43&gt;=0,B43&lt;=1),AND(B44&gt;=0,B44&lt;=1),AND(B49&gt;=0,B49&lt;=1),AND(B51&gt;=0,B51&lt;=1),AND(B52&gt;=0,B52&lt;=1),AND(B54&gt;=0,B54&lt;=1),AND(B58&gt;=0,B58&lt;=1),AND(B66&gt;=0,B66&lt;=1),AND(B69&gt;=0,B69&lt;=1),AND(B70&gt;=0,B70&lt;=1),AND(B71&gt;=0,B71&lt;=1),AND(B72&gt;=0,B72&lt;=1),AND(B78&gt;=0,B78&lt;=1),AND(B79&gt;=0,B79&lt;=1),AND(B102&gt;=0,B102&lt;=1),AND(B109&gt;=0,B109&lt;=1),AND(B110&gt;=0,B110&lt;=1),AND(B113&gt;=0,B113&lt;=1),AND(B118&gt;=0,B118&lt;=1),AND(B119&gt;=0,B119&lt;=1),AND(B120&gt;=0,B120&lt;=1),AND(B121&gt;=0,B121&lt;=1),AND(B122&gt;=0,B122&lt;=1),AND(B125&gt;=0,B125&lt;=1),AND(B128&gt;=0,B128&lt;=1),AND(B129&gt;=0,B129&lt;=1),AND(B130&gt;=0,B130&lt;=1),AND(B131&gt;=0,B131&lt;=1),AND(B137&gt;=0,B137&lt;=1),AND(B103&gt;=0,B103=INT(B103)),AND(B104&gt;=0,B104=INT(B104)),AND(B105&gt;=0,B105=INT(B105)),AND(B106&gt;=0,B106=INT(B106)),AND(B107&gt;=0,B107=INT(B107)),AND(B111&gt;=0,B111=INT(B111)),AND(B112&gt;=0,B112=INT(B112)),AND(B124&gt;=0,B124=INT(B124)),AND(B126&gt;=0,B126=INT(B126)),AND(B148&gt;=0,B148=INT(B148)),B8=INT(B8),B8&gt;=1900,B8&lt;=2200,B37&gt;=-0.99,B37&lt;=1,B48&gt;=-0.99,B48&lt;=1,B81&gt;=0,B81&lt;=10,B144&gt;=0,B145&gt;=0,B146&gt;=0,B147&gt;=0),1,0)</f>
        <v>1</v>
      </c>
      <c r="C150" s="8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21" customHeight="1">
      <c r="A152" s="8" t="s">
        <v>305</v>
      </c>
      <c r="B152" s="8" t="str">
        <f>IF(核心参数输入!$B$96=1,"综合税费率（沿用V2）","分离增值税（财务参数）")</f>
        <v>综合税费率（沿用V2）</v>
      </c>
      <c r="C152" s="8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21" customHeight="1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21" customHeight="1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21" customHeight="1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21" customHeight="1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</row>
  </sheetData>
  <sheetProtection sheet="1" objects="1" scenarios="1"/>
  <mergeCells count="104">
    <mergeCell ref="D135:K135"/>
    <mergeCell ref="D136:K136"/>
    <mergeCell ref="D137:K137"/>
    <mergeCell ref="D139:K139"/>
    <mergeCell ref="D130:K130"/>
    <mergeCell ref="D131:K131"/>
    <mergeCell ref="D132:K132"/>
    <mergeCell ref="D133:K133"/>
    <mergeCell ref="D134:K134"/>
    <mergeCell ref="D125:K125"/>
    <mergeCell ref="D126:K126"/>
    <mergeCell ref="D127:K127"/>
    <mergeCell ref="D128:K128"/>
    <mergeCell ref="D129:K129"/>
    <mergeCell ref="D120:K120"/>
    <mergeCell ref="D121:K121"/>
    <mergeCell ref="D122:K122"/>
    <mergeCell ref="D123:K123"/>
    <mergeCell ref="D124:K124"/>
    <mergeCell ref="D115:K115"/>
    <mergeCell ref="D116:K116"/>
    <mergeCell ref="D117:K117"/>
    <mergeCell ref="D118:K118"/>
    <mergeCell ref="D119:K119"/>
    <mergeCell ref="D110:K110"/>
    <mergeCell ref="D111:K111"/>
    <mergeCell ref="D112:K112"/>
    <mergeCell ref="D113:K113"/>
    <mergeCell ref="D114:K114"/>
    <mergeCell ref="D105:K105"/>
    <mergeCell ref="D106:K106"/>
    <mergeCell ref="D107:K107"/>
    <mergeCell ref="D108:K108"/>
    <mergeCell ref="D109:K109"/>
    <mergeCell ref="D100:K100"/>
    <mergeCell ref="D101:K101"/>
    <mergeCell ref="D102:K102"/>
    <mergeCell ref="D103:K103"/>
    <mergeCell ref="D104:K104"/>
    <mergeCell ref="D95:K95"/>
    <mergeCell ref="D96:K96"/>
    <mergeCell ref="D97:K97"/>
    <mergeCell ref="D98:K98"/>
    <mergeCell ref="D99:K99"/>
    <mergeCell ref="D78:K78"/>
    <mergeCell ref="D79:K79"/>
    <mergeCell ref="D80:K80"/>
    <mergeCell ref="D81:K81"/>
    <mergeCell ref="D82:K82"/>
    <mergeCell ref="D71:K71"/>
    <mergeCell ref="D72:K72"/>
    <mergeCell ref="D73:K73"/>
    <mergeCell ref="D74:K74"/>
    <mergeCell ref="D75:K75"/>
    <mergeCell ref="D64:K64"/>
    <mergeCell ref="D65:K65"/>
    <mergeCell ref="D66:K66"/>
    <mergeCell ref="D69:K69"/>
    <mergeCell ref="D70:K70"/>
    <mergeCell ref="D58:K58"/>
    <mergeCell ref="D59:K59"/>
    <mergeCell ref="D60:K60"/>
    <mergeCell ref="D61:K61"/>
    <mergeCell ref="D50:K50"/>
    <mergeCell ref="D51:K51"/>
    <mergeCell ref="D52:K52"/>
    <mergeCell ref="D53:K53"/>
    <mergeCell ref="D54:K54"/>
    <mergeCell ref="D47:K47"/>
    <mergeCell ref="D48:K48"/>
    <mergeCell ref="D49:K49"/>
    <mergeCell ref="D38:K38"/>
    <mergeCell ref="D39:K39"/>
    <mergeCell ref="D40:K40"/>
    <mergeCell ref="D41:K41"/>
    <mergeCell ref="D42:K42"/>
    <mergeCell ref="D57:K57"/>
    <mergeCell ref="D36:K36"/>
    <mergeCell ref="D37:K37"/>
    <mergeCell ref="D24:K24"/>
    <mergeCell ref="D25:K25"/>
    <mergeCell ref="D26:K26"/>
    <mergeCell ref="D27:K27"/>
    <mergeCell ref="D28:K28"/>
    <mergeCell ref="D43:K43"/>
    <mergeCell ref="D44:K44"/>
    <mergeCell ref="D23:K23"/>
    <mergeCell ref="D12:K12"/>
    <mergeCell ref="D13:K13"/>
    <mergeCell ref="D14:K14"/>
    <mergeCell ref="D15:K15"/>
    <mergeCell ref="D16:K16"/>
    <mergeCell ref="D31:K31"/>
    <mergeCell ref="D32:K32"/>
    <mergeCell ref="D33:K33"/>
    <mergeCell ref="D7:K7"/>
    <mergeCell ref="D8:K8"/>
    <mergeCell ref="D9:K9"/>
    <mergeCell ref="D10:K10"/>
    <mergeCell ref="D11:K11"/>
    <mergeCell ref="D17:K17"/>
    <mergeCell ref="D18:K18"/>
    <mergeCell ref="D21:K21"/>
    <mergeCell ref="D22:K22"/>
  </mergeCells>
  <phoneticPr fontId="11" type="noConversion"/>
  <dataValidations count="13">
    <dataValidation type="decimal" sqref="D88:AH89 B137 B128:B131 B125 B118:B122 B113 B109:B110 B102 B78:B79 B69:B72 B66 B58 B54 B51:B52 B49 B43:B44 B38:B41 B32:B33 B27 B14 B12" xr:uid="{00000000-0002-0000-0100-000000000000}">
      <formula1>0</formula1>
      <formula2>1</formula2>
    </dataValidation>
    <dataValidation type="whole" sqref="B9 B59:B60 B16:B18" xr:uid="{00000000-0002-0000-0100-000027000000}">
      <formula1>1</formula1>
      <formula2>30</formula2>
    </dataValidation>
    <dataValidation type="whole" sqref="B53 B99" xr:uid="{00000000-0002-0000-0100-00002B000000}">
      <formula1>1</formula1>
      <formula2>100</formula2>
    </dataValidation>
    <dataValidation type="whole" sqref="B136 B126 B124 B111:B112 B103:B107" xr:uid="{00000000-0002-0000-0100-00002F000000}">
      <formula1>0</formula1>
      <formula2>120</formula2>
    </dataValidation>
    <dataValidation type="whole" sqref="B64 B100 B97:B98 B82" xr:uid="{00000000-0002-0000-0100-000039000000}">
      <formula1>0</formula1>
      <formula2>1</formula2>
    </dataValidation>
    <dataValidation type="whole" sqref="B95" xr:uid="{00000000-0002-0000-0100-00003E000000}">
      <formula1>1</formula1>
      <formula2>3</formula2>
    </dataValidation>
    <dataValidation type="whole" sqref="B96" xr:uid="{00000000-0002-0000-0100-00003F000000}">
      <formula1>1</formula1>
      <formula2>2</formula2>
    </dataValidation>
    <dataValidation type="whole" sqref="B101" xr:uid="{00000000-0002-0000-0100-000040000000}">
      <formula1>0</formula1>
      <formula2>30</formula2>
    </dataValidation>
    <dataValidation type="whole" sqref="B127" xr:uid="{00000000-0002-0000-0100-000041000000}">
      <formula1>1</formula1>
      <formula2>4</formula2>
    </dataValidation>
    <dataValidation type="decimal" sqref="B37 B48" xr:uid="{00000000-0002-0000-0100-000042000000}">
      <formula1>-0.99</formula1>
      <formula2>1</formula2>
    </dataValidation>
    <dataValidation type="decimal" sqref="B42" xr:uid="{00000000-0002-0000-0100-000044000000}">
      <formula1>0</formula1>
      <formula2>12</formula2>
    </dataValidation>
    <dataValidation type="decimal" sqref="B80" xr:uid="{00000000-0002-0000-0100-000045000000}">
      <formula1>0</formula1>
      <formula2>100</formula2>
    </dataValidation>
    <dataValidation type="decimal" sqref="B81" xr:uid="{00000000-0002-0000-0100-000046000000}">
      <formula1>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20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0" style="10" customWidth="1"/>
    <col min="2" max="2" width="18" style="10" customWidth="1"/>
    <col min="3" max="3" width="13" style="10" customWidth="1"/>
    <col min="4" max="6" width="16" style="10" customWidth="1"/>
    <col min="7" max="7" width="18" style="10" customWidth="1"/>
    <col min="8" max="12" width="16" style="10" customWidth="1"/>
    <col min="13" max="16384" width="9" style="10"/>
  </cols>
  <sheetData>
    <row r="1" spans="1:12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</row>
    <row r="2" spans="1:12" ht="30" customHeight="1">
      <c r="A2" s="11" t="s">
        <v>306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</row>
    <row r="3" spans="1:12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</row>
    <row r="4" spans="1:12" ht="21" customHeight="1">
      <c r="A4" s="20" t="s">
        <v>33</v>
      </c>
      <c r="B4" s="20" t="s">
        <v>16</v>
      </c>
      <c r="C4" s="20" t="s">
        <v>17</v>
      </c>
      <c r="D4" s="21" t="s">
        <v>18</v>
      </c>
      <c r="E4" s="21" t="s">
        <v>188</v>
      </c>
      <c r="F4" s="21" t="s">
        <v>20</v>
      </c>
      <c r="G4" s="21" t="s">
        <v>21</v>
      </c>
      <c r="H4" s="9"/>
      <c r="I4" s="9"/>
      <c r="J4" s="9"/>
      <c r="K4" s="9"/>
      <c r="L4" s="9"/>
    </row>
    <row r="5" spans="1:12" ht="21" customHeight="1">
      <c r="A5" s="8"/>
      <c r="B5" s="8"/>
      <c r="C5" s="8"/>
      <c r="D5" s="9"/>
      <c r="E5" s="9"/>
      <c r="F5" s="9"/>
      <c r="G5" s="9"/>
      <c r="H5" s="9"/>
      <c r="I5" s="9"/>
      <c r="J5" s="9"/>
      <c r="K5" s="9"/>
      <c r="L5" s="9"/>
    </row>
    <row r="6" spans="1:12" ht="21" customHeight="1">
      <c r="A6" s="8" t="s">
        <v>22</v>
      </c>
      <c r="B6" s="22">
        <f>IF(AND(COUNTIFS(季度现金流!$D$45:INDEX(季度现金流!$D$45:$DT$45,1,核心参数输入!$B$9*4+1),"&lt;0")&gt;0,COUNTIFS(季度现金流!$D$45:INDEX(季度现金流!$D$45:$DT$45,1,核心参数输入!$B$9*4+1),"&gt;0")&gt;0),IFERROR((1+IRR(季度现金流!$D$45:INDEX(季度现金流!$D$45:$DT$45,1,核心参数输入!$B$9*4+1)))^4-1,"无法计算"),"无法计算")</f>
        <v>-1.4445334640145968E-2</v>
      </c>
      <c r="C6" s="8" t="s">
        <v>38</v>
      </c>
      <c r="D6" s="22">
        <f>核心参数输入!$B$69</f>
        <v>0.08</v>
      </c>
      <c r="E6" s="22">
        <f>IF(AND(COUNTIFS(季度现金流!$D$155:INDEX(季度现金流!$D$155:$DT$155,1,核心参数输入!$B$9*4+1),"&lt;0")&gt;0,COUNTIFS(季度现金流!$D$155:INDEX(季度现金流!$D$155:$DT$155,1,核心参数输入!$B$9*4+1),"&gt;0")&gt;0),IFERROR((1+IRR(季度现金流!$D$155:INDEX(季度现金流!$D$155:$DT$155,1,核心参数输入!$B$9*4+1)))^4-1,"无法计算"),"无法计算")</f>
        <v>-4.9549602632143697E-2</v>
      </c>
      <c r="F6" s="9" t="str">
        <f>IF(B6="不适用","未通过",IF(NOT(ISNUMBER(B6)),IF(B6="无法计算","待判断","未通过"),IF(B6&gt;=D6,"通过","未通过")))</f>
        <v>未通过</v>
      </c>
      <c r="G6" s="9" t="str">
        <f>IF(E6="不适用","未通过",IF(NOT(ISNUMBER(E6)),IF(E6="无法计算","待判断","未通过"),IF(E6&gt;=D6,"通过","未通过")))</f>
        <v>未通过</v>
      </c>
      <c r="H6" s="30" t="s">
        <v>307</v>
      </c>
      <c r="I6" s="30"/>
      <c r="J6" s="30"/>
      <c r="K6" s="30"/>
      <c r="L6" s="30"/>
    </row>
    <row r="7" spans="1:12" ht="21" customHeight="1">
      <c r="A7" s="8" t="s">
        <v>23</v>
      </c>
      <c r="B7" s="22">
        <f>IF(AND(COUNTIFS(季度现金流!$D$47:INDEX(季度现金流!$D$47:$DT$47,1,核心参数输入!$B$9*4+1),"&lt;0")&gt;0,COUNTIFS(季度现金流!$D$47:INDEX(季度现金流!$D$47:$DT$47,1,核心参数输入!$B$9*4+1),"&gt;0")&gt;0),IFERROR((1+IRR(季度现金流!$D$47:INDEX(季度现金流!$D$47:$DT$47,1,核心参数输入!$B$9*4+1)))^4-1,"无法计算"),"无法计算")</f>
        <v>-4.0676665276822566E-2</v>
      </c>
      <c r="C7" s="8" t="s">
        <v>38</v>
      </c>
      <c r="D7" s="22">
        <f>核心参数输入!$B$70</f>
        <v>0.1</v>
      </c>
      <c r="E7" s="22">
        <f>IF(AND(COUNTIFS(季度现金流!$D$157:INDEX(季度现金流!$D$157:$DT$157,1,核心参数输入!$B$9*4+1),"&lt;0")&gt;0,COUNTIFS(季度现金流!$D$157:INDEX(季度现金流!$D$157:$DT$157,1,核心参数输入!$B$9*4+1),"&gt;0")&gt;0),IFERROR((1+IRR(季度现金流!$D$157:INDEX(季度现金流!$D$157:$DT$157,1,核心参数输入!$B$9*4+1)))^4-1,"无法计算"),"无法计算")</f>
        <v>-8.74635310694164E-2</v>
      </c>
      <c r="F7" s="9" t="str">
        <f>IF(B7="不适用","未通过",IF(NOT(ISNUMBER(B7)),IF(B7="无法计算","待判断","未通过"),IF(B7&gt;=D7,"通过","未通过")))</f>
        <v>未通过</v>
      </c>
      <c r="G7" s="9" t="str">
        <f>IF(E7="不适用","未通过",IF(NOT(ISNUMBER(E7)),IF(E7="无法计算","待判断","未通过"),IF(E7&gt;=D7,"通过","未通过")))</f>
        <v>未通过</v>
      </c>
      <c r="H7" s="30" t="s">
        <v>308</v>
      </c>
      <c r="I7" s="30"/>
      <c r="J7" s="30"/>
      <c r="K7" s="30"/>
      <c r="L7" s="30"/>
    </row>
    <row r="8" spans="1:12" ht="21" customHeight="1">
      <c r="A8" s="8" t="s">
        <v>24</v>
      </c>
      <c r="B8" s="9">
        <f>NPV((1+核心参数输入!$B$71)^(1/4)-1,季度现金流!$E$45:INDEX(季度现金流!$D$45:$DT$45,1,核心参数输入!$B$9*4+1))+季度现金流!D45</f>
        <v>-20406.095478339281</v>
      </c>
      <c r="C8" s="8" t="s">
        <v>39</v>
      </c>
      <c r="D8" s="9">
        <f>0</f>
        <v>0</v>
      </c>
      <c r="E8" s="9">
        <f>NPV((1+核心参数输入!$B$71)^(1/4)-1,季度现金流!$E$155:INDEX(季度现金流!$D$155:$DT$155,1,核心参数输入!$B$9*4+1))+季度现金流!D155</f>
        <v>-28525.139536602372</v>
      </c>
      <c r="F8" s="9" t="str">
        <f>IF(B8="不适用","未通过",IF(NOT(ISNUMBER(B8)),IF(B8="无法计算","待判断","未通过"),IF(B8&gt;=D8,"通过","未通过")))</f>
        <v>未通过</v>
      </c>
      <c r="G8" s="9" t="str">
        <f>IF(E8="不适用","未通过",IF(NOT(ISNUMBER(E8)),IF(E8="无法计算","待判断","未通过"),IF(E8&gt;=D8,"通过","未通过")))</f>
        <v>未通过</v>
      </c>
      <c r="H8" s="30" t="s">
        <v>309</v>
      </c>
      <c r="I8" s="30"/>
      <c r="J8" s="30"/>
      <c r="K8" s="30"/>
      <c r="L8" s="30"/>
    </row>
    <row r="9" spans="1:12" ht="21" customHeight="1">
      <c r="A9" s="8" t="s">
        <v>25</v>
      </c>
      <c r="B9" s="9">
        <f>NPV((1+核心参数输入!$B$72)^(1/4)-1,季度现金流!$E$47:INDEX(季度现金流!$D$47:$DT$47,1,核心参数输入!$B$9*4+1))+季度现金流!D47</f>
        <v>-18467.837126749066</v>
      </c>
      <c r="C9" s="8" t="s">
        <v>39</v>
      </c>
      <c r="D9" s="9">
        <f>0</f>
        <v>0</v>
      </c>
      <c r="E9" s="9">
        <f>NPV((1+核心参数输入!$B$72)^(1/4)-1,季度现金流!$E$157:INDEX(季度现金流!$D$157:$DT$157,1,核心参数输入!$B$9*4+1))+季度现金流!D157</f>
        <v>-27195.961586091191</v>
      </c>
      <c r="F9" s="9" t="str">
        <f>IF(B9="不适用","未通过",IF(NOT(ISNUMBER(B9)),IF(B9="无法计算","待判断","未通过"),IF(B9&gt;=D9,"通过","未通过")))</f>
        <v>未通过</v>
      </c>
      <c r="G9" s="9" t="str">
        <f>IF(E9="不适用","未通过",IF(NOT(ISNUMBER(E9)),IF(E9="无法计算","待判断","未通过"),IF(E9&gt;=D9,"通过","未通过")))</f>
        <v>未通过</v>
      </c>
      <c r="H9" s="9"/>
      <c r="I9" s="9"/>
      <c r="J9" s="9"/>
      <c r="K9" s="9"/>
      <c r="L9" s="9"/>
    </row>
    <row r="10" spans="1:12" ht="21" customHeight="1">
      <c r="A10" s="8" t="s">
        <v>26</v>
      </c>
      <c r="B10" s="9" t="str">
        <f>IF(COUNTIFS(季度现金流!$D$45:INDEX(季度现金流!$D$45:$DT$45,1,核心参数输入!$B$9*4+1),"&lt;0")=0,"不适用",IF(COUNTIFS(季度现金流!$D$71:INDEX(季度现金流!$D$71:$DT$71,1,核心参数输入!$B$9*4+1),1)=0,"测算期内未回收",(MATCH(1,季度现金流!$D$71:INDEX(季度现金流!$D$71:$DT$71,1,核心参数输入!$B$9*4+1),0)-2-INDEX(季度现金流!$D$68:$DT$68,1,MAX(1,MATCH(1,季度现金流!$D$71:INDEX(季度现金流!$D$71:$DT$71,1,核心参数输入!$B$9*4+1),0)-1))/INDEX(季度现金流!$D$45:$DT$45,1,MATCH(1,季度现金流!$D$71:INDEX(季度现金流!$D$71:$DT$71,1,核心参数输入!$B$9*4+1),0)))/4))</f>
        <v>测算期内未回收</v>
      </c>
      <c r="C10" s="8" t="s">
        <v>65</v>
      </c>
      <c r="D10" s="9">
        <f>核心参数输入!$B$73</f>
        <v>15</v>
      </c>
      <c r="E10" s="9" t="str">
        <f>IF(COUNTIFS(季度现金流!$D$155:INDEX(季度现金流!$D$155:$DT$155,1,核心参数输入!$B$9*4+1),"&lt;0")=0,"不适用",IF(COUNTIFS(季度现金流!$D$181:INDEX(季度现金流!$D$181:$DT$181,1,核心参数输入!$B$9*4+1),1)=0,"测算期内未回收",(MATCH(1,季度现金流!$D$181:INDEX(季度现金流!$D$181:$DT$181,1,核心参数输入!$B$9*4+1),0)-2-INDEX(季度现金流!$D$178:$DT$178,1,MAX(1,MATCH(1,季度现金流!$D$181:INDEX(季度现金流!$D$181:$DT$181,1,核心参数输入!$B$9*4+1),0)-1))/INDEX(季度现金流!$D$155:$DT$155,1,MATCH(1,季度现金流!$D$181:INDEX(季度现金流!$D$181:$DT$181,1,核心参数输入!$B$9*4+1),0)))/4))</f>
        <v>测算期内未回收</v>
      </c>
      <c r="F10" s="9" t="str">
        <f>IF(B10="不适用","未通过",IF(NOT(ISNUMBER(B10)),IF(B10="无法计算","待判断","未通过"),IF(B10&lt;=D10,"通过","未通过")))</f>
        <v>未通过</v>
      </c>
      <c r="G10" s="9" t="str">
        <f>IF(E10="不适用","未通过",IF(NOT(ISNUMBER(E10)),IF(E10="无法计算","待判断","未通过"),IF(E10&lt;=D10,"通过","未通过")))</f>
        <v>未通过</v>
      </c>
      <c r="H10" s="30" t="s">
        <v>310</v>
      </c>
      <c r="I10" s="30"/>
      <c r="J10" s="30"/>
      <c r="K10" s="30"/>
      <c r="L10" s="30"/>
    </row>
    <row r="11" spans="1:12" ht="21" customHeight="1">
      <c r="A11" s="8" t="s">
        <v>27</v>
      </c>
      <c r="B11" s="9" t="str">
        <f>IF(COUNTIFS(季度现金流!$D$69:INDEX(季度现金流!$D$69:$DT$69,1,核心参数输入!$B$9*4+1),"&lt;0")=0,"不适用",IF(COUNTIFS(季度现金流!$D$72:INDEX(季度现金流!$D$72:$DT$72,1,核心参数输入!$B$9*4+1),1)=0,"测算期内未回收",(MATCH(1,季度现金流!$D$72:INDEX(季度现金流!$D$72:$DT$72,1,核心参数输入!$B$9*4+1),0)-2-INDEX(季度现金流!$D$70:$DT$70,1,MAX(1,MATCH(1,季度现金流!$D$72:INDEX(季度现金流!$D$72:$DT$72,1,核心参数输入!$B$9*4+1),0)-1))/INDEX(季度现金流!$D$69:$DT$69,1,MATCH(1,季度现金流!$D$72:INDEX(季度现金流!$D$72:$DT$72,1,核心参数输入!$B$9*4+1),0)))/4))</f>
        <v>测算期内未回收</v>
      </c>
      <c r="C11" s="8" t="s">
        <v>65</v>
      </c>
      <c r="D11" s="9">
        <f>核心参数输入!$B$74</f>
        <v>20</v>
      </c>
      <c r="E11" s="9" t="str">
        <f>IF(COUNTIFS(季度现金流!$D$179:INDEX(季度现金流!$D$179:$DT$179,1,核心参数输入!$B$9*4+1),"&lt;0")=0,"不适用",IF(COUNTIFS(季度现金流!$D$182:INDEX(季度现金流!$D$182:$DT$182,1,核心参数输入!$B$9*4+1),1)=0,"测算期内未回收",(MATCH(1,季度现金流!$D$182:INDEX(季度现金流!$D$182:$DT$182,1,核心参数输入!$B$9*4+1),0)-2-INDEX(季度现金流!$D$180:$DT$180,1,MAX(1,MATCH(1,季度现金流!$D$182:INDEX(季度现金流!$D$182:$DT$182,1,核心参数输入!$B$9*4+1),0)-1))/INDEX(季度现金流!$D$179:$DT$179,1,MATCH(1,季度现金流!$D$182:INDEX(季度现金流!$D$182:$DT$182,1,核心参数输入!$B$9*4+1),0)))/4))</f>
        <v>测算期内未回收</v>
      </c>
      <c r="F11" s="9" t="str">
        <f>IF(B11="不适用","未通过",IF(NOT(ISNUMBER(B11)),IF(B11="无法计算","待判断","未通过"),IF(B11&lt;=D11,"通过","未通过")))</f>
        <v>未通过</v>
      </c>
      <c r="G11" s="9" t="str">
        <f>IF(E11="不适用","未通过",IF(NOT(ISNUMBER(E11)),IF(E11="无法计算","待判断","未通过"),IF(E11&lt;=D11,"通过","未通过")))</f>
        <v>未通过</v>
      </c>
      <c r="H11" s="9"/>
      <c r="I11" s="9"/>
      <c r="J11" s="9"/>
      <c r="K11" s="9"/>
      <c r="L11" s="9"/>
    </row>
    <row r="12" spans="1:12" ht="21" customHeight="1">
      <c r="A12" s="8" t="s">
        <v>28</v>
      </c>
      <c r="B12" s="9">
        <f>IF(核心参数输入!$B$57=0,"不适用",IF(COUNT(年度汇总!$D$24:$AH$24)=0,"无法计算",MIN(年度汇总!$D$42:$AH$42)))</f>
        <v>0.21197152733052768</v>
      </c>
      <c r="C12" s="8" t="s">
        <v>73</v>
      </c>
      <c r="D12" s="9">
        <f>核心参数输入!$B$75</f>
        <v>1.2</v>
      </c>
      <c r="E12" s="9">
        <f>IF(核心参数输入!$B$57=0,"不适用",IF(COUNT(年度汇总!$D$84:$AH$84)=0,"无法计算",MIN(年度汇总!$D$102:$AH$102)))</f>
        <v>0.14850575361696278</v>
      </c>
      <c r="F12" s="9" t="str">
        <f>IF(B12="不适用","通过",IF(NOT(ISNUMBER(B12)),IF(B12="无法计算","待判断","未通过"),IF(B12&gt;=D12,"通过","未通过")))</f>
        <v>未通过</v>
      </c>
      <c r="G12" s="9" t="str">
        <f>IF(E12="不适用","通过",IF(NOT(ISNUMBER(E12)),IF(E12="无法计算","待判断","未通过"),IF(E12&gt;=D12,"通过","未通过")))</f>
        <v>未通过</v>
      </c>
      <c r="H12" s="30" t="s">
        <v>311</v>
      </c>
      <c r="I12" s="30"/>
      <c r="J12" s="30"/>
      <c r="K12" s="30"/>
      <c r="L12" s="30"/>
    </row>
    <row r="13" spans="1:12" ht="21" customHeight="1">
      <c r="A13" s="8" t="s">
        <v>29</v>
      </c>
      <c r="B13" s="9">
        <f>SUM(季度现金流!$D$49:INDEX(季度现金流!$D$49:$DT$49,1,核心参数输入!$B$9*4+1))</f>
        <v>32810</v>
      </c>
      <c r="C13" s="8" t="s">
        <v>39</v>
      </c>
      <c r="D13" s="9">
        <f>核心参数输入!$B$61</f>
        <v>33000</v>
      </c>
      <c r="E13" s="9">
        <f>SUM(季度现金流!$D$159:INDEX(季度现金流!$D$159:$DT$159,1,核心参数输入!$B$9*4+1))</f>
        <v>38102.000000000007</v>
      </c>
      <c r="F13" s="9" t="str">
        <f>IF(B13="不适用","未通过",IF(NOT(ISNUMBER(B13)),IF(B13="无法计算","待判断","未通过"),IF(B13&lt;=D13+0.01,"通过","未通过")))</f>
        <v>通过</v>
      </c>
      <c r="G13" s="9" t="str">
        <f>IF(E13="不适用","未通过",IF(NOT(ISNUMBER(E13)),IF(E13="无法计算","待判断","未通过"),IF(E13&lt;=D13+0.01,"通过","未通过")))</f>
        <v>未通过</v>
      </c>
      <c r="H13" s="9"/>
      <c r="I13" s="9"/>
      <c r="J13" s="9"/>
      <c r="K13" s="9"/>
      <c r="L13" s="9"/>
    </row>
    <row r="14" spans="1:12" ht="21" customHeight="1">
      <c r="A14" s="8" t="s">
        <v>30</v>
      </c>
      <c r="B14" s="9">
        <f>MAX(季度现金流!$D$58:INDEX(季度现金流!$D$58:$DT$58,1,核心参数输入!$B$9*4+1))</f>
        <v>0</v>
      </c>
      <c r="C14" s="8" t="s">
        <v>39</v>
      </c>
      <c r="D14" s="9">
        <f>0</f>
        <v>0</v>
      </c>
      <c r="E14" s="9">
        <f>MAX(季度现金流!$D$168:INDEX(季度现金流!$D$168:$DT$168,1,核心参数输入!$B$9*4+1))</f>
        <v>5102.0000000000018</v>
      </c>
      <c r="F14" s="9" t="str">
        <f>IF(B14="不适用","未通过",IF(NOT(ISNUMBER(B14)),IF(B14="无法计算","待判断","未通过"),IF(ABS(B14)&lt;=0.01,"通过","未通过")))</f>
        <v>通过</v>
      </c>
      <c r="G14" s="9" t="str">
        <f>IF(E14="不适用","未通过",IF(NOT(ISNUMBER(E14)),IF(E14="无法计算","待判断","未通过"),IF(ABS(E14)&lt;=0.01,"通过","未通过")))</f>
        <v>未通过</v>
      </c>
      <c r="H14" s="9"/>
      <c r="I14" s="9"/>
      <c r="J14" s="9"/>
      <c r="K14" s="9"/>
      <c r="L14" s="9"/>
    </row>
    <row r="15" spans="1:12" ht="21" customHeight="1">
      <c r="A15" s="8" t="s">
        <v>31</v>
      </c>
      <c r="B15" s="9">
        <f>IF(核心参数输入!$B$57=0,0,IF(季度投融资!$B$29&gt;核心参数输入!$B$9*4,"无法计算",INDEX(季度投融资!$D$43:$DT$43,1,MIN(121,季度投融资!$B$29+1))))</f>
        <v>0</v>
      </c>
      <c r="C15" s="8" t="s">
        <v>39</v>
      </c>
      <c r="D15" s="9">
        <f>0</f>
        <v>0</v>
      </c>
      <c r="E15" s="9">
        <f>IF(核心参数输入!$B$57=0,0,IF(季度投融资!$E$29&gt;核心参数输入!$B$9*4,"无法计算",INDEX(季度投融资!$D$153:$DT$153,1,MIN(121,季度投融资!$E$29+1))))</f>
        <v>0</v>
      </c>
      <c r="F15" s="9" t="str">
        <f>IF(B15="不适用","未通过",IF(NOT(ISNUMBER(B15)),IF(B15="无法计算","待判断","未通过"),IF(ABS(B15)&lt;=0.01,"通过","未通过")))</f>
        <v>通过</v>
      </c>
      <c r="G15" s="9" t="str">
        <f>IF(E15="不适用","未通过",IF(NOT(ISNUMBER(E15)),IF(E15="无法计算","待判断","未通过"),IF(ABS(E15)&lt;=0.01,"通过","未通过")))</f>
        <v>通过</v>
      </c>
      <c r="H15" s="30" t="s">
        <v>312</v>
      </c>
      <c r="I15" s="30"/>
      <c r="J15" s="30"/>
      <c r="K15" s="30"/>
      <c r="L15" s="30"/>
    </row>
    <row r="16" spans="1:12" ht="21" customHeight="1">
      <c r="A16" s="8" t="s">
        <v>313</v>
      </c>
      <c r="B16" s="9">
        <f>季度投融资!$B$21</f>
        <v>63310</v>
      </c>
      <c r="C16" s="8" t="s">
        <v>39</v>
      </c>
      <c r="D16" s="9"/>
      <c r="E16" s="9">
        <f>季度投融资!$E$21</f>
        <v>68602</v>
      </c>
      <c r="F16" s="9"/>
      <c r="G16" s="9"/>
      <c r="H16" s="9"/>
      <c r="I16" s="9"/>
      <c r="J16" s="9"/>
      <c r="K16" s="9"/>
      <c r="L16" s="9"/>
    </row>
    <row r="17" spans="1:12" ht="21" customHeight="1">
      <c r="A17" s="8" t="s">
        <v>314</v>
      </c>
      <c r="B17" s="9">
        <f>核心参数输入!$B$57</f>
        <v>30000</v>
      </c>
      <c r="C17" s="8" t="s">
        <v>39</v>
      </c>
      <c r="D17" s="9"/>
      <c r="E17" s="9">
        <f>核心参数输入!$B$57</f>
        <v>30000</v>
      </c>
      <c r="F17" s="9"/>
      <c r="G17" s="9"/>
      <c r="H17" s="9"/>
      <c r="I17" s="9"/>
      <c r="J17" s="9"/>
      <c r="K17" s="9"/>
      <c r="L17" s="9"/>
    </row>
    <row r="18" spans="1:12" ht="21" customHeight="1">
      <c r="A18" s="8" t="s">
        <v>315</v>
      </c>
      <c r="B18" s="9">
        <f>核心参数输入!$B$61</f>
        <v>33000</v>
      </c>
      <c r="C18" s="8" t="s">
        <v>39</v>
      </c>
      <c r="D18" s="9"/>
      <c r="E18" s="9">
        <f>核心参数输入!$B$61</f>
        <v>33000</v>
      </c>
      <c r="F18" s="9"/>
      <c r="G18" s="9"/>
      <c r="H18" s="9"/>
      <c r="I18" s="9"/>
      <c r="J18" s="9"/>
      <c r="K18" s="9"/>
      <c r="L18" s="9"/>
    </row>
    <row r="19" spans="1:12" ht="21" customHeight="1">
      <c r="A19" s="8" t="s">
        <v>316</v>
      </c>
      <c r="B19" s="22">
        <f>SUM(季度计划!$D$15:INDEX(季度计划!$D$15:$DT$15,1,核心参数输入!$B$9*4+1))</f>
        <v>0.99999999999999978</v>
      </c>
      <c r="C19" s="8" t="s">
        <v>38</v>
      </c>
      <c r="D19" s="9"/>
      <c r="E19" s="22">
        <f>SUM(季度计划!$D$125:INDEX(季度计划!$D$125:$DT$125,1,核心参数输入!$B$9*4+1))</f>
        <v>0.99999999999999978</v>
      </c>
      <c r="F19" s="9"/>
      <c r="G19" s="9"/>
      <c r="H19" s="9"/>
      <c r="I19" s="9"/>
      <c r="J19" s="9"/>
      <c r="K19" s="9"/>
      <c r="L19" s="9"/>
    </row>
    <row r="20" spans="1:12" ht="21" customHeight="1">
      <c r="A20" s="8" t="s">
        <v>317</v>
      </c>
      <c r="B20" s="9" t="str">
        <f>IF(核心参数输入!$B$142=0,"不适用",IF(B19&lt;0.999999,"期内未完成",INDEX(季度计划!$D$5:$DT$5,1,MATCH(1,指标与情景!$D$90:$DT$90,0))))</f>
        <v>2032Q4</v>
      </c>
      <c r="C20" s="8" t="s">
        <v>36</v>
      </c>
      <c r="D20" s="9"/>
      <c r="E20" s="9" t="str">
        <f>IF(核心参数输入!$B$142=0,"不适用",IF(E19&lt;0.999999,"期内未完成",INDEX(季度计划!$D$5:$DT$5,1,MATCH(1,指标与情景!$D$200:$DT$200,0))))</f>
        <v>2032Q4</v>
      </c>
      <c r="F20" s="9"/>
      <c r="G20" s="9"/>
      <c r="H20" s="9"/>
      <c r="I20" s="9"/>
      <c r="J20" s="9"/>
      <c r="K20" s="9"/>
      <c r="L20" s="9"/>
    </row>
    <row r="21" spans="1:12" ht="21" customHeight="1">
      <c r="A21" s="8" t="s">
        <v>318</v>
      </c>
      <c r="B21" s="9">
        <f>(核心参数输入!$B$10*核心参数输入!$B$11*核心参数输入!$B$12*核心参数输入!$B$143)</f>
        <v>60749.999999999993</v>
      </c>
      <c r="C21" s="8" t="s">
        <v>70</v>
      </c>
      <c r="D21" s="9"/>
      <c r="E21" s="9">
        <f>(核心参数输入!$B$10*核心参数输入!$B$11*核心参数输入!$B$12*核心参数输入!$B$143)</f>
        <v>60749.999999999993</v>
      </c>
      <c r="F21" s="9"/>
      <c r="G21" s="9"/>
      <c r="H21" s="9"/>
      <c r="I21" s="9"/>
      <c r="J21" s="9"/>
      <c r="K21" s="9"/>
      <c r="L21" s="9"/>
    </row>
    <row r="22" spans="1:12" ht="21" customHeight="1">
      <c r="A22" s="8" t="s">
        <v>319</v>
      </c>
      <c r="B22" s="22">
        <f>IF(OR((核心参数输入!$B$10*核心参数输入!$B$11*核心参数输入!$B$12*核心参数输入!$B$143)=0,核心参数输入!$B$9&lt;核心参数输入!$B$18+3+INT((核心参数输入!$B$148)/4)),"不适用",IF(((核心参数输入!$B$10*核心参数输入!$B$11*核心参数输入!$B$12*核心参数输入!$B$143)*INDEX(季度经营税费!$D$20:$DT$20,1,MIN(核心参数输入!$B$9*4,(核心参数输入!$B$18+3)*4+核心参数输入!$B$148)+1)*12/10000)*(核心参数输入!$B$43*(1+核心参数输入!$B$44)*(1-核心参数输入!$B$49)/(1+IF(核心参数输入!$B$96=2,核心参数输入!$B$119,0))-(1+核心参数输入!$B$43*核心参数输入!$B$44)*IF(核心参数输入!$B$96=1,核心参数输入!$B$51,核心参数输入!$B$122))&lt;=0,"无法计算",(INDEX(季度经营税费!$D$37:$DT$37,1,MIN(核心参数输入!$B$9*4,(核心参数输入!$B$18+3)*4+核心参数输入!$B$148)+1)*4+核心参数输入!$B$50*(核心参数输入!$B$10*核心参数输入!$B$11*核心参数输入!$B$12*核心参数输入!$B$143)/MAX(1,核心参数输入!$B$108))/(((核心参数输入!$B$10*核心参数输入!$B$11*核心参数输入!$B$12*核心参数输入!$B$143)*INDEX(季度经营税费!$D$20:$DT$20,1,MIN(核心参数输入!$B$9*4,(核心参数输入!$B$18+3)*4+核心参数输入!$B$148)+1)*12/10000)*(核心参数输入!$B$43*(1+核心参数输入!$B$44)*(1-核心参数输入!$B$49)/(1+IF(核心参数输入!$B$96=2,核心参数输入!$B$119,0))-(1+核心参数输入!$B$43*核心参数输入!$B$44)*IF(核心参数输入!$B$96=1,核心参数输入!$B$51,核心参数输入!$B$122)))))</f>
        <v>0.29842494284342885</v>
      </c>
      <c r="C22" s="8" t="s">
        <v>38</v>
      </c>
      <c r="D22" s="9"/>
      <c r="E22" s="22">
        <f>IF(OR((核心参数输入!$B$10*核心参数输入!$B$11*核心参数输入!$B$12*核心参数输入!$B$143)=0,核心参数输入!$B$9&lt;核心参数输入!$B$18+3+INT((核心参数输入!$B$148+核心参数输入!$B$124)/4)),"不适用",IF(((核心参数输入!$B$10*核心参数输入!$B$11*核心参数输入!$B$12*核心参数输入!$B$143)*INDEX(季度经营税费!$D$130:$DT$130,1,MIN(核心参数输入!$B$9*4,(核心参数输入!$B$18+3)*4+核心参数输入!$B$148+核心参数输入!$B$124)+1)*12/10000)*(核心参数输入!$B$43*(1+核心参数输入!$B$44)*(1-核心参数输入!$B$49)/(1+IF(核心参数输入!$B$96=2,核心参数输入!$B$119,0))-(1+核心参数输入!$B$43*核心参数输入!$B$44)*IF(核心参数输入!$B$96=1,核心参数输入!$B$51,核心参数输入!$B$122))&lt;=0,"无法计算",(INDEX(季度经营税费!$D$147:$DT$147,1,MIN(核心参数输入!$B$9*4,(核心参数输入!$B$18+3)*4+核心参数输入!$B$148+核心参数输入!$B$124)+1)*4+核心参数输入!$B$50*(核心参数输入!$B$10*核心参数输入!$B$11*核心参数输入!$B$12*核心参数输入!$B$143)/MAX(1,核心参数输入!$B$108))/(((核心参数输入!$B$10*核心参数输入!$B$11*核心参数输入!$B$12*核心参数输入!$B$143)*INDEX(季度经营税费!$D$130:$DT$130,1,MIN(核心参数输入!$B$9*4,(核心参数输入!$B$18+3)*4+核心参数输入!$B$148+核心参数输入!$B$124)+1)*12/10000)*(核心参数输入!$B$43*(1+核心参数输入!$B$44)*(1-核心参数输入!$B$49)/(1+IF(核心参数输入!$B$96=2,核心参数输入!$B$119,0))-(1+核心参数输入!$B$43*核心参数输入!$B$44)*IF(核心参数输入!$B$96=1,核心参数输入!$B$51,核心参数输入!$B$122)))))</f>
        <v>0.33158326982603209</v>
      </c>
      <c r="F22" s="9"/>
      <c r="G22" s="9"/>
      <c r="H22" s="30" t="s">
        <v>320</v>
      </c>
      <c r="I22" s="30"/>
      <c r="J22" s="30"/>
      <c r="K22" s="30"/>
      <c r="L22" s="30"/>
    </row>
    <row r="23" spans="1:12" ht="21" customHeight="1">
      <c r="A23" s="8" t="s">
        <v>321</v>
      </c>
      <c r="B23" s="22">
        <f>IF(OR((核心参数输入!$B$10*核心参数输入!$B$11*核心参数输入!$B$12*核心参数输入!$B$143)=0,季度投融资!$B$27=0,核心参数输入!$B$9&lt;核心参数输入!$B$18+3+INT((核心参数输入!$B$148)/4)),"不适用",INDEX(季度经营税费!$D$70:$DT$70,1,MIN(核心参数输入!$B$9*4,(核心参数输入!$B$18+3)*4+核心参数输入!$B$148)+1)*4/季度投融资!$B$27)</f>
        <v>3.3836975344274968E-2</v>
      </c>
      <c r="C23" s="8" t="s">
        <v>38</v>
      </c>
      <c r="D23" s="9"/>
      <c r="E23" s="22">
        <f>IF(OR((核心参数输入!$B$10*核心参数输入!$B$11*核心参数输入!$B$12*核心参数输入!$B$143)=0,季度投融资!$E$27=0,核心参数输入!$B$9&lt;核心参数输入!$B$18+3+INT((核心参数输入!$B$148+核心参数输入!$B$124)/4)),"不适用",INDEX(季度经营税费!$D$180:$DT$180,1,MIN(核心参数输入!$B$9*4,(核心参数输入!$B$18+3)*4+核心参数输入!$B$148+核心参数输入!$B$124)+1)*4/季度投融资!$E$27)</f>
        <v>2.1699140413747917E-2</v>
      </c>
      <c r="F23" s="9"/>
      <c r="G23" s="9"/>
      <c r="H23" s="30" t="s">
        <v>322</v>
      </c>
      <c r="I23" s="30"/>
      <c r="J23" s="30"/>
      <c r="K23" s="30"/>
      <c r="L23" s="30"/>
    </row>
    <row r="24" spans="1:12" ht="21" customHeight="1">
      <c r="A24" s="8" t="s">
        <v>323</v>
      </c>
      <c r="B24" s="22">
        <f>IF(SUM(季度经营税费!$D$68:INDEX(季度经营税费!$D$68:$DT$68,1,核心参数输入!$B$9*4+1))+SUM(季度经营税费!$D$59:INDEX(季度经营税费!$D$59:$DT$59,1,核心参数输入!$B$9*4+1))=0,"不适用",IF(核心参数输入!$B$64=1,SUM(季度经营税费!$D$59:INDEX(季度经营税费!$D$59:$DT$59,1,核心参数输入!$B$9*4+1))/(SUM(季度经营税费!$D$68:INDEX(季度经营税费!$D$68:$DT$68,1,核心参数输入!$B$9*4+1))+SUM(季度经营税费!$D$59:INDEX(季度经营税费!$D$59:$DT$59,1,核心参数输入!$B$9*4+1))),0))</f>
        <v>0</v>
      </c>
      <c r="C24" s="8" t="s">
        <v>38</v>
      </c>
      <c r="D24" s="9"/>
      <c r="E24" s="22">
        <f>IF(SUM(季度经营税费!$D$178:INDEX(季度经营税费!$D$178:$DT$178,1,核心参数输入!$B$9*4+1))+SUM(季度经营税费!$D$169:INDEX(季度经营税费!$D$169:$DT$169,1,核心参数输入!$B$9*4+1))=0,"不适用",IF(核心参数输入!$B$64=1,SUM(季度经营税费!$D$169:INDEX(季度经营税费!$D$169:$DT$169,1,核心参数输入!$B$9*4+1))/(SUM(季度经营税费!$D$178:INDEX(季度经营税费!$D$178:$DT$178,1,核心参数输入!$B$9*4+1))+SUM(季度经营税费!$D$169:INDEX(季度经营税费!$D$169:$DT$169,1,核心参数输入!$B$9*4+1))),0))</f>
        <v>0</v>
      </c>
      <c r="F24" s="9"/>
      <c r="G24" s="9"/>
      <c r="H24" s="9"/>
      <c r="I24" s="9"/>
      <c r="J24" s="9"/>
      <c r="K24" s="9"/>
      <c r="L24" s="9"/>
    </row>
    <row r="25" spans="1:12" ht="21" customHeight="1">
      <c r="A25" s="8" t="s">
        <v>324</v>
      </c>
      <c r="B25" s="9" t="str">
        <f>IF(SUM(季度现金流!$D$64:INDEX(季度现金流!$D$64:$DT$64,1,核心参数输入!$B$9*4+1))&gt;1,"多次变号，IRR需结合NPV审视","单次变号或无变号")</f>
        <v>单次变号或无变号</v>
      </c>
      <c r="C25" s="8" t="s">
        <v>36</v>
      </c>
      <c r="D25" s="9"/>
      <c r="E25" s="9" t="str">
        <f>IF(SUM(季度现金流!$D$174:INDEX(季度现金流!$D$174:$DT$174,1,核心参数输入!$B$9*4+1))&gt;1,"多次变号，IRR需结合NPV审视","单次变号或无变号")</f>
        <v>单次变号或无变号</v>
      </c>
      <c r="F25" s="9"/>
      <c r="G25" s="9"/>
      <c r="H25" s="9"/>
      <c r="I25" s="9"/>
      <c r="J25" s="9"/>
      <c r="K25" s="9"/>
      <c r="L25" s="9"/>
    </row>
    <row r="26" spans="1:12" ht="21" customHeight="1">
      <c r="A26" s="8" t="s">
        <v>325</v>
      </c>
      <c r="B26" s="9" t="str">
        <f>IF(SUM(季度现金流!$D$75:INDEX(季度现金流!$D$75:$DT$75,1,核心参数输入!$B$9*4+1))&gt;1,"多次变号，IRR需结合NPV审视","单次变号或无变号")</f>
        <v>单次变号或无变号</v>
      </c>
      <c r="C26" s="8" t="s">
        <v>36</v>
      </c>
      <c r="D26" s="9"/>
      <c r="E26" s="9" t="str">
        <f>IF(SUM(季度现金流!$D$185:INDEX(季度现金流!$D$185:$DT$185,1,核心参数输入!$B$9*4+1))&gt;1,"多次变号，IRR需结合NPV审视","单次变号或无变号")</f>
        <v>单次变号或无变号</v>
      </c>
      <c r="F26" s="9"/>
      <c r="G26" s="9"/>
      <c r="H26" s="9"/>
      <c r="I26" s="9"/>
      <c r="J26" s="9"/>
      <c r="K26" s="9"/>
      <c r="L26" s="9"/>
    </row>
    <row r="27" spans="1:12" ht="21" customHeight="1">
      <c r="A27" s="8" t="s">
        <v>326</v>
      </c>
      <c r="B27" s="9" t="str">
        <f>IF(B14&gt;0.01,"理论收益，资金尚未落实","完整出资、留存后分配口径")</f>
        <v>完整出资、留存后分配口径</v>
      </c>
      <c r="C27" s="8" t="s">
        <v>36</v>
      </c>
      <c r="D27" s="9"/>
      <c r="E27" s="9" t="str">
        <f>IF(E14&gt;0.01,"理论收益，资金尚未落实","完整出资、留存后分配口径")</f>
        <v>理论收益，资金尚未落实</v>
      </c>
      <c r="F27" s="9"/>
      <c r="G27" s="9"/>
      <c r="H27" s="9"/>
      <c r="I27" s="9"/>
      <c r="J27" s="9"/>
      <c r="K27" s="9"/>
      <c r="L27" s="9"/>
    </row>
    <row r="28" spans="1:12" ht="21" customHeight="1">
      <c r="A28" s="8" t="s">
        <v>327</v>
      </c>
      <c r="B28" s="9">
        <f>IF(核心参数输入!$B$9&gt;=核心参数输入!$B$18+3+INT((核心参数输入!$B$148)/4),核心参数输入!$B$18+3+INT((核心参数输入!$B$148)/4),"未覆盖稳定观察年")</f>
        <v>7</v>
      </c>
      <c r="C28" s="8" t="s">
        <v>65</v>
      </c>
      <c r="D28" s="9"/>
      <c r="E28" s="9">
        <f>IF(核心参数输入!$B$9&gt;=核心参数输入!$B$18+3+INT((核心参数输入!$B$148+核心参数输入!$B$124)/4),核心参数输入!$B$18+3+INT((核心参数输入!$B$148+核心参数输入!$B$124)/4),"未覆盖稳定观察年")</f>
        <v>7</v>
      </c>
      <c r="F28" s="9"/>
      <c r="G28" s="9"/>
      <c r="H28" s="9"/>
      <c r="I28" s="9"/>
      <c r="J28" s="9"/>
      <c r="K28" s="9"/>
      <c r="L28" s="9"/>
    </row>
    <row r="29" spans="1:12" ht="21" customHeight="1">
      <c r="A29" s="8" t="s">
        <v>328</v>
      </c>
      <c r="B29" s="9">
        <f>MAX(季度现金流!$D$77:INDEX(季度现金流!$D$77:$DT$77,1,核心参数输入!$B$9*4+1))</f>
        <v>62810</v>
      </c>
      <c r="C29" s="8" t="s">
        <v>39</v>
      </c>
      <c r="D29" s="9"/>
      <c r="E29" s="9">
        <f>MAX(季度现金流!$D$187:INDEX(季度现金流!$D$187:$DT$187,1,核心参数输入!$B$9*4+1))</f>
        <v>68102</v>
      </c>
      <c r="F29" s="9"/>
      <c r="G29" s="9"/>
      <c r="H29" s="30" t="s">
        <v>329</v>
      </c>
      <c r="I29" s="30"/>
      <c r="J29" s="30"/>
      <c r="K29" s="30"/>
      <c r="L29" s="30"/>
    </row>
    <row r="30" spans="1:12" ht="21" customHeight="1">
      <c r="A30" s="8" t="s">
        <v>330</v>
      </c>
      <c r="B30" s="9" t="str">
        <f>INDEX(季度计划!$D$5:$DT$5,1,MATCH(MAX(季度现金流!$D$77:INDEX(季度现金流!$D$77:$DT$77,1,核心参数输入!$B$9*4+1)),季度现金流!$D$77:INDEX(季度现金流!$D$77:$DT$77,1,核心参数输入!$B$9*4+1),0))</f>
        <v>2029Q4</v>
      </c>
      <c r="C30" s="8" t="s">
        <v>36</v>
      </c>
      <c r="D30" s="9"/>
      <c r="E30" s="9" t="str">
        <f>INDEX(季度计划!$D$5:$DT$5,1,MATCH(MAX(季度现金流!$D$187:INDEX(季度现金流!$D$187:$DT$187,1,核心参数输入!$B$9*4+1)),季度现金流!$D$187:INDEX(季度现金流!$D$187:$DT$187,1,核心参数输入!$B$9*4+1),0))</f>
        <v>2029Q4</v>
      </c>
      <c r="F30" s="9"/>
      <c r="G30" s="9"/>
      <c r="H30" s="9"/>
      <c r="I30" s="9"/>
      <c r="J30" s="9"/>
      <c r="K30" s="9"/>
      <c r="L30" s="9"/>
    </row>
    <row r="31" spans="1:12" ht="21" customHeight="1">
      <c r="A31" s="8" t="s">
        <v>331</v>
      </c>
      <c r="B31" s="9" t="str">
        <f>IF(B14&lt;=0.01,"无未落实缺口",INDEX(季度计划!$D$5:$DT$5,1,MATCH(MAX(季度现金流!$D$58:INDEX(季度现金流!$D$58:$DT$58,1,核心参数输入!$B$9*4+1)),季度现金流!$D$58:INDEX(季度现金流!$D$58:$DT$58,1,核心参数输入!$B$9*4+1),0)))</f>
        <v>无未落实缺口</v>
      </c>
      <c r="C31" s="8" t="s">
        <v>36</v>
      </c>
      <c r="D31" s="9"/>
      <c r="E31" s="9" t="str">
        <f>IF(E14&lt;=0.01,"无未落实缺口",INDEX(季度计划!$D$5:$DT$5,1,MATCH(MAX(季度现金流!$D$168:INDEX(季度现金流!$D$168:$DT$168,1,核心参数输入!$B$9*4+1)),季度现金流!$D$168:INDEX(季度现金流!$D$168:$DT$168,1,核心参数输入!$B$9*4+1),0)))</f>
        <v>2029Q4</v>
      </c>
      <c r="F31" s="9"/>
      <c r="G31" s="9"/>
      <c r="H31" s="9"/>
      <c r="I31" s="9"/>
      <c r="J31" s="9"/>
      <c r="K31" s="9"/>
      <c r="L31" s="9"/>
    </row>
    <row r="32" spans="1:12" ht="21" customHeight="1">
      <c r="A32" s="8" t="s">
        <v>332</v>
      </c>
      <c r="B32" s="9" t="str">
        <f>INDEX(季度计划!$D$5:$DT$5,1,MATCH(MAX(季度现金流!$D$79:INDEX(季度现金流!$D$79:$DT$79,1,核心参数输入!$B$9*4+1)),季度现金流!$D$79:INDEX(季度现金流!$D$79:$DT$79,1,核心参数输入!$B$9*4+1),0))</f>
        <v>2029Q4</v>
      </c>
      <c r="C32" s="8" t="s">
        <v>36</v>
      </c>
      <c r="D32" s="9"/>
      <c r="E32" s="9" t="str">
        <f>INDEX(季度计划!$D$5:$DT$5,1,MATCH(MAX(季度现金流!$D$189:INDEX(季度现金流!$D$189:$DT$189,1,核心参数输入!$B$9*4+1)),季度现金流!$D$189:INDEX(季度现金流!$D$189:$DT$189,1,核心参数输入!$B$9*4+1),0))</f>
        <v>2029Q4</v>
      </c>
      <c r="F32" s="9"/>
      <c r="G32" s="9"/>
      <c r="H32" s="9"/>
      <c r="I32" s="9"/>
      <c r="J32" s="9"/>
      <c r="K32" s="9"/>
      <c r="L32" s="9"/>
    </row>
    <row r="33" spans="1:12" ht="21" customHeight="1">
      <c r="A33" s="8" t="s">
        <v>333</v>
      </c>
      <c r="B33" s="9">
        <f>MIN(季度现金流!$D$57:INDEX(季度现金流!$D$57:$DT$57,1,核心参数输入!$B$9*4+1))</f>
        <v>0</v>
      </c>
      <c r="C33" s="8" t="s">
        <v>39</v>
      </c>
      <c r="D33" s="9"/>
      <c r="E33" s="9">
        <f>MIN(季度现金流!$D$167:INDEX(季度现金流!$D$167:$DT$167,1,核心参数输入!$B$9*4+1))</f>
        <v>0</v>
      </c>
      <c r="F33" s="9"/>
      <c r="G33" s="9"/>
      <c r="H33" s="9"/>
      <c r="I33" s="9"/>
      <c r="J33" s="9"/>
      <c r="K33" s="9"/>
      <c r="L33" s="9"/>
    </row>
    <row r="34" spans="1:12" ht="21" customHeight="1">
      <c r="A34" s="8" t="s">
        <v>334</v>
      </c>
      <c r="B34" s="9">
        <f>INDEX(季度经营税费!$D$13:$DT$13,1,核心参数输入!$B$9*4+1)</f>
        <v>0</v>
      </c>
      <c r="C34" s="8" t="s">
        <v>39</v>
      </c>
      <c r="D34" s="9"/>
      <c r="E34" s="9">
        <f>INDEX(季度经营税费!$D$123:$DT$123,1,核心参数输入!$B$9*4+1)</f>
        <v>0</v>
      </c>
      <c r="F34" s="9"/>
      <c r="G34" s="9"/>
      <c r="H34" s="9"/>
      <c r="I34" s="9"/>
      <c r="J34" s="9"/>
      <c r="K34" s="9"/>
      <c r="L34" s="9"/>
    </row>
    <row r="35" spans="1:12" ht="21" customHeight="1">
      <c r="A35" s="8" t="s">
        <v>335</v>
      </c>
      <c r="B35" s="9">
        <f>SUM(年度汇总!$D$17:$AH$17)</f>
        <v>4193.605630457685</v>
      </c>
      <c r="C35" s="8" t="s">
        <v>39</v>
      </c>
      <c r="D35" s="9"/>
      <c r="E35" s="9">
        <f>SUM(年度汇总!$D$77:$AH$77)</f>
        <v>-8045.9067903212626</v>
      </c>
      <c r="F35" s="9"/>
      <c r="G35" s="9"/>
      <c r="H35" s="9"/>
      <c r="I35" s="9"/>
      <c r="J35" s="9"/>
      <c r="K35" s="9"/>
      <c r="L35" s="9"/>
    </row>
    <row r="36" spans="1:12" ht="21" customHeight="1">
      <c r="A36" s="8" t="s">
        <v>336</v>
      </c>
      <c r="B36" s="9" t="str">
        <f>核心参数输入!$B$152</f>
        <v>综合税费率（沿用V2）</v>
      </c>
      <c r="C36" s="8" t="s">
        <v>36</v>
      </c>
      <c r="D36" s="9"/>
      <c r="E36" s="9" t="str">
        <f>核心参数输入!$B$152</f>
        <v>综合税费率（沿用V2）</v>
      </c>
      <c r="F36" s="9"/>
      <c r="G36" s="9"/>
      <c r="H36" s="9"/>
      <c r="I36" s="9"/>
      <c r="J36" s="9"/>
      <c r="K36" s="9"/>
      <c r="L36" s="9"/>
    </row>
    <row r="37" spans="1:12" ht="21" customHeight="1">
      <c r="A37" s="8" t="s">
        <v>337</v>
      </c>
      <c r="B37" s="9" t="str">
        <f>IF(核心参数输入!$B$57=0,"无贷款",INDEX(季度计划!$D$5:$DT$5,1,MAX(1,MIN(121,季度投融资!$B$29+1))))</f>
        <v>2036Q4</v>
      </c>
      <c r="C37" s="8" t="s">
        <v>36</v>
      </c>
      <c r="D37" s="9"/>
      <c r="E37" s="9" t="str">
        <f>IF(核心参数输入!$B$57=0,"无贷款",INDEX(季度计划!$D$5:$DT$5,1,MAX(1,MIN(121,季度投融资!$E$29+1))))</f>
        <v>2036Q4</v>
      </c>
      <c r="F37" s="9"/>
      <c r="G37" s="9"/>
      <c r="H37" s="9"/>
      <c r="I37" s="9"/>
      <c r="J37" s="9"/>
      <c r="K37" s="9"/>
      <c r="L37" s="9"/>
    </row>
    <row r="38" spans="1:12" ht="21" customHeight="1">
      <c r="A38" s="8" t="s">
        <v>338</v>
      </c>
      <c r="B38" s="22">
        <f>IF(AND(COUNTIFS(季度现金流!$D$18:INDEX(季度现金流!$D$18:$DT$18,1,核心参数输入!$B$9*4+1),"&lt;0")&gt;0,COUNTIFS(季度现金流!$D$18:INDEX(季度现金流!$D$18:$DT$18,1,核心参数输入!$B$9*4+1),"&gt;0")&gt;0),IFERROR((1+IRR(季度现金流!$D$18:INDEX(季度现金流!$D$18:$DT$18,1,核心参数输入!$B$9*4+1)))^4-1,"无法计算"),"无法计算")</f>
        <v>-1.4445334640145968E-2</v>
      </c>
      <c r="C38" s="8" t="s">
        <v>38</v>
      </c>
      <c r="D38" s="9"/>
      <c r="E38" s="22">
        <f>IF(AND(COUNTIFS(季度现金流!$D$128:INDEX(季度现金流!$D$128:$DT$128,1,核心参数输入!$B$9*4+1),"&lt;0")&gt;0,COUNTIFS(季度现金流!$D$128:INDEX(季度现金流!$D$128:$DT$128,1,核心参数输入!$B$9*4+1),"&gt;0")&gt;0),IFERROR((1+IRR(季度现金流!$D$128:INDEX(季度现金流!$D$128:$DT$128,1,核心参数输入!$B$9*4+1)))^4-1,"无法计算"),"无法计算")</f>
        <v>-4.9549602632143697E-2</v>
      </c>
      <c r="F38" s="9"/>
      <c r="G38" s="9"/>
      <c r="H38" s="30" t="s">
        <v>339</v>
      </c>
      <c r="I38" s="30"/>
      <c r="J38" s="30"/>
      <c r="K38" s="30"/>
      <c r="L38" s="30"/>
    </row>
    <row r="39" spans="1:12" ht="21" customHeight="1">
      <c r="A39" s="8" t="s">
        <v>340</v>
      </c>
      <c r="B39" s="22">
        <f>IF(AND(COUNTIFS(季度现金流!$D$19:INDEX(季度现金流!$D$19:$DT$19,1,核心参数输入!$B$9*4+1),"&lt;0")&gt;0,COUNTIFS(季度现金流!$D$19:INDEX(季度现金流!$D$19:$DT$19,1,核心参数输入!$B$9*4+1),"&gt;0")&gt;0),IFERROR((1+IRR(季度现金流!$D$19:INDEX(季度现金流!$D$19:$DT$19,1,核心参数输入!$B$9*4+1)))^4-1,"无法计算"),"无法计算")</f>
        <v>3.3744637164136559E-2</v>
      </c>
      <c r="C39" s="8" t="s">
        <v>38</v>
      </c>
      <c r="D39" s="9"/>
      <c r="E39" s="22">
        <f>IF(AND(COUNTIFS(季度现金流!$D$129:INDEX(季度现金流!$D$129:$DT$129,1,核心参数输入!$B$9*4+1),"&lt;0")&gt;0,COUNTIFS(季度现金流!$D$129:INDEX(季度现金流!$D$129:$DT$129,1,核心参数输入!$B$9*4+1),"&gt;0")&gt;0),IFERROR((1+IRR(季度现金流!$D$129:INDEX(季度现金流!$D$129:$DT$129,1,核心参数输入!$B$9*4+1)))^4-1,"无法计算"),"无法计算")</f>
        <v>1.410306604527789E-2</v>
      </c>
      <c r="F39" s="9"/>
      <c r="G39" s="9"/>
      <c r="H39" s="30" t="s">
        <v>341</v>
      </c>
      <c r="I39" s="30"/>
      <c r="J39" s="30"/>
      <c r="K39" s="30"/>
      <c r="L39" s="30"/>
    </row>
    <row r="40" spans="1:12" ht="21" customHeight="1">
      <c r="A40" s="8" t="s">
        <v>342</v>
      </c>
      <c r="B40" s="9">
        <f>NPV((1+核心参数输入!$B$71)^(1/4)-1,季度现金流!$E$18:INDEX(季度现金流!$D$18:$DT$18,1,核心参数输入!$B$9*4+1))+季度现金流!D18</f>
        <v>-20406.095478339281</v>
      </c>
      <c r="C40" s="8" t="s">
        <v>39</v>
      </c>
      <c r="D40" s="9"/>
      <c r="E40" s="9">
        <f>NPV((1+核心参数输入!$B$71)^(1/4)-1,季度现金流!$E$128:INDEX(季度现金流!$D$128:$DT$128,1,核心参数输入!$B$9*4+1))+季度现金流!D128</f>
        <v>-28525.139536602372</v>
      </c>
      <c r="F40" s="9"/>
      <c r="G40" s="9"/>
      <c r="H40" s="9"/>
      <c r="I40" s="9"/>
      <c r="J40" s="9"/>
      <c r="K40" s="9"/>
      <c r="L40" s="9"/>
    </row>
    <row r="41" spans="1:12" ht="21" customHeight="1">
      <c r="A41" s="8" t="s">
        <v>343</v>
      </c>
      <c r="B41" s="9">
        <f>NPV((1+核心参数输入!$B$71)^(1/4)-1,季度现金流!$E$19:INDEX(季度现金流!$D$19:$DT$19,1,核心参数输入!$B$9*4+1))+季度现金流!D19</f>
        <v>-14899.172391978911</v>
      </c>
      <c r="C41" s="8" t="s">
        <v>39</v>
      </c>
      <c r="D41" s="9"/>
      <c r="E41" s="9">
        <f>NPV((1+核心参数输入!$B$71)^(1/4)-1,季度现金流!$E$129:INDEX(季度现金流!$D$129:$DT$129,1,核心参数输入!$B$9*4+1))+季度现金流!D129</f>
        <v>-22937.558400225364</v>
      </c>
      <c r="F41" s="9"/>
      <c r="G41" s="9"/>
      <c r="H41" s="9"/>
      <c r="I41" s="9"/>
      <c r="J41" s="9"/>
      <c r="K41" s="9"/>
      <c r="L41" s="9"/>
    </row>
    <row r="42" spans="1:12" ht="21" customHeight="1">
      <c r="A42" s="8" t="s">
        <v>344</v>
      </c>
      <c r="B42" s="22">
        <f>IF(AND(COUNTIFS(季度现金流!$D$31:INDEX(季度现金流!$D$31:$DT$31,1,核心参数输入!$B$9*4+1),"&lt;0")&gt;0,COUNTIFS(季度现金流!$D$31:INDEX(季度现金流!$D$31:$DT$31,1,核心参数输入!$B$9*4+1),"&gt;0")&gt;0),IFERROR((1+IRR(季度现金流!$D$31:INDEX(季度现金流!$D$31:$DT$31,1,核心参数输入!$B$9*4+1)))^4-1,"无法计算"),"无法计算")</f>
        <v>-4.0676665276822566E-2</v>
      </c>
      <c r="C42" s="8" t="s">
        <v>38</v>
      </c>
      <c r="D42" s="9"/>
      <c r="E42" s="22">
        <f>IF(AND(COUNTIFS(季度现金流!$D$141:INDEX(季度现金流!$D$141:$DT$141,1,核心参数输入!$B$9*4+1),"&lt;0")&gt;0,COUNTIFS(季度现金流!$D$141:INDEX(季度现金流!$D$141:$DT$141,1,核心参数输入!$B$9*4+1),"&gt;0")&gt;0),IFERROR((1+IRR(季度现金流!$D$141:INDEX(季度现金流!$D$141:$DT$141,1,核心参数输入!$B$9*4+1)))^4-1,"无法计算"),"无法计算")</f>
        <v>-8.74635310694164E-2</v>
      </c>
      <c r="F42" s="9"/>
      <c r="G42" s="9"/>
      <c r="H42" s="9"/>
      <c r="I42" s="9"/>
      <c r="J42" s="9"/>
      <c r="K42" s="9"/>
      <c r="L42" s="9"/>
    </row>
    <row r="43" spans="1:12" ht="21" customHeight="1">
      <c r="A43" s="8" t="s">
        <v>345</v>
      </c>
      <c r="B43" s="22">
        <f>IF(AND(COUNTIFS(季度现金流!$D$41:INDEX(季度现金流!$D$41:$DT$41,1,核心参数输入!$B$9*4+1),"&lt;0")&gt;0,COUNTIFS(季度现金流!$D$41:INDEX(季度现金流!$D$41:$DT$41,1,核心参数输入!$B$9*4+1),"&gt;0")&gt;0),IFERROR((1+IRR(季度现金流!$D$41:INDEX(季度现金流!$D$41:$DT$41,1,核心参数输入!$B$9*4+1)))^4-1,"无法计算"),"无法计算")</f>
        <v>3.0390403446795444E-2</v>
      </c>
      <c r="C43" s="8" t="s">
        <v>38</v>
      </c>
      <c r="D43" s="9"/>
      <c r="E43" s="22">
        <f>IF(AND(COUNTIFS(季度现金流!$D$151:INDEX(季度现金流!$D$151:$DT$151,1,核心参数输入!$B$9*4+1),"&lt;0")&gt;0,COUNTIFS(季度现金流!$D$151:INDEX(季度现金流!$D$151:$DT$151,1,核心参数输入!$B$9*4+1),"&gt;0")&gt;0),IFERROR((1+IRR(季度现金流!$D$151:INDEX(季度现金流!$D$151:$DT$151,1,核心参数输入!$B$9*4+1)))^4-1,"无法计算"),"无法计算")</f>
        <v>4.682870467782152E-3</v>
      </c>
      <c r="F43" s="9"/>
      <c r="G43" s="9"/>
      <c r="H43" s="9"/>
      <c r="I43" s="9"/>
      <c r="J43" s="9"/>
      <c r="K43" s="9"/>
      <c r="L43" s="9"/>
    </row>
    <row r="44" spans="1:12" ht="21" customHeight="1">
      <c r="A44" s="8" t="s">
        <v>346</v>
      </c>
      <c r="B44" s="9">
        <f>SUM(季度现金流!$D$16:INDEX(季度现金流!$D$16:$DT$16,1,核心参数输入!$B$9*4+1))*(1-核心参数输入!$B$64)+SUM(季度现金流!$D$17:INDEX(季度现金流!$D$17:$DT$17,1,核心参数输入!$B$9*4+1))*核心参数输入!$B$64</f>
        <v>0</v>
      </c>
      <c r="C44" s="8" t="s">
        <v>39</v>
      </c>
      <c r="D44" s="9"/>
      <c r="E44" s="9">
        <f>SUM(季度现金流!$D$126:INDEX(季度现金流!$D$126:$DT$126,1,核心参数输入!$B$9*4+1))*(1-核心参数输入!$B$64)+SUM(季度现金流!$D$127:INDEX(季度现金流!$D$127:$DT$127,1,核心参数输入!$B$9*4+1))*核心参数输入!$B$64</f>
        <v>0</v>
      </c>
      <c r="F44" s="9"/>
      <c r="G44" s="9"/>
      <c r="H44" s="9"/>
      <c r="I44" s="9"/>
      <c r="J44" s="9"/>
      <c r="K44" s="9"/>
      <c r="L44" s="9"/>
    </row>
    <row r="45" spans="1:12" ht="21" customHeight="1">
      <c r="A45" s="8" t="s">
        <v>347</v>
      </c>
      <c r="B45" s="9">
        <f>INDEX(季度经营税费!$D$56:$DT$56,1,核心参数输入!$B$9*4+1)</f>
        <v>13762.777499999975</v>
      </c>
      <c r="C45" s="8" t="s">
        <v>39</v>
      </c>
      <c r="D45" s="9"/>
      <c r="E45" s="9">
        <f>INDEX(季度经营税费!$D$166:$DT$166,1,核心参数输入!$B$9*4+1)</f>
        <v>14862.19049999997</v>
      </c>
      <c r="F45" s="9"/>
      <c r="G45" s="9"/>
      <c r="H45" s="9"/>
      <c r="I45" s="9"/>
      <c r="J45" s="9"/>
      <c r="K45" s="9"/>
      <c r="L45" s="9"/>
    </row>
    <row r="46" spans="1:12" ht="21" customHeight="1">
      <c r="A46" s="8" t="s">
        <v>348</v>
      </c>
      <c r="B46" s="9">
        <f>INDEX(季度经营税费!$D$52:$DT$52,1,核心参数输入!$B$9*4+1)</f>
        <v>0</v>
      </c>
      <c r="C46" s="8" t="s">
        <v>39</v>
      </c>
      <c r="D46" s="9"/>
      <c r="E46" s="9">
        <f>INDEX(季度经营税费!$D$162:$DT$162,1,核心参数输入!$B$9*4+1)</f>
        <v>0</v>
      </c>
      <c r="F46" s="9"/>
      <c r="G46" s="9"/>
      <c r="H46" s="9"/>
      <c r="I46" s="9"/>
      <c r="J46" s="9"/>
      <c r="K46" s="9"/>
      <c r="L46" s="9"/>
    </row>
    <row r="47" spans="1:12" ht="21" customHeight="1">
      <c r="A47" s="8" t="s">
        <v>349</v>
      </c>
      <c r="B47" s="9">
        <f>MAX(季度现金流!$D$51:INDEX(季度现金流!$D$51:$DT$51,1,核心参数输入!$B$9*4+1))</f>
        <v>15161.955365746333</v>
      </c>
      <c r="C47" s="8" t="s">
        <v>39</v>
      </c>
      <c r="D47" s="9"/>
      <c r="E47" s="9">
        <f>MAX(季度现金流!$D$161:INDEX(季度现金流!$D$161:$DT$161,1,核心参数输入!$B$9*4+1))</f>
        <v>16491.083575783141</v>
      </c>
      <c r="F47" s="9"/>
      <c r="G47" s="9"/>
      <c r="H47" s="9"/>
      <c r="I47" s="9"/>
      <c r="J47" s="9"/>
      <c r="K47" s="9"/>
      <c r="L47" s="9"/>
    </row>
    <row r="48" spans="1:12" ht="21" customHeight="1">
      <c r="A48" s="8" t="s">
        <v>350</v>
      </c>
      <c r="B48" s="9">
        <f>IF(核心参数输入!$B$57=0,"不适用",IF(ISNUMBER(B12),INDEX(年度汇总!$D$5:$AH$5,1,MATCH(B12,年度汇总!$D$24:$AH$24,0)),"无法计算"))</f>
        <v>2034</v>
      </c>
      <c r="C48" s="8" t="s">
        <v>36</v>
      </c>
      <c r="D48" s="9"/>
      <c r="E48" s="9">
        <f>IF(核心参数输入!$B$57=0,"不适用",IF(ISNUMBER(E12),INDEX(年度汇总!$D$5:$AH$5,1,MATCH(E12,年度汇总!$D$84:$AH$84,0)),"无法计算"))</f>
        <v>2034</v>
      </c>
      <c r="F48" s="9"/>
      <c r="G48" s="9"/>
      <c r="H48" s="9"/>
      <c r="I48" s="9"/>
      <c r="J48" s="9"/>
      <c r="K48" s="9"/>
      <c r="L48" s="9"/>
    </row>
    <row r="49" spans="1:12" ht="21" customHeight="1">
      <c r="A49" s="8" t="s">
        <v>351</v>
      </c>
      <c r="B49" s="9">
        <f>IF(AND(核心参数输入!$B$150=1,季度计划!$B$30=1,季度投融资!$B$33=1,季度投融资!$B$21&gt;0),1,0)</f>
        <v>1</v>
      </c>
      <c r="C49" s="8" t="s">
        <v>210</v>
      </c>
      <c r="D49" s="9"/>
      <c r="E49" s="9">
        <f>IF(AND(核心参数输入!$B$150=1,季度计划!$B$30=1,季度投融资!$B$33=1,季度投融资!$E$21&gt;0),1,0)</f>
        <v>1</v>
      </c>
      <c r="F49" s="9"/>
      <c r="G49" s="9"/>
      <c r="H49" s="30" t="s">
        <v>352</v>
      </c>
      <c r="I49" s="30"/>
      <c r="J49" s="30"/>
      <c r="K49" s="30"/>
      <c r="L49" s="30"/>
    </row>
    <row r="50" spans="1:12" ht="21" customHeight="1">
      <c r="A50" s="8" t="s">
        <v>353</v>
      </c>
      <c r="B50" s="9">
        <f>IF(AND(B49=1,COUNTIFS(F6:F15,"未通过")=0,COUNTIFS(F6:F15,"待判断")=0),1,0)</f>
        <v>0</v>
      </c>
      <c r="C50" s="8" t="s">
        <v>210</v>
      </c>
      <c r="D50" s="9"/>
      <c r="E50" s="9">
        <f>IF(AND(E49=1,COUNTIFS(G6:G15,"未通过")=0,COUNTIFS(G6:G15,"待判断")=0),1,0)</f>
        <v>0</v>
      </c>
      <c r="F50" s="9"/>
      <c r="G50" s="9"/>
      <c r="H50" s="30" t="s">
        <v>354</v>
      </c>
      <c r="I50" s="30"/>
      <c r="J50" s="30"/>
      <c r="K50" s="30"/>
      <c r="L50" s="30"/>
    </row>
    <row r="51" spans="1:12" ht="21" customHeight="1">
      <c r="A51" s="8" t="s">
        <v>355</v>
      </c>
      <c r="B51" s="9">
        <f>IF(AND(ISNUMBER(B13),B13&lt;=核心参数输入!$B$61+0.01,B14&lt;=0.01,ISNUMBER(B15),ABS(B15)&lt;=0.01),1,0)</f>
        <v>1</v>
      </c>
      <c r="C51" s="8" t="s">
        <v>210</v>
      </c>
      <c r="D51" s="9"/>
      <c r="E51" s="9">
        <f>IF(AND(ISNUMBER(E13),E13&lt;=核心参数输入!$B$61+0.01,E14&lt;=0.01,ISNUMBER(E15),ABS(E15)&lt;=0.01),1,0)</f>
        <v>0</v>
      </c>
      <c r="F51" s="9"/>
      <c r="G51" s="9"/>
      <c r="H51" s="9"/>
      <c r="I51" s="9"/>
      <c r="J51" s="9"/>
      <c r="K51" s="9"/>
      <c r="L51" s="9"/>
    </row>
    <row r="52" spans="1:12" ht="21" customHeight="1">
      <c r="A52" s="8" t="s">
        <v>356</v>
      </c>
      <c r="B52" s="9">
        <f>B8</f>
        <v>-20406.095478339281</v>
      </c>
      <c r="C52" s="8" t="s">
        <v>39</v>
      </c>
      <c r="D52" s="9"/>
      <c r="E52" s="9">
        <f>E8</f>
        <v>-28525.139536602372</v>
      </c>
      <c r="F52" s="9"/>
      <c r="G52" s="9"/>
      <c r="H52" s="9"/>
      <c r="I52" s="9"/>
      <c r="J52" s="9"/>
      <c r="K52" s="9"/>
      <c r="L52" s="9"/>
    </row>
    <row r="53" spans="1:12" ht="21" customHeight="1">
      <c r="A53" s="8" t="s">
        <v>357</v>
      </c>
      <c r="B53" s="9">
        <f>IF(OR((核心参数输入!$B$10*核心参数输入!$B$11*核心参数输入!$B$12*核心参数输入!$B$143)=0,核心参数输入!$B$9&lt;核心参数输入!$B$18+3+INT((核心参数输入!$B$148)/4)),"不适用",INDEX(季度经营税费!$D$70:$DT$70,1,MIN(核心参数输入!$B$9*4,(核心参数输入!$B$18+3)*4+核心参数输入!$B$148)+1)*4)</f>
        <v>973.3036772903971</v>
      </c>
      <c r="C53" s="8" t="s">
        <v>39</v>
      </c>
      <c r="D53" s="9"/>
      <c r="E53" s="9">
        <f>IF(OR((核心参数输入!$B$10*核心参数输入!$B$11*核心参数输入!$B$12*核心参数输入!$B$143)=0,核心参数输入!$B$9&lt;核心参数输入!$B$18+3+INT((核心参数输入!$B$148+核心参数输入!$B$124)/4)),"不适用",INDEX(季度经营税费!$D$180:$DT$180,1,MIN(核心参数输入!$B$9*4,(核心参数输入!$B$18+3)*4+核心参数输入!$B$148+核心参数输入!$B$124)+1)*4)</f>
        <v>675.83925741255121</v>
      </c>
      <c r="F53" s="9"/>
      <c r="G53" s="9"/>
      <c r="H53" s="9"/>
      <c r="I53" s="9"/>
      <c r="J53" s="9"/>
      <c r="K53" s="9"/>
      <c r="L53" s="9"/>
    </row>
    <row r="54" spans="1:12" ht="21" customHeight="1">
      <c r="A54" s="8" t="s">
        <v>358</v>
      </c>
      <c r="B54" s="9" t="str">
        <f>IF(核心参数输入!$B$97=1,"新增假设已核对","新增假设待项目核对")</f>
        <v>新增假设待项目核对</v>
      </c>
      <c r="C54" s="8" t="s">
        <v>36</v>
      </c>
      <c r="D54" s="9"/>
      <c r="E54" s="9" t="str">
        <f>IF(核心参数输入!$B$97=1,"新增假设已核对","新增假设待项目核对")</f>
        <v>新增假设待项目核对</v>
      </c>
      <c r="F54" s="9"/>
      <c r="G54" s="9"/>
      <c r="H54" s="9"/>
      <c r="I54" s="9"/>
      <c r="J54" s="9"/>
      <c r="K54" s="9"/>
      <c r="L54" s="9"/>
    </row>
    <row r="55" spans="1:12" ht="21" customHeight="1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</row>
    <row r="56" spans="1:12" ht="21" customHeight="1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</row>
    <row r="57" spans="1:12" ht="21" customHeight="1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</row>
    <row r="58" spans="1:12" ht="21" customHeight="1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</row>
    <row r="59" spans="1:12" ht="21" customHeight="1">
      <c r="A59" s="8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</row>
    <row r="60" spans="1:12" ht="21" customHeight="1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</row>
    <row r="61" spans="1:12" ht="21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</row>
    <row r="62" spans="1:12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</row>
    <row r="63" spans="1:12" ht="21" customHeight="1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</row>
    <row r="64" spans="1:12" ht="21" customHeight="1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</row>
    <row r="65" spans="1:12" ht="21" customHeight="1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</row>
    <row r="66" spans="1:12" ht="21" customHeight="1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</row>
    <row r="67" spans="1:12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</row>
    <row r="68" spans="1:12" ht="21" customHeight="1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</row>
    <row r="69" spans="1:12" ht="21" customHeight="1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</row>
    <row r="70" spans="1:12" ht="21" customHeight="1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</row>
    <row r="71" spans="1:12" ht="21" customHeight="1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</row>
    <row r="72" spans="1:12" ht="21" customHeight="1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</row>
    <row r="73" spans="1:12" ht="21" customHeight="1">
      <c r="A73" s="8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</row>
    <row r="74" spans="1:12" ht="21" customHeight="1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</row>
    <row r="75" spans="1:12" ht="21" customHeight="1">
      <c r="A75" s="8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</row>
    <row r="76" spans="1:12" ht="21" customHeight="1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</row>
    <row r="77" spans="1:12" ht="21" customHeight="1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</row>
    <row r="78" spans="1:12" ht="21" customHeight="1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</row>
    <row r="79" spans="1:12" ht="21" customHeight="1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</row>
    <row r="80" spans="1:12" ht="21" customHeight="1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</row>
    <row r="81" spans="1:124" ht="21" customHeight="1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</row>
    <row r="82" spans="1:124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</row>
    <row r="83" spans="1:124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</row>
    <row r="84" spans="1:124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</row>
    <row r="85" spans="1:124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</row>
    <row r="86" spans="1:124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</row>
    <row r="87" spans="1:124" ht="21" customHeigh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</row>
    <row r="88" spans="1:124" ht="21" customHeight="1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</row>
    <row r="89" spans="1:124" ht="21" customHeight="1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</row>
    <row r="90" spans="1:124" ht="21" hidden="1" customHeight="1">
      <c r="A90" s="8"/>
      <c r="B90" s="8"/>
      <c r="C90" s="8"/>
      <c r="D90" s="9">
        <f>IF(SUM(季度计划!$D$15:D15)&gt;=0.999999,1,0)</f>
        <v>0</v>
      </c>
      <c r="E90" s="9">
        <f>IF(SUM(季度计划!$D$15:E15)&gt;=0.999999,1,0)</f>
        <v>0</v>
      </c>
      <c r="F90" s="9">
        <f>IF(SUM(季度计划!$D$15:F15)&gt;=0.999999,1,0)</f>
        <v>0</v>
      </c>
      <c r="G90" s="9">
        <f>IF(SUM(季度计划!$D$15:G15)&gt;=0.999999,1,0)</f>
        <v>0</v>
      </c>
      <c r="H90" s="9">
        <f>IF(SUM(季度计划!$D$15:H15)&gt;=0.999999,1,0)</f>
        <v>0</v>
      </c>
      <c r="I90" s="9">
        <f>IF(SUM(季度计划!$D$15:I15)&gt;=0.999999,1,0)</f>
        <v>0</v>
      </c>
      <c r="J90" s="9">
        <f>IF(SUM(季度计划!$D$15:J15)&gt;=0.999999,1,0)</f>
        <v>0</v>
      </c>
      <c r="K90" s="9">
        <f>IF(SUM(季度计划!$D$15:K15)&gt;=0.999999,1,0)</f>
        <v>0</v>
      </c>
      <c r="L90" s="9">
        <f>IF(SUM(季度计划!$D$15:L15)&gt;=0.999999,1,0)</f>
        <v>0</v>
      </c>
      <c r="M90" s="10">
        <f>IF(SUM(季度计划!$D$15:M15)&gt;=0.999999,1,0)</f>
        <v>0</v>
      </c>
      <c r="N90" s="10">
        <f>IF(SUM(季度计划!$D$15:N15)&gt;=0.999999,1,0)</f>
        <v>0</v>
      </c>
      <c r="O90" s="10">
        <f>IF(SUM(季度计划!$D$15:O15)&gt;=0.999999,1,0)</f>
        <v>0</v>
      </c>
      <c r="P90" s="10">
        <f>IF(SUM(季度计划!$D$15:P15)&gt;=0.999999,1,0)</f>
        <v>0</v>
      </c>
      <c r="Q90" s="10">
        <f>IF(SUM(季度计划!$D$15:Q15)&gt;=0.999999,1,0)</f>
        <v>0</v>
      </c>
      <c r="R90" s="10">
        <f>IF(SUM(季度计划!$D$15:R15)&gt;=0.999999,1,0)</f>
        <v>0</v>
      </c>
      <c r="S90" s="10">
        <f>IF(SUM(季度计划!$D$15:S15)&gt;=0.999999,1,0)</f>
        <v>0</v>
      </c>
      <c r="T90" s="10">
        <f>IF(SUM(季度计划!$D$15:T15)&gt;=0.999999,1,0)</f>
        <v>0</v>
      </c>
      <c r="U90" s="10">
        <f>IF(SUM(季度计划!$D$15:U15)&gt;=0.999999,1,0)</f>
        <v>0</v>
      </c>
      <c r="V90" s="10">
        <f>IF(SUM(季度计划!$D$15:V15)&gt;=0.999999,1,0)</f>
        <v>0</v>
      </c>
      <c r="W90" s="10">
        <f>IF(SUM(季度计划!$D$15:W15)&gt;=0.999999,1,0)</f>
        <v>0</v>
      </c>
      <c r="X90" s="10">
        <f>IF(SUM(季度计划!$D$15:X15)&gt;=0.999999,1,0)</f>
        <v>0</v>
      </c>
      <c r="Y90" s="10">
        <f>IF(SUM(季度计划!$D$15:Y15)&gt;=0.999999,1,0)</f>
        <v>0</v>
      </c>
      <c r="Z90" s="10">
        <f>IF(SUM(季度计划!$D$15:Z15)&gt;=0.999999,1,0)</f>
        <v>0</v>
      </c>
      <c r="AA90" s="10">
        <f>IF(SUM(季度计划!$D$15:AA15)&gt;=0.999999,1,0)</f>
        <v>0</v>
      </c>
      <c r="AB90" s="10">
        <f>IF(SUM(季度计划!$D$15:AB15)&gt;=0.999999,1,0)</f>
        <v>1</v>
      </c>
      <c r="AC90" s="10">
        <f>IF(SUM(季度计划!$D$15:AC15)&gt;=0.999999,1,0)</f>
        <v>1</v>
      </c>
      <c r="AD90" s="10">
        <f>IF(SUM(季度计划!$D$15:AD15)&gt;=0.999999,1,0)</f>
        <v>1</v>
      </c>
      <c r="AE90" s="10">
        <f>IF(SUM(季度计划!$D$15:AE15)&gt;=0.999999,1,0)</f>
        <v>1</v>
      </c>
      <c r="AF90" s="10">
        <f>IF(SUM(季度计划!$D$15:AF15)&gt;=0.999999,1,0)</f>
        <v>1</v>
      </c>
      <c r="AG90" s="10">
        <f>IF(SUM(季度计划!$D$15:AG15)&gt;=0.999999,1,0)</f>
        <v>1</v>
      </c>
      <c r="AH90" s="10">
        <f>IF(SUM(季度计划!$D$15:AH15)&gt;=0.999999,1,0)</f>
        <v>1</v>
      </c>
      <c r="AI90" s="10">
        <f>IF(SUM(季度计划!$D$15:AI15)&gt;=0.999999,1,0)</f>
        <v>1</v>
      </c>
      <c r="AJ90" s="10">
        <f>IF(SUM(季度计划!$D$15:AJ15)&gt;=0.999999,1,0)</f>
        <v>1</v>
      </c>
      <c r="AK90" s="10">
        <f>IF(SUM(季度计划!$D$15:AK15)&gt;=0.999999,1,0)</f>
        <v>1</v>
      </c>
      <c r="AL90" s="10">
        <f>IF(SUM(季度计划!$D$15:AL15)&gt;=0.999999,1,0)</f>
        <v>1</v>
      </c>
      <c r="AM90" s="10">
        <f>IF(SUM(季度计划!$D$15:AM15)&gt;=0.999999,1,0)</f>
        <v>1</v>
      </c>
      <c r="AN90" s="10">
        <f>IF(SUM(季度计划!$D$15:AN15)&gt;=0.999999,1,0)</f>
        <v>1</v>
      </c>
      <c r="AO90" s="10">
        <f>IF(SUM(季度计划!$D$15:AO15)&gt;=0.999999,1,0)</f>
        <v>1</v>
      </c>
      <c r="AP90" s="10">
        <f>IF(SUM(季度计划!$D$15:AP15)&gt;=0.999999,1,0)</f>
        <v>1</v>
      </c>
      <c r="AQ90" s="10">
        <f>IF(SUM(季度计划!$D$15:AQ15)&gt;=0.999999,1,0)</f>
        <v>1</v>
      </c>
      <c r="AR90" s="10">
        <f>IF(SUM(季度计划!$D$15:AR15)&gt;=0.999999,1,0)</f>
        <v>1</v>
      </c>
      <c r="AS90" s="10">
        <f>IF(SUM(季度计划!$D$15:AS15)&gt;=0.999999,1,0)</f>
        <v>1</v>
      </c>
      <c r="AT90" s="10">
        <f>IF(SUM(季度计划!$D$15:AT15)&gt;=0.999999,1,0)</f>
        <v>1</v>
      </c>
      <c r="AU90" s="10">
        <f>IF(SUM(季度计划!$D$15:AU15)&gt;=0.999999,1,0)</f>
        <v>1</v>
      </c>
      <c r="AV90" s="10">
        <f>IF(SUM(季度计划!$D$15:AV15)&gt;=0.999999,1,0)</f>
        <v>1</v>
      </c>
      <c r="AW90" s="10">
        <f>IF(SUM(季度计划!$D$15:AW15)&gt;=0.999999,1,0)</f>
        <v>1</v>
      </c>
      <c r="AX90" s="10">
        <f>IF(SUM(季度计划!$D$15:AX15)&gt;=0.999999,1,0)</f>
        <v>1</v>
      </c>
      <c r="AY90" s="10">
        <f>IF(SUM(季度计划!$D$15:AY15)&gt;=0.999999,1,0)</f>
        <v>1</v>
      </c>
      <c r="AZ90" s="10">
        <f>IF(SUM(季度计划!$D$15:AZ15)&gt;=0.999999,1,0)</f>
        <v>1</v>
      </c>
      <c r="BA90" s="10">
        <f>IF(SUM(季度计划!$D$15:BA15)&gt;=0.999999,1,0)</f>
        <v>1</v>
      </c>
      <c r="BB90" s="10">
        <f>IF(SUM(季度计划!$D$15:BB15)&gt;=0.999999,1,0)</f>
        <v>1</v>
      </c>
      <c r="BC90" s="10">
        <f>IF(SUM(季度计划!$D$15:BC15)&gt;=0.999999,1,0)</f>
        <v>1</v>
      </c>
      <c r="BD90" s="10">
        <f>IF(SUM(季度计划!$D$15:BD15)&gt;=0.999999,1,0)</f>
        <v>1</v>
      </c>
      <c r="BE90" s="10">
        <f>IF(SUM(季度计划!$D$15:BE15)&gt;=0.999999,1,0)</f>
        <v>1</v>
      </c>
      <c r="BF90" s="10">
        <f>IF(SUM(季度计划!$D$15:BF15)&gt;=0.999999,1,0)</f>
        <v>1</v>
      </c>
      <c r="BG90" s="10">
        <f>IF(SUM(季度计划!$D$15:BG15)&gt;=0.999999,1,0)</f>
        <v>1</v>
      </c>
      <c r="BH90" s="10">
        <f>IF(SUM(季度计划!$D$15:BH15)&gt;=0.999999,1,0)</f>
        <v>1</v>
      </c>
      <c r="BI90" s="10">
        <f>IF(SUM(季度计划!$D$15:BI15)&gt;=0.999999,1,0)</f>
        <v>1</v>
      </c>
      <c r="BJ90" s="10">
        <f>IF(SUM(季度计划!$D$15:BJ15)&gt;=0.999999,1,0)</f>
        <v>1</v>
      </c>
      <c r="BK90" s="10">
        <f>IF(SUM(季度计划!$D$15:BK15)&gt;=0.999999,1,0)</f>
        <v>1</v>
      </c>
      <c r="BL90" s="10">
        <f>IF(SUM(季度计划!$D$15:BL15)&gt;=0.999999,1,0)</f>
        <v>1</v>
      </c>
      <c r="BM90" s="10">
        <f>IF(SUM(季度计划!$D$15:BM15)&gt;=0.999999,1,0)</f>
        <v>1</v>
      </c>
      <c r="BN90" s="10">
        <f>IF(SUM(季度计划!$D$15:BN15)&gt;=0.999999,1,0)</f>
        <v>1</v>
      </c>
      <c r="BO90" s="10">
        <f>IF(SUM(季度计划!$D$15:BO15)&gt;=0.999999,1,0)</f>
        <v>1</v>
      </c>
      <c r="BP90" s="10">
        <f>IF(SUM(季度计划!$D$15:BP15)&gt;=0.999999,1,0)</f>
        <v>1</v>
      </c>
      <c r="BQ90" s="10">
        <f>IF(SUM(季度计划!$D$15:BQ15)&gt;=0.999999,1,0)</f>
        <v>1</v>
      </c>
      <c r="BR90" s="10">
        <f>IF(SUM(季度计划!$D$15:BR15)&gt;=0.999999,1,0)</f>
        <v>1</v>
      </c>
      <c r="BS90" s="10">
        <f>IF(SUM(季度计划!$D$15:BS15)&gt;=0.999999,1,0)</f>
        <v>1</v>
      </c>
      <c r="BT90" s="10">
        <f>IF(SUM(季度计划!$D$15:BT15)&gt;=0.999999,1,0)</f>
        <v>1</v>
      </c>
      <c r="BU90" s="10">
        <f>IF(SUM(季度计划!$D$15:BU15)&gt;=0.999999,1,0)</f>
        <v>1</v>
      </c>
      <c r="BV90" s="10">
        <f>IF(SUM(季度计划!$D$15:BV15)&gt;=0.999999,1,0)</f>
        <v>1</v>
      </c>
      <c r="BW90" s="10">
        <f>IF(SUM(季度计划!$D$15:BW15)&gt;=0.999999,1,0)</f>
        <v>1</v>
      </c>
      <c r="BX90" s="10">
        <f>IF(SUM(季度计划!$D$15:BX15)&gt;=0.999999,1,0)</f>
        <v>1</v>
      </c>
      <c r="BY90" s="10">
        <f>IF(SUM(季度计划!$D$15:BY15)&gt;=0.999999,1,0)</f>
        <v>1</v>
      </c>
      <c r="BZ90" s="10">
        <f>IF(SUM(季度计划!$D$15:BZ15)&gt;=0.999999,1,0)</f>
        <v>1</v>
      </c>
      <c r="CA90" s="10">
        <f>IF(SUM(季度计划!$D$15:CA15)&gt;=0.999999,1,0)</f>
        <v>1</v>
      </c>
      <c r="CB90" s="10">
        <f>IF(SUM(季度计划!$D$15:CB15)&gt;=0.999999,1,0)</f>
        <v>1</v>
      </c>
      <c r="CC90" s="10">
        <f>IF(SUM(季度计划!$D$15:CC15)&gt;=0.999999,1,0)</f>
        <v>1</v>
      </c>
      <c r="CD90" s="10">
        <f>IF(SUM(季度计划!$D$15:CD15)&gt;=0.999999,1,0)</f>
        <v>1</v>
      </c>
      <c r="CE90" s="10">
        <f>IF(SUM(季度计划!$D$15:CE15)&gt;=0.999999,1,0)</f>
        <v>1</v>
      </c>
      <c r="CF90" s="10">
        <f>IF(SUM(季度计划!$D$15:CF15)&gt;=0.999999,1,0)</f>
        <v>1</v>
      </c>
      <c r="CG90" s="10">
        <f>IF(SUM(季度计划!$D$15:CG15)&gt;=0.999999,1,0)</f>
        <v>1</v>
      </c>
      <c r="CH90" s="10">
        <f>IF(SUM(季度计划!$D$15:CH15)&gt;=0.999999,1,0)</f>
        <v>1</v>
      </c>
      <c r="CI90" s="10">
        <f>IF(SUM(季度计划!$D$15:CI15)&gt;=0.999999,1,0)</f>
        <v>1</v>
      </c>
      <c r="CJ90" s="10">
        <f>IF(SUM(季度计划!$D$15:CJ15)&gt;=0.999999,1,0)</f>
        <v>1</v>
      </c>
      <c r="CK90" s="10">
        <f>IF(SUM(季度计划!$D$15:CK15)&gt;=0.999999,1,0)</f>
        <v>1</v>
      </c>
      <c r="CL90" s="10">
        <f>IF(SUM(季度计划!$D$15:CL15)&gt;=0.999999,1,0)</f>
        <v>1</v>
      </c>
      <c r="CM90" s="10">
        <f>IF(SUM(季度计划!$D$15:CM15)&gt;=0.999999,1,0)</f>
        <v>1</v>
      </c>
      <c r="CN90" s="10">
        <f>IF(SUM(季度计划!$D$15:CN15)&gt;=0.999999,1,0)</f>
        <v>1</v>
      </c>
      <c r="CO90" s="10">
        <f>IF(SUM(季度计划!$D$15:CO15)&gt;=0.999999,1,0)</f>
        <v>1</v>
      </c>
      <c r="CP90" s="10">
        <f>IF(SUM(季度计划!$D$15:CP15)&gt;=0.999999,1,0)</f>
        <v>1</v>
      </c>
      <c r="CQ90" s="10">
        <f>IF(SUM(季度计划!$D$15:CQ15)&gt;=0.999999,1,0)</f>
        <v>1</v>
      </c>
      <c r="CR90" s="10">
        <f>IF(SUM(季度计划!$D$15:CR15)&gt;=0.999999,1,0)</f>
        <v>1</v>
      </c>
      <c r="CS90" s="10">
        <f>IF(SUM(季度计划!$D$15:CS15)&gt;=0.999999,1,0)</f>
        <v>1</v>
      </c>
      <c r="CT90" s="10">
        <f>IF(SUM(季度计划!$D$15:CT15)&gt;=0.999999,1,0)</f>
        <v>1</v>
      </c>
      <c r="CU90" s="10">
        <f>IF(SUM(季度计划!$D$15:CU15)&gt;=0.999999,1,0)</f>
        <v>1</v>
      </c>
      <c r="CV90" s="10">
        <f>IF(SUM(季度计划!$D$15:CV15)&gt;=0.999999,1,0)</f>
        <v>1</v>
      </c>
      <c r="CW90" s="10">
        <f>IF(SUM(季度计划!$D$15:CW15)&gt;=0.999999,1,0)</f>
        <v>1</v>
      </c>
      <c r="CX90" s="10">
        <f>IF(SUM(季度计划!$D$15:CX15)&gt;=0.999999,1,0)</f>
        <v>1</v>
      </c>
      <c r="CY90" s="10">
        <f>IF(SUM(季度计划!$D$15:CY15)&gt;=0.999999,1,0)</f>
        <v>1</v>
      </c>
      <c r="CZ90" s="10">
        <f>IF(SUM(季度计划!$D$15:CZ15)&gt;=0.999999,1,0)</f>
        <v>1</v>
      </c>
      <c r="DA90" s="10">
        <f>IF(SUM(季度计划!$D$15:DA15)&gt;=0.999999,1,0)</f>
        <v>1</v>
      </c>
      <c r="DB90" s="10">
        <f>IF(SUM(季度计划!$D$15:DB15)&gt;=0.999999,1,0)</f>
        <v>1</v>
      </c>
      <c r="DC90" s="10">
        <f>IF(SUM(季度计划!$D$15:DC15)&gt;=0.999999,1,0)</f>
        <v>1</v>
      </c>
      <c r="DD90" s="10">
        <f>IF(SUM(季度计划!$D$15:DD15)&gt;=0.999999,1,0)</f>
        <v>1</v>
      </c>
      <c r="DE90" s="10">
        <f>IF(SUM(季度计划!$D$15:DE15)&gt;=0.999999,1,0)</f>
        <v>1</v>
      </c>
      <c r="DF90" s="10">
        <f>IF(SUM(季度计划!$D$15:DF15)&gt;=0.999999,1,0)</f>
        <v>1</v>
      </c>
      <c r="DG90" s="10">
        <f>IF(SUM(季度计划!$D$15:DG15)&gt;=0.999999,1,0)</f>
        <v>1</v>
      </c>
      <c r="DH90" s="10">
        <f>IF(SUM(季度计划!$D$15:DH15)&gt;=0.999999,1,0)</f>
        <v>1</v>
      </c>
      <c r="DI90" s="10">
        <f>IF(SUM(季度计划!$D$15:DI15)&gt;=0.999999,1,0)</f>
        <v>1</v>
      </c>
      <c r="DJ90" s="10">
        <f>IF(SUM(季度计划!$D$15:DJ15)&gt;=0.999999,1,0)</f>
        <v>1</v>
      </c>
      <c r="DK90" s="10">
        <f>IF(SUM(季度计划!$D$15:DK15)&gt;=0.999999,1,0)</f>
        <v>1</v>
      </c>
      <c r="DL90" s="10">
        <f>IF(SUM(季度计划!$D$15:DL15)&gt;=0.999999,1,0)</f>
        <v>1</v>
      </c>
      <c r="DM90" s="10">
        <f>IF(SUM(季度计划!$D$15:DM15)&gt;=0.999999,1,0)</f>
        <v>1</v>
      </c>
      <c r="DN90" s="10">
        <f>IF(SUM(季度计划!$D$15:DN15)&gt;=0.999999,1,0)</f>
        <v>1</v>
      </c>
      <c r="DO90" s="10">
        <f>IF(SUM(季度计划!$D$15:DO15)&gt;=0.999999,1,0)</f>
        <v>1</v>
      </c>
      <c r="DP90" s="10">
        <f>IF(SUM(季度计划!$D$15:DP15)&gt;=0.999999,1,0)</f>
        <v>1</v>
      </c>
      <c r="DQ90" s="10">
        <f>IF(SUM(季度计划!$D$15:DQ15)&gt;=0.999999,1,0)</f>
        <v>1</v>
      </c>
      <c r="DR90" s="10">
        <f>IF(SUM(季度计划!$D$15:DR15)&gt;=0.999999,1,0)</f>
        <v>1</v>
      </c>
      <c r="DS90" s="10">
        <f>IF(SUM(季度计划!$D$15:DS15)&gt;=0.999999,1,0)</f>
        <v>1</v>
      </c>
      <c r="DT90" s="10">
        <f>IF(SUM(季度计划!$D$15:DT15)&gt;=0.999999,1,0)</f>
        <v>1</v>
      </c>
    </row>
    <row r="91" spans="1:124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</row>
    <row r="92" spans="1:124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</row>
    <row r="93" spans="1:124" ht="21" customHeight="1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</row>
    <row r="94" spans="1:124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</row>
    <row r="95" spans="1:124" ht="21" customHeight="1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</row>
    <row r="96" spans="1:124" ht="21" customHeight="1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</row>
    <row r="97" spans="1:12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</row>
    <row r="98" spans="1:12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</row>
    <row r="99" spans="1:12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</row>
    <row r="100" spans="1:12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21" customHeight="1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21" customHeight="1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21" customHeight="1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21" customHeight="1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21" customHeight="1">
      <c r="A121" s="8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21" customHeight="1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21" customHeight="1">
      <c r="A123" s="8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21" customHeight="1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21" customHeight="1">
      <c r="A125" s="8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21" customHeight="1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21" customHeight="1">
      <c r="A127" s="8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21" customHeight="1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21" customHeight="1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21" customHeight="1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21" customHeight="1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21" customHeight="1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21" customHeight="1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21" customHeight="1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21" customHeight="1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21" customHeight="1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21" customHeight="1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21" customHeight="1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21" customHeight="1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21" customHeight="1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21" customHeight="1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21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21" customHeight="1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21" customHeight="1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21" customHeight="1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21" customHeight="1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</row>
    <row r="200" spans="4:124" hidden="1">
      <c r="D200" s="10">
        <f>IF(SUM(季度计划!$D$125:D125)&gt;=0.999999,1,0)</f>
        <v>0</v>
      </c>
      <c r="E200" s="10">
        <f>IF(SUM(季度计划!$D$125:E125)&gt;=0.999999,1,0)</f>
        <v>0</v>
      </c>
      <c r="F200" s="10">
        <f>IF(SUM(季度计划!$D$125:F125)&gt;=0.999999,1,0)</f>
        <v>0</v>
      </c>
      <c r="G200" s="10">
        <f>IF(SUM(季度计划!$D$125:G125)&gt;=0.999999,1,0)</f>
        <v>0</v>
      </c>
      <c r="H200" s="10">
        <f>IF(SUM(季度计划!$D$125:H125)&gt;=0.999999,1,0)</f>
        <v>0</v>
      </c>
      <c r="I200" s="10">
        <f>IF(SUM(季度计划!$D$125:I125)&gt;=0.999999,1,0)</f>
        <v>0</v>
      </c>
      <c r="J200" s="10">
        <f>IF(SUM(季度计划!$D$125:J125)&gt;=0.999999,1,0)</f>
        <v>0</v>
      </c>
      <c r="K200" s="10">
        <f>IF(SUM(季度计划!$D$125:K125)&gt;=0.999999,1,0)</f>
        <v>0</v>
      </c>
      <c r="L200" s="10">
        <f>IF(SUM(季度计划!$D$125:L125)&gt;=0.999999,1,0)</f>
        <v>0</v>
      </c>
      <c r="M200" s="10">
        <f>IF(SUM(季度计划!$D$125:M125)&gt;=0.999999,1,0)</f>
        <v>0</v>
      </c>
      <c r="N200" s="10">
        <f>IF(SUM(季度计划!$D$125:N125)&gt;=0.999999,1,0)</f>
        <v>0</v>
      </c>
      <c r="O200" s="10">
        <f>IF(SUM(季度计划!$D$125:O125)&gt;=0.999999,1,0)</f>
        <v>0</v>
      </c>
      <c r="P200" s="10">
        <f>IF(SUM(季度计划!$D$125:P125)&gt;=0.999999,1,0)</f>
        <v>0</v>
      </c>
      <c r="Q200" s="10">
        <f>IF(SUM(季度计划!$D$125:Q125)&gt;=0.999999,1,0)</f>
        <v>0</v>
      </c>
      <c r="R200" s="10">
        <f>IF(SUM(季度计划!$D$125:R125)&gt;=0.999999,1,0)</f>
        <v>0</v>
      </c>
      <c r="S200" s="10">
        <f>IF(SUM(季度计划!$D$125:S125)&gt;=0.999999,1,0)</f>
        <v>0</v>
      </c>
      <c r="T200" s="10">
        <f>IF(SUM(季度计划!$D$125:T125)&gt;=0.999999,1,0)</f>
        <v>0</v>
      </c>
      <c r="U200" s="10">
        <f>IF(SUM(季度计划!$D$125:U125)&gt;=0.999999,1,0)</f>
        <v>0</v>
      </c>
      <c r="V200" s="10">
        <f>IF(SUM(季度计划!$D$125:V125)&gt;=0.999999,1,0)</f>
        <v>0</v>
      </c>
      <c r="W200" s="10">
        <f>IF(SUM(季度计划!$D$125:W125)&gt;=0.999999,1,0)</f>
        <v>0</v>
      </c>
      <c r="X200" s="10">
        <f>IF(SUM(季度计划!$D$125:X125)&gt;=0.999999,1,0)</f>
        <v>0</v>
      </c>
      <c r="Y200" s="10">
        <f>IF(SUM(季度计划!$D$125:Y125)&gt;=0.999999,1,0)</f>
        <v>0</v>
      </c>
      <c r="Z200" s="10">
        <f>IF(SUM(季度计划!$D$125:Z125)&gt;=0.999999,1,0)</f>
        <v>0</v>
      </c>
      <c r="AA200" s="10">
        <f>IF(SUM(季度计划!$D$125:AA125)&gt;=0.999999,1,0)</f>
        <v>0</v>
      </c>
      <c r="AB200" s="10">
        <f>IF(SUM(季度计划!$D$125:AB125)&gt;=0.999999,1,0)</f>
        <v>1</v>
      </c>
      <c r="AC200" s="10">
        <f>IF(SUM(季度计划!$D$125:AC125)&gt;=0.999999,1,0)</f>
        <v>1</v>
      </c>
      <c r="AD200" s="10">
        <f>IF(SUM(季度计划!$D$125:AD125)&gt;=0.999999,1,0)</f>
        <v>1</v>
      </c>
      <c r="AE200" s="10">
        <f>IF(SUM(季度计划!$D$125:AE125)&gt;=0.999999,1,0)</f>
        <v>1</v>
      </c>
      <c r="AF200" s="10">
        <f>IF(SUM(季度计划!$D$125:AF125)&gt;=0.999999,1,0)</f>
        <v>1</v>
      </c>
      <c r="AG200" s="10">
        <f>IF(SUM(季度计划!$D$125:AG125)&gt;=0.999999,1,0)</f>
        <v>1</v>
      </c>
      <c r="AH200" s="10">
        <f>IF(SUM(季度计划!$D$125:AH125)&gt;=0.999999,1,0)</f>
        <v>1</v>
      </c>
      <c r="AI200" s="10">
        <f>IF(SUM(季度计划!$D$125:AI125)&gt;=0.999999,1,0)</f>
        <v>1</v>
      </c>
      <c r="AJ200" s="10">
        <f>IF(SUM(季度计划!$D$125:AJ125)&gt;=0.999999,1,0)</f>
        <v>1</v>
      </c>
      <c r="AK200" s="10">
        <f>IF(SUM(季度计划!$D$125:AK125)&gt;=0.999999,1,0)</f>
        <v>1</v>
      </c>
      <c r="AL200" s="10">
        <f>IF(SUM(季度计划!$D$125:AL125)&gt;=0.999999,1,0)</f>
        <v>1</v>
      </c>
      <c r="AM200" s="10">
        <f>IF(SUM(季度计划!$D$125:AM125)&gt;=0.999999,1,0)</f>
        <v>1</v>
      </c>
      <c r="AN200" s="10">
        <f>IF(SUM(季度计划!$D$125:AN125)&gt;=0.999999,1,0)</f>
        <v>1</v>
      </c>
      <c r="AO200" s="10">
        <f>IF(SUM(季度计划!$D$125:AO125)&gt;=0.999999,1,0)</f>
        <v>1</v>
      </c>
      <c r="AP200" s="10">
        <f>IF(SUM(季度计划!$D$125:AP125)&gt;=0.999999,1,0)</f>
        <v>1</v>
      </c>
      <c r="AQ200" s="10">
        <f>IF(SUM(季度计划!$D$125:AQ125)&gt;=0.999999,1,0)</f>
        <v>1</v>
      </c>
      <c r="AR200" s="10">
        <f>IF(SUM(季度计划!$D$125:AR125)&gt;=0.999999,1,0)</f>
        <v>1</v>
      </c>
      <c r="AS200" s="10">
        <f>IF(SUM(季度计划!$D$125:AS125)&gt;=0.999999,1,0)</f>
        <v>1</v>
      </c>
      <c r="AT200" s="10">
        <f>IF(SUM(季度计划!$D$125:AT125)&gt;=0.999999,1,0)</f>
        <v>1</v>
      </c>
      <c r="AU200" s="10">
        <f>IF(SUM(季度计划!$D$125:AU125)&gt;=0.999999,1,0)</f>
        <v>1</v>
      </c>
      <c r="AV200" s="10">
        <f>IF(SUM(季度计划!$D$125:AV125)&gt;=0.999999,1,0)</f>
        <v>1</v>
      </c>
      <c r="AW200" s="10">
        <f>IF(SUM(季度计划!$D$125:AW125)&gt;=0.999999,1,0)</f>
        <v>1</v>
      </c>
      <c r="AX200" s="10">
        <f>IF(SUM(季度计划!$D$125:AX125)&gt;=0.999999,1,0)</f>
        <v>1</v>
      </c>
      <c r="AY200" s="10">
        <f>IF(SUM(季度计划!$D$125:AY125)&gt;=0.999999,1,0)</f>
        <v>1</v>
      </c>
      <c r="AZ200" s="10">
        <f>IF(SUM(季度计划!$D$125:AZ125)&gt;=0.999999,1,0)</f>
        <v>1</v>
      </c>
      <c r="BA200" s="10">
        <f>IF(SUM(季度计划!$D$125:BA125)&gt;=0.999999,1,0)</f>
        <v>1</v>
      </c>
      <c r="BB200" s="10">
        <f>IF(SUM(季度计划!$D$125:BB125)&gt;=0.999999,1,0)</f>
        <v>1</v>
      </c>
      <c r="BC200" s="10">
        <f>IF(SUM(季度计划!$D$125:BC125)&gt;=0.999999,1,0)</f>
        <v>1</v>
      </c>
      <c r="BD200" s="10">
        <f>IF(SUM(季度计划!$D$125:BD125)&gt;=0.999999,1,0)</f>
        <v>1</v>
      </c>
      <c r="BE200" s="10">
        <f>IF(SUM(季度计划!$D$125:BE125)&gt;=0.999999,1,0)</f>
        <v>1</v>
      </c>
      <c r="BF200" s="10">
        <f>IF(SUM(季度计划!$D$125:BF125)&gt;=0.999999,1,0)</f>
        <v>1</v>
      </c>
      <c r="BG200" s="10">
        <f>IF(SUM(季度计划!$D$125:BG125)&gt;=0.999999,1,0)</f>
        <v>1</v>
      </c>
      <c r="BH200" s="10">
        <f>IF(SUM(季度计划!$D$125:BH125)&gt;=0.999999,1,0)</f>
        <v>1</v>
      </c>
      <c r="BI200" s="10">
        <f>IF(SUM(季度计划!$D$125:BI125)&gt;=0.999999,1,0)</f>
        <v>1</v>
      </c>
      <c r="BJ200" s="10">
        <f>IF(SUM(季度计划!$D$125:BJ125)&gt;=0.999999,1,0)</f>
        <v>1</v>
      </c>
      <c r="BK200" s="10">
        <f>IF(SUM(季度计划!$D$125:BK125)&gt;=0.999999,1,0)</f>
        <v>1</v>
      </c>
      <c r="BL200" s="10">
        <f>IF(SUM(季度计划!$D$125:BL125)&gt;=0.999999,1,0)</f>
        <v>1</v>
      </c>
      <c r="BM200" s="10">
        <f>IF(SUM(季度计划!$D$125:BM125)&gt;=0.999999,1,0)</f>
        <v>1</v>
      </c>
      <c r="BN200" s="10">
        <f>IF(SUM(季度计划!$D$125:BN125)&gt;=0.999999,1,0)</f>
        <v>1</v>
      </c>
      <c r="BO200" s="10">
        <f>IF(SUM(季度计划!$D$125:BO125)&gt;=0.999999,1,0)</f>
        <v>1</v>
      </c>
      <c r="BP200" s="10">
        <f>IF(SUM(季度计划!$D$125:BP125)&gt;=0.999999,1,0)</f>
        <v>1</v>
      </c>
      <c r="BQ200" s="10">
        <f>IF(SUM(季度计划!$D$125:BQ125)&gt;=0.999999,1,0)</f>
        <v>1</v>
      </c>
      <c r="BR200" s="10">
        <f>IF(SUM(季度计划!$D$125:BR125)&gt;=0.999999,1,0)</f>
        <v>1</v>
      </c>
      <c r="BS200" s="10">
        <f>IF(SUM(季度计划!$D$125:BS125)&gt;=0.999999,1,0)</f>
        <v>1</v>
      </c>
      <c r="BT200" s="10">
        <f>IF(SUM(季度计划!$D$125:BT125)&gt;=0.999999,1,0)</f>
        <v>1</v>
      </c>
      <c r="BU200" s="10">
        <f>IF(SUM(季度计划!$D$125:BU125)&gt;=0.999999,1,0)</f>
        <v>1</v>
      </c>
      <c r="BV200" s="10">
        <f>IF(SUM(季度计划!$D$125:BV125)&gt;=0.999999,1,0)</f>
        <v>1</v>
      </c>
      <c r="BW200" s="10">
        <f>IF(SUM(季度计划!$D$125:BW125)&gt;=0.999999,1,0)</f>
        <v>1</v>
      </c>
      <c r="BX200" s="10">
        <f>IF(SUM(季度计划!$D$125:BX125)&gt;=0.999999,1,0)</f>
        <v>1</v>
      </c>
      <c r="BY200" s="10">
        <f>IF(SUM(季度计划!$D$125:BY125)&gt;=0.999999,1,0)</f>
        <v>1</v>
      </c>
      <c r="BZ200" s="10">
        <f>IF(SUM(季度计划!$D$125:BZ125)&gt;=0.999999,1,0)</f>
        <v>1</v>
      </c>
      <c r="CA200" s="10">
        <f>IF(SUM(季度计划!$D$125:CA125)&gt;=0.999999,1,0)</f>
        <v>1</v>
      </c>
      <c r="CB200" s="10">
        <f>IF(SUM(季度计划!$D$125:CB125)&gt;=0.999999,1,0)</f>
        <v>1</v>
      </c>
      <c r="CC200" s="10">
        <f>IF(SUM(季度计划!$D$125:CC125)&gt;=0.999999,1,0)</f>
        <v>1</v>
      </c>
      <c r="CD200" s="10">
        <f>IF(SUM(季度计划!$D$125:CD125)&gt;=0.999999,1,0)</f>
        <v>1</v>
      </c>
      <c r="CE200" s="10">
        <f>IF(SUM(季度计划!$D$125:CE125)&gt;=0.999999,1,0)</f>
        <v>1</v>
      </c>
      <c r="CF200" s="10">
        <f>IF(SUM(季度计划!$D$125:CF125)&gt;=0.999999,1,0)</f>
        <v>1</v>
      </c>
      <c r="CG200" s="10">
        <f>IF(SUM(季度计划!$D$125:CG125)&gt;=0.999999,1,0)</f>
        <v>1</v>
      </c>
      <c r="CH200" s="10">
        <f>IF(SUM(季度计划!$D$125:CH125)&gt;=0.999999,1,0)</f>
        <v>1</v>
      </c>
      <c r="CI200" s="10">
        <f>IF(SUM(季度计划!$D$125:CI125)&gt;=0.999999,1,0)</f>
        <v>1</v>
      </c>
      <c r="CJ200" s="10">
        <f>IF(SUM(季度计划!$D$125:CJ125)&gt;=0.999999,1,0)</f>
        <v>1</v>
      </c>
      <c r="CK200" s="10">
        <f>IF(SUM(季度计划!$D$125:CK125)&gt;=0.999999,1,0)</f>
        <v>1</v>
      </c>
      <c r="CL200" s="10">
        <f>IF(SUM(季度计划!$D$125:CL125)&gt;=0.999999,1,0)</f>
        <v>1</v>
      </c>
      <c r="CM200" s="10">
        <f>IF(SUM(季度计划!$D$125:CM125)&gt;=0.999999,1,0)</f>
        <v>1</v>
      </c>
      <c r="CN200" s="10">
        <f>IF(SUM(季度计划!$D$125:CN125)&gt;=0.999999,1,0)</f>
        <v>1</v>
      </c>
      <c r="CO200" s="10">
        <f>IF(SUM(季度计划!$D$125:CO125)&gt;=0.999999,1,0)</f>
        <v>1</v>
      </c>
      <c r="CP200" s="10">
        <f>IF(SUM(季度计划!$D$125:CP125)&gt;=0.999999,1,0)</f>
        <v>1</v>
      </c>
      <c r="CQ200" s="10">
        <f>IF(SUM(季度计划!$D$125:CQ125)&gt;=0.999999,1,0)</f>
        <v>1</v>
      </c>
      <c r="CR200" s="10">
        <f>IF(SUM(季度计划!$D$125:CR125)&gt;=0.999999,1,0)</f>
        <v>1</v>
      </c>
      <c r="CS200" s="10">
        <f>IF(SUM(季度计划!$D$125:CS125)&gt;=0.999999,1,0)</f>
        <v>1</v>
      </c>
      <c r="CT200" s="10">
        <f>IF(SUM(季度计划!$D$125:CT125)&gt;=0.999999,1,0)</f>
        <v>1</v>
      </c>
      <c r="CU200" s="10">
        <f>IF(SUM(季度计划!$D$125:CU125)&gt;=0.999999,1,0)</f>
        <v>1</v>
      </c>
      <c r="CV200" s="10">
        <f>IF(SUM(季度计划!$D$125:CV125)&gt;=0.999999,1,0)</f>
        <v>1</v>
      </c>
      <c r="CW200" s="10">
        <f>IF(SUM(季度计划!$D$125:CW125)&gt;=0.999999,1,0)</f>
        <v>1</v>
      </c>
      <c r="CX200" s="10">
        <f>IF(SUM(季度计划!$D$125:CX125)&gt;=0.999999,1,0)</f>
        <v>1</v>
      </c>
      <c r="CY200" s="10">
        <f>IF(SUM(季度计划!$D$125:CY125)&gt;=0.999999,1,0)</f>
        <v>1</v>
      </c>
      <c r="CZ200" s="10">
        <f>IF(SUM(季度计划!$D$125:CZ125)&gt;=0.999999,1,0)</f>
        <v>1</v>
      </c>
      <c r="DA200" s="10">
        <f>IF(SUM(季度计划!$D$125:DA125)&gt;=0.999999,1,0)</f>
        <v>1</v>
      </c>
      <c r="DB200" s="10">
        <f>IF(SUM(季度计划!$D$125:DB125)&gt;=0.999999,1,0)</f>
        <v>1</v>
      </c>
      <c r="DC200" s="10">
        <f>IF(SUM(季度计划!$D$125:DC125)&gt;=0.999999,1,0)</f>
        <v>1</v>
      </c>
      <c r="DD200" s="10">
        <f>IF(SUM(季度计划!$D$125:DD125)&gt;=0.999999,1,0)</f>
        <v>1</v>
      </c>
      <c r="DE200" s="10">
        <f>IF(SUM(季度计划!$D$125:DE125)&gt;=0.999999,1,0)</f>
        <v>1</v>
      </c>
      <c r="DF200" s="10">
        <f>IF(SUM(季度计划!$D$125:DF125)&gt;=0.999999,1,0)</f>
        <v>1</v>
      </c>
      <c r="DG200" s="10">
        <f>IF(SUM(季度计划!$D$125:DG125)&gt;=0.999999,1,0)</f>
        <v>1</v>
      </c>
      <c r="DH200" s="10">
        <f>IF(SUM(季度计划!$D$125:DH125)&gt;=0.999999,1,0)</f>
        <v>1</v>
      </c>
      <c r="DI200" s="10">
        <f>IF(SUM(季度计划!$D$125:DI125)&gt;=0.999999,1,0)</f>
        <v>1</v>
      </c>
      <c r="DJ200" s="10">
        <f>IF(SUM(季度计划!$D$125:DJ125)&gt;=0.999999,1,0)</f>
        <v>1</v>
      </c>
      <c r="DK200" s="10">
        <f>IF(SUM(季度计划!$D$125:DK125)&gt;=0.999999,1,0)</f>
        <v>1</v>
      </c>
      <c r="DL200" s="10">
        <f>IF(SUM(季度计划!$D$125:DL125)&gt;=0.999999,1,0)</f>
        <v>1</v>
      </c>
      <c r="DM200" s="10">
        <f>IF(SUM(季度计划!$D$125:DM125)&gt;=0.999999,1,0)</f>
        <v>1</v>
      </c>
      <c r="DN200" s="10">
        <f>IF(SUM(季度计划!$D$125:DN125)&gt;=0.999999,1,0)</f>
        <v>1</v>
      </c>
      <c r="DO200" s="10">
        <f>IF(SUM(季度计划!$D$125:DO125)&gt;=0.999999,1,0)</f>
        <v>1</v>
      </c>
      <c r="DP200" s="10">
        <f>IF(SUM(季度计划!$D$125:DP125)&gt;=0.999999,1,0)</f>
        <v>1</v>
      </c>
      <c r="DQ200" s="10">
        <f>IF(SUM(季度计划!$D$125:DQ125)&gt;=0.999999,1,0)</f>
        <v>1</v>
      </c>
      <c r="DR200" s="10">
        <f>IF(SUM(季度计划!$D$125:DR125)&gt;=0.999999,1,0)</f>
        <v>1</v>
      </c>
      <c r="DS200" s="10">
        <f>IF(SUM(季度计划!$D$125:DS125)&gt;=0.999999,1,0)</f>
        <v>1</v>
      </c>
      <c r="DT200" s="10">
        <f>IF(SUM(季度计划!$D$125:DT125)&gt;=0.999999,1,0)</f>
        <v>1</v>
      </c>
    </row>
  </sheetData>
  <sheetProtection sheet="1" objects="1" scenarios="1"/>
  <mergeCells count="13">
    <mergeCell ref="H39:L39"/>
    <mergeCell ref="H49:L49"/>
    <mergeCell ref="H50:L50"/>
    <mergeCell ref="H15:L15"/>
    <mergeCell ref="H22:L22"/>
    <mergeCell ref="H23:L23"/>
    <mergeCell ref="H29:L29"/>
    <mergeCell ref="H38:L38"/>
    <mergeCell ref="H6:L6"/>
    <mergeCell ref="H7:L7"/>
    <mergeCell ref="H8:L8"/>
    <mergeCell ref="H10:L10"/>
    <mergeCell ref="H12:L12"/>
  </mergeCells>
  <phoneticPr fontId="11" type="noConversion"/>
  <conditionalFormatting sqref="F6:G15">
    <cfRule type="expression" dxfId="2" priority="1">
      <formula>F6="未通过"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10" customWidth="1"/>
    <col min="2" max="2" width="18" style="10" customWidth="1"/>
    <col min="3" max="3" width="3" style="10" customWidth="1"/>
    <col min="4" max="34" width="16" style="10" customWidth="1"/>
    <col min="35" max="16384" width="9" style="10"/>
  </cols>
  <sheetData>
    <row r="1" spans="1:34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30" customHeight="1">
      <c r="A2" s="11" t="s">
        <v>359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21" customHeight="1">
      <c r="A4" s="8" t="s">
        <v>360</v>
      </c>
      <c r="B4" s="8"/>
      <c r="C4" s="8"/>
      <c r="D4" s="31">
        <v>0</v>
      </c>
      <c r="E4" s="31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1">
        <v>30</v>
      </c>
    </row>
    <row r="5" spans="1:34" ht="21" customHeight="1">
      <c r="A5" s="8" t="s">
        <v>361</v>
      </c>
      <c r="B5" s="8"/>
      <c r="C5" s="8"/>
      <c r="D5" s="31">
        <f>核心参数输入!$B$8+D$4</f>
        <v>2026</v>
      </c>
      <c r="E5" s="31">
        <f>核心参数输入!$B$8+E$4</f>
        <v>2027</v>
      </c>
      <c r="F5" s="31">
        <f>核心参数输入!$B$8+F$4</f>
        <v>2028</v>
      </c>
      <c r="G5" s="31">
        <f>核心参数输入!$B$8+G$4</f>
        <v>2029</v>
      </c>
      <c r="H5" s="31">
        <f>核心参数输入!$B$8+H$4</f>
        <v>2030</v>
      </c>
      <c r="I5" s="31">
        <f>核心参数输入!$B$8+I$4</f>
        <v>2031</v>
      </c>
      <c r="J5" s="31">
        <f>核心参数输入!$B$8+J$4</f>
        <v>2032</v>
      </c>
      <c r="K5" s="31">
        <f>核心参数输入!$B$8+K$4</f>
        <v>2033</v>
      </c>
      <c r="L5" s="31">
        <f>核心参数输入!$B$8+L$4</f>
        <v>2034</v>
      </c>
      <c r="M5" s="31">
        <f>核心参数输入!$B$8+M$4</f>
        <v>2035</v>
      </c>
      <c r="N5" s="31">
        <f>核心参数输入!$B$8+N$4</f>
        <v>2036</v>
      </c>
      <c r="O5" s="31">
        <f>核心参数输入!$B$8+O$4</f>
        <v>2037</v>
      </c>
      <c r="P5" s="31">
        <f>核心参数输入!$B$8+P$4</f>
        <v>2038</v>
      </c>
      <c r="Q5" s="31">
        <f>核心参数输入!$B$8+Q$4</f>
        <v>2039</v>
      </c>
      <c r="R5" s="31">
        <f>核心参数输入!$B$8+R$4</f>
        <v>2040</v>
      </c>
      <c r="S5" s="31">
        <f>核心参数输入!$B$8+S$4</f>
        <v>2041</v>
      </c>
      <c r="T5" s="31">
        <f>核心参数输入!$B$8+T$4</f>
        <v>2042</v>
      </c>
      <c r="U5" s="31">
        <f>核心参数输入!$B$8+U$4</f>
        <v>2043</v>
      </c>
      <c r="V5" s="31">
        <f>核心参数输入!$B$8+V$4</f>
        <v>2044</v>
      </c>
      <c r="W5" s="31">
        <f>核心参数输入!$B$8+W$4</f>
        <v>2045</v>
      </c>
      <c r="X5" s="31">
        <f>核心参数输入!$B$8+X$4</f>
        <v>2046</v>
      </c>
      <c r="Y5" s="31">
        <f>核心参数输入!$B$8+Y$4</f>
        <v>2047</v>
      </c>
      <c r="Z5" s="31">
        <f>核心参数输入!$B$8+Z$4</f>
        <v>2048</v>
      </c>
      <c r="AA5" s="31">
        <f>核心参数输入!$B$8+AA$4</f>
        <v>2049</v>
      </c>
      <c r="AB5" s="31">
        <f>核心参数输入!$B$8+AB$4</f>
        <v>2050</v>
      </c>
      <c r="AC5" s="31">
        <f>核心参数输入!$B$8+AC$4</f>
        <v>2051</v>
      </c>
      <c r="AD5" s="31">
        <f>核心参数输入!$B$8+AD$4</f>
        <v>2052</v>
      </c>
      <c r="AE5" s="31">
        <f>核心参数输入!$B$8+AE$4</f>
        <v>2053</v>
      </c>
      <c r="AF5" s="31">
        <f>核心参数输入!$B$8+AF$4</f>
        <v>2054</v>
      </c>
      <c r="AG5" s="31">
        <f>核心参数输入!$B$8+AG$4</f>
        <v>2055</v>
      </c>
      <c r="AH5" s="31">
        <f>核心参数输入!$B$8+AH$4</f>
        <v>2056</v>
      </c>
    </row>
    <row r="6" spans="1:34" ht="21" customHeight="1">
      <c r="A6" s="8"/>
      <c r="B6" s="8"/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21" customHeight="1">
      <c r="A7" s="8"/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24" customHeight="1">
      <c r="A8" s="23" t="s">
        <v>362</v>
      </c>
      <c r="B8" s="23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ht="21" customHeight="1">
      <c r="A9" s="8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21" customHeight="1">
      <c r="A10" s="8" t="s">
        <v>363</v>
      </c>
      <c r="B10" s="8" t="s">
        <v>39</v>
      </c>
      <c r="C10" s="8"/>
      <c r="D10" s="9">
        <f>IF(0&lt;=核心参数输入!$B$9,SUMIFS(季度经营税费!$D$32:$DT$32,季度经营税费!$D$6:$DT$6,0),0)</f>
        <v>0</v>
      </c>
      <c r="E10" s="9">
        <f>IF(1&lt;=核心参数输入!$B$9,SUMIFS(季度经营税费!$D$32:$DT$32,季度经营税费!$D$6:$DT$6,1),0)</f>
        <v>0</v>
      </c>
      <c r="F10" s="9">
        <f>IF(2&lt;=核心参数输入!$B$9,SUMIFS(季度经营税费!$D$32:$DT$32,季度经营税费!$D$6:$DT$6,2),0)</f>
        <v>0</v>
      </c>
      <c r="G10" s="9">
        <f>IF(3&lt;=核心参数输入!$B$9,SUMIFS(季度经营税费!$D$32:$DT$32,季度经营税费!$D$6:$DT$6,3),0)</f>
        <v>0</v>
      </c>
      <c r="H10" s="9">
        <f>IF(4&lt;=核心参数输入!$B$9,SUMIFS(季度经营税费!$D$32:$DT$32,季度经营税费!$D$6:$DT$6,4),0)</f>
        <v>14478.75</v>
      </c>
      <c r="I10" s="9">
        <f>IF(5&lt;=核心参数输入!$B$9,SUMIFS(季度经营税费!$D$32:$DT$32,季度经营税费!$D$6:$DT$6,5),0)</f>
        <v>19305</v>
      </c>
      <c r="J10" s="9">
        <f>IF(6&lt;=核心参数输入!$B$9,SUMIFS(季度经营税费!$D$32:$DT$32,季度经营税费!$D$6:$DT$6,6),0)</f>
        <v>14478.75</v>
      </c>
      <c r="K10" s="9">
        <f>IF(7&lt;=核心参数输入!$B$9,SUMIFS(季度经营税费!$D$32:$DT$32,季度经营税费!$D$6:$DT$6,7),0)</f>
        <v>0</v>
      </c>
      <c r="L10" s="9">
        <f>IF(8&lt;=核心参数输入!$B$9,SUMIFS(季度经营税费!$D$32:$DT$32,季度经营税费!$D$6:$DT$6,8),0)</f>
        <v>0</v>
      </c>
      <c r="M10" s="9">
        <f>IF(9&lt;=核心参数输入!$B$9,SUMIFS(季度经营税费!$D$32:$DT$32,季度经营税费!$D$6:$DT$6,9),0)</f>
        <v>0</v>
      </c>
      <c r="N10" s="9">
        <f>IF(10&lt;=核心参数输入!$B$9,SUMIFS(季度经营税费!$D$32:$DT$32,季度经营税费!$D$6:$DT$6,10),0)</f>
        <v>0</v>
      </c>
      <c r="O10" s="9">
        <f>IF(11&lt;=核心参数输入!$B$9,SUMIFS(季度经营税费!$D$32:$DT$32,季度经营税费!$D$6:$DT$6,11),0)</f>
        <v>0</v>
      </c>
      <c r="P10" s="9">
        <f>IF(12&lt;=核心参数输入!$B$9,SUMIFS(季度经营税费!$D$32:$DT$32,季度经营税费!$D$6:$DT$6,12),0)</f>
        <v>0</v>
      </c>
      <c r="Q10" s="9">
        <f>IF(13&lt;=核心参数输入!$B$9,SUMIFS(季度经营税费!$D$32:$DT$32,季度经营税费!$D$6:$DT$6,13),0)</f>
        <v>0</v>
      </c>
      <c r="R10" s="9">
        <f>IF(14&lt;=核心参数输入!$B$9,SUMIFS(季度经营税费!$D$32:$DT$32,季度经营税费!$D$6:$DT$6,14),0)</f>
        <v>0</v>
      </c>
      <c r="S10" s="9">
        <f>IF(15&lt;=核心参数输入!$B$9,SUMIFS(季度经营税费!$D$32:$DT$32,季度经营税费!$D$6:$DT$6,15),0)</f>
        <v>0</v>
      </c>
      <c r="T10" s="9">
        <f>IF(16&lt;=核心参数输入!$B$9,SUMIFS(季度经营税费!$D$32:$DT$32,季度经营税费!$D$6:$DT$6,16),0)</f>
        <v>0</v>
      </c>
      <c r="U10" s="9">
        <f>IF(17&lt;=核心参数输入!$B$9,SUMIFS(季度经营税费!$D$32:$DT$32,季度经营税费!$D$6:$DT$6,17),0)</f>
        <v>0</v>
      </c>
      <c r="V10" s="9">
        <f>IF(18&lt;=核心参数输入!$B$9,SUMIFS(季度经营税费!$D$32:$DT$32,季度经营税费!$D$6:$DT$6,18),0)</f>
        <v>0</v>
      </c>
      <c r="W10" s="9">
        <f>IF(19&lt;=核心参数输入!$B$9,SUMIFS(季度经营税费!$D$32:$DT$32,季度经营税费!$D$6:$DT$6,19),0)</f>
        <v>0</v>
      </c>
      <c r="X10" s="9">
        <f>IF(20&lt;=核心参数输入!$B$9,SUMIFS(季度经营税费!$D$32:$DT$32,季度经营税费!$D$6:$DT$6,20),0)</f>
        <v>0</v>
      </c>
      <c r="Y10" s="9">
        <f>IF(21&lt;=核心参数输入!$B$9,SUMIFS(季度经营税费!$D$32:$DT$32,季度经营税费!$D$6:$DT$6,21),0)</f>
        <v>0</v>
      </c>
      <c r="Z10" s="9">
        <f>IF(22&lt;=核心参数输入!$B$9,SUMIFS(季度经营税费!$D$32:$DT$32,季度经营税费!$D$6:$DT$6,22),0)</f>
        <v>0</v>
      </c>
      <c r="AA10" s="9">
        <f>IF(23&lt;=核心参数输入!$B$9,SUMIFS(季度经营税费!$D$32:$DT$32,季度经营税费!$D$6:$DT$6,23),0)</f>
        <v>0</v>
      </c>
      <c r="AB10" s="9">
        <f>IF(24&lt;=核心参数输入!$B$9,SUMIFS(季度经营税费!$D$32:$DT$32,季度经营税费!$D$6:$DT$6,24),0)</f>
        <v>0</v>
      </c>
      <c r="AC10" s="9">
        <f>IF(25&lt;=核心参数输入!$B$9,SUMIFS(季度经营税费!$D$32:$DT$32,季度经营税费!$D$6:$DT$6,25),0)</f>
        <v>0</v>
      </c>
      <c r="AD10" s="9">
        <f>IF(26&lt;=核心参数输入!$B$9,SUMIFS(季度经营税费!$D$32:$DT$32,季度经营税费!$D$6:$DT$6,26),0)</f>
        <v>0</v>
      </c>
      <c r="AE10" s="9">
        <f>IF(27&lt;=核心参数输入!$B$9,SUMIFS(季度经营税费!$D$32:$DT$32,季度经营税费!$D$6:$DT$6,27),0)</f>
        <v>0</v>
      </c>
      <c r="AF10" s="9">
        <f>IF(28&lt;=核心参数输入!$B$9,SUMIFS(季度经营税费!$D$32:$DT$32,季度经营税费!$D$6:$DT$6,28),0)</f>
        <v>0</v>
      </c>
      <c r="AG10" s="9">
        <f>IF(29&lt;=核心参数输入!$B$9,SUMIFS(季度经营税费!$D$32:$DT$32,季度经营税费!$D$6:$DT$6,29),0)</f>
        <v>0</v>
      </c>
      <c r="AH10" s="9">
        <f>IF(30&lt;=核心参数输入!$B$9,SUMIFS(季度经营税费!$D$32:$DT$32,季度经营税费!$D$6:$DT$6,30),0)</f>
        <v>0</v>
      </c>
    </row>
    <row r="11" spans="1:34" ht="21" customHeight="1">
      <c r="A11" s="8" t="s">
        <v>364</v>
      </c>
      <c r="B11" s="8" t="s">
        <v>39</v>
      </c>
      <c r="C11" s="8"/>
      <c r="D11" s="9">
        <f>IF(0&lt;=核心参数输入!$B$9,SUMIFS(季度经营税费!$D$33:$DT$33,季度经营税费!$D$6:$DT$6,0),0)</f>
        <v>0</v>
      </c>
      <c r="E11" s="9">
        <f>IF(1&lt;=核心参数输入!$B$9,SUMIFS(季度经营税费!$D$33:$DT$33,季度经营税费!$D$6:$DT$6,1),0)</f>
        <v>0</v>
      </c>
      <c r="F11" s="9">
        <f>IF(2&lt;=核心参数输入!$B$9,SUMIFS(季度经营税费!$D$33:$DT$33,季度经营税费!$D$6:$DT$6,2),0)</f>
        <v>0</v>
      </c>
      <c r="G11" s="9">
        <f>IF(3&lt;=核心参数输入!$B$9,SUMIFS(季度经营税费!$D$33:$DT$33,季度经营税费!$D$6:$DT$6,3),0)</f>
        <v>0</v>
      </c>
      <c r="H11" s="9">
        <f>IF(4&lt;=核心参数输入!$B$9,SUMIFS(季度经营税费!$D$33:$DT$33,季度经营税费!$D$6:$DT$6,4),0)</f>
        <v>279.60111562499992</v>
      </c>
      <c r="I11" s="9">
        <f>IF(5&lt;=核心参数输入!$B$9,SUMIFS(季度经营税费!$D$33:$DT$33,季度经营税费!$D$6:$DT$6,5),0)</f>
        <v>1091.0346199593746</v>
      </c>
      <c r="J11" s="9">
        <f>IF(6&lt;=核心参数输入!$B$9,SUMIFS(季度经营税费!$D$33:$DT$33,季度经营税费!$D$6:$DT$6,6),0)</f>
        <v>1507.472443904273</v>
      </c>
      <c r="K11" s="9">
        <f>IF(7&lt;=核心参数输入!$B$9,SUMIFS(季度经营税费!$D$33:$DT$33,季度经营税费!$D$6:$DT$6,7),0)</f>
        <v>1786.7229125468371</v>
      </c>
      <c r="L11" s="9">
        <f>IF(8&lt;=核心参数输入!$B$9,SUMIFS(季度经营税费!$D$33:$DT$33,季度经营税费!$D$6:$DT$6,8),0)</f>
        <v>1895.9566542457226</v>
      </c>
      <c r="M11" s="9">
        <f>IF(9&lt;=核心参数输入!$B$9,SUMIFS(季度经营税费!$D$33:$DT$33,季度经营税费!$D$6:$DT$6,9),0)</f>
        <v>1927.7427797186422</v>
      </c>
      <c r="N11" s="9">
        <f>IF(10&lt;=核心参数输入!$B$9,SUMIFS(季度经营税费!$D$33:$DT$33,季度经营税费!$D$6:$DT$6,10),0)</f>
        <v>1956.6589214144215</v>
      </c>
      <c r="O11" s="9">
        <f>IF(11&lt;=核心参数输入!$B$9,SUMIFS(季度经营税费!$D$33:$DT$33,季度经营税费!$D$6:$DT$6,11),0)</f>
        <v>1986.0088052356375</v>
      </c>
      <c r="P11" s="9">
        <f>IF(12&lt;=核心参数输入!$B$9,SUMIFS(季度经营税费!$D$33:$DT$33,季度经营税费!$D$6:$DT$6,12),0)</f>
        <v>2015.798937314172</v>
      </c>
      <c r="Q11" s="9">
        <f>IF(13&lt;=核心参数输入!$B$9,SUMIFS(季度经营税费!$D$33:$DT$33,季度经营税费!$D$6:$DT$6,13),0)</f>
        <v>2046.0359213738843</v>
      </c>
      <c r="R11" s="9">
        <f>IF(14&lt;=核心参数输入!$B$9,SUMIFS(季度经营税费!$D$33:$DT$33,季度经营税费!$D$6:$DT$6,14),0)</f>
        <v>2076.7264601944921</v>
      </c>
      <c r="S11" s="9">
        <f>IF(15&lt;=核心参数输入!$B$9,SUMIFS(季度经营税费!$D$33:$DT$33,季度经营税费!$D$6:$DT$6,15),0)</f>
        <v>2107.8773570974095</v>
      </c>
      <c r="T11" s="9">
        <f>IF(16&lt;=核心参数输入!$B$9,SUMIFS(季度经营税费!$D$33:$DT$33,季度经营税费!$D$6:$DT$6,16),0)</f>
        <v>2139.49551745387</v>
      </c>
      <c r="U11" s="9">
        <f>IF(17&lt;=核心参数输入!$B$9,SUMIFS(季度经营税费!$D$33:$DT$33,季度经营税费!$D$6:$DT$6,17),0)</f>
        <v>2171.5879502156781</v>
      </c>
      <c r="V11" s="9">
        <f>IF(18&lt;=核心参数输入!$B$9,SUMIFS(季度经营税费!$D$33:$DT$33,季度经营税费!$D$6:$DT$6,18),0)</f>
        <v>2204.161769468913</v>
      </c>
      <c r="W11" s="9">
        <f>IF(19&lt;=核心参数输入!$B$9,SUMIFS(季度经营税费!$D$33:$DT$33,季度经营税费!$D$6:$DT$6,19),0)</f>
        <v>2237.2241960109459</v>
      </c>
      <c r="X11" s="9">
        <f>IF(20&lt;=核心参数输入!$B$9,SUMIFS(季度经营税费!$D$33:$DT$33,季度经营税费!$D$6:$DT$6,20),0)</f>
        <v>2270.7825589511094</v>
      </c>
      <c r="Y11" s="9">
        <f>IF(21&lt;=核心参数输入!$B$9,SUMIFS(季度经营税费!$D$33:$DT$33,季度经营税费!$D$6:$DT$6,21),0)</f>
        <v>0</v>
      </c>
      <c r="Z11" s="9">
        <f>IF(22&lt;=核心参数输入!$B$9,SUMIFS(季度经营税费!$D$33:$DT$33,季度经营税费!$D$6:$DT$6,22),0)</f>
        <v>0</v>
      </c>
      <c r="AA11" s="9">
        <f>IF(23&lt;=核心参数输入!$B$9,SUMIFS(季度经营税费!$D$33:$DT$33,季度经营税费!$D$6:$DT$6,23),0)</f>
        <v>0</v>
      </c>
      <c r="AB11" s="9">
        <f>IF(24&lt;=核心参数输入!$B$9,SUMIFS(季度经营税费!$D$33:$DT$33,季度经营税费!$D$6:$DT$6,24),0)</f>
        <v>0</v>
      </c>
      <c r="AC11" s="9">
        <f>IF(25&lt;=核心参数输入!$B$9,SUMIFS(季度经营税费!$D$33:$DT$33,季度经营税费!$D$6:$DT$6,25),0)</f>
        <v>0</v>
      </c>
      <c r="AD11" s="9">
        <f>IF(26&lt;=核心参数输入!$B$9,SUMIFS(季度经营税费!$D$33:$DT$33,季度经营税费!$D$6:$DT$6,26),0)</f>
        <v>0</v>
      </c>
      <c r="AE11" s="9">
        <f>IF(27&lt;=核心参数输入!$B$9,SUMIFS(季度经营税费!$D$33:$DT$33,季度经营税费!$D$6:$DT$6,27),0)</f>
        <v>0</v>
      </c>
      <c r="AF11" s="9">
        <f>IF(28&lt;=核心参数输入!$B$9,SUMIFS(季度经营税费!$D$33:$DT$33,季度经营税费!$D$6:$DT$6,28),0)</f>
        <v>0</v>
      </c>
      <c r="AG11" s="9">
        <f>IF(29&lt;=核心参数输入!$B$9,SUMIFS(季度经营税费!$D$33:$DT$33,季度经营税费!$D$6:$DT$6,29),0)</f>
        <v>0</v>
      </c>
      <c r="AH11" s="9">
        <f>IF(30&lt;=核心参数输入!$B$9,SUMIFS(季度经营税费!$D$33:$DT$33,季度经营税费!$D$6:$DT$6,30),0)</f>
        <v>0</v>
      </c>
    </row>
    <row r="12" spans="1:34" ht="21" customHeight="1">
      <c r="A12" s="8" t="s">
        <v>365</v>
      </c>
      <c r="B12" s="8" t="s">
        <v>39</v>
      </c>
      <c r="C12" s="8"/>
      <c r="D12" s="9">
        <f>IF(0&lt;=核心参数输入!$B$9,SUMIFS(季度经营税费!$D$12:$DT$12,季度经营税费!$D$6:$DT$6,0),0)</f>
        <v>0</v>
      </c>
      <c r="E12" s="9">
        <f>IF(1&lt;=核心参数输入!$B$9,SUMIFS(季度经营税费!$D$12:$DT$12,季度经营税费!$D$6:$DT$6,1),0)</f>
        <v>0</v>
      </c>
      <c r="F12" s="9">
        <f>IF(2&lt;=核心参数输入!$B$9,SUMIFS(季度经营税费!$D$12:$DT$12,季度经营税费!$D$6:$DT$6,2),0)</f>
        <v>0</v>
      </c>
      <c r="G12" s="9">
        <f>IF(3&lt;=核心参数输入!$B$9,SUMIFS(季度经营税费!$D$12:$DT$12,季度经营税费!$D$6:$DT$6,3),0)</f>
        <v>0</v>
      </c>
      <c r="H12" s="9">
        <f>IF(4&lt;=核心参数输入!$B$9,SUMIFS(季度经营税费!$D$12:$DT$12,季度经营税费!$D$6:$DT$6,4),0)</f>
        <v>13392.84375</v>
      </c>
      <c r="I12" s="9">
        <f>IF(5&lt;=核心参数输入!$B$9,SUMIFS(季度经营税费!$D$12:$DT$12,季度经营税费!$D$6:$DT$6,5),0)</f>
        <v>18943.03125</v>
      </c>
      <c r="J12" s="9">
        <f>IF(6&lt;=核心参数输入!$B$9,SUMIFS(季度经营税费!$D$12:$DT$12,季度经营税费!$D$6:$DT$6,6),0)</f>
        <v>14840.71875</v>
      </c>
      <c r="K12" s="9">
        <f>IF(7&lt;=核心参数输入!$B$9,SUMIFS(季度经营税费!$D$12:$DT$12,季度经营税费!$D$6:$DT$6,7),0)</f>
        <v>1085.9062500000002</v>
      </c>
      <c r="L12" s="9">
        <f>IF(8&lt;=核心参数输入!$B$9,SUMIFS(季度经营税费!$D$12:$DT$12,季度经营税费!$D$6:$DT$6,8),0)</f>
        <v>0</v>
      </c>
      <c r="M12" s="9">
        <f>IF(9&lt;=核心参数输入!$B$9,SUMIFS(季度经营税费!$D$12:$DT$12,季度经营税费!$D$6:$DT$6,9),0)</f>
        <v>0</v>
      </c>
      <c r="N12" s="9">
        <f>IF(10&lt;=核心参数输入!$B$9,SUMIFS(季度经营税费!$D$12:$DT$12,季度经营税费!$D$6:$DT$6,10),0)</f>
        <v>0</v>
      </c>
      <c r="O12" s="9">
        <f>IF(11&lt;=核心参数输入!$B$9,SUMIFS(季度经营税费!$D$12:$DT$12,季度经营税费!$D$6:$DT$6,11),0)</f>
        <v>0</v>
      </c>
      <c r="P12" s="9">
        <f>IF(12&lt;=核心参数输入!$B$9,SUMIFS(季度经营税费!$D$12:$DT$12,季度经营税费!$D$6:$DT$6,12),0)</f>
        <v>0</v>
      </c>
      <c r="Q12" s="9">
        <f>IF(13&lt;=核心参数输入!$B$9,SUMIFS(季度经营税费!$D$12:$DT$12,季度经营税费!$D$6:$DT$6,13),0)</f>
        <v>0</v>
      </c>
      <c r="R12" s="9">
        <f>IF(14&lt;=核心参数输入!$B$9,SUMIFS(季度经营税费!$D$12:$DT$12,季度经营税费!$D$6:$DT$6,14),0)</f>
        <v>0</v>
      </c>
      <c r="S12" s="9">
        <f>IF(15&lt;=核心参数输入!$B$9,SUMIFS(季度经营税费!$D$12:$DT$12,季度经营税费!$D$6:$DT$6,15),0)</f>
        <v>0</v>
      </c>
      <c r="T12" s="9">
        <f>IF(16&lt;=核心参数输入!$B$9,SUMIFS(季度经营税费!$D$12:$DT$12,季度经营税费!$D$6:$DT$6,16),0)</f>
        <v>0</v>
      </c>
      <c r="U12" s="9">
        <f>IF(17&lt;=核心参数输入!$B$9,SUMIFS(季度经营税费!$D$12:$DT$12,季度经营税费!$D$6:$DT$6,17),0)</f>
        <v>0</v>
      </c>
      <c r="V12" s="9">
        <f>IF(18&lt;=核心参数输入!$B$9,SUMIFS(季度经营税费!$D$12:$DT$12,季度经营税费!$D$6:$DT$6,18),0)</f>
        <v>0</v>
      </c>
      <c r="W12" s="9">
        <f>IF(19&lt;=核心参数输入!$B$9,SUMIFS(季度经营税费!$D$12:$DT$12,季度经营税费!$D$6:$DT$6,19),0)</f>
        <v>0</v>
      </c>
      <c r="X12" s="9">
        <f>IF(20&lt;=核心参数输入!$B$9,SUMIFS(季度经营税费!$D$12:$DT$12,季度经营税费!$D$6:$DT$6,20),0)</f>
        <v>0</v>
      </c>
      <c r="Y12" s="9">
        <f>IF(21&lt;=核心参数输入!$B$9,SUMIFS(季度经营税费!$D$12:$DT$12,季度经营税费!$D$6:$DT$6,21),0)</f>
        <v>0</v>
      </c>
      <c r="Z12" s="9">
        <f>IF(22&lt;=核心参数输入!$B$9,SUMIFS(季度经营税费!$D$12:$DT$12,季度经营税费!$D$6:$DT$6,22),0)</f>
        <v>0</v>
      </c>
      <c r="AA12" s="9">
        <f>IF(23&lt;=核心参数输入!$B$9,SUMIFS(季度经营税费!$D$12:$DT$12,季度经营税费!$D$6:$DT$6,23),0)</f>
        <v>0</v>
      </c>
      <c r="AB12" s="9">
        <f>IF(24&lt;=核心参数输入!$B$9,SUMIFS(季度经营税费!$D$12:$DT$12,季度经营税费!$D$6:$DT$6,24),0)</f>
        <v>0</v>
      </c>
      <c r="AC12" s="9">
        <f>IF(25&lt;=核心参数输入!$B$9,SUMIFS(季度经营税费!$D$12:$DT$12,季度经营税费!$D$6:$DT$6,25),0)</f>
        <v>0</v>
      </c>
      <c r="AD12" s="9">
        <f>IF(26&lt;=核心参数输入!$B$9,SUMIFS(季度经营税费!$D$12:$DT$12,季度经营税费!$D$6:$DT$6,26),0)</f>
        <v>0</v>
      </c>
      <c r="AE12" s="9">
        <f>IF(27&lt;=核心参数输入!$B$9,SUMIFS(季度经营税费!$D$12:$DT$12,季度经营税费!$D$6:$DT$6,27),0)</f>
        <v>0</v>
      </c>
      <c r="AF12" s="9">
        <f>IF(28&lt;=核心参数输入!$B$9,SUMIFS(季度经营税费!$D$12:$DT$12,季度经营税费!$D$6:$DT$6,28),0)</f>
        <v>0</v>
      </c>
      <c r="AG12" s="9">
        <f>IF(29&lt;=核心参数输入!$B$9,SUMIFS(季度经营税费!$D$12:$DT$12,季度经营税费!$D$6:$DT$6,29),0)</f>
        <v>0</v>
      </c>
      <c r="AH12" s="9">
        <f>IF(30&lt;=核心参数输入!$B$9,SUMIFS(季度经营税费!$D$12:$DT$12,季度经营税费!$D$6:$DT$6,30),0)</f>
        <v>0</v>
      </c>
    </row>
    <row r="13" spans="1:34" ht="21" customHeight="1">
      <c r="A13" s="8" t="s">
        <v>366</v>
      </c>
      <c r="B13" s="8" t="s">
        <v>39</v>
      </c>
      <c r="C13" s="8"/>
      <c r="D13" s="9">
        <f>IF(0&lt;=核心参数输入!$B$9,SUMIFS(季度经营税费!$D$26:$DT$26,季度经营税费!$D$6:$DT$6,0),0)</f>
        <v>0</v>
      </c>
      <c r="E13" s="9">
        <f>IF(1&lt;=核心参数输入!$B$9,SUMIFS(季度经营税费!$D$26:$DT$26,季度经营税费!$D$6:$DT$6,1),0)</f>
        <v>0</v>
      </c>
      <c r="F13" s="9">
        <f>IF(2&lt;=核心参数输入!$B$9,SUMIFS(季度经营税费!$D$26:$DT$26,季度经营税费!$D$6:$DT$6,2),0)</f>
        <v>0</v>
      </c>
      <c r="G13" s="9">
        <f>IF(3&lt;=核心参数输入!$B$9,SUMIFS(季度经营税费!$D$26:$DT$26,季度经营税费!$D$6:$DT$6,3),0)</f>
        <v>0</v>
      </c>
      <c r="H13" s="9">
        <f>IF(4&lt;=核心参数输入!$B$9,SUMIFS(季度经营税费!$D$26:$DT$26,季度经营税费!$D$6:$DT$6,4),0)</f>
        <v>261.20981249999988</v>
      </c>
      <c r="I13" s="9">
        <f>IF(5&lt;=核心参数输入!$B$9,SUMIFS(季度经营税费!$D$26:$DT$26,季度经营税费!$D$6:$DT$6,5),0)</f>
        <v>1019.2697116874998</v>
      </c>
      <c r="J13" s="9">
        <f>IF(6&lt;=核心参数输入!$B$9,SUMIFS(季度经营税费!$D$26:$DT$26,季度经营税费!$D$6:$DT$6,6),0)</f>
        <v>1408.3155338667179</v>
      </c>
      <c r="K13" s="9">
        <f>IF(7&lt;=核心参数输入!$B$9,SUMIFS(季度经营税费!$D$26:$DT$26,季度经营税费!$D$6:$DT$6,7),0)</f>
        <v>1669.1977638664446</v>
      </c>
      <c r="L13" s="9">
        <f>IF(8&lt;=核心参数输入!$B$9,SUMIFS(季度经营税费!$D$26:$DT$26,季度经营税费!$D$6:$DT$6,8),0)</f>
        <v>1771.2464453391883</v>
      </c>
      <c r="M13" s="9">
        <f>IF(9&lt;=核心参数输入!$B$9,SUMIFS(季度经营税费!$D$26:$DT$26,季度经营税费!$D$6:$DT$6,9),0)</f>
        <v>1800.9417770488744</v>
      </c>
      <c r="N13" s="9">
        <f>IF(10&lt;=核心参数输入!$B$9,SUMIFS(季度经营税费!$D$26:$DT$26,季度经营税费!$D$6:$DT$6,10),0)</f>
        <v>1827.9559037046074</v>
      </c>
      <c r="O13" s="9">
        <f>IF(11&lt;=核心参数输入!$B$9,SUMIFS(季度经营税费!$D$26:$DT$26,季度经营税费!$D$6:$DT$6,11),0)</f>
        <v>1855.3752422601763</v>
      </c>
      <c r="P13" s="9">
        <f>IF(12&lt;=核心参数输入!$B$9,SUMIFS(季度经营税费!$D$26:$DT$26,季度经营税费!$D$6:$DT$6,12),0)</f>
        <v>1883.2058708940785</v>
      </c>
      <c r="Q13" s="9">
        <f>IF(13&lt;=核心参数输入!$B$9,SUMIFS(季度经营税费!$D$26:$DT$26,季度经营税费!$D$6:$DT$6,13),0)</f>
        <v>1911.4539589574895</v>
      </c>
      <c r="R13" s="9">
        <f>IF(14&lt;=核心参数输入!$B$9,SUMIFS(季度经营税费!$D$26:$DT$26,季度经营税费!$D$6:$DT$6,14),0)</f>
        <v>1940.1257683418517</v>
      </c>
      <c r="S13" s="9">
        <f>IF(15&lt;=核心参数输入!$B$9,SUMIFS(季度经营税费!$D$26:$DT$26,季度经营税费!$D$6:$DT$6,15),0)</f>
        <v>1969.227654866979</v>
      </c>
      <c r="T13" s="9">
        <f>IF(16&lt;=核心参数输入!$B$9,SUMIFS(季度经营税费!$D$26:$DT$26,季度经营税费!$D$6:$DT$6,16),0)</f>
        <v>1998.7660696899832</v>
      </c>
      <c r="U13" s="9">
        <f>IF(17&lt;=核心参数输入!$B$9,SUMIFS(季度经营税费!$D$26:$DT$26,季度经营税费!$D$6:$DT$6,17),0)</f>
        <v>2028.7475607353331</v>
      </c>
      <c r="V13" s="9">
        <f>IF(18&lt;=核心参数输入!$B$9,SUMIFS(季度经营税费!$D$26:$DT$26,季度经营税费!$D$6:$DT$6,18),0)</f>
        <v>2059.1787741463627</v>
      </c>
      <c r="W13" s="9">
        <f>IF(19&lt;=核心参数输入!$B$9,SUMIFS(季度经营税费!$D$26:$DT$26,季度经营税费!$D$6:$DT$6,19),0)</f>
        <v>2090.0664557585574</v>
      </c>
      <c r="X13" s="9">
        <f>IF(20&lt;=核心参数输入!$B$9,SUMIFS(季度经营税费!$D$26:$DT$26,季度经营税费!$D$6:$DT$6,20),0)</f>
        <v>2121.4174525949356</v>
      </c>
      <c r="Y13" s="9">
        <f>IF(21&lt;=核心参数输入!$B$9,SUMIFS(季度经营税费!$D$26:$DT$26,季度经营税费!$D$6:$DT$6,21),0)</f>
        <v>0</v>
      </c>
      <c r="Z13" s="9">
        <f>IF(22&lt;=核心参数输入!$B$9,SUMIFS(季度经营税费!$D$26:$DT$26,季度经营税费!$D$6:$DT$6,22),0)</f>
        <v>0</v>
      </c>
      <c r="AA13" s="9">
        <f>IF(23&lt;=核心参数输入!$B$9,SUMIFS(季度经营税费!$D$26:$DT$26,季度经营税费!$D$6:$DT$6,23),0)</f>
        <v>0</v>
      </c>
      <c r="AB13" s="9">
        <f>IF(24&lt;=核心参数输入!$B$9,SUMIFS(季度经营税费!$D$26:$DT$26,季度经营税费!$D$6:$DT$6,24),0)</f>
        <v>0</v>
      </c>
      <c r="AC13" s="9">
        <f>IF(25&lt;=核心参数输入!$B$9,SUMIFS(季度经营税费!$D$26:$DT$26,季度经营税费!$D$6:$DT$6,25),0)</f>
        <v>0</v>
      </c>
      <c r="AD13" s="9">
        <f>IF(26&lt;=核心参数输入!$B$9,SUMIFS(季度经营税费!$D$26:$DT$26,季度经营税费!$D$6:$DT$6,26),0)</f>
        <v>0</v>
      </c>
      <c r="AE13" s="9">
        <f>IF(27&lt;=核心参数输入!$B$9,SUMIFS(季度经营税费!$D$26:$DT$26,季度经营税费!$D$6:$DT$6,27),0)</f>
        <v>0</v>
      </c>
      <c r="AF13" s="9">
        <f>IF(28&lt;=核心参数输入!$B$9,SUMIFS(季度经营税费!$D$26:$DT$26,季度经营税费!$D$6:$DT$6,28),0)</f>
        <v>0</v>
      </c>
      <c r="AG13" s="9">
        <f>IF(29&lt;=核心参数输入!$B$9,SUMIFS(季度经营税费!$D$26:$DT$26,季度经营税费!$D$6:$DT$6,29),0)</f>
        <v>0</v>
      </c>
      <c r="AH13" s="9">
        <f>IF(30&lt;=核心参数输入!$B$9,SUMIFS(季度经营税费!$D$26:$DT$26,季度经营税费!$D$6:$DT$6,30),0)</f>
        <v>0</v>
      </c>
    </row>
    <row r="14" spans="1:34" ht="21" customHeight="1">
      <c r="A14" s="8" t="s">
        <v>367</v>
      </c>
      <c r="B14" s="8" t="s">
        <v>39</v>
      </c>
      <c r="C14" s="8"/>
      <c r="D14" s="9">
        <f>IF(0&lt;=核心参数输入!$B$9,SUMIFS(季度经营税费!$D$28:$DT$28,季度经营税费!$D$6:$DT$6,0),0)</f>
        <v>0</v>
      </c>
      <c r="E14" s="9">
        <f>IF(1&lt;=核心参数输入!$B$9,SUMIFS(季度经营税费!$D$28:$DT$28,季度经营税费!$D$6:$DT$6,1),0)</f>
        <v>0</v>
      </c>
      <c r="F14" s="9">
        <f>IF(2&lt;=核心参数输入!$B$9,SUMIFS(季度经营税费!$D$28:$DT$28,季度经营税费!$D$6:$DT$6,2),0)</f>
        <v>0</v>
      </c>
      <c r="G14" s="9">
        <f>IF(3&lt;=核心参数输入!$B$9,SUMIFS(季度经营税费!$D$28:$DT$28,季度经营税费!$D$6:$DT$6,3),0)</f>
        <v>0</v>
      </c>
      <c r="H14" s="9">
        <f>IF(4&lt;=核心参数输入!$B$9,SUMIFS(季度经营税费!$D$28:$DT$28,季度经营税费!$D$6:$DT$6,4),0)</f>
        <v>13.060490624999996</v>
      </c>
      <c r="I14" s="9">
        <f>IF(5&lt;=核心参数输入!$B$9,SUMIFS(季度经营税费!$D$28:$DT$28,季度经营税费!$D$6:$DT$6,5),0)</f>
        <v>50.963485584374993</v>
      </c>
      <c r="J14" s="9">
        <f>IF(6&lt;=核心参数输入!$B$9,SUMIFS(季度经营税费!$D$28:$DT$28,季度经营税费!$D$6:$DT$6,6),0)</f>
        <v>70.415776693335914</v>
      </c>
      <c r="K14" s="9">
        <f>IF(7&lt;=核心参数输入!$B$9,SUMIFS(季度经营税费!$D$28:$DT$28,季度经营税费!$D$6:$DT$6,7),0)</f>
        <v>83.459888193322229</v>
      </c>
      <c r="L14" s="9">
        <f>IF(8&lt;=核心参数输入!$B$9,SUMIFS(季度经营税费!$D$28:$DT$28,季度经营税费!$D$6:$DT$6,8),0)</f>
        <v>88.562322266959427</v>
      </c>
      <c r="M14" s="9">
        <f>IF(9&lt;=核心参数输入!$B$9,SUMIFS(季度经营税费!$D$28:$DT$28,季度经营税费!$D$6:$DT$6,9),0)</f>
        <v>90.047088852443721</v>
      </c>
      <c r="N14" s="9">
        <f>IF(10&lt;=核心参数输入!$B$9,SUMIFS(季度经营税费!$D$28:$DT$28,季度经营税费!$D$6:$DT$6,10),0)</f>
        <v>91.397795185230379</v>
      </c>
      <c r="O14" s="9">
        <f>IF(11&lt;=核心参数输入!$B$9,SUMIFS(季度经营税费!$D$28:$DT$28,季度经营税费!$D$6:$DT$6,11),0)</f>
        <v>92.768762113008819</v>
      </c>
      <c r="P14" s="9">
        <f>IF(12&lt;=核心参数输入!$B$9,SUMIFS(季度经营税费!$D$28:$DT$28,季度经营税费!$D$6:$DT$6,12),0)</f>
        <v>94.160293544703933</v>
      </c>
      <c r="Q14" s="9">
        <f>IF(13&lt;=核心参数输入!$B$9,SUMIFS(季度经营税费!$D$28:$DT$28,季度经营税费!$D$6:$DT$6,13),0)</f>
        <v>95.572697947874474</v>
      </c>
      <c r="R14" s="9">
        <f>IF(14&lt;=核心参数输入!$B$9,SUMIFS(季度经营税费!$D$28:$DT$28,季度经营税费!$D$6:$DT$6,14),0)</f>
        <v>97.006288417092591</v>
      </c>
      <c r="S14" s="9">
        <f>IF(15&lt;=核心参数输入!$B$9,SUMIFS(季度经营税费!$D$28:$DT$28,季度经营税费!$D$6:$DT$6,15),0)</f>
        <v>98.461382743348963</v>
      </c>
      <c r="T14" s="9">
        <f>IF(16&lt;=核心参数输入!$B$9,SUMIFS(季度经营税费!$D$28:$DT$28,季度经营税费!$D$6:$DT$6,16),0)</f>
        <v>99.938303484499158</v>
      </c>
      <c r="U14" s="9">
        <f>IF(17&lt;=核心参数输入!$B$9,SUMIFS(季度经营税费!$D$28:$DT$28,季度经营税费!$D$6:$DT$6,17),0)</f>
        <v>101.43737803676666</v>
      </c>
      <c r="V14" s="9">
        <f>IF(18&lt;=核心参数输入!$B$9,SUMIFS(季度经营税费!$D$28:$DT$28,季度经营税费!$D$6:$DT$6,18),0)</f>
        <v>102.95893870731814</v>
      </c>
      <c r="W14" s="9">
        <f>IF(19&lt;=核心参数输入!$B$9,SUMIFS(季度经营税费!$D$28:$DT$28,季度经营税费!$D$6:$DT$6,19),0)</f>
        <v>104.50332278792787</v>
      </c>
      <c r="X14" s="9">
        <f>IF(20&lt;=核心参数输入!$B$9,SUMIFS(季度经营税费!$D$28:$DT$28,季度经营税费!$D$6:$DT$6,20),0)</f>
        <v>106.07087262974679</v>
      </c>
      <c r="Y14" s="9">
        <f>IF(21&lt;=核心参数输入!$B$9,SUMIFS(季度经营税费!$D$28:$DT$28,季度经营税费!$D$6:$DT$6,21),0)</f>
        <v>0</v>
      </c>
      <c r="Z14" s="9">
        <f>IF(22&lt;=核心参数输入!$B$9,SUMIFS(季度经营税费!$D$28:$DT$28,季度经营税费!$D$6:$DT$6,22),0)</f>
        <v>0</v>
      </c>
      <c r="AA14" s="9">
        <f>IF(23&lt;=核心参数输入!$B$9,SUMIFS(季度经营税费!$D$28:$DT$28,季度经营税费!$D$6:$DT$6,23),0)</f>
        <v>0</v>
      </c>
      <c r="AB14" s="9">
        <f>IF(24&lt;=核心参数输入!$B$9,SUMIFS(季度经营税费!$D$28:$DT$28,季度经营税费!$D$6:$DT$6,24),0)</f>
        <v>0</v>
      </c>
      <c r="AC14" s="9">
        <f>IF(25&lt;=核心参数输入!$B$9,SUMIFS(季度经营税费!$D$28:$DT$28,季度经营税费!$D$6:$DT$6,25),0)</f>
        <v>0</v>
      </c>
      <c r="AD14" s="9">
        <f>IF(26&lt;=核心参数输入!$B$9,SUMIFS(季度经营税费!$D$28:$DT$28,季度经营税费!$D$6:$DT$6,26),0)</f>
        <v>0</v>
      </c>
      <c r="AE14" s="9">
        <f>IF(27&lt;=核心参数输入!$B$9,SUMIFS(季度经营税费!$D$28:$DT$28,季度经营税费!$D$6:$DT$6,27),0)</f>
        <v>0</v>
      </c>
      <c r="AF14" s="9">
        <f>IF(28&lt;=核心参数输入!$B$9,SUMIFS(季度经营税费!$D$28:$DT$28,季度经营税费!$D$6:$DT$6,28),0)</f>
        <v>0</v>
      </c>
      <c r="AG14" s="9">
        <f>IF(29&lt;=核心参数输入!$B$9,SUMIFS(季度经营税费!$D$28:$DT$28,季度经营税费!$D$6:$DT$6,29),0)</f>
        <v>0</v>
      </c>
      <c r="AH14" s="9">
        <f>IF(30&lt;=核心参数输入!$B$9,SUMIFS(季度经营税费!$D$28:$DT$28,季度经营税费!$D$6:$DT$6,30),0)</f>
        <v>0</v>
      </c>
    </row>
    <row r="15" spans="1:34" ht="21" customHeight="1">
      <c r="A15" s="8" t="s">
        <v>368</v>
      </c>
      <c r="B15" s="8" t="s">
        <v>39</v>
      </c>
      <c r="C15" s="8"/>
      <c r="D15" s="9">
        <f>IF(0&lt;=核心参数输入!$B$9,SUMIFS(季度经营税费!$D$69:$DT$69,季度经营税费!$D$6:$DT$6,0),0)</f>
        <v>0</v>
      </c>
      <c r="E15" s="9">
        <f>IF(1&lt;=核心参数输入!$B$9,SUMIFS(季度经营税费!$D$69:$DT$69,季度经营税费!$D$6:$DT$6,1),0)</f>
        <v>0</v>
      </c>
      <c r="F15" s="9">
        <f>IF(2&lt;=核心参数输入!$B$9,SUMIFS(季度经营税费!$D$69:$DT$69,季度经营税费!$D$6:$DT$6,2),0)</f>
        <v>0</v>
      </c>
      <c r="G15" s="9">
        <f>IF(3&lt;=核心参数输入!$B$9,SUMIFS(季度经营税费!$D$69:$DT$69,季度经营税费!$D$6:$DT$6,3),0)</f>
        <v>0</v>
      </c>
      <c r="H15" s="9">
        <f>IF(4&lt;=核心参数输入!$B$9,SUMIFS(季度经营税费!$D$69:$DT$69,季度经营税费!$D$6:$DT$6,4),0)</f>
        <v>2049.9572533124997</v>
      </c>
      <c r="I15" s="9">
        <f>IF(5&lt;=核心参数输入!$B$9,SUMIFS(季度经营税费!$D$69:$DT$69,季度经营税费!$D$6:$DT$6,5),0)</f>
        <v>2706.9150608701875</v>
      </c>
      <c r="J15" s="9">
        <f>IF(6&lt;=核心参数输入!$B$9,SUMIFS(季度经营税费!$D$69:$DT$69,季度经营税费!$D$6:$DT$6,6),0)</f>
        <v>2280.2848539014626</v>
      </c>
      <c r="K15" s="9">
        <f>IF(7&lt;=核心参数输入!$B$9,SUMIFS(季度经营税费!$D$69:$DT$69,季度经营税费!$D$6:$DT$6,7),0)</f>
        <v>815.88469299998212</v>
      </c>
      <c r="L15" s="9">
        <f>IF(8&lt;=核心参数输入!$B$9,SUMIFS(季度经营税费!$D$69:$DT$69,季度经营税费!$D$6:$DT$6,8),0)</f>
        <v>841.66409936748107</v>
      </c>
      <c r="M15" s="9">
        <f>IF(9&lt;=核心参数输入!$B$9,SUMIFS(季度经营税费!$D$69:$DT$69,季度经营税费!$D$6:$DT$6,9),0)</f>
        <v>853.80747165127661</v>
      </c>
      <c r="N15" s="9">
        <f>IF(10&lt;=核心参数输入!$B$9,SUMIFS(季度经营税费!$D$69:$DT$69,季度经营税费!$D$6:$DT$6,10),0)</f>
        <v>865.57070493084575</v>
      </c>
      <c r="O15" s="9">
        <f>IF(11&lt;=核心参数输入!$B$9,SUMIFS(季度经营税费!$D$69:$DT$69,季度经营税费!$D$6:$DT$6,11),0)</f>
        <v>877.54350913370433</v>
      </c>
      <c r="P15" s="9">
        <f>IF(12&lt;=核心参数输入!$B$9,SUMIFS(季度经营税费!$D$69:$DT$69,季度经营税费!$D$6:$DT$6,12),0)</f>
        <v>889.7296902721838</v>
      </c>
      <c r="Q15" s="9">
        <f>IF(13&lt;=核心参数输入!$B$9,SUMIFS(季度经营税费!$D$69:$DT$69,季度经营税费!$D$6:$DT$6,13),0)</f>
        <v>902.13312469776986</v>
      </c>
      <c r="R15" s="9">
        <f>IF(14&lt;=核心参数输入!$B$9,SUMIFS(季度经营税费!$D$69:$DT$69,季度经营税费!$D$6:$DT$6,14),0)</f>
        <v>914.75776042116991</v>
      </c>
      <c r="S15" s="9">
        <f>IF(15&lt;=核心参数输入!$B$9,SUMIFS(季度经营税费!$D$69:$DT$69,季度经营税费!$D$6:$DT$6,15),0)</f>
        <v>927.60761845747948</v>
      </c>
      <c r="T15" s="9">
        <f>IF(16&lt;=核心参数输入!$B$9,SUMIFS(季度经营税费!$D$69:$DT$69,季度经营税费!$D$6:$DT$6,16),0)</f>
        <v>940.68679419693365</v>
      </c>
      <c r="U15" s="9">
        <f>IF(17&lt;=核心参数输入!$B$9,SUMIFS(季度经营税费!$D$69:$DT$69,季度经营税费!$D$6:$DT$6,17),0)</f>
        <v>953.99945880173141</v>
      </c>
      <c r="V15" s="9">
        <f>IF(18&lt;=核心参数输入!$B$9,SUMIFS(季度经营税费!$D$69:$DT$69,季度经营税费!$D$6:$DT$6,18),0)</f>
        <v>967.54986062943794</v>
      </c>
      <c r="W15" s="9">
        <f>IF(19&lt;=核心参数输入!$B$9,SUMIFS(季度经营税费!$D$69:$DT$69,季度经营税费!$D$6:$DT$6,19),0)</f>
        <v>981.34232668347374</v>
      </c>
      <c r="X15" s="9">
        <f>IF(20&lt;=核心参数输入!$B$9,SUMIFS(季度经营税费!$D$69:$DT$69,季度经营税费!$D$6:$DT$6,20),0)</f>
        <v>995.38126409121207</v>
      </c>
      <c r="Y15" s="9">
        <f>IF(21&lt;=核心参数输入!$B$9,SUMIFS(季度经营税费!$D$69:$DT$69,季度经营税费!$D$6:$DT$6,21),0)</f>
        <v>0</v>
      </c>
      <c r="Z15" s="9">
        <f>IF(22&lt;=核心参数输入!$B$9,SUMIFS(季度经营税费!$D$69:$DT$69,季度经营税费!$D$6:$DT$6,22),0)</f>
        <v>0</v>
      </c>
      <c r="AA15" s="9">
        <f>IF(23&lt;=核心参数输入!$B$9,SUMIFS(季度经营税费!$D$69:$DT$69,季度经营税费!$D$6:$DT$6,23),0)</f>
        <v>0</v>
      </c>
      <c r="AB15" s="9">
        <f>IF(24&lt;=核心参数输入!$B$9,SUMIFS(季度经营税费!$D$69:$DT$69,季度经营税费!$D$6:$DT$6,24),0)</f>
        <v>0</v>
      </c>
      <c r="AC15" s="9">
        <f>IF(25&lt;=核心参数输入!$B$9,SUMIFS(季度经营税费!$D$69:$DT$69,季度经营税费!$D$6:$DT$6,25),0)</f>
        <v>0</v>
      </c>
      <c r="AD15" s="9">
        <f>IF(26&lt;=核心参数输入!$B$9,SUMIFS(季度经营税费!$D$69:$DT$69,季度经营税费!$D$6:$DT$6,26),0)</f>
        <v>0</v>
      </c>
      <c r="AE15" s="9">
        <f>IF(27&lt;=核心参数输入!$B$9,SUMIFS(季度经营税费!$D$69:$DT$69,季度经营税费!$D$6:$DT$6,27),0)</f>
        <v>0</v>
      </c>
      <c r="AF15" s="9">
        <f>IF(28&lt;=核心参数输入!$B$9,SUMIFS(季度经营税费!$D$69:$DT$69,季度经营税费!$D$6:$DT$6,28),0)</f>
        <v>0</v>
      </c>
      <c r="AG15" s="9">
        <f>IF(29&lt;=核心参数输入!$B$9,SUMIFS(季度经营税费!$D$69:$DT$69,季度经营税费!$D$6:$DT$6,29),0)</f>
        <v>0</v>
      </c>
      <c r="AH15" s="9">
        <f>IF(30&lt;=核心参数输入!$B$9,SUMIFS(季度经营税费!$D$69:$DT$69,季度经营税费!$D$6:$DT$6,30),0)</f>
        <v>0</v>
      </c>
    </row>
    <row r="16" spans="1:34" ht="21" customHeight="1">
      <c r="A16" s="8" t="s">
        <v>369</v>
      </c>
      <c r="B16" s="8" t="s">
        <v>39</v>
      </c>
      <c r="C16" s="8"/>
      <c r="D16" s="9">
        <f>IF(0&lt;=核心参数输入!$B$9,IF(核心参数输入!$B$64=1,SUMIFS(季度经营税费!$D$65:$DT$65,季度经营税费!$D$6:$DT$6,0),SUMIFS(季度经营税费!$D$64:$DT$64,季度经营税费!$D$6:$DT$6,0)),0)</f>
        <v>0</v>
      </c>
      <c r="E16" s="9">
        <f>IF(1&lt;=核心参数输入!$B$9,IF(核心参数输入!$B$64=1,SUMIFS(季度经营税费!$D$65:$DT$65,季度经营税费!$D$6:$DT$6,1),SUMIFS(季度经营税费!$D$64:$DT$64,季度经营税费!$D$6:$DT$6,1)),0)</f>
        <v>0</v>
      </c>
      <c r="F16" s="9">
        <f>IF(2&lt;=核心参数输入!$B$9,IF(核心参数输入!$B$64=1,SUMIFS(季度经营税费!$D$65:$DT$65,季度经营税费!$D$6:$DT$6,2),SUMIFS(季度经营税费!$D$64:$DT$64,季度经营税费!$D$6:$DT$6,2)),0)</f>
        <v>0</v>
      </c>
      <c r="G16" s="9">
        <f>IF(3&lt;=核心参数输入!$B$9,IF(核心参数输入!$B$64=1,SUMIFS(季度经营税费!$D$65:$DT$65,季度经营税费!$D$6:$DT$6,3),SUMIFS(季度经营税费!$D$64:$DT$64,季度经营税费!$D$6:$DT$6,3)),0)</f>
        <v>0</v>
      </c>
      <c r="H16" s="9">
        <f>IF(4&lt;=核心参数输入!$B$9,IF(核心参数输入!$B$64=1,SUMIFS(季度经营税费!$D$65:$DT$65,季度经营税费!$D$6:$DT$6,4),SUMIFS(季度经营税费!$D$64:$DT$64,季度经营税费!$D$6:$DT$6,4)),0)</f>
        <v>62.217637453125306</v>
      </c>
      <c r="I16" s="9">
        <f>IF(5&lt;=核心参数输入!$B$9,IF(核心参数输入!$B$64=1,SUMIFS(季度经营税费!$D$65:$DT$65,季度经营税费!$D$6:$DT$6,5),SUMIFS(季度经营税费!$D$64:$DT$64,季度经营税费!$D$6:$DT$6,5)),0)</f>
        <v>484.89390910042181</v>
      </c>
      <c r="J16" s="9">
        <f>IF(6&lt;=核心参数输入!$B$9,IF(核心参数输入!$B$64=1,SUMIFS(季度经营税费!$D$65:$DT$65,季度经营税费!$D$6:$DT$6,6),SUMIFS(季度经营税费!$D$64:$DT$64,季度经营税费!$D$6:$DT$6,6)),0)</f>
        <v>395.75098916464799</v>
      </c>
      <c r="K16" s="9">
        <f>IF(7&lt;=核心参数输入!$B$9,IF(核心参数输入!$B$64=1,SUMIFS(季度经营税费!$D$65:$DT$65,季度经营税费!$D$6:$DT$6,7),SUMIFS(季度经营税费!$D$64:$DT$64,季度经营税费!$D$6:$DT$6,7)),0)</f>
        <v>0</v>
      </c>
      <c r="L16" s="9">
        <f>IF(8&lt;=核心参数输入!$B$9,IF(核心参数输入!$B$64=1,SUMIFS(季度经营税费!$D$65:$DT$65,季度经营税费!$D$6:$DT$6,8),SUMIFS(季度经营税费!$D$64:$DT$64,季度经营税费!$D$6:$DT$6,8)),0)</f>
        <v>0</v>
      </c>
      <c r="M16" s="9">
        <f>IF(9&lt;=核心参数输入!$B$9,IF(核心参数输入!$B$64=1,SUMIFS(季度经营税费!$D$65:$DT$65,季度经营税费!$D$6:$DT$6,9),SUMIFS(季度经营税费!$D$64:$DT$64,季度经营税费!$D$6:$DT$6,9)),0)</f>
        <v>0</v>
      </c>
      <c r="N16" s="9">
        <f>IF(10&lt;=核心参数输入!$B$9,IF(核心参数输入!$B$64=1,SUMIFS(季度经营税费!$D$65:$DT$65,季度经营税费!$D$6:$DT$6,10),SUMIFS(季度经营税费!$D$64:$DT$64,季度经营税费!$D$6:$DT$6,10)),0)</f>
        <v>0</v>
      </c>
      <c r="O16" s="9">
        <f>IF(11&lt;=核心参数输入!$B$9,IF(核心参数输入!$B$64=1,SUMIFS(季度经营税费!$D$65:$DT$65,季度经营税费!$D$6:$DT$6,11),SUMIFS(季度经营税费!$D$64:$DT$64,季度经营税费!$D$6:$DT$6,11)),0)</f>
        <v>0</v>
      </c>
      <c r="P16" s="9">
        <f>IF(12&lt;=核心参数输入!$B$9,IF(核心参数输入!$B$64=1,SUMIFS(季度经营税费!$D$65:$DT$65,季度经营税费!$D$6:$DT$6,12),SUMIFS(季度经营税费!$D$64:$DT$64,季度经营税费!$D$6:$DT$6,12)),0)</f>
        <v>0</v>
      </c>
      <c r="Q16" s="9">
        <f>IF(13&lt;=核心参数输入!$B$9,IF(核心参数输入!$B$64=1,SUMIFS(季度经营税费!$D$65:$DT$65,季度经营税费!$D$6:$DT$6,13),SUMIFS(季度经营税费!$D$64:$DT$64,季度经营税费!$D$6:$DT$6,13)),0)</f>
        <v>0</v>
      </c>
      <c r="R16" s="9">
        <f>IF(14&lt;=核心参数输入!$B$9,IF(核心参数输入!$B$64=1,SUMIFS(季度经营税费!$D$65:$DT$65,季度经营税费!$D$6:$DT$6,14),SUMIFS(季度经营税费!$D$64:$DT$64,季度经营税费!$D$6:$DT$6,14)),0)</f>
        <v>28.992672646954034</v>
      </c>
      <c r="S16" s="9">
        <f>IF(15&lt;=核心参数输入!$B$9,IF(核心参数输入!$B$64=1,SUMIFS(季度经营税费!$D$65:$DT$65,季度经营税费!$D$6:$DT$6,15),SUMIFS(季度经营税费!$D$64:$DT$64,季度经营税费!$D$6:$DT$6,15)),0)</f>
        <v>71.75972978821224</v>
      </c>
      <c r="T16" s="9">
        <f>IF(16&lt;=核心参数输入!$B$9,IF(核心参数输入!$B$64=1,SUMIFS(季度经营税费!$D$65:$DT$65,季度经营税费!$D$6:$DT$6,16),SUMIFS(季度经营税费!$D$64:$DT$64,季度经营税费!$D$6:$DT$6,16)),0)</f>
        <v>76.243769744387308</v>
      </c>
      <c r="U16" s="9">
        <f>IF(17&lt;=核心参数输入!$B$9,IF(核心参数输入!$B$64=1,SUMIFS(季度经营税费!$D$65:$DT$65,季度经营税费!$D$6:$DT$6,17),SUMIFS(季度经营税费!$D$64:$DT$64,季度经营税费!$D$6:$DT$6,17)),0)</f>
        <v>80.785744992592157</v>
      </c>
      <c r="V16" s="9">
        <f>IF(18&lt;=核心参数输入!$B$9,IF(核心参数输入!$B$64=1,SUMIFS(季度经营税费!$D$65:$DT$65,季度经营税费!$D$6:$DT$6,18),SUMIFS(季度经营税费!$D$64:$DT$64,季度经营税费!$D$6:$DT$6,18)),0)</f>
        <v>85.386338056060836</v>
      </c>
      <c r="W16" s="9">
        <f>IF(19&lt;=核心参数输入!$B$9,IF(核心参数输入!$B$64=1,SUMIFS(季度经营税费!$D$65:$DT$65,季度经营税费!$D$6:$DT$6,19),SUMIFS(季度经营税费!$D$64:$DT$64,季度经营税费!$D$6:$DT$6,19)),0)</f>
        <v>90.046237965752965</v>
      </c>
      <c r="X16" s="9">
        <f>IF(20&lt;=核心参数输入!$B$9,IF(核心参数输入!$B$64=1,SUMIFS(季度经营税费!$D$65:$DT$65,季度经营税费!$D$6:$DT$6,20),SUMIFS(季度经营税费!$D$64:$DT$64,季度经营税费!$D$6:$DT$6,20)),0)</f>
        <v>94.766140283367591</v>
      </c>
      <c r="Y16" s="9">
        <f>IF(21&lt;=核心参数输入!$B$9,IF(核心参数输入!$B$64=1,SUMIFS(季度经营税费!$D$65:$DT$65,季度经营税费!$D$6:$DT$6,21),SUMIFS(季度经营税费!$D$64:$DT$64,季度经营税费!$D$6:$DT$6,21)),0)</f>
        <v>0</v>
      </c>
      <c r="Z16" s="9">
        <f>IF(22&lt;=核心参数输入!$B$9,IF(核心参数输入!$B$64=1,SUMIFS(季度经营税费!$D$65:$DT$65,季度经营税费!$D$6:$DT$6,22),SUMIFS(季度经营税费!$D$64:$DT$64,季度经营税费!$D$6:$DT$6,22)),0)</f>
        <v>0</v>
      </c>
      <c r="AA16" s="9">
        <f>IF(23&lt;=核心参数输入!$B$9,IF(核心参数输入!$B$64=1,SUMIFS(季度经营税费!$D$65:$DT$65,季度经营税费!$D$6:$DT$6,23),SUMIFS(季度经营税费!$D$64:$DT$64,季度经营税费!$D$6:$DT$6,23)),0)</f>
        <v>0</v>
      </c>
      <c r="AB16" s="9">
        <f>IF(24&lt;=核心参数输入!$B$9,IF(核心参数输入!$B$64=1,SUMIFS(季度经营税费!$D$65:$DT$65,季度经营税费!$D$6:$DT$6,24),SUMIFS(季度经营税费!$D$64:$DT$64,季度经营税费!$D$6:$DT$6,24)),0)</f>
        <v>0</v>
      </c>
      <c r="AC16" s="9">
        <f>IF(25&lt;=核心参数输入!$B$9,IF(核心参数输入!$B$64=1,SUMIFS(季度经营税费!$D$65:$DT$65,季度经营税费!$D$6:$DT$6,25),SUMIFS(季度经营税费!$D$64:$DT$64,季度经营税费!$D$6:$DT$6,25)),0)</f>
        <v>0</v>
      </c>
      <c r="AD16" s="9">
        <f>IF(26&lt;=核心参数输入!$B$9,IF(核心参数输入!$B$64=1,SUMIFS(季度经营税费!$D$65:$DT$65,季度经营税费!$D$6:$DT$6,26),SUMIFS(季度经营税费!$D$64:$DT$64,季度经营税费!$D$6:$DT$6,26)),0)</f>
        <v>0</v>
      </c>
      <c r="AE16" s="9">
        <f>IF(27&lt;=核心参数输入!$B$9,IF(核心参数输入!$B$64=1,SUMIFS(季度经营税费!$D$65:$DT$65,季度经营税费!$D$6:$DT$6,27),SUMIFS(季度经营税费!$D$64:$DT$64,季度经营税费!$D$6:$DT$6,27)),0)</f>
        <v>0</v>
      </c>
      <c r="AF16" s="9">
        <f>IF(28&lt;=核心参数输入!$B$9,IF(核心参数输入!$B$64=1,SUMIFS(季度经营税费!$D$65:$DT$65,季度经营税费!$D$6:$DT$6,28),SUMIFS(季度经营税费!$D$64:$DT$64,季度经营税费!$D$6:$DT$6,28)),0)</f>
        <v>0</v>
      </c>
      <c r="AG16" s="9">
        <f>IF(29&lt;=核心参数输入!$B$9,IF(核心参数输入!$B$64=1,SUMIFS(季度经营税费!$D$65:$DT$65,季度经营税费!$D$6:$DT$6,29),SUMIFS(季度经营税费!$D$64:$DT$64,季度经营税费!$D$6:$DT$6,29)),0)</f>
        <v>0</v>
      </c>
      <c r="AH16" s="9">
        <f>IF(30&lt;=核心参数输入!$B$9,IF(核心参数输入!$B$64=1,SUMIFS(季度经营税费!$D$65:$DT$65,季度经营税费!$D$6:$DT$6,30),SUMIFS(季度经营税费!$D$64:$DT$64,季度经营税费!$D$6:$DT$6,30)),0)</f>
        <v>0</v>
      </c>
    </row>
    <row r="17" spans="1:34" ht="21" customHeight="1">
      <c r="A17" s="8" t="s">
        <v>370</v>
      </c>
      <c r="B17" s="8" t="s">
        <v>39</v>
      </c>
      <c r="C17" s="8"/>
      <c r="D17" s="9">
        <f>IF(0&lt;=核心参数输入!$B$9,IF(核心参数输入!$B$64=1,SUMIFS(季度经营税费!$D$67:$DT$67,季度经营税费!$D$6:$DT$6,0),SUMIFS(季度经营税费!$D$66:$DT$66,季度经营税费!$D$6:$DT$6,0)),0)</f>
        <v>0</v>
      </c>
      <c r="E17" s="9">
        <f>IF(1&lt;=核心参数输入!$B$9,IF(核心参数输入!$B$64=1,SUMIFS(季度经营税费!$D$67:$DT$67,季度经营税费!$D$6:$DT$6,1),SUMIFS(季度经营税费!$D$66:$DT$66,季度经营税费!$D$6:$DT$6,1)),0)</f>
        <v>0</v>
      </c>
      <c r="F17" s="9">
        <f>IF(2&lt;=核心参数输入!$B$9,IF(核心参数输入!$B$64=1,SUMIFS(季度经营税费!$D$67:$DT$67,季度经营税费!$D$6:$DT$6,2),SUMIFS(季度经营税费!$D$66:$DT$66,季度经营税费!$D$6:$DT$6,2)),0)</f>
        <v>0</v>
      </c>
      <c r="G17" s="9">
        <f>IF(3&lt;=核心参数输入!$B$9,IF(核心参数输入!$B$64=1,SUMIFS(季度经营税费!$D$67:$DT$67,季度经营税费!$D$6:$DT$6,3),SUMIFS(季度经营税费!$D$66:$DT$66,季度经营税费!$D$6:$DT$6,3)),0)</f>
        <v>0</v>
      </c>
      <c r="H17" s="9">
        <f>IF(4&lt;=核心参数输入!$B$9,IF(核心参数输入!$B$64=1,SUMIFS(季度经营税费!$D$67:$DT$67,季度经营税费!$D$6:$DT$6,4),SUMIFS(季度经营税费!$D$66:$DT$66,季度经营税费!$D$6:$DT$6,4)),0)</f>
        <v>186.65291235937593</v>
      </c>
      <c r="I17" s="9">
        <f>IF(5&lt;=核心参数输入!$B$9,IF(核心参数输入!$B$64=1,SUMIFS(季度经营税费!$D$67:$DT$67,季度经营税费!$D$6:$DT$6,5),SUMIFS(季度经营税费!$D$66:$DT$66,季度经营税费!$D$6:$DT$6,5)),0)</f>
        <v>1454.6817273012655</v>
      </c>
      <c r="J17" s="9">
        <f>IF(6&lt;=核心参数输入!$B$9,IF(核心参数输入!$B$64=1,SUMIFS(季度经营税费!$D$67:$DT$67,季度经营税费!$D$6:$DT$6,6),SUMIFS(季度经营税费!$D$66:$DT$66,季度经营税费!$D$6:$DT$6,6)),0)</f>
        <v>1187.2529674939437</v>
      </c>
      <c r="K17" s="9">
        <f>IF(7&lt;=核心参数输入!$B$9,IF(核心参数输入!$B$64=1,SUMIFS(季度经营税费!$D$67:$DT$67,季度经营税费!$D$6:$DT$6,7),SUMIFS(季度经营税费!$D$66:$DT$66,季度经营税费!$D$6:$DT$6,7)),0)</f>
        <v>-613.76954094021517</v>
      </c>
      <c r="L17" s="9">
        <f>IF(8&lt;=核心参数输入!$B$9,IF(核心参数输入!$B$64=1,SUMIFS(季度经营税费!$D$67:$DT$67,季度经营税费!$D$6:$DT$6,8),SUMIFS(季度经营税费!$D$66:$DT$66,季度经营税费!$D$6:$DT$6,8)),0)</f>
        <v>-352.39783176133324</v>
      </c>
      <c r="M17" s="9">
        <f>IF(9&lt;=核心参数输入!$B$9,IF(核心参数输入!$B$64=1,SUMIFS(季度经营税费!$D$67:$DT$67,季度经营税费!$D$6:$DT$6,9),SUMIFS(季度经营税费!$D$66:$DT$66,季度经营税费!$D$6:$DT$6,9)),0)</f>
        <v>-153.36110574995826</v>
      </c>
      <c r="N17" s="9">
        <f>IF(10&lt;=核心参数输入!$B$9,IF(核心参数输入!$B$64=1,SUMIFS(季度经营税费!$D$67:$DT$67,季度经营税费!$D$6:$DT$6,10),SUMIFS(季度经营税费!$D$66:$DT$66,季度经营税费!$D$6:$DT$6,10)),0)</f>
        <v>43.240493958992133</v>
      </c>
      <c r="O17" s="9">
        <f>IF(11&lt;=核心参数输入!$B$9,IF(核心参数输入!$B$64=1,SUMIFS(季度经营税费!$D$67:$DT$67,季度经营税费!$D$6:$DT$6,11),SUMIFS(季度经营税费!$D$66:$DT$66,季度经营税费!$D$6:$DT$6,11)),0)</f>
        <v>217.55799523948087</v>
      </c>
      <c r="P17" s="9">
        <f>IF(12&lt;=核心参数输入!$B$9,IF(核心参数输入!$B$64=1,SUMIFS(季度经营税费!$D$67:$DT$67,季度经营税费!$D$6:$DT$6,12),SUMIFS(季度经营税费!$D$66:$DT$66,季度经营税费!$D$6:$DT$6,12)),0)</f>
        <v>234.59397416659891</v>
      </c>
      <c r="Q17" s="9">
        <f>IF(13&lt;=核心参数输入!$B$9,IF(核心参数输入!$B$64=1,SUMIFS(季度经营税费!$D$67:$DT$67,季度经营税费!$D$6:$DT$6,13),SUMIFS(季度经营税费!$D$66:$DT$66,季度经营税费!$D$6:$DT$6,13)),0)</f>
        <v>251.85103220759456</v>
      </c>
      <c r="R17" s="9">
        <f>IF(14&lt;=核心参数输入!$B$9,IF(核心参数输入!$B$64=1,SUMIFS(季度经营税费!$D$67:$DT$67,季度经营税费!$D$6:$DT$6,14),SUMIFS(季度经营税费!$D$66:$DT$66,季度经营税费!$D$6:$DT$6,14)),0)</f>
        <v>240.33912369082034</v>
      </c>
      <c r="S17" s="9">
        <f>IF(15&lt;=核心参数输入!$B$9,IF(核心参数输入!$B$64=1,SUMIFS(季度经营税费!$D$67:$DT$67,季度经营税费!$D$6:$DT$6,15),SUMIFS(季度经营税费!$D$66:$DT$66,季度经营税费!$D$6:$DT$6,15)),0)</f>
        <v>215.27918936463672</v>
      </c>
      <c r="T17" s="9">
        <f>IF(16&lt;=核心参数输入!$B$9,IF(核心参数输入!$B$64=1,SUMIFS(季度经营税费!$D$67:$DT$67,季度经营税费!$D$6:$DT$6,16),SUMIFS(季度经营税费!$D$66:$DT$66,季度经营税费!$D$6:$DT$6,16)),0)</f>
        <v>228.73130923316194</v>
      </c>
      <c r="U17" s="9">
        <f>IF(17&lt;=核心参数输入!$B$9,IF(核心参数输入!$B$64=1,SUMIFS(季度经营税费!$D$67:$DT$67,季度经营税费!$D$6:$DT$6,17),SUMIFS(季度经营税费!$D$66:$DT$66,季度经营税费!$D$6:$DT$6,17)),0)</f>
        <v>242.35723497777647</v>
      </c>
      <c r="V17" s="9">
        <f>IF(18&lt;=核心参数输入!$B$9,IF(核心参数输入!$B$64=1,SUMIFS(季度经营税费!$D$67:$DT$67,季度经营税费!$D$6:$DT$6,18),SUMIFS(季度经营税费!$D$66:$DT$66,季度经营税费!$D$6:$DT$6,18)),0)</f>
        <v>256.15901416818252</v>
      </c>
      <c r="W17" s="9">
        <f>IF(19&lt;=核心参数输入!$B$9,IF(核心参数输入!$B$64=1,SUMIFS(季度经营税费!$D$67:$DT$67,季度经营税费!$D$6:$DT$6,19),SUMIFS(季度经营税费!$D$66:$DT$66,季度经营税费!$D$6:$DT$6,19)),0)</f>
        <v>270.13871389725887</v>
      </c>
      <c r="X17" s="9">
        <f>IF(20&lt;=核心参数输入!$B$9,IF(核心参数输入!$B$64=1,SUMIFS(季度经营税费!$D$67:$DT$67,季度经营税费!$D$6:$DT$6,20),SUMIFS(季度经营税费!$D$66:$DT$66,季度经营税费!$D$6:$DT$6,20)),0)</f>
        <v>284.29842085010279</v>
      </c>
      <c r="Y17" s="9">
        <f>IF(21&lt;=核心参数输入!$B$9,IF(核心参数输入!$B$64=1,SUMIFS(季度经营税费!$D$67:$DT$67,季度经营税费!$D$6:$DT$6,21),SUMIFS(季度经营税费!$D$66:$DT$66,季度经营税费!$D$6:$DT$6,21)),0)</f>
        <v>0</v>
      </c>
      <c r="Z17" s="9">
        <f>IF(22&lt;=核心参数输入!$B$9,IF(核心参数输入!$B$64=1,SUMIFS(季度经营税费!$D$67:$DT$67,季度经营税费!$D$6:$DT$6,22),SUMIFS(季度经营税费!$D$66:$DT$66,季度经营税费!$D$6:$DT$6,22)),0)</f>
        <v>0</v>
      </c>
      <c r="AA17" s="9">
        <f>IF(23&lt;=核心参数输入!$B$9,IF(核心参数输入!$B$64=1,SUMIFS(季度经营税费!$D$67:$DT$67,季度经营税费!$D$6:$DT$6,23),SUMIFS(季度经营税费!$D$66:$DT$66,季度经营税费!$D$6:$DT$6,23)),0)</f>
        <v>0</v>
      </c>
      <c r="AB17" s="9">
        <f>IF(24&lt;=核心参数输入!$B$9,IF(核心参数输入!$B$64=1,SUMIFS(季度经营税费!$D$67:$DT$67,季度经营税费!$D$6:$DT$6,24),SUMIFS(季度经营税费!$D$66:$DT$66,季度经营税费!$D$6:$DT$6,24)),0)</f>
        <v>0</v>
      </c>
      <c r="AC17" s="9">
        <f>IF(25&lt;=核心参数输入!$B$9,IF(核心参数输入!$B$64=1,SUMIFS(季度经营税费!$D$67:$DT$67,季度经营税费!$D$6:$DT$6,25),SUMIFS(季度经营税费!$D$66:$DT$66,季度经营税费!$D$6:$DT$6,25)),0)</f>
        <v>0</v>
      </c>
      <c r="AD17" s="9">
        <f>IF(26&lt;=核心参数输入!$B$9,IF(核心参数输入!$B$64=1,SUMIFS(季度经营税费!$D$67:$DT$67,季度经营税费!$D$6:$DT$6,26),SUMIFS(季度经营税费!$D$66:$DT$66,季度经营税费!$D$6:$DT$6,26)),0)</f>
        <v>0</v>
      </c>
      <c r="AE17" s="9">
        <f>IF(27&lt;=核心参数输入!$B$9,IF(核心参数输入!$B$64=1,SUMIFS(季度经营税费!$D$67:$DT$67,季度经营税费!$D$6:$DT$6,27),SUMIFS(季度经营税费!$D$66:$DT$66,季度经营税费!$D$6:$DT$6,27)),0)</f>
        <v>0</v>
      </c>
      <c r="AF17" s="9">
        <f>IF(28&lt;=核心参数输入!$B$9,IF(核心参数输入!$B$64=1,SUMIFS(季度经营税费!$D$67:$DT$67,季度经营税费!$D$6:$DT$6,28),SUMIFS(季度经营税费!$D$66:$DT$66,季度经营税费!$D$6:$DT$6,28)),0)</f>
        <v>0</v>
      </c>
      <c r="AG17" s="9">
        <f>IF(29&lt;=核心参数输入!$B$9,IF(核心参数输入!$B$64=1,SUMIFS(季度经营税费!$D$67:$DT$67,季度经营税费!$D$6:$DT$6,29),SUMIFS(季度经营税费!$D$66:$DT$66,季度经营税费!$D$6:$DT$6,29)),0)</f>
        <v>0</v>
      </c>
      <c r="AH17" s="9">
        <f>IF(30&lt;=核心参数输入!$B$9,IF(核心参数输入!$B$64=1,SUMIFS(季度经营税费!$D$67:$DT$67,季度经营税费!$D$6:$DT$6,30),SUMIFS(季度经营税费!$D$66:$DT$66,季度经营税费!$D$6:$DT$6,30)),0)</f>
        <v>0</v>
      </c>
    </row>
    <row r="18" spans="1:34" ht="21" customHeight="1">
      <c r="A18" s="8" t="s">
        <v>371</v>
      </c>
      <c r="B18" s="8" t="s">
        <v>39</v>
      </c>
      <c r="C18" s="8"/>
      <c r="D18" s="9">
        <f>IF(0&lt;=核心参数输入!$B$9,SUMIFS(季度投融资!$D$48:$DT$48,季度投融资!$D$6:$DT$6,0),0)</f>
        <v>8000</v>
      </c>
      <c r="E18" s="9">
        <f>IF(1&lt;=核心参数输入!$B$9,SUMIFS(季度投融资!$D$48:$DT$48,季度投融资!$D$6:$DT$6,1),0)</f>
        <v>12084.1875</v>
      </c>
      <c r="F18" s="9">
        <f>IF(2&lt;=核心参数输入!$B$9,SUMIFS(季度投融资!$D$48:$DT$48,季度投融资!$D$6:$DT$6,2),0)</f>
        <v>21798</v>
      </c>
      <c r="G18" s="9">
        <f>IF(3&lt;=核心参数输入!$B$9,SUMIFS(季度投融资!$D$48:$DT$48,季度投融资!$D$6:$DT$6,3),0)</f>
        <v>16947</v>
      </c>
      <c r="H18" s="9">
        <f>IF(4&lt;=核心参数输入!$B$9,SUMIFS(季度投融资!$D$48:$DT$48,季度投融资!$D$6:$DT$6,4),0)</f>
        <v>500</v>
      </c>
      <c r="I18" s="9">
        <f>IF(5&lt;=核心参数输入!$B$9,SUMIFS(季度投融资!$D$48:$DT$48,季度投融资!$D$6:$DT$6,5),0)</f>
        <v>0</v>
      </c>
      <c r="J18" s="9">
        <f>IF(6&lt;=核心参数输入!$B$9,SUMIFS(季度投融资!$D$48:$DT$48,季度投融资!$D$6:$DT$6,6),0)</f>
        <v>0</v>
      </c>
      <c r="K18" s="9">
        <f>IF(7&lt;=核心参数输入!$B$9,SUMIFS(季度投融资!$D$48:$DT$48,季度投融资!$D$6:$DT$6,7),0)</f>
        <v>0</v>
      </c>
      <c r="L18" s="9">
        <f>IF(8&lt;=核心参数输入!$B$9,SUMIFS(季度投融资!$D$48:$DT$48,季度投融资!$D$6:$DT$6,8),0)</f>
        <v>0</v>
      </c>
      <c r="M18" s="9">
        <f>IF(9&lt;=核心参数输入!$B$9,SUMIFS(季度投融资!$D$48:$DT$48,季度投融资!$D$6:$DT$6,9),0)</f>
        <v>0</v>
      </c>
      <c r="N18" s="9">
        <f>IF(10&lt;=核心参数输入!$B$9,SUMIFS(季度投融资!$D$48:$DT$48,季度投融资!$D$6:$DT$6,10),0)</f>
        <v>0</v>
      </c>
      <c r="O18" s="9">
        <f>IF(11&lt;=核心参数输入!$B$9,SUMIFS(季度投融资!$D$48:$DT$48,季度投融资!$D$6:$DT$6,11),0)</f>
        <v>0</v>
      </c>
      <c r="P18" s="9">
        <f>IF(12&lt;=核心参数输入!$B$9,SUMIFS(季度投融资!$D$48:$DT$48,季度投融资!$D$6:$DT$6,12),0)</f>
        <v>0</v>
      </c>
      <c r="Q18" s="9">
        <f>IF(13&lt;=核心参数输入!$B$9,SUMIFS(季度投融资!$D$48:$DT$48,季度投融资!$D$6:$DT$6,13),0)</f>
        <v>0</v>
      </c>
      <c r="R18" s="9">
        <f>IF(14&lt;=核心参数输入!$B$9,SUMIFS(季度投融资!$D$48:$DT$48,季度投融资!$D$6:$DT$6,14),0)</f>
        <v>0</v>
      </c>
      <c r="S18" s="9">
        <f>IF(15&lt;=核心参数输入!$B$9,SUMIFS(季度投融资!$D$48:$DT$48,季度投融资!$D$6:$DT$6,15),0)</f>
        <v>0</v>
      </c>
      <c r="T18" s="9">
        <f>IF(16&lt;=核心参数输入!$B$9,SUMIFS(季度投融资!$D$48:$DT$48,季度投融资!$D$6:$DT$6,16),0)</f>
        <v>0</v>
      </c>
      <c r="U18" s="9">
        <f>IF(17&lt;=核心参数输入!$B$9,SUMIFS(季度投融资!$D$48:$DT$48,季度投融资!$D$6:$DT$6,17),0)</f>
        <v>0</v>
      </c>
      <c r="V18" s="9">
        <f>IF(18&lt;=核心参数输入!$B$9,SUMIFS(季度投融资!$D$48:$DT$48,季度投融资!$D$6:$DT$6,18),0)</f>
        <v>0</v>
      </c>
      <c r="W18" s="9">
        <f>IF(19&lt;=核心参数输入!$B$9,SUMIFS(季度投融资!$D$48:$DT$48,季度投融资!$D$6:$DT$6,19),0)</f>
        <v>0</v>
      </c>
      <c r="X18" s="9">
        <f>IF(20&lt;=核心参数输入!$B$9,SUMIFS(季度投融资!$D$48:$DT$48,季度投融资!$D$6:$DT$6,20),0)</f>
        <v>0</v>
      </c>
      <c r="Y18" s="9">
        <f>IF(21&lt;=核心参数输入!$B$9,SUMIFS(季度投融资!$D$48:$DT$48,季度投融资!$D$6:$DT$6,21),0)</f>
        <v>0</v>
      </c>
      <c r="Z18" s="9">
        <f>IF(22&lt;=核心参数输入!$B$9,SUMIFS(季度投融资!$D$48:$DT$48,季度投融资!$D$6:$DT$6,22),0)</f>
        <v>0</v>
      </c>
      <c r="AA18" s="9">
        <f>IF(23&lt;=核心参数输入!$B$9,SUMIFS(季度投融资!$D$48:$DT$48,季度投融资!$D$6:$DT$6,23),0)</f>
        <v>0</v>
      </c>
      <c r="AB18" s="9">
        <f>IF(24&lt;=核心参数输入!$B$9,SUMIFS(季度投融资!$D$48:$DT$48,季度投融资!$D$6:$DT$6,24),0)</f>
        <v>0</v>
      </c>
      <c r="AC18" s="9">
        <f>IF(25&lt;=核心参数输入!$B$9,SUMIFS(季度投融资!$D$48:$DT$48,季度投融资!$D$6:$DT$6,25),0)</f>
        <v>0</v>
      </c>
      <c r="AD18" s="9">
        <f>IF(26&lt;=核心参数输入!$B$9,SUMIFS(季度投融资!$D$48:$DT$48,季度投融资!$D$6:$DT$6,26),0)</f>
        <v>0</v>
      </c>
      <c r="AE18" s="9">
        <f>IF(27&lt;=核心参数输入!$B$9,SUMIFS(季度投融资!$D$48:$DT$48,季度投融资!$D$6:$DT$6,27),0)</f>
        <v>0</v>
      </c>
      <c r="AF18" s="9">
        <f>IF(28&lt;=核心参数输入!$B$9,SUMIFS(季度投融资!$D$48:$DT$48,季度投融资!$D$6:$DT$6,28),0)</f>
        <v>0</v>
      </c>
      <c r="AG18" s="9">
        <f>IF(29&lt;=核心参数输入!$B$9,SUMIFS(季度投融资!$D$48:$DT$48,季度投融资!$D$6:$DT$6,29),0)</f>
        <v>0</v>
      </c>
      <c r="AH18" s="9">
        <f>IF(30&lt;=核心参数输入!$B$9,SUMIFS(季度投融资!$D$48:$DT$48,季度投融资!$D$6:$DT$6,30),0)</f>
        <v>0</v>
      </c>
    </row>
    <row r="19" spans="1:34" ht="21" customHeight="1">
      <c r="A19" s="8" t="s">
        <v>372</v>
      </c>
      <c r="B19" s="8" t="s">
        <v>39</v>
      </c>
      <c r="C19" s="8"/>
      <c r="D19" s="9">
        <f>IF(0&lt;=核心参数输入!$B$9,SUMIFS(季度投融资!$D$39:$DT$39,季度投融资!$D$6:$DT$6,0),0)</f>
        <v>0</v>
      </c>
      <c r="E19" s="9">
        <f>IF(1&lt;=核心参数输入!$B$9,SUMIFS(季度投融资!$D$39:$DT$39,季度投融资!$D$6:$DT$6,1),0)</f>
        <v>6750</v>
      </c>
      <c r="F19" s="9">
        <f>IF(2&lt;=核心参数输入!$B$9,SUMIFS(季度投融资!$D$39:$DT$39,季度投融资!$D$6:$DT$6,2),0)</f>
        <v>12000</v>
      </c>
      <c r="G19" s="9">
        <f>IF(3&lt;=核心参数输入!$B$9,SUMIFS(季度投融资!$D$39:$DT$39,季度投融资!$D$6:$DT$6,3),0)</f>
        <v>9000</v>
      </c>
      <c r="H19" s="9">
        <f>IF(4&lt;=核心参数输入!$B$9,SUMIFS(季度投融资!$D$39:$DT$39,季度投融资!$D$6:$DT$6,4),0)</f>
        <v>0</v>
      </c>
      <c r="I19" s="9">
        <f>IF(5&lt;=核心参数输入!$B$9,SUMIFS(季度投融资!$D$39:$DT$39,季度投融资!$D$6:$DT$6,5),0)</f>
        <v>0</v>
      </c>
      <c r="J19" s="9">
        <f>IF(6&lt;=核心参数输入!$B$9,SUMIFS(季度投融资!$D$39:$DT$39,季度投融资!$D$6:$DT$6,6),0)</f>
        <v>0</v>
      </c>
      <c r="K19" s="9">
        <f>IF(7&lt;=核心参数输入!$B$9,SUMIFS(季度投融资!$D$39:$DT$39,季度投融资!$D$6:$DT$6,7),0)</f>
        <v>0</v>
      </c>
      <c r="L19" s="9">
        <f>IF(8&lt;=核心参数输入!$B$9,SUMIFS(季度投融资!$D$39:$DT$39,季度投融资!$D$6:$DT$6,8),0)</f>
        <v>0</v>
      </c>
      <c r="M19" s="9">
        <f>IF(9&lt;=核心参数输入!$B$9,SUMIFS(季度投融资!$D$39:$DT$39,季度投融资!$D$6:$DT$6,9),0)</f>
        <v>0</v>
      </c>
      <c r="N19" s="9">
        <f>IF(10&lt;=核心参数输入!$B$9,SUMIFS(季度投融资!$D$39:$DT$39,季度投融资!$D$6:$DT$6,10),0)</f>
        <v>0</v>
      </c>
      <c r="O19" s="9">
        <f>IF(11&lt;=核心参数输入!$B$9,SUMIFS(季度投融资!$D$39:$DT$39,季度投融资!$D$6:$DT$6,11),0)</f>
        <v>0</v>
      </c>
      <c r="P19" s="9">
        <f>IF(12&lt;=核心参数输入!$B$9,SUMIFS(季度投融资!$D$39:$DT$39,季度投融资!$D$6:$DT$6,12),0)</f>
        <v>0</v>
      </c>
      <c r="Q19" s="9">
        <f>IF(13&lt;=核心参数输入!$B$9,SUMIFS(季度投融资!$D$39:$DT$39,季度投融资!$D$6:$DT$6,13),0)</f>
        <v>0</v>
      </c>
      <c r="R19" s="9">
        <f>IF(14&lt;=核心参数输入!$B$9,SUMIFS(季度投融资!$D$39:$DT$39,季度投融资!$D$6:$DT$6,14),0)</f>
        <v>0</v>
      </c>
      <c r="S19" s="9">
        <f>IF(15&lt;=核心参数输入!$B$9,SUMIFS(季度投融资!$D$39:$DT$39,季度投融资!$D$6:$DT$6,15),0)</f>
        <v>0</v>
      </c>
      <c r="T19" s="9">
        <f>IF(16&lt;=核心参数输入!$B$9,SUMIFS(季度投融资!$D$39:$DT$39,季度投融资!$D$6:$DT$6,16),0)</f>
        <v>0</v>
      </c>
      <c r="U19" s="9">
        <f>IF(17&lt;=核心参数输入!$B$9,SUMIFS(季度投融资!$D$39:$DT$39,季度投融资!$D$6:$DT$6,17),0)</f>
        <v>0</v>
      </c>
      <c r="V19" s="9">
        <f>IF(18&lt;=核心参数输入!$B$9,SUMIFS(季度投融资!$D$39:$DT$39,季度投融资!$D$6:$DT$6,18),0)</f>
        <v>0</v>
      </c>
      <c r="W19" s="9">
        <f>IF(19&lt;=核心参数输入!$B$9,SUMIFS(季度投融资!$D$39:$DT$39,季度投融资!$D$6:$DT$6,19),0)</f>
        <v>0</v>
      </c>
      <c r="X19" s="9">
        <f>IF(20&lt;=核心参数输入!$B$9,SUMIFS(季度投融资!$D$39:$DT$39,季度投融资!$D$6:$DT$6,20),0)</f>
        <v>0</v>
      </c>
      <c r="Y19" s="9">
        <f>IF(21&lt;=核心参数输入!$B$9,SUMIFS(季度投融资!$D$39:$DT$39,季度投融资!$D$6:$DT$6,21),0)</f>
        <v>0</v>
      </c>
      <c r="Z19" s="9">
        <f>IF(22&lt;=核心参数输入!$B$9,SUMIFS(季度投融资!$D$39:$DT$39,季度投融资!$D$6:$DT$6,22),0)</f>
        <v>0</v>
      </c>
      <c r="AA19" s="9">
        <f>IF(23&lt;=核心参数输入!$B$9,SUMIFS(季度投融资!$D$39:$DT$39,季度投融资!$D$6:$DT$6,23),0)</f>
        <v>0</v>
      </c>
      <c r="AB19" s="9">
        <f>IF(24&lt;=核心参数输入!$B$9,SUMIFS(季度投融资!$D$39:$DT$39,季度投融资!$D$6:$DT$6,24),0)</f>
        <v>0</v>
      </c>
      <c r="AC19" s="9">
        <f>IF(25&lt;=核心参数输入!$B$9,SUMIFS(季度投融资!$D$39:$DT$39,季度投融资!$D$6:$DT$6,25),0)</f>
        <v>0</v>
      </c>
      <c r="AD19" s="9">
        <f>IF(26&lt;=核心参数输入!$B$9,SUMIFS(季度投融资!$D$39:$DT$39,季度投融资!$D$6:$DT$6,26),0)</f>
        <v>0</v>
      </c>
      <c r="AE19" s="9">
        <f>IF(27&lt;=核心参数输入!$B$9,SUMIFS(季度投融资!$D$39:$DT$39,季度投融资!$D$6:$DT$6,27),0)</f>
        <v>0</v>
      </c>
      <c r="AF19" s="9">
        <f>IF(28&lt;=核心参数输入!$B$9,SUMIFS(季度投融资!$D$39:$DT$39,季度投融资!$D$6:$DT$6,28),0)</f>
        <v>0</v>
      </c>
      <c r="AG19" s="9">
        <f>IF(29&lt;=核心参数输入!$B$9,SUMIFS(季度投融资!$D$39:$DT$39,季度投融资!$D$6:$DT$6,29),0)</f>
        <v>0</v>
      </c>
      <c r="AH19" s="9">
        <f>IF(30&lt;=核心参数输入!$B$9,SUMIFS(季度投融资!$D$39:$DT$39,季度投融资!$D$6:$DT$6,30),0)</f>
        <v>0</v>
      </c>
    </row>
    <row r="20" spans="1:34" ht="21" customHeight="1">
      <c r="A20" s="8" t="s">
        <v>373</v>
      </c>
      <c r="B20" s="8" t="s">
        <v>39</v>
      </c>
      <c r="C20" s="8"/>
      <c r="D20" s="9">
        <f>IF(0&lt;=核心参数输入!$B$9,SUMIFS(季度投融资!$D$41:$DT$41,季度投融资!$D$6:$DT$6,0),0)</f>
        <v>0</v>
      </c>
      <c r="E20" s="9">
        <f>IF(1&lt;=核心参数输入!$B$9,SUMIFS(季度投融资!$D$41:$DT$41,季度投融资!$D$6:$DT$6,1),0)</f>
        <v>0</v>
      </c>
      <c r="F20" s="9">
        <f>IF(2&lt;=核心参数输入!$B$9,SUMIFS(季度投融资!$D$41:$DT$41,季度投融资!$D$6:$DT$6,2),0)</f>
        <v>0</v>
      </c>
      <c r="G20" s="9">
        <f>IF(3&lt;=核心参数输入!$B$9,SUMIFS(季度投融资!$D$41:$DT$41,季度投融资!$D$6:$DT$6,3),0)</f>
        <v>0</v>
      </c>
      <c r="H20" s="9">
        <f>IF(4&lt;=核心参数输入!$B$9,SUMIFS(季度投融资!$D$41:$DT$41,季度投融资!$D$6:$DT$6,4),0)</f>
        <v>4285.7142857142853</v>
      </c>
      <c r="I20" s="9">
        <f>IF(5&lt;=核心参数输入!$B$9,SUMIFS(季度投融资!$D$41:$DT$41,季度投融资!$D$6:$DT$6,5),0)</f>
        <v>4285.7142857142853</v>
      </c>
      <c r="J20" s="9">
        <f>IF(6&lt;=核心参数输入!$B$9,SUMIFS(季度投融资!$D$41:$DT$41,季度投融资!$D$6:$DT$6,6),0)</f>
        <v>4285.7142857142853</v>
      </c>
      <c r="K20" s="9">
        <f>IF(7&lt;=核心参数输入!$B$9,SUMIFS(季度投融资!$D$41:$DT$41,季度投融资!$D$6:$DT$6,7),0)</f>
        <v>4285.7142857142853</v>
      </c>
      <c r="L20" s="9">
        <f>IF(8&lt;=核心参数输入!$B$9,SUMIFS(季度投融资!$D$41:$DT$41,季度投融资!$D$6:$DT$6,8),0)</f>
        <v>4285.7142857142853</v>
      </c>
      <c r="M20" s="9">
        <f>IF(9&lt;=核心参数输入!$B$9,SUMIFS(季度投融资!$D$41:$DT$41,季度投融资!$D$6:$DT$6,9),0)</f>
        <v>4285.7142857142853</v>
      </c>
      <c r="N20" s="9">
        <f>IF(10&lt;=核心参数输入!$B$9,SUMIFS(季度投融资!$D$41:$DT$41,季度投融资!$D$6:$DT$6,10),0)</f>
        <v>4285.7142857142835</v>
      </c>
      <c r="O20" s="9">
        <f>IF(11&lt;=核心参数输入!$B$9,SUMIFS(季度投融资!$D$41:$DT$41,季度投融资!$D$6:$DT$6,11),0)</f>
        <v>0</v>
      </c>
      <c r="P20" s="9">
        <f>IF(12&lt;=核心参数输入!$B$9,SUMIFS(季度投融资!$D$41:$DT$41,季度投融资!$D$6:$DT$6,12),0)</f>
        <v>0</v>
      </c>
      <c r="Q20" s="9">
        <f>IF(13&lt;=核心参数输入!$B$9,SUMIFS(季度投融资!$D$41:$DT$41,季度投融资!$D$6:$DT$6,13),0)</f>
        <v>0</v>
      </c>
      <c r="R20" s="9">
        <f>IF(14&lt;=核心参数输入!$B$9,SUMIFS(季度投融资!$D$41:$DT$41,季度投融资!$D$6:$DT$6,14),0)</f>
        <v>0</v>
      </c>
      <c r="S20" s="9">
        <f>IF(15&lt;=核心参数输入!$B$9,SUMIFS(季度投融资!$D$41:$DT$41,季度投融资!$D$6:$DT$6,15),0)</f>
        <v>0</v>
      </c>
      <c r="T20" s="9">
        <f>IF(16&lt;=核心参数输入!$B$9,SUMIFS(季度投融资!$D$41:$DT$41,季度投融资!$D$6:$DT$6,16),0)</f>
        <v>0</v>
      </c>
      <c r="U20" s="9">
        <f>IF(17&lt;=核心参数输入!$B$9,SUMIFS(季度投融资!$D$41:$DT$41,季度投融资!$D$6:$DT$6,17),0)</f>
        <v>0</v>
      </c>
      <c r="V20" s="9">
        <f>IF(18&lt;=核心参数输入!$B$9,SUMIFS(季度投融资!$D$41:$DT$41,季度投融资!$D$6:$DT$6,18),0)</f>
        <v>0</v>
      </c>
      <c r="W20" s="9">
        <f>IF(19&lt;=核心参数输入!$B$9,SUMIFS(季度投融资!$D$41:$DT$41,季度投融资!$D$6:$DT$6,19),0)</f>
        <v>0</v>
      </c>
      <c r="X20" s="9">
        <f>IF(20&lt;=核心参数输入!$B$9,SUMIFS(季度投融资!$D$41:$DT$41,季度投融资!$D$6:$DT$6,20),0)</f>
        <v>0</v>
      </c>
      <c r="Y20" s="9">
        <f>IF(21&lt;=核心参数输入!$B$9,SUMIFS(季度投融资!$D$41:$DT$41,季度投融资!$D$6:$DT$6,21),0)</f>
        <v>0</v>
      </c>
      <c r="Z20" s="9">
        <f>IF(22&lt;=核心参数输入!$B$9,SUMIFS(季度投融资!$D$41:$DT$41,季度投融资!$D$6:$DT$6,22),0)</f>
        <v>0</v>
      </c>
      <c r="AA20" s="9">
        <f>IF(23&lt;=核心参数输入!$B$9,SUMIFS(季度投融资!$D$41:$DT$41,季度投融资!$D$6:$DT$6,23),0)</f>
        <v>0</v>
      </c>
      <c r="AB20" s="9">
        <f>IF(24&lt;=核心参数输入!$B$9,SUMIFS(季度投融资!$D$41:$DT$41,季度投融资!$D$6:$DT$6,24),0)</f>
        <v>0</v>
      </c>
      <c r="AC20" s="9">
        <f>IF(25&lt;=核心参数输入!$B$9,SUMIFS(季度投融资!$D$41:$DT$41,季度投融资!$D$6:$DT$6,25),0)</f>
        <v>0</v>
      </c>
      <c r="AD20" s="9">
        <f>IF(26&lt;=核心参数输入!$B$9,SUMIFS(季度投融资!$D$41:$DT$41,季度投融资!$D$6:$DT$6,26),0)</f>
        <v>0</v>
      </c>
      <c r="AE20" s="9">
        <f>IF(27&lt;=核心参数输入!$B$9,SUMIFS(季度投融资!$D$41:$DT$41,季度投融资!$D$6:$DT$6,27),0)</f>
        <v>0</v>
      </c>
      <c r="AF20" s="9">
        <f>IF(28&lt;=核心参数输入!$B$9,SUMIFS(季度投融资!$D$41:$DT$41,季度投融资!$D$6:$DT$6,28),0)</f>
        <v>0</v>
      </c>
      <c r="AG20" s="9">
        <f>IF(29&lt;=核心参数输入!$B$9,SUMIFS(季度投融资!$D$41:$DT$41,季度投融资!$D$6:$DT$6,29),0)</f>
        <v>0</v>
      </c>
      <c r="AH20" s="9">
        <f>IF(30&lt;=核心参数输入!$B$9,SUMIFS(季度投融资!$D$41:$DT$41,季度投融资!$D$6:$DT$6,30),0)</f>
        <v>0</v>
      </c>
    </row>
    <row r="21" spans="1:34" ht="21" customHeight="1">
      <c r="A21" s="8" t="s">
        <v>374</v>
      </c>
      <c r="B21" s="8" t="s">
        <v>39</v>
      </c>
      <c r="C21" s="8"/>
      <c r="D21" s="9">
        <f>IF(0&lt;=核心参数输入!$B$9,SUMIFS(季度投融资!$D$42:$DT$42,季度投融资!$D$6:$DT$6,0),0)</f>
        <v>0</v>
      </c>
      <c r="E21" s="9">
        <f>IF(1&lt;=核心参数输入!$B$9,SUMIFS(季度投融资!$D$42:$DT$42,季度投融资!$D$6:$DT$6,1),0)</f>
        <v>177.1875</v>
      </c>
      <c r="F21" s="9">
        <f>IF(2&lt;=核心参数输入!$B$9,SUMIFS(季度投融资!$D$42:$DT$42,季度投融资!$D$6:$DT$6,2),0)</f>
        <v>630</v>
      </c>
      <c r="G21" s="9">
        <f>IF(3&lt;=核心参数输入!$B$9,SUMIFS(季度投融资!$D$42:$DT$42,季度投融资!$D$6:$DT$6,3),0)</f>
        <v>1071</v>
      </c>
      <c r="H21" s="9">
        <f>IF(4&lt;=核心参数输入!$B$9,SUMIFS(季度投融资!$D$42:$DT$42,季度投融资!$D$6:$DT$6,4),0)</f>
        <v>1237.5</v>
      </c>
      <c r="I21" s="9">
        <f>IF(5&lt;=核心参数输入!$B$9,SUMIFS(季度投融资!$D$42:$DT$42,季度投融资!$D$6:$DT$6,5),0)</f>
        <v>1057.5</v>
      </c>
      <c r="J21" s="9">
        <f>IF(6&lt;=核心参数输入!$B$9,SUMIFS(季度投融资!$D$42:$DT$42,季度投融资!$D$6:$DT$6,6),0)</f>
        <v>877.5</v>
      </c>
      <c r="K21" s="9">
        <f>IF(7&lt;=核心参数输入!$B$9,SUMIFS(季度投融资!$D$42:$DT$42,季度投融资!$D$6:$DT$6,7),0)</f>
        <v>697.5</v>
      </c>
      <c r="L21" s="9">
        <f>IF(8&lt;=核心参数输入!$B$9,SUMIFS(季度投融资!$D$42:$DT$42,季度投融资!$D$6:$DT$6,8),0)</f>
        <v>517.5</v>
      </c>
      <c r="M21" s="9">
        <f>IF(9&lt;=核心参数输入!$B$9,SUMIFS(季度投融资!$D$42:$DT$42,季度投融资!$D$6:$DT$6,9),0)</f>
        <v>337.49999999999989</v>
      </c>
      <c r="N21" s="9">
        <f>IF(10&lt;=核心参数输入!$B$9,SUMIFS(季度投融资!$D$42:$DT$42,季度投融资!$D$6:$DT$6,10),0)</f>
        <v>157.49999999999994</v>
      </c>
      <c r="O21" s="9">
        <f>IF(11&lt;=核心参数输入!$B$9,SUMIFS(季度投融资!$D$42:$DT$42,季度投融资!$D$6:$DT$6,11),0)</f>
        <v>0</v>
      </c>
      <c r="P21" s="9">
        <f>IF(12&lt;=核心参数输入!$B$9,SUMIFS(季度投融资!$D$42:$DT$42,季度投融资!$D$6:$DT$6,12),0)</f>
        <v>0</v>
      </c>
      <c r="Q21" s="9">
        <f>IF(13&lt;=核心参数输入!$B$9,SUMIFS(季度投融资!$D$42:$DT$42,季度投融资!$D$6:$DT$6,13),0)</f>
        <v>0</v>
      </c>
      <c r="R21" s="9">
        <f>IF(14&lt;=核心参数输入!$B$9,SUMIFS(季度投融资!$D$42:$DT$42,季度投融资!$D$6:$DT$6,14),0)</f>
        <v>0</v>
      </c>
      <c r="S21" s="9">
        <f>IF(15&lt;=核心参数输入!$B$9,SUMIFS(季度投融资!$D$42:$DT$42,季度投融资!$D$6:$DT$6,15),0)</f>
        <v>0</v>
      </c>
      <c r="T21" s="9">
        <f>IF(16&lt;=核心参数输入!$B$9,SUMIFS(季度投融资!$D$42:$DT$42,季度投融资!$D$6:$DT$6,16),0)</f>
        <v>0</v>
      </c>
      <c r="U21" s="9">
        <f>IF(17&lt;=核心参数输入!$B$9,SUMIFS(季度投融资!$D$42:$DT$42,季度投融资!$D$6:$DT$6,17),0)</f>
        <v>0</v>
      </c>
      <c r="V21" s="9">
        <f>IF(18&lt;=核心参数输入!$B$9,SUMIFS(季度投融资!$D$42:$DT$42,季度投融资!$D$6:$DT$6,18),0)</f>
        <v>0</v>
      </c>
      <c r="W21" s="9">
        <f>IF(19&lt;=核心参数输入!$B$9,SUMIFS(季度投融资!$D$42:$DT$42,季度投融资!$D$6:$DT$6,19),0)</f>
        <v>0</v>
      </c>
      <c r="X21" s="9">
        <f>IF(20&lt;=核心参数输入!$B$9,SUMIFS(季度投融资!$D$42:$DT$42,季度投融资!$D$6:$DT$6,20),0)</f>
        <v>0</v>
      </c>
      <c r="Y21" s="9">
        <f>IF(21&lt;=核心参数输入!$B$9,SUMIFS(季度投融资!$D$42:$DT$42,季度投融资!$D$6:$DT$6,21),0)</f>
        <v>0</v>
      </c>
      <c r="Z21" s="9">
        <f>IF(22&lt;=核心参数输入!$B$9,SUMIFS(季度投融资!$D$42:$DT$42,季度投融资!$D$6:$DT$6,22),0)</f>
        <v>0</v>
      </c>
      <c r="AA21" s="9">
        <f>IF(23&lt;=核心参数输入!$B$9,SUMIFS(季度投融资!$D$42:$DT$42,季度投融资!$D$6:$DT$6,23),0)</f>
        <v>0</v>
      </c>
      <c r="AB21" s="9">
        <f>IF(24&lt;=核心参数输入!$B$9,SUMIFS(季度投融资!$D$42:$DT$42,季度投融资!$D$6:$DT$6,24),0)</f>
        <v>0</v>
      </c>
      <c r="AC21" s="9">
        <f>IF(25&lt;=核心参数输入!$B$9,SUMIFS(季度投融资!$D$42:$DT$42,季度投融资!$D$6:$DT$6,25),0)</f>
        <v>0</v>
      </c>
      <c r="AD21" s="9">
        <f>IF(26&lt;=核心参数输入!$B$9,SUMIFS(季度投融资!$D$42:$DT$42,季度投融资!$D$6:$DT$6,26),0)</f>
        <v>0</v>
      </c>
      <c r="AE21" s="9">
        <f>IF(27&lt;=核心参数输入!$B$9,SUMIFS(季度投融资!$D$42:$DT$42,季度投融资!$D$6:$DT$6,27),0)</f>
        <v>0</v>
      </c>
      <c r="AF21" s="9">
        <f>IF(28&lt;=核心参数输入!$B$9,SUMIFS(季度投融资!$D$42:$DT$42,季度投融资!$D$6:$DT$6,28),0)</f>
        <v>0</v>
      </c>
      <c r="AG21" s="9">
        <f>IF(29&lt;=核心参数输入!$B$9,SUMIFS(季度投融资!$D$42:$DT$42,季度投融资!$D$6:$DT$6,29),0)</f>
        <v>0</v>
      </c>
      <c r="AH21" s="9">
        <f>IF(30&lt;=核心参数输入!$B$9,SUMIFS(季度投融资!$D$42:$DT$42,季度投融资!$D$6:$DT$6,30),0)</f>
        <v>0</v>
      </c>
    </row>
    <row r="22" spans="1:34" ht="21" customHeight="1">
      <c r="A22" s="8" t="s">
        <v>375</v>
      </c>
      <c r="B22" s="8" t="s">
        <v>39</v>
      </c>
      <c r="C22" s="8"/>
      <c r="D22" s="9">
        <f>IF(0&lt;=核心参数输入!$B$9,SUMIFS(季度现金流!$D$65:$DT$65,季度现金流!$D$6:$DT$6,0),0)</f>
        <v>0</v>
      </c>
      <c r="E22" s="9">
        <f>IF(1&lt;=核心参数输入!$B$9,SUMIFS(季度现金流!$D$65:$DT$65,季度现金流!$D$6:$DT$6,1),0)</f>
        <v>0</v>
      </c>
      <c r="F22" s="9">
        <f>IF(2&lt;=核心参数输入!$B$9,SUMIFS(季度现金流!$D$65:$DT$65,季度现金流!$D$6:$DT$6,2),0)</f>
        <v>0</v>
      </c>
      <c r="G22" s="9">
        <f>IF(3&lt;=核心参数输入!$B$9,SUMIFS(季度现金流!$D$65:$DT$65,季度现金流!$D$6:$DT$6,3),0)</f>
        <v>0</v>
      </c>
      <c r="H22" s="9">
        <f>IF(4&lt;=核心参数输入!$B$9,SUMIFS(季度现金流!$D$65:$DT$65,季度现金流!$D$6:$DT$6,4),0)</f>
        <v>11554.939162359376</v>
      </c>
      <c r="I22" s="9">
        <f>IF(5&lt;=核心参数输入!$B$9,SUMIFS(季度现金流!$D$65:$DT$65,季度现金流!$D$6:$DT$6,5),0)</f>
        <v>16821.455477301264</v>
      </c>
      <c r="J22" s="9">
        <f>IF(6&lt;=核心参数输入!$B$9,SUMIFS(季度现金流!$D$65:$DT$65,季度现金流!$D$6:$DT$6,6),0)</f>
        <v>13643.414217493944</v>
      </c>
      <c r="K22" s="9">
        <f>IF(7&lt;=核心参数输入!$B$9,SUMIFS(季度现金流!$D$65:$DT$65,季度现金流!$D$6:$DT$6,7),0)</f>
        <v>2022.6792090597849</v>
      </c>
      <c r="L22" s="9">
        <f>IF(8&lt;=核心参数输入!$B$9,SUMIFS(季度现金流!$D$65:$DT$65,季度现金流!$D$6:$DT$6,8),0)</f>
        <v>1018.1446682386667</v>
      </c>
      <c r="M22" s="9">
        <f>IF(9&lt;=核心参数输入!$B$9,SUMIFS(季度现金流!$D$65:$DT$65,季度现金流!$D$6:$DT$6,9),0)</f>
        <v>1037.1813942500416</v>
      </c>
      <c r="N22" s="9">
        <f>IF(10&lt;=核心参数输入!$B$9,SUMIFS(季度现金流!$D$65:$DT$65,季度现金流!$D$6:$DT$6,10),0)</f>
        <v>1053.7829939589919</v>
      </c>
      <c r="O22" s="9">
        <f>IF(11&lt;=核心参数输入!$B$9,SUMIFS(季度现金流!$D$65:$DT$65,季度现金流!$D$6:$DT$6,11),0)</f>
        <v>1070.6004952394806</v>
      </c>
      <c r="P22" s="9">
        <f>IF(12&lt;=核心参数输入!$B$9,SUMIFS(季度现金流!$D$65:$DT$65,季度现金流!$D$6:$DT$6,12),0)</f>
        <v>1087.6364741665989</v>
      </c>
      <c r="Q22" s="9">
        <f>IF(13&lt;=核心参数输入!$B$9,SUMIFS(季度现金流!$D$65:$DT$65,季度现金流!$D$6:$DT$6,13),0)</f>
        <v>1104.893532207594</v>
      </c>
      <c r="R22" s="9">
        <f>IF(14&lt;=核心参数输入!$B$9,SUMIFS(季度现金流!$D$65:$DT$65,季度现金流!$D$6:$DT$6,14),0)</f>
        <v>1093.3816236908201</v>
      </c>
      <c r="S22" s="9">
        <f>IF(15&lt;=核心参数输入!$B$9,SUMIFS(季度现金流!$D$65:$DT$65,季度现金流!$D$6:$DT$6,15),0)</f>
        <v>1068.3216893646361</v>
      </c>
      <c r="T22" s="9">
        <f>IF(16&lt;=核心参数输入!$B$9,SUMIFS(季度现金流!$D$65:$DT$65,季度现金流!$D$6:$DT$6,16),0)</f>
        <v>1081.7738092331617</v>
      </c>
      <c r="U22" s="9">
        <f>IF(17&lt;=核心参数输入!$B$9,SUMIFS(季度现金流!$D$65:$DT$65,季度现金流!$D$6:$DT$6,17),0)</f>
        <v>1095.3997349777762</v>
      </c>
      <c r="V22" s="9">
        <f>IF(18&lt;=核心参数输入!$B$9,SUMIFS(季度现金流!$D$65:$DT$65,季度现金流!$D$6:$DT$6,18),0)</f>
        <v>1109.2015141681823</v>
      </c>
      <c r="W22" s="9">
        <f>IF(19&lt;=核心参数输入!$B$9,SUMIFS(季度现金流!$D$65:$DT$65,季度现金流!$D$6:$DT$6,19),0)</f>
        <v>1123.1812138972587</v>
      </c>
      <c r="X22" s="9">
        <f>IF(20&lt;=核心参数输入!$B$9,SUMIFS(季度现金流!$D$65:$DT$65,季度现金流!$D$6:$DT$6,20),0)</f>
        <v>1137.3409208501027</v>
      </c>
      <c r="Y22" s="9">
        <f>IF(21&lt;=核心参数输入!$B$9,SUMIFS(季度现金流!$D$65:$DT$65,季度现金流!$D$6:$DT$6,21),0)</f>
        <v>0</v>
      </c>
      <c r="Z22" s="9">
        <f>IF(22&lt;=核心参数输入!$B$9,SUMIFS(季度现金流!$D$65:$DT$65,季度现金流!$D$6:$DT$6,22),0)</f>
        <v>0</v>
      </c>
      <c r="AA22" s="9">
        <f>IF(23&lt;=核心参数输入!$B$9,SUMIFS(季度现金流!$D$65:$DT$65,季度现金流!$D$6:$DT$6,23),0)</f>
        <v>0</v>
      </c>
      <c r="AB22" s="9">
        <f>IF(24&lt;=核心参数输入!$B$9,SUMIFS(季度现金流!$D$65:$DT$65,季度现金流!$D$6:$DT$6,24),0)</f>
        <v>0</v>
      </c>
      <c r="AC22" s="9">
        <f>IF(25&lt;=核心参数输入!$B$9,SUMIFS(季度现金流!$D$65:$DT$65,季度现金流!$D$6:$DT$6,25),0)</f>
        <v>0</v>
      </c>
      <c r="AD22" s="9">
        <f>IF(26&lt;=核心参数输入!$B$9,SUMIFS(季度现金流!$D$65:$DT$65,季度现金流!$D$6:$DT$6,26),0)</f>
        <v>0</v>
      </c>
      <c r="AE22" s="9">
        <f>IF(27&lt;=核心参数输入!$B$9,SUMIFS(季度现金流!$D$65:$DT$65,季度现金流!$D$6:$DT$6,27),0)</f>
        <v>0</v>
      </c>
      <c r="AF22" s="9">
        <f>IF(28&lt;=核心参数输入!$B$9,SUMIFS(季度现金流!$D$65:$DT$65,季度现金流!$D$6:$DT$6,28),0)</f>
        <v>0</v>
      </c>
      <c r="AG22" s="9">
        <f>IF(29&lt;=核心参数输入!$B$9,SUMIFS(季度现金流!$D$65:$DT$65,季度现金流!$D$6:$DT$6,29),0)</f>
        <v>0</v>
      </c>
      <c r="AH22" s="9">
        <f>IF(30&lt;=核心参数输入!$B$9,SUMIFS(季度现金流!$D$65:$DT$65,季度现金流!$D$6:$DT$6,30),0)</f>
        <v>0</v>
      </c>
    </row>
    <row r="23" spans="1:34" ht="21" customHeight="1">
      <c r="A23" s="8" t="s">
        <v>49</v>
      </c>
      <c r="B23" s="8" t="s">
        <v>39</v>
      </c>
      <c r="C23" s="8"/>
      <c r="D23" s="9">
        <f>IF(0&lt;=核心参数输入!$B$9,SUMIFS(季度投融资!$D$46:$DT$46,季度投融资!$D$6:$DT$6,0),0)</f>
        <v>0</v>
      </c>
      <c r="E23" s="9">
        <f>IF(1&lt;=核心参数输入!$B$9,SUMIFS(季度投融资!$D$46:$DT$46,季度投融资!$D$6:$DT$6,1),0)</f>
        <v>177.1875</v>
      </c>
      <c r="F23" s="9">
        <f>IF(2&lt;=核心参数输入!$B$9,SUMIFS(季度投融资!$D$46:$DT$46,季度投融资!$D$6:$DT$6,2),0)</f>
        <v>630</v>
      </c>
      <c r="G23" s="9">
        <f>IF(3&lt;=核心参数输入!$B$9,SUMIFS(季度投融资!$D$46:$DT$46,季度投融资!$D$6:$DT$6,3),0)</f>
        <v>1071</v>
      </c>
      <c r="H23" s="9">
        <f>IF(4&lt;=核心参数输入!$B$9,SUMIFS(季度投融资!$D$46:$DT$46,季度投融资!$D$6:$DT$6,4),0)</f>
        <v>5523.2142857142853</v>
      </c>
      <c r="I23" s="9">
        <f>IF(5&lt;=核心参数输入!$B$9,SUMIFS(季度投融资!$D$46:$DT$46,季度投融资!$D$6:$DT$6,5),0)</f>
        <v>5343.2142857142853</v>
      </c>
      <c r="J23" s="9">
        <f>IF(6&lt;=核心参数输入!$B$9,SUMIFS(季度投融资!$D$46:$DT$46,季度投融资!$D$6:$DT$6,6),0)</f>
        <v>5163.2142857142853</v>
      </c>
      <c r="K23" s="9">
        <f>IF(7&lt;=核心参数输入!$B$9,SUMIFS(季度投融资!$D$46:$DT$46,季度投融资!$D$6:$DT$6,7),0)</f>
        <v>4983.2142857142853</v>
      </c>
      <c r="L23" s="9">
        <f>IF(8&lt;=核心参数输入!$B$9,SUMIFS(季度投融资!$D$46:$DT$46,季度投融资!$D$6:$DT$6,8),0)</f>
        <v>4803.2142857142853</v>
      </c>
      <c r="M23" s="9">
        <f>IF(9&lt;=核心参数输入!$B$9,SUMIFS(季度投融资!$D$46:$DT$46,季度投融资!$D$6:$DT$6,9),0)</f>
        <v>4623.2142857142853</v>
      </c>
      <c r="N23" s="9">
        <f>IF(10&lt;=核心参数输入!$B$9,SUMIFS(季度投融资!$D$46:$DT$46,季度投融资!$D$6:$DT$6,10),0)</f>
        <v>4443.2142857142835</v>
      </c>
      <c r="O23" s="9">
        <f>IF(11&lt;=核心参数输入!$B$9,SUMIFS(季度投融资!$D$46:$DT$46,季度投融资!$D$6:$DT$6,11),0)</f>
        <v>0</v>
      </c>
      <c r="P23" s="9">
        <f>IF(12&lt;=核心参数输入!$B$9,SUMIFS(季度投融资!$D$46:$DT$46,季度投融资!$D$6:$DT$6,12),0)</f>
        <v>0</v>
      </c>
      <c r="Q23" s="9">
        <f>IF(13&lt;=核心参数输入!$B$9,SUMIFS(季度投融资!$D$46:$DT$46,季度投融资!$D$6:$DT$6,13),0)</f>
        <v>0</v>
      </c>
      <c r="R23" s="9">
        <f>IF(14&lt;=核心参数输入!$B$9,SUMIFS(季度投融资!$D$46:$DT$46,季度投融资!$D$6:$DT$6,14),0)</f>
        <v>0</v>
      </c>
      <c r="S23" s="9">
        <f>IF(15&lt;=核心参数输入!$B$9,SUMIFS(季度投融资!$D$46:$DT$46,季度投融资!$D$6:$DT$6,15),0)</f>
        <v>0</v>
      </c>
      <c r="T23" s="9">
        <f>IF(16&lt;=核心参数输入!$B$9,SUMIFS(季度投融资!$D$46:$DT$46,季度投融资!$D$6:$DT$6,16),0)</f>
        <v>0</v>
      </c>
      <c r="U23" s="9">
        <f>IF(17&lt;=核心参数输入!$B$9,SUMIFS(季度投融资!$D$46:$DT$46,季度投融资!$D$6:$DT$6,17),0)</f>
        <v>0</v>
      </c>
      <c r="V23" s="9">
        <f>IF(18&lt;=核心参数输入!$B$9,SUMIFS(季度投融资!$D$46:$DT$46,季度投融资!$D$6:$DT$6,18),0)</f>
        <v>0</v>
      </c>
      <c r="W23" s="9">
        <f>IF(19&lt;=核心参数输入!$B$9,SUMIFS(季度投融资!$D$46:$DT$46,季度投融资!$D$6:$DT$6,19),0)</f>
        <v>0</v>
      </c>
      <c r="X23" s="9">
        <f>IF(20&lt;=核心参数输入!$B$9,SUMIFS(季度投融资!$D$46:$DT$46,季度投融资!$D$6:$DT$6,20),0)</f>
        <v>0</v>
      </c>
      <c r="Y23" s="9">
        <f>IF(21&lt;=核心参数输入!$B$9,SUMIFS(季度投融资!$D$46:$DT$46,季度投融资!$D$6:$DT$6,21),0)</f>
        <v>0</v>
      </c>
      <c r="Z23" s="9">
        <f>IF(22&lt;=核心参数输入!$B$9,SUMIFS(季度投融资!$D$46:$DT$46,季度投融资!$D$6:$DT$6,22),0)</f>
        <v>0</v>
      </c>
      <c r="AA23" s="9">
        <f>IF(23&lt;=核心参数输入!$B$9,SUMIFS(季度投融资!$D$46:$DT$46,季度投融资!$D$6:$DT$6,23),0)</f>
        <v>0</v>
      </c>
      <c r="AB23" s="9">
        <f>IF(24&lt;=核心参数输入!$B$9,SUMIFS(季度投融资!$D$46:$DT$46,季度投融资!$D$6:$DT$6,24),0)</f>
        <v>0</v>
      </c>
      <c r="AC23" s="9">
        <f>IF(25&lt;=核心参数输入!$B$9,SUMIFS(季度投融资!$D$46:$DT$46,季度投融资!$D$6:$DT$6,25),0)</f>
        <v>0</v>
      </c>
      <c r="AD23" s="9">
        <f>IF(26&lt;=核心参数输入!$B$9,SUMIFS(季度投融资!$D$46:$DT$46,季度投融资!$D$6:$DT$6,26),0)</f>
        <v>0</v>
      </c>
      <c r="AE23" s="9">
        <f>IF(27&lt;=核心参数输入!$B$9,SUMIFS(季度投融资!$D$46:$DT$46,季度投融资!$D$6:$DT$6,27),0)</f>
        <v>0</v>
      </c>
      <c r="AF23" s="9">
        <f>IF(28&lt;=核心参数输入!$B$9,SUMIFS(季度投融资!$D$46:$DT$46,季度投融资!$D$6:$DT$6,28),0)</f>
        <v>0</v>
      </c>
      <c r="AG23" s="9">
        <f>IF(29&lt;=核心参数输入!$B$9,SUMIFS(季度投融资!$D$46:$DT$46,季度投融资!$D$6:$DT$6,29),0)</f>
        <v>0</v>
      </c>
      <c r="AH23" s="9">
        <f>IF(30&lt;=核心参数输入!$B$9,SUMIFS(季度投融资!$D$46:$DT$46,季度投融资!$D$6:$DT$6,30),0)</f>
        <v>0</v>
      </c>
    </row>
    <row r="24" spans="1:34" ht="21" customHeight="1">
      <c r="A24" s="8" t="s">
        <v>376</v>
      </c>
      <c r="B24" s="8" t="s">
        <v>73</v>
      </c>
      <c r="C24" s="8"/>
      <c r="D24" s="9" t="str">
        <f>IF(0&lt;=核心参数输入!$B$9,IF(AND(0*4&gt;核心参数输入!$B$16*4+核心参数输入!$B$148,D23&gt;0.000001),D22/D23,""),"")</f>
        <v/>
      </c>
      <c r="E24" s="9" t="str">
        <f>IF(1&lt;=核心参数输入!$B$9,IF(AND(1*4&gt;核心参数输入!$B$16*4+核心参数输入!$B$148,E23&gt;0.000001),E22/E23,""),"")</f>
        <v/>
      </c>
      <c r="F24" s="9" t="str">
        <f>IF(2&lt;=核心参数输入!$B$9,IF(AND(2*4&gt;核心参数输入!$B$16*4+核心参数输入!$B$148,F23&gt;0.000001),F22/F23,""),"")</f>
        <v/>
      </c>
      <c r="G24" s="9" t="str">
        <f>IF(3&lt;=核心参数输入!$B$9,IF(AND(3*4&gt;核心参数输入!$B$16*4+核心参数输入!$B$148,G23&gt;0.000001),G22/G23,""),"")</f>
        <v/>
      </c>
      <c r="H24" s="9">
        <f>IF(4&lt;=核心参数输入!$B$9,IF(AND(4*4&gt;核心参数输入!$B$16*4+核心参数输入!$B$148,H23&gt;0.000001),H22/H23,""),"")</f>
        <v>2.0920678729134341</v>
      </c>
      <c r="I24" s="9">
        <f>IF(5&lt;=核心参数输入!$B$9,IF(AND(5*4&gt;核心参数输入!$B$16*4+核心参数输入!$B$148,I23&gt;0.000001),I22/I23,""),"")</f>
        <v>3.1481903172544312</v>
      </c>
      <c r="J24" s="9">
        <f>IF(6&lt;=核心参数输入!$B$9,IF(AND(6*4&gt;核心参数输入!$B$16*4+核心参数输入!$B$148,J23&gt;0.000001),J22/J23,""),"")</f>
        <v>2.6424264929780068</v>
      </c>
      <c r="K24" s="9">
        <f>IF(7&lt;=核心参数输入!$B$9,IF(AND(7*4&gt;核心参数输入!$B$16*4+核心参数输入!$B$148,K23&gt;0.000001),K22/K23,""),"")</f>
        <v>0.40589850106553416</v>
      </c>
      <c r="L24" s="9">
        <f>IF(8&lt;=核心参数输入!$B$9,IF(AND(8*4&gt;核心参数输入!$B$16*4+核心参数输入!$B$148,L23&gt;0.000001),L22/L23,""),"")</f>
        <v>0.21197152733052768</v>
      </c>
      <c r="M24" s="9">
        <f>IF(9&lt;=核心参数输入!$B$9,IF(AND(9*4&gt;核心参数输入!$B$16*4+核心参数输入!$B$148,M23&gt;0.000001),M22/M23,""),"")</f>
        <v>0.22434205514871508</v>
      </c>
      <c r="N24" s="9">
        <f>IF(10&lt;=核心参数输入!$B$9,IF(AND(10*4&gt;核心参数输入!$B$16*4+核心参数输入!$B$148,N23&gt;0.000001),N22/N23,""),"")</f>
        <v>0.23716681802790604</v>
      </c>
      <c r="O24" s="9" t="str">
        <f>IF(11&lt;=核心参数输入!$B$9,IF(AND(11*4&gt;核心参数输入!$B$16*4+核心参数输入!$B$148,O23&gt;0.000001),O22/O23,""),"")</f>
        <v/>
      </c>
      <c r="P24" s="9" t="str">
        <f>IF(12&lt;=核心参数输入!$B$9,IF(AND(12*4&gt;核心参数输入!$B$16*4+核心参数输入!$B$148,P23&gt;0.000001),P22/P23,""),"")</f>
        <v/>
      </c>
      <c r="Q24" s="9" t="str">
        <f>IF(13&lt;=核心参数输入!$B$9,IF(AND(13*4&gt;核心参数输入!$B$16*4+核心参数输入!$B$148,Q23&gt;0.000001),Q22/Q23,""),"")</f>
        <v/>
      </c>
      <c r="R24" s="9" t="str">
        <f>IF(14&lt;=核心参数输入!$B$9,IF(AND(14*4&gt;核心参数输入!$B$16*4+核心参数输入!$B$148,R23&gt;0.000001),R22/R23,""),"")</f>
        <v/>
      </c>
      <c r="S24" s="9" t="str">
        <f>IF(15&lt;=核心参数输入!$B$9,IF(AND(15*4&gt;核心参数输入!$B$16*4+核心参数输入!$B$148,S23&gt;0.000001),S22/S23,""),"")</f>
        <v/>
      </c>
      <c r="T24" s="9" t="str">
        <f>IF(16&lt;=核心参数输入!$B$9,IF(AND(16*4&gt;核心参数输入!$B$16*4+核心参数输入!$B$148,T23&gt;0.000001),T22/T23,""),"")</f>
        <v/>
      </c>
      <c r="U24" s="9" t="str">
        <f>IF(17&lt;=核心参数输入!$B$9,IF(AND(17*4&gt;核心参数输入!$B$16*4+核心参数输入!$B$148,U23&gt;0.000001),U22/U23,""),"")</f>
        <v/>
      </c>
      <c r="V24" s="9" t="str">
        <f>IF(18&lt;=核心参数输入!$B$9,IF(AND(18*4&gt;核心参数输入!$B$16*4+核心参数输入!$B$148,V23&gt;0.000001),V22/V23,""),"")</f>
        <v/>
      </c>
      <c r="W24" s="9" t="str">
        <f>IF(19&lt;=核心参数输入!$B$9,IF(AND(19*4&gt;核心参数输入!$B$16*4+核心参数输入!$B$148,W23&gt;0.000001),W22/W23,""),"")</f>
        <v/>
      </c>
      <c r="X24" s="9" t="str">
        <f>IF(20&lt;=核心参数输入!$B$9,IF(AND(20*4&gt;核心参数输入!$B$16*4+核心参数输入!$B$148,X23&gt;0.000001),X22/X23,""),"")</f>
        <v/>
      </c>
      <c r="Y24" s="9" t="str">
        <f>IF(21&lt;=核心参数输入!$B$9,IF(AND(21*4&gt;核心参数输入!$B$16*4+核心参数输入!$B$148,Y23&gt;0.000001),Y22/Y23,""),"")</f>
        <v/>
      </c>
      <c r="Z24" s="9" t="str">
        <f>IF(22&lt;=核心参数输入!$B$9,IF(AND(22*4&gt;核心参数输入!$B$16*4+核心参数输入!$B$148,Z23&gt;0.000001),Z22/Z23,""),"")</f>
        <v/>
      </c>
      <c r="AA24" s="9" t="str">
        <f>IF(23&lt;=核心参数输入!$B$9,IF(AND(23*4&gt;核心参数输入!$B$16*4+核心参数输入!$B$148,AA23&gt;0.000001),AA22/AA23,""),"")</f>
        <v/>
      </c>
      <c r="AB24" s="9" t="str">
        <f>IF(24&lt;=核心参数输入!$B$9,IF(AND(24*4&gt;核心参数输入!$B$16*4+核心参数输入!$B$148,AB23&gt;0.000001),AB22/AB23,""),"")</f>
        <v/>
      </c>
      <c r="AC24" s="9" t="str">
        <f>IF(25&lt;=核心参数输入!$B$9,IF(AND(25*4&gt;核心参数输入!$B$16*4+核心参数输入!$B$148,AC23&gt;0.000001),AC22/AC23,""),"")</f>
        <v/>
      </c>
      <c r="AD24" s="9" t="str">
        <f>IF(26&lt;=核心参数输入!$B$9,IF(AND(26*4&gt;核心参数输入!$B$16*4+核心参数输入!$B$148,AD23&gt;0.000001),AD22/AD23,""),"")</f>
        <v/>
      </c>
      <c r="AE24" s="9" t="str">
        <f>IF(27&lt;=核心参数输入!$B$9,IF(AND(27*4&gt;核心参数输入!$B$16*4+核心参数输入!$B$148,AE23&gt;0.000001),AE22/AE23,""),"")</f>
        <v/>
      </c>
      <c r="AF24" s="9" t="str">
        <f>IF(28&lt;=核心参数输入!$B$9,IF(AND(28*4&gt;核心参数输入!$B$16*4+核心参数输入!$B$148,AF23&gt;0.000001),AF22/AF23,""),"")</f>
        <v/>
      </c>
      <c r="AG24" s="9" t="str">
        <f>IF(29&lt;=核心参数输入!$B$9,IF(AND(29*4&gt;核心参数输入!$B$16*4+核心参数输入!$B$148,AG23&gt;0.000001),AG22/AG23,""),"")</f>
        <v/>
      </c>
      <c r="AH24" s="9" t="str">
        <f>IF(30&lt;=核心参数输入!$B$9,IF(AND(30*4&gt;核心参数输入!$B$16*4+核心参数输入!$B$148,AH23&gt;0.000001),AH22/AH23,""),"")</f>
        <v/>
      </c>
    </row>
    <row r="25" spans="1:34" ht="21" customHeight="1">
      <c r="A25" s="8" t="s">
        <v>377</v>
      </c>
      <c r="B25" s="8" t="s">
        <v>39</v>
      </c>
      <c r="C25" s="8"/>
      <c r="D25" s="9">
        <f>IF(0&lt;=核心参数输入!$B$9,SUMIFS(季度现金流!$D$45:$DT$45,季度现金流!$D$6:$DT$6,0),0)</f>
        <v>-8000</v>
      </c>
      <c r="E25" s="9">
        <f>IF(1&lt;=核心参数输入!$B$9,SUMIFS(季度现金流!$D$45:$DT$45,季度现金流!$D$6:$DT$6,1),0)</f>
        <v>-15876</v>
      </c>
      <c r="F25" s="9">
        <f>IF(2&lt;=核心参数输入!$B$9,SUMIFS(季度现金流!$D$45:$DT$45,季度现金流!$D$6:$DT$6,2),0)</f>
        <v>-21168</v>
      </c>
      <c r="G25" s="9">
        <f>IF(3&lt;=核心参数输入!$B$9,SUMIFS(季度现金流!$D$45:$DT$45,季度现金流!$D$6:$DT$6,3),0)</f>
        <v>-15876</v>
      </c>
      <c r="H25" s="9">
        <f>IF(4&lt;=核心参数输入!$B$9,SUMIFS(季度现金流!$D$45:$DT$45,季度现金流!$D$6:$DT$6,4),0)</f>
        <v>10660.868537359376</v>
      </c>
      <c r="I25" s="9">
        <f>IF(5&lt;=核心参数输入!$B$9,SUMIFS(季度现金流!$D$45:$DT$45,季度现金流!$D$6:$DT$6,5),0)</f>
        <v>16446.397352301265</v>
      </c>
      <c r="J25" s="9">
        <f>IF(6&lt;=核心参数输入!$B$9,SUMIFS(季度现金流!$D$45:$DT$45,季度现金流!$D$6:$DT$6,6),0)</f>
        <v>13339.343592493944</v>
      </c>
      <c r="K25" s="9">
        <f>IF(7&lt;=核心参数输入!$B$9,SUMIFS(季度现金流!$D$45:$DT$45,季度现金流!$D$6:$DT$6,7),0)</f>
        <v>1995.0134692948386</v>
      </c>
      <c r="L25" s="9">
        <f>IF(8&lt;=核心参数输入!$B$9,SUMIFS(季度现金流!$D$45:$DT$45,季度现金流!$D$6:$DT$6,8),0)</f>
        <v>970.136001179</v>
      </c>
      <c r="M25" s="9">
        <f>IF(9&lt;=核心参数输入!$B$9,SUMIFS(季度现金流!$D$45:$DT$45,季度现金流!$D$6:$DT$6,9),0)</f>
        <v>984.41354568753127</v>
      </c>
      <c r="N25" s="9">
        <f>IF(10&lt;=核心参数输入!$B$9,SUMIFS(季度现金流!$D$45:$DT$45,季度现金流!$D$6:$DT$6,10),0)</f>
        <v>996.86474546924399</v>
      </c>
      <c r="O25" s="9">
        <f>IF(11&lt;=核心参数输入!$B$9,SUMIFS(季度现金流!$D$45:$DT$45,季度现金流!$D$6:$DT$6,11),0)</f>
        <v>1009.4778714296103</v>
      </c>
      <c r="P25" s="9">
        <f>IF(12&lt;=核心参数输入!$B$9,SUMIFS(季度现金流!$D$45:$DT$45,季度现金流!$D$6:$DT$6,12),0)</f>
        <v>1022.2548556249492</v>
      </c>
      <c r="Q25" s="9">
        <f>IF(13&lt;=核心参数输入!$B$9,SUMIFS(季度现金流!$D$45:$DT$45,季度现金流!$D$6:$DT$6,13),0)</f>
        <v>1035.1976491556954</v>
      </c>
      <c r="R25" s="9">
        <f>IF(14&lt;=核心参数输入!$B$9,SUMIFS(季度现金流!$D$45:$DT$45,季度现金流!$D$6:$DT$6,14),0)</f>
        <v>1048.3082222533305</v>
      </c>
      <c r="S25" s="9">
        <f>IF(15&lt;=核心参数输入!$B$9,SUMIFS(季度现金流!$D$45:$DT$45,季度现金流!$D$6:$DT$6,15),0)</f>
        <v>1061.5885643646361</v>
      </c>
      <c r="T25" s="9">
        <f>IF(16&lt;=核心参数输入!$B$9,SUMIFS(季度现金流!$D$45:$DT$45,季度现金流!$D$6:$DT$6,16),0)</f>
        <v>1075.0406842331618</v>
      </c>
      <c r="U25" s="9">
        <f>IF(17&lt;=核心参数输入!$B$9,SUMIFS(季度现金流!$D$45:$DT$45,季度现金流!$D$6:$DT$6,17),0)</f>
        <v>1088.6666099777763</v>
      </c>
      <c r="V25" s="9">
        <f>IF(18&lt;=核心参数输入!$B$9,SUMIFS(季度现金流!$D$45:$DT$45,季度现金流!$D$6:$DT$6,18),0)</f>
        <v>1102.4683891681823</v>
      </c>
      <c r="W25" s="9">
        <f>IF(19&lt;=核心参数输入!$B$9,SUMIFS(季度现金流!$D$45:$DT$45,季度现金流!$D$6:$DT$6,19),0)</f>
        <v>1116.4480888972585</v>
      </c>
      <c r="X25" s="9">
        <f>IF(20&lt;=核心参数输入!$B$9,SUMIFS(季度现金流!$D$45:$DT$45,季度现金流!$D$6:$DT$6,20),0)</f>
        <v>1130.6077958501028</v>
      </c>
      <c r="Y25" s="9">
        <f>IF(21&lt;=核心参数输入!$B$9,SUMIFS(季度现金流!$D$45:$DT$45,季度现金流!$D$6:$DT$6,21),0)</f>
        <v>0</v>
      </c>
      <c r="Z25" s="9">
        <f>IF(22&lt;=核心参数输入!$B$9,SUMIFS(季度现金流!$D$45:$DT$45,季度现金流!$D$6:$DT$6,22),0)</f>
        <v>0</v>
      </c>
      <c r="AA25" s="9">
        <f>IF(23&lt;=核心参数输入!$B$9,SUMIFS(季度现金流!$D$45:$DT$45,季度现金流!$D$6:$DT$6,23),0)</f>
        <v>0</v>
      </c>
      <c r="AB25" s="9">
        <f>IF(24&lt;=核心参数输入!$B$9,SUMIFS(季度现金流!$D$45:$DT$45,季度现金流!$D$6:$DT$6,24),0)</f>
        <v>0</v>
      </c>
      <c r="AC25" s="9">
        <f>IF(25&lt;=核心参数输入!$B$9,SUMIFS(季度现金流!$D$45:$DT$45,季度现金流!$D$6:$DT$6,25),0)</f>
        <v>0</v>
      </c>
      <c r="AD25" s="9">
        <f>IF(26&lt;=核心参数输入!$B$9,SUMIFS(季度现金流!$D$45:$DT$45,季度现金流!$D$6:$DT$6,26),0)</f>
        <v>0</v>
      </c>
      <c r="AE25" s="9">
        <f>IF(27&lt;=核心参数输入!$B$9,SUMIFS(季度现金流!$D$45:$DT$45,季度现金流!$D$6:$DT$6,27),0)</f>
        <v>0</v>
      </c>
      <c r="AF25" s="9">
        <f>IF(28&lt;=核心参数输入!$B$9,SUMIFS(季度现金流!$D$45:$DT$45,季度现金流!$D$6:$DT$6,28),0)</f>
        <v>0</v>
      </c>
      <c r="AG25" s="9">
        <f>IF(29&lt;=核心参数输入!$B$9,SUMIFS(季度现金流!$D$45:$DT$45,季度现金流!$D$6:$DT$6,29),0)</f>
        <v>0</v>
      </c>
      <c r="AH25" s="9">
        <f>IF(30&lt;=核心参数输入!$B$9,SUMIFS(季度现金流!$D$45:$DT$45,季度现金流!$D$6:$DT$6,30),0)</f>
        <v>0</v>
      </c>
    </row>
    <row r="26" spans="1:34" ht="21" customHeight="1">
      <c r="A26" s="8" t="s">
        <v>378</v>
      </c>
      <c r="B26" s="8" t="s">
        <v>39</v>
      </c>
      <c r="C26" s="8"/>
      <c r="D26" s="9">
        <f>IF(0&lt;=核心参数输入!$B$9,SUMIFS(季度现金流!$D$47:$DT$47,季度现金流!$D$6:$DT$6,0),0)</f>
        <v>-8000</v>
      </c>
      <c r="E26" s="9">
        <f>IF(1&lt;=核心参数输入!$B$9,SUMIFS(季度现金流!$D$47:$DT$47,季度现金流!$D$6:$DT$6,1),0)</f>
        <v>-7065</v>
      </c>
      <c r="F26" s="9">
        <f>IF(2&lt;=核心参数输入!$B$9,SUMIFS(季度现金流!$D$47:$DT$47,季度现金流!$D$6:$DT$6,2),0)</f>
        <v>-9798</v>
      </c>
      <c r="G26" s="9">
        <f>IF(3&lt;=核心参数输入!$B$9,SUMIFS(季度现金流!$D$47:$DT$47,季度现金流!$D$6:$DT$6,3),0)</f>
        <v>-7947</v>
      </c>
      <c r="H26" s="9">
        <f>IF(4&lt;=核心参数输入!$B$9,SUMIFS(季度现金流!$D$47:$DT$47,季度现金流!$D$6:$DT$6,4),0)</f>
        <v>5531.7248766450894</v>
      </c>
      <c r="I26" s="9">
        <f>IF(5&lt;=核心参数输入!$B$9,SUMIFS(季度现金流!$D$47:$DT$47,季度现金流!$D$6:$DT$6,5),0)</f>
        <v>6237.3722460169847</v>
      </c>
      <c r="J26" s="9">
        <f>IF(6&lt;=核心参数输入!$B$9,SUMIFS(季度现金流!$D$47:$DT$47,季度现金流!$D$6:$DT$6,6),0)</f>
        <v>0</v>
      </c>
      <c r="K26" s="9">
        <f>IF(7&lt;=核心参数输入!$B$9,SUMIFS(季度现金流!$D$47:$DT$47,季度现金流!$D$6:$DT$6,7),0)</f>
        <v>0</v>
      </c>
      <c r="L26" s="9">
        <f>IF(8&lt;=核心参数输入!$B$9,SUMIFS(季度现金流!$D$47:$DT$47,季度现金流!$D$6:$DT$6,8),0)</f>
        <v>0</v>
      </c>
      <c r="M26" s="9">
        <f>IF(9&lt;=核心参数输入!$B$9,SUMIFS(季度现金流!$D$47:$DT$47,季度现金流!$D$6:$DT$6,9),0)</f>
        <v>0</v>
      </c>
      <c r="N26" s="9">
        <f>IF(10&lt;=核心参数输入!$B$9,SUMIFS(季度现金流!$D$47:$DT$47,季度现金流!$D$6:$DT$6,10),0)</f>
        <v>0</v>
      </c>
      <c r="O26" s="9">
        <f>IF(11&lt;=核心参数输入!$B$9,SUMIFS(季度现金流!$D$47:$DT$47,季度现金流!$D$6:$DT$6,11),0)</f>
        <v>1070.6004952394806</v>
      </c>
      <c r="P26" s="9">
        <f>IF(12&lt;=核心参数输入!$B$9,SUMIFS(季度现金流!$D$47:$DT$47,季度现金流!$D$6:$DT$6,12),0)</f>
        <v>1087.6364741665989</v>
      </c>
      <c r="Q26" s="9">
        <f>IF(13&lt;=核心参数输入!$B$9,SUMIFS(季度现金流!$D$47:$DT$47,季度现金流!$D$6:$DT$6,13),0)</f>
        <v>1104.893532207594</v>
      </c>
      <c r="R26" s="9">
        <f>IF(14&lt;=核心参数输入!$B$9,SUMIFS(季度现金流!$D$47:$DT$47,季度现金流!$D$6:$DT$6,14),0)</f>
        <v>1093.3816236908201</v>
      </c>
      <c r="S26" s="9">
        <f>IF(15&lt;=核心参数输入!$B$9,SUMIFS(季度现金流!$D$47:$DT$47,季度现金流!$D$6:$DT$6,15),0)</f>
        <v>1068.3216893646361</v>
      </c>
      <c r="T26" s="9">
        <f>IF(16&lt;=核心参数输入!$B$9,SUMIFS(季度现金流!$D$47:$DT$47,季度现金流!$D$6:$DT$6,16),0)</f>
        <v>1081.7738092331617</v>
      </c>
      <c r="U26" s="9">
        <f>IF(17&lt;=核心参数输入!$B$9,SUMIFS(季度现金流!$D$47:$DT$47,季度现金流!$D$6:$DT$6,17),0)</f>
        <v>1095.3997349777762</v>
      </c>
      <c r="V26" s="9">
        <f>IF(18&lt;=核心参数输入!$B$9,SUMIFS(季度现金流!$D$47:$DT$47,季度现金流!$D$6:$DT$6,18),0)</f>
        <v>1109.2015141681823</v>
      </c>
      <c r="W26" s="9">
        <f>IF(19&lt;=核心参数输入!$B$9,SUMIFS(季度现金流!$D$47:$DT$47,季度现金流!$D$6:$DT$6,19),0)</f>
        <v>1123.1812138972587</v>
      </c>
      <c r="X26" s="9">
        <f>IF(20&lt;=核心参数输入!$B$9,SUMIFS(季度现金流!$D$47:$DT$47,季度现金流!$D$6:$DT$6,20),0)</f>
        <v>1137.3409208501027</v>
      </c>
      <c r="Y26" s="9">
        <f>IF(21&lt;=核心参数输入!$B$9,SUMIFS(季度现金流!$D$47:$DT$47,季度现金流!$D$6:$DT$6,21),0)</f>
        <v>0</v>
      </c>
      <c r="Z26" s="9">
        <f>IF(22&lt;=核心参数输入!$B$9,SUMIFS(季度现金流!$D$47:$DT$47,季度现金流!$D$6:$DT$6,22),0)</f>
        <v>0</v>
      </c>
      <c r="AA26" s="9">
        <f>IF(23&lt;=核心参数输入!$B$9,SUMIFS(季度现金流!$D$47:$DT$47,季度现金流!$D$6:$DT$6,23),0)</f>
        <v>0</v>
      </c>
      <c r="AB26" s="9">
        <f>IF(24&lt;=核心参数输入!$B$9,SUMIFS(季度现金流!$D$47:$DT$47,季度现金流!$D$6:$DT$6,24),0)</f>
        <v>0</v>
      </c>
      <c r="AC26" s="9">
        <f>IF(25&lt;=核心参数输入!$B$9,SUMIFS(季度现金流!$D$47:$DT$47,季度现金流!$D$6:$DT$6,25),0)</f>
        <v>0</v>
      </c>
      <c r="AD26" s="9">
        <f>IF(26&lt;=核心参数输入!$B$9,SUMIFS(季度现金流!$D$47:$DT$47,季度现金流!$D$6:$DT$6,26),0)</f>
        <v>0</v>
      </c>
      <c r="AE26" s="9">
        <f>IF(27&lt;=核心参数输入!$B$9,SUMIFS(季度现金流!$D$47:$DT$47,季度现金流!$D$6:$DT$6,27),0)</f>
        <v>0</v>
      </c>
      <c r="AF26" s="9">
        <f>IF(28&lt;=核心参数输入!$B$9,SUMIFS(季度现金流!$D$47:$DT$47,季度现金流!$D$6:$DT$6,28),0)</f>
        <v>0</v>
      </c>
      <c r="AG26" s="9">
        <f>IF(29&lt;=核心参数输入!$B$9,SUMIFS(季度现金流!$D$47:$DT$47,季度现金流!$D$6:$DT$6,29),0)</f>
        <v>0</v>
      </c>
      <c r="AH26" s="9">
        <f>IF(30&lt;=核心参数输入!$B$9,SUMIFS(季度现金流!$D$47:$DT$47,季度现金流!$D$6:$DT$6,30),0)</f>
        <v>0</v>
      </c>
    </row>
    <row r="27" spans="1:34" ht="21" customHeight="1">
      <c r="A27" s="8" t="s">
        <v>379</v>
      </c>
      <c r="B27" s="8" t="s">
        <v>39</v>
      </c>
      <c r="C27" s="8"/>
      <c r="D27" s="9">
        <f>IF(0&lt;=核心参数输入!$B$9,SUMIFS(季度现金流!$D$49:$DT$49,季度现金流!$D$6:$DT$6,0),0)</f>
        <v>8000</v>
      </c>
      <c r="E27" s="9">
        <f>IF(1&lt;=核心参数输入!$B$9,SUMIFS(季度现金流!$D$49:$DT$49,季度现金流!$D$6:$DT$6,1),0)</f>
        <v>7065</v>
      </c>
      <c r="F27" s="9">
        <f>IF(2&lt;=核心参数输入!$B$9,SUMIFS(季度现金流!$D$49:$DT$49,季度现金流!$D$6:$DT$6,2),0)</f>
        <v>9798</v>
      </c>
      <c r="G27" s="9">
        <f>IF(3&lt;=核心参数输入!$B$9,SUMIFS(季度现金流!$D$49:$DT$49,季度现金流!$D$6:$DT$6,3),0)</f>
        <v>7947</v>
      </c>
      <c r="H27" s="9">
        <f>IF(4&lt;=核心参数输入!$B$9,SUMIFS(季度现金流!$D$49:$DT$49,季度现金流!$D$6:$DT$6,4),0)</f>
        <v>0</v>
      </c>
      <c r="I27" s="9">
        <f>IF(5&lt;=核心参数输入!$B$9,SUMIFS(季度现金流!$D$49:$DT$49,季度现金流!$D$6:$DT$6,5),0)</f>
        <v>0</v>
      </c>
      <c r="J27" s="9">
        <f>IF(6&lt;=核心参数输入!$B$9,SUMIFS(季度现金流!$D$49:$DT$49,季度现金流!$D$6:$DT$6,6),0)</f>
        <v>0</v>
      </c>
      <c r="K27" s="9">
        <f>IF(7&lt;=核心参数输入!$B$9,SUMIFS(季度现金流!$D$49:$DT$49,季度现金流!$D$6:$DT$6,7),0)</f>
        <v>0</v>
      </c>
      <c r="L27" s="9">
        <f>IF(8&lt;=核心参数输入!$B$9,SUMIFS(季度现金流!$D$49:$DT$49,季度现金流!$D$6:$DT$6,8),0)</f>
        <v>0</v>
      </c>
      <c r="M27" s="9">
        <f>IF(9&lt;=核心参数输入!$B$9,SUMIFS(季度现金流!$D$49:$DT$49,季度现金流!$D$6:$DT$6,9),0)</f>
        <v>0</v>
      </c>
      <c r="N27" s="9">
        <f>IF(10&lt;=核心参数输入!$B$9,SUMIFS(季度现金流!$D$49:$DT$49,季度现金流!$D$6:$DT$6,10),0)</f>
        <v>0</v>
      </c>
      <c r="O27" s="9">
        <f>IF(11&lt;=核心参数输入!$B$9,SUMIFS(季度现金流!$D$49:$DT$49,季度现金流!$D$6:$DT$6,11),0)</f>
        <v>0</v>
      </c>
      <c r="P27" s="9">
        <f>IF(12&lt;=核心参数输入!$B$9,SUMIFS(季度现金流!$D$49:$DT$49,季度现金流!$D$6:$DT$6,12),0)</f>
        <v>0</v>
      </c>
      <c r="Q27" s="9">
        <f>IF(13&lt;=核心参数输入!$B$9,SUMIFS(季度现金流!$D$49:$DT$49,季度现金流!$D$6:$DT$6,13),0)</f>
        <v>0</v>
      </c>
      <c r="R27" s="9">
        <f>IF(14&lt;=核心参数输入!$B$9,SUMIFS(季度现金流!$D$49:$DT$49,季度现金流!$D$6:$DT$6,14),0)</f>
        <v>0</v>
      </c>
      <c r="S27" s="9">
        <f>IF(15&lt;=核心参数输入!$B$9,SUMIFS(季度现金流!$D$49:$DT$49,季度现金流!$D$6:$DT$6,15),0)</f>
        <v>0</v>
      </c>
      <c r="T27" s="9">
        <f>IF(16&lt;=核心参数输入!$B$9,SUMIFS(季度现金流!$D$49:$DT$49,季度现金流!$D$6:$DT$6,16),0)</f>
        <v>0</v>
      </c>
      <c r="U27" s="9">
        <f>IF(17&lt;=核心参数输入!$B$9,SUMIFS(季度现金流!$D$49:$DT$49,季度现金流!$D$6:$DT$6,17),0)</f>
        <v>0</v>
      </c>
      <c r="V27" s="9">
        <f>IF(18&lt;=核心参数输入!$B$9,SUMIFS(季度现金流!$D$49:$DT$49,季度现金流!$D$6:$DT$6,18),0)</f>
        <v>0</v>
      </c>
      <c r="W27" s="9">
        <f>IF(19&lt;=核心参数输入!$B$9,SUMIFS(季度现金流!$D$49:$DT$49,季度现金流!$D$6:$DT$6,19),0)</f>
        <v>0</v>
      </c>
      <c r="X27" s="9">
        <f>IF(20&lt;=核心参数输入!$B$9,SUMIFS(季度现金流!$D$49:$DT$49,季度现金流!$D$6:$DT$6,20),0)</f>
        <v>0</v>
      </c>
      <c r="Y27" s="9">
        <f>IF(21&lt;=核心参数输入!$B$9,SUMIFS(季度现金流!$D$49:$DT$49,季度现金流!$D$6:$DT$6,21),0)</f>
        <v>0</v>
      </c>
      <c r="Z27" s="9">
        <f>IF(22&lt;=核心参数输入!$B$9,SUMIFS(季度现金流!$D$49:$DT$49,季度现金流!$D$6:$DT$6,22),0)</f>
        <v>0</v>
      </c>
      <c r="AA27" s="9">
        <f>IF(23&lt;=核心参数输入!$B$9,SUMIFS(季度现金流!$D$49:$DT$49,季度现金流!$D$6:$DT$6,23),0)</f>
        <v>0</v>
      </c>
      <c r="AB27" s="9">
        <f>IF(24&lt;=核心参数输入!$B$9,SUMIFS(季度现金流!$D$49:$DT$49,季度现金流!$D$6:$DT$6,24),0)</f>
        <v>0</v>
      </c>
      <c r="AC27" s="9">
        <f>IF(25&lt;=核心参数输入!$B$9,SUMIFS(季度现金流!$D$49:$DT$49,季度现金流!$D$6:$DT$6,25),0)</f>
        <v>0</v>
      </c>
      <c r="AD27" s="9">
        <f>IF(26&lt;=核心参数输入!$B$9,SUMIFS(季度现金流!$D$49:$DT$49,季度现金流!$D$6:$DT$6,26),0)</f>
        <v>0</v>
      </c>
      <c r="AE27" s="9">
        <f>IF(27&lt;=核心参数输入!$B$9,SUMIFS(季度现金流!$D$49:$DT$49,季度现金流!$D$6:$DT$6,27),0)</f>
        <v>0</v>
      </c>
      <c r="AF27" s="9">
        <f>IF(28&lt;=核心参数输入!$B$9,SUMIFS(季度现金流!$D$49:$DT$49,季度现金流!$D$6:$DT$6,28),0)</f>
        <v>0</v>
      </c>
      <c r="AG27" s="9">
        <f>IF(29&lt;=核心参数输入!$B$9,SUMIFS(季度现金流!$D$49:$DT$49,季度现金流!$D$6:$DT$6,29),0)</f>
        <v>0</v>
      </c>
      <c r="AH27" s="9">
        <f>IF(30&lt;=核心参数输入!$B$9,SUMIFS(季度现金流!$D$49:$DT$49,季度现金流!$D$6:$DT$6,30),0)</f>
        <v>0</v>
      </c>
    </row>
    <row r="28" spans="1:34" ht="21" customHeight="1">
      <c r="A28" s="8" t="s">
        <v>380</v>
      </c>
      <c r="B28" s="8" t="s">
        <v>39</v>
      </c>
      <c r="C28" s="8"/>
      <c r="D28" s="9">
        <f>IF(0&lt;=核心参数输入!$B$9,SUMIFS(季度现金流!$D$50:$DT$50,季度现金流!$D$6:$DT$6,0),0)</f>
        <v>0</v>
      </c>
      <c r="E28" s="9">
        <f>IF(1&lt;=核心参数输入!$B$9,SUMIFS(季度现金流!$D$50:$DT$50,季度现金流!$D$6:$DT$6,1),0)</f>
        <v>0</v>
      </c>
      <c r="F28" s="9">
        <f>IF(2&lt;=核心参数输入!$B$9,SUMIFS(季度现金流!$D$50:$DT$50,季度现金流!$D$6:$DT$6,2),0)</f>
        <v>0</v>
      </c>
      <c r="G28" s="9">
        <f>IF(3&lt;=核心参数输入!$B$9,SUMIFS(季度现金流!$D$50:$DT$50,季度现金流!$D$6:$DT$6,3),0)</f>
        <v>0</v>
      </c>
      <c r="H28" s="9">
        <f>IF(4&lt;=核心参数输入!$B$9,SUMIFS(季度现金流!$D$50:$DT$50,季度现金流!$D$6:$DT$6,4),0)</f>
        <v>5531.7248766450894</v>
      </c>
      <c r="I28" s="9">
        <f>IF(5&lt;=核心参数输入!$B$9,SUMIFS(季度现金流!$D$50:$DT$50,季度现金流!$D$6:$DT$6,5),0)</f>
        <v>6237.3722460169847</v>
      </c>
      <c r="J28" s="9">
        <f>IF(6&lt;=核心参数输入!$B$9,SUMIFS(季度现金流!$D$50:$DT$50,季度现金流!$D$6:$DT$6,6),0)</f>
        <v>0</v>
      </c>
      <c r="K28" s="9">
        <f>IF(7&lt;=核心参数输入!$B$9,SUMIFS(季度现金流!$D$50:$DT$50,季度现金流!$D$6:$DT$6,7),0)</f>
        <v>0</v>
      </c>
      <c r="L28" s="9">
        <f>IF(8&lt;=核心参数输入!$B$9,SUMIFS(季度现金流!$D$50:$DT$50,季度现金流!$D$6:$DT$6,8),0)</f>
        <v>0</v>
      </c>
      <c r="M28" s="9">
        <f>IF(9&lt;=核心参数输入!$B$9,SUMIFS(季度现金流!$D$50:$DT$50,季度现金流!$D$6:$DT$6,9),0)</f>
        <v>0</v>
      </c>
      <c r="N28" s="9">
        <f>IF(10&lt;=核心参数输入!$B$9,SUMIFS(季度现金流!$D$50:$DT$50,季度现金流!$D$6:$DT$6,10),0)</f>
        <v>0</v>
      </c>
      <c r="O28" s="9">
        <f>IF(11&lt;=核心参数输入!$B$9,SUMIFS(季度现金流!$D$50:$DT$50,季度现金流!$D$6:$DT$6,11),0)</f>
        <v>1070.6004952394806</v>
      </c>
      <c r="P28" s="9">
        <f>IF(12&lt;=核心参数输入!$B$9,SUMIFS(季度现金流!$D$50:$DT$50,季度现金流!$D$6:$DT$6,12),0)</f>
        <v>1087.6364741665989</v>
      </c>
      <c r="Q28" s="9">
        <f>IF(13&lt;=核心参数输入!$B$9,SUMIFS(季度现金流!$D$50:$DT$50,季度现金流!$D$6:$DT$6,13),0)</f>
        <v>1104.893532207594</v>
      </c>
      <c r="R28" s="9">
        <f>IF(14&lt;=核心参数输入!$B$9,SUMIFS(季度现金流!$D$50:$DT$50,季度现金流!$D$6:$DT$6,14),0)</f>
        <v>1093.3816236908201</v>
      </c>
      <c r="S28" s="9">
        <f>IF(15&lt;=核心参数输入!$B$9,SUMIFS(季度现金流!$D$50:$DT$50,季度现金流!$D$6:$DT$6,15),0)</f>
        <v>1068.3216893646361</v>
      </c>
      <c r="T28" s="9">
        <f>IF(16&lt;=核心参数输入!$B$9,SUMIFS(季度现金流!$D$50:$DT$50,季度现金流!$D$6:$DT$6,16),0)</f>
        <v>1081.7738092331617</v>
      </c>
      <c r="U28" s="9">
        <f>IF(17&lt;=核心参数输入!$B$9,SUMIFS(季度现金流!$D$50:$DT$50,季度现金流!$D$6:$DT$6,17),0)</f>
        <v>1095.3997349777762</v>
      </c>
      <c r="V28" s="9">
        <f>IF(18&lt;=核心参数输入!$B$9,SUMIFS(季度现金流!$D$50:$DT$50,季度现金流!$D$6:$DT$6,18),0)</f>
        <v>1109.2015141681823</v>
      </c>
      <c r="W28" s="9">
        <f>IF(19&lt;=核心参数输入!$B$9,SUMIFS(季度现金流!$D$50:$DT$50,季度现金流!$D$6:$DT$6,19),0)</f>
        <v>1123.1812138972587</v>
      </c>
      <c r="X28" s="9">
        <f>IF(20&lt;=核心参数输入!$B$9,SUMIFS(季度现金流!$D$50:$DT$50,季度现金流!$D$6:$DT$6,20),0)</f>
        <v>1137.3409208501027</v>
      </c>
      <c r="Y28" s="9">
        <f>IF(21&lt;=核心参数输入!$B$9,SUMIFS(季度现金流!$D$50:$DT$50,季度现金流!$D$6:$DT$6,21),0)</f>
        <v>0</v>
      </c>
      <c r="Z28" s="9">
        <f>IF(22&lt;=核心参数输入!$B$9,SUMIFS(季度现金流!$D$50:$DT$50,季度现金流!$D$6:$DT$6,22),0)</f>
        <v>0</v>
      </c>
      <c r="AA28" s="9">
        <f>IF(23&lt;=核心参数输入!$B$9,SUMIFS(季度现金流!$D$50:$DT$50,季度现金流!$D$6:$DT$6,23),0)</f>
        <v>0</v>
      </c>
      <c r="AB28" s="9">
        <f>IF(24&lt;=核心参数输入!$B$9,SUMIFS(季度现金流!$D$50:$DT$50,季度现金流!$D$6:$DT$6,24),0)</f>
        <v>0</v>
      </c>
      <c r="AC28" s="9">
        <f>IF(25&lt;=核心参数输入!$B$9,SUMIFS(季度现金流!$D$50:$DT$50,季度现金流!$D$6:$DT$6,25),0)</f>
        <v>0</v>
      </c>
      <c r="AD28" s="9">
        <f>IF(26&lt;=核心参数输入!$B$9,SUMIFS(季度现金流!$D$50:$DT$50,季度现金流!$D$6:$DT$6,26),0)</f>
        <v>0</v>
      </c>
      <c r="AE28" s="9">
        <f>IF(27&lt;=核心参数输入!$B$9,SUMIFS(季度现金流!$D$50:$DT$50,季度现金流!$D$6:$DT$6,27),0)</f>
        <v>0</v>
      </c>
      <c r="AF28" s="9">
        <f>IF(28&lt;=核心参数输入!$B$9,SUMIFS(季度现金流!$D$50:$DT$50,季度现金流!$D$6:$DT$6,28),0)</f>
        <v>0</v>
      </c>
      <c r="AG28" s="9">
        <f>IF(29&lt;=核心参数输入!$B$9,SUMIFS(季度现金流!$D$50:$DT$50,季度现金流!$D$6:$DT$6,29),0)</f>
        <v>0</v>
      </c>
      <c r="AH28" s="9">
        <f>IF(30&lt;=核心参数输入!$B$9,SUMIFS(季度现金流!$D$50:$DT$50,季度现金流!$D$6:$DT$6,30),0)</f>
        <v>0</v>
      </c>
    </row>
    <row r="29" spans="1:34" ht="21" customHeight="1">
      <c r="A29" s="8" t="s">
        <v>381</v>
      </c>
      <c r="B29" s="8" t="s">
        <v>39</v>
      </c>
      <c r="C29" s="8"/>
      <c r="D29" s="9">
        <f>IF(0&lt;=核心参数输入!$B$9,INDEX(季度现金流!$D$51:$DT$51,1,0*4+1),0)</f>
        <v>0</v>
      </c>
      <c r="E29" s="9">
        <f>IF(1&lt;=核心参数输入!$B$9,INDEX(季度现金流!$D$51:$DT$51,1,1*4+1),0)</f>
        <v>0</v>
      </c>
      <c r="F29" s="9">
        <f>IF(2&lt;=核心参数输入!$B$9,INDEX(季度现金流!$D$51:$DT$51,1,2*4+1),0)</f>
        <v>0</v>
      </c>
      <c r="G29" s="9">
        <f>IF(3&lt;=核心参数输入!$B$9,INDEX(季度现金流!$D$51:$DT$51,1,3*4+1),0)</f>
        <v>0</v>
      </c>
      <c r="H29" s="9">
        <f>IF(4&lt;=核心参数输入!$B$9,INDEX(季度现金流!$D$51:$DT$51,1,4*4+1),0)</f>
        <v>0</v>
      </c>
      <c r="I29" s="9">
        <f>IF(5&lt;=核心参数输入!$B$9,INDEX(季度现金流!$D$51:$DT$51,1,5*4+1),0)</f>
        <v>5240.868945569995</v>
      </c>
      <c r="J29" s="9">
        <f>IF(6&lt;=核心参数输入!$B$9,INDEX(季度现金流!$D$51:$DT$51,1,6*4+1),0)</f>
        <v>13721.068877349653</v>
      </c>
      <c r="K29" s="9">
        <f>IF(7&lt;=核心参数输入!$B$9,INDEX(季度现金流!$D$51:$DT$51,1,7*4+1),0)</f>
        <v>10760.533800695153</v>
      </c>
      <c r="L29" s="9">
        <f>IF(8&lt;=核心参数输入!$B$9,INDEX(季度现金流!$D$51:$DT$51,1,8*4+1),0)</f>
        <v>6975.4641832195357</v>
      </c>
      <c r="M29" s="9">
        <f>IF(9&lt;=核心参数输入!$B$9,INDEX(季度现金流!$D$51:$DT$51,1,9*4+1),0)</f>
        <v>3389.4312917552916</v>
      </c>
      <c r="N29" s="9">
        <f>IF(10&lt;=核心参数输入!$B$9,INDEX(季度现金流!$D$51:$DT$51,1,10*4+1),0)</f>
        <v>0</v>
      </c>
      <c r="O29" s="9">
        <f>IF(11&lt;=核心参数输入!$B$9,INDEX(季度现金流!$D$51:$DT$51,1,11*4+1),0)</f>
        <v>0</v>
      </c>
      <c r="P29" s="9">
        <f>IF(12&lt;=核心参数输入!$B$9,INDEX(季度现金流!$D$51:$DT$51,1,12*4+1),0)</f>
        <v>0</v>
      </c>
      <c r="Q29" s="9">
        <f>IF(13&lt;=核心参数输入!$B$9,INDEX(季度现金流!$D$51:$DT$51,1,13*4+1),0)</f>
        <v>0</v>
      </c>
      <c r="R29" s="9">
        <f>IF(14&lt;=核心参数输入!$B$9,INDEX(季度现金流!$D$51:$DT$51,1,14*4+1),0)</f>
        <v>0</v>
      </c>
      <c r="S29" s="9">
        <f>IF(15&lt;=核心参数输入!$B$9,INDEX(季度现金流!$D$51:$DT$51,1,15*4+1),0)</f>
        <v>0</v>
      </c>
      <c r="T29" s="9">
        <f>IF(16&lt;=核心参数输入!$B$9,INDEX(季度现金流!$D$51:$DT$51,1,16*4+1),0)</f>
        <v>0</v>
      </c>
      <c r="U29" s="9">
        <f>IF(17&lt;=核心参数输入!$B$9,INDEX(季度现金流!$D$51:$DT$51,1,17*4+1),0)</f>
        <v>0</v>
      </c>
      <c r="V29" s="9">
        <f>IF(18&lt;=核心参数输入!$B$9,INDEX(季度现金流!$D$51:$DT$51,1,18*4+1),0)</f>
        <v>0</v>
      </c>
      <c r="W29" s="9">
        <f>IF(19&lt;=核心参数输入!$B$9,INDEX(季度现金流!$D$51:$DT$51,1,19*4+1),0)</f>
        <v>0</v>
      </c>
      <c r="X29" s="9">
        <f>IF(20&lt;=核心参数输入!$B$9,INDEX(季度现金流!$D$51:$DT$51,1,20*4+1),0)</f>
        <v>0</v>
      </c>
      <c r="Y29" s="9">
        <f>IF(21&lt;=核心参数输入!$B$9,INDEX(季度现金流!$D$51:$DT$51,1,21*4+1),0)</f>
        <v>0</v>
      </c>
      <c r="Z29" s="9">
        <f>IF(22&lt;=核心参数输入!$B$9,INDEX(季度现金流!$D$51:$DT$51,1,22*4+1),0)</f>
        <v>0</v>
      </c>
      <c r="AA29" s="9">
        <f>IF(23&lt;=核心参数输入!$B$9,INDEX(季度现金流!$D$51:$DT$51,1,23*4+1),0)</f>
        <v>0</v>
      </c>
      <c r="AB29" s="9">
        <f>IF(24&lt;=核心参数输入!$B$9,INDEX(季度现金流!$D$51:$DT$51,1,24*4+1),0)</f>
        <v>0</v>
      </c>
      <c r="AC29" s="9">
        <f>IF(25&lt;=核心参数输入!$B$9,INDEX(季度现金流!$D$51:$DT$51,1,25*4+1),0)</f>
        <v>0</v>
      </c>
      <c r="AD29" s="9">
        <f>IF(26&lt;=核心参数输入!$B$9,INDEX(季度现金流!$D$51:$DT$51,1,26*4+1),0)</f>
        <v>0</v>
      </c>
      <c r="AE29" s="9">
        <f>IF(27&lt;=核心参数输入!$B$9,INDEX(季度现金流!$D$51:$DT$51,1,27*4+1),0)</f>
        <v>0</v>
      </c>
      <c r="AF29" s="9">
        <f>IF(28&lt;=核心参数输入!$B$9,INDEX(季度现金流!$D$51:$DT$51,1,28*4+1),0)</f>
        <v>0</v>
      </c>
      <c r="AG29" s="9">
        <f>IF(29&lt;=核心参数输入!$B$9,INDEX(季度现金流!$D$51:$DT$51,1,29*4+1),0)</f>
        <v>0</v>
      </c>
      <c r="AH29" s="9">
        <f>IF(30&lt;=核心参数输入!$B$9,INDEX(季度现金流!$D$51:$DT$51,1,30*4+1),0)</f>
        <v>0</v>
      </c>
    </row>
    <row r="30" spans="1:34" ht="21" customHeight="1">
      <c r="A30" s="8" t="s">
        <v>382</v>
      </c>
      <c r="B30" s="8" t="s">
        <v>39</v>
      </c>
      <c r="C30" s="8"/>
      <c r="D30" s="9">
        <f>IF(0&lt;=核心参数输入!$B$9,季度现金流!D58,0)</f>
        <v>0</v>
      </c>
      <c r="E30" s="9">
        <f>IF(1&lt;=核心参数输入!$B$9,MAX(季度现金流!$E$58:$H$58),0)</f>
        <v>0</v>
      </c>
      <c r="F30" s="9">
        <f>IF(2&lt;=核心参数输入!$B$9,MAX(季度现金流!$I$58:$L$58),0)</f>
        <v>0</v>
      </c>
      <c r="G30" s="9">
        <f>IF(3&lt;=核心参数输入!$B$9,MAX(季度现金流!$M$58:$P$58),0)</f>
        <v>0</v>
      </c>
      <c r="H30" s="9">
        <f>IF(4&lt;=核心参数输入!$B$9,MAX(季度现金流!$Q$58:$T$58),0)</f>
        <v>0</v>
      </c>
      <c r="I30" s="9">
        <f>IF(5&lt;=核心参数输入!$B$9,MAX(季度现金流!$U$58:$X$58),0)</f>
        <v>0</v>
      </c>
      <c r="J30" s="9">
        <f>IF(6&lt;=核心参数输入!$B$9,MAX(季度现金流!$Y$58:$AB$58),0)</f>
        <v>0</v>
      </c>
      <c r="K30" s="9">
        <f>IF(7&lt;=核心参数输入!$B$9,MAX(季度现金流!$AC$58:$AF$58),0)</f>
        <v>0</v>
      </c>
      <c r="L30" s="9">
        <f>IF(8&lt;=核心参数输入!$B$9,MAX(季度现金流!$AG$58:$AJ$58),0)</f>
        <v>0</v>
      </c>
      <c r="M30" s="9">
        <f>IF(9&lt;=核心参数输入!$B$9,MAX(季度现金流!$AK$58:$AN$58),0)</f>
        <v>0</v>
      </c>
      <c r="N30" s="9">
        <f>IF(10&lt;=核心参数输入!$B$9,MAX(季度现金流!$AO$58:$AR$58),0)</f>
        <v>0</v>
      </c>
      <c r="O30" s="9">
        <f>IF(11&lt;=核心参数输入!$B$9,MAX(季度现金流!$AS$58:$AV$58),0)</f>
        <v>0</v>
      </c>
      <c r="P30" s="9">
        <f>IF(12&lt;=核心参数输入!$B$9,MAX(季度现金流!$AW$58:$AZ$58),0)</f>
        <v>0</v>
      </c>
      <c r="Q30" s="9">
        <f>IF(13&lt;=核心参数输入!$B$9,MAX(季度现金流!$BA$58:$BD$58),0)</f>
        <v>0</v>
      </c>
      <c r="R30" s="9">
        <f>IF(14&lt;=核心参数输入!$B$9,MAX(季度现金流!$BE$58:$BH$58),0)</f>
        <v>0</v>
      </c>
      <c r="S30" s="9">
        <f>IF(15&lt;=核心参数输入!$B$9,MAX(季度现金流!$BI$58:$BL$58),0)</f>
        <v>0</v>
      </c>
      <c r="T30" s="9">
        <f>IF(16&lt;=核心参数输入!$B$9,MAX(季度现金流!$BM$58:$BP$58),0)</f>
        <v>0</v>
      </c>
      <c r="U30" s="9">
        <f>IF(17&lt;=核心参数输入!$B$9,MAX(季度现金流!$BQ$58:$BT$58),0)</f>
        <v>0</v>
      </c>
      <c r="V30" s="9">
        <f>IF(18&lt;=核心参数输入!$B$9,MAX(季度现金流!$BU$58:$BX$58),0)</f>
        <v>0</v>
      </c>
      <c r="W30" s="9">
        <f>IF(19&lt;=核心参数输入!$B$9,MAX(季度现金流!$BY$58:$CB$58),0)</f>
        <v>0</v>
      </c>
      <c r="X30" s="9">
        <f>IF(20&lt;=核心参数输入!$B$9,MAX(季度现金流!$CC$58:$CF$58),0)</f>
        <v>0</v>
      </c>
      <c r="Y30" s="9">
        <f>IF(21&lt;=核心参数输入!$B$9,MAX(季度现金流!$CG$58:$CJ$58),0)</f>
        <v>0</v>
      </c>
      <c r="Z30" s="9">
        <f>IF(22&lt;=核心参数输入!$B$9,MAX(季度现金流!$CK$58:$CN$58),0)</f>
        <v>0</v>
      </c>
      <c r="AA30" s="9">
        <f>IF(23&lt;=核心参数输入!$B$9,MAX(季度现金流!$CO$58:$CR$58),0)</f>
        <v>0</v>
      </c>
      <c r="AB30" s="9">
        <f>IF(24&lt;=核心参数输入!$B$9,MAX(季度现金流!$CS$58:$CV$58),0)</f>
        <v>0</v>
      </c>
      <c r="AC30" s="9">
        <f>IF(25&lt;=核心参数输入!$B$9,MAX(季度现金流!$CW$58:$CZ$58),0)</f>
        <v>0</v>
      </c>
      <c r="AD30" s="9">
        <f>IF(26&lt;=核心参数输入!$B$9,MAX(季度现金流!$DA$58:$DD$58),0)</f>
        <v>0</v>
      </c>
      <c r="AE30" s="9">
        <f>IF(27&lt;=核心参数输入!$B$9,MAX(季度现金流!$DE$58:$DH$58),0)</f>
        <v>0</v>
      </c>
      <c r="AF30" s="9">
        <f>IF(28&lt;=核心参数输入!$B$9,MAX(季度现金流!$DI$58:$DL$58),0)</f>
        <v>0</v>
      </c>
      <c r="AG30" s="9">
        <f>IF(29&lt;=核心参数输入!$B$9,MAX(季度现金流!$DM$58:$DP$58),0)</f>
        <v>0</v>
      </c>
      <c r="AH30" s="9">
        <f>IF(30&lt;=核心参数输入!$B$9,MAX(季度现金流!$DQ$58:$DT$58),0)</f>
        <v>0</v>
      </c>
    </row>
    <row r="31" spans="1:34" ht="21" customHeight="1">
      <c r="A31" s="8" t="s">
        <v>383</v>
      </c>
      <c r="B31" s="8" t="s">
        <v>39</v>
      </c>
      <c r="C31" s="8"/>
      <c r="D31" s="9">
        <f>IF(0&lt;=核心参数输入!$B$9,SUMIFS(季度现金流!$D$67:$DT$67,季度现金流!$D$6:$DT$6,0),0)</f>
        <v>0</v>
      </c>
      <c r="E31" s="9">
        <f>IF(1&lt;=核心参数输入!$B$9,SUMIFS(季度现金流!$D$67:$DT$67,季度现金流!$D$6:$DT$6,1),0)</f>
        <v>189</v>
      </c>
      <c r="F31" s="9">
        <f>IF(2&lt;=核心参数输入!$B$9,SUMIFS(季度现金流!$D$67:$DT$67,季度现金流!$D$6:$DT$6,2),0)</f>
        <v>630</v>
      </c>
      <c r="G31" s="9">
        <f>IF(3&lt;=核心参数输入!$B$9,SUMIFS(季度现金流!$D$67:$DT$67,季度现金流!$D$6:$DT$6,3),0)</f>
        <v>1071</v>
      </c>
      <c r="H31" s="9">
        <f>IF(4&lt;=核心参数输入!$B$9,SUMIFS(季度现金流!$D$67:$DT$67,季度现金流!$D$6:$DT$6,4),0)</f>
        <v>1396.0439441049111</v>
      </c>
      <c r="I31" s="9">
        <f>IF(5&lt;=核心参数输入!$B$9,SUMIFS(季度现金流!$D$67:$DT$67,季度现金流!$D$6:$DT$6,5),0)</f>
        <v>566.83608169283207</v>
      </c>
      <c r="J31" s="9">
        <f>IF(6&lt;=核心参数输入!$B$9,SUMIFS(季度现金流!$D$67:$DT$67,季度现金流!$D$6:$DT$6,6),0)</f>
        <v>1440.8864883966799</v>
      </c>
      <c r="K31" s="9">
        <f>IF(7&lt;=核心参数输入!$B$9,SUMIFS(季度现金流!$D$67:$DT$67,季度现金流!$D$6:$DT$6,7),0)</f>
        <v>4199.8883663916858</v>
      </c>
      <c r="L31" s="9">
        <f>IF(8&lt;=核心参数输入!$B$9,SUMIFS(季度现金流!$D$67:$DT$67,季度现金流!$D$6:$DT$6,8),0)</f>
        <v>4143.0159993866891</v>
      </c>
      <c r="M31" s="9">
        <f>IF(9&lt;=核心参数输入!$B$9,SUMIFS(季度现金流!$D$67:$DT$67,季度现金流!$D$6:$DT$6,9),0)</f>
        <v>4093.918937151775</v>
      </c>
      <c r="N31" s="9">
        <f>IF(10&lt;=核心参数输入!$B$9,SUMIFS(季度现金流!$D$67:$DT$67,季度现金流!$D$6:$DT$6,10),0)</f>
        <v>4044.7685372245355</v>
      </c>
      <c r="O31" s="9">
        <f>IF(11&lt;=核心参数输入!$B$9,SUMIFS(季度现金流!$D$67:$DT$67,季度现金流!$D$6:$DT$6,11),0)</f>
        <v>0</v>
      </c>
      <c r="P31" s="9">
        <f>IF(12&lt;=核心参数输入!$B$9,SUMIFS(季度现金流!$D$67:$DT$67,季度现金流!$D$6:$DT$6,12),0)</f>
        <v>0</v>
      </c>
      <c r="Q31" s="9">
        <f>IF(13&lt;=核心参数输入!$B$9,SUMIFS(季度现金流!$D$67:$DT$67,季度现金流!$D$6:$DT$6,13),0)</f>
        <v>0</v>
      </c>
      <c r="R31" s="9">
        <f>IF(14&lt;=核心参数输入!$B$9,SUMIFS(季度现金流!$D$67:$DT$67,季度现金流!$D$6:$DT$6,14),0)</f>
        <v>0</v>
      </c>
      <c r="S31" s="9">
        <f>IF(15&lt;=核心参数输入!$B$9,SUMIFS(季度现金流!$D$67:$DT$67,季度现金流!$D$6:$DT$6,15),0)</f>
        <v>0</v>
      </c>
      <c r="T31" s="9">
        <f>IF(16&lt;=核心参数输入!$B$9,SUMIFS(季度现金流!$D$67:$DT$67,季度现金流!$D$6:$DT$6,16),0)</f>
        <v>0</v>
      </c>
      <c r="U31" s="9">
        <f>IF(17&lt;=核心参数输入!$B$9,SUMIFS(季度现金流!$D$67:$DT$67,季度现金流!$D$6:$DT$6,17),0)</f>
        <v>0</v>
      </c>
      <c r="V31" s="9">
        <f>IF(18&lt;=核心参数输入!$B$9,SUMIFS(季度现金流!$D$67:$DT$67,季度现金流!$D$6:$DT$6,18),0)</f>
        <v>0</v>
      </c>
      <c r="W31" s="9">
        <f>IF(19&lt;=核心参数输入!$B$9,SUMIFS(季度现金流!$D$67:$DT$67,季度现金流!$D$6:$DT$6,19),0)</f>
        <v>0</v>
      </c>
      <c r="X31" s="9">
        <f>IF(20&lt;=核心参数输入!$B$9,SUMIFS(季度现金流!$D$67:$DT$67,季度现金流!$D$6:$DT$6,20),0)</f>
        <v>0</v>
      </c>
      <c r="Y31" s="9">
        <f>IF(21&lt;=核心参数输入!$B$9,SUMIFS(季度现金流!$D$67:$DT$67,季度现金流!$D$6:$DT$6,21),0)</f>
        <v>0</v>
      </c>
      <c r="Z31" s="9">
        <f>IF(22&lt;=核心参数输入!$B$9,SUMIFS(季度现金流!$D$67:$DT$67,季度现金流!$D$6:$DT$6,22),0)</f>
        <v>0</v>
      </c>
      <c r="AA31" s="9">
        <f>IF(23&lt;=核心参数输入!$B$9,SUMIFS(季度现金流!$D$67:$DT$67,季度现金流!$D$6:$DT$6,23),0)</f>
        <v>0</v>
      </c>
      <c r="AB31" s="9">
        <f>IF(24&lt;=核心参数输入!$B$9,SUMIFS(季度现金流!$D$67:$DT$67,季度现金流!$D$6:$DT$6,24),0)</f>
        <v>0</v>
      </c>
      <c r="AC31" s="9">
        <f>IF(25&lt;=核心参数输入!$B$9,SUMIFS(季度现金流!$D$67:$DT$67,季度现金流!$D$6:$DT$6,25),0)</f>
        <v>0</v>
      </c>
      <c r="AD31" s="9">
        <f>IF(26&lt;=核心参数输入!$B$9,SUMIFS(季度现金流!$D$67:$DT$67,季度现金流!$D$6:$DT$6,26),0)</f>
        <v>0</v>
      </c>
      <c r="AE31" s="9">
        <f>IF(27&lt;=核心参数输入!$B$9,SUMIFS(季度现金流!$D$67:$DT$67,季度现金流!$D$6:$DT$6,27),0)</f>
        <v>0</v>
      </c>
      <c r="AF31" s="9">
        <f>IF(28&lt;=核心参数输入!$B$9,SUMIFS(季度现金流!$D$67:$DT$67,季度现金流!$D$6:$DT$6,28),0)</f>
        <v>0</v>
      </c>
      <c r="AG31" s="9">
        <f>IF(29&lt;=核心参数输入!$B$9,SUMIFS(季度现金流!$D$67:$DT$67,季度现金流!$D$6:$DT$6,29),0)</f>
        <v>0</v>
      </c>
      <c r="AH31" s="9">
        <f>IF(30&lt;=核心参数输入!$B$9,SUMIFS(季度现金流!$D$67:$DT$67,季度现金流!$D$6:$DT$6,30),0)</f>
        <v>0</v>
      </c>
    </row>
    <row r="32" spans="1:34" ht="21" customHeight="1">
      <c r="A32" s="8" t="s">
        <v>384</v>
      </c>
      <c r="B32" s="8" t="s">
        <v>39</v>
      </c>
      <c r="C32" s="8"/>
      <c r="D32" s="9">
        <f>IF(0&lt;=核心参数输入!$B$9,INDEX(季度投融资!$D$43:$DT$43,1,0*4+1),0)</f>
        <v>0</v>
      </c>
      <c r="E32" s="9">
        <f>IF(1&lt;=核心参数输入!$B$9,INDEX(季度投融资!$D$43:$DT$43,1,1*4+1),0)</f>
        <v>9000</v>
      </c>
      <c r="F32" s="9">
        <f>IF(2&lt;=核心参数输入!$B$9,INDEX(季度投融资!$D$43:$DT$43,1,2*4+1),0)</f>
        <v>21000</v>
      </c>
      <c r="G32" s="9">
        <f>IF(3&lt;=核心参数输入!$B$9,INDEX(季度投融资!$D$43:$DT$43,1,3*4+1),0)</f>
        <v>30000</v>
      </c>
      <c r="H32" s="9">
        <f>IF(4&lt;=核心参数输入!$B$9,INDEX(季度投融资!$D$43:$DT$43,1,4*4+1),0)</f>
        <v>25714.285714285714</v>
      </c>
      <c r="I32" s="9">
        <f>IF(5&lt;=核心参数输入!$B$9,INDEX(季度投融资!$D$43:$DT$43,1,5*4+1),0)</f>
        <v>21428.571428571428</v>
      </c>
      <c r="J32" s="9">
        <f>IF(6&lt;=核心参数输入!$B$9,INDEX(季度投融资!$D$43:$DT$43,1,6*4+1),0)</f>
        <v>17142.857142857141</v>
      </c>
      <c r="K32" s="9">
        <f>IF(7&lt;=核心参数输入!$B$9,INDEX(季度投融资!$D$43:$DT$43,1,7*4+1),0)</f>
        <v>12857.142857142855</v>
      </c>
      <c r="L32" s="9">
        <f>IF(8&lt;=核心参数输入!$B$9,INDEX(季度投融资!$D$43:$DT$43,1,8*4+1),0)</f>
        <v>8571.4285714285688</v>
      </c>
      <c r="M32" s="9">
        <f>IF(9&lt;=核心参数输入!$B$9,INDEX(季度投融资!$D$43:$DT$43,1,9*4+1),0)</f>
        <v>4285.7142857142835</v>
      </c>
      <c r="N32" s="9">
        <f>IF(10&lt;=核心参数输入!$B$9,INDEX(季度投融资!$D$43:$DT$43,1,10*4+1),0)</f>
        <v>0</v>
      </c>
      <c r="O32" s="9">
        <f>IF(11&lt;=核心参数输入!$B$9,INDEX(季度投融资!$D$43:$DT$43,1,11*4+1),0)</f>
        <v>0</v>
      </c>
      <c r="P32" s="9">
        <f>IF(12&lt;=核心参数输入!$B$9,INDEX(季度投融资!$D$43:$DT$43,1,12*4+1),0)</f>
        <v>0</v>
      </c>
      <c r="Q32" s="9">
        <f>IF(13&lt;=核心参数输入!$B$9,INDEX(季度投融资!$D$43:$DT$43,1,13*4+1),0)</f>
        <v>0</v>
      </c>
      <c r="R32" s="9">
        <f>IF(14&lt;=核心参数输入!$B$9,INDEX(季度投融资!$D$43:$DT$43,1,14*4+1),0)</f>
        <v>0</v>
      </c>
      <c r="S32" s="9">
        <f>IF(15&lt;=核心参数输入!$B$9,INDEX(季度投融资!$D$43:$DT$43,1,15*4+1),0)</f>
        <v>0</v>
      </c>
      <c r="T32" s="9">
        <f>IF(16&lt;=核心参数输入!$B$9,INDEX(季度投融资!$D$43:$DT$43,1,16*4+1),0)</f>
        <v>0</v>
      </c>
      <c r="U32" s="9">
        <f>IF(17&lt;=核心参数输入!$B$9,INDEX(季度投融资!$D$43:$DT$43,1,17*4+1),0)</f>
        <v>0</v>
      </c>
      <c r="V32" s="9">
        <f>IF(18&lt;=核心参数输入!$B$9,INDEX(季度投融资!$D$43:$DT$43,1,18*4+1),0)</f>
        <v>0</v>
      </c>
      <c r="W32" s="9">
        <f>IF(19&lt;=核心参数输入!$B$9,INDEX(季度投融资!$D$43:$DT$43,1,19*4+1),0)</f>
        <v>0</v>
      </c>
      <c r="X32" s="9">
        <f>IF(20&lt;=核心参数输入!$B$9,INDEX(季度投融资!$D$43:$DT$43,1,20*4+1),0)</f>
        <v>0</v>
      </c>
      <c r="Y32" s="9">
        <f>IF(21&lt;=核心参数输入!$B$9,INDEX(季度投融资!$D$43:$DT$43,1,21*4+1),0)</f>
        <v>0</v>
      </c>
      <c r="Z32" s="9">
        <f>IF(22&lt;=核心参数输入!$B$9,INDEX(季度投融资!$D$43:$DT$43,1,22*4+1),0)</f>
        <v>0</v>
      </c>
      <c r="AA32" s="9">
        <f>IF(23&lt;=核心参数输入!$B$9,INDEX(季度投融资!$D$43:$DT$43,1,23*4+1),0)</f>
        <v>0</v>
      </c>
      <c r="AB32" s="9">
        <f>IF(24&lt;=核心参数输入!$B$9,INDEX(季度投融资!$D$43:$DT$43,1,24*4+1),0)</f>
        <v>0</v>
      </c>
      <c r="AC32" s="9">
        <f>IF(25&lt;=核心参数输入!$B$9,INDEX(季度投融资!$D$43:$DT$43,1,25*4+1),0)</f>
        <v>0</v>
      </c>
      <c r="AD32" s="9">
        <f>IF(26&lt;=核心参数输入!$B$9,INDEX(季度投融资!$D$43:$DT$43,1,26*4+1),0)</f>
        <v>0</v>
      </c>
      <c r="AE32" s="9">
        <f>IF(27&lt;=核心参数输入!$B$9,INDEX(季度投融资!$D$43:$DT$43,1,27*4+1),0)</f>
        <v>0</v>
      </c>
      <c r="AF32" s="9">
        <f>IF(28&lt;=核心参数输入!$B$9,INDEX(季度投融资!$D$43:$DT$43,1,28*4+1),0)</f>
        <v>0</v>
      </c>
      <c r="AG32" s="9">
        <f>IF(29&lt;=核心参数输入!$B$9,INDEX(季度投融资!$D$43:$DT$43,1,29*4+1),0)</f>
        <v>0</v>
      </c>
      <c r="AH32" s="9">
        <f>IF(30&lt;=核心参数输入!$B$9,INDEX(季度投融资!$D$43:$DT$43,1,30*4+1),0)</f>
        <v>0</v>
      </c>
    </row>
    <row r="33" spans="1:34" ht="21" customHeight="1">
      <c r="A33" s="8" t="s">
        <v>385</v>
      </c>
      <c r="B33" s="8" t="s">
        <v>39</v>
      </c>
      <c r="C33" s="8"/>
      <c r="D33" s="9">
        <f>IF(0&lt;=核心参数输入!$B$9,INDEX(季度现金流!$D$68:$DT$68,1,0*4+1),0)</f>
        <v>-8000</v>
      </c>
      <c r="E33" s="9">
        <f>IF(1&lt;=核心参数输入!$B$9,INDEX(季度现金流!$D$68:$DT$68,1,1*4+1),0)</f>
        <v>-23876</v>
      </c>
      <c r="F33" s="9">
        <f>IF(2&lt;=核心参数输入!$B$9,INDEX(季度现金流!$D$68:$DT$68,1,2*4+1),0)</f>
        <v>-45044</v>
      </c>
      <c r="G33" s="9">
        <f>IF(3&lt;=核心参数输入!$B$9,INDEX(季度现金流!$D$68:$DT$68,1,3*4+1),0)</f>
        <v>-60920</v>
      </c>
      <c r="H33" s="9">
        <f>IF(4&lt;=核心参数输入!$B$9,INDEX(季度现金流!$D$68:$DT$68,1,4*4+1),0)</f>
        <v>-50259.131462640624</v>
      </c>
      <c r="I33" s="9">
        <f>IF(5&lt;=核心参数输入!$B$9,INDEX(季度现金流!$D$68:$DT$68,1,5*4+1),0)</f>
        <v>-33812.734110339356</v>
      </c>
      <c r="J33" s="9">
        <f>IF(6&lt;=核心参数输入!$B$9,INDEX(季度现金流!$D$68:$DT$68,1,6*4+1),0)</f>
        <v>-20473.390517845412</v>
      </c>
      <c r="K33" s="9">
        <f>IF(7&lt;=核心参数输入!$B$9,INDEX(季度现金流!$D$68:$DT$68,1,7*4+1),0)</f>
        <v>-18478.377048550574</v>
      </c>
      <c r="L33" s="9">
        <f>IF(8&lt;=核心参数输入!$B$9,INDEX(季度现金流!$D$68:$DT$68,1,8*4+1),0)</f>
        <v>-17508.241047371575</v>
      </c>
      <c r="M33" s="9">
        <f>IF(9&lt;=核心参数输入!$B$9,INDEX(季度现金流!$D$68:$DT$68,1,9*4+1),0)</f>
        <v>-16523.827501684042</v>
      </c>
      <c r="N33" s="9">
        <f>IF(10&lt;=核心参数输入!$B$9,INDEX(季度现金流!$D$68:$DT$68,1,10*4+1),0)</f>
        <v>-15526.962756214796</v>
      </c>
      <c r="O33" s="9">
        <f>IF(11&lt;=核心参数输入!$B$9,INDEX(季度现金流!$D$68:$DT$68,1,11*4+1),0)</f>
        <v>-14517.484884785186</v>
      </c>
      <c r="P33" s="9">
        <f>IF(12&lt;=核心参数输入!$B$9,INDEX(季度现金流!$D$68:$DT$68,1,12*4+1),0)</f>
        <v>-13495.230029160239</v>
      </c>
      <c r="Q33" s="9">
        <f>IF(13&lt;=核心参数输入!$B$9,INDEX(季度现金流!$D$68:$DT$68,1,13*4+1),0)</f>
        <v>-12460.032380004544</v>
      </c>
      <c r="R33" s="9">
        <f>IF(14&lt;=核心参数输入!$B$9,INDEX(季度现金流!$D$68:$DT$68,1,14*4+1),0)</f>
        <v>-11411.724157751214</v>
      </c>
      <c r="S33" s="9">
        <f>IF(15&lt;=核心参数输入!$B$9,INDEX(季度现金流!$D$68:$DT$68,1,15*4+1),0)</f>
        <v>-10350.135593386578</v>
      </c>
      <c r="T33" s="9">
        <f>IF(16&lt;=核心参数输入!$B$9,INDEX(季度现金流!$D$68:$DT$68,1,16*4+1),0)</f>
        <v>-9275.0949091534185</v>
      </c>
      <c r="U33" s="9">
        <f>IF(17&lt;=核心参数输入!$B$9,INDEX(季度现金流!$D$68:$DT$68,1,17*4+1),0)</f>
        <v>-8186.4282991756445</v>
      </c>
      <c r="V33" s="9">
        <f>IF(18&lt;=核心参数输入!$B$9,INDEX(季度现金流!$D$68:$DT$68,1,18*4+1),0)</f>
        <v>-7083.9599100074629</v>
      </c>
      <c r="W33" s="9">
        <f>IF(19&lt;=核心参数输入!$B$9,INDEX(季度现金流!$D$68:$DT$68,1,19*4+1),0)</f>
        <v>-5967.5118211102044</v>
      </c>
      <c r="X33" s="9">
        <f>IF(20&lt;=核心参数输入!$B$9,INDEX(季度现金流!$D$68:$DT$68,1,20*4+1),0)</f>
        <v>-4836.9040252601026</v>
      </c>
      <c r="Y33" s="9">
        <f>IF(21&lt;=核心参数输入!$B$9,INDEX(季度现金流!$D$68:$DT$68,1,21*4+1),0)</f>
        <v>0</v>
      </c>
      <c r="Z33" s="9">
        <f>IF(22&lt;=核心参数输入!$B$9,INDEX(季度现金流!$D$68:$DT$68,1,22*4+1),0)</f>
        <v>0</v>
      </c>
      <c r="AA33" s="9">
        <f>IF(23&lt;=核心参数输入!$B$9,INDEX(季度现金流!$D$68:$DT$68,1,23*4+1),0)</f>
        <v>0</v>
      </c>
      <c r="AB33" s="9">
        <f>IF(24&lt;=核心参数输入!$B$9,INDEX(季度现金流!$D$68:$DT$68,1,24*4+1),0)</f>
        <v>0</v>
      </c>
      <c r="AC33" s="9">
        <f>IF(25&lt;=核心参数输入!$B$9,INDEX(季度现金流!$D$68:$DT$68,1,25*4+1),0)</f>
        <v>0</v>
      </c>
      <c r="AD33" s="9">
        <f>IF(26&lt;=核心参数输入!$B$9,INDEX(季度现金流!$D$68:$DT$68,1,26*4+1),0)</f>
        <v>0</v>
      </c>
      <c r="AE33" s="9">
        <f>IF(27&lt;=核心参数输入!$B$9,INDEX(季度现金流!$D$68:$DT$68,1,27*4+1),0)</f>
        <v>0</v>
      </c>
      <c r="AF33" s="9">
        <f>IF(28&lt;=核心参数输入!$B$9,INDEX(季度现金流!$D$68:$DT$68,1,28*4+1),0)</f>
        <v>0</v>
      </c>
      <c r="AG33" s="9">
        <f>IF(29&lt;=核心参数输入!$B$9,INDEX(季度现金流!$D$68:$DT$68,1,29*4+1),0)</f>
        <v>0</v>
      </c>
      <c r="AH33" s="9">
        <f>IF(30&lt;=核心参数输入!$B$9,INDEX(季度现金流!$D$68:$DT$68,1,30*4+1),0)</f>
        <v>0</v>
      </c>
    </row>
    <row r="34" spans="1:34" ht="21" customHeight="1">
      <c r="A34" s="8" t="s">
        <v>386</v>
      </c>
      <c r="B34" s="8" t="s">
        <v>39</v>
      </c>
      <c r="C34" s="8"/>
      <c r="D34" s="9">
        <f>IF(0&lt;=核心参数输入!$B$9,SUMIFS(季度现金流!$D$69:$DT$69,季度现金流!$D$6:$DT$6,0),0)</f>
        <v>-8000</v>
      </c>
      <c r="E34" s="9">
        <f>IF(1&lt;=核心参数输入!$B$9,SUMIFS(季度现金流!$D$69:$DT$69,季度现金流!$D$6:$DT$6,1),0)</f>
        <v>-15133.929945871607</v>
      </c>
      <c r="F34" s="9">
        <f>IF(2&lt;=核心参数输入!$B$9,SUMIFS(季度现金流!$D$69:$DT$69,季度现金流!$D$6:$DT$6,2),0)</f>
        <v>-18683.864130705686</v>
      </c>
      <c r="G34" s="9">
        <f>IF(3&lt;=核心参数输入!$B$9,SUMIFS(季度现金流!$D$69:$DT$69,季度现金流!$D$6:$DT$6,3),0)</f>
        <v>-12974.905646323392</v>
      </c>
      <c r="H34" s="9">
        <f>IF(4&lt;=核心参数输入!$B$9,SUMIFS(季度现金流!$D$69:$DT$69,季度现金流!$D$6:$DT$6,4),0)</f>
        <v>8039.3312441806556</v>
      </c>
      <c r="I34" s="9">
        <f>IF(5&lt;=核心参数输入!$B$9,SUMIFS(季度现金流!$D$69:$DT$69,季度现金流!$D$6:$DT$6,5),0)</f>
        <v>11531.788329993971</v>
      </c>
      <c r="J34" s="9">
        <f>IF(6&lt;=核心参数输入!$B$9,SUMIFS(季度现金流!$D$69:$DT$69,季度现金流!$D$6:$DT$6,6),0)</f>
        <v>8673.0150268953985</v>
      </c>
      <c r="K34" s="9">
        <f>IF(7&lt;=核心参数输入!$B$9,SUMIFS(季度现金流!$D$69:$DT$69,季度现金流!$D$6:$DT$6,7),0)</f>
        <v>1217.4625612797997</v>
      </c>
      <c r="L34" s="9">
        <f>IF(8&lt;=核心参数输入!$B$9,SUMIFS(季度现金流!$D$69:$DT$69,季度现金流!$D$6:$DT$6,8),0)</f>
        <v>540.32910754222507</v>
      </c>
      <c r="M34" s="9">
        <f>IF(9&lt;=核心参数输入!$B$9,SUMIFS(季度现金流!$D$69:$DT$69,季度现金流!$D$6:$DT$6,9),0)</f>
        <v>507.76778356193751</v>
      </c>
      <c r="N34" s="9">
        <f>IF(10&lt;=核心参数输入!$B$9,SUMIFS(季度现金流!$D$69:$DT$69,季度现金流!$D$6:$DT$6,10),0)</f>
        <v>476.14966396071173</v>
      </c>
      <c r="O34" s="9">
        <f>IF(11&lt;=核心参数输入!$B$9,SUMIFS(季度现金流!$D$69:$DT$69,季度现金流!$D$6:$DT$6,11),0)</f>
        <v>446.50178514020092</v>
      </c>
      <c r="P34" s="9">
        <f>IF(12&lt;=核心参数输入!$B$9,SUMIFS(季度现金流!$D$69:$DT$69,季度现金流!$D$6:$DT$6,12),0)</f>
        <v>418.70119792585103</v>
      </c>
      <c r="Q34" s="9">
        <f>IF(13&lt;=核心参数输入!$B$9,SUMIFS(季度现金流!$D$69:$DT$69,季度现金流!$D$6:$DT$6,13),0)</f>
        <v>392.63264237821937</v>
      </c>
      <c r="R34" s="9">
        <f>IF(14&lt;=核心参数输入!$B$9,SUMIFS(季度现金流!$D$69:$DT$69,季度现金流!$D$6:$DT$6,14),0)</f>
        <v>368.18806546804717</v>
      </c>
      <c r="S34" s="9">
        <f>IF(15&lt;=核心参数输入!$B$9,SUMIFS(季度现金流!$D$69:$DT$69,季度现金流!$D$6:$DT$6,15),0)</f>
        <v>345.26616912257475</v>
      </c>
      <c r="T34" s="9">
        <f>IF(16&lt;=核心参数输入!$B$9,SUMIFS(季度现金流!$D$69:$DT$69,季度现金流!$D$6:$DT$6,16),0)</f>
        <v>323.7719867216278</v>
      </c>
      <c r="U34" s="9">
        <f>IF(17&lt;=核心参数输入!$B$9,SUMIFS(季度现金流!$D$69:$DT$69,季度现金流!$D$6:$DT$6,17),0)</f>
        <v>303.61648624424362</v>
      </c>
      <c r="V34" s="9">
        <f>IF(18&lt;=核心参数输入!$B$9,SUMIFS(季度现金流!$D$69:$DT$69,季度现金流!$D$6:$DT$6,18),0)</f>
        <v>284.71619838103197</v>
      </c>
      <c r="W34" s="9">
        <f>IF(19&lt;=核心参数输入!$B$9,SUMIFS(季度现金流!$D$69:$DT$69,季度现金流!$D$6:$DT$6,19),0)</f>
        <v>266.99286803456539</v>
      </c>
      <c r="X34" s="9">
        <f>IF(20&lt;=核心参数输入!$B$9,SUMIFS(季度现金流!$D$69:$DT$69,季度现金流!$D$6:$DT$6,20),0)</f>
        <v>250.37312773033443</v>
      </c>
      <c r="Y34" s="9">
        <f>IF(21&lt;=核心参数输入!$B$9,SUMIFS(季度现金流!$D$69:$DT$69,季度现金流!$D$6:$DT$6,21),0)</f>
        <v>0</v>
      </c>
      <c r="Z34" s="9">
        <f>IF(22&lt;=核心参数输入!$B$9,SUMIFS(季度现金流!$D$69:$DT$69,季度现金流!$D$6:$DT$6,22),0)</f>
        <v>0</v>
      </c>
      <c r="AA34" s="9">
        <f>IF(23&lt;=核心参数输入!$B$9,SUMIFS(季度现金流!$D$69:$DT$69,季度现金流!$D$6:$DT$6,23),0)</f>
        <v>0</v>
      </c>
      <c r="AB34" s="9">
        <f>IF(24&lt;=核心参数输入!$B$9,SUMIFS(季度现金流!$D$69:$DT$69,季度现金流!$D$6:$DT$6,24),0)</f>
        <v>0</v>
      </c>
      <c r="AC34" s="9">
        <f>IF(25&lt;=核心参数输入!$B$9,SUMIFS(季度现金流!$D$69:$DT$69,季度现金流!$D$6:$DT$6,25),0)</f>
        <v>0</v>
      </c>
      <c r="AD34" s="9">
        <f>IF(26&lt;=核心参数输入!$B$9,SUMIFS(季度现金流!$D$69:$DT$69,季度现金流!$D$6:$DT$6,26),0)</f>
        <v>0</v>
      </c>
      <c r="AE34" s="9">
        <f>IF(27&lt;=核心参数输入!$B$9,SUMIFS(季度现金流!$D$69:$DT$69,季度现金流!$D$6:$DT$6,27),0)</f>
        <v>0</v>
      </c>
      <c r="AF34" s="9">
        <f>IF(28&lt;=核心参数输入!$B$9,SUMIFS(季度现金流!$D$69:$DT$69,季度现金流!$D$6:$DT$6,28),0)</f>
        <v>0</v>
      </c>
      <c r="AG34" s="9">
        <f>IF(29&lt;=核心参数输入!$B$9,SUMIFS(季度现金流!$D$69:$DT$69,季度现金流!$D$6:$DT$6,29),0)</f>
        <v>0</v>
      </c>
      <c r="AH34" s="9">
        <f>IF(30&lt;=核心参数输入!$B$9,SUMIFS(季度现金流!$D$69:$DT$69,季度现金流!$D$6:$DT$6,30),0)</f>
        <v>0</v>
      </c>
    </row>
    <row r="35" spans="1:34" ht="21" customHeight="1">
      <c r="A35" s="8" t="s">
        <v>387</v>
      </c>
      <c r="B35" s="8" t="s">
        <v>39</v>
      </c>
      <c r="C35" s="8"/>
      <c r="D35" s="9">
        <f>IF(0&lt;=核心参数输入!$B$9,INDEX(季度现金流!$D$70:$DT$70,1,0*4+1),0)</f>
        <v>-8000</v>
      </c>
      <c r="E35" s="9">
        <f>IF(1&lt;=核心参数输入!$B$9,INDEX(季度现金流!$D$70:$DT$70,1,1*4+1),0)</f>
        <v>-23133.929945871605</v>
      </c>
      <c r="F35" s="9">
        <f>IF(2&lt;=核心参数输入!$B$9,INDEX(季度现金流!$D$70:$DT$70,1,2*4+1),0)</f>
        <v>-41817.794076577295</v>
      </c>
      <c r="G35" s="9">
        <f>IF(3&lt;=核心参数输入!$B$9,INDEX(季度现金流!$D$70:$DT$70,1,3*4+1),0)</f>
        <v>-54792.699722900688</v>
      </c>
      <c r="H35" s="9">
        <f>IF(4&lt;=核心参数输入!$B$9,INDEX(季度现金流!$D$70:$DT$70,1,4*4+1),0)</f>
        <v>-46753.368478720025</v>
      </c>
      <c r="I35" s="9">
        <f>IF(5&lt;=核心参数输入!$B$9,INDEX(季度现金流!$D$70:$DT$70,1,5*4+1),0)</f>
        <v>-35221.580148726061</v>
      </c>
      <c r="J35" s="9">
        <f>IF(6&lt;=核心参数输入!$B$9,INDEX(季度现金流!$D$70:$DT$70,1,6*4+1),0)</f>
        <v>-26548.565121830663</v>
      </c>
      <c r="K35" s="9">
        <f>IF(7&lt;=核心参数输入!$B$9,INDEX(季度现金流!$D$70:$DT$70,1,7*4+1),0)</f>
        <v>-25331.102560550866</v>
      </c>
      <c r="L35" s="9">
        <f>IF(8&lt;=核心参数输入!$B$9,INDEX(季度现金流!$D$70:$DT$70,1,8*4+1),0)</f>
        <v>-24790.773453008642</v>
      </c>
      <c r="M35" s="9">
        <f>IF(9&lt;=核心参数输入!$B$9,INDEX(季度现金流!$D$70:$DT$70,1,9*4+1),0)</f>
        <v>-24283.005669446706</v>
      </c>
      <c r="N35" s="9">
        <f>IF(10&lt;=核心参数输入!$B$9,INDEX(季度现金流!$D$70:$DT$70,1,10*4+1),0)</f>
        <v>-23806.856005485995</v>
      </c>
      <c r="O35" s="9">
        <f>IF(11&lt;=核心参数输入!$B$9,INDEX(季度现金流!$D$70:$DT$70,1,11*4+1),0)</f>
        <v>-23360.354220345798</v>
      </c>
      <c r="P35" s="9">
        <f>IF(12&lt;=核心参数输入!$B$9,INDEX(季度现金流!$D$70:$DT$70,1,12*4+1),0)</f>
        <v>-22941.653022419949</v>
      </c>
      <c r="Q35" s="9">
        <f>IF(13&lt;=核心参数输入!$B$9,INDEX(季度现金流!$D$70:$DT$70,1,13*4+1),0)</f>
        <v>-22549.020380041729</v>
      </c>
      <c r="R35" s="9">
        <f>IF(14&lt;=核心参数输入!$B$9,INDEX(季度现金流!$D$70:$DT$70,1,14*4+1),0)</f>
        <v>-22180.832314573683</v>
      </c>
      <c r="S35" s="9">
        <f>IF(15&lt;=核心参数输入!$B$9,INDEX(季度现金流!$D$70:$DT$70,1,15*4+1),0)</f>
        <v>-21835.566145451106</v>
      </c>
      <c r="T35" s="9">
        <f>IF(16&lt;=核心参数输入!$B$9,INDEX(季度现金流!$D$70:$DT$70,1,16*4+1),0)</f>
        <v>-21511.794158729477</v>
      </c>
      <c r="U35" s="9">
        <f>IF(17&lt;=核心参数输入!$B$9,INDEX(季度现金流!$D$70:$DT$70,1,17*4+1),0)</f>
        <v>-21208.177672485232</v>
      </c>
      <c r="V35" s="9">
        <f>IF(18&lt;=核心参数输入!$B$9,INDEX(季度现金流!$D$70:$DT$70,1,18*4+1),0)</f>
        <v>-20923.461474104199</v>
      </c>
      <c r="W35" s="9">
        <f>IF(19&lt;=核心参数输入!$B$9,INDEX(季度现金流!$D$70:$DT$70,1,19*4+1),0)</f>
        <v>-20656.468606069637</v>
      </c>
      <c r="X35" s="9">
        <f>IF(20&lt;=核心参数输入!$B$9,INDEX(季度现金流!$D$70:$DT$70,1,20*4+1),0)</f>
        <v>-20406.095478339303</v>
      </c>
      <c r="Y35" s="9">
        <f>IF(21&lt;=核心参数输入!$B$9,INDEX(季度现金流!$D$70:$DT$70,1,21*4+1),0)</f>
        <v>0</v>
      </c>
      <c r="Z35" s="9">
        <f>IF(22&lt;=核心参数输入!$B$9,INDEX(季度现金流!$D$70:$DT$70,1,22*4+1),0)</f>
        <v>0</v>
      </c>
      <c r="AA35" s="9">
        <f>IF(23&lt;=核心参数输入!$B$9,INDEX(季度现金流!$D$70:$DT$70,1,23*4+1),0)</f>
        <v>0</v>
      </c>
      <c r="AB35" s="9">
        <f>IF(24&lt;=核心参数输入!$B$9,INDEX(季度现金流!$D$70:$DT$70,1,24*4+1),0)</f>
        <v>0</v>
      </c>
      <c r="AC35" s="9">
        <f>IF(25&lt;=核心参数输入!$B$9,INDEX(季度现金流!$D$70:$DT$70,1,25*4+1),0)</f>
        <v>0</v>
      </c>
      <c r="AD35" s="9">
        <f>IF(26&lt;=核心参数输入!$B$9,INDEX(季度现金流!$D$70:$DT$70,1,26*4+1),0)</f>
        <v>0</v>
      </c>
      <c r="AE35" s="9">
        <f>IF(27&lt;=核心参数输入!$B$9,INDEX(季度现金流!$D$70:$DT$70,1,27*4+1),0)</f>
        <v>0</v>
      </c>
      <c r="AF35" s="9">
        <f>IF(28&lt;=核心参数输入!$B$9,INDEX(季度现金流!$D$70:$DT$70,1,28*4+1),0)</f>
        <v>0</v>
      </c>
      <c r="AG35" s="9">
        <f>IF(29&lt;=核心参数输入!$B$9,INDEX(季度现金流!$D$70:$DT$70,1,29*4+1),0)</f>
        <v>0</v>
      </c>
      <c r="AH35" s="9">
        <f>IF(30&lt;=核心参数输入!$B$9,INDEX(季度现金流!$D$70:$DT$70,1,30*4+1),0)</f>
        <v>0</v>
      </c>
    </row>
    <row r="36" spans="1:34" ht="21" customHeight="1">
      <c r="A36" s="8" t="s">
        <v>388</v>
      </c>
      <c r="B36" s="8" t="s">
        <v>39</v>
      </c>
      <c r="C36" s="8"/>
      <c r="D36" s="9">
        <f>IF(0&lt;=核心参数输入!$B$9,INDEX(季度经营税费!$D$56:$DT$56,1,0*4+1),0)</f>
        <v>3599.9999999999995</v>
      </c>
      <c r="E36" s="9">
        <f>IF(1&lt;=核心参数输入!$B$9,INDEX(季度经营税费!$D$56:$DT$56,1,1*4+1),0)</f>
        <v>10829.249999999998</v>
      </c>
      <c r="F36" s="9">
        <f>IF(2&lt;=核心参数输入!$B$9,INDEX(季度经营税费!$D$56:$DT$56,1,2*4+1),0)</f>
        <v>20638.349999999995</v>
      </c>
      <c r="G36" s="9">
        <f>IF(3&lt;=核心参数输入!$B$9,INDEX(季度经营税费!$D$56:$DT$56,1,3*4+1),0)</f>
        <v>28264.499999999993</v>
      </c>
      <c r="H36" s="9">
        <f>IF(4&lt;=核心参数输入!$B$9,INDEX(季度经营税费!$D$56:$DT$56,1,4*4+1),0)</f>
        <v>27411.457499999993</v>
      </c>
      <c r="I36" s="9">
        <f>IF(5&lt;=核心参数输入!$B$9,INDEX(季度经营税费!$D$56:$DT$56,1,5*4+1),0)</f>
        <v>26558.414999999994</v>
      </c>
      <c r="J36" s="9">
        <f>IF(6&lt;=核心参数输入!$B$9,INDEX(季度经营税费!$D$56:$DT$56,1,6*4+1),0)</f>
        <v>25705.372499999994</v>
      </c>
      <c r="K36" s="9">
        <f>IF(7&lt;=核心参数输入!$B$9,INDEX(季度经营税费!$D$56:$DT$56,1,7*4+1),0)</f>
        <v>24852.329999999994</v>
      </c>
      <c r="L36" s="9">
        <f>IF(8&lt;=核心参数输入!$B$9,INDEX(季度经营税费!$D$56:$DT$56,1,8*4+1),0)</f>
        <v>23999.287499999995</v>
      </c>
      <c r="M36" s="9">
        <f>IF(9&lt;=核心参数输入!$B$9,INDEX(季度经营税费!$D$56:$DT$56,1,9*4+1),0)</f>
        <v>23146.244999999995</v>
      </c>
      <c r="N36" s="9">
        <f>IF(10&lt;=核心参数输入!$B$9,INDEX(季度经营税费!$D$56:$DT$56,1,10*4+1),0)</f>
        <v>22293.202499999996</v>
      </c>
      <c r="O36" s="9">
        <f>IF(11&lt;=核心参数输入!$B$9,INDEX(季度经营税费!$D$56:$DT$56,1,11*4+1),0)</f>
        <v>21440.159999999996</v>
      </c>
      <c r="P36" s="9">
        <f>IF(12&lt;=核心参数输入!$B$9,INDEX(季度经营税费!$D$56:$DT$56,1,12*4+1),0)</f>
        <v>20587.117499999997</v>
      </c>
      <c r="Q36" s="9">
        <f>IF(13&lt;=核心参数输入!$B$9,INDEX(季度经营税费!$D$56:$DT$56,1,13*4+1),0)</f>
        <v>19734.074999999997</v>
      </c>
      <c r="R36" s="9">
        <f>IF(14&lt;=核心参数输入!$B$9,INDEX(季度经营税费!$D$56:$DT$56,1,14*4+1),0)</f>
        <v>18881.032499999994</v>
      </c>
      <c r="S36" s="9">
        <f>IF(15&lt;=核心参数输入!$B$9,INDEX(季度经营税费!$D$56:$DT$56,1,15*4+1),0)</f>
        <v>18027.989999999991</v>
      </c>
      <c r="T36" s="9">
        <f>IF(16&lt;=核心参数输入!$B$9,INDEX(季度经营税费!$D$56:$DT$56,1,16*4+1),0)</f>
        <v>17174.947499999987</v>
      </c>
      <c r="U36" s="9">
        <f>IF(17&lt;=核心参数输入!$B$9,INDEX(季度经营税费!$D$56:$DT$56,1,17*4+1),0)</f>
        <v>16321.904999999984</v>
      </c>
      <c r="V36" s="9">
        <f>IF(18&lt;=核心参数输入!$B$9,INDEX(季度经营税费!$D$56:$DT$56,1,18*4+1),0)</f>
        <v>15468.862499999981</v>
      </c>
      <c r="W36" s="9">
        <f>IF(19&lt;=核心参数输入!$B$9,INDEX(季度经营税费!$D$56:$DT$56,1,19*4+1),0)</f>
        <v>14615.819999999978</v>
      </c>
      <c r="X36" s="9">
        <f>IF(20&lt;=核心参数输入!$B$9,INDEX(季度经营税费!$D$56:$DT$56,1,20*4+1),0)</f>
        <v>13762.777499999975</v>
      </c>
      <c r="Y36" s="9">
        <f>IF(21&lt;=核心参数输入!$B$9,INDEX(季度经营税费!$D$56:$DT$56,1,21*4+1),0)</f>
        <v>0</v>
      </c>
      <c r="Z36" s="9">
        <f>IF(22&lt;=核心参数输入!$B$9,INDEX(季度经营税费!$D$56:$DT$56,1,22*4+1),0)</f>
        <v>0</v>
      </c>
      <c r="AA36" s="9">
        <f>IF(23&lt;=核心参数输入!$B$9,INDEX(季度经营税费!$D$56:$DT$56,1,23*4+1),0)</f>
        <v>0</v>
      </c>
      <c r="AB36" s="9">
        <f>IF(24&lt;=核心参数输入!$B$9,INDEX(季度经营税费!$D$56:$DT$56,1,24*4+1),0)</f>
        <v>0</v>
      </c>
      <c r="AC36" s="9">
        <f>IF(25&lt;=核心参数输入!$B$9,INDEX(季度经营税费!$D$56:$DT$56,1,25*4+1),0)</f>
        <v>0</v>
      </c>
      <c r="AD36" s="9">
        <f>IF(26&lt;=核心参数输入!$B$9,INDEX(季度经营税费!$D$56:$DT$56,1,26*4+1),0)</f>
        <v>0</v>
      </c>
      <c r="AE36" s="9">
        <f>IF(27&lt;=核心参数输入!$B$9,INDEX(季度经营税费!$D$56:$DT$56,1,27*4+1),0)</f>
        <v>0</v>
      </c>
      <c r="AF36" s="9">
        <f>IF(28&lt;=核心参数输入!$B$9,INDEX(季度经营税费!$D$56:$DT$56,1,28*4+1),0)</f>
        <v>0</v>
      </c>
      <c r="AG36" s="9">
        <f>IF(29&lt;=核心参数输入!$B$9,INDEX(季度经营税费!$D$56:$DT$56,1,29*4+1),0)</f>
        <v>0</v>
      </c>
      <c r="AH36" s="9">
        <f>IF(30&lt;=核心参数输入!$B$9,INDEX(季度经营税费!$D$56:$DT$56,1,30*4+1),0)</f>
        <v>0</v>
      </c>
    </row>
    <row r="37" spans="1:34" ht="21" customHeight="1">
      <c r="A37" s="8" t="s">
        <v>389</v>
      </c>
      <c r="B37" s="8" t="s">
        <v>39</v>
      </c>
      <c r="C37" s="8"/>
      <c r="D37" s="9">
        <f>IF(0&lt;=核心参数输入!$B$9,INDEX(季度经营税费!$D$13:$DT$13,1,0*4+1),0)</f>
        <v>0</v>
      </c>
      <c r="E37" s="9">
        <f>IF(1&lt;=核心参数输入!$B$9,INDEX(季度经营税费!$D$13:$DT$13,1,1*4+1),0)</f>
        <v>0</v>
      </c>
      <c r="F37" s="9">
        <f>IF(2&lt;=核心参数输入!$B$9,INDEX(季度经营税费!$D$13:$DT$13,1,2*4+1),0)</f>
        <v>0</v>
      </c>
      <c r="G37" s="9">
        <f>IF(3&lt;=核心参数输入!$B$9,INDEX(季度经营税费!$D$13:$DT$13,1,3*4+1),0)</f>
        <v>0</v>
      </c>
      <c r="H37" s="9">
        <f>IF(4&lt;=核心参数输入!$B$9,INDEX(季度经营税费!$D$13:$DT$13,1,4*4+1),0)</f>
        <v>1085.90625</v>
      </c>
      <c r="I37" s="9">
        <f>IF(5&lt;=核心参数输入!$B$9,INDEX(季度经营税费!$D$13:$DT$13,1,5*4+1),0)</f>
        <v>1447.875</v>
      </c>
      <c r="J37" s="9">
        <f>IF(6&lt;=核心参数输入!$B$9,INDEX(季度经营税费!$D$13:$DT$13,1,6*4+1),0)</f>
        <v>1085.90625</v>
      </c>
      <c r="K37" s="9">
        <f>IF(7&lt;=核心参数输入!$B$9,INDEX(季度经营税费!$D$13:$DT$13,1,7*4+1),0)</f>
        <v>0</v>
      </c>
      <c r="L37" s="9">
        <f>IF(8&lt;=核心参数输入!$B$9,INDEX(季度经营税费!$D$13:$DT$13,1,8*4+1),0)</f>
        <v>0</v>
      </c>
      <c r="M37" s="9">
        <f>IF(9&lt;=核心参数输入!$B$9,INDEX(季度经营税费!$D$13:$DT$13,1,9*4+1),0)</f>
        <v>0</v>
      </c>
      <c r="N37" s="9">
        <f>IF(10&lt;=核心参数输入!$B$9,INDEX(季度经营税费!$D$13:$DT$13,1,10*4+1),0)</f>
        <v>0</v>
      </c>
      <c r="O37" s="9">
        <f>IF(11&lt;=核心参数输入!$B$9,INDEX(季度经营税费!$D$13:$DT$13,1,11*4+1),0)</f>
        <v>0</v>
      </c>
      <c r="P37" s="9">
        <f>IF(12&lt;=核心参数输入!$B$9,INDEX(季度经营税费!$D$13:$DT$13,1,12*4+1),0)</f>
        <v>0</v>
      </c>
      <c r="Q37" s="9">
        <f>IF(13&lt;=核心参数输入!$B$9,INDEX(季度经营税费!$D$13:$DT$13,1,13*4+1),0)</f>
        <v>0</v>
      </c>
      <c r="R37" s="9">
        <f>IF(14&lt;=核心参数输入!$B$9,INDEX(季度经营税费!$D$13:$DT$13,1,14*4+1),0)</f>
        <v>0</v>
      </c>
      <c r="S37" s="9">
        <f>IF(15&lt;=核心参数输入!$B$9,INDEX(季度经营税费!$D$13:$DT$13,1,15*4+1),0)</f>
        <v>0</v>
      </c>
      <c r="T37" s="9">
        <f>IF(16&lt;=核心参数输入!$B$9,INDEX(季度经营税费!$D$13:$DT$13,1,16*4+1),0)</f>
        <v>0</v>
      </c>
      <c r="U37" s="9">
        <f>IF(17&lt;=核心参数输入!$B$9,INDEX(季度经营税费!$D$13:$DT$13,1,17*4+1),0)</f>
        <v>0</v>
      </c>
      <c r="V37" s="9">
        <f>IF(18&lt;=核心参数输入!$B$9,INDEX(季度经营税费!$D$13:$DT$13,1,18*4+1),0)</f>
        <v>0</v>
      </c>
      <c r="W37" s="9">
        <f>IF(19&lt;=核心参数输入!$B$9,INDEX(季度经营税费!$D$13:$DT$13,1,19*4+1),0)</f>
        <v>0</v>
      </c>
      <c r="X37" s="9">
        <f>IF(20&lt;=核心参数输入!$B$9,INDEX(季度经营税费!$D$13:$DT$13,1,20*4+1),0)</f>
        <v>0</v>
      </c>
      <c r="Y37" s="9">
        <f>IF(21&lt;=核心参数输入!$B$9,INDEX(季度经营税费!$D$13:$DT$13,1,21*4+1),0)</f>
        <v>0</v>
      </c>
      <c r="Z37" s="9">
        <f>IF(22&lt;=核心参数输入!$B$9,INDEX(季度经营税费!$D$13:$DT$13,1,22*4+1),0)</f>
        <v>0</v>
      </c>
      <c r="AA37" s="9">
        <f>IF(23&lt;=核心参数输入!$B$9,INDEX(季度经营税费!$D$13:$DT$13,1,23*4+1),0)</f>
        <v>0</v>
      </c>
      <c r="AB37" s="9">
        <f>IF(24&lt;=核心参数输入!$B$9,INDEX(季度经营税费!$D$13:$DT$13,1,24*4+1),0)</f>
        <v>0</v>
      </c>
      <c r="AC37" s="9">
        <f>IF(25&lt;=核心参数输入!$B$9,INDEX(季度经营税费!$D$13:$DT$13,1,25*4+1),0)</f>
        <v>0</v>
      </c>
      <c r="AD37" s="9">
        <f>IF(26&lt;=核心参数输入!$B$9,INDEX(季度经营税费!$D$13:$DT$13,1,26*4+1),0)</f>
        <v>0</v>
      </c>
      <c r="AE37" s="9">
        <f>IF(27&lt;=核心参数输入!$B$9,INDEX(季度经营税费!$D$13:$DT$13,1,27*4+1),0)</f>
        <v>0</v>
      </c>
      <c r="AF37" s="9">
        <f>IF(28&lt;=核心参数输入!$B$9,INDEX(季度经营税费!$D$13:$DT$13,1,28*4+1),0)</f>
        <v>0</v>
      </c>
      <c r="AG37" s="9">
        <f>IF(29&lt;=核心参数输入!$B$9,INDEX(季度经营税费!$D$13:$DT$13,1,29*4+1),0)</f>
        <v>0</v>
      </c>
      <c r="AH37" s="9">
        <f>IF(30&lt;=核心参数输入!$B$9,INDEX(季度经营税费!$D$13:$DT$13,1,30*4+1),0)</f>
        <v>0</v>
      </c>
    </row>
    <row r="38" spans="1:34" ht="21" customHeight="1">
      <c r="A38" s="8" t="s">
        <v>390</v>
      </c>
      <c r="B38" s="8" t="s">
        <v>39</v>
      </c>
      <c r="C38" s="8"/>
      <c r="D38" s="9">
        <f>IF(0&lt;=核心参数输入!$B$9,INDEX(季度经营税费!$D$52:$DT$52,1,0*4+1),0)</f>
        <v>0</v>
      </c>
      <c r="E38" s="9">
        <f>IF(1&lt;=核心参数输入!$B$9,INDEX(季度经营税费!$D$52:$DT$52,1,1*4+1),0)</f>
        <v>0</v>
      </c>
      <c r="F38" s="9">
        <f>IF(2&lt;=核心参数输入!$B$9,INDEX(季度经营税费!$D$52:$DT$52,1,2*4+1),0)</f>
        <v>0</v>
      </c>
      <c r="G38" s="9">
        <f>IF(3&lt;=核心参数输入!$B$9,INDEX(季度经营税费!$D$52:$DT$52,1,3*4+1),0)</f>
        <v>0</v>
      </c>
      <c r="H38" s="9">
        <f>IF(4&lt;=核心参数输入!$B$9,INDEX(季度经营税费!$D$52:$DT$52,1,4*4+1),0)</f>
        <v>0</v>
      </c>
      <c r="I38" s="9">
        <f>IF(5&lt;=核心参数输入!$B$9,INDEX(季度经营税费!$D$52:$DT$52,1,5*4+1),0)</f>
        <v>0</v>
      </c>
      <c r="J38" s="9">
        <f>IF(6&lt;=核心参数输入!$B$9,INDEX(季度经营税费!$D$52:$DT$52,1,6*4+1),0)</f>
        <v>0</v>
      </c>
      <c r="K38" s="9">
        <f>IF(7&lt;=核心参数输入!$B$9,INDEX(季度经营税费!$D$52:$DT$52,1,7*4+1),0)</f>
        <v>0</v>
      </c>
      <c r="L38" s="9">
        <f>IF(8&lt;=核心参数输入!$B$9,INDEX(季度经营税费!$D$52:$DT$52,1,8*4+1),0)</f>
        <v>0</v>
      </c>
      <c r="M38" s="9">
        <f>IF(9&lt;=核心参数输入!$B$9,INDEX(季度经营税费!$D$52:$DT$52,1,9*4+1),0)</f>
        <v>0</v>
      </c>
      <c r="N38" s="9">
        <f>IF(10&lt;=核心参数输入!$B$9,INDEX(季度经营税费!$D$52:$DT$52,1,10*4+1),0)</f>
        <v>0</v>
      </c>
      <c r="O38" s="9">
        <f>IF(11&lt;=核心参数输入!$B$9,INDEX(季度经营税费!$D$52:$DT$52,1,11*4+1),0)</f>
        <v>0</v>
      </c>
      <c r="P38" s="9">
        <f>IF(12&lt;=核心参数输入!$B$9,INDEX(季度经营税费!$D$52:$DT$52,1,12*4+1),0)</f>
        <v>0</v>
      </c>
      <c r="Q38" s="9">
        <f>IF(13&lt;=核心参数输入!$B$9,INDEX(季度经营税费!$D$52:$DT$52,1,13*4+1),0)</f>
        <v>0</v>
      </c>
      <c r="R38" s="9">
        <f>IF(14&lt;=核心参数输入!$B$9,INDEX(季度经营税费!$D$52:$DT$52,1,14*4+1),0)</f>
        <v>0</v>
      </c>
      <c r="S38" s="9">
        <f>IF(15&lt;=核心参数输入!$B$9,INDEX(季度经营税费!$D$52:$DT$52,1,15*4+1),0)</f>
        <v>0</v>
      </c>
      <c r="T38" s="9">
        <f>IF(16&lt;=核心参数输入!$B$9,INDEX(季度经营税费!$D$52:$DT$52,1,16*4+1),0)</f>
        <v>0</v>
      </c>
      <c r="U38" s="9">
        <f>IF(17&lt;=核心参数输入!$B$9,INDEX(季度经营税费!$D$52:$DT$52,1,17*4+1),0)</f>
        <v>0</v>
      </c>
      <c r="V38" s="9">
        <f>IF(18&lt;=核心参数输入!$B$9,INDEX(季度经营税费!$D$52:$DT$52,1,18*4+1),0)</f>
        <v>0</v>
      </c>
      <c r="W38" s="9">
        <f>IF(19&lt;=核心参数输入!$B$9,INDEX(季度经营税费!$D$52:$DT$52,1,19*4+1),0)</f>
        <v>0</v>
      </c>
      <c r="X38" s="9">
        <f>IF(20&lt;=核心参数输入!$B$9,INDEX(季度经营税费!$D$52:$DT$52,1,20*4+1),0)</f>
        <v>0</v>
      </c>
      <c r="Y38" s="9">
        <f>IF(21&lt;=核心参数输入!$B$9,INDEX(季度经营税费!$D$52:$DT$52,1,21*4+1),0)</f>
        <v>0</v>
      </c>
      <c r="Z38" s="9">
        <f>IF(22&lt;=核心参数输入!$B$9,INDEX(季度经营税费!$D$52:$DT$52,1,22*4+1),0)</f>
        <v>0</v>
      </c>
      <c r="AA38" s="9">
        <f>IF(23&lt;=核心参数输入!$B$9,INDEX(季度经营税费!$D$52:$DT$52,1,23*4+1),0)</f>
        <v>0</v>
      </c>
      <c r="AB38" s="9">
        <f>IF(24&lt;=核心参数输入!$B$9,INDEX(季度经营税费!$D$52:$DT$52,1,24*4+1),0)</f>
        <v>0</v>
      </c>
      <c r="AC38" s="9">
        <f>IF(25&lt;=核心参数输入!$B$9,INDEX(季度经营税费!$D$52:$DT$52,1,25*4+1),0)</f>
        <v>0</v>
      </c>
      <c r="AD38" s="9">
        <f>IF(26&lt;=核心参数输入!$B$9,INDEX(季度经营税费!$D$52:$DT$52,1,26*4+1),0)</f>
        <v>0</v>
      </c>
      <c r="AE38" s="9">
        <f>IF(27&lt;=核心参数输入!$B$9,INDEX(季度经营税费!$D$52:$DT$52,1,27*4+1),0)</f>
        <v>0</v>
      </c>
      <c r="AF38" s="9">
        <f>IF(28&lt;=核心参数输入!$B$9,INDEX(季度经营税费!$D$52:$DT$52,1,28*4+1),0)</f>
        <v>0</v>
      </c>
      <c r="AG38" s="9">
        <f>IF(29&lt;=核心参数输入!$B$9,INDEX(季度经营税费!$D$52:$DT$52,1,29*4+1),0)</f>
        <v>0</v>
      </c>
      <c r="AH38" s="9">
        <f>IF(30&lt;=核心参数输入!$B$9,INDEX(季度经营税费!$D$52:$DT$52,1,30*4+1),0)</f>
        <v>0</v>
      </c>
    </row>
    <row r="39" spans="1:34" ht="21" customHeight="1">
      <c r="A39" s="8" t="s">
        <v>391</v>
      </c>
      <c r="B39" s="8" t="s">
        <v>39</v>
      </c>
      <c r="C39" s="8"/>
      <c r="D39" s="9">
        <f>IF(0&lt;=核心参数输入!$B$9,IF(核心参数输入!$B$64=1,SUMIFS(季度现金流!$D$17:$DT$17,季度现金流!$D$6:$DT$6,0),SUMIFS(季度现金流!$D$16:$DT$16,季度现金流!$D$6:$DT$6,0)),0)</f>
        <v>0</v>
      </c>
      <c r="E39" s="9">
        <f>IF(1&lt;=核心参数输入!$B$9,IF(核心参数输入!$B$64=1,SUMIFS(季度现金流!$D$17:$DT$17,季度现金流!$D$6:$DT$6,1),SUMIFS(季度现金流!$D$16:$DT$16,季度现金流!$D$6:$DT$6,1)),0)</f>
        <v>0</v>
      </c>
      <c r="F39" s="9">
        <f>IF(2&lt;=核心参数输入!$B$9,IF(核心参数输入!$B$64=1,SUMIFS(季度现金流!$D$17:$DT$17,季度现金流!$D$6:$DT$6,2),SUMIFS(季度现金流!$D$16:$DT$16,季度现金流!$D$6:$DT$6,2)),0)</f>
        <v>0</v>
      </c>
      <c r="G39" s="9">
        <f>IF(3&lt;=核心参数输入!$B$9,IF(核心参数输入!$B$64=1,SUMIFS(季度现金流!$D$17:$DT$17,季度现金流!$D$6:$DT$6,3),SUMIFS(季度现金流!$D$16:$DT$16,季度现金流!$D$6:$DT$6,3)),0)</f>
        <v>0</v>
      </c>
      <c r="H39" s="9">
        <f>IF(4&lt;=核心参数输入!$B$9,IF(核心参数输入!$B$64=1,SUMIFS(季度现金流!$D$17:$DT$17,季度现金流!$D$6:$DT$6,4),SUMIFS(季度现金流!$D$16:$DT$16,季度现金流!$D$6:$DT$6,4)),0)</f>
        <v>0</v>
      </c>
      <c r="I39" s="9">
        <f>IF(5&lt;=核心参数输入!$B$9,IF(核心参数输入!$B$64=1,SUMIFS(季度现金流!$D$17:$DT$17,季度现金流!$D$6:$DT$6,5),SUMIFS(季度现金流!$D$16:$DT$16,季度现金流!$D$6:$DT$6,5)),0)</f>
        <v>0</v>
      </c>
      <c r="J39" s="9">
        <f>IF(6&lt;=核心参数输入!$B$9,IF(核心参数输入!$B$64=1,SUMIFS(季度现金流!$D$17:$DT$17,季度现金流!$D$6:$DT$6,6),SUMIFS(季度现金流!$D$16:$DT$16,季度现金流!$D$6:$DT$6,6)),0)</f>
        <v>0</v>
      </c>
      <c r="K39" s="9">
        <f>IF(7&lt;=核心参数输入!$B$9,IF(核心参数输入!$B$64=1,SUMIFS(季度现金流!$D$17:$DT$17,季度现金流!$D$6:$DT$6,7),SUMIFS(季度现金流!$D$16:$DT$16,季度现金流!$D$6:$DT$6,7)),0)</f>
        <v>0</v>
      </c>
      <c r="L39" s="9">
        <f>IF(8&lt;=核心参数输入!$B$9,IF(核心参数输入!$B$64=1,SUMIFS(季度现金流!$D$17:$DT$17,季度现金流!$D$6:$DT$6,8),SUMIFS(季度现金流!$D$16:$DT$16,季度现金流!$D$6:$DT$6,8)),0)</f>
        <v>0</v>
      </c>
      <c r="M39" s="9">
        <f>IF(9&lt;=核心参数输入!$B$9,IF(核心参数输入!$B$64=1,SUMIFS(季度现金流!$D$17:$DT$17,季度现金流!$D$6:$DT$6,9),SUMIFS(季度现金流!$D$16:$DT$16,季度现金流!$D$6:$DT$6,9)),0)</f>
        <v>0</v>
      </c>
      <c r="N39" s="9">
        <f>IF(10&lt;=核心参数输入!$B$9,IF(核心参数输入!$B$64=1,SUMIFS(季度现金流!$D$17:$DT$17,季度现金流!$D$6:$DT$6,10),SUMIFS(季度现金流!$D$16:$DT$16,季度现金流!$D$6:$DT$6,10)),0)</f>
        <v>0</v>
      </c>
      <c r="O39" s="9">
        <f>IF(11&lt;=核心参数输入!$B$9,IF(核心参数输入!$B$64=1,SUMIFS(季度现金流!$D$17:$DT$17,季度现金流!$D$6:$DT$6,11),SUMIFS(季度现金流!$D$16:$DT$16,季度现金流!$D$6:$DT$6,11)),0)</f>
        <v>0</v>
      </c>
      <c r="P39" s="9">
        <f>IF(12&lt;=核心参数输入!$B$9,IF(核心参数输入!$B$64=1,SUMIFS(季度现金流!$D$17:$DT$17,季度现金流!$D$6:$DT$6,12),SUMIFS(季度现金流!$D$16:$DT$16,季度现金流!$D$6:$DT$6,12)),0)</f>
        <v>0</v>
      </c>
      <c r="Q39" s="9">
        <f>IF(13&lt;=核心参数输入!$B$9,IF(核心参数输入!$B$64=1,SUMIFS(季度现金流!$D$17:$DT$17,季度现金流!$D$6:$DT$6,13),SUMIFS(季度现金流!$D$16:$DT$16,季度现金流!$D$6:$DT$6,13)),0)</f>
        <v>0</v>
      </c>
      <c r="R39" s="9">
        <f>IF(14&lt;=核心参数输入!$B$9,IF(核心参数输入!$B$64=1,SUMIFS(季度现金流!$D$17:$DT$17,季度现金流!$D$6:$DT$6,14),SUMIFS(季度现金流!$D$16:$DT$16,季度现金流!$D$6:$DT$6,14)),0)</f>
        <v>0</v>
      </c>
      <c r="S39" s="9">
        <f>IF(15&lt;=核心参数输入!$B$9,IF(核心参数输入!$B$64=1,SUMIFS(季度现金流!$D$17:$DT$17,季度现金流!$D$6:$DT$6,15),SUMIFS(季度现金流!$D$16:$DT$16,季度现金流!$D$6:$DT$6,15)),0)</f>
        <v>0</v>
      </c>
      <c r="T39" s="9">
        <f>IF(16&lt;=核心参数输入!$B$9,IF(核心参数输入!$B$64=1,SUMIFS(季度现金流!$D$17:$DT$17,季度现金流!$D$6:$DT$6,16),SUMIFS(季度现金流!$D$16:$DT$16,季度现金流!$D$6:$DT$6,16)),0)</f>
        <v>0</v>
      </c>
      <c r="U39" s="9">
        <f>IF(17&lt;=核心参数输入!$B$9,IF(核心参数输入!$B$64=1,SUMIFS(季度现金流!$D$17:$DT$17,季度现金流!$D$6:$DT$6,17),SUMIFS(季度现金流!$D$16:$DT$16,季度现金流!$D$6:$DT$6,17)),0)</f>
        <v>0</v>
      </c>
      <c r="V39" s="9">
        <f>IF(18&lt;=核心参数输入!$B$9,IF(核心参数输入!$B$64=1,SUMIFS(季度现金流!$D$17:$DT$17,季度现金流!$D$6:$DT$6,18),SUMIFS(季度现金流!$D$16:$DT$16,季度现金流!$D$6:$DT$6,18)),0)</f>
        <v>0</v>
      </c>
      <c r="W39" s="9">
        <f>IF(19&lt;=核心参数输入!$B$9,IF(核心参数输入!$B$64=1,SUMIFS(季度现金流!$D$17:$DT$17,季度现金流!$D$6:$DT$6,19),SUMIFS(季度现金流!$D$16:$DT$16,季度现金流!$D$6:$DT$6,19)),0)</f>
        <v>0</v>
      </c>
      <c r="X39" s="9">
        <f>IF(20&lt;=核心参数输入!$B$9,IF(核心参数输入!$B$64=1,SUMIFS(季度现金流!$D$17:$DT$17,季度现金流!$D$6:$DT$6,20),SUMIFS(季度现金流!$D$16:$DT$16,季度现金流!$D$6:$DT$6,20)),0)</f>
        <v>0</v>
      </c>
      <c r="Y39" s="9">
        <f>IF(21&lt;=核心参数输入!$B$9,IF(核心参数输入!$B$64=1,SUMIFS(季度现金流!$D$17:$DT$17,季度现金流!$D$6:$DT$6,21),SUMIFS(季度现金流!$D$16:$DT$16,季度现金流!$D$6:$DT$6,21)),0)</f>
        <v>0</v>
      </c>
      <c r="Z39" s="9">
        <f>IF(22&lt;=核心参数输入!$B$9,IF(核心参数输入!$B$64=1,SUMIFS(季度现金流!$D$17:$DT$17,季度现金流!$D$6:$DT$6,22),SUMIFS(季度现金流!$D$16:$DT$16,季度现金流!$D$6:$DT$6,22)),0)</f>
        <v>0</v>
      </c>
      <c r="AA39" s="9">
        <f>IF(23&lt;=核心参数输入!$B$9,IF(核心参数输入!$B$64=1,SUMIFS(季度现金流!$D$17:$DT$17,季度现金流!$D$6:$DT$6,23),SUMIFS(季度现金流!$D$16:$DT$16,季度现金流!$D$6:$DT$6,23)),0)</f>
        <v>0</v>
      </c>
      <c r="AB39" s="9">
        <f>IF(24&lt;=核心参数输入!$B$9,IF(核心参数输入!$B$64=1,SUMIFS(季度现金流!$D$17:$DT$17,季度现金流!$D$6:$DT$6,24),SUMIFS(季度现金流!$D$16:$DT$16,季度现金流!$D$6:$DT$6,24)),0)</f>
        <v>0</v>
      </c>
      <c r="AC39" s="9">
        <f>IF(25&lt;=核心参数输入!$B$9,IF(核心参数输入!$B$64=1,SUMIFS(季度现金流!$D$17:$DT$17,季度现金流!$D$6:$DT$6,25),SUMIFS(季度现金流!$D$16:$DT$16,季度现金流!$D$6:$DT$6,25)),0)</f>
        <v>0</v>
      </c>
      <c r="AD39" s="9">
        <f>IF(26&lt;=核心参数输入!$B$9,IF(核心参数输入!$B$64=1,SUMIFS(季度现金流!$D$17:$DT$17,季度现金流!$D$6:$DT$6,26),SUMIFS(季度现金流!$D$16:$DT$16,季度现金流!$D$6:$DT$6,26)),0)</f>
        <v>0</v>
      </c>
      <c r="AE39" s="9">
        <f>IF(27&lt;=核心参数输入!$B$9,IF(核心参数输入!$B$64=1,SUMIFS(季度现金流!$D$17:$DT$17,季度现金流!$D$6:$DT$6,27),SUMIFS(季度现金流!$D$16:$DT$16,季度现金流!$D$6:$DT$6,27)),0)</f>
        <v>0</v>
      </c>
      <c r="AF39" s="9">
        <f>IF(28&lt;=核心参数输入!$B$9,IF(核心参数输入!$B$64=1,SUMIFS(季度现金流!$D$17:$DT$17,季度现金流!$D$6:$DT$6,28),SUMIFS(季度现金流!$D$16:$DT$16,季度现金流!$D$6:$DT$6,28)),0)</f>
        <v>0</v>
      </c>
      <c r="AG39" s="9">
        <f>IF(29&lt;=核心参数输入!$B$9,IF(核心参数输入!$B$64=1,SUMIFS(季度现金流!$D$17:$DT$17,季度现金流!$D$6:$DT$6,29),SUMIFS(季度现金流!$D$16:$DT$16,季度现金流!$D$6:$DT$6,29)),0)</f>
        <v>0</v>
      </c>
      <c r="AH39" s="9">
        <f>IF(30&lt;=核心参数输入!$B$9,IF(核心参数输入!$B$64=1,SUMIFS(季度现金流!$D$17:$DT$17,季度现金流!$D$6:$DT$6,30),SUMIFS(季度现金流!$D$16:$DT$16,季度现金流!$D$6:$DT$6,30)),0)</f>
        <v>0</v>
      </c>
    </row>
    <row r="40" spans="1:34" ht="21" customHeight="1">
      <c r="A40" s="8" t="s">
        <v>392</v>
      </c>
      <c r="B40" s="8" t="s">
        <v>39</v>
      </c>
      <c r="C40" s="8"/>
      <c r="D40" s="9">
        <f>IF(0&lt;=核心参数输入!$B$9,IF(核心参数输入!$B$64=1,SUMIFS(季度经营税费!$D$59:$DT$59,季度经营税费!$D$6:$DT$6,0),0),0)</f>
        <v>0</v>
      </c>
      <c r="E40" s="9">
        <f>IF(1&lt;=核心参数输入!$B$9,IF(核心参数输入!$B$64=1,SUMIFS(季度经营税费!$D$59:$DT$59,季度经营税费!$D$6:$DT$6,1),0),0)</f>
        <v>0</v>
      </c>
      <c r="F40" s="9">
        <f>IF(2&lt;=核心参数输入!$B$9,IF(核心参数输入!$B$64=1,SUMIFS(季度经营税费!$D$59:$DT$59,季度经营税费!$D$6:$DT$6,2),0),0)</f>
        <v>0</v>
      </c>
      <c r="G40" s="9">
        <f>IF(3&lt;=核心参数输入!$B$9,IF(核心参数输入!$B$64=1,SUMIFS(季度经营税费!$D$59:$DT$59,季度经营税费!$D$6:$DT$6,3),0),0)</f>
        <v>0</v>
      </c>
      <c r="H40" s="9">
        <f>IF(4&lt;=核心参数输入!$B$9,IF(核心参数输入!$B$64=1,SUMIFS(季度经营税费!$D$59:$DT$59,季度经营税费!$D$6:$DT$6,4),0),0)</f>
        <v>0</v>
      </c>
      <c r="I40" s="9">
        <f>IF(5&lt;=核心参数输入!$B$9,IF(核心参数输入!$B$64=1,SUMIFS(季度经营税费!$D$59:$DT$59,季度经营税费!$D$6:$DT$6,5),0),0)</f>
        <v>0</v>
      </c>
      <c r="J40" s="9">
        <f>IF(6&lt;=核心参数输入!$B$9,IF(核心参数输入!$B$64=1,SUMIFS(季度经营税费!$D$59:$DT$59,季度经营税费!$D$6:$DT$6,6),0),0)</f>
        <v>0</v>
      </c>
      <c r="K40" s="9">
        <f>IF(7&lt;=核心参数输入!$B$9,IF(核心参数输入!$B$64=1,SUMIFS(季度经营税费!$D$59:$DT$59,季度经营税费!$D$6:$DT$6,7),0),0)</f>
        <v>0</v>
      </c>
      <c r="L40" s="9">
        <f>IF(8&lt;=核心参数输入!$B$9,IF(核心参数输入!$B$64=1,SUMIFS(季度经营税费!$D$59:$DT$59,季度经营税费!$D$6:$DT$6,8),0),0)</f>
        <v>0</v>
      </c>
      <c r="M40" s="9">
        <f>IF(9&lt;=核心参数输入!$B$9,IF(核心参数输入!$B$64=1,SUMIFS(季度经营税费!$D$59:$DT$59,季度经营税费!$D$6:$DT$6,9),0),0)</f>
        <v>0</v>
      </c>
      <c r="N40" s="9">
        <f>IF(10&lt;=核心参数输入!$B$9,IF(核心参数输入!$B$64=1,SUMIFS(季度经营税费!$D$59:$DT$59,季度经营税费!$D$6:$DT$6,10),0),0)</f>
        <v>0</v>
      </c>
      <c r="O40" s="9">
        <f>IF(11&lt;=核心参数输入!$B$9,IF(核心参数输入!$B$64=1,SUMIFS(季度经营税费!$D$59:$DT$59,季度经营税费!$D$6:$DT$6,11),0),0)</f>
        <v>0</v>
      </c>
      <c r="P40" s="9">
        <f>IF(12&lt;=核心参数输入!$B$9,IF(核心参数输入!$B$64=1,SUMIFS(季度经营税费!$D$59:$DT$59,季度经营税费!$D$6:$DT$6,12),0),0)</f>
        <v>0</v>
      </c>
      <c r="Q40" s="9">
        <f>IF(13&lt;=核心参数输入!$B$9,IF(核心参数输入!$B$64=1,SUMIFS(季度经营税费!$D$59:$DT$59,季度经营税费!$D$6:$DT$6,13),0),0)</f>
        <v>0</v>
      </c>
      <c r="R40" s="9">
        <f>IF(14&lt;=核心参数输入!$B$9,IF(核心参数输入!$B$64=1,SUMIFS(季度经营税费!$D$59:$DT$59,季度经营税费!$D$6:$DT$6,14),0),0)</f>
        <v>0</v>
      </c>
      <c r="S40" s="9">
        <f>IF(15&lt;=核心参数输入!$B$9,IF(核心参数输入!$B$64=1,SUMIFS(季度经营税费!$D$59:$DT$59,季度经营税费!$D$6:$DT$6,15),0),0)</f>
        <v>0</v>
      </c>
      <c r="T40" s="9">
        <f>IF(16&lt;=核心参数输入!$B$9,IF(核心参数输入!$B$64=1,SUMIFS(季度经营税费!$D$59:$DT$59,季度经营税费!$D$6:$DT$6,16),0),0)</f>
        <v>0</v>
      </c>
      <c r="U40" s="9">
        <f>IF(17&lt;=核心参数输入!$B$9,IF(核心参数输入!$B$64=1,SUMIFS(季度经营税费!$D$59:$DT$59,季度经营税费!$D$6:$DT$6,17),0),0)</f>
        <v>0</v>
      </c>
      <c r="V40" s="9">
        <f>IF(18&lt;=核心参数输入!$B$9,IF(核心参数输入!$B$64=1,SUMIFS(季度经营税费!$D$59:$DT$59,季度经营税费!$D$6:$DT$6,18),0),0)</f>
        <v>0</v>
      </c>
      <c r="W40" s="9">
        <f>IF(19&lt;=核心参数输入!$B$9,IF(核心参数输入!$B$64=1,SUMIFS(季度经营税费!$D$59:$DT$59,季度经营税费!$D$6:$DT$6,19),0),0)</f>
        <v>0</v>
      </c>
      <c r="X40" s="9">
        <f>IF(20&lt;=核心参数输入!$B$9,IF(核心参数输入!$B$64=1,SUMIFS(季度经营税费!$D$59:$DT$59,季度经营税费!$D$6:$DT$6,20),0),0)</f>
        <v>0</v>
      </c>
      <c r="Y40" s="9">
        <f>IF(21&lt;=核心参数输入!$B$9,IF(核心参数输入!$B$64=1,SUMIFS(季度经营税费!$D$59:$DT$59,季度经营税费!$D$6:$DT$6,21),0),0)</f>
        <v>0</v>
      </c>
      <c r="Z40" s="9">
        <f>IF(22&lt;=核心参数输入!$B$9,IF(核心参数输入!$B$64=1,SUMIFS(季度经营税费!$D$59:$DT$59,季度经营税费!$D$6:$DT$6,22),0),0)</f>
        <v>0</v>
      </c>
      <c r="AA40" s="9">
        <f>IF(23&lt;=核心参数输入!$B$9,IF(核心参数输入!$B$64=1,SUMIFS(季度经营税费!$D$59:$DT$59,季度经营税费!$D$6:$DT$6,23),0),0)</f>
        <v>0</v>
      </c>
      <c r="AB40" s="9">
        <f>IF(24&lt;=核心参数输入!$B$9,IF(核心参数输入!$B$64=1,SUMIFS(季度经营税费!$D$59:$DT$59,季度经营税费!$D$6:$DT$6,24),0),0)</f>
        <v>0</v>
      </c>
      <c r="AC40" s="9">
        <f>IF(25&lt;=核心参数输入!$B$9,IF(核心参数输入!$B$64=1,SUMIFS(季度经营税费!$D$59:$DT$59,季度经营税费!$D$6:$DT$6,25),0),0)</f>
        <v>0</v>
      </c>
      <c r="AD40" s="9">
        <f>IF(26&lt;=核心参数输入!$B$9,IF(核心参数输入!$B$64=1,SUMIFS(季度经营税费!$D$59:$DT$59,季度经营税费!$D$6:$DT$6,26),0),0)</f>
        <v>0</v>
      </c>
      <c r="AE40" s="9">
        <f>IF(27&lt;=核心参数输入!$B$9,IF(核心参数输入!$B$64=1,SUMIFS(季度经营税费!$D$59:$DT$59,季度经营税费!$D$6:$DT$6,27),0),0)</f>
        <v>0</v>
      </c>
      <c r="AF40" s="9">
        <f>IF(28&lt;=核心参数输入!$B$9,IF(核心参数输入!$B$64=1,SUMIFS(季度经营税费!$D$59:$DT$59,季度经营税费!$D$6:$DT$6,28),0),0)</f>
        <v>0</v>
      </c>
      <c r="AG40" s="9">
        <f>IF(29&lt;=核心参数输入!$B$9,IF(核心参数输入!$B$64=1,SUMIFS(季度经营税费!$D$59:$DT$59,季度经营税费!$D$6:$DT$6,29),0),0)</f>
        <v>0</v>
      </c>
      <c r="AH40" s="9">
        <f>IF(30&lt;=核心参数输入!$B$9,IF(核心参数输入!$B$64=1,SUMIFS(季度经营税费!$D$59:$DT$59,季度经营税费!$D$6:$DT$6,30),0),0)</f>
        <v>0</v>
      </c>
    </row>
    <row r="41" spans="1:34" ht="21" customHeight="1">
      <c r="A41" s="8" t="s">
        <v>393</v>
      </c>
      <c r="B41" s="8" t="s">
        <v>39</v>
      </c>
      <c r="C41" s="8"/>
      <c r="D41" s="9">
        <f>IF(0&lt;=核心参数输入!$B$9,SUMIFS(季度经营税费!$D$73:$DT$73,季度经营税费!$D$6:$DT$6,0)+SUMIFS(季度经营税费!$D$74:$DT$74,季度经营税费!$D$6:$DT$6,0)+IF(核心参数输入!$B$64=1,0,SUMIFS(季度经营税费!$D$76:$DT$76,季度经营税费!$D$6:$DT$6,0)),0)</f>
        <v>0</v>
      </c>
      <c r="E41" s="9">
        <f>IF(1&lt;=核心参数输入!$B$9,SUMIFS(季度经营税费!$D$73:$DT$73,季度经营税费!$D$6:$DT$6,1)+SUMIFS(季度经营税费!$D$74:$DT$74,季度经营税费!$D$6:$DT$6,1)+IF(核心参数输入!$B$64=1,0,SUMIFS(季度经营税费!$D$76:$DT$76,季度经营税费!$D$6:$DT$6,1)),0)</f>
        <v>0</v>
      </c>
      <c r="F41" s="9">
        <f>IF(2&lt;=核心参数输入!$B$9,SUMIFS(季度经营税费!$D$73:$DT$73,季度经营税费!$D$6:$DT$6,2)+SUMIFS(季度经营税费!$D$74:$DT$74,季度经营税费!$D$6:$DT$6,2)+IF(核心参数输入!$B$64=1,0,SUMIFS(季度经营税费!$D$76:$DT$76,季度经营税费!$D$6:$DT$6,2)),0)</f>
        <v>0</v>
      </c>
      <c r="G41" s="9">
        <f>IF(3&lt;=核心参数输入!$B$9,SUMIFS(季度经营税费!$D$73:$DT$73,季度经营税费!$D$6:$DT$6,3)+SUMIFS(季度经营税费!$D$74:$DT$74,季度经营税费!$D$6:$DT$6,3)+IF(核心参数输入!$B$64=1,0,SUMIFS(季度经营税费!$D$76:$DT$76,季度经营税费!$D$6:$DT$6,3)),0)</f>
        <v>0</v>
      </c>
      <c r="H41" s="9">
        <f>IF(4&lt;=核心参数输入!$B$9,SUMIFS(季度经营税费!$D$73:$DT$73,季度经营税费!$D$6:$DT$6,4)+SUMIFS(季度经营税费!$D$74:$DT$74,季度经营税费!$D$6:$DT$6,4)+IF(核心参数输入!$B$64=1,0,SUMIFS(季度经营税费!$D$76:$DT$76,季度经营税费!$D$6:$DT$6,4)),0)</f>
        <v>0</v>
      </c>
      <c r="I41" s="9">
        <f>IF(5&lt;=核心参数输入!$B$9,SUMIFS(季度经营税费!$D$73:$DT$73,季度经营税费!$D$6:$DT$6,5)+SUMIFS(季度经营税费!$D$74:$DT$74,季度经营税费!$D$6:$DT$6,5)+IF(核心参数输入!$B$64=1,0,SUMIFS(季度经营税费!$D$76:$DT$76,季度经营税费!$D$6:$DT$6,5)),0)</f>
        <v>0</v>
      </c>
      <c r="J41" s="9">
        <f>IF(6&lt;=核心参数输入!$B$9,SUMIFS(季度经营税费!$D$73:$DT$73,季度经营税费!$D$6:$DT$6,6)+SUMIFS(季度经营税费!$D$74:$DT$74,季度经营税费!$D$6:$DT$6,6)+IF(核心参数输入!$B$64=1,0,SUMIFS(季度经营税费!$D$76:$DT$76,季度经营税费!$D$6:$DT$6,6)),0)</f>
        <v>0</v>
      </c>
      <c r="K41" s="9">
        <f>IF(7&lt;=核心参数输入!$B$9,SUMIFS(季度经营税费!$D$73:$DT$73,季度经营税费!$D$6:$DT$6,7)+SUMIFS(季度经营税费!$D$74:$DT$74,季度经营税费!$D$6:$DT$6,7)+IF(核心参数输入!$B$64=1,0,SUMIFS(季度经营税费!$D$76:$DT$76,季度经营税费!$D$6:$DT$6,7)),0)</f>
        <v>0</v>
      </c>
      <c r="L41" s="9">
        <f>IF(8&lt;=核心参数输入!$B$9,SUMIFS(季度经营税费!$D$73:$DT$73,季度经营税费!$D$6:$DT$6,8)+SUMIFS(季度经营税费!$D$74:$DT$74,季度经营税费!$D$6:$DT$6,8)+IF(核心参数输入!$B$64=1,0,SUMIFS(季度经营税费!$D$76:$DT$76,季度经营税费!$D$6:$DT$6,8)),0)</f>
        <v>0</v>
      </c>
      <c r="M41" s="9">
        <f>IF(9&lt;=核心参数输入!$B$9,SUMIFS(季度经营税费!$D$73:$DT$73,季度经营税费!$D$6:$DT$6,9)+SUMIFS(季度经营税费!$D$74:$DT$74,季度经营税费!$D$6:$DT$6,9)+IF(核心参数输入!$B$64=1,0,SUMIFS(季度经营税费!$D$76:$DT$76,季度经营税费!$D$6:$DT$6,9)),0)</f>
        <v>0</v>
      </c>
      <c r="N41" s="9">
        <f>IF(10&lt;=核心参数输入!$B$9,SUMIFS(季度经营税费!$D$73:$DT$73,季度经营税费!$D$6:$DT$6,10)+SUMIFS(季度经营税费!$D$74:$DT$74,季度经营税费!$D$6:$DT$6,10)+IF(核心参数输入!$B$64=1,0,SUMIFS(季度经营税费!$D$76:$DT$76,季度经营税费!$D$6:$DT$6,10)),0)</f>
        <v>0</v>
      </c>
      <c r="O41" s="9">
        <f>IF(11&lt;=核心参数输入!$B$9,SUMIFS(季度经营税费!$D$73:$DT$73,季度经营税费!$D$6:$DT$6,11)+SUMIFS(季度经营税费!$D$74:$DT$74,季度经营税费!$D$6:$DT$6,11)+IF(核心参数输入!$B$64=1,0,SUMIFS(季度经营税费!$D$76:$DT$76,季度经营税费!$D$6:$DT$6,11)),0)</f>
        <v>0</v>
      </c>
      <c r="P41" s="9">
        <f>IF(12&lt;=核心参数输入!$B$9,SUMIFS(季度经营税费!$D$73:$DT$73,季度经营税费!$D$6:$DT$6,12)+SUMIFS(季度经营税费!$D$74:$DT$74,季度经营税费!$D$6:$DT$6,12)+IF(核心参数输入!$B$64=1,0,SUMIFS(季度经营税费!$D$76:$DT$76,季度经营税费!$D$6:$DT$6,12)),0)</f>
        <v>0</v>
      </c>
      <c r="Q41" s="9">
        <f>IF(13&lt;=核心参数输入!$B$9,SUMIFS(季度经营税费!$D$73:$DT$73,季度经营税费!$D$6:$DT$6,13)+SUMIFS(季度经营税费!$D$74:$DT$74,季度经营税费!$D$6:$DT$6,13)+IF(核心参数输入!$B$64=1,0,SUMIFS(季度经营税费!$D$76:$DT$76,季度经营税费!$D$6:$DT$6,13)),0)</f>
        <v>0</v>
      </c>
      <c r="R41" s="9">
        <f>IF(14&lt;=核心参数输入!$B$9,SUMIFS(季度经营税费!$D$73:$DT$73,季度经营税费!$D$6:$DT$6,14)+SUMIFS(季度经营税费!$D$74:$DT$74,季度经营税费!$D$6:$DT$6,14)+IF(核心参数输入!$B$64=1,0,SUMIFS(季度经营税费!$D$76:$DT$76,季度经营税费!$D$6:$DT$6,14)),0)</f>
        <v>0</v>
      </c>
      <c r="S41" s="9">
        <f>IF(15&lt;=核心参数输入!$B$9,SUMIFS(季度经营税费!$D$73:$DT$73,季度经营税费!$D$6:$DT$6,15)+SUMIFS(季度经营税费!$D$74:$DT$74,季度经营税费!$D$6:$DT$6,15)+IF(核心参数输入!$B$64=1,0,SUMIFS(季度经营税费!$D$76:$DT$76,季度经营税费!$D$6:$DT$6,15)),0)</f>
        <v>0</v>
      </c>
      <c r="T41" s="9">
        <f>IF(16&lt;=核心参数输入!$B$9,SUMIFS(季度经营税费!$D$73:$DT$73,季度经营税费!$D$6:$DT$6,16)+SUMIFS(季度经营税费!$D$74:$DT$74,季度经营税费!$D$6:$DT$6,16)+IF(核心参数输入!$B$64=1,0,SUMIFS(季度经营税费!$D$76:$DT$76,季度经营税费!$D$6:$DT$6,16)),0)</f>
        <v>0</v>
      </c>
      <c r="U41" s="9">
        <f>IF(17&lt;=核心参数输入!$B$9,SUMIFS(季度经营税费!$D$73:$DT$73,季度经营税费!$D$6:$DT$6,17)+SUMIFS(季度经营税费!$D$74:$DT$74,季度经营税费!$D$6:$DT$6,17)+IF(核心参数输入!$B$64=1,0,SUMIFS(季度经营税费!$D$76:$DT$76,季度经营税费!$D$6:$DT$6,17)),0)</f>
        <v>0</v>
      </c>
      <c r="V41" s="9">
        <f>IF(18&lt;=核心参数输入!$B$9,SUMIFS(季度经营税费!$D$73:$DT$73,季度经营税费!$D$6:$DT$6,18)+SUMIFS(季度经营税费!$D$74:$DT$74,季度经营税费!$D$6:$DT$6,18)+IF(核心参数输入!$B$64=1,0,SUMIFS(季度经营税费!$D$76:$DT$76,季度经营税费!$D$6:$DT$6,18)),0)</f>
        <v>0</v>
      </c>
      <c r="W41" s="9">
        <f>IF(19&lt;=核心参数输入!$B$9,SUMIFS(季度经营税费!$D$73:$DT$73,季度经营税费!$D$6:$DT$6,19)+SUMIFS(季度经营税费!$D$74:$DT$74,季度经营税费!$D$6:$DT$6,19)+IF(核心参数输入!$B$64=1,0,SUMIFS(季度经营税费!$D$76:$DT$76,季度经营税费!$D$6:$DT$6,19)),0)</f>
        <v>0</v>
      </c>
      <c r="X41" s="9">
        <f>IF(20&lt;=核心参数输入!$B$9,SUMIFS(季度经营税费!$D$73:$DT$73,季度经营税费!$D$6:$DT$6,20)+SUMIFS(季度经营税费!$D$74:$DT$74,季度经营税费!$D$6:$DT$6,20)+IF(核心参数输入!$B$64=1,0,SUMIFS(季度经营税费!$D$76:$DT$76,季度经营税费!$D$6:$DT$6,20)),0)</f>
        <v>0</v>
      </c>
      <c r="Y41" s="9">
        <f>IF(21&lt;=核心参数输入!$B$9,SUMIFS(季度经营税费!$D$73:$DT$73,季度经营税费!$D$6:$DT$6,21)+SUMIFS(季度经营税费!$D$74:$DT$74,季度经营税费!$D$6:$DT$6,21)+IF(核心参数输入!$B$64=1,0,SUMIFS(季度经营税费!$D$76:$DT$76,季度经营税费!$D$6:$DT$6,21)),0)</f>
        <v>0</v>
      </c>
      <c r="Z41" s="9">
        <f>IF(22&lt;=核心参数输入!$B$9,SUMIFS(季度经营税费!$D$73:$DT$73,季度经营税费!$D$6:$DT$6,22)+SUMIFS(季度经营税费!$D$74:$DT$74,季度经营税费!$D$6:$DT$6,22)+IF(核心参数输入!$B$64=1,0,SUMIFS(季度经营税费!$D$76:$DT$76,季度经营税费!$D$6:$DT$6,22)),0)</f>
        <v>0</v>
      </c>
      <c r="AA41" s="9">
        <f>IF(23&lt;=核心参数输入!$B$9,SUMIFS(季度经营税费!$D$73:$DT$73,季度经营税费!$D$6:$DT$6,23)+SUMIFS(季度经营税费!$D$74:$DT$74,季度经营税费!$D$6:$DT$6,23)+IF(核心参数输入!$B$64=1,0,SUMIFS(季度经营税费!$D$76:$DT$76,季度经营税费!$D$6:$DT$6,23)),0)</f>
        <v>0</v>
      </c>
      <c r="AB41" s="9">
        <f>IF(24&lt;=核心参数输入!$B$9,SUMIFS(季度经营税费!$D$73:$DT$73,季度经营税费!$D$6:$DT$6,24)+SUMIFS(季度经营税费!$D$74:$DT$74,季度经营税费!$D$6:$DT$6,24)+IF(核心参数输入!$B$64=1,0,SUMIFS(季度经营税费!$D$76:$DT$76,季度经营税费!$D$6:$DT$6,24)),0)</f>
        <v>0</v>
      </c>
      <c r="AC41" s="9">
        <f>IF(25&lt;=核心参数输入!$B$9,SUMIFS(季度经营税费!$D$73:$DT$73,季度经营税费!$D$6:$DT$6,25)+SUMIFS(季度经营税费!$D$74:$DT$74,季度经营税费!$D$6:$DT$6,25)+IF(核心参数输入!$B$64=1,0,SUMIFS(季度经营税费!$D$76:$DT$76,季度经营税费!$D$6:$DT$6,25)),0)</f>
        <v>0</v>
      </c>
      <c r="AD41" s="9">
        <f>IF(26&lt;=核心参数输入!$B$9,SUMIFS(季度经营税费!$D$73:$DT$73,季度经营税费!$D$6:$DT$6,26)+SUMIFS(季度经营税费!$D$74:$DT$74,季度经营税费!$D$6:$DT$6,26)+IF(核心参数输入!$B$64=1,0,SUMIFS(季度经营税费!$D$76:$DT$76,季度经营税费!$D$6:$DT$6,26)),0)</f>
        <v>0</v>
      </c>
      <c r="AE41" s="9">
        <f>IF(27&lt;=核心参数输入!$B$9,SUMIFS(季度经营税费!$D$73:$DT$73,季度经营税费!$D$6:$DT$6,27)+SUMIFS(季度经营税费!$D$74:$DT$74,季度经营税费!$D$6:$DT$6,27)+IF(核心参数输入!$B$64=1,0,SUMIFS(季度经营税费!$D$76:$DT$76,季度经营税费!$D$6:$DT$6,27)),0)</f>
        <v>0</v>
      </c>
      <c r="AF41" s="9">
        <f>IF(28&lt;=核心参数输入!$B$9,SUMIFS(季度经营税费!$D$73:$DT$73,季度经营税费!$D$6:$DT$6,28)+SUMIFS(季度经营税费!$D$74:$DT$74,季度经营税费!$D$6:$DT$6,28)+IF(核心参数输入!$B$64=1,0,SUMIFS(季度经营税费!$D$76:$DT$76,季度经营税费!$D$6:$DT$6,28)),0)</f>
        <v>0</v>
      </c>
      <c r="AG41" s="9">
        <f>IF(29&lt;=核心参数输入!$B$9,SUMIFS(季度经营税费!$D$73:$DT$73,季度经营税费!$D$6:$DT$6,29)+SUMIFS(季度经营税费!$D$74:$DT$74,季度经营税费!$D$6:$DT$6,29)+IF(核心参数输入!$B$64=1,0,SUMIFS(季度经营税费!$D$76:$DT$76,季度经营税费!$D$6:$DT$6,29)),0)</f>
        <v>0</v>
      </c>
      <c r="AH41" s="9">
        <f>IF(30&lt;=核心参数输入!$B$9,SUMIFS(季度经营税费!$D$73:$DT$73,季度经营税费!$D$6:$DT$6,30)+SUMIFS(季度经营税费!$D$74:$DT$74,季度经营税费!$D$6:$DT$6,30)+IF(核心参数输入!$B$64=1,0,SUMIFS(季度经营税费!$D$76:$DT$76,季度经营税费!$D$6:$DT$6,30)),0)</f>
        <v>0</v>
      </c>
    </row>
    <row r="42" spans="1:34" ht="21" hidden="1" customHeight="1">
      <c r="A42" s="8" t="s">
        <v>394</v>
      </c>
      <c r="B42" s="8" t="s">
        <v>73</v>
      </c>
      <c r="C42" s="8"/>
      <c r="D42" s="32">
        <f>IF(0&lt;=核心参数输入!$B$9,IF(ISNUMBER(D24),D24,1E+99),1E+99)</f>
        <v>9.9999999999999997E+98</v>
      </c>
      <c r="E42" s="32">
        <f>IF(1&lt;=核心参数输入!$B$9,IF(ISNUMBER(E24),E24,1E+99),1E+99)</f>
        <v>9.9999999999999997E+98</v>
      </c>
      <c r="F42" s="32">
        <f>IF(2&lt;=核心参数输入!$B$9,IF(ISNUMBER(F24),F24,1E+99),1E+99)</f>
        <v>9.9999999999999997E+98</v>
      </c>
      <c r="G42" s="32">
        <f>IF(3&lt;=核心参数输入!$B$9,IF(ISNUMBER(G24),G24,1E+99),1E+99)</f>
        <v>9.9999999999999997E+98</v>
      </c>
      <c r="H42" s="32">
        <f>IF(4&lt;=核心参数输入!$B$9,IF(ISNUMBER(H24),H24,1E+99),1E+99)</f>
        <v>2.0920678729134341</v>
      </c>
      <c r="I42" s="32">
        <f>IF(5&lt;=核心参数输入!$B$9,IF(ISNUMBER(I24),I24,1E+99),1E+99)</f>
        <v>3.1481903172544312</v>
      </c>
      <c r="J42" s="32">
        <f>IF(6&lt;=核心参数输入!$B$9,IF(ISNUMBER(J24),J24,1E+99),1E+99)</f>
        <v>2.6424264929780068</v>
      </c>
      <c r="K42" s="32">
        <f>IF(7&lt;=核心参数输入!$B$9,IF(ISNUMBER(K24),K24,1E+99),1E+99)</f>
        <v>0.40589850106553416</v>
      </c>
      <c r="L42" s="32">
        <f>IF(8&lt;=核心参数输入!$B$9,IF(ISNUMBER(L24),L24,1E+99),1E+99)</f>
        <v>0.21197152733052768</v>
      </c>
      <c r="M42" s="32">
        <f>IF(9&lt;=核心参数输入!$B$9,IF(ISNUMBER(M24),M24,1E+99),1E+99)</f>
        <v>0.22434205514871508</v>
      </c>
      <c r="N42" s="32">
        <f>IF(10&lt;=核心参数输入!$B$9,IF(ISNUMBER(N24),N24,1E+99),1E+99)</f>
        <v>0.23716681802790604</v>
      </c>
      <c r="O42" s="32">
        <f>IF(11&lt;=核心参数输入!$B$9,IF(ISNUMBER(O24),O24,1E+99),1E+99)</f>
        <v>9.9999999999999997E+98</v>
      </c>
      <c r="P42" s="32">
        <f>IF(12&lt;=核心参数输入!$B$9,IF(ISNUMBER(P24),P24,1E+99),1E+99)</f>
        <v>9.9999999999999997E+98</v>
      </c>
      <c r="Q42" s="32">
        <f>IF(13&lt;=核心参数输入!$B$9,IF(ISNUMBER(Q24),Q24,1E+99),1E+99)</f>
        <v>9.9999999999999997E+98</v>
      </c>
      <c r="R42" s="32">
        <f>IF(14&lt;=核心参数输入!$B$9,IF(ISNUMBER(R24),R24,1E+99),1E+99)</f>
        <v>9.9999999999999997E+98</v>
      </c>
      <c r="S42" s="32">
        <f>IF(15&lt;=核心参数输入!$B$9,IF(ISNUMBER(S24),S24,1E+99),1E+99)</f>
        <v>9.9999999999999997E+98</v>
      </c>
      <c r="T42" s="32">
        <f>IF(16&lt;=核心参数输入!$B$9,IF(ISNUMBER(T24),T24,1E+99),1E+99)</f>
        <v>9.9999999999999997E+98</v>
      </c>
      <c r="U42" s="32">
        <f>IF(17&lt;=核心参数输入!$B$9,IF(ISNUMBER(U24),U24,1E+99),1E+99)</f>
        <v>9.9999999999999997E+98</v>
      </c>
      <c r="V42" s="32">
        <f>IF(18&lt;=核心参数输入!$B$9,IF(ISNUMBER(V24),V24,1E+99),1E+99)</f>
        <v>9.9999999999999997E+98</v>
      </c>
      <c r="W42" s="32">
        <f>IF(19&lt;=核心参数输入!$B$9,IF(ISNUMBER(W24),W24,1E+99),1E+99)</f>
        <v>9.9999999999999997E+98</v>
      </c>
      <c r="X42" s="32">
        <f>IF(20&lt;=核心参数输入!$B$9,IF(ISNUMBER(X24),X24,1E+99),1E+99)</f>
        <v>9.9999999999999997E+98</v>
      </c>
      <c r="Y42" s="32">
        <f>IF(21&lt;=核心参数输入!$B$9,IF(ISNUMBER(Y24),Y24,1E+99),1E+99)</f>
        <v>9.9999999999999997E+98</v>
      </c>
      <c r="Z42" s="32">
        <f>IF(22&lt;=核心参数输入!$B$9,IF(ISNUMBER(Z24),Z24,1E+99),1E+99)</f>
        <v>9.9999999999999997E+98</v>
      </c>
      <c r="AA42" s="32">
        <f>IF(23&lt;=核心参数输入!$B$9,IF(ISNUMBER(AA24),AA24,1E+99),1E+99)</f>
        <v>9.9999999999999997E+98</v>
      </c>
      <c r="AB42" s="32">
        <f>IF(24&lt;=核心参数输入!$B$9,IF(ISNUMBER(AB24),AB24,1E+99),1E+99)</f>
        <v>9.9999999999999997E+98</v>
      </c>
      <c r="AC42" s="32">
        <f>IF(25&lt;=核心参数输入!$B$9,IF(ISNUMBER(AC24),AC24,1E+99),1E+99)</f>
        <v>9.9999999999999997E+98</v>
      </c>
      <c r="AD42" s="32">
        <f>IF(26&lt;=核心参数输入!$B$9,IF(ISNUMBER(AD24),AD24,1E+99),1E+99)</f>
        <v>9.9999999999999997E+98</v>
      </c>
      <c r="AE42" s="32">
        <f>IF(27&lt;=核心参数输入!$B$9,IF(ISNUMBER(AE24),AE24,1E+99),1E+99)</f>
        <v>9.9999999999999997E+98</v>
      </c>
      <c r="AF42" s="32">
        <f>IF(28&lt;=核心参数输入!$B$9,IF(ISNUMBER(AF24),AF24,1E+99),1E+99)</f>
        <v>9.9999999999999997E+98</v>
      </c>
      <c r="AG42" s="32">
        <f>IF(29&lt;=核心参数输入!$B$9,IF(ISNUMBER(AG24),AG24,1E+99),1E+99)</f>
        <v>9.9999999999999997E+98</v>
      </c>
      <c r="AH42" s="32">
        <f>IF(30&lt;=核心参数输入!$B$9,IF(ISNUMBER(AH24),AH24,1E+99),1E+99)</f>
        <v>9.9999999999999997E+98</v>
      </c>
    </row>
    <row r="43" spans="1:34" ht="21" customHeight="1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spans="1:34" ht="21" customHeight="1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spans="1:34" ht="21" customHeight="1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spans="1:34" ht="21" customHeight="1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spans="1:34" ht="21" customHeight="1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spans="1:34" ht="21" customHeight="1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spans="1:34" ht="21" customHeight="1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1:34" ht="21" customHeight="1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 spans="1:34" ht="21" customHeight="1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 spans="1:34" ht="21" customHeight="1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 spans="1:34" ht="21" customHeight="1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 spans="1:34" ht="21" customHeight="1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 spans="1:34" ht="21" customHeight="1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ht="21" customHeight="1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ht="21" customHeight="1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ht="21" customHeight="1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ht="21" customHeight="1">
      <c r="A59" s="8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ht="21" customHeight="1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ht="21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ht="21" customHeight="1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 spans="1:34" ht="21" customHeight="1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 spans="1:34" ht="21" customHeight="1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1:34" ht="21" customHeight="1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ht="24" customHeight="1">
      <c r="A68" s="23" t="s">
        <v>395</v>
      </c>
      <c r="B68" s="23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spans="1:34" ht="21" customHeight="1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ht="21" customHeight="1">
      <c r="A70" s="8" t="s">
        <v>363</v>
      </c>
      <c r="B70" s="8" t="s">
        <v>39</v>
      </c>
      <c r="C70" s="8"/>
      <c r="D70" s="9">
        <f>IF(0&lt;=核心参数输入!$B$9,SUMIFS(季度经营税费!$D$142:$DT$142,季度经营税费!$D$6:$DT$6,0),0)</f>
        <v>0</v>
      </c>
      <c r="E70" s="9">
        <f>IF(1&lt;=核心参数输入!$B$9,SUMIFS(季度经营税费!$D$142:$DT$142,季度经营税费!$D$6:$DT$6,1),0)</f>
        <v>0</v>
      </c>
      <c r="F70" s="9">
        <f>IF(2&lt;=核心参数输入!$B$9,SUMIFS(季度经营税费!$D$142:$DT$142,季度经营税费!$D$6:$DT$6,2),0)</f>
        <v>0</v>
      </c>
      <c r="G70" s="9">
        <f>IF(3&lt;=核心参数输入!$B$9,SUMIFS(季度经营税费!$D$142:$DT$142,季度经营税费!$D$6:$DT$6,3),0)</f>
        <v>0</v>
      </c>
      <c r="H70" s="9">
        <f>IF(4&lt;=核心参数输入!$B$9,SUMIFS(季度经营税费!$D$142:$DT$142,季度经营税费!$D$6:$DT$6,4),0)</f>
        <v>13030.875</v>
      </c>
      <c r="I70" s="9">
        <f>IF(5&lt;=核心参数输入!$B$9,SUMIFS(季度经营税费!$D$142:$DT$142,季度经营税费!$D$6:$DT$6,5),0)</f>
        <v>17374.5</v>
      </c>
      <c r="J70" s="9">
        <f>IF(6&lt;=核心参数输入!$B$9,SUMIFS(季度经营税费!$D$142:$DT$142,季度经营税费!$D$6:$DT$6,6),0)</f>
        <v>13030.875</v>
      </c>
      <c r="K70" s="9">
        <f>IF(7&lt;=核心参数输入!$B$9,SUMIFS(季度经营税费!$D$142:$DT$142,季度经营税费!$D$6:$DT$6,7),0)</f>
        <v>0</v>
      </c>
      <c r="L70" s="9">
        <f>IF(8&lt;=核心参数输入!$B$9,SUMIFS(季度经营税费!$D$142:$DT$142,季度经营税费!$D$6:$DT$6,8),0)</f>
        <v>0</v>
      </c>
      <c r="M70" s="9">
        <f>IF(9&lt;=核心参数输入!$B$9,SUMIFS(季度经营税费!$D$142:$DT$142,季度经营税费!$D$6:$DT$6,9),0)</f>
        <v>0</v>
      </c>
      <c r="N70" s="9">
        <f>IF(10&lt;=核心参数输入!$B$9,SUMIFS(季度经营税费!$D$142:$DT$142,季度经营税费!$D$6:$DT$6,10),0)</f>
        <v>0</v>
      </c>
      <c r="O70" s="9">
        <f>IF(11&lt;=核心参数输入!$B$9,SUMIFS(季度经营税费!$D$142:$DT$142,季度经营税费!$D$6:$DT$6,11),0)</f>
        <v>0</v>
      </c>
      <c r="P70" s="9">
        <f>IF(12&lt;=核心参数输入!$B$9,SUMIFS(季度经营税费!$D$142:$DT$142,季度经营税费!$D$6:$DT$6,12),0)</f>
        <v>0</v>
      </c>
      <c r="Q70" s="9">
        <f>IF(13&lt;=核心参数输入!$B$9,SUMIFS(季度经营税费!$D$142:$DT$142,季度经营税费!$D$6:$DT$6,13),0)</f>
        <v>0</v>
      </c>
      <c r="R70" s="9">
        <f>IF(14&lt;=核心参数输入!$B$9,SUMIFS(季度经营税费!$D$142:$DT$142,季度经营税费!$D$6:$DT$6,14),0)</f>
        <v>0</v>
      </c>
      <c r="S70" s="9">
        <f>IF(15&lt;=核心参数输入!$B$9,SUMIFS(季度经营税费!$D$142:$DT$142,季度经营税费!$D$6:$DT$6,15),0)</f>
        <v>0</v>
      </c>
      <c r="T70" s="9">
        <f>IF(16&lt;=核心参数输入!$B$9,SUMIFS(季度经营税费!$D$142:$DT$142,季度经营税费!$D$6:$DT$6,16),0)</f>
        <v>0</v>
      </c>
      <c r="U70" s="9">
        <f>IF(17&lt;=核心参数输入!$B$9,SUMIFS(季度经营税费!$D$142:$DT$142,季度经营税费!$D$6:$DT$6,17),0)</f>
        <v>0</v>
      </c>
      <c r="V70" s="9">
        <f>IF(18&lt;=核心参数输入!$B$9,SUMIFS(季度经营税费!$D$142:$DT$142,季度经营税费!$D$6:$DT$6,18),0)</f>
        <v>0</v>
      </c>
      <c r="W70" s="9">
        <f>IF(19&lt;=核心参数输入!$B$9,SUMIFS(季度经营税费!$D$142:$DT$142,季度经营税费!$D$6:$DT$6,19),0)</f>
        <v>0</v>
      </c>
      <c r="X70" s="9">
        <f>IF(20&lt;=核心参数输入!$B$9,SUMIFS(季度经营税费!$D$142:$DT$142,季度经营税费!$D$6:$DT$6,20),0)</f>
        <v>0</v>
      </c>
      <c r="Y70" s="9">
        <f>IF(21&lt;=核心参数输入!$B$9,SUMIFS(季度经营税费!$D$142:$DT$142,季度经营税费!$D$6:$DT$6,21),0)</f>
        <v>0</v>
      </c>
      <c r="Z70" s="9">
        <f>IF(22&lt;=核心参数输入!$B$9,SUMIFS(季度经营税费!$D$142:$DT$142,季度经营税费!$D$6:$DT$6,22),0)</f>
        <v>0</v>
      </c>
      <c r="AA70" s="9">
        <f>IF(23&lt;=核心参数输入!$B$9,SUMIFS(季度经营税费!$D$142:$DT$142,季度经营税费!$D$6:$DT$6,23),0)</f>
        <v>0</v>
      </c>
      <c r="AB70" s="9">
        <f>IF(24&lt;=核心参数输入!$B$9,SUMIFS(季度经营税费!$D$142:$DT$142,季度经营税费!$D$6:$DT$6,24),0)</f>
        <v>0</v>
      </c>
      <c r="AC70" s="9">
        <f>IF(25&lt;=核心参数输入!$B$9,SUMIFS(季度经营税费!$D$142:$DT$142,季度经营税费!$D$6:$DT$6,25),0)</f>
        <v>0</v>
      </c>
      <c r="AD70" s="9">
        <f>IF(26&lt;=核心参数输入!$B$9,SUMIFS(季度经营税费!$D$142:$DT$142,季度经营税费!$D$6:$DT$6,26),0)</f>
        <v>0</v>
      </c>
      <c r="AE70" s="9">
        <f>IF(27&lt;=核心参数输入!$B$9,SUMIFS(季度经营税费!$D$142:$DT$142,季度经营税费!$D$6:$DT$6,27),0)</f>
        <v>0</v>
      </c>
      <c r="AF70" s="9">
        <f>IF(28&lt;=核心参数输入!$B$9,SUMIFS(季度经营税费!$D$142:$DT$142,季度经营税费!$D$6:$DT$6,28),0)</f>
        <v>0</v>
      </c>
      <c r="AG70" s="9">
        <f>IF(29&lt;=核心参数输入!$B$9,SUMIFS(季度经营税费!$D$142:$DT$142,季度经营税费!$D$6:$DT$6,29),0)</f>
        <v>0</v>
      </c>
      <c r="AH70" s="9">
        <f>IF(30&lt;=核心参数输入!$B$9,SUMIFS(季度经营税费!$D$142:$DT$142,季度经营税费!$D$6:$DT$6,30),0)</f>
        <v>0</v>
      </c>
    </row>
    <row r="71" spans="1:34" ht="21" customHeight="1">
      <c r="A71" s="8" t="s">
        <v>364</v>
      </c>
      <c r="B71" s="8" t="s">
        <v>39</v>
      </c>
      <c r="C71" s="8"/>
      <c r="D71" s="9">
        <f>IF(0&lt;=核心参数输入!$B$9,SUMIFS(季度经营税费!$D$143:$DT$143,季度经营税费!$D$6:$DT$6,0),0)</f>
        <v>0</v>
      </c>
      <c r="E71" s="9">
        <f>IF(1&lt;=核心参数输入!$B$9,SUMIFS(季度经营税费!$D$143:$DT$143,季度经营税费!$D$6:$DT$6,1),0)</f>
        <v>0</v>
      </c>
      <c r="F71" s="9">
        <f>IF(2&lt;=核心参数输入!$B$9,SUMIFS(季度经营税费!$D$143:$DT$143,季度经营税费!$D$6:$DT$6,2),0)</f>
        <v>0</v>
      </c>
      <c r="G71" s="9">
        <f>IF(3&lt;=核心参数输入!$B$9,SUMIFS(季度经营税费!$D$143:$DT$143,季度经营税费!$D$6:$DT$6,3),0)</f>
        <v>0</v>
      </c>
      <c r="H71" s="9">
        <f>IF(4&lt;=核心参数输入!$B$9,SUMIFS(季度经营税费!$D$143:$DT$143,季度经营税费!$D$6:$DT$6,4),0)</f>
        <v>201.31280325000006</v>
      </c>
      <c r="I71" s="9">
        <f>IF(5&lt;=核心参数输入!$B$9,SUMIFS(季度经营税费!$D$143:$DT$143,季度经营税费!$D$6:$DT$6,5),0)</f>
        <v>805.97817590062493</v>
      </c>
      <c r="J71" s="9">
        <f>IF(6&lt;=核心参数输入!$B$9,SUMIFS(季度经营税费!$D$143:$DT$143,季度经营税费!$D$6:$DT$6,6),0)</f>
        <v>1172.3718815331958</v>
      </c>
      <c r="K71" s="9">
        <f>IF(7&lt;=核心参数输入!$B$9,SUMIFS(季度经营税费!$D$143:$DT$143,季度经营税费!$D$6:$DT$6,7),0)</f>
        <v>1420.9320035417936</v>
      </c>
      <c r="L71" s="9">
        <f>IF(8&lt;=核心参数输入!$B$9,SUMIFS(季度经营税费!$D$143:$DT$143,季度经营税费!$D$6:$DT$6,8),0)</f>
        <v>1516.435591804536</v>
      </c>
      <c r="M71" s="9">
        <f>IF(9&lt;=核心参数输入!$B$9,SUMIFS(季度经营税费!$D$143:$DT$143,季度经营税费!$D$6:$DT$6,9),0)</f>
        <v>1542.1942237749142</v>
      </c>
      <c r="N71" s="9">
        <f>IF(10&lt;=核心参数输入!$B$9,SUMIFS(季度经营税费!$D$143:$DT$143,季度经营税费!$D$6:$DT$6,10),0)</f>
        <v>1565.3271371315375</v>
      </c>
      <c r="O71" s="9">
        <f>IF(11&lt;=核心参数输入!$B$9,SUMIFS(季度经营税费!$D$143:$DT$143,季度经营税费!$D$6:$DT$6,11),0)</f>
        <v>1588.8070441885104</v>
      </c>
      <c r="P71" s="9">
        <f>IF(12&lt;=核心参数输入!$B$9,SUMIFS(季度经营税费!$D$143:$DT$143,季度经营税费!$D$6:$DT$6,12),0)</f>
        <v>1612.6391498513376</v>
      </c>
      <c r="Q71" s="9">
        <f>IF(13&lt;=核心参数输入!$B$9,SUMIFS(季度经营税费!$D$143:$DT$143,季度经营税费!$D$6:$DT$6,13),0)</f>
        <v>1636.8287370991077</v>
      </c>
      <c r="R71" s="9">
        <f>IF(14&lt;=核心参数输入!$B$9,SUMIFS(季度经营税费!$D$143:$DT$143,季度经营税费!$D$6:$DT$6,14),0)</f>
        <v>1661.381168155594</v>
      </c>
      <c r="S71" s="9">
        <f>IF(15&lt;=核心参数输入!$B$9,SUMIFS(季度经营税费!$D$143:$DT$143,季度经营税费!$D$6:$DT$6,15),0)</f>
        <v>1686.3018856779274</v>
      </c>
      <c r="T71" s="9">
        <f>IF(16&lt;=核心参数输入!$B$9,SUMIFS(季度经营税费!$D$143:$DT$143,季度经营税费!$D$6:$DT$6,16),0)</f>
        <v>1711.596413963096</v>
      </c>
      <c r="U71" s="9">
        <f>IF(17&lt;=核心参数输入!$B$9,SUMIFS(季度经营税费!$D$143:$DT$143,季度经营税费!$D$6:$DT$6,17),0)</f>
        <v>1737.2703601725427</v>
      </c>
      <c r="V71" s="9">
        <f>IF(18&lt;=核心参数输入!$B$9,SUMIFS(季度经营税费!$D$143:$DT$143,季度经营税费!$D$6:$DT$6,18),0)</f>
        <v>1763.3294155751303</v>
      </c>
      <c r="W71" s="9">
        <f>IF(19&lt;=核心参数输入!$B$9,SUMIFS(季度经营税费!$D$143:$DT$143,季度经营税费!$D$6:$DT$6,19),0)</f>
        <v>1789.779356808757</v>
      </c>
      <c r="X71" s="9">
        <f>IF(20&lt;=核心参数输入!$B$9,SUMIFS(季度经营税费!$D$143:$DT$143,季度经营税费!$D$6:$DT$6,20),0)</f>
        <v>1816.6260471608882</v>
      </c>
      <c r="Y71" s="9">
        <f>IF(21&lt;=核心参数输入!$B$9,SUMIFS(季度经营税费!$D$143:$DT$143,季度经营税费!$D$6:$DT$6,21),0)</f>
        <v>0</v>
      </c>
      <c r="Z71" s="9">
        <f>IF(22&lt;=核心参数输入!$B$9,SUMIFS(季度经营税费!$D$143:$DT$143,季度经营税费!$D$6:$DT$6,22),0)</f>
        <v>0</v>
      </c>
      <c r="AA71" s="9">
        <f>IF(23&lt;=核心参数输入!$B$9,SUMIFS(季度经营税费!$D$143:$DT$143,季度经营税费!$D$6:$DT$6,23),0)</f>
        <v>0</v>
      </c>
      <c r="AB71" s="9">
        <f>IF(24&lt;=核心参数输入!$B$9,SUMIFS(季度经营税费!$D$143:$DT$143,季度经营税费!$D$6:$DT$6,24),0)</f>
        <v>0</v>
      </c>
      <c r="AC71" s="9">
        <f>IF(25&lt;=核心参数输入!$B$9,SUMIFS(季度经营税费!$D$143:$DT$143,季度经营税费!$D$6:$DT$6,25),0)</f>
        <v>0</v>
      </c>
      <c r="AD71" s="9">
        <f>IF(26&lt;=核心参数输入!$B$9,SUMIFS(季度经营税费!$D$143:$DT$143,季度经营税费!$D$6:$DT$6,26),0)</f>
        <v>0</v>
      </c>
      <c r="AE71" s="9">
        <f>IF(27&lt;=核心参数输入!$B$9,SUMIFS(季度经营税费!$D$143:$DT$143,季度经营税费!$D$6:$DT$6,27),0)</f>
        <v>0</v>
      </c>
      <c r="AF71" s="9">
        <f>IF(28&lt;=核心参数输入!$B$9,SUMIFS(季度经营税费!$D$143:$DT$143,季度经营税费!$D$6:$DT$6,28),0)</f>
        <v>0</v>
      </c>
      <c r="AG71" s="9">
        <f>IF(29&lt;=核心参数输入!$B$9,SUMIFS(季度经营税费!$D$143:$DT$143,季度经营税费!$D$6:$DT$6,29),0)</f>
        <v>0</v>
      </c>
      <c r="AH71" s="9">
        <f>IF(30&lt;=核心参数输入!$B$9,SUMIFS(季度经营税费!$D$143:$DT$143,季度经营税费!$D$6:$DT$6,30),0)</f>
        <v>0</v>
      </c>
    </row>
    <row r="72" spans="1:34" ht="21" customHeight="1">
      <c r="A72" s="8" t="s">
        <v>365</v>
      </c>
      <c r="B72" s="8" t="s">
        <v>39</v>
      </c>
      <c r="C72" s="8"/>
      <c r="D72" s="9">
        <f>IF(0&lt;=核心参数输入!$B$9,SUMIFS(季度经营税费!$D$122:$DT$122,季度经营税费!$D$6:$DT$6,0),0)</f>
        <v>0</v>
      </c>
      <c r="E72" s="9">
        <f>IF(1&lt;=核心参数输入!$B$9,SUMIFS(季度经营税费!$D$122:$DT$122,季度经营税费!$D$6:$DT$6,1),0)</f>
        <v>0</v>
      </c>
      <c r="F72" s="9">
        <f>IF(2&lt;=核心参数输入!$B$9,SUMIFS(季度经营税费!$D$122:$DT$122,季度经营税费!$D$6:$DT$6,2),0)</f>
        <v>0</v>
      </c>
      <c r="G72" s="9">
        <f>IF(3&lt;=核心参数输入!$B$9,SUMIFS(季度经营税费!$D$122:$DT$122,季度经营税费!$D$6:$DT$6,3),0)</f>
        <v>0</v>
      </c>
      <c r="H72" s="9">
        <f>IF(4&lt;=核心参数输入!$B$9,SUMIFS(季度经营税费!$D$122:$DT$122,季度经营税费!$D$6:$DT$6,4),0)</f>
        <v>12053.559375000001</v>
      </c>
      <c r="I72" s="9">
        <f>IF(5&lt;=核心参数输入!$B$9,SUMIFS(季度经营税费!$D$122:$DT$122,季度经营税费!$D$6:$DT$6,5),0)</f>
        <v>17048.728125000001</v>
      </c>
      <c r="J72" s="9">
        <f>IF(6&lt;=核心参数输入!$B$9,SUMIFS(季度经营税费!$D$122:$DT$122,季度经营税费!$D$6:$DT$6,6),0)</f>
        <v>13356.646875</v>
      </c>
      <c r="K72" s="9">
        <f>IF(7&lt;=核心参数输入!$B$9,SUMIFS(季度经营税费!$D$122:$DT$122,季度经营税费!$D$6:$DT$6,7),0)</f>
        <v>977.31562500000018</v>
      </c>
      <c r="L72" s="9">
        <f>IF(8&lt;=核心参数输入!$B$9,SUMIFS(季度经营税费!$D$122:$DT$122,季度经营税费!$D$6:$DT$6,8),0)</f>
        <v>0</v>
      </c>
      <c r="M72" s="9">
        <f>IF(9&lt;=核心参数输入!$B$9,SUMIFS(季度经营税费!$D$122:$DT$122,季度经营税费!$D$6:$DT$6,9),0)</f>
        <v>0</v>
      </c>
      <c r="N72" s="9">
        <f>IF(10&lt;=核心参数输入!$B$9,SUMIFS(季度经营税费!$D$122:$DT$122,季度经营税费!$D$6:$DT$6,10),0)</f>
        <v>0</v>
      </c>
      <c r="O72" s="9">
        <f>IF(11&lt;=核心参数输入!$B$9,SUMIFS(季度经营税费!$D$122:$DT$122,季度经营税费!$D$6:$DT$6,11),0)</f>
        <v>0</v>
      </c>
      <c r="P72" s="9">
        <f>IF(12&lt;=核心参数输入!$B$9,SUMIFS(季度经营税费!$D$122:$DT$122,季度经营税费!$D$6:$DT$6,12),0)</f>
        <v>0</v>
      </c>
      <c r="Q72" s="9">
        <f>IF(13&lt;=核心参数输入!$B$9,SUMIFS(季度经营税费!$D$122:$DT$122,季度经营税费!$D$6:$DT$6,13),0)</f>
        <v>0</v>
      </c>
      <c r="R72" s="9">
        <f>IF(14&lt;=核心参数输入!$B$9,SUMIFS(季度经营税费!$D$122:$DT$122,季度经营税费!$D$6:$DT$6,14),0)</f>
        <v>0</v>
      </c>
      <c r="S72" s="9">
        <f>IF(15&lt;=核心参数输入!$B$9,SUMIFS(季度经营税费!$D$122:$DT$122,季度经营税费!$D$6:$DT$6,15),0)</f>
        <v>0</v>
      </c>
      <c r="T72" s="9">
        <f>IF(16&lt;=核心参数输入!$B$9,SUMIFS(季度经营税费!$D$122:$DT$122,季度经营税费!$D$6:$DT$6,16),0)</f>
        <v>0</v>
      </c>
      <c r="U72" s="9">
        <f>IF(17&lt;=核心参数输入!$B$9,SUMIFS(季度经营税费!$D$122:$DT$122,季度经营税费!$D$6:$DT$6,17),0)</f>
        <v>0</v>
      </c>
      <c r="V72" s="9">
        <f>IF(18&lt;=核心参数输入!$B$9,SUMIFS(季度经营税费!$D$122:$DT$122,季度经营税费!$D$6:$DT$6,18),0)</f>
        <v>0</v>
      </c>
      <c r="W72" s="9">
        <f>IF(19&lt;=核心参数输入!$B$9,SUMIFS(季度经营税费!$D$122:$DT$122,季度经营税费!$D$6:$DT$6,19),0)</f>
        <v>0</v>
      </c>
      <c r="X72" s="9">
        <f>IF(20&lt;=核心参数输入!$B$9,SUMIFS(季度经营税费!$D$122:$DT$122,季度经营税费!$D$6:$DT$6,20),0)</f>
        <v>0</v>
      </c>
      <c r="Y72" s="9">
        <f>IF(21&lt;=核心参数输入!$B$9,SUMIFS(季度经营税费!$D$122:$DT$122,季度经营税费!$D$6:$DT$6,21),0)</f>
        <v>0</v>
      </c>
      <c r="Z72" s="9">
        <f>IF(22&lt;=核心参数输入!$B$9,SUMIFS(季度经营税费!$D$122:$DT$122,季度经营税费!$D$6:$DT$6,22),0)</f>
        <v>0</v>
      </c>
      <c r="AA72" s="9">
        <f>IF(23&lt;=核心参数输入!$B$9,SUMIFS(季度经营税费!$D$122:$DT$122,季度经营税费!$D$6:$DT$6,23),0)</f>
        <v>0</v>
      </c>
      <c r="AB72" s="9">
        <f>IF(24&lt;=核心参数输入!$B$9,SUMIFS(季度经营税费!$D$122:$DT$122,季度经营税费!$D$6:$DT$6,24),0)</f>
        <v>0</v>
      </c>
      <c r="AC72" s="9">
        <f>IF(25&lt;=核心参数输入!$B$9,SUMIFS(季度经营税费!$D$122:$DT$122,季度经营税费!$D$6:$DT$6,25),0)</f>
        <v>0</v>
      </c>
      <c r="AD72" s="9">
        <f>IF(26&lt;=核心参数输入!$B$9,SUMIFS(季度经营税费!$D$122:$DT$122,季度经营税费!$D$6:$DT$6,26),0)</f>
        <v>0</v>
      </c>
      <c r="AE72" s="9">
        <f>IF(27&lt;=核心参数输入!$B$9,SUMIFS(季度经营税费!$D$122:$DT$122,季度经营税费!$D$6:$DT$6,27),0)</f>
        <v>0</v>
      </c>
      <c r="AF72" s="9">
        <f>IF(28&lt;=核心参数输入!$B$9,SUMIFS(季度经营税费!$D$122:$DT$122,季度经营税费!$D$6:$DT$6,28),0)</f>
        <v>0</v>
      </c>
      <c r="AG72" s="9">
        <f>IF(29&lt;=核心参数输入!$B$9,SUMIFS(季度经营税费!$D$122:$DT$122,季度经营税费!$D$6:$DT$6,29),0)</f>
        <v>0</v>
      </c>
      <c r="AH72" s="9">
        <f>IF(30&lt;=核心参数输入!$B$9,SUMIFS(季度经营税费!$D$122:$DT$122,季度经营税费!$D$6:$DT$6,30),0)</f>
        <v>0</v>
      </c>
    </row>
    <row r="73" spans="1:34" ht="21" customHeight="1">
      <c r="A73" s="8" t="s">
        <v>366</v>
      </c>
      <c r="B73" s="8" t="s">
        <v>39</v>
      </c>
      <c r="C73" s="8"/>
      <c r="D73" s="9">
        <f>IF(0&lt;=核心参数输入!$B$9,SUMIFS(季度经营税费!$D$136:$DT$136,季度经营税费!$D$6:$DT$6,0),0)</f>
        <v>0</v>
      </c>
      <c r="E73" s="9">
        <f>IF(1&lt;=核心参数输入!$B$9,SUMIFS(季度经营税费!$D$136:$DT$136,季度经营税费!$D$6:$DT$6,1),0)</f>
        <v>0</v>
      </c>
      <c r="F73" s="9">
        <f>IF(2&lt;=核心参数输入!$B$9,SUMIFS(季度经营税费!$D$136:$DT$136,季度经营税费!$D$6:$DT$6,2),0)</f>
        <v>0</v>
      </c>
      <c r="G73" s="9">
        <f>IF(3&lt;=核心参数输入!$B$9,SUMIFS(季度经营税费!$D$136:$DT$136,季度经营税费!$D$6:$DT$6,3),0)</f>
        <v>0</v>
      </c>
      <c r="H73" s="9">
        <f>IF(4&lt;=核心参数输入!$B$9,SUMIFS(季度经营税费!$D$136:$DT$136,季度经营税费!$D$6:$DT$6,4),0)</f>
        <v>188.07106500000003</v>
      </c>
      <c r="I73" s="9">
        <f>IF(5&lt;=核心参数输入!$B$9,SUMIFS(季度经营税费!$D$136:$DT$136,季度经营税费!$D$6:$DT$6,5),0)</f>
        <v>752.96340551250012</v>
      </c>
      <c r="J73" s="9">
        <f>IF(6&lt;=核心参数输入!$B$9,SUMIFS(季度经营税费!$D$136:$DT$136,季度经营税费!$D$6:$DT$6,6),0)</f>
        <v>1095.2568578670466</v>
      </c>
      <c r="K73" s="9">
        <f>IF(7&lt;=核心参数输入!$B$9,SUMIFS(季度经营税费!$D$136:$DT$136,季度经营税费!$D$6:$DT$6,7),0)</f>
        <v>1327.4674580276051</v>
      </c>
      <c r="L73" s="9">
        <f>IF(8&lt;=核心参数输入!$B$9,SUMIFS(季度经营税费!$D$136:$DT$136,季度经营税费!$D$6:$DT$6,8),0)</f>
        <v>1416.6891134112918</v>
      </c>
      <c r="M73" s="9">
        <f>IF(9&lt;=核心参数输入!$B$9,SUMIFS(季度经营税费!$D$136:$DT$136,季度经营税费!$D$6:$DT$6,9),0)</f>
        <v>1440.7534216391</v>
      </c>
      <c r="N73" s="9">
        <f>IF(10&lt;=核心参数输入!$B$9,SUMIFS(季度经营税费!$D$136:$DT$136,季度经营税费!$D$6:$DT$6,10),0)</f>
        <v>1462.3647229636861</v>
      </c>
      <c r="O73" s="9">
        <f>IF(11&lt;=核心参数输入!$B$9,SUMIFS(季度经营税费!$D$136:$DT$136,季度经营税费!$D$6:$DT$6,11),0)</f>
        <v>1484.3001938081413</v>
      </c>
      <c r="P73" s="9">
        <f>IF(12&lt;=核心参数输入!$B$9,SUMIFS(季度经营税费!$D$136:$DT$136,季度经营税费!$D$6:$DT$6,12),0)</f>
        <v>1506.5646967152629</v>
      </c>
      <c r="Q73" s="9">
        <f>IF(13&lt;=核心参数输入!$B$9,SUMIFS(季度经营税费!$D$136:$DT$136,季度经营税费!$D$6:$DT$6,13),0)</f>
        <v>1529.1631671659918</v>
      </c>
      <c r="R73" s="9">
        <f>IF(14&lt;=核心参数输入!$B$9,SUMIFS(季度经营税费!$D$136:$DT$136,季度经营税费!$D$6:$DT$6,14),0)</f>
        <v>1552.1006146734815</v>
      </c>
      <c r="S73" s="9">
        <f>IF(15&lt;=核心参数输入!$B$9,SUMIFS(季度经营税费!$D$136:$DT$136,季度经营税费!$D$6:$DT$6,15),0)</f>
        <v>1575.3821238935834</v>
      </c>
      <c r="T73" s="9">
        <f>IF(16&lt;=核心参数输入!$B$9,SUMIFS(季度经营税费!$D$136:$DT$136,季度经营税费!$D$6:$DT$6,16),0)</f>
        <v>1599.0128557519868</v>
      </c>
      <c r="U73" s="9">
        <f>IF(17&lt;=核心参数输入!$B$9,SUMIFS(季度经营税费!$D$136:$DT$136,季度经营税费!$D$6:$DT$6,17),0)</f>
        <v>1622.9980485882668</v>
      </c>
      <c r="V73" s="9">
        <f>IF(18&lt;=核心参数输入!$B$9,SUMIFS(季度经营税费!$D$136:$DT$136,季度经营税费!$D$6:$DT$6,18),0)</f>
        <v>1647.3430193170902</v>
      </c>
      <c r="W73" s="9">
        <f>IF(19&lt;=核心参数输入!$B$9,SUMIFS(季度经营税费!$D$136:$DT$136,季度经营税费!$D$6:$DT$6,19),0)</f>
        <v>1672.0531646068464</v>
      </c>
      <c r="X73" s="9">
        <f>IF(20&lt;=核心参数输入!$B$9,SUMIFS(季度经营税费!$D$136:$DT$136,季度经营税费!$D$6:$DT$6,20),0)</f>
        <v>1697.1339620759488</v>
      </c>
      <c r="Y73" s="9">
        <f>IF(21&lt;=核心参数输入!$B$9,SUMIFS(季度经营税费!$D$136:$DT$136,季度经营税费!$D$6:$DT$6,21),0)</f>
        <v>0</v>
      </c>
      <c r="Z73" s="9">
        <f>IF(22&lt;=核心参数输入!$B$9,SUMIFS(季度经营税费!$D$136:$DT$136,季度经营税费!$D$6:$DT$6,22),0)</f>
        <v>0</v>
      </c>
      <c r="AA73" s="9">
        <f>IF(23&lt;=核心参数输入!$B$9,SUMIFS(季度经营税费!$D$136:$DT$136,季度经营税费!$D$6:$DT$6,23),0)</f>
        <v>0</v>
      </c>
      <c r="AB73" s="9">
        <f>IF(24&lt;=核心参数输入!$B$9,SUMIFS(季度经营税费!$D$136:$DT$136,季度经营税费!$D$6:$DT$6,24),0)</f>
        <v>0</v>
      </c>
      <c r="AC73" s="9">
        <f>IF(25&lt;=核心参数输入!$B$9,SUMIFS(季度经营税费!$D$136:$DT$136,季度经营税费!$D$6:$DT$6,25),0)</f>
        <v>0</v>
      </c>
      <c r="AD73" s="9">
        <f>IF(26&lt;=核心参数输入!$B$9,SUMIFS(季度经营税费!$D$136:$DT$136,季度经营税费!$D$6:$DT$6,26),0)</f>
        <v>0</v>
      </c>
      <c r="AE73" s="9">
        <f>IF(27&lt;=核心参数输入!$B$9,SUMIFS(季度经营税费!$D$136:$DT$136,季度经营税费!$D$6:$DT$6,27),0)</f>
        <v>0</v>
      </c>
      <c r="AF73" s="9">
        <f>IF(28&lt;=核心参数输入!$B$9,SUMIFS(季度经营税费!$D$136:$DT$136,季度经营税费!$D$6:$DT$6,28),0)</f>
        <v>0</v>
      </c>
      <c r="AG73" s="9">
        <f>IF(29&lt;=核心参数输入!$B$9,SUMIFS(季度经营税费!$D$136:$DT$136,季度经营税费!$D$6:$DT$6,29),0)</f>
        <v>0</v>
      </c>
      <c r="AH73" s="9">
        <f>IF(30&lt;=核心参数输入!$B$9,SUMIFS(季度经营税费!$D$136:$DT$136,季度经营税费!$D$6:$DT$6,30),0)</f>
        <v>0</v>
      </c>
    </row>
    <row r="74" spans="1:34" ht="21" customHeight="1">
      <c r="A74" s="8" t="s">
        <v>367</v>
      </c>
      <c r="B74" s="8" t="s">
        <v>39</v>
      </c>
      <c r="C74" s="8"/>
      <c r="D74" s="9">
        <f>IF(0&lt;=核心参数输入!$B$9,SUMIFS(季度经营税费!$D$138:$DT$138,季度经营税费!$D$6:$DT$6,0),0)</f>
        <v>0</v>
      </c>
      <c r="E74" s="9">
        <f>IF(1&lt;=核心参数输入!$B$9,SUMIFS(季度经营税费!$D$138:$DT$138,季度经营税费!$D$6:$DT$6,1),0)</f>
        <v>0</v>
      </c>
      <c r="F74" s="9">
        <f>IF(2&lt;=核心参数输入!$B$9,SUMIFS(季度经营税费!$D$138:$DT$138,季度经营税费!$D$6:$DT$6,2),0)</f>
        <v>0</v>
      </c>
      <c r="G74" s="9">
        <f>IF(3&lt;=核心参数输入!$B$9,SUMIFS(季度经营税费!$D$138:$DT$138,季度经营税费!$D$6:$DT$6,3),0)</f>
        <v>0</v>
      </c>
      <c r="H74" s="9">
        <f>IF(4&lt;=核心参数输入!$B$9,SUMIFS(季度经营税费!$D$138:$DT$138,季度经营税费!$D$6:$DT$6,4),0)</f>
        <v>9.4035532500000016</v>
      </c>
      <c r="I74" s="9">
        <f>IF(5&lt;=核心参数输入!$B$9,SUMIFS(季度经营税费!$D$138:$DT$138,季度经营税费!$D$6:$DT$6,5),0)</f>
        <v>37.648170275624999</v>
      </c>
      <c r="J74" s="9">
        <f>IF(6&lt;=核心参数输入!$B$9,SUMIFS(季度经营税费!$D$138:$DT$138,季度经营税费!$D$6:$DT$6,6),0)</f>
        <v>54.762842893352328</v>
      </c>
      <c r="K74" s="9">
        <f>IF(7&lt;=核心参数输入!$B$9,SUMIFS(季度经营税费!$D$138:$DT$138,季度经营税费!$D$6:$DT$6,7),0)</f>
        <v>66.37337290138025</v>
      </c>
      <c r="L74" s="9">
        <f>IF(8&lt;=核心参数输入!$B$9,SUMIFS(季度经营税费!$D$138:$DT$138,季度经营税费!$D$6:$DT$6,8),0)</f>
        <v>70.834455670564594</v>
      </c>
      <c r="M74" s="9">
        <f>IF(9&lt;=核心参数输入!$B$9,SUMIFS(季度经营税费!$D$138:$DT$138,季度经营税费!$D$6:$DT$6,9),0)</f>
        <v>72.037671081954997</v>
      </c>
      <c r="N74" s="9">
        <f>IF(10&lt;=核心参数输入!$B$9,SUMIFS(季度经营税费!$D$138:$DT$138,季度经营税费!$D$6:$DT$6,10),0)</f>
        <v>73.118236148184309</v>
      </c>
      <c r="O74" s="9">
        <f>IF(11&lt;=核心参数输入!$B$9,SUMIFS(季度经营税费!$D$138:$DT$138,季度经营税费!$D$6:$DT$6,11),0)</f>
        <v>74.215009690407072</v>
      </c>
      <c r="P74" s="9">
        <f>IF(12&lt;=核心参数输入!$B$9,SUMIFS(季度经营税费!$D$138:$DT$138,季度经营税费!$D$6:$DT$6,12),0)</f>
        <v>75.328234835763155</v>
      </c>
      <c r="Q74" s="9">
        <f>IF(13&lt;=核心参数输入!$B$9,SUMIFS(季度经营税费!$D$138:$DT$138,季度经营税费!$D$6:$DT$6,13),0)</f>
        <v>76.458158358299599</v>
      </c>
      <c r="R74" s="9">
        <f>IF(14&lt;=核心参数输入!$B$9,SUMIFS(季度经营税费!$D$138:$DT$138,季度经营税费!$D$6:$DT$6,14),0)</f>
        <v>77.605030733674084</v>
      </c>
      <c r="S74" s="9">
        <f>IF(15&lt;=核心参数输入!$B$9,SUMIFS(季度经营税费!$D$138:$DT$138,季度经营税费!$D$6:$DT$6,15),0)</f>
        <v>78.769106194679182</v>
      </c>
      <c r="T74" s="9">
        <f>IF(16&lt;=核心参数输入!$B$9,SUMIFS(季度经营税费!$D$138:$DT$138,季度经营税费!$D$6:$DT$6,16),0)</f>
        <v>79.95064278759935</v>
      </c>
      <c r="U74" s="9">
        <f>IF(17&lt;=核心参数输入!$B$9,SUMIFS(季度经营税费!$D$138:$DT$138,季度经营税费!$D$6:$DT$6,17),0)</f>
        <v>81.149902429413345</v>
      </c>
      <c r="V74" s="9">
        <f>IF(18&lt;=核心参数输入!$B$9,SUMIFS(季度经营税费!$D$138:$DT$138,季度经营税费!$D$6:$DT$6,18),0)</f>
        <v>82.36715096585452</v>
      </c>
      <c r="W74" s="9">
        <f>IF(19&lt;=核心参数输入!$B$9,SUMIFS(季度经营税费!$D$138:$DT$138,季度经营税费!$D$6:$DT$6,19),0)</f>
        <v>83.602658230342328</v>
      </c>
      <c r="X74" s="9">
        <f>IF(20&lt;=核心参数输入!$B$9,SUMIFS(季度经营税费!$D$138:$DT$138,季度经营税费!$D$6:$DT$6,20),0)</f>
        <v>84.856698103797441</v>
      </c>
      <c r="Y74" s="9">
        <f>IF(21&lt;=核心参数输入!$B$9,SUMIFS(季度经营税费!$D$138:$DT$138,季度经营税费!$D$6:$DT$6,21),0)</f>
        <v>0</v>
      </c>
      <c r="Z74" s="9">
        <f>IF(22&lt;=核心参数输入!$B$9,SUMIFS(季度经营税费!$D$138:$DT$138,季度经营税费!$D$6:$DT$6,22),0)</f>
        <v>0</v>
      </c>
      <c r="AA74" s="9">
        <f>IF(23&lt;=核心参数输入!$B$9,SUMIFS(季度经营税费!$D$138:$DT$138,季度经营税费!$D$6:$DT$6,23),0)</f>
        <v>0</v>
      </c>
      <c r="AB74" s="9">
        <f>IF(24&lt;=核心参数输入!$B$9,SUMIFS(季度经营税费!$D$138:$DT$138,季度经营税费!$D$6:$DT$6,24),0)</f>
        <v>0</v>
      </c>
      <c r="AC74" s="9">
        <f>IF(25&lt;=核心参数输入!$B$9,SUMIFS(季度经营税费!$D$138:$DT$138,季度经营税费!$D$6:$DT$6,25),0)</f>
        <v>0</v>
      </c>
      <c r="AD74" s="9">
        <f>IF(26&lt;=核心参数输入!$B$9,SUMIFS(季度经营税费!$D$138:$DT$138,季度经营税费!$D$6:$DT$6,26),0)</f>
        <v>0</v>
      </c>
      <c r="AE74" s="9">
        <f>IF(27&lt;=核心参数输入!$B$9,SUMIFS(季度经营税费!$D$138:$DT$138,季度经营税费!$D$6:$DT$6,27),0)</f>
        <v>0</v>
      </c>
      <c r="AF74" s="9">
        <f>IF(28&lt;=核心参数输入!$B$9,SUMIFS(季度经营税费!$D$138:$DT$138,季度经营税费!$D$6:$DT$6,28),0)</f>
        <v>0</v>
      </c>
      <c r="AG74" s="9">
        <f>IF(29&lt;=核心参数输入!$B$9,SUMIFS(季度经营税费!$D$138:$DT$138,季度经营税费!$D$6:$DT$6,29),0)</f>
        <v>0</v>
      </c>
      <c r="AH74" s="9">
        <f>IF(30&lt;=核心参数输入!$B$9,SUMIFS(季度经营税费!$D$138:$DT$138,季度经营税费!$D$6:$DT$6,30),0)</f>
        <v>0</v>
      </c>
    </row>
    <row r="75" spans="1:34" ht="21" customHeight="1">
      <c r="A75" s="8" t="s">
        <v>368</v>
      </c>
      <c r="B75" s="8" t="s">
        <v>39</v>
      </c>
      <c r="C75" s="8"/>
      <c r="D75" s="9">
        <f>IF(0&lt;=核心参数输入!$B$9,SUMIFS(季度经营税费!$D$179:$DT$179,季度经营税费!$D$6:$DT$6,0),0)</f>
        <v>0</v>
      </c>
      <c r="E75" s="9">
        <f>IF(1&lt;=核心参数输入!$B$9,SUMIFS(季度经营税费!$D$179:$DT$179,季度经营税费!$D$6:$DT$6,1),0)</f>
        <v>0</v>
      </c>
      <c r="F75" s="9">
        <f>IF(2&lt;=核心参数输入!$B$9,SUMIFS(季度经营税费!$D$179:$DT$179,季度经营税费!$D$6:$DT$6,2),0)</f>
        <v>0</v>
      </c>
      <c r="G75" s="9">
        <f>IF(3&lt;=核心参数输入!$B$9,SUMIFS(季度经营税费!$D$179:$DT$179,季度经营税费!$D$6:$DT$6,3),0)</f>
        <v>0</v>
      </c>
      <c r="H75" s="9">
        <f>IF(4&lt;=核心参数输入!$B$9,SUMIFS(季度经营税费!$D$179:$DT$179,季度经营税费!$D$6:$DT$6,4),0)</f>
        <v>1884.0175973849998</v>
      </c>
      <c r="I75" s="9">
        <f>IF(5&lt;=核心参数输入!$B$9,SUMIFS(季度经营税费!$D$179:$DT$179,季度经营税费!$D$6:$DT$6,5),0)</f>
        <v>2453.5545796486122</v>
      </c>
      <c r="J75" s="9">
        <f>IF(6&lt;=核心参数输入!$B$9,SUMIFS(季度经营税费!$D$179:$DT$179,季度经营税费!$D$6:$DT$6,6),0)</f>
        <v>2068.7065519832395</v>
      </c>
      <c r="K75" s="9">
        <f>IF(7&lt;=核心参数输入!$B$9,SUMIFS(季度经营税费!$D$179:$DT$179,季度经营税费!$D$6:$DT$6,7),0)</f>
        <v>750.87921992398572</v>
      </c>
      <c r="L75" s="9">
        <f>IF(8&lt;=核心参数输入!$B$9,SUMIFS(季度经营税费!$D$179:$DT$179,季度经营税费!$D$6:$DT$6,8),0)</f>
        <v>774.2186117980948</v>
      </c>
      <c r="M75" s="9">
        <f>IF(9&lt;=核心参数输入!$B$9,SUMIFS(季度经营税费!$D$179:$DT$179,季度经营税费!$D$6:$DT$6,9),0)</f>
        <v>785.29082551302133</v>
      </c>
      <c r="N75" s="9">
        <f>IF(10&lt;=核心参数输入!$B$9,SUMIFS(季度经营税费!$D$179:$DT$179,季度经营税费!$D$6:$DT$6,10),0)</f>
        <v>796.02630910051653</v>
      </c>
      <c r="O75" s="9">
        <f>IF(11&lt;=核心参数输入!$B$9,SUMIFS(季度经营税费!$D$179:$DT$179,季度经营税费!$D$6:$DT$6,11),0)</f>
        <v>806.95594736592034</v>
      </c>
      <c r="P75" s="9">
        <f>IF(12&lt;=核心参数输入!$B$9,SUMIFS(季度经营税费!$D$179:$DT$179,季度经营税费!$D$6:$DT$6,12),0)</f>
        <v>818.08331507788307</v>
      </c>
      <c r="Q75" s="9">
        <f>IF(13&lt;=核心参数输入!$B$9,SUMIFS(季度经营税费!$D$179:$DT$179,季度经营税费!$D$6:$DT$6,13),0)</f>
        <v>829.41205387555465</v>
      </c>
      <c r="R75" s="9">
        <f>IF(14&lt;=核心参数输入!$B$9,SUMIFS(季度经营税费!$D$179:$DT$179,季度经营税费!$D$6:$DT$6,14),0)</f>
        <v>840.94587353662132</v>
      </c>
      <c r="S75" s="9">
        <f>IF(15&lt;=核心参数输入!$B$9,SUMIFS(季度经营税费!$D$179:$DT$179,季度经营税费!$D$6:$DT$6,15),0)</f>
        <v>852.68855326966275</v>
      </c>
      <c r="T75" s="9">
        <f>IF(16&lt;=核心参数输入!$B$9,SUMIFS(季度经营税费!$D$179:$DT$179,季度经营税费!$D$6:$DT$6,16),0)</f>
        <v>864.6439430312995</v>
      </c>
      <c r="U75" s="9">
        <f>IF(17&lt;=核心参数输入!$B$9,SUMIFS(季度经营税费!$D$179:$DT$179,季度经营税费!$D$6:$DT$6,17),0)</f>
        <v>876.81596486861292</v>
      </c>
      <c r="V75" s="9">
        <f>IF(18&lt;=核心参数输入!$B$9,SUMIFS(季度经营税费!$D$179:$DT$179,季度经营税费!$D$6:$DT$6,18),0)</f>
        <v>889.2086142873228</v>
      </c>
      <c r="W75" s="9">
        <f>IF(19&lt;=核心参数输入!$B$9,SUMIFS(季度经营税费!$D$179:$DT$179,季度经营税费!$D$6:$DT$6,19),0)</f>
        <v>901.8259616462268</v>
      </c>
      <c r="X75" s="9">
        <f>IF(20&lt;=核心参数输入!$B$9,SUMIFS(季度经营税费!$D$179:$DT$179,季度经营税费!$D$6:$DT$6,20),0)</f>
        <v>914.67215357840632</v>
      </c>
      <c r="Y75" s="9">
        <f>IF(21&lt;=核心参数输入!$B$9,SUMIFS(季度经营税费!$D$179:$DT$179,季度经营税费!$D$6:$DT$6,21),0)</f>
        <v>0</v>
      </c>
      <c r="Z75" s="9">
        <f>IF(22&lt;=核心参数输入!$B$9,SUMIFS(季度经营税费!$D$179:$DT$179,季度经营税费!$D$6:$DT$6,22),0)</f>
        <v>0</v>
      </c>
      <c r="AA75" s="9">
        <f>IF(23&lt;=核心参数输入!$B$9,SUMIFS(季度经营税费!$D$179:$DT$179,季度经营税费!$D$6:$DT$6,23),0)</f>
        <v>0</v>
      </c>
      <c r="AB75" s="9">
        <f>IF(24&lt;=核心参数输入!$B$9,SUMIFS(季度经营税费!$D$179:$DT$179,季度经营税费!$D$6:$DT$6,24),0)</f>
        <v>0</v>
      </c>
      <c r="AC75" s="9">
        <f>IF(25&lt;=核心参数输入!$B$9,SUMIFS(季度经营税费!$D$179:$DT$179,季度经营税费!$D$6:$DT$6,25),0)</f>
        <v>0</v>
      </c>
      <c r="AD75" s="9">
        <f>IF(26&lt;=核心参数输入!$B$9,SUMIFS(季度经营税费!$D$179:$DT$179,季度经营税费!$D$6:$DT$6,26),0)</f>
        <v>0</v>
      </c>
      <c r="AE75" s="9">
        <f>IF(27&lt;=核心参数输入!$B$9,SUMIFS(季度经营税费!$D$179:$DT$179,季度经营税费!$D$6:$DT$6,27),0)</f>
        <v>0</v>
      </c>
      <c r="AF75" s="9">
        <f>IF(28&lt;=核心参数输入!$B$9,SUMIFS(季度经营税费!$D$179:$DT$179,季度经营税费!$D$6:$DT$6,28),0)</f>
        <v>0</v>
      </c>
      <c r="AG75" s="9">
        <f>IF(29&lt;=核心参数输入!$B$9,SUMIFS(季度经营税费!$D$179:$DT$179,季度经营税费!$D$6:$DT$6,29),0)</f>
        <v>0</v>
      </c>
      <c r="AH75" s="9">
        <f>IF(30&lt;=核心参数输入!$B$9,SUMIFS(季度经营税费!$D$179:$DT$179,季度经营税费!$D$6:$DT$6,30),0)</f>
        <v>0</v>
      </c>
    </row>
    <row r="76" spans="1:34" ht="21" customHeight="1">
      <c r="A76" s="8" t="s">
        <v>369</v>
      </c>
      <c r="B76" s="8" t="s">
        <v>39</v>
      </c>
      <c r="C76" s="8"/>
      <c r="D76" s="9">
        <f>IF(0&lt;=核心参数输入!$B$9,IF(核心参数输入!$B$64=1,SUMIFS(季度经营税费!$D$175:$DT$175,季度经营税费!$D$6:$DT$6,0),SUMIFS(季度经营税费!$D$174:$DT$174,季度经营税费!$D$6:$DT$6,0)),0)</f>
        <v>0</v>
      </c>
      <c r="E76" s="9">
        <f>IF(1&lt;=核心参数输入!$B$9,IF(核心参数输入!$B$64=1,SUMIFS(季度经营税费!$D$175:$DT$175,季度经营税费!$D$6:$DT$6,1),SUMIFS(季度经营税费!$D$174:$DT$174,季度经营税费!$D$6:$DT$6,1)),0)</f>
        <v>0</v>
      </c>
      <c r="F76" s="9">
        <f>IF(2&lt;=核心参数输入!$B$9,IF(核心参数输入!$B$64=1,SUMIFS(季度经营税费!$D$175:$DT$175,季度经营税费!$D$6:$DT$6,2),SUMIFS(季度经营税费!$D$174:$DT$174,季度经营税费!$D$6:$DT$6,2)),0)</f>
        <v>0</v>
      </c>
      <c r="G76" s="9">
        <f>IF(3&lt;=核心参数输入!$B$9,IF(核心参数输入!$B$64=1,SUMIFS(季度经营税费!$D$175:$DT$175,季度经营税费!$D$6:$DT$6,3),SUMIFS(季度经营税费!$D$174:$DT$174,季度经营税费!$D$6:$DT$6,3)),0)</f>
        <v>0</v>
      </c>
      <c r="H76" s="9">
        <f>IF(4&lt;=核心参数输入!$B$9,IF(核心参数输入!$B$64=1,SUMIFS(季度经营税费!$D$175:$DT$175,季度经营税费!$D$6:$DT$6,4),SUMIFS(季度经营税费!$D$174:$DT$174,季度经营税费!$D$6:$DT$6,4)),0)</f>
        <v>0</v>
      </c>
      <c r="I76" s="9">
        <f>IF(5&lt;=核心参数输入!$B$9,IF(核心参数输入!$B$64=1,SUMIFS(季度经营税费!$D$175:$DT$175,季度经营税费!$D$6:$DT$6,5),SUMIFS(季度经营税费!$D$174:$DT$174,季度经营税费!$D$6:$DT$6,5)),0)</f>
        <v>0</v>
      </c>
      <c r="J76" s="9">
        <f>IF(6&lt;=核心参数输入!$B$9,IF(核心参数输入!$B$64=1,SUMIFS(季度经营税费!$D$175:$DT$175,季度经营税费!$D$6:$DT$6,6),SUMIFS(季度经营税费!$D$174:$DT$174,季度经营税费!$D$6:$DT$6,6)),0)</f>
        <v>0</v>
      </c>
      <c r="K76" s="9">
        <f>IF(7&lt;=核心参数输入!$B$9,IF(核心参数输入!$B$64=1,SUMIFS(季度经营税费!$D$175:$DT$175,季度经营税费!$D$6:$DT$6,7),SUMIFS(季度经营税费!$D$174:$DT$174,季度经营税费!$D$6:$DT$6,7)),0)</f>
        <v>0</v>
      </c>
      <c r="L76" s="9">
        <f>IF(8&lt;=核心参数输入!$B$9,IF(核心参数输入!$B$64=1,SUMIFS(季度经营税费!$D$175:$DT$175,季度经营税费!$D$6:$DT$6,8),SUMIFS(季度经营税费!$D$174:$DT$174,季度经营税费!$D$6:$DT$6,8)),0)</f>
        <v>0</v>
      </c>
      <c r="M76" s="9">
        <f>IF(9&lt;=核心参数输入!$B$9,IF(核心参数输入!$B$64=1,SUMIFS(季度经营税费!$D$175:$DT$175,季度经营税费!$D$6:$DT$6,9),SUMIFS(季度经营税费!$D$174:$DT$174,季度经营税费!$D$6:$DT$6,9)),0)</f>
        <v>0</v>
      </c>
      <c r="N76" s="9">
        <f>IF(10&lt;=核心参数输入!$B$9,IF(核心参数输入!$B$64=1,SUMIFS(季度经营税费!$D$175:$DT$175,季度经营税费!$D$6:$DT$6,10),SUMIFS(季度经营税费!$D$174:$DT$174,季度经营税费!$D$6:$DT$6,10)),0)</f>
        <v>0</v>
      </c>
      <c r="O76" s="9">
        <f>IF(11&lt;=核心参数输入!$B$9,IF(核心参数输入!$B$64=1,SUMIFS(季度经营税费!$D$175:$DT$175,季度经营税费!$D$6:$DT$6,11),SUMIFS(季度经营税费!$D$174:$DT$174,季度经营税费!$D$6:$DT$6,11)),0)</f>
        <v>0</v>
      </c>
      <c r="P76" s="9">
        <f>IF(12&lt;=核心参数输入!$B$9,IF(核心参数输入!$B$64=1,SUMIFS(季度经营税费!$D$175:$DT$175,季度经营税费!$D$6:$DT$6,12),SUMIFS(季度经营税费!$D$174:$DT$174,季度经营税费!$D$6:$DT$6,12)),0)</f>
        <v>0</v>
      </c>
      <c r="Q76" s="9">
        <f>IF(13&lt;=核心参数输入!$B$9,IF(核心参数输入!$B$64=1,SUMIFS(季度经营税费!$D$175:$DT$175,季度经营税费!$D$6:$DT$6,13),SUMIFS(季度经营税费!$D$174:$DT$174,季度经营税费!$D$6:$DT$6,13)),0)</f>
        <v>0</v>
      </c>
      <c r="R76" s="9">
        <f>IF(14&lt;=核心参数输入!$B$9,IF(核心参数输入!$B$64=1,SUMIFS(季度经营税费!$D$175:$DT$175,季度经营税费!$D$6:$DT$6,14),SUMIFS(季度经营税费!$D$174:$DT$174,季度经营税费!$D$6:$DT$6,14)),0)</f>
        <v>0</v>
      </c>
      <c r="S76" s="9">
        <f>IF(15&lt;=核心参数输入!$B$9,IF(核心参数输入!$B$64=1,SUMIFS(季度经营税费!$D$175:$DT$175,季度经营税费!$D$6:$DT$6,15),SUMIFS(季度经营税费!$D$174:$DT$174,季度经营税费!$D$6:$DT$6,15)),0)</f>
        <v>0</v>
      </c>
      <c r="T76" s="9">
        <f>IF(16&lt;=核心参数输入!$B$9,IF(核心参数输入!$B$64=1,SUMIFS(季度经营税费!$D$175:$DT$175,季度经营税费!$D$6:$DT$6,16),SUMIFS(季度经营税费!$D$174:$DT$174,季度经营税费!$D$6:$DT$6,16)),0)</f>
        <v>0</v>
      </c>
      <c r="U76" s="9">
        <f>IF(17&lt;=核心参数输入!$B$9,IF(核心参数输入!$B$64=1,SUMIFS(季度经营税费!$D$175:$DT$175,季度经营税费!$D$6:$DT$6,17),SUMIFS(季度经营税费!$D$174:$DT$174,季度经营税费!$D$6:$DT$6,17)),0)</f>
        <v>0</v>
      </c>
      <c r="V76" s="9">
        <f>IF(18&lt;=核心参数输入!$B$9,IF(核心参数输入!$B$64=1,SUMIFS(季度经营税费!$D$175:$DT$175,季度经营税费!$D$6:$DT$6,18),SUMIFS(季度经营税费!$D$174:$DT$174,季度经营税费!$D$6:$DT$6,18)),0)</f>
        <v>0</v>
      </c>
      <c r="W76" s="9">
        <f>IF(19&lt;=核心参数输入!$B$9,IF(核心参数输入!$B$64=1,SUMIFS(季度经营税费!$D$175:$DT$175,季度经营税费!$D$6:$DT$6,19),SUMIFS(季度经营税费!$D$174:$DT$174,季度经营税费!$D$6:$DT$6,19)),0)</f>
        <v>0</v>
      </c>
      <c r="X76" s="9">
        <f>IF(20&lt;=核心参数输入!$B$9,IF(核心参数输入!$B$64=1,SUMIFS(季度经营税费!$D$175:$DT$175,季度经营税费!$D$6:$DT$6,20),SUMIFS(季度经营税费!$D$174:$DT$174,季度经营税费!$D$6:$DT$6,20)),0)</f>
        <v>0</v>
      </c>
      <c r="Y76" s="9">
        <f>IF(21&lt;=核心参数输入!$B$9,IF(核心参数输入!$B$64=1,SUMIFS(季度经营税费!$D$175:$DT$175,季度经营税费!$D$6:$DT$6,21),SUMIFS(季度经营税费!$D$174:$DT$174,季度经营税费!$D$6:$DT$6,21)),0)</f>
        <v>0</v>
      </c>
      <c r="Z76" s="9">
        <f>IF(22&lt;=核心参数输入!$B$9,IF(核心参数输入!$B$64=1,SUMIFS(季度经营税费!$D$175:$DT$175,季度经营税费!$D$6:$DT$6,22),SUMIFS(季度经营税费!$D$174:$DT$174,季度经营税费!$D$6:$DT$6,22)),0)</f>
        <v>0</v>
      </c>
      <c r="AA76" s="9">
        <f>IF(23&lt;=核心参数输入!$B$9,IF(核心参数输入!$B$64=1,SUMIFS(季度经营税费!$D$175:$DT$175,季度经营税费!$D$6:$DT$6,23),SUMIFS(季度经营税费!$D$174:$DT$174,季度经营税费!$D$6:$DT$6,23)),0)</f>
        <v>0</v>
      </c>
      <c r="AB76" s="9">
        <f>IF(24&lt;=核心参数输入!$B$9,IF(核心参数输入!$B$64=1,SUMIFS(季度经营税费!$D$175:$DT$175,季度经营税费!$D$6:$DT$6,24),SUMIFS(季度经营税费!$D$174:$DT$174,季度经营税费!$D$6:$DT$6,24)),0)</f>
        <v>0</v>
      </c>
      <c r="AC76" s="9">
        <f>IF(25&lt;=核心参数输入!$B$9,IF(核心参数输入!$B$64=1,SUMIFS(季度经营税费!$D$175:$DT$175,季度经营税费!$D$6:$DT$6,25),SUMIFS(季度经营税费!$D$174:$DT$174,季度经营税费!$D$6:$DT$6,25)),0)</f>
        <v>0</v>
      </c>
      <c r="AD76" s="9">
        <f>IF(26&lt;=核心参数输入!$B$9,IF(核心参数输入!$B$64=1,SUMIFS(季度经营税费!$D$175:$DT$175,季度经营税费!$D$6:$DT$6,26),SUMIFS(季度经营税费!$D$174:$DT$174,季度经营税费!$D$6:$DT$6,26)),0)</f>
        <v>0</v>
      </c>
      <c r="AE76" s="9">
        <f>IF(27&lt;=核心参数输入!$B$9,IF(核心参数输入!$B$64=1,SUMIFS(季度经营税费!$D$175:$DT$175,季度经营税费!$D$6:$DT$6,27),SUMIFS(季度经营税费!$D$174:$DT$174,季度经营税费!$D$6:$DT$6,27)),0)</f>
        <v>0</v>
      </c>
      <c r="AF76" s="9">
        <f>IF(28&lt;=核心参数输入!$B$9,IF(核心参数输入!$B$64=1,SUMIFS(季度经营税费!$D$175:$DT$175,季度经营税费!$D$6:$DT$6,28),SUMIFS(季度经营税费!$D$174:$DT$174,季度经营税费!$D$6:$DT$6,28)),0)</f>
        <v>0</v>
      </c>
      <c r="AG76" s="9">
        <f>IF(29&lt;=核心参数输入!$B$9,IF(核心参数输入!$B$64=1,SUMIFS(季度经营税费!$D$175:$DT$175,季度经营税费!$D$6:$DT$6,29),SUMIFS(季度经营税费!$D$174:$DT$174,季度经营税费!$D$6:$DT$6,29)),0)</f>
        <v>0</v>
      </c>
      <c r="AH76" s="9">
        <f>IF(30&lt;=核心参数输入!$B$9,IF(核心参数输入!$B$64=1,SUMIFS(季度经营税费!$D$175:$DT$175,季度经营税费!$D$6:$DT$6,30),SUMIFS(季度经营税费!$D$174:$DT$174,季度经营税费!$D$6:$DT$6,30)),0)</f>
        <v>0</v>
      </c>
    </row>
    <row r="77" spans="1:34" ht="21" customHeight="1">
      <c r="A77" s="8" t="s">
        <v>370</v>
      </c>
      <c r="B77" s="8" t="s">
        <v>39</v>
      </c>
      <c r="C77" s="8"/>
      <c r="D77" s="9">
        <f>IF(0&lt;=核心参数输入!$B$9,IF(核心参数输入!$B$64=1,SUMIFS(季度经营税费!$D$177:$DT$177,季度经营税费!$D$6:$DT$6,0),SUMIFS(季度经营税费!$D$176:$DT$176,季度经营税费!$D$6:$DT$6,0)),0)</f>
        <v>0</v>
      </c>
      <c r="E77" s="9">
        <f>IF(1&lt;=核心参数输入!$B$9,IF(核心参数输入!$B$64=1,SUMIFS(季度经营税费!$D$177:$DT$177,季度经营税费!$D$6:$DT$6,1),SUMIFS(季度经营税费!$D$176:$DT$176,季度经营税费!$D$6:$DT$6,1)),0)</f>
        <v>0</v>
      </c>
      <c r="F77" s="9">
        <f>IF(2&lt;=核心参数输入!$B$9,IF(核心参数输入!$B$64=1,SUMIFS(季度经营税费!$D$177:$DT$177,季度经营税费!$D$6:$DT$6,2),SUMIFS(季度经营税费!$D$176:$DT$176,季度经营税费!$D$6:$DT$6,2)),0)</f>
        <v>0</v>
      </c>
      <c r="G77" s="9">
        <f>IF(3&lt;=核心参数输入!$B$9,IF(核心参数输入!$B$64=1,SUMIFS(季度经营税费!$D$177:$DT$177,季度经营税费!$D$6:$DT$6,3),SUMIFS(季度经营税费!$D$176:$DT$176,季度经营税费!$D$6:$DT$6,3)),0)</f>
        <v>0</v>
      </c>
      <c r="H77" s="9">
        <f>IF(4&lt;=核心参数输入!$B$9,IF(核心参数输入!$B$64=1,SUMIFS(季度经营税费!$D$177:$DT$177,季度经营税费!$D$6:$DT$6,4),SUMIFS(季度经营税费!$D$176:$DT$176,季度经营税费!$D$6:$DT$6,4)),0)</f>
        <v>-2058.4514791350011</v>
      </c>
      <c r="I77" s="9">
        <f>IF(5&lt;=核心参数输入!$B$9,IF(核心参数输入!$B$64=1,SUMIFS(季度经营税费!$D$177:$DT$177,季度经营税费!$D$6:$DT$6,5),SUMIFS(季度经营税费!$D$176:$DT$176,季度经营税费!$D$6:$DT$6,5)),0)</f>
        <v>-1256.8365038604893</v>
      </c>
      <c r="J77" s="9">
        <f>IF(6&lt;=核心参数输入!$B$9,IF(核心参数输入!$B$64=1,SUMIFS(季度经营税费!$D$177:$DT$177,季度经营税费!$D$6:$DT$6,6),SUMIFS(季度经营税费!$D$176:$DT$176,季度经营税费!$D$6:$DT$6,6)),0)</f>
        <v>-930.59535122284274</v>
      </c>
      <c r="K77" s="9">
        <f>IF(7&lt;=核心参数输入!$B$9,IF(核心参数输入!$B$64=1,SUMIFS(季度经营税费!$D$177:$DT$177,季度经营税费!$D$6:$DT$6,7),SUMIFS(季度经营税费!$D$176:$DT$176,季度经营税费!$D$6:$DT$6,7)),0)</f>
        <v>-982.99188899500029</v>
      </c>
      <c r="L77" s="9">
        <f>IF(8&lt;=核心参数输入!$B$9,IF(核心参数输入!$B$64=1,SUMIFS(季度经营税费!$D$177:$DT$177,季度经营税费!$D$6:$DT$6,8),SUMIFS(季度经营税费!$D$176:$DT$176,季度经营税费!$D$6:$DT$6,8)),0)</f>
        <v>-732.64854271623824</v>
      </c>
      <c r="M77" s="9">
        <f>IF(9&lt;=核心参数输入!$B$9,IF(核心参数输入!$B$64=1,SUMIFS(季度经营税费!$D$177:$DT$177,季度经营税费!$D$6:$DT$6,9),SUMIFS(季度经营税费!$D$176:$DT$176,季度经营税费!$D$6:$DT$6,9)),0)</f>
        <v>-538.453232791966</v>
      </c>
      <c r="N77" s="9">
        <f>IF(10&lt;=核心参数输入!$B$9,IF(核心参数输入!$B$64=1,SUMIFS(季度经营税费!$D$177:$DT$177,季度经营税费!$D$6:$DT$6,10),SUMIFS(季度经营税费!$D$176:$DT$176,季度经营税费!$D$6:$DT$6,10)),0)</f>
        <v>-346.49684998864586</v>
      </c>
      <c r="O77" s="9">
        <f>IF(11&lt;=核心参数输入!$B$9,IF(核心参数输入!$B$64=1,SUMIFS(季度经营税费!$D$177:$DT$177,季度经营税费!$D$6:$DT$6,11),SUMIFS(季度经营税费!$D$176:$DT$176,季度经营税费!$D$6:$DT$6,11)),0)</f>
        <v>-176.89424386737187</v>
      </c>
      <c r="P77" s="9">
        <f>IF(12&lt;=核心参数输入!$B$9,IF(核心参数输入!$B$64=1,SUMIFS(季度经营税费!$D$177:$DT$177,季度经营税费!$D$6:$DT$6,12),SUMIFS(季度经营税费!$D$176:$DT$176,季度经营税费!$D$6:$DT$6,12)),0)</f>
        <v>-164.64388352685683</v>
      </c>
      <c r="Q77" s="9">
        <f>IF(13&lt;=核心参数输入!$B$9,IF(核心参数输入!$B$64=1,SUMIFS(季度经营税费!$D$177:$DT$177,季度经营税费!$D$6:$DT$6,13),SUMIFS(季度经营税费!$D$176:$DT$176,季度经营税费!$D$6:$DT$6,13)),0)</f>
        <v>-152.24422835126299</v>
      </c>
      <c r="R77" s="9">
        <f>IF(14&lt;=核心参数输入!$B$9,IF(核心参数输入!$B$64=1,SUMIFS(季度经营税费!$D$177:$DT$177,季度经营税费!$D$6:$DT$6,14),SUMIFS(季度经营税费!$D$176:$DT$176,季度经营税费!$D$6:$DT$6,14)),0)</f>
        <v>-139.69372812946563</v>
      </c>
      <c r="S77" s="9">
        <f>IF(15&lt;=核心参数输入!$B$9,IF(核心参数输入!$B$64=1,SUMIFS(季度经营税费!$D$177:$DT$177,季度经营税费!$D$6:$DT$6,15),SUMIFS(季度经营税费!$D$176:$DT$176,季度经营税费!$D$6:$DT$6,15)),0)</f>
        <v>-126.99082318140015</v>
      </c>
      <c r="T77" s="9">
        <f>IF(16&lt;=核心参数输入!$B$9,IF(核心参数输入!$B$64=1,SUMIFS(季度经营税费!$D$177:$DT$177,季度经营税费!$D$6:$DT$6,16),SUMIFS(季度经营税费!$D$176:$DT$176,季度经营税费!$D$6:$DT$6,16)),0)</f>
        <v>-114.13394449171332</v>
      </c>
      <c r="U77" s="9">
        <f>IF(17&lt;=核心参数输入!$B$9,IF(核心参数输入!$B$64=1,SUMIFS(季度经营税费!$D$177:$DT$177,季度经营税费!$D$6:$DT$6,17),SUMIFS(季度经营税费!$D$176:$DT$176,季度经营税费!$D$6:$DT$6,17)),0)</f>
        <v>-101.12151385093264</v>
      </c>
      <c r="V77" s="9">
        <f>IF(18&lt;=核心参数输入!$B$9,IF(核心参数输入!$B$64=1,SUMIFS(季度经营税费!$D$177:$DT$177,季度经营税费!$D$6:$DT$6,18),SUMIFS(季度经营税费!$D$176:$DT$176,季度经营税费!$D$6:$DT$6,18)),0)</f>
        <v>-87.951944004377907</v>
      </c>
      <c r="W77" s="9">
        <f>IF(19&lt;=核心参数输入!$B$9,IF(核心参数输入!$B$64=1,SUMIFS(季度经营税费!$D$177:$DT$177,季度经营税费!$D$6:$DT$6,19),SUMIFS(季度经营税费!$D$176:$DT$176,季度经营税费!$D$6:$DT$6,19)),0)</f>
        <v>-74.623638809037942</v>
      </c>
      <c r="X77" s="9">
        <f>IF(20&lt;=核心参数输入!$B$9,IF(核心参数输入!$B$64=1,SUMIFS(季度经营税费!$D$177:$DT$177,季度经营税费!$D$6:$DT$6,20),SUMIFS(季度经营税费!$D$176:$DT$176,季度经营税费!$D$6:$DT$6,20)),0)</f>
        <v>-61.13499339865978</v>
      </c>
      <c r="Y77" s="9">
        <f>IF(21&lt;=核心参数输入!$B$9,IF(核心参数输入!$B$64=1,SUMIFS(季度经营税费!$D$177:$DT$177,季度经营税费!$D$6:$DT$6,21),SUMIFS(季度经营税费!$D$176:$DT$176,季度经营税费!$D$6:$DT$6,21)),0)</f>
        <v>0</v>
      </c>
      <c r="Z77" s="9">
        <f>IF(22&lt;=核心参数输入!$B$9,IF(核心参数输入!$B$64=1,SUMIFS(季度经营税费!$D$177:$DT$177,季度经营税费!$D$6:$DT$6,22),SUMIFS(季度经营税费!$D$176:$DT$176,季度经营税费!$D$6:$DT$6,22)),0)</f>
        <v>0</v>
      </c>
      <c r="AA77" s="9">
        <f>IF(23&lt;=核心参数输入!$B$9,IF(核心参数输入!$B$64=1,SUMIFS(季度经营税费!$D$177:$DT$177,季度经营税费!$D$6:$DT$6,23),SUMIFS(季度经营税费!$D$176:$DT$176,季度经营税费!$D$6:$DT$6,23)),0)</f>
        <v>0</v>
      </c>
      <c r="AB77" s="9">
        <f>IF(24&lt;=核心参数输入!$B$9,IF(核心参数输入!$B$64=1,SUMIFS(季度经营税费!$D$177:$DT$177,季度经营税费!$D$6:$DT$6,24),SUMIFS(季度经营税费!$D$176:$DT$176,季度经营税费!$D$6:$DT$6,24)),0)</f>
        <v>0</v>
      </c>
      <c r="AC77" s="9">
        <f>IF(25&lt;=核心参数输入!$B$9,IF(核心参数输入!$B$64=1,SUMIFS(季度经营税费!$D$177:$DT$177,季度经营税费!$D$6:$DT$6,25),SUMIFS(季度经营税费!$D$176:$DT$176,季度经营税费!$D$6:$DT$6,25)),0)</f>
        <v>0</v>
      </c>
      <c r="AD77" s="9">
        <f>IF(26&lt;=核心参数输入!$B$9,IF(核心参数输入!$B$64=1,SUMIFS(季度经营税费!$D$177:$DT$177,季度经营税费!$D$6:$DT$6,26),SUMIFS(季度经营税费!$D$176:$DT$176,季度经营税费!$D$6:$DT$6,26)),0)</f>
        <v>0</v>
      </c>
      <c r="AE77" s="9">
        <f>IF(27&lt;=核心参数输入!$B$9,IF(核心参数输入!$B$64=1,SUMIFS(季度经营税费!$D$177:$DT$177,季度经营税费!$D$6:$DT$6,27),SUMIFS(季度经营税费!$D$176:$DT$176,季度经营税费!$D$6:$DT$6,27)),0)</f>
        <v>0</v>
      </c>
      <c r="AF77" s="9">
        <f>IF(28&lt;=核心参数输入!$B$9,IF(核心参数输入!$B$64=1,SUMIFS(季度经营税费!$D$177:$DT$177,季度经营税费!$D$6:$DT$6,28),SUMIFS(季度经营税费!$D$176:$DT$176,季度经营税费!$D$6:$DT$6,28)),0)</f>
        <v>0</v>
      </c>
      <c r="AG77" s="9">
        <f>IF(29&lt;=核心参数输入!$B$9,IF(核心参数输入!$B$64=1,SUMIFS(季度经营税费!$D$177:$DT$177,季度经营税费!$D$6:$DT$6,29),SUMIFS(季度经营税费!$D$176:$DT$176,季度经营税费!$D$6:$DT$6,29)),0)</f>
        <v>0</v>
      </c>
      <c r="AH77" s="9">
        <f>IF(30&lt;=核心参数输入!$B$9,IF(核心参数输入!$B$64=1,SUMIFS(季度经营税费!$D$177:$DT$177,季度经营税费!$D$6:$DT$6,30),SUMIFS(季度经营税费!$D$176:$DT$176,季度经营税费!$D$6:$DT$6,30)),0)</f>
        <v>0</v>
      </c>
    </row>
    <row r="78" spans="1:34" ht="21" customHeight="1">
      <c r="A78" s="8" t="s">
        <v>371</v>
      </c>
      <c r="B78" s="8" t="s">
        <v>39</v>
      </c>
      <c r="C78" s="8"/>
      <c r="D78" s="9">
        <f>IF(0&lt;=核心参数输入!$B$9,SUMIFS(季度投融资!$D$158:$DT$158,季度投融资!$D$6:$DT$6,0),0)</f>
        <v>8000</v>
      </c>
      <c r="E78" s="9">
        <f>IF(1&lt;=核心参数输入!$B$9,SUMIFS(季度投融资!$D$158:$DT$158,季度投融资!$D$6:$DT$6,1),0)</f>
        <v>13274.887499999999</v>
      </c>
      <c r="F78" s="9">
        <f>IF(2&lt;=核心参数输入!$B$9,SUMIFS(季度投融资!$D$158:$DT$158,季度投融资!$D$6:$DT$6,2),0)</f>
        <v>23914.800000000003</v>
      </c>
      <c r="G78" s="9">
        <f>IF(3&lt;=核心参数输入!$B$9,SUMIFS(季度投融资!$D$158:$DT$158,季度投融资!$D$6:$DT$6,3),0)</f>
        <v>18534.599999999999</v>
      </c>
      <c r="H78" s="9">
        <f>IF(4&lt;=核心参数输入!$B$9,SUMIFS(季度投融资!$D$158:$DT$158,季度投融资!$D$6:$DT$6,4),0)</f>
        <v>500</v>
      </c>
      <c r="I78" s="9">
        <f>IF(5&lt;=核心参数输入!$B$9,SUMIFS(季度投融资!$D$158:$DT$158,季度投融资!$D$6:$DT$6,5),0)</f>
        <v>0</v>
      </c>
      <c r="J78" s="9">
        <f>IF(6&lt;=核心参数输入!$B$9,SUMIFS(季度投融资!$D$158:$DT$158,季度投融资!$D$6:$DT$6,6),0)</f>
        <v>0</v>
      </c>
      <c r="K78" s="9">
        <f>IF(7&lt;=核心参数输入!$B$9,SUMIFS(季度投融资!$D$158:$DT$158,季度投融资!$D$6:$DT$6,7),0)</f>
        <v>0</v>
      </c>
      <c r="L78" s="9">
        <f>IF(8&lt;=核心参数输入!$B$9,SUMIFS(季度投融资!$D$158:$DT$158,季度投融资!$D$6:$DT$6,8),0)</f>
        <v>0</v>
      </c>
      <c r="M78" s="9">
        <f>IF(9&lt;=核心参数输入!$B$9,SUMIFS(季度投融资!$D$158:$DT$158,季度投融资!$D$6:$DT$6,9),0)</f>
        <v>0</v>
      </c>
      <c r="N78" s="9">
        <f>IF(10&lt;=核心参数输入!$B$9,SUMIFS(季度投融资!$D$158:$DT$158,季度投融资!$D$6:$DT$6,10),0)</f>
        <v>0</v>
      </c>
      <c r="O78" s="9">
        <f>IF(11&lt;=核心参数输入!$B$9,SUMIFS(季度投融资!$D$158:$DT$158,季度投融资!$D$6:$DT$6,11),0)</f>
        <v>0</v>
      </c>
      <c r="P78" s="9">
        <f>IF(12&lt;=核心参数输入!$B$9,SUMIFS(季度投融资!$D$158:$DT$158,季度投融资!$D$6:$DT$6,12),0)</f>
        <v>0</v>
      </c>
      <c r="Q78" s="9">
        <f>IF(13&lt;=核心参数输入!$B$9,SUMIFS(季度投融资!$D$158:$DT$158,季度投融资!$D$6:$DT$6,13),0)</f>
        <v>0</v>
      </c>
      <c r="R78" s="9">
        <f>IF(14&lt;=核心参数输入!$B$9,SUMIFS(季度投融资!$D$158:$DT$158,季度投融资!$D$6:$DT$6,14),0)</f>
        <v>0</v>
      </c>
      <c r="S78" s="9">
        <f>IF(15&lt;=核心参数输入!$B$9,SUMIFS(季度投融资!$D$158:$DT$158,季度投融资!$D$6:$DT$6,15),0)</f>
        <v>0</v>
      </c>
      <c r="T78" s="9">
        <f>IF(16&lt;=核心参数输入!$B$9,SUMIFS(季度投融资!$D$158:$DT$158,季度投融资!$D$6:$DT$6,16),0)</f>
        <v>0</v>
      </c>
      <c r="U78" s="9">
        <f>IF(17&lt;=核心参数输入!$B$9,SUMIFS(季度投融资!$D$158:$DT$158,季度投融资!$D$6:$DT$6,17),0)</f>
        <v>0</v>
      </c>
      <c r="V78" s="9">
        <f>IF(18&lt;=核心参数输入!$B$9,SUMIFS(季度投融资!$D$158:$DT$158,季度投融资!$D$6:$DT$6,18),0)</f>
        <v>0</v>
      </c>
      <c r="W78" s="9">
        <f>IF(19&lt;=核心参数输入!$B$9,SUMIFS(季度投融资!$D$158:$DT$158,季度投融资!$D$6:$DT$6,19),0)</f>
        <v>0</v>
      </c>
      <c r="X78" s="9">
        <f>IF(20&lt;=核心参数输入!$B$9,SUMIFS(季度投融资!$D$158:$DT$158,季度投融资!$D$6:$DT$6,20),0)</f>
        <v>0</v>
      </c>
      <c r="Y78" s="9">
        <f>IF(21&lt;=核心参数输入!$B$9,SUMIFS(季度投融资!$D$158:$DT$158,季度投融资!$D$6:$DT$6,21),0)</f>
        <v>0</v>
      </c>
      <c r="Z78" s="9">
        <f>IF(22&lt;=核心参数输入!$B$9,SUMIFS(季度投融资!$D$158:$DT$158,季度投融资!$D$6:$DT$6,22),0)</f>
        <v>0</v>
      </c>
      <c r="AA78" s="9">
        <f>IF(23&lt;=核心参数输入!$B$9,SUMIFS(季度投融资!$D$158:$DT$158,季度投融资!$D$6:$DT$6,23),0)</f>
        <v>0</v>
      </c>
      <c r="AB78" s="9">
        <f>IF(24&lt;=核心参数输入!$B$9,SUMIFS(季度投融资!$D$158:$DT$158,季度投融资!$D$6:$DT$6,24),0)</f>
        <v>0</v>
      </c>
      <c r="AC78" s="9">
        <f>IF(25&lt;=核心参数输入!$B$9,SUMIFS(季度投融资!$D$158:$DT$158,季度投融资!$D$6:$DT$6,25),0)</f>
        <v>0</v>
      </c>
      <c r="AD78" s="9">
        <f>IF(26&lt;=核心参数输入!$B$9,SUMIFS(季度投融资!$D$158:$DT$158,季度投融资!$D$6:$DT$6,26),0)</f>
        <v>0</v>
      </c>
      <c r="AE78" s="9">
        <f>IF(27&lt;=核心参数输入!$B$9,SUMIFS(季度投融资!$D$158:$DT$158,季度投融资!$D$6:$DT$6,27),0)</f>
        <v>0</v>
      </c>
      <c r="AF78" s="9">
        <f>IF(28&lt;=核心参数输入!$B$9,SUMIFS(季度投融资!$D$158:$DT$158,季度投融资!$D$6:$DT$6,28),0)</f>
        <v>0</v>
      </c>
      <c r="AG78" s="9">
        <f>IF(29&lt;=核心参数输入!$B$9,SUMIFS(季度投融资!$D$158:$DT$158,季度投融资!$D$6:$DT$6,29),0)</f>
        <v>0</v>
      </c>
      <c r="AH78" s="9">
        <f>IF(30&lt;=核心参数输入!$B$9,SUMIFS(季度投融资!$D$158:$DT$158,季度投融资!$D$6:$DT$6,30),0)</f>
        <v>0</v>
      </c>
    </row>
    <row r="79" spans="1:34" ht="21" customHeight="1">
      <c r="A79" s="8" t="s">
        <v>372</v>
      </c>
      <c r="B79" s="8" t="s">
        <v>39</v>
      </c>
      <c r="C79" s="8"/>
      <c r="D79" s="9">
        <f>IF(0&lt;=核心参数输入!$B$9,SUMIFS(季度投融资!$D$149:$DT$149,季度投融资!$D$6:$DT$6,0),0)</f>
        <v>0</v>
      </c>
      <c r="E79" s="9">
        <f>IF(1&lt;=核心参数输入!$B$9,SUMIFS(季度投融资!$D$149:$DT$149,季度投融资!$D$6:$DT$6,1),0)</f>
        <v>6750</v>
      </c>
      <c r="F79" s="9">
        <f>IF(2&lt;=核心参数输入!$B$9,SUMIFS(季度投融资!$D$149:$DT$149,季度投融资!$D$6:$DT$6,2),0)</f>
        <v>12000</v>
      </c>
      <c r="G79" s="9">
        <f>IF(3&lt;=核心参数输入!$B$9,SUMIFS(季度投融资!$D$149:$DT$149,季度投融资!$D$6:$DT$6,3),0)</f>
        <v>9000</v>
      </c>
      <c r="H79" s="9">
        <f>IF(4&lt;=核心参数输入!$B$9,SUMIFS(季度投融资!$D$149:$DT$149,季度投融资!$D$6:$DT$6,4),0)</f>
        <v>0</v>
      </c>
      <c r="I79" s="9">
        <f>IF(5&lt;=核心参数输入!$B$9,SUMIFS(季度投融资!$D$149:$DT$149,季度投融资!$D$6:$DT$6,5),0)</f>
        <v>0</v>
      </c>
      <c r="J79" s="9">
        <f>IF(6&lt;=核心参数输入!$B$9,SUMIFS(季度投融资!$D$149:$DT$149,季度投融资!$D$6:$DT$6,6),0)</f>
        <v>0</v>
      </c>
      <c r="K79" s="9">
        <f>IF(7&lt;=核心参数输入!$B$9,SUMIFS(季度投融资!$D$149:$DT$149,季度投融资!$D$6:$DT$6,7),0)</f>
        <v>0</v>
      </c>
      <c r="L79" s="9">
        <f>IF(8&lt;=核心参数输入!$B$9,SUMIFS(季度投融资!$D$149:$DT$149,季度投融资!$D$6:$DT$6,8),0)</f>
        <v>0</v>
      </c>
      <c r="M79" s="9">
        <f>IF(9&lt;=核心参数输入!$B$9,SUMIFS(季度投融资!$D$149:$DT$149,季度投融资!$D$6:$DT$6,9),0)</f>
        <v>0</v>
      </c>
      <c r="N79" s="9">
        <f>IF(10&lt;=核心参数输入!$B$9,SUMIFS(季度投融资!$D$149:$DT$149,季度投融资!$D$6:$DT$6,10),0)</f>
        <v>0</v>
      </c>
      <c r="O79" s="9">
        <f>IF(11&lt;=核心参数输入!$B$9,SUMIFS(季度投融资!$D$149:$DT$149,季度投融资!$D$6:$DT$6,11),0)</f>
        <v>0</v>
      </c>
      <c r="P79" s="9">
        <f>IF(12&lt;=核心参数输入!$B$9,SUMIFS(季度投融资!$D$149:$DT$149,季度投融资!$D$6:$DT$6,12),0)</f>
        <v>0</v>
      </c>
      <c r="Q79" s="9">
        <f>IF(13&lt;=核心参数输入!$B$9,SUMIFS(季度投融资!$D$149:$DT$149,季度投融资!$D$6:$DT$6,13),0)</f>
        <v>0</v>
      </c>
      <c r="R79" s="9">
        <f>IF(14&lt;=核心参数输入!$B$9,SUMIFS(季度投融资!$D$149:$DT$149,季度投融资!$D$6:$DT$6,14),0)</f>
        <v>0</v>
      </c>
      <c r="S79" s="9">
        <f>IF(15&lt;=核心参数输入!$B$9,SUMIFS(季度投融资!$D$149:$DT$149,季度投融资!$D$6:$DT$6,15),0)</f>
        <v>0</v>
      </c>
      <c r="T79" s="9">
        <f>IF(16&lt;=核心参数输入!$B$9,SUMIFS(季度投融资!$D$149:$DT$149,季度投融资!$D$6:$DT$6,16),0)</f>
        <v>0</v>
      </c>
      <c r="U79" s="9">
        <f>IF(17&lt;=核心参数输入!$B$9,SUMIFS(季度投融资!$D$149:$DT$149,季度投融资!$D$6:$DT$6,17),0)</f>
        <v>0</v>
      </c>
      <c r="V79" s="9">
        <f>IF(18&lt;=核心参数输入!$B$9,SUMIFS(季度投融资!$D$149:$DT$149,季度投融资!$D$6:$DT$6,18),0)</f>
        <v>0</v>
      </c>
      <c r="W79" s="9">
        <f>IF(19&lt;=核心参数输入!$B$9,SUMIFS(季度投融资!$D$149:$DT$149,季度投融资!$D$6:$DT$6,19),0)</f>
        <v>0</v>
      </c>
      <c r="X79" s="9">
        <f>IF(20&lt;=核心参数输入!$B$9,SUMIFS(季度投融资!$D$149:$DT$149,季度投融资!$D$6:$DT$6,20),0)</f>
        <v>0</v>
      </c>
      <c r="Y79" s="9">
        <f>IF(21&lt;=核心参数输入!$B$9,SUMIFS(季度投融资!$D$149:$DT$149,季度投融资!$D$6:$DT$6,21),0)</f>
        <v>0</v>
      </c>
      <c r="Z79" s="9">
        <f>IF(22&lt;=核心参数输入!$B$9,SUMIFS(季度投融资!$D$149:$DT$149,季度投融资!$D$6:$DT$6,22),0)</f>
        <v>0</v>
      </c>
      <c r="AA79" s="9">
        <f>IF(23&lt;=核心参数输入!$B$9,SUMIFS(季度投融资!$D$149:$DT$149,季度投融资!$D$6:$DT$6,23),0)</f>
        <v>0</v>
      </c>
      <c r="AB79" s="9">
        <f>IF(24&lt;=核心参数输入!$B$9,SUMIFS(季度投融资!$D$149:$DT$149,季度投融资!$D$6:$DT$6,24),0)</f>
        <v>0</v>
      </c>
      <c r="AC79" s="9">
        <f>IF(25&lt;=核心参数输入!$B$9,SUMIFS(季度投融资!$D$149:$DT$149,季度投融资!$D$6:$DT$6,25),0)</f>
        <v>0</v>
      </c>
      <c r="AD79" s="9">
        <f>IF(26&lt;=核心参数输入!$B$9,SUMIFS(季度投融资!$D$149:$DT$149,季度投融资!$D$6:$DT$6,26),0)</f>
        <v>0</v>
      </c>
      <c r="AE79" s="9">
        <f>IF(27&lt;=核心参数输入!$B$9,SUMIFS(季度投融资!$D$149:$DT$149,季度投融资!$D$6:$DT$6,27),0)</f>
        <v>0</v>
      </c>
      <c r="AF79" s="9">
        <f>IF(28&lt;=核心参数输入!$B$9,SUMIFS(季度投融资!$D$149:$DT$149,季度投融资!$D$6:$DT$6,28),0)</f>
        <v>0</v>
      </c>
      <c r="AG79" s="9">
        <f>IF(29&lt;=核心参数输入!$B$9,SUMIFS(季度投融资!$D$149:$DT$149,季度投融资!$D$6:$DT$6,29),0)</f>
        <v>0</v>
      </c>
      <c r="AH79" s="9">
        <f>IF(30&lt;=核心参数输入!$B$9,SUMIFS(季度投融资!$D$149:$DT$149,季度投融资!$D$6:$DT$6,30),0)</f>
        <v>0</v>
      </c>
    </row>
    <row r="80" spans="1:34" ht="21" customHeight="1">
      <c r="A80" s="8" t="s">
        <v>373</v>
      </c>
      <c r="B80" s="8" t="s">
        <v>39</v>
      </c>
      <c r="C80" s="8"/>
      <c r="D80" s="9">
        <f>IF(0&lt;=核心参数输入!$B$9,SUMIFS(季度投融资!$D$151:$DT$151,季度投融资!$D$6:$DT$6,0),0)</f>
        <v>0</v>
      </c>
      <c r="E80" s="9">
        <f>IF(1&lt;=核心参数输入!$B$9,SUMIFS(季度投融资!$D$151:$DT$151,季度投融资!$D$6:$DT$6,1),0)</f>
        <v>0</v>
      </c>
      <c r="F80" s="9">
        <f>IF(2&lt;=核心参数输入!$B$9,SUMIFS(季度投融资!$D$151:$DT$151,季度投融资!$D$6:$DT$6,2),0)</f>
        <v>0</v>
      </c>
      <c r="G80" s="9">
        <f>IF(3&lt;=核心参数输入!$B$9,SUMIFS(季度投融资!$D$151:$DT$151,季度投融资!$D$6:$DT$6,3),0)</f>
        <v>0</v>
      </c>
      <c r="H80" s="9">
        <f>IF(4&lt;=核心参数输入!$B$9,SUMIFS(季度投融资!$D$151:$DT$151,季度投融资!$D$6:$DT$6,4),0)</f>
        <v>4285.7142857142853</v>
      </c>
      <c r="I80" s="9">
        <f>IF(5&lt;=核心参数输入!$B$9,SUMIFS(季度投融资!$D$151:$DT$151,季度投融资!$D$6:$DT$6,5),0)</f>
        <v>4285.7142857142853</v>
      </c>
      <c r="J80" s="9">
        <f>IF(6&lt;=核心参数输入!$B$9,SUMIFS(季度投融资!$D$151:$DT$151,季度投融资!$D$6:$DT$6,6),0)</f>
        <v>4285.7142857142853</v>
      </c>
      <c r="K80" s="9">
        <f>IF(7&lt;=核心参数输入!$B$9,SUMIFS(季度投融资!$D$151:$DT$151,季度投融资!$D$6:$DT$6,7),0)</f>
        <v>4285.7142857142853</v>
      </c>
      <c r="L80" s="9">
        <f>IF(8&lt;=核心参数输入!$B$9,SUMIFS(季度投融资!$D$151:$DT$151,季度投融资!$D$6:$DT$6,8),0)</f>
        <v>4285.7142857142853</v>
      </c>
      <c r="M80" s="9">
        <f>IF(9&lt;=核心参数输入!$B$9,SUMIFS(季度投融资!$D$151:$DT$151,季度投融资!$D$6:$DT$6,9),0)</f>
        <v>4285.7142857142853</v>
      </c>
      <c r="N80" s="9">
        <f>IF(10&lt;=核心参数输入!$B$9,SUMIFS(季度投融资!$D$151:$DT$151,季度投融资!$D$6:$DT$6,10),0)</f>
        <v>4285.7142857142835</v>
      </c>
      <c r="O80" s="9">
        <f>IF(11&lt;=核心参数输入!$B$9,SUMIFS(季度投融资!$D$151:$DT$151,季度投融资!$D$6:$DT$6,11),0)</f>
        <v>0</v>
      </c>
      <c r="P80" s="9">
        <f>IF(12&lt;=核心参数输入!$B$9,SUMIFS(季度投融资!$D$151:$DT$151,季度投融资!$D$6:$DT$6,12),0)</f>
        <v>0</v>
      </c>
      <c r="Q80" s="9">
        <f>IF(13&lt;=核心参数输入!$B$9,SUMIFS(季度投融资!$D$151:$DT$151,季度投融资!$D$6:$DT$6,13),0)</f>
        <v>0</v>
      </c>
      <c r="R80" s="9">
        <f>IF(14&lt;=核心参数输入!$B$9,SUMIFS(季度投融资!$D$151:$DT$151,季度投融资!$D$6:$DT$6,14),0)</f>
        <v>0</v>
      </c>
      <c r="S80" s="9">
        <f>IF(15&lt;=核心参数输入!$B$9,SUMIFS(季度投融资!$D$151:$DT$151,季度投融资!$D$6:$DT$6,15),0)</f>
        <v>0</v>
      </c>
      <c r="T80" s="9">
        <f>IF(16&lt;=核心参数输入!$B$9,SUMIFS(季度投融资!$D$151:$DT$151,季度投融资!$D$6:$DT$6,16),0)</f>
        <v>0</v>
      </c>
      <c r="U80" s="9">
        <f>IF(17&lt;=核心参数输入!$B$9,SUMIFS(季度投融资!$D$151:$DT$151,季度投融资!$D$6:$DT$6,17),0)</f>
        <v>0</v>
      </c>
      <c r="V80" s="9">
        <f>IF(18&lt;=核心参数输入!$B$9,SUMIFS(季度投融资!$D$151:$DT$151,季度投融资!$D$6:$DT$6,18),0)</f>
        <v>0</v>
      </c>
      <c r="W80" s="9">
        <f>IF(19&lt;=核心参数输入!$B$9,SUMIFS(季度投融资!$D$151:$DT$151,季度投融资!$D$6:$DT$6,19),0)</f>
        <v>0</v>
      </c>
      <c r="X80" s="9">
        <f>IF(20&lt;=核心参数输入!$B$9,SUMIFS(季度投融资!$D$151:$DT$151,季度投融资!$D$6:$DT$6,20),0)</f>
        <v>0</v>
      </c>
      <c r="Y80" s="9">
        <f>IF(21&lt;=核心参数输入!$B$9,SUMIFS(季度投融资!$D$151:$DT$151,季度投融资!$D$6:$DT$6,21),0)</f>
        <v>0</v>
      </c>
      <c r="Z80" s="9">
        <f>IF(22&lt;=核心参数输入!$B$9,SUMIFS(季度投融资!$D$151:$DT$151,季度投融资!$D$6:$DT$6,22),0)</f>
        <v>0</v>
      </c>
      <c r="AA80" s="9">
        <f>IF(23&lt;=核心参数输入!$B$9,SUMIFS(季度投融资!$D$151:$DT$151,季度投融资!$D$6:$DT$6,23),0)</f>
        <v>0</v>
      </c>
      <c r="AB80" s="9">
        <f>IF(24&lt;=核心参数输入!$B$9,SUMIFS(季度投融资!$D$151:$DT$151,季度投融资!$D$6:$DT$6,24),0)</f>
        <v>0</v>
      </c>
      <c r="AC80" s="9">
        <f>IF(25&lt;=核心参数输入!$B$9,SUMIFS(季度投融资!$D$151:$DT$151,季度投融资!$D$6:$DT$6,25),0)</f>
        <v>0</v>
      </c>
      <c r="AD80" s="9">
        <f>IF(26&lt;=核心参数输入!$B$9,SUMIFS(季度投融资!$D$151:$DT$151,季度投融资!$D$6:$DT$6,26),0)</f>
        <v>0</v>
      </c>
      <c r="AE80" s="9">
        <f>IF(27&lt;=核心参数输入!$B$9,SUMIFS(季度投融资!$D$151:$DT$151,季度投融资!$D$6:$DT$6,27),0)</f>
        <v>0</v>
      </c>
      <c r="AF80" s="9">
        <f>IF(28&lt;=核心参数输入!$B$9,SUMIFS(季度投融资!$D$151:$DT$151,季度投融资!$D$6:$DT$6,28),0)</f>
        <v>0</v>
      </c>
      <c r="AG80" s="9">
        <f>IF(29&lt;=核心参数输入!$B$9,SUMIFS(季度投融资!$D$151:$DT$151,季度投融资!$D$6:$DT$6,29),0)</f>
        <v>0</v>
      </c>
      <c r="AH80" s="9">
        <f>IF(30&lt;=核心参数输入!$B$9,SUMIFS(季度投融资!$D$151:$DT$151,季度投融资!$D$6:$DT$6,30),0)</f>
        <v>0</v>
      </c>
    </row>
    <row r="81" spans="1:34" ht="21" customHeight="1">
      <c r="A81" s="8" t="s">
        <v>374</v>
      </c>
      <c r="B81" s="8" t="s">
        <v>39</v>
      </c>
      <c r="C81" s="8"/>
      <c r="D81" s="9">
        <f>IF(0&lt;=核心参数输入!$B$9,SUMIFS(季度投融资!$D$152:$DT$152,季度投融资!$D$6:$DT$6,0),0)</f>
        <v>0</v>
      </c>
      <c r="E81" s="9">
        <f>IF(1&lt;=核心参数输入!$B$9,SUMIFS(季度投融资!$D$152:$DT$152,季度投融资!$D$6:$DT$6,1),0)</f>
        <v>177.1875</v>
      </c>
      <c r="F81" s="9">
        <f>IF(2&lt;=核心参数输入!$B$9,SUMIFS(季度投融资!$D$152:$DT$152,季度投融资!$D$6:$DT$6,2),0)</f>
        <v>630</v>
      </c>
      <c r="G81" s="9">
        <f>IF(3&lt;=核心参数输入!$B$9,SUMIFS(季度投融资!$D$152:$DT$152,季度投融资!$D$6:$DT$6,3),0)</f>
        <v>1071</v>
      </c>
      <c r="H81" s="9">
        <f>IF(4&lt;=核心参数输入!$B$9,SUMIFS(季度投融资!$D$152:$DT$152,季度投融资!$D$6:$DT$6,4),0)</f>
        <v>1237.5</v>
      </c>
      <c r="I81" s="9">
        <f>IF(5&lt;=核心参数输入!$B$9,SUMIFS(季度投融资!$D$152:$DT$152,季度投融资!$D$6:$DT$6,5),0)</f>
        <v>1057.5</v>
      </c>
      <c r="J81" s="9">
        <f>IF(6&lt;=核心参数输入!$B$9,SUMIFS(季度投融资!$D$152:$DT$152,季度投融资!$D$6:$DT$6,6),0)</f>
        <v>877.5</v>
      </c>
      <c r="K81" s="9">
        <f>IF(7&lt;=核心参数输入!$B$9,SUMIFS(季度投融资!$D$152:$DT$152,季度投融资!$D$6:$DT$6,7),0)</f>
        <v>697.5</v>
      </c>
      <c r="L81" s="9">
        <f>IF(8&lt;=核心参数输入!$B$9,SUMIFS(季度投融资!$D$152:$DT$152,季度投融资!$D$6:$DT$6,8),0)</f>
        <v>517.5</v>
      </c>
      <c r="M81" s="9">
        <f>IF(9&lt;=核心参数输入!$B$9,SUMIFS(季度投融资!$D$152:$DT$152,季度投融资!$D$6:$DT$6,9),0)</f>
        <v>337.49999999999989</v>
      </c>
      <c r="N81" s="9">
        <f>IF(10&lt;=核心参数输入!$B$9,SUMIFS(季度投融资!$D$152:$DT$152,季度投融资!$D$6:$DT$6,10),0)</f>
        <v>157.49999999999994</v>
      </c>
      <c r="O81" s="9">
        <f>IF(11&lt;=核心参数输入!$B$9,SUMIFS(季度投融资!$D$152:$DT$152,季度投融资!$D$6:$DT$6,11),0)</f>
        <v>0</v>
      </c>
      <c r="P81" s="9">
        <f>IF(12&lt;=核心参数输入!$B$9,SUMIFS(季度投融资!$D$152:$DT$152,季度投融资!$D$6:$DT$6,12),0)</f>
        <v>0</v>
      </c>
      <c r="Q81" s="9">
        <f>IF(13&lt;=核心参数输入!$B$9,SUMIFS(季度投融资!$D$152:$DT$152,季度投融资!$D$6:$DT$6,13),0)</f>
        <v>0</v>
      </c>
      <c r="R81" s="9">
        <f>IF(14&lt;=核心参数输入!$B$9,SUMIFS(季度投融资!$D$152:$DT$152,季度投融资!$D$6:$DT$6,14),0)</f>
        <v>0</v>
      </c>
      <c r="S81" s="9">
        <f>IF(15&lt;=核心参数输入!$B$9,SUMIFS(季度投融资!$D$152:$DT$152,季度投融资!$D$6:$DT$6,15),0)</f>
        <v>0</v>
      </c>
      <c r="T81" s="9">
        <f>IF(16&lt;=核心参数输入!$B$9,SUMIFS(季度投融资!$D$152:$DT$152,季度投融资!$D$6:$DT$6,16),0)</f>
        <v>0</v>
      </c>
      <c r="U81" s="9">
        <f>IF(17&lt;=核心参数输入!$B$9,SUMIFS(季度投融资!$D$152:$DT$152,季度投融资!$D$6:$DT$6,17),0)</f>
        <v>0</v>
      </c>
      <c r="V81" s="9">
        <f>IF(18&lt;=核心参数输入!$B$9,SUMIFS(季度投融资!$D$152:$DT$152,季度投融资!$D$6:$DT$6,18),0)</f>
        <v>0</v>
      </c>
      <c r="W81" s="9">
        <f>IF(19&lt;=核心参数输入!$B$9,SUMIFS(季度投融资!$D$152:$DT$152,季度投融资!$D$6:$DT$6,19),0)</f>
        <v>0</v>
      </c>
      <c r="X81" s="9">
        <f>IF(20&lt;=核心参数输入!$B$9,SUMIFS(季度投融资!$D$152:$DT$152,季度投融资!$D$6:$DT$6,20),0)</f>
        <v>0</v>
      </c>
      <c r="Y81" s="9">
        <f>IF(21&lt;=核心参数输入!$B$9,SUMIFS(季度投融资!$D$152:$DT$152,季度投融资!$D$6:$DT$6,21),0)</f>
        <v>0</v>
      </c>
      <c r="Z81" s="9">
        <f>IF(22&lt;=核心参数输入!$B$9,SUMIFS(季度投融资!$D$152:$DT$152,季度投融资!$D$6:$DT$6,22),0)</f>
        <v>0</v>
      </c>
      <c r="AA81" s="9">
        <f>IF(23&lt;=核心参数输入!$B$9,SUMIFS(季度投融资!$D$152:$DT$152,季度投融资!$D$6:$DT$6,23),0)</f>
        <v>0</v>
      </c>
      <c r="AB81" s="9">
        <f>IF(24&lt;=核心参数输入!$B$9,SUMIFS(季度投融资!$D$152:$DT$152,季度投融资!$D$6:$DT$6,24),0)</f>
        <v>0</v>
      </c>
      <c r="AC81" s="9">
        <f>IF(25&lt;=核心参数输入!$B$9,SUMIFS(季度投融资!$D$152:$DT$152,季度投融资!$D$6:$DT$6,25),0)</f>
        <v>0</v>
      </c>
      <c r="AD81" s="9">
        <f>IF(26&lt;=核心参数输入!$B$9,SUMIFS(季度投融资!$D$152:$DT$152,季度投融资!$D$6:$DT$6,26),0)</f>
        <v>0</v>
      </c>
      <c r="AE81" s="9">
        <f>IF(27&lt;=核心参数输入!$B$9,SUMIFS(季度投融资!$D$152:$DT$152,季度投融资!$D$6:$DT$6,27),0)</f>
        <v>0</v>
      </c>
      <c r="AF81" s="9">
        <f>IF(28&lt;=核心参数输入!$B$9,SUMIFS(季度投融资!$D$152:$DT$152,季度投融资!$D$6:$DT$6,28),0)</f>
        <v>0</v>
      </c>
      <c r="AG81" s="9">
        <f>IF(29&lt;=核心参数输入!$B$9,SUMIFS(季度投融资!$D$152:$DT$152,季度投融资!$D$6:$DT$6,29),0)</f>
        <v>0</v>
      </c>
      <c r="AH81" s="9">
        <f>IF(30&lt;=核心参数输入!$B$9,SUMIFS(季度投融资!$D$152:$DT$152,季度投融资!$D$6:$DT$6,30),0)</f>
        <v>0</v>
      </c>
    </row>
    <row r="82" spans="1:34" ht="21" customHeight="1">
      <c r="A82" s="8" t="s">
        <v>375</v>
      </c>
      <c r="B82" s="8" t="s">
        <v>39</v>
      </c>
      <c r="C82" s="8"/>
      <c r="D82" s="9">
        <f>IF(0&lt;=核心参数输入!$B$9,SUMIFS(季度现金流!$D$175:$DT$175,季度现金流!$D$6:$DT$6,0),0)</f>
        <v>0</v>
      </c>
      <c r="E82" s="9">
        <f>IF(1&lt;=核心参数输入!$B$9,SUMIFS(季度现金流!$D$175:$DT$175,季度现金流!$D$6:$DT$6,1),0)</f>
        <v>0</v>
      </c>
      <c r="F82" s="9">
        <f>IF(2&lt;=核心参数输入!$B$9,SUMIFS(季度现金流!$D$175:$DT$175,季度现金流!$D$6:$DT$6,2),0)</f>
        <v>0</v>
      </c>
      <c r="G82" s="9">
        <f>IF(3&lt;=核心参数输入!$B$9,SUMIFS(季度现金流!$D$175:$DT$175,季度现金流!$D$6:$DT$6,3),0)</f>
        <v>0</v>
      </c>
      <c r="H82" s="9">
        <f>IF(4&lt;=核心参数输入!$B$9,SUMIFS(季度现金流!$D$175:$DT$175,季度现金流!$D$6:$DT$6,4),0)</f>
        <v>10367.016395865001</v>
      </c>
      <c r="I82" s="9">
        <f>IF(5&lt;=核心参数输入!$B$9,SUMIFS(季度现金流!$D$175:$DT$175,季度现金流!$D$6:$DT$6,5),0)</f>
        <v>15385.785121139512</v>
      </c>
      <c r="J82" s="9">
        <f>IF(6&lt;=核心参数输入!$B$9,SUMIFS(季度现金流!$D$175:$DT$175,季度现金流!$D$6:$DT$6,6),0)</f>
        <v>12437.960023777159</v>
      </c>
      <c r="K82" s="9">
        <f>IF(7&lt;=核心参数输入!$B$9,SUMIFS(季度现金流!$D$175:$DT$175,季度现金流!$D$6:$DT$6,7),0)</f>
        <v>1620.2772360049996</v>
      </c>
      <c r="L82" s="9">
        <f>IF(8&lt;=核心参数输入!$B$9,SUMIFS(季度现金流!$D$175:$DT$175,季度现金流!$D$6:$DT$6,8),0)</f>
        <v>713.3049572837615</v>
      </c>
      <c r="M82" s="9">
        <f>IF(9&lt;=核心参数输入!$B$9,SUMIFS(季度现金流!$D$175:$DT$175,季度现金流!$D$6:$DT$6,9),0)</f>
        <v>727.50026720803373</v>
      </c>
      <c r="N82" s="9">
        <f>IF(10&lt;=核心参数输入!$B$9,SUMIFS(季度现金流!$D$175:$DT$175,季度现金流!$D$6:$DT$6,10),0)</f>
        <v>739.45665001135376</v>
      </c>
      <c r="O82" s="9">
        <f>IF(11&lt;=核心参数输入!$B$9,SUMIFS(季度现金流!$D$175:$DT$175,季度现金流!$D$6:$DT$6,11),0)</f>
        <v>751.55925613262798</v>
      </c>
      <c r="P82" s="9">
        <f>IF(12&lt;=核心参数输入!$B$9,SUMIFS(季度现金流!$D$175:$DT$175,季度现金流!$D$6:$DT$6,12),0)</f>
        <v>763.80961647314302</v>
      </c>
      <c r="Q82" s="9">
        <f>IF(13&lt;=核心参数输入!$B$9,SUMIFS(季度现金流!$D$175:$DT$175,季度现金流!$D$6:$DT$6,13),0)</f>
        <v>776.20927164873683</v>
      </c>
      <c r="R82" s="9">
        <f>IF(14&lt;=核心参数输入!$B$9,SUMIFS(季度现金流!$D$175:$DT$175,季度现金流!$D$6:$DT$6,14),0)</f>
        <v>788.75977187053422</v>
      </c>
      <c r="S82" s="9">
        <f>IF(15&lt;=核心参数输入!$B$9,SUMIFS(季度现金流!$D$175:$DT$175,季度现金流!$D$6:$DT$6,15),0)</f>
        <v>801.46267681859979</v>
      </c>
      <c r="T82" s="9">
        <f>IF(16&lt;=核心参数输入!$B$9,SUMIFS(季度现金流!$D$175:$DT$175,季度现金流!$D$6:$DT$6,16),0)</f>
        <v>814.3195555082865</v>
      </c>
      <c r="U82" s="9">
        <f>IF(17&lt;=核心参数输入!$B$9,SUMIFS(季度现金流!$D$175:$DT$175,季度现金流!$D$6:$DT$6,17),0)</f>
        <v>827.33198614906712</v>
      </c>
      <c r="V82" s="9">
        <f>IF(18&lt;=核心参数输入!$B$9,SUMIFS(季度现金流!$D$175:$DT$175,季度现金流!$D$6:$DT$6,18),0)</f>
        <v>840.50155599562197</v>
      </c>
      <c r="W82" s="9">
        <f>IF(19&lt;=核心参数输入!$B$9,SUMIFS(季度现金流!$D$175:$DT$175,季度现金流!$D$6:$DT$6,19),0)</f>
        <v>853.82986119096188</v>
      </c>
      <c r="X82" s="9">
        <f>IF(20&lt;=核心参数输入!$B$9,SUMIFS(季度现金流!$D$175:$DT$175,季度现金流!$D$6:$DT$6,20),0)</f>
        <v>867.31850660134</v>
      </c>
      <c r="Y82" s="9">
        <f>IF(21&lt;=核心参数输入!$B$9,SUMIFS(季度现金流!$D$175:$DT$175,季度现金流!$D$6:$DT$6,21),0)</f>
        <v>0</v>
      </c>
      <c r="Z82" s="9">
        <f>IF(22&lt;=核心参数输入!$B$9,SUMIFS(季度现金流!$D$175:$DT$175,季度现金流!$D$6:$DT$6,22),0)</f>
        <v>0</v>
      </c>
      <c r="AA82" s="9">
        <f>IF(23&lt;=核心参数输入!$B$9,SUMIFS(季度现金流!$D$175:$DT$175,季度现金流!$D$6:$DT$6,23),0)</f>
        <v>0</v>
      </c>
      <c r="AB82" s="9">
        <f>IF(24&lt;=核心参数输入!$B$9,SUMIFS(季度现金流!$D$175:$DT$175,季度现金流!$D$6:$DT$6,24),0)</f>
        <v>0</v>
      </c>
      <c r="AC82" s="9">
        <f>IF(25&lt;=核心参数输入!$B$9,SUMIFS(季度现金流!$D$175:$DT$175,季度现金流!$D$6:$DT$6,25),0)</f>
        <v>0</v>
      </c>
      <c r="AD82" s="9">
        <f>IF(26&lt;=核心参数输入!$B$9,SUMIFS(季度现金流!$D$175:$DT$175,季度现金流!$D$6:$DT$6,26),0)</f>
        <v>0</v>
      </c>
      <c r="AE82" s="9">
        <f>IF(27&lt;=核心参数输入!$B$9,SUMIFS(季度现金流!$D$175:$DT$175,季度现金流!$D$6:$DT$6,27),0)</f>
        <v>0</v>
      </c>
      <c r="AF82" s="9">
        <f>IF(28&lt;=核心参数输入!$B$9,SUMIFS(季度现金流!$D$175:$DT$175,季度现金流!$D$6:$DT$6,28),0)</f>
        <v>0</v>
      </c>
      <c r="AG82" s="9">
        <f>IF(29&lt;=核心参数输入!$B$9,SUMIFS(季度现金流!$D$175:$DT$175,季度现金流!$D$6:$DT$6,29),0)</f>
        <v>0</v>
      </c>
      <c r="AH82" s="9">
        <f>IF(30&lt;=核心参数输入!$B$9,SUMIFS(季度现金流!$D$175:$DT$175,季度现金流!$D$6:$DT$6,30),0)</f>
        <v>0</v>
      </c>
    </row>
    <row r="83" spans="1:34" ht="21" customHeight="1">
      <c r="A83" s="8" t="s">
        <v>49</v>
      </c>
      <c r="B83" s="8" t="s">
        <v>39</v>
      </c>
      <c r="C83" s="8"/>
      <c r="D83" s="9">
        <f>IF(0&lt;=核心参数输入!$B$9,SUMIFS(季度投融资!$D$156:$DT$156,季度投融资!$D$6:$DT$6,0),0)</f>
        <v>0</v>
      </c>
      <c r="E83" s="9">
        <f>IF(1&lt;=核心参数输入!$B$9,SUMIFS(季度投融资!$D$156:$DT$156,季度投融资!$D$6:$DT$6,1),0)</f>
        <v>177.1875</v>
      </c>
      <c r="F83" s="9">
        <f>IF(2&lt;=核心参数输入!$B$9,SUMIFS(季度投融资!$D$156:$DT$156,季度投融资!$D$6:$DT$6,2),0)</f>
        <v>630</v>
      </c>
      <c r="G83" s="9">
        <f>IF(3&lt;=核心参数输入!$B$9,SUMIFS(季度投融资!$D$156:$DT$156,季度投融资!$D$6:$DT$6,3),0)</f>
        <v>1071</v>
      </c>
      <c r="H83" s="9">
        <f>IF(4&lt;=核心参数输入!$B$9,SUMIFS(季度投融资!$D$156:$DT$156,季度投融资!$D$6:$DT$6,4),0)</f>
        <v>5523.2142857142853</v>
      </c>
      <c r="I83" s="9">
        <f>IF(5&lt;=核心参数输入!$B$9,SUMIFS(季度投融资!$D$156:$DT$156,季度投融资!$D$6:$DT$6,5),0)</f>
        <v>5343.2142857142853</v>
      </c>
      <c r="J83" s="9">
        <f>IF(6&lt;=核心参数输入!$B$9,SUMIFS(季度投融资!$D$156:$DT$156,季度投融资!$D$6:$DT$6,6),0)</f>
        <v>5163.2142857142853</v>
      </c>
      <c r="K83" s="9">
        <f>IF(7&lt;=核心参数输入!$B$9,SUMIFS(季度投融资!$D$156:$DT$156,季度投融资!$D$6:$DT$6,7),0)</f>
        <v>4983.2142857142853</v>
      </c>
      <c r="L83" s="9">
        <f>IF(8&lt;=核心参数输入!$B$9,SUMIFS(季度投融资!$D$156:$DT$156,季度投融资!$D$6:$DT$6,8),0)</f>
        <v>4803.2142857142853</v>
      </c>
      <c r="M83" s="9">
        <f>IF(9&lt;=核心参数输入!$B$9,SUMIFS(季度投融资!$D$156:$DT$156,季度投融资!$D$6:$DT$6,9),0)</f>
        <v>4623.2142857142853</v>
      </c>
      <c r="N83" s="9">
        <f>IF(10&lt;=核心参数输入!$B$9,SUMIFS(季度投融资!$D$156:$DT$156,季度投融资!$D$6:$DT$6,10),0)</f>
        <v>4443.2142857142835</v>
      </c>
      <c r="O83" s="9">
        <f>IF(11&lt;=核心参数输入!$B$9,SUMIFS(季度投融资!$D$156:$DT$156,季度投融资!$D$6:$DT$6,11),0)</f>
        <v>0</v>
      </c>
      <c r="P83" s="9">
        <f>IF(12&lt;=核心参数输入!$B$9,SUMIFS(季度投融资!$D$156:$DT$156,季度投融资!$D$6:$DT$6,12),0)</f>
        <v>0</v>
      </c>
      <c r="Q83" s="9">
        <f>IF(13&lt;=核心参数输入!$B$9,SUMIFS(季度投融资!$D$156:$DT$156,季度投融资!$D$6:$DT$6,13),0)</f>
        <v>0</v>
      </c>
      <c r="R83" s="9">
        <f>IF(14&lt;=核心参数输入!$B$9,SUMIFS(季度投融资!$D$156:$DT$156,季度投融资!$D$6:$DT$6,14),0)</f>
        <v>0</v>
      </c>
      <c r="S83" s="9">
        <f>IF(15&lt;=核心参数输入!$B$9,SUMIFS(季度投融资!$D$156:$DT$156,季度投融资!$D$6:$DT$6,15),0)</f>
        <v>0</v>
      </c>
      <c r="T83" s="9">
        <f>IF(16&lt;=核心参数输入!$B$9,SUMIFS(季度投融资!$D$156:$DT$156,季度投融资!$D$6:$DT$6,16),0)</f>
        <v>0</v>
      </c>
      <c r="U83" s="9">
        <f>IF(17&lt;=核心参数输入!$B$9,SUMIFS(季度投融资!$D$156:$DT$156,季度投融资!$D$6:$DT$6,17),0)</f>
        <v>0</v>
      </c>
      <c r="V83" s="9">
        <f>IF(18&lt;=核心参数输入!$B$9,SUMIFS(季度投融资!$D$156:$DT$156,季度投融资!$D$6:$DT$6,18),0)</f>
        <v>0</v>
      </c>
      <c r="W83" s="9">
        <f>IF(19&lt;=核心参数输入!$B$9,SUMIFS(季度投融资!$D$156:$DT$156,季度投融资!$D$6:$DT$6,19),0)</f>
        <v>0</v>
      </c>
      <c r="X83" s="9">
        <f>IF(20&lt;=核心参数输入!$B$9,SUMIFS(季度投融资!$D$156:$DT$156,季度投融资!$D$6:$DT$6,20),0)</f>
        <v>0</v>
      </c>
      <c r="Y83" s="9">
        <f>IF(21&lt;=核心参数输入!$B$9,SUMIFS(季度投融资!$D$156:$DT$156,季度投融资!$D$6:$DT$6,21),0)</f>
        <v>0</v>
      </c>
      <c r="Z83" s="9">
        <f>IF(22&lt;=核心参数输入!$B$9,SUMIFS(季度投融资!$D$156:$DT$156,季度投融资!$D$6:$DT$6,22),0)</f>
        <v>0</v>
      </c>
      <c r="AA83" s="9">
        <f>IF(23&lt;=核心参数输入!$B$9,SUMIFS(季度投融资!$D$156:$DT$156,季度投融资!$D$6:$DT$6,23),0)</f>
        <v>0</v>
      </c>
      <c r="AB83" s="9">
        <f>IF(24&lt;=核心参数输入!$B$9,SUMIFS(季度投融资!$D$156:$DT$156,季度投融资!$D$6:$DT$6,24),0)</f>
        <v>0</v>
      </c>
      <c r="AC83" s="9">
        <f>IF(25&lt;=核心参数输入!$B$9,SUMIFS(季度投融资!$D$156:$DT$156,季度投融资!$D$6:$DT$6,25),0)</f>
        <v>0</v>
      </c>
      <c r="AD83" s="9">
        <f>IF(26&lt;=核心参数输入!$B$9,SUMIFS(季度投融资!$D$156:$DT$156,季度投融资!$D$6:$DT$6,26),0)</f>
        <v>0</v>
      </c>
      <c r="AE83" s="9">
        <f>IF(27&lt;=核心参数输入!$B$9,SUMIFS(季度投融资!$D$156:$DT$156,季度投融资!$D$6:$DT$6,27),0)</f>
        <v>0</v>
      </c>
      <c r="AF83" s="9">
        <f>IF(28&lt;=核心参数输入!$B$9,SUMIFS(季度投融资!$D$156:$DT$156,季度投融资!$D$6:$DT$6,28),0)</f>
        <v>0</v>
      </c>
      <c r="AG83" s="9">
        <f>IF(29&lt;=核心参数输入!$B$9,SUMIFS(季度投融资!$D$156:$DT$156,季度投融资!$D$6:$DT$6,29),0)</f>
        <v>0</v>
      </c>
      <c r="AH83" s="9">
        <f>IF(30&lt;=核心参数输入!$B$9,SUMIFS(季度投融资!$D$156:$DT$156,季度投融资!$D$6:$DT$6,30),0)</f>
        <v>0</v>
      </c>
    </row>
    <row r="84" spans="1:34" ht="21" customHeight="1">
      <c r="A84" s="8" t="s">
        <v>376</v>
      </c>
      <c r="B84" s="8" t="s">
        <v>73</v>
      </c>
      <c r="C84" s="8"/>
      <c r="D84" s="9" t="str">
        <f>IF(0&lt;=核心参数输入!$B$9,IF(AND(0*4&gt;核心参数输入!$B$16*4+核心参数输入!$B$148+核心参数输入!$B$124,D83&gt;0.000001),D82/D83,""),"")</f>
        <v/>
      </c>
      <c r="E84" s="9" t="str">
        <f>IF(1&lt;=核心参数输入!$B$9,IF(AND(1*4&gt;核心参数输入!$B$16*4+核心参数输入!$B$148+核心参数输入!$B$124,E83&gt;0.000001),E82/E83,""),"")</f>
        <v/>
      </c>
      <c r="F84" s="9" t="str">
        <f>IF(2&lt;=核心参数输入!$B$9,IF(AND(2*4&gt;核心参数输入!$B$16*4+核心参数输入!$B$148+核心参数输入!$B$124,F83&gt;0.000001),F82/F83,""),"")</f>
        <v/>
      </c>
      <c r="G84" s="9" t="str">
        <f>IF(3&lt;=核心参数输入!$B$9,IF(AND(3*4&gt;核心参数输入!$B$16*4+核心参数输入!$B$148+核心参数输入!$B$124,G83&gt;0.000001),G82/G83,""),"")</f>
        <v/>
      </c>
      <c r="H84" s="9">
        <f>IF(4&lt;=核心参数输入!$B$9,IF(AND(4*4&gt;核心参数输入!$B$16*4+核心参数输入!$B$148+核心参数输入!$B$124,H83&gt;0.000001),H82/H83,""),"")</f>
        <v>1.8769897127980604</v>
      </c>
      <c r="I84" s="9">
        <f>IF(5&lt;=核心参数输入!$B$9,IF(AND(5*4&gt;核心参数输入!$B$16*4+核心参数输入!$B$148+核心参数输入!$B$124,I83&gt;0.000001),I82/I83,""),"")</f>
        <v>2.8794999224109774</v>
      </c>
      <c r="J84" s="9">
        <f>IF(6&lt;=核心参数输入!$B$9,IF(AND(6*4&gt;核心参数输入!$B$16*4+核心参数输入!$B$148+核心参数输入!$B$124,J83&gt;0.000001),J82/J83,""),"")</f>
        <v>2.4089567729526213</v>
      </c>
      <c r="K84" s="9">
        <f>IF(7&lt;=核心参数输入!$B$9,IF(AND(7*4&gt;核心参数输入!$B$16*4+核心参数输入!$B$148+核心参数输入!$B$124,K83&gt;0.000001),K82/K83,""),"")</f>
        <v>0.32514701217042924</v>
      </c>
      <c r="L84" s="9">
        <f>IF(8&lt;=核心参数输入!$B$9,IF(AND(8*4&gt;核心参数输入!$B$16*4+核心参数输入!$B$148+核心参数输入!$B$124,L83&gt;0.000001),L82/L83,""),"")</f>
        <v>0.14850575361696278</v>
      </c>
      <c r="M84" s="9">
        <f>IF(9&lt;=核心参数输入!$B$9,IF(AND(9*4&gt;核心参数输入!$B$16*4+核心参数输入!$B$148+核心参数输入!$B$124,M83&gt;0.000001),M82/M83,""),"")</f>
        <v>0.15735811109945883</v>
      </c>
      <c r="N84" s="9">
        <f>IF(10&lt;=核心参数输入!$B$9,IF(AND(10*4&gt;核心参数输入!$B$16*4+核心参数输入!$B$148+核心参数输入!$B$124,N83&gt;0.000001),N82/N83,""),"")</f>
        <v>0.16642380998567571</v>
      </c>
      <c r="O84" s="9" t="str">
        <f>IF(11&lt;=核心参数输入!$B$9,IF(AND(11*4&gt;核心参数输入!$B$16*4+核心参数输入!$B$148+核心参数输入!$B$124,O83&gt;0.000001),O82/O83,""),"")</f>
        <v/>
      </c>
      <c r="P84" s="9" t="str">
        <f>IF(12&lt;=核心参数输入!$B$9,IF(AND(12*4&gt;核心参数输入!$B$16*4+核心参数输入!$B$148+核心参数输入!$B$124,P83&gt;0.000001),P82/P83,""),"")</f>
        <v/>
      </c>
      <c r="Q84" s="9" t="str">
        <f>IF(13&lt;=核心参数输入!$B$9,IF(AND(13*4&gt;核心参数输入!$B$16*4+核心参数输入!$B$148+核心参数输入!$B$124,Q83&gt;0.000001),Q82/Q83,""),"")</f>
        <v/>
      </c>
      <c r="R84" s="9" t="str">
        <f>IF(14&lt;=核心参数输入!$B$9,IF(AND(14*4&gt;核心参数输入!$B$16*4+核心参数输入!$B$148+核心参数输入!$B$124,R83&gt;0.000001),R82/R83,""),"")</f>
        <v/>
      </c>
      <c r="S84" s="9" t="str">
        <f>IF(15&lt;=核心参数输入!$B$9,IF(AND(15*4&gt;核心参数输入!$B$16*4+核心参数输入!$B$148+核心参数输入!$B$124,S83&gt;0.000001),S82/S83,""),"")</f>
        <v/>
      </c>
      <c r="T84" s="9" t="str">
        <f>IF(16&lt;=核心参数输入!$B$9,IF(AND(16*4&gt;核心参数输入!$B$16*4+核心参数输入!$B$148+核心参数输入!$B$124,T83&gt;0.000001),T82/T83,""),"")</f>
        <v/>
      </c>
      <c r="U84" s="9" t="str">
        <f>IF(17&lt;=核心参数输入!$B$9,IF(AND(17*4&gt;核心参数输入!$B$16*4+核心参数输入!$B$148+核心参数输入!$B$124,U83&gt;0.000001),U82/U83,""),"")</f>
        <v/>
      </c>
      <c r="V84" s="9" t="str">
        <f>IF(18&lt;=核心参数输入!$B$9,IF(AND(18*4&gt;核心参数输入!$B$16*4+核心参数输入!$B$148+核心参数输入!$B$124,V83&gt;0.000001),V82/V83,""),"")</f>
        <v/>
      </c>
      <c r="W84" s="9" t="str">
        <f>IF(19&lt;=核心参数输入!$B$9,IF(AND(19*4&gt;核心参数输入!$B$16*4+核心参数输入!$B$148+核心参数输入!$B$124,W83&gt;0.000001),W82/W83,""),"")</f>
        <v/>
      </c>
      <c r="X84" s="9" t="str">
        <f>IF(20&lt;=核心参数输入!$B$9,IF(AND(20*4&gt;核心参数输入!$B$16*4+核心参数输入!$B$148+核心参数输入!$B$124,X83&gt;0.000001),X82/X83,""),"")</f>
        <v/>
      </c>
      <c r="Y84" s="9" t="str">
        <f>IF(21&lt;=核心参数输入!$B$9,IF(AND(21*4&gt;核心参数输入!$B$16*4+核心参数输入!$B$148+核心参数输入!$B$124,Y83&gt;0.000001),Y82/Y83,""),"")</f>
        <v/>
      </c>
      <c r="Z84" s="9" t="str">
        <f>IF(22&lt;=核心参数输入!$B$9,IF(AND(22*4&gt;核心参数输入!$B$16*4+核心参数输入!$B$148+核心参数输入!$B$124,Z83&gt;0.000001),Z82/Z83,""),"")</f>
        <v/>
      </c>
      <c r="AA84" s="9" t="str">
        <f>IF(23&lt;=核心参数输入!$B$9,IF(AND(23*4&gt;核心参数输入!$B$16*4+核心参数输入!$B$148+核心参数输入!$B$124,AA83&gt;0.000001),AA82/AA83,""),"")</f>
        <v/>
      </c>
      <c r="AB84" s="9" t="str">
        <f>IF(24&lt;=核心参数输入!$B$9,IF(AND(24*4&gt;核心参数输入!$B$16*4+核心参数输入!$B$148+核心参数输入!$B$124,AB83&gt;0.000001),AB82/AB83,""),"")</f>
        <v/>
      </c>
      <c r="AC84" s="9" t="str">
        <f>IF(25&lt;=核心参数输入!$B$9,IF(AND(25*4&gt;核心参数输入!$B$16*4+核心参数输入!$B$148+核心参数输入!$B$124,AC83&gt;0.000001),AC82/AC83,""),"")</f>
        <v/>
      </c>
      <c r="AD84" s="9" t="str">
        <f>IF(26&lt;=核心参数输入!$B$9,IF(AND(26*4&gt;核心参数输入!$B$16*4+核心参数输入!$B$148+核心参数输入!$B$124,AD83&gt;0.000001),AD82/AD83,""),"")</f>
        <v/>
      </c>
      <c r="AE84" s="9" t="str">
        <f>IF(27&lt;=核心参数输入!$B$9,IF(AND(27*4&gt;核心参数输入!$B$16*4+核心参数输入!$B$148+核心参数输入!$B$124,AE83&gt;0.000001),AE82/AE83,""),"")</f>
        <v/>
      </c>
      <c r="AF84" s="9" t="str">
        <f>IF(28&lt;=核心参数输入!$B$9,IF(AND(28*4&gt;核心参数输入!$B$16*4+核心参数输入!$B$148+核心参数输入!$B$124,AF83&gt;0.000001),AF82/AF83,""),"")</f>
        <v/>
      </c>
      <c r="AG84" s="9" t="str">
        <f>IF(29&lt;=核心参数输入!$B$9,IF(AND(29*4&gt;核心参数输入!$B$16*4+核心参数输入!$B$148+核心参数输入!$B$124,AG83&gt;0.000001),AG82/AG83,""),"")</f>
        <v/>
      </c>
      <c r="AH84" s="9" t="str">
        <f>IF(30&lt;=核心参数输入!$B$9,IF(AND(30*4&gt;核心参数输入!$B$16*4+核心参数输入!$B$148+核心参数输入!$B$124,AH83&gt;0.000001),AH82/AH83,""),"")</f>
        <v/>
      </c>
    </row>
    <row r="85" spans="1:34" ht="21" customHeight="1">
      <c r="A85" s="8" t="s">
        <v>377</v>
      </c>
      <c r="B85" s="8" t="s">
        <v>39</v>
      </c>
      <c r="C85" s="8"/>
      <c r="D85" s="9">
        <f>IF(0&lt;=核心参数输入!$B$9,SUMIFS(季度现金流!$D$155:$DT$155,季度现金流!$D$6:$DT$6,0),0)</f>
        <v>-8000</v>
      </c>
      <c r="E85" s="9">
        <f>IF(1&lt;=核心参数输入!$B$9,SUMIFS(季度现金流!$D$155:$DT$155,季度现金流!$D$6:$DT$6,1),0)</f>
        <v>-17463.599999999999</v>
      </c>
      <c r="F85" s="9">
        <f>IF(2&lt;=核心参数输入!$B$9,SUMIFS(季度现金流!$D$155:$DT$155,季度现金流!$D$6:$DT$6,2),0)</f>
        <v>-23284.800000000003</v>
      </c>
      <c r="G85" s="9">
        <f>IF(3&lt;=核心参数输入!$B$9,SUMIFS(季度现金流!$D$155:$DT$155,季度现金流!$D$6:$DT$6,3),0)</f>
        <v>-17463.599999999999</v>
      </c>
      <c r="H85" s="9">
        <f>IF(4&lt;=核心参数输入!$B$9,SUMIFS(季度现金流!$D$155:$DT$155,季度现金流!$D$6:$DT$6,4),0)</f>
        <v>9867.016395865001</v>
      </c>
      <c r="I85" s="9">
        <f>IF(5&lt;=核心参数输入!$B$9,SUMIFS(季度现金流!$D$155:$DT$155,季度现金流!$D$6:$DT$6,5),0)</f>
        <v>15385.785121139512</v>
      </c>
      <c r="J85" s="9">
        <f>IF(6&lt;=核心参数输入!$B$9,SUMIFS(季度现金流!$D$155:$DT$155,季度现金流!$D$6:$DT$6,6),0)</f>
        <v>12426.231482331741</v>
      </c>
      <c r="K85" s="9">
        <f>IF(7&lt;=核心参数输入!$B$9,SUMIFS(季度现金流!$D$155:$DT$155,季度现金流!$D$6:$DT$6,7),0)</f>
        <v>1620.2772360049996</v>
      </c>
      <c r="L85" s="9">
        <f>IF(8&lt;=核心参数输入!$B$9,SUMIFS(季度现金流!$D$155:$DT$155,季度现金流!$D$6:$DT$6,8),0)</f>
        <v>713.3049572837615</v>
      </c>
      <c r="M85" s="9">
        <f>IF(9&lt;=核心参数输入!$B$9,SUMIFS(季度现金流!$D$155:$DT$155,季度现金流!$D$6:$DT$6,9),0)</f>
        <v>727.50026720803373</v>
      </c>
      <c r="N85" s="9">
        <f>IF(10&lt;=核心参数输入!$B$9,SUMIFS(季度现金流!$D$155:$DT$155,季度现金流!$D$6:$DT$6,10),0)</f>
        <v>739.45665001135376</v>
      </c>
      <c r="O85" s="9">
        <f>IF(11&lt;=核心参数输入!$B$9,SUMIFS(季度现金流!$D$155:$DT$155,季度现金流!$D$6:$DT$6,11),0)</f>
        <v>751.55925613262798</v>
      </c>
      <c r="P85" s="9">
        <f>IF(12&lt;=核心参数输入!$B$9,SUMIFS(季度现金流!$D$155:$DT$155,季度现金流!$D$6:$DT$6,12),0)</f>
        <v>763.80961647314302</v>
      </c>
      <c r="Q85" s="9">
        <f>IF(13&lt;=核心参数输入!$B$9,SUMIFS(季度现金流!$D$155:$DT$155,季度现金流!$D$6:$DT$6,13),0)</f>
        <v>776.20927164873683</v>
      </c>
      <c r="R85" s="9">
        <f>IF(14&lt;=核心参数输入!$B$9,SUMIFS(季度现金流!$D$155:$DT$155,季度现金流!$D$6:$DT$6,14),0)</f>
        <v>788.75977187053422</v>
      </c>
      <c r="S85" s="9">
        <f>IF(15&lt;=核心参数输入!$B$9,SUMIFS(季度现金流!$D$155:$DT$155,季度现金流!$D$6:$DT$6,15),0)</f>
        <v>801.46267681859979</v>
      </c>
      <c r="T85" s="9">
        <f>IF(16&lt;=核心参数输入!$B$9,SUMIFS(季度现金流!$D$155:$DT$155,季度现金流!$D$6:$DT$6,16),0)</f>
        <v>814.3195555082865</v>
      </c>
      <c r="U85" s="9">
        <f>IF(17&lt;=核心参数输入!$B$9,SUMIFS(季度现金流!$D$155:$DT$155,季度现金流!$D$6:$DT$6,17),0)</f>
        <v>827.33198614906712</v>
      </c>
      <c r="V85" s="9">
        <f>IF(18&lt;=核心参数输入!$B$9,SUMIFS(季度现金流!$D$155:$DT$155,季度现金流!$D$6:$DT$6,18),0)</f>
        <v>840.50155599562197</v>
      </c>
      <c r="W85" s="9">
        <f>IF(19&lt;=核心参数输入!$B$9,SUMIFS(季度现金流!$D$155:$DT$155,季度现金流!$D$6:$DT$6,19),0)</f>
        <v>853.82986119096188</v>
      </c>
      <c r="X85" s="9">
        <f>IF(20&lt;=核心参数输入!$B$9,SUMIFS(季度现金流!$D$155:$DT$155,季度现金流!$D$6:$DT$6,20),0)</f>
        <v>867.31850660134</v>
      </c>
      <c r="Y85" s="9">
        <f>IF(21&lt;=核心参数输入!$B$9,SUMIFS(季度现金流!$D$155:$DT$155,季度现金流!$D$6:$DT$6,21),0)</f>
        <v>0</v>
      </c>
      <c r="Z85" s="9">
        <f>IF(22&lt;=核心参数输入!$B$9,SUMIFS(季度现金流!$D$155:$DT$155,季度现金流!$D$6:$DT$6,22),0)</f>
        <v>0</v>
      </c>
      <c r="AA85" s="9">
        <f>IF(23&lt;=核心参数输入!$B$9,SUMIFS(季度现金流!$D$155:$DT$155,季度现金流!$D$6:$DT$6,23),0)</f>
        <v>0</v>
      </c>
      <c r="AB85" s="9">
        <f>IF(24&lt;=核心参数输入!$B$9,SUMIFS(季度现金流!$D$155:$DT$155,季度现金流!$D$6:$DT$6,24),0)</f>
        <v>0</v>
      </c>
      <c r="AC85" s="9">
        <f>IF(25&lt;=核心参数输入!$B$9,SUMIFS(季度现金流!$D$155:$DT$155,季度现金流!$D$6:$DT$6,25),0)</f>
        <v>0</v>
      </c>
      <c r="AD85" s="9">
        <f>IF(26&lt;=核心参数输入!$B$9,SUMIFS(季度现金流!$D$155:$DT$155,季度现金流!$D$6:$DT$6,26),0)</f>
        <v>0</v>
      </c>
      <c r="AE85" s="9">
        <f>IF(27&lt;=核心参数输入!$B$9,SUMIFS(季度现金流!$D$155:$DT$155,季度现金流!$D$6:$DT$6,27),0)</f>
        <v>0</v>
      </c>
      <c r="AF85" s="9">
        <f>IF(28&lt;=核心参数输入!$B$9,SUMIFS(季度现金流!$D$155:$DT$155,季度现金流!$D$6:$DT$6,28),0)</f>
        <v>0</v>
      </c>
      <c r="AG85" s="9">
        <f>IF(29&lt;=核心参数输入!$B$9,SUMIFS(季度现金流!$D$155:$DT$155,季度现金流!$D$6:$DT$6,29),0)</f>
        <v>0</v>
      </c>
      <c r="AH85" s="9">
        <f>IF(30&lt;=核心参数输入!$B$9,SUMIFS(季度现金流!$D$155:$DT$155,季度现金流!$D$6:$DT$6,30),0)</f>
        <v>0</v>
      </c>
    </row>
    <row r="86" spans="1:34" ht="21" customHeight="1">
      <c r="A86" s="8" t="s">
        <v>378</v>
      </c>
      <c r="B86" s="8" t="s">
        <v>39</v>
      </c>
      <c r="C86" s="8"/>
      <c r="D86" s="9">
        <f>IF(0&lt;=核心参数输入!$B$9,SUMIFS(季度现金流!$D$157:$DT$157,季度现金流!$D$6:$DT$6,0),0)</f>
        <v>-8000</v>
      </c>
      <c r="E86" s="9">
        <f>IF(1&lt;=核心参数输入!$B$9,SUMIFS(季度现金流!$D$157:$DT$157,季度现金流!$D$6:$DT$6,1),0)</f>
        <v>-8652.5999999999985</v>
      </c>
      <c r="F86" s="9">
        <f>IF(2&lt;=核心参数输入!$B$9,SUMIFS(季度现金流!$D$157:$DT$157,季度现金流!$D$6:$DT$6,2),0)</f>
        <v>-11914.800000000003</v>
      </c>
      <c r="G86" s="9">
        <f>IF(3&lt;=核心参数输入!$B$9,SUMIFS(季度现金流!$D$157:$DT$157,季度现金流!$D$6:$DT$6,3),0)</f>
        <v>-9534.5999999999985</v>
      </c>
      <c r="H86" s="9">
        <f>IF(4&lt;=核心参数输入!$B$9,SUMIFS(季度现金流!$D$157:$DT$157,季度现金流!$D$6:$DT$6,4),0)</f>
        <v>4343.8021101507156</v>
      </c>
      <c r="I86" s="9">
        <f>IF(5&lt;=核心参数输入!$B$9,SUMIFS(季度现金流!$D$157:$DT$157,季度现金流!$D$6:$DT$6,5),0)</f>
        <v>2264.9985411391094</v>
      </c>
      <c r="J86" s="9">
        <f>IF(6&lt;=核心参数输入!$B$9,SUMIFS(季度现金流!$D$157:$DT$157,季度现金流!$D$6:$DT$6,6),0)</f>
        <v>0</v>
      </c>
      <c r="K86" s="9">
        <f>IF(7&lt;=核心参数输入!$B$9,SUMIFS(季度现金流!$D$157:$DT$157,季度现金流!$D$6:$DT$6,7),0)</f>
        <v>0</v>
      </c>
      <c r="L86" s="9">
        <f>IF(8&lt;=核心参数输入!$B$9,SUMIFS(季度现金流!$D$157:$DT$157,季度现金流!$D$6:$DT$6,8),0)</f>
        <v>0</v>
      </c>
      <c r="M86" s="9">
        <f>IF(9&lt;=核心参数输入!$B$9,SUMIFS(季度现金流!$D$157:$DT$157,季度现金流!$D$6:$DT$6,9),0)</f>
        <v>0</v>
      </c>
      <c r="N86" s="9">
        <f>IF(10&lt;=核心参数输入!$B$9,SUMIFS(季度现金流!$D$157:$DT$157,季度现金流!$D$6:$DT$6,10),0)</f>
        <v>0</v>
      </c>
      <c r="O86" s="9">
        <f>IF(11&lt;=核心参数输入!$B$9,SUMIFS(季度现金流!$D$157:$DT$157,季度现金流!$D$6:$DT$6,11),0)</f>
        <v>751.55925613262798</v>
      </c>
      <c r="P86" s="9">
        <f>IF(12&lt;=核心参数输入!$B$9,SUMIFS(季度现金流!$D$157:$DT$157,季度现金流!$D$6:$DT$6,12),0)</f>
        <v>763.80961647314302</v>
      </c>
      <c r="Q86" s="9">
        <f>IF(13&lt;=核心参数输入!$B$9,SUMIFS(季度现金流!$D$157:$DT$157,季度现金流!$D$6:$DT$6,13),0)</f>
        <v>776.20927164873683</v>
      </c>
      <c r="R86" s="9">
        <f>IF(14&lt;=核心参数输入!$B$9,SUMIFS(季度现金流!$D$157:$DT$157,季度现金流!$D$6:$DT$6,14),0)</f>
        <v>788.75977187053422</v>
      </c>
      <c r="S86" s="9">
        <f>IF(15&lt;=核心参数输入!$B$9,SUMIFS(季度现金流!$D$157:$DT$157,季度现金流!$D$6:$DT$6,15),0)</f>
        <v>801.46267681859979</v>
      </c>
      <c r="T86" s="9">
        <f>IF(16&lt;=核心参数输入!$B$9,SUMIFS(季度现金流!$D$157:$DT$157,季度现金流!$D$6:$DT$6,16),0)</f>
        <v>814.3195555082865</v>
      </c>
      <c r="U86" s="9">
        <f>IF(17&lt;=核心参数输入!$B$9,SUMIFS(季度现金流!$D$157:$DT$157,季度现金流!$D$6:$DT$6,17),0)</f>
        <v>827.33198614906712</v>
      </c>
      <c r="V86" s="9">
        <f>IF(18&lt;=核心参数输入!$B$9,SUMIFS(季度现金流!$D$157:$DT$157,季度现金流!$D$6:$DT$6,18),0)</f>
        <v>840.50155599562197</v>
      </c>
      <c r="W86" s="9">
        <f>IF(19&lt;=核心参数输入!$B$9,SUMIFS(季度现金流!$D$157:$DT$157,季度现金流!$D$6:$DT$6,19),0)</f>
        <v>853.82986119096188</v>
      </c>
      <c r="X86" s="9">
        <f>IF(20&lt;=核心参数输入!$B$9,SUMIFS(季度现金流!$D$157:$DT$157,季度现金流!$D$6:$DT$6,20),0)</f>
        <v>867.31850660134</v>
      </c>
      <c r="Y86" s="9">
        <f>IF(21&lt;=核心参数输入!$B$9,SUMIFS(季度现金流!$D$157:$DT$157,季度现金流!$D$6:$DT$6,21),0)</f>
        <v>0</v>
      </c>
      <c r="Z86" s="9">
        <f>IF(22&lt;=核心参数输入!$B$9,SUMIFS(季度现金流!$D$157:$DT$157,季度现金流!$D$6:$DT$6,22),0)</f>
        <v>0</v>
      </c>
      <c r="AA86" s="9">
        <f>IF(23&lt;=核心参数输入!$B$9,SUMIFS(季度现金流!$D$157:$DT$157,季度现金流!$D$6:$DT$6,23),0)</f>
        <v>0</v>
      </c>
      <c r="AB86" s="9">
        <f>IF(24&lt;=核心参数输入!$B$9,SUMIFS(季度现金流!$D$157:$DT$157,季度现金流!$D$6:$DT$6,24),0)</f>
        <v>0</v>
      </c>
      <c r="AC86" s="9">
        <f>IF(25&lt;=核心参数输入!$B$9,SUMIFS(季度现金流!$D$157:$DT$157,季度现金流!$D$6:$DT$6,25),0)</f>
        <v>0</v>
      </c>
      <c r="AD86" s="9">
        <f>IF(26&lt;=核心参数输入!$B$9,SUMIFS(季度现金流!$D$157:$DT$157,季度现金流!$D$6:$DT$6,26),0)</f>
        <v>0</v>
      </c>
      <c r="AE86" s="9">
        <f>IF(27&lt;=核心参数输入!$B$9,SUMIFS(季度现金流!$D$157:$DT$157,季度现金流!$D$6:$DT$6,27),0)</f>
        <v>0</v>
      </c>
      <c r="AF86" s="9">
        <f>IF(28&lt;=核心参数输入!$B$9,SUMIFS(季度现金流!$D$157:$DT$157,季度现金流!$D$6:$DT$6,28),0)</f>
        <v>0</v>
      </c>
      <c r="AG86" s="9">
        <f>IF(29&lt;=核心参数输入!$B$9,SUMIFS(季度现金流!$D$157:$DT$157,季度现金流!$D$6:$DT$6,29),0)</f>
        <v>0</v>
      </c>
      <c r="AH86" s="9">
        <f>IF(30&lt;=核心参数输入!$B$9,SUMIFS(季度现金流!$D$157:$DT$157,季度现金流!$D$6:$DT$6,30),0)</f>
        <v>0</v>
      </c>
    </row>
    <row r="87" spans="1:34" ht="21" customHeight="1">
      <c r="A87" s="8" t="s">
        <v>379</v>
      </c>
      <c r="B87" s="8" t="s">
        <v>39</v>
      </c>
      <c r="C87" s="8"/>
      <c r="D87" s="9">
        <f>IF(0&lt;=核心参数输入!$B$9,SUMIFS(季度现金流!$D$159:$DT$159,季度现金流!$D$6:$DT$6,0),0)</f>
        <v>8000</v>
      </c>
      <c r="E87" s="9">
        <f>IF(1&lt;=核心参数输入!$B$9,SUMIFS(季度现金流!$D$159:$DT$159,季度现金流!$D$6:$DT$6,1),0)</f>
        <v>8652.5999999999985</v>
      </c>
      <c r="F87" s="9">
        <f>IF(2&lt;=核心参数输入!$B$9,SUMIFS(季度现金流!$D$159:$DT$159,季度现金流!$D$6:$DT$6,2),0)</f>
        <v>11914.800000000003</v>
      </c>
      <c r="G87" s="9">
        <f>IF(3&lt;=核心参数输入!$B$9,SUMIFS(季度现金流!$D$159:$DT$159,季度现金流!$D$6:$DT$6,3),0)</f>
        <v>9534.5999999999985</v>
      </c>
      <c r="H87" s="9">
        <f>IF(4&lt;=核心参数输入!$B$9,SUMIFS(季度现金流!$D$159:$DT$159,季度现金流!$D$6:$DT$6,4),0)</f>
        <v>0</v>
      </c>
      <c r="I87" s="9">
        <f>IF(5&lt;=核心参数输入!$B$9,SUMIFS(季度现金流!$D$159:$DT$159,季度现金流!$D$6:$DT$6,5),0)</f>
        <v>0</v>
      </c>
      <c r="J87" s="9">
        <f>IF(6&lt;=核心参数输入!$B$9,SUMIFS(季度现金流!$D$159:$DT$159,季度现金流!$D$6:$DT$6,6),0)</f>
        <v>0</v>
      </c>
      <c r="K87" s="9">
        <f>IF(7&lt;=核心参数输入!$B$9,SUMIFS(季度现金流!$D$159:$DT$159,季度现金流!$D$6:$DT$6,7),0)</f>
        <v>0</v>
      </c>
      <c r="L87" s="9">
        <f>IF(8&lt;=核心参数输入!$B$9,SUMIFS(季度现金流!$D$159:$DT$159,季度现金流!$D$6:$DT$6,8),0)</f>
        <v>0</v>
      </c>
      <c r="M87" s="9">
        <f>IF(9&lt;=核心参数输入!$B$9,SUMIFS(季度现金流!$D$159:$DT$159,季度现金流!$D$6:$DT$6,9),0)</f>
        <v>0</v>
      </c>
      <c r="N87" s="9">
        <f>IF(10&lt;=核心参数输入!$B$9,SUMIFS(季度现金流!$D$159:$DT$159,季度现金流!$D$6:$DT$6,10),0)</f>
        <v>0</v>
      </c>
      <c r="O87" s="9">
        <f>IF(11&lt;=核心参数输入!$B$9,SUMIFS(季度现金流!$D$159:$DT$159,季度现金流!$D$6:$DT$6,11),0)</f>
        <v>0</v>
      </c>
      <c r="P87" s="9">
        <f>IF(12&lt;=核心参数输入!$B$9,SUMIFS(季度现金流!$D$159:$DT$159,季度现金流!$D$6:$DT$6,12),0)</f>
        <v>0</v>
      </c>
      <c r="Q87" s="9">
        <f>IF(13&lt;=核心参数输入!$B$9,SUMIFS(季度现金流!$D$159:$DT$159,季度现金流!$D$6:$DT$6,13),0)</f>
        <v>0</v>
      </c>
      <c r="R87" s="9">
        <f>IF(14&lt;=核心参数输入!$B$9,SUMIFS(季度现金流!$D$159:$DT$159,季度现金流!$D$6:$DT$6,14),0)</f>
        <v>0</v>
      </c>
      <c r="S87" s="9">
        <f>IF(15&lt;=核心参数输入!$B$9,SUMIFS(季度现金流!$D$159:$DT$159,季度现金流!$D$6:$DT$6,15),0)</f>
        <v>0</v>
      </c>
      <c r="T87" s="9">
        <f>IF(16&lt;=核心参数输入!$B$9,SUMIFS(季度现金流!$D$159:$DT$159,季度现金流!$D$6:$DT$6,16),0)</f>
        <v>0</v>
      </c>
      <c r="U87" s="9">
        <f>IF(17&lt;=核心参数输入!$B$9,SUMIFS(季度现金流!$D$159:$DT$159,季度现金流!$D$6:$DT$6,17),0)</f>
        <v>0</v>
      </c>
      <c r="V87" s="9">
        <f>IF(18&lt;=核心参数输入!$B$9,SUMIFS(季度现金流!$D$159:$DT$159,季度现金流!$D$6:$DT$6,18),0)</f>
        <v>0</v>
      </c>
      <c r="W87" s="9">
        <f>IF(19&lt;=核心参数输入!$B$9,SUMIFS(季度现金流!$D$159:$DT$159,季度现金流!$D$6:$DT$6,19),0)</f>
        <v>0</v>
      </c>
      <c r="X87" s="9">
        <f>IF(20&lt;=核心参数输入!$B$9,SUMIFS(季度现金流!$D$159:$DT$159,季度现金流!$D$6:$DT$6,20),0)</f>
        <v>0</v>
      </c>
      <c r="Y87" s="9">
        <f>IF(21&lt;=核心参数输入!$B$9,SUMIFS(季度现金流!$D$159:$DT$159,季度现金流!$D$6:$DT$6,21),0)</f>
        <v>0</v>
      </c>
      <c r="Z87" s="9">
        <f>IF(22&lt;=核心参数输入!$B$9,SUMIFS(季度现金流!$D$159:$DT$159,季度现金流!$D$6:$DT$6,22),0)</f>
        <v>0</v>
      </c>
      <c r="AA87" s="9">
        <f>IF(23&lt;=核心参数输入!$B$9,SUMIFS(季度现金流!$D$159:$DT$159,季度现金流!$D$6:$DT$6,23),0)</f>
        <v>0</v>
      </c>
      <c r="AB87" s="9">
        <f>IF(24&lt;=核心参数输入!$B$9,SUMIFS(季度现金流!$D$159:$DT$159,季度现金流!$D$6:$DT$6,24),0)</f>
        <v>0</v>
      </c>
      <c r="AC87" s="9">
        <f>IF(25&lt;=核心参数输入!$B$9,SUMIFS(季度现金流!$D$159:$DT$159,季度现金流!$D$6:$DT$6,25),0)</f>
        <v>0</v>
      </c>
      <c r="AD87" s="9">
        <f>IF(26&lt;=核心参数输入!$B$9,SUMIFS(季度现金流!$D$159:$DT$159,季度现金流!$D$6:$DT$6,26),0)</f>
        <v>0</v>
      </c>
      <c r="AE87" s="9">
        <f>IF(27&lt;=核心参数输入!$B$9,SUMIFS(季度现金流!$D$159:$DT$159,季度现金流!$D$6:$DT$6,27),0)</f>
        <v>0</v>
      </c>
      <c r="AF87" s="9">
        <f>IF(28&lt;=核心参数输入!$B$9,SUMIFS(季度现金流!$D$159:$DT$159,季度现金流!$D$6:$DT$6,28),0)</f>
        <v>0</v>
      </c>
      <c r="AG87" s="9">
        <f>IF(29&lt;=核心参数输入!$B$9,SUMIFS(季度现金流!$D$159:$DT$159,季度现金流!$D$6:$DT$6,29),0)</f>
        <v>0</v>
      </c>
      <c r="AH87" s="9">
        <f>IF(30&lt;=核心参数输入!$B$9,SUMIFS(季度现金流!$D$159:$DT$159,季度现金流!$D$6:$DT$6,30),0)</f>
        <v>0</v>
      </c>
    </row>
    <row r="88" spans="1:34" ht="21" customHeight="1">
      <c r="A88" s="8" t="s">
        <v>380</v>
      </c>
      <c r="B88" s="8" t="s">
        <v>39</v>
      </c>
      <c r="C88" s="8"/>
      <c r="D88" s="9">
        <f>IF(0&lt;=核心参数输入!$B$9,SUMIFS(季度现金流!$D$160:$DT$160,季度现金流!$D$6:$DT$6,0),0)</f>
        <v>0</v>
      </c>
      <c r="E88" s="9">
        <f>IF(1&lt;=核心参数输入!$B$9,SUMIFS(季度现金流!$D$160:$DT$160,季度现金流!$D$6:$DT$6,1),0)</f>
        <v>0</v>
      </c>
      <c r="F88" s="9">
        <f>IF(2&lt;=核心参数输入!$B$9,SUMIFS(季度现金流!$D$160:$DT$160,季度现金流!$D$6:$DT$6,2),0)</f>
        <v>0</v>
      </c>
      <c r="G88" s="9">
        <f>IF(3&lt;=核心参数输入!$B$9,SUMIFS(季度现金流!$D$160:$DT$160,季度现金流!$D$6:$DT$6,3),0)</f>
        <v>0</v>
      </c>
      <c r="H88" s="9">
        <f>IF(4&lt;=核心参数输入!$B$9,SUMIFS(季度现金流!$D$160:$DT$160,季度现金流!$D$6:$DT$6,4),0)</f>
        <v>4343.8021101507156</v>
      </c>
      <c r="I88" s="9">
        <f>IF(5&lt;=核心参数输入!$B$9,SUMIFS(季度现金流!$D$160:$DT$160,季度现金流!$D$6:$DT$6,5),0)</f>
        <v>2264.9985411391094</v>
      </c>
      <c r="J88" s="9">
        <f>IF(6&lt;=核心参数输入!$B$9,SUMIFS(季度现金流!$D$160:$DT$160,季度现金流!$D$6:$DT$6,6),0)</f>
        <v>0</v>
      </c>
      <c r="K88" s="9">
        <f>IF(7&lt;=核心参数输入!$B$9,SUMIFS(季度现金流!$D$160:$DT$160,季度现金流!$D$6:$DT$6,7),0)</f>
        <v>0</v>
      </c>
      <c r="L88" s="9">
        <f>IF(8&lt;=核心参数输入!$B$9,SUMIFS(季度现金流!$D$160:$DT$160,季度现金流!$D$6:$DT$6,8),0)</f>
        <v>0</v>
      </c>
      <c r="M88" s="9">
        <f>IF(9&lt;=核心参数输入!$B$9,SUMIFS(季度现金流!$D$160:$DT$160,季度现金流!$D$6:$DT$6,9),0)</f>
        <v>0</v>
      </c>
      <c r="N88" s="9">
        <f>IF(10&lt;=核心参数输入!$B$9,SUMIFS(季度现金流!$D$160:$DT$160,季度现金流!$D$6:$DT$6,10),0)</f>
        <v>0</v>
      </c>
      <c r="O88" s="9">
        <f>IF(11&lt;=核心参数输入!$B$9,SUMIFS(季度现金流!$D$160:$DT$160,季度现金流!$D$6:$DT$6,11),0)</f>
        <v>751.55925613262798</v>
      </c>
      <c r="P88" s="9">
        <f>IF(12&lt;=核心参数输入!$B$9,SUMIFS(季度现金流!$D$160:$DT$160,季度现金流!$D$6:$DT$6,12),0)</f>
        <v>763.80961647314302</v>
      </c>
      <c r="Q88" s="9">
        <f>IF(13&lt;=核心参数输入!$B$9,SUMIFS(季度现金流!$D$160:$DT$160,季度现金流!$D$6:$DT$6,13),0)</f>
        <v>776.20927164873683</v>
      </c>
      <c r="R88" s="9">
        <f>IF(14&lt;=核心参数输入!$B$9,SUMIFS(季度现金流!$D$160:$DT$160,季度现金流!$D$6:$DT$6,14),0)</f>
        <v>788.75977187053422</v>
      </c>
      <c r="S88" s="9">
        <f>IF(15&lt;=核心参数输入!$B$9,SUMIFS(季度现金流!$D$160:$DT$160,季度现金流!$D$6:$DT$6,15),0)</f>
        <v>801.46267681859979</v>
      </c>
      <c r="T88" s="9">
        <f>IF(16&lt;=核心参数输入!$B$9,SUMIFS(季度现金流!$D$160:$DT$160,季度现金流!$D$6:$DT$6,16),0)</f>
        <v>814.3195555082865</v>
      </c>
      <c r="U88" s="9">
        <f>IF(17&lt;=核心参数输入!$B$9,SUMIFS(季度现金流!$D$160:$DT$160,季度现金流!$D$6:$DT$6,17),0)</f>
        <v>827.33198614906712</v>
      </c>
      <c r="V88" s="9">
        <f>IF(18&lt;=核心参数输入!$B$9,SUMIFS(季度现金流!$D$160:$DT$160,季度现金流!$D$6:$DT$6,18),0)</f>
        <v>840.50155599562197</v>
      </c>
      <c r="W88" s="9">
        <f>IF(19&lt;=核心参数输入!$B$9,SUMIFS(季度现金流!$D$160:$DT$160,季度现金流!$D$6:$DT$6,19),0)</f>
        <v>853.82986119096188</v>
      </c>
      <c r="X88" s="9">
        <f>IF(20&lt;=核心参数输入!$B$9,SUMIFS(季度现金流!$D$160:$DT$160,季度现金流!$D$6:$DT$6,20),0)</f>
        <v>867.31850660134</v>
      </c>
      <c r="Y88" s="9">
        <f>IF(21&lt;=核心参数输入!$B$9,SUMIFS(季度现金流!$D$160:$DT$160,季度现金流!$D$6:$DT$6,21),0)</f>
        <v>0</v>
      </c>
      <c r="Z88" s="9">
        <f>IF(22&lt;=核心参数输入!$B$9,SUMIFS(季度现金流!$D$160:$DT$160,季度现金流!$D$6:$DT$6,22),0)</f>
        <v>0</v>
      </c>
      <c r="AA88" s="9">
        <f>IF(23&lt;=核心参数输入!$B$9,SUMIFS(季度现金流!$D$160:$DT$160,季度现金流!$D$6:$DT$6,23),0)</f>
        <v>0</v>
      </c>
      <c r="AB88" s="9">
        <f>IF(24&lt;=核心参数输入!$B$9,SUMIFS(季度现金流!$D$160:$DT$160,季度现金流!$D$6:$DT$6,24),0)</f>
        <v>0</v>
      </c>
      <c r="AC88" s="9">
        <f>IF(25&lt;=核心参数输入!$B$9,SUMIFS(季度现金流!$D$160:$DT$160,季度现金流!$D$6:$DT$6,25),0)</f>
        <v>0</v>
      </c>
      <c r="AD88" s="9">
        <f>IF(26&lt;=核心参数输入!$B$9,SUMIFS(季度现金流!$D$160:$DT$160,季度现金流!$D$6:$DT$6,26),0)</f>
        <v>0</v>
      </c>
      <c r="AE88" s="9">
        <f>IF(27&lt;=核心参数输入!$B$9,SUMIFS(季度现金流!$D$160:$DT$160,季度现金流!$D$6:$DT$6,27),0)</f>
        <v>0</v>
      </c>
      <c r="AF88" s="9">
        <f>IF(28&lt;=核心参数输入!$B$9,SUMIFS(季度现金流!$D$160:$DT$160,季度现金流!$D$6:$DT$6,28),0)</f>
        <v>0</v>
      </c>
      <c r="AG88" s="9">
        <f>IF(29&lt;=核心参数输入!$B$9,SUMIFS(季度现金流!$D$160:$DT$160,季度现金流!$D$6:$DT$6,29),0)</f>
        <v>0</v>
      </c>
      <c r="AH88" s="9">
        <f>IF(30&lt;=核心参数输入!$B$9,SUMIFS(季度现金流!$D$160:$DT$160,季度现金流!$D$6:$DT$6,30),0)</f>
        <v>0</v>
      </c>
    </row>
    <row r="89" spans="1:34" ht="21" customHeight="1">
      <c r="A89" s="8" t="s">
        <v>381</v>
      </c>
      <c r="B89" s="8" t="s">
        <v>39</v>
      </c>
      <c r="C89" s="8"/>
      <c r="D89" s="9">
        <f>IF(0&lt;=核心参数输入!$B$9,INDEX(季度现金流!$D$161:$DT$161,1,0*4+1),0)</f>
        <v>0</v>
      </c>
      <c r="E89" s="9">
        <f>IF(1&lt;=核心参数输入!$B$9,INDEX(季度现金流!$D$161:$DT$161,1,1*4+1),0)</f>
        <v>0</v>
      </c>
      <c r="F89" s="9">
        <f>IF(2&lt;=核心参数输入!$B$9,INDEX(季度现金流!$D$161:$DT$161,1,2*4+1),0)</f>
        <v>0</v>
      </c>
      <c r="G89" s="9">
        <f>IF(3&lt;=核心参数输入!$B$9,INDEX(季度现金流!$D$161:$DT$161,1,3*4+1),0)</f>
        <v>0</v>
      </c>
      <c r="H89" s="9">
        <f>IF(4&lt;=核心参数输入!$B$9,INDEX(季度现金流!$D$161:$DT$161,1,4*4+1),0)</f>
        <v>0</v>
      </c>
      <c r="I89" s="9">
        <f>IF(5&lt;=核心参数输入!$B$9,INDEX(季度现金流!$D$161:$DT$161,1,5*4+1),0)</f>
        <v>7777.5722942861175</v>
      </c>
      <c r="J89" s="9">
        <f>IF(6&lt;=核心参数输入!$B$9,INDEX(季度现金流!$D$161:$DT$161,1,6*4+1),0)</f>
        <v>15052.318032348991</v>
      </c>
      <c r="K89" s="9">
        <f>IF(7&lt;=核心参数输入!$B$9,INDEX(季度现金流!$D$161:$DT$161,1,7*4+1),0)</f>
        <v>11689.380982639706</v>
      </c>
      <c r="L89" s="9">
        <f>IF(8&lt;=核心参数输入!$B$9,INDEX(季度现金流!$D$161:$DT$161,1,8*4+1),0)</f>
        <v>7599.471654209181</v>
      </c>
      <c r="M89" s="9">
        <f>IF(9&lt;=核心参数输入!$B$9,INDEX(季度现金流!$D$161:$DT$161,1,9*4+1),0)</f>
        <v>3703.7576357029293</v>
      </c>
      <c r="N89" s="9">
        <f>IF(10&lt;=核心参数输入!$B$9,INDEX(季度现金流!$D$161:$DT$161,1,10*4+1),0)</f>
        <v>0</v>
      </c>
      <c r="O89" s="9">
        <f>IF(11&lt;=核心参数输入!$B$9,INDEX(季度现金流!$D$161:$DT$161,1,11*4+1),0)</f>
        <v>0</v>
      </c>
      <c r="P89" s="9">
        <f>IF(12&lt;=核心参数输入!$B$9,INDEX(季度现金流!$D$161:$DT$161,1,12*4+1),0)</f>
        <v>0</v>
      </c>
      <c r="Q89" s="9">
        <f>IF(13&lt;=核心参数输入!$B$9,INDEX(季度现金流!$D$161:$DT$161,1,13*4+1),0)</f>
        <v>0</v>
      </c>
      <c r="R89" s="9">
        <f>IF(14&lt;=核心参数输入!$B$9,INDEX(季度现金流!$D$161:$DT$161,1,14*4+1),0)</f>
        <v>0</v>
      </c>
      <c r="S89" s="9">
        <f>IF(15&lt;=核心参数输入!$B$9,INDEX(季度现金流!$D$161:$DT$161,1,15*4+1),0)</f>
        <v>0</v>
      </c>
      <c r="T89" s="9">
        <f>IF(16&lt;=核心参数输入!$B$9,INDEX(季度现金流!$D$161:$DT$161,1,16*4+1),0)</f>
        <v>0</v>
      </c>
      <c r="U89" s="9">
        <f>IF(17&lt;=核心参数输入!$B$9,INDEX(季度现金流!$D$161:$DT$161,1,17*4+1),0)</f>
        <v>0</v>
      </c>
      <c r="V89" s="9">
        <f>IF(18&lt;=核心参数输入!$B$9,INDEX(季度现金流!$D$161:$DT$161,1,18*4+1),0)</f>
        <v>0</v>
      </c>
      <c r="W89" s="9">
        <f>IF(19&lt;=核心参数输入!$B$9,INDEX(季度现金流!$D$161:$DT$161,1,19*4+1),0)</f>
        <v>0</v>
      </c>
      <c r="X89" s="9">
        <f>IF(20&lt;=核心参数输入!$B$9,INDEX(季度现金流!$D$161:$DT$161,1,20*4+1),0)</f>
        <v>0</v>
      </c>
      <c r="Y89" s="9">
        <f>IF(21&lt;=核心参数输入!$B$9,INDEX(季度现金流!$D$161:$DT$161,1,21*4+1),0)</f>
        <v>0</v>
      </c>
      <c r="Z89" s="9">
        <f>IF(22&lt;=核心参数输入!$B$9,INDEX(季度现金流!$D$161:$DT$161,1,22*4+1),0)</f>
        <v>0</v>
      </c>
      <c r="AA89" s="9">
        <f>IF(23&lt;=核心参数输入!$B$9,INDEX(季度现金流!$D$161:$DT$161,1,23*4+1),0)</f>
        <v>0</v>
      </c>
      <c r="AB89" s="9">
        <f>IF(24&lt;=核心参数输入!$B$9,INDEX(季度现金流!$D$161:$DT$161,1,24*4+1),0)</f>
        <v>0</v>
      </c>
      <c r="AC89" s="9">
        <f>IF(25&lt;=核心参数输入!$B$9,INDEX(季度现金流!$D$161:$DT$161,1,25*4+1),0)</f>
        <v>0</v>
      </c>
      <c r="AD89" s="9">
        <f>IF(26&lt;=核心参数输入!$B$9,INDEX(季度现金流!$D$161:$DT$161,1,26*4+1),0)</f>
        <v>0</v>
      </c>
      <c r="AE89" s="9">
        <f>IF(27&lt;=核心参数输入!$B$9,INDEX(季度现金流!$D$161:$DT$161,1,27*4+1),0)</f>
        <v>0</v>
      </c>
      <c r="AF89" s="9">
        <f>IF(28&lt;=核心参数输入!$B$9,INDEX(季度现金流!$D$161:$DT$161,1,28*4+1),0)</f>
        <v>0</v>
      </c>
      <c r="AG89" s="9">
        <f>IF(29&lt;=核心参数输入!$B$9,INDEX(季度现金流!$D$161:$DT$161,1,29*4+1),0)</f>
        <v>0</v>
      </c>
      <c r="AH89" s="9">
        <f>IF(30&lt;=核心参数输入!$B$9,INDEX(季度现金流!$D$161:$DT$161,1,30*4+1),0)</f>
        <v>0</v>
      </c>
    </row>
    <row r="90" spans="1:34" ht="21" customHeight="1">
      <c r="A90" s="8" t="s">
        <v>382</v>
      </c>
      <c r="B90" s="8" t="s">
        <v>39</v>
      </c>
      <c r="C90" s="8"/>
      <c r="D90" s="9">
        <f>IF(0&lt;=核心参数输入!$B$9,季度现金流!D168,0)</f>
        <v>0</v>
      </c>
      <c r="E90" s="9">
        <f>IF(1&lt;=核心参数输入!$B$9,MAX(季度现金流!$E$168:$H$168),0)</f>
        <v>0</v>
      </c>
      <c r="F90" s="9">
        <f>IF(2&lt;=核心参数输入!$B$9,MAX(季度现金流!$I$168:$L$168),0)</f>
        <v>0</v>
      </c>
      <c r="G90" s="9">
        <f>IF(3&lt;=核心参数输入!$B$9,MAX(季度现金流!$M$168:$P$168),0)</f>
        <v>5102.0000000000018</v>
      </c>
      <c r="H90" s="9">
        <f>IF(4&lt;=核心参数输入!$B$9,MAX(季度现金流!$Q$168:$T$168),0)</f>
        <v>4098.6573437500019</v>
      </c>
      <c r="I90" s="9">
        <f>IF(5&lt;=核心参数输入!$B$9,MAX(季度现金流!$U$168:$X$168),0)</f>
        <v>0</v>
      </c>
      <c r="J90" s="9">
        <f>IF(6&lt;=核心参数输入!$B$9,MAX(季度现金流!$Y$168:$AB$168),0)</f>
        <v>0</v>
      </c>
      <c r="K90" s="9">
        <f>IF(7&lt;=核心参数输入!$B$9,MAX(季度现金流!$AC$168:$AF$168),0)</f>
        <v>0</v>
      </c>
      <c r="L90" s="9">
        <f>IF(8&lt;=核心参数输入!$B$9,MAX(季度现金流!$AG$168:$AJ$168),0)</f>
        <v>0</v>
      </c>
      <c r="M90" s="9">
        <f>IF(9&lt;=核心参数输入!$B$9,MAX(季度现金流!$AK$168:$AN$168),0)</f>
        <v>0</v>
      </c>
      <c r="N90" s="9">
        <f>IF(10&lt;=核心参数输入!$B$9,MAX(季度现金流!$AO$168:$AR$168),0)</f>
        <v>0</v>
      </c>
      <c r="O90" s="9">
        <f>IF(11&lt;=核心参数输入!$B$9,MAX(季度现金流!$AS$168:$AV$168),0)</f>
        <v>0</v>
      </c>
      <c r="P90" s="9">
        <f>IF(12&lt;=核心参数输入!$B$9,MAX(季度现金流!$AW$168:$AZ$168),0)</f>
        <v>0</v>
      </c>
      <c r="Q90" s="9">
        <f>IF(13&lt;=核心参数输入!$B$9,MAX(季度现金流!$BA$168:$BD$168),0)</f>
        <v>0</v>
      </c>
      <c r="R90" s="9">
        <f>IF(14&lt;=核心参数输入!$B$9,MAX(季度现金流!$BE$168:$BH$168),0)</f>
        <v>0</v>
      </c>
      <c r="S90" s="9">
        <f>IF(15&lt;=核心参数输入!$B$9,MAX(季度现金流!$BI$168:$BL$168),0)</f>
        <v>0</v>
      </c>
      <c r="T90" s="9">
        <f>IF(16&lt;=核心参数输入!$B$9,MAX(季度现金流!$BM$168:$BP$168),0)</f>
        <v>0</v>
      </c>
      <c r="U90" s="9">
        <f>IF(17&lt;=核心参数输入!$B$9,MAX(季度现金流!$BQ$168:$BT$168),0)</f>
        <v>0</v>
      </c>
      <c r="V90" s="9">
        <f>IF(18&lt;=核心参数输入!$B$9,MAX(季度现金流!$BU$168:$BX$168),0)</f>
        <v>0</v>
      </c>
      <c r="W90" s="9">
        <f>IF(19&lt;=核心参数输入!$B$9,MAX(季度现金流!$BY$168:$CB$168),0)</f>
        <v>0</v>
      </c>
      <c r="X90" s="9">
        <f>IF(20&lt;=核心参数输入!$B$9,MAX(季度现金流!$CC$168:$CF$168),0)</f>
        <v>0</v>
      </c>
      <c r="Y90" s="9">
        <f>IF(21&lt;=核心参数输入!$B$9,MAX(季度现金流!$CG$168:$CJ$168),0)</f>
        <v>0</v>
      </c>
      <c r="Z90" s="9">
        <f>IF(22&lt;=核心参数输入!$B$9,MAX(季度现金流!$CK$168:$CN$168),0)</f>
        <v>0</v>
      </c>
      <c r="AA90" s="9">
        <f>IF(23&lt;=核心参数输入!$B$9,MAX(季度现金流!$CO$168:$CR$168),0)</f>
        <v>0</v>
      </c>
      <c r="AB90" s="9">
        <f>IF(24&lt;=核心参数输入!$B$9,MAX(季度现金流!$CS$168:$CV$168),0)</f>
        <v>0</v>
      </c>
      <c r="AC90" s="9">
        <f>IF(25&lt;=核心参数输入!$B$9,MAX(季度现金流!$CW$168:$CZ$168),0)</f>
        <v>0</v>
      </c>
      <c r="AD90" s="9">
        <f>IF(26&lt;=核心参数输入!$B$9,MAX(季度现金流!$DA$168:$DD$168),0)</f>
        <v>0</v>
      </c>
      <c r="AE90" s="9">
        <f>IF(27&lt;=核心参数输入!$B$9,MAX(季度现金流!$DE$168:$DH$168),0)</f>
        <v>0</v>
      </c>
      <c r="AF90" s="9">
        <f>IF(28&lt;=核心参数输入!$B$9,MAX(季度现金流!$DI$168:$DL$168),0)</f>
        <v>0</v>
      </c>
      <c r="AG90" s="9">
        <f>IF(29&lt;=核心参数输入!$B$9,MAX(季度现金流!$DM$168:$DP$168),0)</f>
        <v>0</v>
      </c>
      <c r="AH90" s="9">
        <f>IF(30&lt;=核心参数输入!$B$9,MAX(季度现金流!$DQ$168:$DT$168),0)</f>
        <v>0</v>
      </c>
    </row>
    <row r="91" spans="1:34" ht="21" customHeight="1">
      <c r="A91" s="8" t="s">
        <v>383</v>
      </c>
      <c r="B91" s="8" t="s">
        <v>39</v>
      </c>
      <c r="C91" s="8"/>
      <c r="D91" s="9">
        <f>IF(0&lt;=核心参数输入!$B$9,SUMIFS(季度现金流!$D$177:$DT$177,季度现金流!$D$6:$DT$6,0),0)</f>
        <v>0</v>
      </c>
      <c r="E91" s="9">
        <f>IF(1&lt;=核心参数输入!$B$9,SUMIFS(季度现金流!$D$177:$DT$177,季度现金流!$D$6:$DT$6,1),0)</f>
        <v>189</v>
      </c>
      <c r="F91" s="9">
        <f>IF(2&lt;=核心参数输入!$B$9,SUMIFS(季度现金流!$D$177:$DT$177,季度现金流!$D$6:$DT$6,2),0)</f>
        <v>630</v>
      </c>
      <c r="G91" s="9">
        <f>IF(3&lt;=核心参数输入!$B$9,SUMIFS(季度现金流!$D$177:$DT$177,季度现金流!$D$6:$DT$6,3),0)</f>
        <v>1071</v>
      </c>
      <c r="H91" s="9">
        <f>IF(4&lt;=核心参数输入!$B$9,SUMIFS(季度现金流!$D$177:$DT$177,季度现金流!$D$6:$DT$6,4),0)</f>
        <v>1692.723284539285</v>
      </c>
      <c r="I91" s="9">
        <f>IF(5&lt;=核心参数输入!$B$9,SUMIFS(季度现金流!$D$177:$DT$177,季度现金流!$D$6:$DT$6,5),0)</f>
        <v>575.69146819414755</v>
      </c>
      <c r="J91" s="9">
        <f>IF(6&lt;=核心参数输入!$B$9,SUMIFS(季度现金流!$D$177:$DT$177,季度现金流!$D$6:$DT$6,6),0)</f>
        <v>1438.7655434341505</v>
      </c>
      <c r="K91" s="9">
        <f>IF(7&lt;=核心参数输入!$B$9,SUMIFS(季度现金流!$D$177:$DT$177,季度现金流!$D$6:$DT$6,7),0)</f>
        <v>4310.425262543823</v>
      </c>
      <c r="L91" s="9">
        <f>IF(8&lt;=核心参数输入!$B$9,SUMIFS(季度现金流!$D$177:$DT$177,季度现金流!$D$6:$DT$6,8),0)</f>
        <v>4219.2921390522079</v>
      </c>
      <c r="M91" s="9">
        <f>IF(9&lt;=核心参数输入!$B$9,SUMIFS(季度现金流!$D$177:$DT$177,季度现金流!$D$6:$DT$6,9),0)</f>
        <v>4171.3392189122769</v>
      </c>
      <c r="N91" s="9">
        <f>IF(10&lt;=核心参数输入!$B$9,SUMIFS(季度现金流!$D$177:$DT$177,季度现金流!$D$6:$DT$6,10),0)</f>
        <v>4123.350123211445</v>
      </c>
      <c r="O91" s="9">
        <f>IF(11&lt;=核心参数输入!$B$9,SUMIFS(季度现金流!$D$177:$DT$177,季度现金流!$D$6:$DT$6,11),0)</f>
        <v>0</v>
      </c>
      <c r="P91" s="9">
        <f>IF(12&lt;=核心参数输入!$B$9,SUMIFS(季度现金流!$D$177:$DT$177,季度现金流!$D$6:$DT$6,12),0)</f>
        <v>0</v>
      </c>
      <c r="Q91" s="9">
        <f>IF(13&lt;=核心参数输入!$B$9,SUMIFS(季度现金流!$D$177:$DT$177,季度现金流!$D$6:$DT$6,13),0)</f>
        <v>0</v>
      </c>
      <c r="R91" s="9">
        <f>IF(14&lt;=核心参数输入!$B$9,SUMIFS(季度现金流!$D$177:$DT$177,季度现金流!$D$6:$DT$6,14),0)</f>
        <v>0</v>
      </c>
      <c r="S91" s="9">
        <f>IF(15&lt;=核心参数输入!$B$9,SUMIFS(季度现金流!$D$177:$DT$177,季度现金流!$D$6:$DT$6,15),0)</f>
        <v>0</v>
      </c>
      <c r="T91" s="9">
        <f>IF(16&lt;=核心参数输入!$B$9,SUMIFS(季度现金流!$D$177:$DT$177,季度现金流!$D$6:$DT$6,16),0)</f>
        <v>0</v>
      </c>
      <c r="U91" s="9">
        <f>IF(17&lt;=核心参数输入!$B$9,SUMIFS(季度现金流!$D$177:$DT$177,季度现金流!$D$6:$DT$6,17),0)</f>
        <v>0</v>
      </c>
      <c r="V91" s="9">
        <f>IF(18&lt;=核心参数输入!$B$9,SUMIFS(季度现金流!$D$177:$DT$177,季度现金流!$D$6:$DT$6,18),0)</f>
        <v>0</v>
      </c>
      <c r="W91" s="9">
        <f>IF(19&lt;=核心参数输入!$B$9,SUMIFS(季度现金流!$D$177:$DT$177,季度现金流!$D$6:$DT$6,19),0)</f>
        <v>0</v>
      </c>
      <c r="X91" s="9">
        <f>IF(20&lt;=核心参数输入!$B$9,SUMIFS(季度现金流!$D$177:$DT$177,季度现金流!$D$6:$DT$6,20),0)</f>
        <v>0</v>
      </c>
      <c r="Y91" s="9">
        <f>IF(21&lt;=核心参数输入!$B$9,SUMIFS(季度现金流!$D$177:$DT$177,季度现金流!$D$6:$DT$6,21),0)</f>
        <v>0</v>
      </c>
      <c r="Z91" s="9">
        <f>IF(22&lt;=核心参数输入!$B$9,SUMIFS(季度现金流!$D$177:$DT$177,季度现金流!$D$6:$DT$6,22),0)</f>
        <v>0</v>
      </c>
      <c r="AA91" s="9">
        <f>IF(23&lt;=核心参数输入!$B$9,SUMIFS(季度现金流!$D$177:$DT$177,季度现金流!$D$6:$DT$6,23),0)</f>
        <v>0</v>
      </c>
      <c r="AB91" s="9">
        <f>IF(24&lt;=核心参数输入!$B$9,SUMIFS(季度现金流!$D$177:$DT$177,季度现金流!$D$6:$DT$6,24),0)</f>
        <v>0</v>
      </c>
      <c r="AC91" s="9">
        <f>IF(25&lt;=核心参数输入!$B$9,SUMIFS(季度现金流!$D$177:$DT$177,季度现金流!$D$6:$DT$6,25),0)</f>
        <v>0</v>
      </c>
      <c r="AD91" s="9">
        <f>IF(26&lt;=核心参数输入!$B$9,SUMIFS(季度现金流!$D$177:$DT$177,季度现金流!$D$6:$DT$6,26),0)</f>
        <v>0</v>
      </c>
      <c r="AE91" s="9">
        <f>IF(27&lt;=核心参数输入!$B$9,SUMIFS(季度现金流!$D$177:$DT$177,季度现金流!$D$6:$DT$6,27),0)</f>
        <v>0</v>
      </c>
      <c r="AF91" s="9">
        <f>IF(28&lt;=核心参数输入!$B$9,SUMIFS(季度现金流!$D$177:$DT$177,季度现金流!$D$6:$DT$6,28),0)</f>
        <v>0</v>
      </c>
      <c r="AG91" s="9">
        <f>IF(29&lt;=核心参数输入!$B$9,SUMIFS(季度现金流!$D$177:$DT$177,季度现金流!$D$6:$DT$6,29),0)</f>
        <v>0</v>
      </c>
      <c r="AH91" s="9">
        <f>IF(30&lt;=核心参数输入!$B$9,SUMIFS(季度现金流!$D$177:$DT$177,季度现金流!$D$6:$DT$6,30),0)</f>
        <v>0</v>
      </c>
    </row>
    <row r="92" spans="1:34" ht="21" customHeight="1">
      <c r="A92" s="8" t="s">
        <v>384</v>
      </c>
      <c r="B92" s="8" t="s">
        <v>39</v>
      </c>
      <c r="C92" s="8"/>
      <c r="D92" s="9">
        <f>IF(0&lt;=核心参数输入!$B$9,INDEX(季度投融资!$D$153:$DT$153,1,0*4+1),0)</f>
        <v>0</v>
      </c>
      <c r="E92" s="9">
        <f>IF(1&lt;=核心参数输入!$B$9,INDEX(季度投融资!$D$153:$DT$153,1,1*4+1),0)</f>
        <v>9000</v>
      </c>
      <c r="F92" s="9">
        <f>IF(2&lt;=核心参数输入!$B$9,INDEX(季度投融资!$D$153:$DT$153,1,2*4+1),0)</f>
        <v>21000</v>
      </c>
      <c r="G92" s="9">
        <f>IF(3&lt;=核心参数输入!$B$9,INDEX(季度投融资!$D$153:$DT$153,1,3*4+1),0)</f>
        <v>30000</v>
      </c>
      <c r="H92" s="9">
        <f>IF(4&lt;=核心参数输入!$B$9,INDEX(季度投融资!$D$153:$DT$153,1,4*4+1),0)</f>
        <v>25714.285714285714</v>
      </c>
      <c r="I92" s="9">
        <f>IF(5&lt;=核心参数输入!$B$9,INDEX(季度投融资!$D$153:$DT$153,1,5*4+1),0)</f>
        <v>21428.571428571428</v>
      </c>
      <c r="J92" s="9">
        <f>IF(6&lt;=核心参数输入!$B$9,INDEX(季度投融资!$D$153:$DT$153,1,6*4+1),0)</f>
        <v>17142.857142857141</v>
      </c>
      <c r="K92" s="9">
        <f>IF(7&lt;=核心参数输入!$B$9,INDEX(季度投融资!$D$153:$DT$153,1,7*4+1),0)</f>
        <v>12857.142857142855</v>
      </c>
      <c r="L92" s="9">
        <f>IF(8&lt;=核心参数输入!$B$9,INDEX(季度投融资!$D$153:$DT$153,1,8*4+1),0)</f>
        <v>8571.4285714285688</v>
      </c>
      <c r="M92" s="9">
        <f>IF(9&lt;=核心参数输入!$B$9,INDEX(季度投融资!$D$153:$DT$153,1,9*4+1),0)</f>
        <v>4285.7142857142835</v>
      </c>
      <c r="N92" s="9">
        <f>IF(10&lt;=核心参数输入!$B$9,INDEX(季度投融资!$D$153:$DT$153,1,10*4+1),0)</f>
        <v>0</v>
      </c>
      <c r="O92" s="9">
        <f>IF(11&lt;=核心参数输入!$B$9,INDEX(季度投融资!$D$153:$DT$153,1,11*4+1),0)</f>
        <v>0</v>
      </c>
      <c r="P92" s="9">
        <f>IF(12&lt;=核心参数输入!$B$9,INDEX(季度投融资!$D$153:$DT$153,1,12*4+1),0)</f>
        <v>0</v>
      </c>
      <c r="Q92" s="9">
        <f>IF(13&lt;=核心参数输入!$B$9,INDEX(季度投融资!$D$153:$DT$153,1,13*4+1),0)</f>
        <v>0</v>
      </c>
      <c r="R92" s="9">
        <f>IF(14&lt;=核心参数输入!$B$9,INDEX(季度投融资!$D$153:$DT$153,1,14*4+1),0)</f>
        <v>0</v>
      </c>
      <c r="S92" s="9">
        <f>IF(15&lt;=核心参数输入!$B$9,INDEX(季度投融资!$D$153:$DT$153,1,15*4+1),0)</f>
        <v>0</v>
      </c>
      <c r="T92" s="9">
        <f>IF(16&lt;=核心参数输入!$B$9,INDEX(季度投融资!$D$153:$DT$153,1,16*4+1),0)</f>
        <v>0</v>
      </c>
      <c r="U92" s="9">
        <f>IF(17&lt;=核心参数输入!$B$9,INDEX(季度投融资!$D$153:$DT$153,1,17*4+1),0)</f>
        <v>0</v>
      </c>
      <c r="V92" s="9">
        <f>IF(18&lt;=核心参数输入!$B$9,INDEX(季度投融资!$D$153:$DT$153,1,18*4+1),0)</f>
        <v>0</v>
      </c>
      <c r="W92" s="9">
        <f>IF(19&lt;=核心参数输入!$B$9,INDEX(季度投融资!$D$153:$DT$153,1,19*4+1),0)</f>
        <v>0</v>
      </c>
      <c r="X92" s="9">
        <f>IF(20&lt;=核心参数输入!$B$9,INDEX(季度投融资!$D$153:$DT$153,1,20*4+1),0)</f>
        <v>0</v>
      </c>
      <c r="Y92" s="9">
        <f>IF(21&lt;=核心参数输入!$B$9,INDEX(季度投融资!$D$153:$DT$153,1,21*4+1),0)</f>
        <v>0</v>
      </c>
      <c r="Z92" s="9">
        <f>IF(22&lt;=核心参数输入!$B$9,INDEX(季度投融资!$D$153:$DT$153,1,22*4+1),0)</f>
        <v>0</v>
      </c>
      <c r="AA92" s="9">
        <f>IF(23&lt;=核心参数输入!$B$9,INDEX(季度投融资!$D$153:$DT$153,1,23*4+1),0)</f>
        <v>0</v>
      </c>
      <c r="AB92" s="9">
        <f>IF(24&lt;=核心参数输入!$B$9,INDEX(季度投融资!$D$153:$DT$153,1,24*4+1),0)</f>
        <v>0</v>
      </c>
      <c r="AC92" s="9">
        <f>IF(25&lt;=核心参数输入!$B$9,INDEX(季度投融资!$D$153:$DT$153,1,25*4+1),0)</f>
        <v>0</v>
      </c>
      <c r="AD92" s="9">
        <f>IF(26&lt;=核心参数输入!$B$9,INDEX(季度投融资!$D$153:$DT$153,1,26*4+1),0)</f>
        <v>0</v>
      </c>
      <c r="AE92" s="9">
        <f>IF(27&lt;=核心参数输入!$B$9,INDEX(季度投融资!$D$153:$DT$153,1,27*4+1),0)</f>
        <v>0</v>
      </c>
      <c r="AF92" s="9">
        <f>IF(28&lt;=核心参数输入!$B$9,INDEX(季度投融资!$D$153:$DT$153,1,28*4+1),0)</f>
        <v>0</v>
      </c>
      <c r="AG92" s="9">
        <f>IF(29&lt;=核心参数输入!$B$9,INDEX(季度投融资!$D$153:$DT$153,1,29*4+1),0)</f>
        <v>0</v>
      </c>
      <c r="AH92" s="9">
        <f>IF(30&lt;=核心参数输入!$B$9,INDEX(季度投融资!$D$153:$DT$153,1,30*4+1),0)</f>
        <v>0</v>
      </c>
    </row>
    <row r="93" spans="1:34" ht="21" customHeight="1">
      <c r="A93" s="8" t="s">
        <v>385</v>
      </c>
      <c r="B93" s="8" t="s">
        <v>39</v>
      </c>
      <c r="C93" s="8"/>
      <c r="D93" s="9">
        <f>IF(0&lt;=核心参数输入!$B$9,INDEX(季度现金流!$D$178:$DT$178,1,0*4+1),0)</f>
        <v>-8000</v>
      </c>
      <c r="E93" s="9">
        <f>IF(1&lt;=核心参数输入!$B$9,INDEX(季度现金流!$D$178:$DT$178,1,1*4+1),0)</f>
        <v>-25463.599999999999</v>
      </c>
      <c r="F93" s="9">
        <f>IF(2&lt;=核心参数输入!$B$9,INDEX(季度现金流!$D$178:$DT$178,1,2*4+1),0)</f>
        <v>-48748.399999999994</v>
      </c>
      <c r="G93" s="9">
        <f>IF(3&lt;=核心参数输入!$B$9,INDEX(季度现金流!$D$178:$DT$178,1,3*4+1),0)</f>
        <v>-66212</v>
      </c>
      <c r="H93" s="9">
        <f>IF(4&lt;=核心参数输入!$B$9,INDEX(季度现金流!$D$178:$DT$178,1,4*4+1),0)</f>
        <v>-56344.983604134992</v>
      </c>
      <c r="I93" s="9">
        <f>IF(5&lt;=核心参数输入!$B$9,INDEX(季度现金流!$D$178:$DT$178,1,5*4+1),0)</f>
        <v>-40959.198482995482</v>
      </c>
      <c r="J93" s="9">
        <f>IF(6&lt;=核心参数输入!$B$9,INDEX(季度现金流!$D$178:$DT$178,1,6*4+1),0)</f>
        <v>-28532.967000663735</v>
      </c>
      <c r="K93" s="9">
        <f>IF(7&lt;=核心参数输入!$B$9,INDEX(季度现金流!$D$178:$DT$178,1,7*4+1),0)</f>
        <v>-26912.689764658739</v>
      </c>
      <c r="L93" s="9">
        <f>IF(8&lt;=核心参数输入!$B$9,INDEX(季度现金流!$D$178:$DT$178,1,8*4+1),0)</f>
        <v>-26199.38480737498</v>
      </c>
      <c r="M93" s="9">
        <f>IF(9&lt;=核心参数输入!$B$9,INDEX(季度现金流!$D$178:$DT$178,1,9*4+1),0)</f>
        <v>-25471.88454016695</v>
      </c>
      <c r="N93" s="9">
        <f>IF(10&lt;=核心参数输入!$B$9,INDEX(季度现金流!$D$178:$DT$178,1,10*4+1),0)</f>
        <v>-24732.427890155592</v>
      </c>
      <c r="O93" s="9">
        <f>IF(11&lt;=核心参数输入!$B$9,INDEX(季度现金流!$D$178:$DT$178,1,11*4+1),0)</f>
        <v>-23980.868634022958</v>
      </c>
      <c r="P93" s="9">
        <f>IF(12&lt;=核心参数输入!$B$9,INDEX(季度现金流!$D$178:$DT$178,1,12*4+1),0)</f>
        <v>-23217.059017549818</v>
      </c>
      <c r="Q93" s="9">
        <f>IF(13&lt;=核心参数输入!$B$9,INDEX(季度现金流!$D$178:$DT$178,1,13*4+1),0)</f>
        <v>-22440.84974590108</v>
      </c>
      <c r="R93" s="9">
        <f>IF(14&lt;=核心参数输入!$B$9,INDEX(季度现金流!$D$178:$DT$178,1,14*4+1),0)</f>
        <v>-21652.089974030543</v>
      </c>
      <c r="S93" s="9">
        <f>IF(15&lt;=核心参数输入!$B$9,INDEX(季度现金流!$D$178:$DT$178,1,15*4+1),0)</f>
        <v>-20850.627297211944</v>
      </c>
      <c r="T93" s="9">
        <f>IF(16&lt;=核心参数输入!$B$9,INDEX(季度现金流!$D$178:$DT$178,1,16*4+1),0)</f>
        <v>-20036.307741703651</v>
      </c>
      <c r="U93" s="9">
        <f>IF(17&lt;=核心参数输入!$B$9,INDEX(季度现金流!$D$178:$DT$178,1,17*4+1),0)</f>
        <v>-19208.975755554591</v>
      </c>
      <c r="V93" s="9">
        <f>IF(18&lt;=核心参数输入!$B$9,INDEX(季度现金流!$D$178:$DT$178,1,18*4+1),0)</f>
        <v>-18368.474199558968</v>
      </c>
      <c r="W93" s="9">
        <f>IF(19&lt;=核心参数输入!$B$9,INDEX(季度现金流!$D$178:$DT$178,1,19*4+1),0)</f>
        <v>-17514.644338368013</v>
      </c>
      <c r="X93" s="9">
        <f>IF(20&lt;=核心参数输入!$B$9,INDEX(季度现金流!$D$178:$DT$178,1,20*4+1),0)</f>
        <v>-16647.325831766673</v>
      </c>
      <c r="Y93" s="9">
        <f>IF(21&lt;=核心参数输入!$B$9,INDEX(季度现金流!$D$178:$DT$178,1,21*4+1),0)</f>
        <v>0</v>
      </c>
      <c r="Z93" s="9">
        <f>IF(22&lt;=核心参数输入!$B$9,INDEX(季度现金流!$D$178:$DT$178,1,22*4+1),0)</f>
        <v>0</v>
      </c>
      <c r="AA93" s="9">
        <f>IF(23&lt;=核心参数输入!$B$9,INDEX(季度现金流!$D$178:$DT$178,1,23*4+1),0)</f>
        <v>0</v>
      </c>
      <c r="AB93" s="9">
        <f>IF(24&lt;=核心参数输入!$B$9,INDEX(季度现金流!$D$178:$DT$178,1,24*4+1),0)</f>
        <v>0</v>
      </c>
      <c r="AC93" s="9">
        <f>IF(25&lt;=核心参数输入!$B$9,INDEX(季度现金流!$D$178:$DT$178,1,25*4+1),0)</f>
        <v>0</v>
      </c>
      <c r="AD93" s="9">
        <f>IF(26&lt;=核心参数输入!$B$9,INDEX(季度现金流!$D$178:$DT$178,1,26*4+1),0)</f>
        <v>0</v>
      </c>
      <c r="AE93" s="9">
        <f>IF(27&lt;=核心参数输入!$B$9,INDEX(季度现金流!$D$178:$DT$178,1,27*4+1),0)</f>
        <v>0</v>
      </c>
      <c r="AF93" s="9">
        <f>IF(28&lt;=核心参数输入!$B$9,INDEX(季度现金流!$D$178:$DT$178,1,28*4+1),0)</f>
        <v>0</v>
      </c>
      <c r="AG93" s="9">
        <f>IF(29&lt;=核心参数输入!$B$9,INDEX(季度现金流!$D$178:$DT$178,1,29*4+1),0)</f>
        <v>0</v>
      </c>
      <c r="AH93" s="9">
        <f>IF(30&lt;=核心参数输入!$B$9,INDEX(季度现金流!$D$178:$DT$178,1,30*4+1),0)</f>
        <v>0</v>
      </c>
    </row>
    <row r="94" spans="1:34" ht="21" customHeight="1">
      <c r="A94" s="8" t="s">
        <v>386</v>
      </c>
      <c r="B94" s="8" t="s">
        <v>39</v>
      </c>
      <c r="C94" s="8"/>
      <c r="D94" s="9">
        <f>IF(0&lt;=核心参数输入!$B$9,SUMIFS(季度现金流!$D$179:$DT$179,季度现金流!$D$6:$DT$6,0),0)</f>
        <v>-8000</v>
      </c>
      <c r="E94" s="9">
        <f>IF(1&lt;=核心参数输入!$B$9,SUMIFS(季度现金流!$D$179:$DT$179,季度现金流!$D$6:$DT$6,1),0)</f>
        <v>-16647.322940458766</v>
      </c>
      <c r="F94" s="9">
        <f>IF(2&lt;=核心参数输入!$B$9,SUMIFS(季度现金流!$D$179:$DT$179,季度现金流!$D$6:$DT$6,2),0)</f>
        <v>-20552.250543776259</v>
      </c>
      <c r="G94" s="9">
        <f>IF(3&lt;=核心参数输入!$B$9,SUMIFS(季度现金流!$D$179:$DT$179,季度现金流!$D$6:$DT$6,3),0)</f>
        <v>-14272.396210955729</v>
      </c>
      <c r="H94" s="9">
        <f>IF(4&lt;=核心参数输入!$B$9,SUMIFS(季度现金流!$D$179:$DT$179,季度现金流!$D$6:$DT$6,4),0)</f>
        <v>7431.951615447746</v>
      </c>
      <c r="I94" s="9">
        <f>IF(5&lt;=核心参数输入!$B$9,SUMIFS(季度现金流!$D$179:$DT$179,季度现金流!$D$6:$DT$6,5),0)</f>
        <v>10772.365864914475</v>
      </c>
      <c r="J94" s="9">
        <f>IF(6&lt;=核心参数输入!$B$9,SUMIFS(季度现金流!$D$179:$DT$179,季度现金流!$D$6:$DT$6,6),0)</f>
        <v>8067.2329592352808</v>
      </c>
      <c r="K94" s="9">
        <f>IF(7&lt;=核心参数输入!$B$9,SUMIFS(季度现金流!$D$179:$DT$179,季度现金流!$D$6:$DT$6,7),0)</f>
        <v>990.02130739805762</v>
      </c>
      <c r="L94" s="9">
        <f>IF(8&lt;=核心参数输入!$B$9,SUMIFS(季度现金流!$D$179:$DT$179,季度现金流!$D$6:$DT$6,8),0)</f>
        <v>396.71391326480079</v>
      </c>
      <c r="M94" s="9">
        <f>IF(9&lt;=核心参数输入!$B$9,SUMIFS(季度现金流!$D$179:$DT$179,季度现金流!$D$6:$DT$6,9),0)</f>
        <v>374.67416003168915</v>
      </c>
      <c r="N94" s="9">
        <f>IF(10&lt;=核心参数输入!$B$9,SUMIFS(季度现金流!$D$179:$DT$179,季度现金流!$D$6:$DT$6,10),0)</f>
        <v>352.62211717132635</v>
      </c>
      <c r="O94" s="9">
        <f>IF(11&lt;=核心参数输入!$B$9,SUMIFS(季度现金流!$D$179:$DT$179,季度现金流!$D$6:$DT$6,11),0)</f>
        <v>331.84578222141749</v>
      </c>
      <c r="P94" s="9">
        <f>IF(12&lt;=核心参数输入!$B$9,SUMIFS(季度现金流!$D$179:$DT$179,季度现金流!$D$6:$DT$6,12),0)</f>
        <v>312.2730036581263</v>
      </c>
      <c r="Q94" s="9">
        <f>IF(13&lt;=核心参数输入!$B$9,SUMIFS(季度现金流!$D$179:$DT$179,季度现金流!$D$6:$DT$6,13),0)</f>
        <v>293.83558451658615</v>
      </c>
      <c r="R94" s="9">
        <f>IF(14&lt;=核心参数输入!$B$9,SUMIFS(季度现金流!$D$179:$DT$179,季度现金流!$D$6:$DT$6,14),0)</f>
        <v>276.46907562562541</v>
      </c>
      <c r="S94" s="9">
        <f>IF(15&lt;=核心参数输入!$B$9,SUMIFS(季度现金流!$D$179:$DT$179,季度现金流!$D$6:$DT$6,15),0)</f>
        <v>260.11257883326573</v>
      </c>
      <c r="T94" s="9">
        <f>IF(16&lt;=核心参数输入!$B$9,SUMIFS(季度现金流!$D$179:$DT$179,季度现金流!$D$6:$DT$6,16),0)</f>
        <v>244.70855981116949</v>
      </c>
      <c r="U94" s="9">
        <f>IF(17&lt;=核心参数输入!$B$9,SUMIFS(季度现金流!$D$179:$DT$179,季度现金流!$D$6:$DT$6,17),0)</f>
        <v>230.20267003653834</v>
      </c>
      <c r="V94" s="9">
        <f>IF(18&lt;=核心参数输入!$B$9,SUMIFS(季度现金流!$D$179:$DT$179,季度现金流!$D$6:$DT$6,18),0)</f>
        <v>216.5435775607551</v>
      </c>
      <c r="W94" s="9">
        <f>IF(19&lt;=核心参数输入!$B$9,SUMIFS(季度现金流!$D$179:$DT$179,季度现金流!$D$6:$DT$6,19),0)</f>
        <v>203.68280618522343</v>
      </c>
      <c r="X94" s="9">
        <f>IF(20&lt;=核心参数输入!$B$9,SUMIFS(季度现金流!$D$179:$DT$179,季度现金流!$D$6:$DT$6,20),0)</f>
        <v>191.57458267627695</v>
      </c>
      <c r="Y94" s="9">
        <f>IF(21&lt;=核心参数输入!$B$9,SUMIFS(季度现金流!$D$179:$DT$179,季度现金流!$D$6:$DT$6,21),0)</f>
        <v>0</v>
      </c>
      <c r="Z94" s="9">
        <f>IF(22&lt;=核心参数输入!$B$9,SUMIFS(季度现金流!$D$179:$DT$179,季度现金流!$D$6:$DT$6,22),0)</f>
        <v>0</v>
      </c>
      <c r="AA94" s="9">
        <f>IF(23&lt;=核心参数输入!$B$9,SUMIFS(季度现金流!$D$179:$DT$179,季度现金流!$D$6:$DT$6,23),0)</f>
        <v>0</v>
      </c>
      <c r="AB94" s="9">
        <f>IF(24&lt;=核心参数输入!$B$9,SUMIFS(季度现金流!$D$179:$DT$179,季度现金流!$D$6:$DT$6,24),0)</f>
        <v>0</v>
      </c>
      <c r="AC94" s="9">
        <f>IF(25&lt;=核心参数输入!$B$9,SUMIFS(季度现金流!$D$179:$DT$179,季度现金流!$D$6:$DT$6,25),0)</f>
        <v>0</v>
      </c>
      <c r="AD94" s="9">
        <f>IF(26&lt;=核心参数输入!$B$9,SUMIFS(季度现金流!$D$179:$DT$179,季度现金流!$D$6:$DT$6,26),0)</f>
        <v>0</v>
      </c>
      <c r="AE94" s="9">
        <f>IF(27&lt;=核心参数输入!$B$9,SUMIFS(季度现金流!$D$179:$DT$179,季度现金流!$D$6:$DT$6,27),0)</f>
        <v>0</v>
      </c>
      <c r="AF94" s="9">
        <f>IF(28&lt;=核心参数输入!$B$9,SUMIFS(季度现金流!$D$179:$DT$179,季度现金流!$D$6:$DT$6,28),0)</f>
        <v>0</v>
      </c>
      <c r="AG94" s="9">
        <f>IF(29&lt;=核心参数输入!$B$9,SUMIFS(季度现金流!$D$179:$DT$179,季度现金流!$D$6:$DT$6,29),0)</f>
        <v>0</v>
      </c>
      <c r="AH94" s="9">
        <f>IF(30&lt;=核心参数输入!$B$9,SUMIFS(季度现金流!$D$179:$DT$179,季度现金流!$D$6:$DT$6,30),0)</f>
        <v>0</v>
      </c>
    </row>
    <row r="95" spans="1:34" ht="21" customHeight="1">
      <c r="A95" s="8" t="s">
        <v>387</v>
      </c>
      <c r="B95" s="8" t="s">
        <v>39</v>
      </c>
      <c r="C95" s="8"/>
      <c r="D95" s="9">
        <f>IF(0&lt;=核心参数输入!$B$9,INDEX(季度现金流!$D$180:$DT$180,1,0*4+1),0)</f>
        <v>-8000</v>
      </c>
      <c r="E95" s="9">
        <f>IF(1&lt;=核心参数输入!$B$9,INDEX(季度现金流!$D$180:$DT$180,1,1*4+1),0)</f>
        <v>-24647.322940458769</v>
      </c>
      <c r="F95" s="9">
        <f>IF(2&lt;=核心参数输入!$B$9,INDEX(季度现金流!$D$180:$DT$180,1,2*4+1),0)</f>
        <v>-45199.573484235021</v>
      </c>
      <c r="G95" s="9">
        <f>IF(3&lt;=核心参数输入!$B$9,INDEX(季度现金流!$D$180:$DT$180,1,3*4+1),0)</f>
        <v>-59471.969695190746</v>
      </c>
      <c r="H95" s="9">
        <f>IF(4&lt;=核心参数输入!$B$9,INDEX(季度现金流!$D$180:$DT$180,1,4*4+1),0)</f>
        <v>-52040.018079743</v>
      </c>
      <c r="I95" s="9">
        <f>IF(5&lt;=核心参数输入!$B$9,INDEX(季度现金流!$D$180:$DT$180,1,5*4+1),0)</f>
        <v>-41267.652214828529</v>
      </c>
      <c r="J95" s="9">
        <f>IF(6&lt;=核心参数输入!$B$9,INDEX(季度现金流!$D$180:$DT$180,1,6*4+1),0)</f>
        <v>-33200.419255593246</v>
      </c>
      <c r="K95" s="9">
        <f>IF(7&lt;=核心参数输入!$B$9,INDEX(季度现金流!$D$180:$DT$180,1,7*4+1),0)</f>
        <v>-32210.39794819519</v>
      </c>
      <c r="L95" s="9">
        <f>IF(8&lt;=核心参数输入!$B$9,INDEX(季度现金流!$D$180:$DT$180,1,8*4+1),0)</f>
        <v>-31813.684034930389</v>
      </c>
      <c r="M95" s="9">
        <f>IF(9&lt;=核心参数输入!$B$9,INDEX(季度现金流!$D$180:$DT$180,1,9*4+1),0)</f>
        <v>-31439.0098748987</v>
      </c>
      <c r="N95" s="9">
        <f>IF(10&lt;=核心参数输入!$B$9,INDEX(季度现金流!$D$180:$DT$180,1,10*4+1),0)</f>
        <v>-31086.387757727374</v>
      </c>
      <c r="O95" s="9">
        <f>IF(11&lt;=核心参数输入!$B$9,INDEX(季度现金流!$D$180:$DT$180,1,11*4+1),0)</f>
        <v>-30754.541975505959</v>
      </c>
      <c r="P95" s="9">
        <f>IF(12&lt;=核心参数输入!$B$9,INDEX(季度现金流!$D$180:$DT$180,1,12*4+1),0)</f>
        <v>-30442.268971847829</v>
      </c>
      <c r="Q95" s="9">
        <f>IF(13&lt;=核心参数输入!$B$9,INDEX(季度现金流!$D$180:$DT$180,1,13*4+1),0)</f>
        <v>-30148.433387331243</v>
      </c>
      <c r="R95" s="9">
        <f>IF(14&lt;=核心参数输入!$B$9,INDEX(季度现金流!$D$180:$DT$180,1,14*4+1),0)</f>
        <v>-29871.964311705615</v>
      </c>
      <c r="S95" s="9">
        <f>IF(15&lt;=核心参数输入!$B$9,INDEX(季度现金流!$D$180:$DT$180,1,15*4+1),0)</f>
        <v>-29611.851732872346</v>
      </c>
      <c r="T95" s="9">
        <f>IF(16&lt;=核心参数输入!$B$9,INDEX(季度现金流!$D$180:$DT$180,1,16*4+1),0)</f>
        <v>-29367.14317306118</v>
      </c>
      <c r="U95" s="9">
        <f>IF(17&lt;=核心参数输入!$B$9,INDEX(季度现金流!$D$180:$DT$180,1,17*4+1),0)</f>
        <v>-29136.940503024638</v>
      </c>
      <c r="V95" s="9">
        <f>IF(18&lt;=核心参数输入!$B$9,INDEX(季度现金流!$D$180:$DT$180,1,18*4+1),0)</f>
        <v>-28920.396925463883</v>
      </c>
      <c r="W95" s="9">
        <f>IF(19&lt;=核心参数输入!$B$9,INDEX(季度现金流!$D$180:$DT$180,1,19*4+1),0)</f>
        <v>-28716.714119278658</v>
      </c>
      <c r="X95" s="9">
        <f>IF(20&lt;=核心参数输入!$B$9,INDEX(季度现金流!$D$180:$DT$180,1,20*4+1),0)</f>
        <v>-28525.139536602383</v>
      </c>
      <c r="Y95" s="9">
        <f>IF(21&lt;=核心参数输入!$B$9,INDEX(季度现金流!$D$180:$DT$180,1,21*4+1),0)</f>
        <v>0</v>
      </c>
      <c r="Z95" s="9">
        <f>IF(22&lt;=核心参数输入!$B$9,INDEX(季度现金流!$D$180:$DT$180,1,22*4+1),0)</f>
        <v>0</v>
      </c>
      <c r="AA95" s="9">
        <f>IF(23&lt;=核心参数输入!$B$9,INDEX(季度现金流!$D$180:$DT$180,1,23*4+1),0)</f>
        <v>0</v>
      </c>
      <c r="AB95" s="9">
        <f>IF(24&lt;=核心参数输入!$B$9,INDEX(季度现金流!$D$180:$DT$180,1,24*4+1),0)</f>
        <v>0</v>
      </c>
      <c r="AC95" s="9">
        <f>IF(25&lt;=核心参数输入!$B$9,INDEX(季度现金流!$D$180:$DT$180,1,25*4+1),0)</f>
        <v>0</v>
      </c>
      <c r="AD95" s="9">
        <f>IF(26&lt;=核心参数输入!$B$9,INDEX(季度现金流!$D$180:$DT$180,1,26*4+1),0)</f>
        <v>0</v>
      </c>
      <c r="AE95" s="9">
        <f>IF(27&lt;=核心参数输入!$B$9,INDEX(季度现金流!$D$180:$DT$180,1,27*4+1),0)</f>
        <v>0</v>
      </c>
      <c r="AF95" s="9">
        <f>IF(28&lt;=核心参数输入!$B$9,INDEX(季度现金流!$D$180:$DT$180,1,28*4+1),0)</f>
        <v>0</v>
      </c>
      <c r="AG95" s="9">
        <f>IF(29&lt;=核心参数输入!$B$9,INDEX(季度现金流!$D$180:$DT$180,1,29*4+1),0)</f>
        <v>0</v>
      </c>
      <c r="AH95" s="9">
        <f>IF(30&lt;=核心参数输入!$B$9,INDEX(季度现金流!$D$180:$DT$180,1,30*4+1),0)</f>
        <v>0</v>
      </c>
    </row>
    <row r="96" spans="1:34" ht="21" customHeight="1">
      <c r="A96" s="8" t="s">
        <v>388</v>
      </c>
      <c r="B96" s="8" t="s">
        <v>39</v>
      </c>
      <c r="C96" s="8"/>
      <c r="D96" s="9">
        <f>IF(0&lt;=核心参数输入!$B$9,INDEX(季度经营税费!$D$166:$DT$166,1,0*4+1),0)</f>
        <v>3599.9999999999995</v>
      </c>
      <c r="E96" s="9">
        <f>IF(1&lt;=核心参数输入!$B$9,INDEX(季度经营税费!$D$166:$DT$166,1,1*4+1),0)</f>
        <v>11543.669999999998</v>
      </c>
      <c r="F96" s="9">
        <f>IF(2&lt;=核心参数输入!$B$9,INDEX(季度经营税费!$D$166:$DT$166,1,2*4+1),0)</f>
        <v>22305.329999999998</v>
      </c>
      <c r="G96" s="9">
        <f>IF(3&lt;=核心参数输入!$B$9,INDEX(季度经营税费!$D$166:$DT$166,1,3*4+1),0)</f>
        <v>30645.899999999991</v>
      </c>
      <c r="H96" s="9">
        <f>IF(4&lt;=核心参数输入!$B$9,INDEX(季度经营税费!$D$166:$DT$166,1,4*4+1),0)</f>
        <v>29717.446499999991</v>
      </c>
      <c r="I96" s="9">
        <f>IF(5&lt;=核心参数输入!$B$9,INDEX(季度经营税费!$D$166:$DT$166,1,5*4+1),0)</f>
        <v>28788.992999999991</v>
      </c>
      <c r="J96" s="9">
        <f>IF(6&lt;=核心参数输入!$B$9,INDEX(季度经营税费!$D$166:$DT$166,1,6*4+1),0)</f>
        <v>27860.539499999992</v>
      </c>
      <c r="K96" s="9">
        <f>IF(7&lt;=核心参数输入!$B$9,INDEX(季度经营税费!$D$166:$DT$166,1,7*4+1),0)</f>
        <v>26932.085999999996</v>
      </c>
      <c r="L96" s="9">
        <f>IF(8&lt;=核心参数输入!$B$9,INDEX(季度经营税费!$D$166:$DT$166,1,8*4+1),0)</f>
        <v>26003.632499999992</v>
      </c>
      <c r="M96" s="9">
        <f>IF(9&lt;=核心参数输入!$B$9,INDEX(季度经营税费!$D$166:$DT$166,1,9*4+1),0)</f>
        <v>25075.178999999996</v>
      </c>
      <c r="N96" s="9">
        <f>IF(10&lt;=核心参数输入!$B$9,INDEX(季度经营税费!$D$166:$DT$166,1,10*4+1),0)</f>
        <v>24146.725499999993</v>
      </c>
      <c r="O96" s="9">
        <f>IF(11&lt;=核心参数输入!$B$9,INDEX(季度经营税费!$D$166:$DT$166,1,11*4+1),0)</f>
        <v>23218.271999999997</v>
      </c>
      <c r="P96" s="9">
        <f>IF(12&lt;=核心参数输入!$B$9,INDEX(季度经营税费!$D$166:$DT$166,1,12*4+1),0)</f>
        <v>22289.818499999994</v>
      </c>
      <c r="Q96" s="9">
        <f>IF(13&lt;=核心参数输入!$B$9,INDEX(季度经营税费!$D$166:$DT$166,1,13*4+1),0)</f>
        <v>21361.364999999994</v>
      </c>
      <c r="R96" s="9">
        <f>IF(14&lt;=核心参数输入!$B$9,INDEX(季度经营税费!$D$166:$DT$166,1,14*4+1),0)</f>
        <v>20432.911499999991</v>
      </c>
      <c r="S96" s="9">
        <f>IF(15&lt;=核心参数输入!$B$9,INDEX(季度经营税费!$D$166:$DT$166,1,15*4+1),0)</f>
        <v>19504.457999999988</v>
      </c>
      <c r="T96" s="9">
        <f>IF(16&lt;=核心参数输入!$B$9,INDEX(季度经营税费!$D$166:$DT$166,1,16*4+1),0)</f>
        <v>18576.004499999985</v>
      </c>
      <c r="U96" s="9">
        <f>IF(17&lt;=核心参数输入!$B$9,INDEX(季度经营税费!$D$166:$DT$166,1,17*4+1),0)</f>
        <v>17647.550999999981</v>
      </c>
      <c r="V96" s="9">
        <f>IF(18&lt;=核心参数输入!$B$9,INDEX(季度经营税费!$D$166:$DT$166,1,18*4+1),0)</f>
        <v>16719.097499999978</v>
      </c>
      <c r="W96" s="9">
        <f>IF(19&lt;=核心参数输入!$B$9,INDEX(季度经营税费!$D$166:$DT$166,1,19*4+1),0)</f>
        <v>15790.643999999975</v>
      </c>
      <c r="X96" s="9">
        <f>IF(20&lt;=核心参数输入!$B$9,INDEX(季度经营税费!$D$166:$DT$166,1,20*4+1),0)</f>
        <v>14862.19049999997</v>
      </c>
      <c r="Y96" s="9">
        <f>IF(21&lt;=核心参数输入!$B$9,INDEX(季度经营税费!$D$166:$DT$166,1,21*4+1),0)</f>
        <v>0</v>
      </c>
      <c r="Z96" s="9">
        <f>IF(22&lt;=核心参数输入!$B$9,INDEX(季度经营税费!$D$166:$DT$166,1,22*4+1),0)</f>
        <v>0</v>
      </c>
      <c r="AA96" s="9">
        <f>IF(23&lt;=核心参数输入!$B$9,INDEX(季度经营税费!$D$166:$DT$166,1,23*4+1),0)</f>
        <v>0</v>
      </c>
      <c r="AB96" s="9">
        <f>IF(24&lt;=核心参数输入!$B$9,INDEX(季度经营税费!$D$166:$DT$166,1,24*4+1),0)</f>
        <v>0</v>
      </c>
      <c r="AC96" s="9">
        <f>IF(25&lt;=核心参数输入!$B$9,INDEX(季度经营税费!$D$166:$DT$166,1,25*4+1),0)</f>
        <v>0</v>
      </c>
      <c r="AD96" s="9">
        <f>IF(26&lt;=核心参数输入!$B$9,INDEX(季度经营税费!$D$166:$DT$166,1,26*4+1),0)</f>
        <v>0</v>
      </c>
      <c r="AE96" s="9">
        <f>IF(27&lt;=核心参数输入!$B$9,INDEX(季度经营税费!$D$166:$DT$166,1,27*4+1),0)</f>
        <v>0</v>
      </c>
      <c r="AF96" s="9">
        <f>IF(28&lt;=核心参数输入!$B$9,INDEX(季度经营税费!$D$166:$DT$166,1,28*4+1),0)</f>
        <v>0</v>
      </c>
      <c r="AG96" s="9">
        <f>IF(29&lt;=核心参数输入!$B$9,INDEX(季度经营税费!$D$166:$DT$166,1,29*4+1),0)</f>
        <v>0</v>
      </c>
      <c r="AH96" s="9">
        <f>IF(30&lt;=核心参数输入!$B$9,INDEX(季度经营税费!$D$166:$DT$166,1,30*4+1),0)</f>
        <v>0</v>
      </c>
    </row>
    <row r="97" spans="1:34" ht="21" customHeight="1">
      <c r="A97" s="8" t="s">
        <v>389</v>
      </c>
      <c r="B97" s="8" t="s">
        <v>39</v>
      </c>
      <c r="C97" s="8"/>
      <c r="D97" s="9">
        <f>IF(0&lt;=核心参数输入!$B$9,INDEX(季度经营税费!$D$123:$DT$123,1,0*4+1),0)</f>
        <v>0</v>
      </c>
      <c r="E97" s="9">
        <f>IF(1&lt;=核心参数输入!$B$9,INDEX(季度经营税费!$D$123:$DT$123,1,1*4+1),0)</f>
        <v>0</v>
      </c>
      <c r="F97" s="9">
        <f>IF(2&lt;=核心参数输入!$B$9,INDEX(季度经营税费!$D$123:$DT$123,1,2*4+1),0)</f>
        <v>0</v>
      </c>
      <c r="G97" s="9">
        <f>IF(3&lt;=核心参数输入!$B$9,INDEX(季度经营税费!$D$123:$DT$123,1,3*4+1),0)</f>
        <v>0</v>
      </c>
      <c r="H97" s="9">
        <f>IF(4&lt;=核心参数输入!$B$9,INDEX(季度经营税费!$D$123:$DT$123,1,4*4+1),0)</f>
        <v>977.31562499999927</v>
      </c>
      <c r="I97" s="9">
        <f>IF(5&lt;=核心参数输入!$B$9,INDEX(季度经营税费!$D$123:$DT$123,1,5*4+1),0)</f>
        <v>1303.0875000000015</v>
      </c>
      <c r="J97" s="9">
        <f>IF(6&lt;=核心参数输入!$B$9,INDEX(季度经营税费!$D$123:$DT$123,1,6*4+1),0)</f>
        <v>977.31562500000291</v>
      </c>
      <c r="K97" s="9">
        <f>IF(7&lt;=核心参数输入!$B$9,INDEX(季度经营税费!$D$123:$DT$123,1,7*4+1),0)</f>
        <v>0</v>
      </c>
      <c r="L97" s="9">
        <f>IF(8&lt;=核心参数输入!$B$9,INDEX(季度经营税费!$D$123:$DT$123,1,8*4+1),0)</f>
        <v>0</v>
      </c>
      <c r="M97" s="9">
        <f>IF(9&lt;=核心参数输入!$B$9,INDEX(季度经营税费!$D$123:$DT$123,1,9*4+1),0)</f>
        <v>0</v>
      </c>
      <c r="N97" s="9">
        <f>IF(10&lt;=核心参数输入!$B$9,INDEX(季度经营税费!$D$123:$DT$123,1,10*4+1),0)</f>
        <v>0</v>
      </c>
      <c r="O97" s="9">
        <f>IF(11&lt;=核心参数输入!$B$9,INDEX(季度经营税费!$D$123:$DT$123,1,11*4+1),0)</f>
        <v>0</v>
      </c>
      <c r="P97" s="9">
        <f>IF(12&lt;=核心参数输入!$B$9,INDEX(季度经营税费!$D$123:$DT$123,1,12*4+1),0)</f>
        <v>0</v>
      </c>
      <c r="Q97" s="9">
        <f>IF(13&lt;=核心参数输入!$B$9,INDEX(季度经营税费!$D$123:$DT$123,1,13*4+1),0)</f>
        <v>0</v>
      </c>
      <c r="R97" s="9">
        <f>IF(14&lt;=核心参数输入!$B$9,INDEX(季度经营税费!$D$123:$DT$123,1,14*4+1),0)</f>
        <v>0</v>
      </c>
      <c r="S97" s="9">
        <f>IF(15&lt;=核心参数输入!$B$9,INDEX(季度经营税费!$D$123:$DT$123,1,15*4+1),0)</f>
        <v>0</v>
      </c>
      <c r="T97" s="9">
        <f>IF(16&lt;=核心参数输入!$B$9,INDEX(季度经营税费!$D$123:$DT$123,1,16*4+1),0)</f>
        <v>0</v>
      </c>
      <c r="U97" s="9">
        <f>IF(17&lt;=核心参数输入!$B$9,INDEX(季度经营税费!$D$123:$DT$123,1,17*4+1),0)</f>
        <v>0</v>
      </c>
      <c r="V97" s="9">
        <f>IF(18&lt;=核心参数输入!$B$9,INDEX(季度经营税费!$D$123:$DT$123,1,18*4+1),0)</f>
        <v>0</v>
      </c>
      <c r="W97" s="9">
        <f>IF(19&lt;=核心参数输入!$B$9,INDEX(季度经营税费!$D$123:$DT$123,1,19*4+1),0)</f>
        <v>0</v>
      </c>
      <c r="X97" s="9">
        <f>IF(20&lt;=核心参数输入!$B$9,INDEX(季度经营税费!$D$123:$DT$123,1,20*4+1),0)</f>
        <v>0</v>
      </c>
      <c r="Y97" s="9">
        <f>IF(21&lt;=核心参数输入!$B$9,INDEX(季度经营税费!$D$123:$DT$123,1,21*4+1),0)</f>
        <v>0</v>
      </c>
      <c r="Z97" s="9">
        <f>IF(22&lt;=核心参数输入!$B$9,INDEX(季度经营税费!$D$123:$DT$123,1,22*4+1),0)</f>
        <v>0</v>
      </c>
      <c r="AA97" s="9">
        <f>IF(23&lt;=核心参数输入!$B$9,INDEX(季度经营税费!$D$123:$DT$123,1,23*4+1),0)</f>
        <v>0</v>
      </c>
      <c r="AB97" s="9">
        <f>IF(24&lt;=核心参数输入!$B$9,INDEX(季度经营税费!$D$123:$DT$123,1,24*4+1),0)</f>
        <v>0</v>
      </c>
      <c r="AC97" s="9">
        <f>IF(25&lt;=核心参数输入!$B$9,INDEX(季度经营税费!$D$123:$DT$123,1,25*4+1),0)</f>
        <v>0</v>
      </c>
      <c r="AD97" s="9">
        <f>IF(26&lt;=核心参数输入!$B$9,INDEX(季度经营税费!$D$123:$DT$123,1,26*4+1),0)</f>
        <v>0</v>
      </c>
      <c r="AE97" s="9">
        <f>IF(27&lt;=核心参数输入!$B$9,INDEX(季度经营税费!$D$123:$DT$123,1,27*4+1),0)</f>
        <v>0</v>
      </c>
      <c r="AF97" s="9">
        <f>IF(28&lt;=核心参数输入!$B$9,INDEX(季度经营税费!$D$123:$DT$123,1,28*4+1),0)</f>
        <v>0</v>
      </c>
      <c r="AG97" s="9">
        <f>IF(29&lt;=核心参数输入!$B$9,INDEX(季度经营税费!$D$123:$DT$123,1,29*4+1),0)</f>
        <v>0</v>
      </c>
      <c r="AH97" s="9">
        <f>IF(30&lt;=核心参数输入!$B$9,INDEX(季度经营税费!$D$123:$DT$123,1,30*4+1),0)</f>
        <v>0</v>
      </c>
    </row>
    <row r="98" spans="1:34" ht="21" customHeight="1">
      <c r="A98" s="8" t="s">
        <v>390</v>
      </c>
      <c r="B98" s="8" t="s">
        <v>39</v>
      </c>
      <c r="C98" s="8"/>
      <c r="D98" s="9">
        <f>IF(0&lt;=核心参数输入!$B$9,INDEX(季度经营税费!$D$162:$DT$162,1,0*4+1),0)</f>
        <v>0</v>
      </c>
      <c r="E98" s="9">
        <f>IF(1&lt;=核心参数输入!$B$9,INDEX(季度经营税费!$D$162:$DT$162,1,1*4+1),0)</f>
        <v>0</v>
      </c>
      <c r="F98" s="9">
        <f>IF(2&lt;=核心参数输入!$B$9,INDEX(季度经营税费!$D$162:$DT$162,1,2*4+1),0)</f>
        <v>0</v>
      </c>
      <c r="G98" s="9">
        <f>IF(3&lt;=核心参数输入!$B$9,INDEX(季度经营税费!$D$162:$DT$162,1,3*4+1),0)</f>
        <v>0</v>
      </c>
      <c r="H98" s="9">
        <f>IF(4&lt;=核心参数输入!$B$9,INDEX(季度经营税费!$D$162:$DT$162,1,4*4+1),0)</f>
        <v>0</v>
      </c>
      <c r="I98" s="9">
        <f>IF(5&lt;=核心参数输入!$B$9,INDEX(季度经营税费!$D$162:$DT$162,1,5*4+1),0)</f>
        <v>0</v>
      </c>
      <c r="J98" s="9">
        <f>IF(6&lt;=核心参数输入!$B$9,INDEX(季度经营税费!$D$162:$DT$162,1,6*4+1),0)</f>
        <v>0</v>
      </c>
      <c r="K98" s="9">
        <f>IF(7&lt;=核心参数输入!$B$9,INDEX(季度经营税费!$D$162:$DT$162,1,7*4+1),0)</f>
        <v>0</v>
      </c>
      <c r="L98" s="9">
        <f>IF(8&lt;=核心参数输入!$B$9,INDEX(季度经营税费!$D$162:$DT$162,1,8*4+1),0)</f>
        <v>0</v>
      </c>
      <c r="M98" s="9">
        <f>IF(9&lt;=核心参数输入!$B$9,INDEX(季度经营税费!$D$162:$DT$162,1,9*4+1),0)</f>
        <v>0</v>
      </c>
      <c r="N98" s="9">
        <f>IF(10&lt;=核心参数输入!$B$9,INDEX(季度经营税费!$D$162:$DT$162,1,10*4+1),0)</f>
        <v>0</v>
      </c>
      <c r="O98" s="9">
        <f>IF(11&lt;=核心参数输入!$B$9,INDEX(季度经营税费!$D$162:$DT$162,1,11*4+1),0)</f>
        <v>0</v>
      </c>
      <c r="P98" s="9">
        <f>IF(12&lt;=核心参数输入!$B$9,INDEX(季度经营税费!$D$162:$DT$162,1,12*4+1),0)</f>
        <v>0</v>
      </c>
      <c r="Q98" s="9">
        <f>IF(13&lt;=核心参数输入!$B$9,INDEX(季度经营税费!$D$162:$DT$162,1,13*4+1),0)</f>
        <v>0</v>
      </c>
      <c r="R98" s="9">
        <f>IF(14&lt;=核心参数输入!$B$9,INDEX(季度经营税费!$D$162:$DT$162,1,14*4+1),0)</f>
        <v>0</v>
      </c>
      <c r="S98" s="9">
        <f>IF(15&lt;=核心参数输入!$B$9,INDEX(季度经营税费!$D$162:$DT$162,1,15*4+1),0)</f>
        <v>0</v>
      </c>
      <c r="T98" s="9">
        <f>IF(16&lt;=核心参数输入!$B$9,INDEX(季度经营税费!$D$162:$DT$162,1,16*4+1),0)</f>
        <v>0</v>
      </c>
      <c r="U98" s="9">
        <f>IF(17&lt;=核心参数输入!$B$9,INDEX(季度经营税费!$D$162:$DT$162,1,17*4+1),0)</f>
        <v>0</v>
      </c>
      <c r="V98" s="9">
        <f>IF(18&lt;=核心参数输入!$B$9,INDEX(季度经营税费!$D$162:$DT$162,1,18*4+1),0)</f>
        <v>0</v>
      </c>
      <c r="W98" s="9">
        <f>IF(19&lt;=核心参数输入!$B$9,INDEX(季度经营税费!$D$162:$DT$162,1,19*4+1),0)</f>
        <v>0</v>
      </c>
      <c r="X98" s="9">
        <f>IF(20&lt;=核心参数输入!$B$9,INDEX(季度经营税费!$D$162:$DT$162,1,20*4+1),0)</f>
        <v>0</v>
      </c>
      <c r="Y98" s="9">
        <f>IF(21&lt;=核心参数输入!$B$9,INDEX(季度经营税费!$D$162:$DT$162,1,21*4+1),0)</f>
        <v>0</v>
      </c>
      <c r="Z98" s="9">
        <f>IF(22&lt;=核心参数输入!$B$9,INDEX(季度经营税费!$D$162:$DT$162,1,22*4+1),0)</f>
        <v>0</v>
      </c>
      <c r="AA98" s="9">
        <f>IF(23&lt;=核心参数输入!$B$9,INDEX(季度经营税费!$D$162:$DT$162,1,23*4+1),0)</f>
        <v>0</v>
      </c>
      <c r="AB98" s="9">
        <f>IF(24&lt;=核心参数输入!$B$9,INDEX(季度经营税费!$D$162:$DT$162,1,24*4+1),0)</f>
        <v>0</v>
      </c>
      <c r="AC98" s="9">
        <f>IF(25&lt;=核心参数输入!$B$9,INDEX(季度经营税费!$D$162:$DT$162,1,25*4+1),0)</f>
        <v>0</v>
      </c>
      <c r="AD98" s="9">
        <f>IF(26&lt;=核心参数输入!$B$9,INDEX(季度经营税费!$D$162:$DT$162,1,26*4+1),0)</f>
        <v>0</v>
      </c>
      <c r="AE98" s="9">
        <f>IF(27&lt;=核心参数输入!$B$9,INDEX(季度经营税费!$D$162:$DT$162,1,27*4+1),0)</f>
        <v>0</v>
      </c>
      <c r="AF98" s="9">
        <f>IF(28&lt;=核心参数输入!$B$9,INDEX(季度经营税费!$D$162:$DT$162,1,28*4+1),0)</f>
        <v>0</v>
      </c>
      <c r="AG98" s="9">
        <f>IF(29&lt;=核心参数输入!$B$9,INDEX(季度经营税费!$D$162:$DT$162,1,29*4+1),0)</f>
        <v>0</v>
      </c>
      <c r="AH98" s="9">
        <f>IF(30&lt;=核心参数输入!$B$9,INDEX(季度经营税费!$D$162:$DT$162,1,30*4+1),0)</f>
        <v>0</v>
      </c>
    </row>
    <row r="99" spans="1:34" ht="21" customHeight="1">
      <c r="A99" s="8" t="s">
        <v>391</v>
      </c>
      <c r="B99" s="8" t="s">
        <v>39</v>
      </c>
      <c r="C99" s="8"/>
      <c r="D99" s="9">
        <f>IF(0&lt;=核心参数输入!$B$9,IF(核心参数输入!$B$64=1,SUMIFS(季度现金流!$D$127:$DT$127,季度现金流!$D$6:$DT$6,0),SUMIFS(季度现金流!$D$126:$DT$126,季度现金流!$D$6:$DT$6,0)),0)</f>
        <v>0</v>
      </c>
      <c r="E99" s="9">
        <f>IF(1&lt;=核心参数输入!$B$9,IF(核心参数输入!$B$64=1,SUMIFS(季度现金流!$D$127:$DT$127,季度现金流!$D$6:$DT$6,1),SUMIFS(季度现金流!$D$126:$DT$126,季度现金流!$D$6:$DT$6,1)),0)</f>
        <v>0</v>
      </c>
      <c r="F99" s="9">
        <f>IF(2&lt;=核心参数输入!$B$9,IF(核心参数输入!$B$64=1,SUMIFS(季度现金流!$D$127:$DT$127,季度现金流!$D$6:$DT$6,2),SUMIFS(季度现金流!$D$126:$DT$126,季度现金流!$D$6:$DT$6,2)),0)</f>
        <v>0</v>
      </c>
      <c r="G99" s="9">
        <f>IF(3&lt;=核心参数输入!$B$9,IF(核心参数输入!$B$64=1,SUMIFS(季度现金流!$D$127:$DT$127,季度现金流!$D$6:$DT$6,3),SUMIFS(季度现金流!$D$126:$DT$126,季度现金流!$D$6:$DT$6,3)),0)</f>
        <v>0</v>
      </c>
      <c r="H99" s="9">
        <f>IF(4&lt;=核心参数输入!$B$9,IF(核心参数输入!$B$64=1,SUMIFS(季度现金流!$D$127:$DT$127,季度现金流!$D$6:$DT$6,4),SUMIFS(季度现金流!$D$126:$DT$126,季度现金流!$D$6:$DT$6,4)),0)</f>
        <v>0</v>
      </c>
      <c r="I99" s="9">
        <f>IF(5&lt;=核心参数输入!$B$9,IF(核心参数输入!$B$64=1,SUMIFS(季度现金流!$D$127:$DT$127,季度现金流!$D$6:$DT$6,5),SUMIFS(季度现金流!$D$126:$DT$126,季度现金流!$D$6:$DT$6,5)),0)</f>
        <v>0</v>
      </c>
      <c r="J99" s="9">
        <f>IF(6&lt;=核心参数输入!$B$9,IF(核心参数输入!$B$64=1,SUMIFS(季度现金流!$D$127:$DT$127,季度现金流!$D$6:$DT$6,6),SUMIFS(季度现金流!$D$126:$DT$126,季度现金流!$D$6:$DT$6,6)),0)</f>
        <v>0</v>
      </c>
      <c r="K99" s="9">
        <f>IF(7&lt;=核心参数输入!$B$9,IF(核心参数输入!$B$64=1,SUMIFS(季度现金流!$D$127:$DT$127,季度现金流!$D$6:$DT$6,7),SUMIFS(季度现金流!$D$126:$DT$126,季度现金流!$D$6:$DT$6,7)),0)</f>
        <v>0</v>
      </c>
      <c r="L99" s="9">
        <f>IF(8&lt;=核心参数输入!$B$9,IF(核心参数输入!$B$64=1,SUMIFS(季度现金流!$D$127:$DT$127,季度现金流!$D$6:$DT$6,8),SUMIFS(季度现金流!$D$126:$DT$126,季度现金流!$D$6:$DT$6,8)),0)</f>
        <v>0</v>
      </c>
      <c r="M99" s="9">
        <f>IF(9&lt;=核心参数输入!$B$9,IF(核心参数输入!$B$64=1,SUMIFS(季度现金流!$D$127:$DT$127,季度现金流!$D$6:$DT$6,9),SUMIFS(季度现金流!$D$126:$DT$126,季度现金流!$D$6:$DT$6,9)),0)</f>
        <v>0</v>
      </c>
      <c r="N99" s="9">
        <f>IF(10&lt;=核心参数输入!$B$9,IF(核心参数输入!$B$64=1,SUMIFS(季度现金流!$D$127:$DT$127,季度现金流!$D$6:$DT$6,10),SUMIFS(季度现金流!$D$126:$DT$126,季度现金流!$D$6:$DT$6,10)),0)</f>
        <v>0</v>
      </c>
      <c r="O99" s="9">
        <f>IF(11&lt;=核心参数输入!$B$9,IF(核心参数输入!$B$64=1,SUMIFS(季度现金流!$D$127:$DT$127,季度现金流!$D$6:$DT$6,11),SUMIFS(季度现金流!$D$126:$DT$126,季度现金流!$D$6:$DT$6,11)),0)</f>
        <v>0</v>
      </c>
      <c r="P99" s="9">
        <f>IF(12&lt;=核心参数输入!$B$9,IF(核心参数输入!$B$64=1,SUMIFS(季度现金流!$D$127:$DT$127,季度现金流!$D$6:$DT$6,12),SUMIFS(季度现金流!$D$126:$DT$126,季度现金流!$D$6:$DT$6,12)),0)</f>
        <v>0</v>
      </c>
      <c r="Q99" s="9">
        <f>IF(13&lt;=核心参数输入!$B$9,IF(核心参数输入!$B$64=1,SUMIFS(季度现金流!$D$127:$DT$127,季度现金流!$D$6:$DT$6,13),SUMIFS(季度现金流!$D$126:$DT$126,季度现金流!$D$6:$DT$6,13)),0)</f>
        <v>0</v>
      </c>
      <c r="R99" s="9">
        <f>IF(14&lt;=核心参数输入!$B$9,IF(核心参数输入!$B$64=1,SUMIFS(季度现金流!$D$127:$DT$127,季度现金流!$D$6:$DT$6,14),SUMIFS(季度现金流!$D$126:$DT$126,季度现金流!$D$6:$DT$6,14)),0)</f>
        <v>0</v>
      </c>
      <c r="S99" s="9">
        <f>IF(15&lt;=核心参数输入!$B$9,IF(核心参数输入!$B$64=1,SUMIFS(季度现金流!$D$127:$DT$127,季度现金流!$D$6:$DT$6,15),SUMIFS(季度现金流!$D$126:$DT$126,季度现金流!$D$6:$DT$6,15)),0)</f>
        <v>0</v>
      </c>
      <c r="T99" s="9">
        <f>IF(16&lt;=核心参数输入!$B$9,IF(核心参数输入!$B$64=1,SUMIFS(季度现金流!$D$127:$DT$127,季度现金流!$D$6:$DT$6,16),SUMIFS(季度现金流!$D$126:$DT$126,季度现金流!$D$6:$DT$6,16)),0)</f>
        <v>0</v>
      </c>
      <c r="U99" s="9">
        <f>IF(17&lt;=核心参数输入!$B$9,IF(核心参数输入!$B$64=1,SUMIFS(季度现金流!$D$127:$DT$127,季度现金流!$D$6:$DT$6,17),SUMIFS(季度现金流!$D$126:$DT$126,季度现金流!$D$6:$DT$6,17)),0)</f>
        <v>0</v>
      </c>
      <c r="V99" s="9">
        <f>IF(18&lt;=核心参数输入!$B$9,IF(核心参数输入!$B$64=1,SUMIFS(季度现金流!$D$127:$DT$127,季度现金流!$D$6:$DT$6,18),SUMIFS(季度现金流!$D$126:$DT$126,季度现金流!$D$6:$DT$6,18)),0)</f>
        <v>0</v>
      </c>
      <c r="W99" s="9">
        <f>IF(19&lt;=核心参数输入!$B$9,IF(核心参数输入!$B$64=1,SUMIFS(季度现金流!$D$127:$DT$127,季度现金流!$D$6:$DT$6,19),SUMIFS(季度现金流!$D$126:$DT$126,季度现金流!$D$6:$DT$6,19)),0)</f>
        <v>0</v>
      </c>
      <c r="X99" s="9">
        <f>IF(20&lt;=核心参数输入!$B$9,IF(核心参数输入!$B$64=1,SUMIFS(季度现金流!$D$127:$DT$127,季度现金流!$D$6:$DT$6,20),SUMIFS(季度现金流!$D$126:$DT$126,季度现金流!$D$6:$DT$6,20)),0)</f>
        <v>0</v>
      </c>
      <c r="Y99" s="9">
        <f>IF(21&lt;=核心参数输入!$B$9,IF(核心参数输入!$B$64=1,SUMIFS(季度现金流!$D$127:$DT$127,季度现金流!$D$6:$DT$6,21),SUMIFS(季度现金流!$D$126:$DT$126,季度现金流!$D$6:$DT$6,21)),0)</f>
        <v>0</v>
      </c>
      <c r="Z99" s="9">
        <f>IF(22&lt;=核心参数输入!$B$9,IF(核心参数输入!$B$64=1,SUMIFS(季度现金流!$D$127:$DT$127,季度现金流!$D$6:$DT$6,22),SUMIFS(季度现金流!$D$126:$DT$126,季度现金流!$D$6:$DT$6,22)),0)</f>
        <v>0</v>
      </c>
      <c r="AA99" s="9">
        <f>IF(23&lt;=核心参数输入!$B$9,IF(核心参数输入!$B$64=1,SUMIFS(季度现金流!$D$127:$DT$127,季度现金流!$D$6:$DT$6,23),SUMIFS(季度现金流!$D$126:$DT$126,季度现金流!$D$6:$DT$6,23)),0)</f>
        <v>0</v>
      </c>
      <c r="AB99" s="9">
        <f>IF(24&lt;=核心参数输入!$B$9,IF(核心参数输入!$B$64=1,SUMIFS(季度现金流!$D$127:$DT$127,季度现金流!$D$6:$DT$6,24),SUMIFS(季度现金流!$D$126:$DT$126,季度现金流!$D$6:$DT$6,24)),0)</f>
        <v>0</v>
      </c>
      <c r="AC99" s="9">
        <f>IF(25&lt;=核心参数输入!$B$9,IF(核心参数输入!$B$64=1,SUMIFS(季度现金流!$D$127:$DT$127,季度现金流!$D$6:$DT$6,25),SUMIFS(季度现金流!$D$126:$DT$126,季度现金流!$D$6:$DT$6,25)),0)</f>
        <v>0</v>
      </c>
      <c r="AD99" s="9">
        <f>IF(26&lt;=核心参数输入!$B$9,IF(核心参数输入!$B$64=1,SUMIFS(季度现金流!$D$127:$DT$127,季度现金流!$D$6:$DT$6,26),SUMIFS(季度现金流!$D$126:$DT$126,季度现金流!$D$6:$DT$6,26)),0)</f>
        <v>0</v>
      </c>
      <c r="AE99" s="9">
        <f>IF(27&lt;=核心参数输入!$B$9,IF(核心参数输入!$B$64=1,SUMIFS(季度现金流!$D$127:$DT$127,季度现金流!$D$6:$DT$6,27),SUMIFS(季度现金流!$D$126:$DT$126,季度现金流!$D$6:$DT$6,27)),0)</f>
        <v>0</v>
      </c>
      <c r="AF99" s="9">
        <f>IF(28&lt;=核心参数输入!$B$9,IF(核心参数输入!$B$64=1,SUMIFS(季度现金流!$D$127:$DT$127,季度现金流!$D$6:$DT$6,28),SUMIFS(季度现金流!$D$126:$DT$126,季度现金流!$D$6:$DT$6,28)),0)</f>
        <v>0</v>
      </c>
      <c r="AG99" s="9">
        <f>IF(29&lt;=核心参数输入!$B$9,IF(核心参数输入!$B$64=1,SUMIFS(季度现金流!$D$127:$DT$127,季度现金流!$D$6:$DT$6,29),SUMIFS(季度现金流!$D$126:$DT$126,季度现金流!$D$6:$DT$6,29)),0)</f>
        <v>0</v>
      </c>
      <c r="AH99" s="9">
        <f>IF(30&lt;=核心参数输入!$B$9,IF(核心参数输入!$B$64=1,SUMIFS(季度现金流!$D$127:$DT$127,季度现金流!$D$6:$DT$6,30),SUMIFS(季度现金流!$D$126:$DT$126,季度现金流!$D$6:$DT$6,30)),0)</f>
        <v>0</v>
      </c>
    </row>
    <row r="100" spans="1:34" ht="21" customHeight="1">
      <c r="A100" s="8" t="s">
        <v>392</v>
      </c>
      <c r="B100" s="8" t="s">
        <v>39</v>
      </c>
      <c r="C100" s="8"/>
      <c r="D100" s="9">
        <f>IF(0&lt;=核心参数输入!$B$9,IF(核心参数输入!$B$64=1,SUMIFS(季度经营税费!$D$169:$DT$169,季度经营税费!$D$6:$DT$6,0),0),0)</f>
        <v>0</v>
      </c>
      <c r="E100" s="9">
        <f>IF(1&lt;=核心参数输入!$B$9,IF(核心参数输入!$B$64=1,SUMIFS(季度经营税费!$D$169:$DT$169,季度经营税费!$D$6:$DT$6,1),0),0)</f>
        <v>0</v>
      </c>
      <c r="F100" s="9">
        <f>IF(2&lt;=核心参数输入!$B$9,IF(核心参数输入!$B$64=1,SUMIFS(季度经营税费!$D$169:$DT$169,季度经营税费!$D$6:$DT$6,2),0),0)</f>
        <v>0</v>
      </c>
      <c r="G100" s="9">
        <f>IF(3&lt;=核心参数输入!$B$9,IF(核心参数输入!$B$64=1,SUMIFS(季度经营税费!$D$169:$DT$169,季度经营税费!$D$6:$DT$6,3),0),0)</f>
        <v>0</v>
      </c>
      <c r="H100" s="9">
        <f>IF(4&lt;=核心参数输入!$B$9,IF(核心参数输入!$B$64=1,SUMIFS(季度经营税费!$D$169:$DT$169,季度经营税费!$D$6:$DT$6,4),0),0)</f>
        <v>0</v>
      </c>
      <c r="I100" s="9">
        <f>IF(5&lt;=核心参数输入!$B$9,IF(核心参数输入!$B$64=1,SUMIFS(季度经营税费!$D$169:$DT$169,季度经营税费!$D$6:$DT$6,5),0),0)</f>
        <v>0</v>
      </c>
      <c r="J100" s="9">
        <f>IF(6&lt;=核心参数输入!$B$9,IF(核心参数输入!$B$64=1,SUMIFS(季度经营税费!$D$169:$DT$169,季度经营税费!$D$6:$DT$6,6),0),0)</f>
        <v>0</v>
      </c>
      <c r="K100" s="9">
        <f>IF(7&lt;=核心参数输入!$B$9,IF(核心参数输入!$B$64=1,SUMIFS(季度经营税费!$D$169:$DT$169,季度经营税费!$D$6:$DT$6,7),0),0)</f>
        <v>0</v>
      </c>
      <c r="L100" s="9">
        <f>IF(8&lt;=核心参数输入!$B$9,IF(核心参数输入!$B$64=1,SUMIFS(季度经营税费!$D$169:$DT$169,季度经营税费!$D$6:$DT$6,8),0),0)</f>
        <v>0</v>
      </c>
      <c r="M100" s="9">
        <f>IF(9&lt;=核心参数输入!$B$9,IF(核心参数输入!$B$64=1,SUMIFS(季度经营税费!$D$169:$DT$169,季度经营税费!$D$6:$DT$6,9),0),0)</f>
        <v>0</v>
      </c>
      <c r="N100" s="9">
        <f>IF(10&lt;=核心参数输入!$B$9,IF(核心参数输入!$B$64=1,SUMIFS(季度经营税费!$D$169:$DT$169,季度经营税费!$D$6:$DT$6,10),0),0)</f>
        <v>0</v>
      </c>
      <c r="O100" s="9">
        <f>IF(11&lt;=核心参数输入!$B$9,IF(核心参数输入!$B$64=1,SUMIFS(季度经营税费!$D$169:$DT$169,季度经营税费!$D$6:$DT$6,11),0),0)</f>
        <v>0</v>
      </c>
      <c r="P100" s="9">
        <f>IF(12&lt;=核心参数输入!$B$9,IF(核心参数输入!$B$64=1,SUMIFS(季度经营税费!$D$169:$DT$169,季度经营税费!$D$6:$DT$6,12),0),0)</f>
        <v>0</v>
      </c>
      <c r="Q100" s="9">
        <f>IF(13&lt;=核心参数输入!$B$9,IF(核心参数输入!$B$64=1,SUMIFS(季度经营税费!$D$169:$DT$169,季度经营税费!$D$6:$DT$6,13),0),0)</f>
        <v>0</v>
      </c>
      <c r="R100" s="9">
        <f>IF(14&lt;=核心参数输入!$B$9,IF(核心参数输入!$B$64=1,SUMIFS(季度经营税费!$D$169:$DT$169,季度经营税费!$D$6:$DT$6,14),0),0)</f>
        <v>0</v>
      </c>
      <c r="S100" s="9">
        <f>IF(15&lt;=核心参数输入!$B$9,IF(核心参数输入!$B$64=1,SUMIFS(季度经营税费!$D$169:$DT$169,季度经营税费!$D$6:$DT$6,15),0),0)</f>
        <v>0</v>
      </c>
      <c r="T100" s="9">
        <f>IF(16&lt;=核心参数输入!$B$9,IF(核心参数输入!$B$64=1,SUMIFS(季度经营税费!$D$169:$DT$169,季度经营税费!$D$6:$DT$6,16),0),0)</f>
        <v>0</v>
      </c>
      <c r="U100" s="9">
        <f>IF(17&lt;=核心参数输入!$B$9,IF(核心参数输入!$B$64=1,SUMIFS(季度经营税费!$D$169:$DT$169,季度经营税费!$D$6:$DT$6,17),0),0)</f>
        <v>0</v>
      </c>
      <c r="V100" s="9">
        <f>IF(18&lt;=核心参数输入!$B$9,IF(核心参数输入!$B$64=1,SUMIFS(季度经营税费!$D$169:$DT$169,季度经营税费!$D$6:$DT$6,18),0),0)</f>
        <v>0</v>
      </c>
      <c r="W100" s="9">
        <f>IF(19&lt;=核心参数输入!$B$9,IF(核心参数输入!$B$64=1,SUMIFS(季度经营税费!$D$169:$DT$169,季度经营税费!$D$6:$DT$6,19),0),0)</f>
        <v>0</v>
      </c>
      <c r="X100" s="9">
        <f>IF(20&lt;=核心参数输入!$B$9,IF(核心参数输入!$B$64=1,SUMIFS(季度经营税费!$D$169:$DT$169,季度经营税费!$D$6:$DT$6,20),0),0)</f>
        <v>0</v>
      </c>
      <c r="Y100" s="9">
        <f>IF(21&lt;=核心参数输入!$B$9,IF(核心参数输入!$B$64=1,SUMIFS(季度经营税费!$D$169:$DT$169,季度经营税费!$D$6:$DT$6,21),0),0)</f>
        <v>0</v>
      </c>
      <c r="Z100" s="9">
        <f>IF(22&lt;=核心参数输入!$B$9,IF(核心参数输入!$B$64=1,SUMIFS(季度经营税费!$D$169:$DT$169,季度经营税费!$D$6:$DT$6,22),0),0)</f>
        <v>0</v>
      </c>
      <c r="AA100" s="9">
        <f>IF(23&lt;=核心参数输入!$B$9,IF(核心参数输入!$B$64=1,SUMIFS(季度经营税费!$D$169:$DT$169,季度经营税费!$D$6:$DT$6,23),0),0)</f>
        <v>0</v>
      </c>
      <c r="AB100" s="9">
        <f>IF(24&lt;=核心参数输入!$B$9,IF(核心参数输入!$B$64=1,SUMIFS(季度经营税费!$D$169:$DT$169,季度经营税费!$D$6:$DT$6,24),0),0)</f>
        <v>0</v>
      </c>
      <c r="AC100" s="9">
        <f>IF(25&lt;=核心参数输入!$B$9,IF(核心参数输入!$B$64=1,SUMIFS(季度经营税费!$D$169:$DT$169,季度经营税费!$D$6:$DT$6,25),0),0)</f>
        <v>0</v>
      </c>
      <c r="AD100" s="9">
        <f>IF(26&lt;=核心参数输入!$B$9,IF(核心参数输入!$B$64=1,SUMIFS(季度经营税费!$D$169:$DT$169,季度经营税费!$D$6:$DT$6,26),0),0)</f>
        <v>0</v>
      </c>
      <c r="AE100" s="9">
        <f>IF(27&lt;=核心参数输入!$B$9,IF(核心参数输入!$B$64=1,SUMIFS(季度经营税费!$D$169:$DT$169,季度经营税费!$D$6:$DT$6,27),0),0)</f>
        <v>0</v>
      </c>
      <c r="AF100" s="9">
        <f>IF(28&lt;=核心参数输入!$B$9,IF(核心参数输入!$B$64=1,SUMIFS(季度经营税费!$D$169:$DT$169,季度经营税费!$D$6:$DT$6,28),0),0)</f>
        <v>0</v>
      </c>
      <c r="AG100" s="9">
        <f>IF(29&lt;=核心参数输入!$B$9,IF(核心参数输入!$B$64=1,SUMIFS(季度经营税费!$D$169:$DT$169,季度经营税费!$D$6:$DT$6,29),0),0)</f>
        <v>0</v>
      </c>
      <c r="AH100" s="9">
        <f>IF(30&lt;=核心参数输入!$B$9,IF(核心参数输入!$B$64=1,SUMIFS(季度经营税费!$D$169:$DT$169,季度经营税费!$D$6:$DT$6,30),0),0)</f>
        <v>0</v>
      </c>
    </row>
    <row r="101" spans="1:34" ht="21" customHeight="1">
      <c r="A101" s="8" t="s">
        <v>393</v>
      </c>
      <c r="B101" s="8" t="s">
        <v>39</v>
      </c>
      <c r="C101" s="8"/>
      <c r="D101" s="9">
        <f>IF(0&lt;=核心参数输入!$B$9,SUMIFS(季度经营税费!$D$183:$DT$183,季度经营税费!$D$6:$DT$6,0)+SUMIFS(季度经营税费!$D$184:$DT$184,季度经营税费!$D$6:$DT$6,0)+IF(核心参数输入!$B$64=1,0,SUMIFS(季度经营税费!$D$186:$DT$186,季度经营税费!$D$6:$DT$6,0)),0)</f>
        <v>0</v>
      </c>
      <c r="E101" s="9">
        <f>IF(1&lt;=核心参数输入!$B$9,SUMIFS(季度经营税费!$D$183:$DT$183,季度经营税费!$D$6:$DT$6,1)+SUMIFS(季度经营税费!$D$184:$DT$184,季度经营税费!$D$6:$DT$6,1)+IF(核心参数输入!$B$64=1,0,SUMIFS(季度经营税费!$D$186:$DT$186,季度经营税费!$D$6:$DT$6,1)),0)</f>
        <v>0</v>
      </c>
      <c r="F101" s="9">
        <f>IF(2&lt;=核心参数输入!$B$9,SUMIFS(季度经营税费!$D$183:$DT$183,季度经营税费!$D$6:$DT$6,2)+SUMIFS(季度经营税费!$D$184:$DT$184,季度经营税费!$D$6:$DT$6,2)+IF(核心参数输入!$B$64=1,0,SUMIFS(季度经营税费!$D$186:$DT$186,季度经营税费!$D$6:$DT$6,2)),0)</f>
        <v>0</v>
      </c>
      <c r="G101" s="9">
        <f>IF(3&lt;=核心参数输入!$B$9,SUMIFS(季度经营税费!$D$183:$DT$183,季度经营税费!$D$6:$DT$6,3)+SUMIFS(季度经营税费!$D$184:$DT$184,季度经营税费!$D$6:$DT$6,3)+IF(核心参数输入!$B$64=1,0,SUMIFS(季度经营税费!$D$186:$DT$186,季度经营税费!$D$6:$DT$6,3)),0)</f>
        <v>0</v>
      </c>
      <c r="H101" s="9">
        <f>IF(4&lt;=核心参数输入!$B$9,SUMIFS(季度经营税费!$D$183:$DT$183,季度经营税费!$D$6:$DT$6,4)+SUMIFS(季度经营税费!$D$184:$DT$184,季度经营税费!$D$6:$DT$6,4)+IF(核心参数输入!$B$64=1,0,SUMIFS(季度经营税费!$D$186:$DT$186,季度经营税费!$D$6:$DT$6,4)),0)</f>
        <v>0</v>
      </c>
      <c r="I101" s="9">
        <f>IF(5&lt;=核心参数输入!$B$9,SUMIFS(季度经营税费!$D$183:$DT$183,季度经营税费!$D$6:$DT$6,5)+SUMIFS(季度经营税费!$D$184:$DT$184,季度经营税费!$D$6:$DT$6,5)+IF(核心参数输入!$B$64=1,0,SUMIFS(季度经营税费!$D$186:$DT$186,季度经营税费!$D$6:$DT$6,5)),0)</f>
        <v>0</v>
      </c>
      <c r="J101" s="9">
        <f>IF(6&lt;=核心参数输入!$B$9,SUMIFS(季度经营税费!$D$183:$DT$183,季度经营税费!$D$6:$DT$6,6)+SUMIFS(季度经营税费!$D$184:$DT$184,季度经营税费!$D$6:$DT$6,6)+IF(核心参数输入!$B$64=1,0,SUMIFS(季度经营税费!$D$186:$DT$186,季度经营税费!$D$6:$DT$6,6)),0)</f>
        <v>0</v>
      </c>
      <c r="K101" s="9">
        <f>IF(7&lt;=核心参数输入!$B$9,SUMIFS(季度经营税费!$D$183:$DT$183,季度经营税费!$D$6:$DT$6,7)+SUMIFS(季度经营税费!$D$184:$DT$184,季度经营税费!$D$6:$DT$6,7)+IF(核心参数输入!$B$64=1,0,SUMIFS(季度经营税费!$D$186:$DT$186,季度经营税费!$D$6:$DT$6,7)),0)</f>
        <v>0</v>
      </c>
      <c r="L101" s="9">
        <f>IF(8&lt;=核心参数输入!$B$9,SUMIFS(季度经营税费!$D$183:$DT$183,季度经营税费!$D$6:$DT$6,8)+SUMIFS(季度经营税费!$D$184:$DT$184,季度经营税费!$D$6:$DT$6,8)+IF(核心参数输入!$B$64=1,0,SUMIFS(季度经营税费!$D$186:$DT$186,季度经营税费!$D$6:$DT$6,8)),0)</f>
        <v>0</v>
      </c>
      <c r="M101" s="9">
        <f>IF(9&lt;=核心参数输入!$B$9,SUMIFS(季度经营税费!$D$183:$DT$183,季度经营税费!$D$6:$DT$6,9)+SUMIFS(季度经营税费!$D$184:$DT$184,季度经营税费!$D$6:$DT$6,9)+IF(核心参数输入!$B$64=1,0,SUMIFS(季度经营税费!$D$186:$DT$186,季度经营税费!$D$6:$DT$6,9)),0)</f>
        <v>0</v>
      </c>
      <c r="N101" s="9">
        <f>IF(10&lt;=核心参数输入!$B$9,SUMIFS(季度经营税费!$D$183:$DT$183,季度经营税费!$D$6:$DT$6,10)+SUMIFS(季度经营税费!$D$184:$DT$184,季度经营税费!$D$6:$DT$6,10)+IF(核心参数输入!$B$64=1,0,SUMIFS(季度经营税费!$D$186:$DT$186,季度经营税费!$D$6:$DT$6,10)),0)</f>
        <v>0</v>
      </c>
      <c r="O101" s="9">
        <f>IF(11&lt;=核心参数输入!$B$9,SUMIFS(季度经营税费!$D$183:$DT$183,季度经营税费!$D$6:$DT$6,11)+SUMIFS(季度经营税费!$D$184:$DT$184,季度经营税费!$D$6:$DT$6,11)+IF(核心参数输入!$B$64=1,0,SUMIFS(季度经营税费!$D$186:$DT$186,季度经营税费!$D$6:$DT$6,11)),0)</f>
        <v>0</v>
      </c>
      <c r="P101" s="9">
        <f>IF(12&lt;=核心参数输入!$B$9,SUMIFS(季度经营税费!$D$183:$DT$183,季度经营税费!$D$6:$DT$6,12)+SUMIFS(季度经营税费!$D$184:$DT$184,季度经营税费!$D$6:$DT$6,12)+IF(核心参数输入!$B$64=1,0,SUMIFS(季度经营税费!$D$186:$DT$186,季度经营税费!$D$6:$DT$6,12)),0)</f>
        <v>0</v>
      </c>
      <c r="Q101" s="9">
        <f>IF(13&lt;=核心参数输入!$B$9,SUMIFS(季度经营税费!$D$183:$DT$183,季度经营税费!$D$6:$DT$6,13)+SUMIFS(季度经营税费!$D$184:$DT$184,季度经营税费!$D$6:$DT$6,13)+IF(核心参数输入!$B$64=1,0,SUMIFS(季度经营税费!$D$186:$DT$186,季度经营税费!$D$6:$DT$6,13)),0)</f>
        <v>0</v>
      </c>
      <c r="R101" s="9">
        <f>IF(14&lt;=核心参数输入!$B$9,SUMIFS(季度经营税费!$D$183:$DT$183,季度经营税费!$D$6:$DT$6,14)+SUMIFS(季度经营税费!$D$184:$DT$184,季度经营税费!$D$6:$DT$6,14)+IF(核心参数输入!$B$64=1,0,SUMIFS(季度经营税费!$D$186:$DT$186,季度经营税费!$D$6:$DT$6,14)),0)</f>
        <v>0</v>
      </c>
      <c r="S101" s="9">
        <f>IF(15&lt;=核心参数输入!$B$9,SUMIFS(季度经营税费!$D$183:$DT$183,季度经营税费!$D$6:$DT$6,15)+SUMIFS(季度经营税费!$D$184:$DT$184,季度经营税费!$D$6:$DT$6,15)+IF(核心参数输入!$B$64=1,0,SUMIFS(季度经营税费!$D$186:$DT$186,季度经营税费!$D$6:$DT$6,15)),0)</f>
        <v>0</v>
      </c>
      <c r="T101" s="9">
        <f>IF(16&lt;=核心参数输入!$B$9,SUMIFS(季度经营税费!$D$183:$DT$183,季度经营税费!$D$6:$DT$6,16)+SUMIFS(季度经营税费!$D$184:$DT$184,季度经营税费!$D$6:$DT$6,16)+IF(核心参数输入!$B$64=1,0,SUMIFS(季度经营税费!$D$186:$DT$186,季度经营税费!$D$6:$DT$6,16)),0)</f>
        <v>0</v>
      </c>
      <c r="U101" s="9">
        <f>IF(17&lt;=核心参数输入!$B$9,SUMIFS(季度经营税费!$D$183:$DT$183,季度经营税费!$D$6:$DT$6,17)+SUMIFS(季度经营税费!$D$184:$DT$184,季度经营税费!$D$6:$DT$6,17)+IF(核心参数输入!$B$64=1,0,SUMIFS(季度经营税费!$D$186:$DT$186,季度经营税费!$D$6:$DT$6,17)),0)</f>
        <v>0</v>
      </c>
      <c r="V101" s="9">
        <f>IF(18&lt;=核心参数输入!$B$9,SUMIFS(季度经营税费!$D$183:$DT$183,季度经营税费!$D$6:$DT$6,18)+SUMIFS(季度经营税费!$D$184:$DT$184,季度经营税费!$D$6:$DT$6,18)+IF(核心参数输入!$B$64=1,0,SUMIFS(季度经营税费!$D$186:$DT$186,季度经营税费!$D$6:$DT$6,18)),0)</f>
        <v>0</v>
      </c>
      <c r="W101" s="9">
        <f>IF(19&lt;=核心参数输入!$B$9,SUMIFS(季度经营税费!$D$183:$DT$183,季度经营税费!$D$6:$DT$6,19)+SUMIFS(季度经营税费!$D$184:$DT$184,季度经营税费!$D$6:$DT$6,19)+IF(核心参数输入!$B$64=1,0,SUMIFS(季度经营税费!$D$186:$DT$186,季度经营税费!$D$6:$DT$6,19)),0)</f>
        <v>0</v>
      </c>
      <c r="X101" s="9">
        <f>IF(20&lt;=核心参数输入!$B$9,SUMIFS(季度经营税费!$D$183:$DT$183,季度经营税费!$D$6:$DT$6,20)+SUMIFS(季度经营税费!$D$184:$DT$184,季度经营税费!$D$6:$DT$6,20)+IF(核心参数输入!$B$64=1,0,SUMIFS(季度经营税费!$D$186:$DT$186,季度经营税费!$D$6:$DT$6,20)),0)</f>
        <v>0</v>
      </c>
      <c r="Y101" s="9">
        <f>IF(21&lt;=核心参数输入!$B$9,SUMIFS(季度经营税费!$D$183:$DT$183,季度经营税费!$D$6:$DT$6,21)+SUMIFS(季度经营税费!$D$184:$DT$184,季度经营税费!$D$6:$DT$6,21)+IF(核心参数输入!$B$64=1,0,SUMIFS(季度经营税费!$D$186:$DT$186,季度经营税费!$D$6:$DT$6,21)),0)</f>
        <v>0</v>
      </c>
      <c r="Z101" s="9">
        <f>IF(22&lt;=核心参数输入!$B$9,SUMIFS(季度经营税费!$D$183:$DT$183,季度经营税费!$D$6:$DT$6,22)+SUMIFS(季度经营税费!$D$184:$DT$184,季度经营税费!$D$6:$DT$6,22)+IF(核心参数输入!$B$64=1,0,SUMIFS(季度经营税费!$D$186:$DT$186,季度经营税费!$D$6:$DT$6,22)),0)</f>
        <v>0</v>
      </c>
      <c r="AA101" s="9">
        <f>IF(23&lt;=核心参数输入!$B$9,SUMIFS(季度经营税费!$D$183:$DT$183,季度经营税费!$D$6:$DT$6,23)+SUMIFS(季度经营税费!$D$184:$DT$184,季度经营税费!$D$6:$DT$6,23)+IF(核心参数输入!$B$64=1,0,SUMIFS(季度经营税费!$D$186:$DT$186,季度经营税费!$D$6:$DT$6,23)),0)</f>
        <v>0</v>
      </c>
      <c r="AB101" s="9">
        <f>IF(24&lt;=核心参数输入!$B$9,SUMIFS(季度经营税费!$D$183:$DT$183,季度经营税费!$D$6:$DT$6,24)+SUMIFS(季度经营税费!$D$184:$DT$184,季度经营税费!$D$6:$DT$6,24)+IF(核心参数输入!$B$64=1,0,SUMIFS(季度经营税费!$D$186:$DT$186,季度经营税费!$D$6:$DT$6,24)),0)</f>
        <v>0</v>
      </c>
      <c r="AC101" s="9">
        <f>IF(25&lt;=核心参数输入!$B$9,SUMIFS(季度经营税费!$D$183:$DT$183,季度经营税费!$D$6:$DT$6,25)+SUMIFS(季度经营税费!$D$184:$DT$184,季度经营税费!$D$6:$DT$6,25)+IF(核心参数输入!$B$64=1,0,SUMIFS(季度经营税费!$D$186:$DT$186,季度经营税费!$D$6:$DT$6,25)),0)</f>
        <v>0</v>
      </c>
      <c r="AD101" s="9">
        <f>IF(26&lt;=核心参数输入!$B$9,SUMIFS(季度经营税费!$D$183:$DT$183,季度经营税费!$D$6:$DT$6,26)+SUMIFS(季度经营税费!$D$184:$DT$184,季度经营税费!$D$6:$DT$6,26)+IF(核心参数输入!$B$64=1,0,SUMIFS(季度经营税费!$D$186:$DT$186,季度经营税费!$D$6:$DT$6,26)),0)</f>
        <v>0</v>
      </c>
      <c r="AE101" s="9">
        <f>IF(27&lt;=核心参数输入!$B$9,SUMIFS(季度经营税费!$D$183:$DT$183,季度经营税费!$D$6:$DT$6,27)+SUMIFS(季度经营税费!$D$184:$DT$184,季度经营税费!$D$6:$DT$6,27)+IF(核心参数输入!$B$64=1,0,SUMIFS(季度经营税费!$D$186:$DT$186,季度经营税费!$D$6:$DT$6,27)),0)</f>
        <v>0</v>
      </c>
      <c r="AF101" s="9">
        <f>IF(28&lt;=核心参数输入!$B$9,SUMIFS(季度经营税费!$D$183:$DT$183,季度经营税费!$D$6:$DT$6,28)+SUMIFS(季度经营税费!$D$184:$DT$184,季度经营税费!$D$6:$DT$6,28)+IF(核心参数输入!$B$64=1,0,SUMIFS(季度经营税费!$D$186:$DT$186,季度经营税费!$D$6:$DT$6,28)),0)</f>
        <v>0</v>
      </c>
      <c r="AG101" s="9">
        <f>IF(29&lt;=核心参数输入!$B$9,SUMIFS(季度经营税费!$D$183:$DT$183,季度经营税费!$D$6:$DT$6,29)+SUMIFS(季度经营税费!$D$184:$DT$184,季度经营税费!$D$6:$DT$6,29)+IF(核心参数输入!$B$64=1,0,SUMIFS(季度经营税费!$D$186:$DT$186,季度经营税费!$D$6:$DT$6,29)),0)</f>
        <v>0</v>
      </c>
      <c r="AH101" s="9">
        <f>IF(30&lt;=核心参数输入!$B$9,SUMIFS(季度经营税费!$D$183:$DT$183,季度经营税费!$D$6:$DT$6,30)+SUMIFS(季度经营税费!$D$184:$DT$184,季度经营税费!$D$6:$DT$6,30)+IF(核心参数输入!$B$64=1,0,SUMIFS(季度经营税费!$D$186:$DT$186,季度经营税费!$D$6:$DT$6,30)),0)</f>
        <v>0</v>
      </c>
    </row>
    <row r="102" spans="1:34" ht="21" hidden="1" customHeight="1">
      <c r="A102" s="8" t="s">
        <v>394</v>
      </c>
      <c r="B102" s="8" t="s">
        <v>73</v>
      </c>
      <c r="C102" s="8"/>
      <c r="D102" s="32">
        <f>IF(0&lt;=核心参数输入!$B$9,IF(ISNUMBER(D84),D84,1E+99),1E+99)</f>
        <v>9.9999999999999997E+98</v>
      </c>
      <c r="E102" s="32">
        <f>IF(1&lt;=核心参数输入!$B$9,IF(ISNUMBER(E84),E84,1E+99),1E+99)</f>
        <v>9.9999999999999997E+98</v>
      </c>
      <c r="F102" s="32">
        <f>IF(2&lt;=核心参数输入!$B$9,IF(ISNUMBER(F84),F84,1E+99),1E+99)</f>
        <v>9.9999999999999997E+98</v>
      </c>
      <c r="G102" s="32">
        <f>IF(3&lt;=核心参数输入!$B$9,IF(ISNUMBER(G84),G84,1E+99),1E+99)</f>
        <v>9.9999999999999997E+98</v>
      </c>
      <c r="H102" s="32">
        <f>IF(4&lt;=核心参数输入!$B$9,IF(ISNUMBER(H84),H84,1E+99),1E+99)</f>
        <v>1.8769897127980604</v>
      </c>
      <c r="I102" s="32">
        <f>IF(5&lt;=核心参数输入!$B$9,IF(ISNUMBER(I84),I84,1E+99),1E+99)</f>
        <v>2.8794999224109774</v>
      </c>
      <c r="J102" s="32">
        <f>IF(6&lt;=核心参数输入!$B$9,IF(ISNUMBER(J84),J84,1E+99),1E+99)</f>
        <v>2.4089567729526213</v>
      </c>
      <c r="K102" s="32">
        <f>IF(7&lt;=核心参数输入!$B$9,IF(ISNUMBER(K84),K84,1E+99),1E+99)</f>
        <v>0.32514701217042924</v>
      </c>
      <c r="L102" s="32">
        <f>IF(8&lt;=核心参数输入!$B$9,IF(ISNUMBER(L84),L84,1E+99),1E+99)</f>
        <v>0.14850575361696278</v>
      </c>
      <c r="M102" s="32">
        <f>IF(9&lt;=核心参数输入!$B$9,IF(ISNUMBER(M84),M84,1E+99),1E+99)</f>
        <v>0.15735811109945883</v>
      </c>
      <c r="N102" s="32">
        <f>IF(10&lt;=核心参数输入!$B$9,IF(ISNUMBER(N84),N84,1E+99),1E+99)</f>
        <v>0.16642380998567571</v>
      </c>
      <c r="O102" s="32">
        <f>IF(11&lt;=核心参数输入!$B$9,IF(ISNUMBER(O84),O84,1E+99),1E+99)</f>
        <v>9.9999999999999997E+98</v>
      </c>
      <c r="P102" s="32">
        <f>IF(12&lt;=核心参数输入!$B$9,IF(ISNUMBER(P84),P84,1E+99),1E+99)</f>
        <v>9.9999999999999997E+98</v>
      </c>
      <c r="Q102" s="32">
        <f>IF(13&lt;=核心参数输入!$B$9,IF(ISNUMBER(Q84),Q84,1E+99),1E+99)</f>
        <v>9.9999999999999997E+98</v>
      </c>
      <c r="R102" s="32">
        <f>IF(14&lt;=核心参数输入!$B$9,IF(ISNUMBER(R84),R84,1E+99),1E+99)</f>
        <v>9.9999999999999997E+98</v>
      </c>
      <c r="S102" s="32">
        <f>IF(15&lt;=核心参数输入!$B$9,IF(ISNUMBER(S84),S84,1E+99),1E+99)</f>
        <v>9.9999999999999997E+98</v>
      </c>
      <c r="T102" s="32">
        <f>IF(16&lt;=核心参数输入!$B$9,IF(ISNUMBER(T84),T84,1E+99),1E+99)</f>
        <v>9.9999999999999997E+98</v>
      </c>
      <c r="U102" s="32">
        <f>IF(17&lt;=核心参数输入!$B$9,IF(ISNUMBER(U84),U84,1E+99),1E+99)</f>
        <v>9.9999999999999997E+98</v>
      </c>
      <c r="V102" s="32">
        <f>IF(18&lt;=核心参数输入!$B$9,IF(ISNUMBER(V84),V84,1E+99),1E+99)</f>
        <v>9.9999999999999997E+98</v>
      </c>
      <c r="W102" s="32">
        <f>IF(19&lt;=核心参数输入!$B$9,IF(ISNUMBER(W84),W84,1E+99),1E+99)</f>
        <v>9.9999999999999997E+98</v>
      </c>
      <c r="X102" s="32">
        <f>IF(20&lt;=核心参数输入!$B$9,IF(ISNUMBER(X84),X84,1E+99),1E+99)</f>
        <v>9.9999999999999997E+98</v>
      </c>
      <c r="Y102" s="32">
        <f>IF(21&lt;=核心参数输入!$B$9,IF(ISNUMBER(Y84),Y84,1E+99),1E+99)</f>
        <v>9.9999999999999997E+98</v>
      </c>
      <c r="Z102" s="32">
        <f>IF(22&lt;=核心参数输入!$B$9,IF(ISNUMBER(Z84),Z84,1E+99),1E+99)</f>
        <v>9.9999999999999997E+98</v>
      </c>
      <c r="AA102" s="32">
        <f>IF(23&lt;=核心参数输入!$B$9,IF(ISNUMBER(AA84),AA84,1E+99),1E+99)</f>
        <v>9.9999999999999997E+98</v>
      </c>
      <c r="AB102" s="32">
        <f>IF(24&lt;=核心参数输入!$B$9,IF(ISNUMBER(AB84),AB84,1E+99),1E+99)</f>
        <v>9.9999999999999997E+98</v>
      </c>
      <c r="AC102" s="32">
        <f>IF(25&lt;=核心参数输入!$B$9,IF(ISNUMBER(AC84),AC84,1E+99),1E+99)</f>
        <v>9.9999999999999997E+98</v>
      </c>
      <c r="AD102" s="32">
        <f>IF(26&lt;=核心参数输入!$B$9,IF(ISNUMBER(AD84),AD84,1E+99),1E+99)</f>
        <v>9.9999999999999997E+98</v>
      </c>
      <c r="AE102" s="32">
        <f>IF(27&lt;=核心参数输入!$B$9,IF(ISNUMBER(AE84),AE84,1E+99),1E+99)</f>
        <v>9.9999999999999997E+98</v>
      </c>
      <c r="AF102" s="32">
        <f>IF(28&lt;=核心参数输入!$B$9,IF(ISNUMBER(AF84),AF84,1E+99),1E+99)</f>
        <v>9.9999999999999997E+98</v>
      </c>
      <c r="AG102" s="32">
        <f>IF(29&lt;=核心参数输入!$B$9,IF(ISNUMBER(AG84),AG84,1E+99),1E+99)</f>
        <v>9.9999999999999997E+98</v>
      </c>
      <c r="AH102" s="32">
        <f>IF(30&lt;=核心参数输入!$B$9,IF(ISNUMBER(AH84),AH84,1E+99),1E+99)</f>
        <v>9.9999999999999997E+98</v>
      </c>
    </row>
    <row r="103" spans="1:34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spans="1:34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spans="1:34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ht="21" customHeight="1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 spans="1:34" ht="21" customHeight="1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 spans="1:34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spans="1:34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1:34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spans="1:34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 spans="1:34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 spans="1:34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 spans="1:34" ht="21" customHeight="1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 spans="1:34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 spans="1:34" ht="21" customHeight="1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 spans="1:34" ht="21" customHeight="1">
      <c r="A121" s="8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1:34" ht="21" customHeight="1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 spans="1:34" ht="21" customHeight="1">
      <c r="A123" s="8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 spans="1:34" ht="21" customHeight="1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 spans="1:34" ht="21" customHeight="1">
      <c r="A125" s="8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 spans="1:34" ht="21" customHeight="1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 spans="1:34" ht="21" customHeight="1">
      <c r="A127" s="8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 spans="1:34" ht="21" customHeight="1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 spans="1:34" ht="21" customHeight="1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1:34" ht="21" customHeight="1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spans="1:34" ht="21" customHeight="1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 spans="1:34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 spans="1:34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 spans="1:34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 spans="1:34" ht="21" customHeight="1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 spans="1:34" ht="21" customHeight="1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 spans="1:34" ht="21" customHeight="1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 spans="1:34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 spans="1:34" ht="21" customHeight="1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 spans="1:34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 spans="1:34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ht="21" customHeight="1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ht="21" customHeight="1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ht="21" customHeight="1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ht="21" customHeight="1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ht="21" customHeight="1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ht="21" customHeight="1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ht="21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 spans="1:34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ht="21" customHeight="1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 spans="1:34" ht="21" customHeight="1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 spans="1:34" ht="21" customHeight="1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 spans="1:34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 spans="1:34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 spans="1:34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 spans="1:34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 spans="1:34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 spans="1:34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 spans="1:34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 spans="1:34" ht="21" customHeight="1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 spans="1:34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 spans="1:34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spans="1:34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spans="1:34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spans="1:34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spans="1:34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</sheetData>
  <sheetProtection sheet="1" objects="1" scenarios="1"/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T20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10" customWidth="1"/>
    <col min="2" max="2" width="18" style="10" customWidth="1"/>
    <col min="3" max="3" width="3" style="10" customWidth="1"/>
    <col min="4" max="124" width="16" style="10" customWidth="1"/>
    <col min="125" max="16384" width="9" style="10"/>
  </cols>
  <sheetData>
    <row r="1" spans="1:124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</row>
    <row r="2" spans="1:124" ht="30" customHeight="1">
      <c r="A2" s="11" t="s">
        <v>396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</row>
    <row r="3" spans="1:124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</row>
    <row r="4" spans="1:124" ht="21" customHeight="1">
      <c r="A4" s="8" t="s">
        <v>397</v>
      </c>
      <c r="B4" s="8"/>
      <c r="C4" s="8"/>
      <c r="D4" s="31">
        <f>季度计划!D4</f>
        <v>0</v>
      </c>
      <c r="E4" s="31">
        <f>季度计划!E4</f>
        <v>1</v>
      </c>
      <c r="F4" s="31">
        <f>季度计划!F4</f>
        <v>2</v>
      </c>
      <c r="G4" s="31">
        <f>季度计划!G4</f>
        <v>3</v>
      </c>
      <c r="H4" s="31">
        <f>季度计划!H4</f>
        <v>4</v>
      </c>
      <c r="I4" s="31">
        <f>季度计划!I4</f>
        <v>5</v>
      </c>
      <c r="J4" s="31">
        <f>季度计划!J4</f>
        <v>6</v>
      </c>
      <c r="K4" s="31">
        <f>季度计划!K4</f>
        <v>7</v>
      </c>
      <c r="L4" s="31">
        <f>季度计划!L4</f>
        <v>8</v>
      </c>
      <c r="M4" s="31">
        <f>季度计划!M4</f>
        <v>9</v>
      </c>
      <c r="N4" s="31">
        <f>季度计划!N4</f>
        <v>10</v>
      </c>
      <c r="O4" s="31">
        <f>季度计划!O4</f>
        <v>11</v>
      </c>
      <c r="P4" s="31">
        <f>季度计划!P4</f>
        <v>12</v>
      </c>
      <c r="Q4" s="31">
        <f>季度计划!Q4</f>
        <v>13</v>
      </c>
      <c r="R4" s="31">
        <f>季度计划!R4</f>
        <v>14</v>
      </c>
      <c r="S4" s="31">
        <f>季度计划!S4</f>
        <v>15</v>
      </c>
      <c r="T4" s="31">
        <f>季度计划!T4</f>
        <v>16</v>
      </c>
      <c r="U4" s="31">
        <f>季度计划!U4</f>
        <v>17</v>
      </c>
      <c r="V4" s="31">
        <f>季度计划!V4</f>
        <v>18</v>
      </c>
      <c r="W4" s="31">
        <f>季度计划!W4</f>
        <v>19</v>
      </c>
      <c r="X4" s="31">
        <f>季度计划!X4</f>
        <v>20</v>
      </c>
      <c r="Y4" s="31">
        <f>季度计划!Y4</f>
        <v>21</v>
      </c>
      <c r="Z4" s="31">
        <f>季度计划!Z4</f>
        <v>22</v>
      </c>
      <c r="AA4" s="31">
        <f>季度计划!AA4</f>
        <v>23</v>
      </c>
      <c r="AB4" s="31">
        <f>季度计划!AB4</f>
        <v>24</v>
      </c>
      <c r="AC4" s="31">
        <f>季度计划!AC4</f>
        <v>25</v>
      </c>
      <c r="AD4" s="31">
        <f>季度计划!AD4</f>
        <v>26</v>
      </c>
      <c r="AE4" s="31">
        <f>季度计划!AE4</f>
        <v>27</v>
      </c>
      <c r="AF4" s="31">
        <f>季度计划!AF4</f>
        <v>28</v>
      </c>
      <c r="AG4" s="31">
        <f>季度计划!AG4</f>
        <v>29</v>
      </c>
      <c r="AH4" s="31">
        <f>季度计划!AH4</f>
        <v>30</v>
      </c>
      <c r="AI4" s="31">
        <f>季度计划!AI4</f>
        <v>31</v>
      </c>
      <c r="AJ4" s="31">
        <f>季度计划!AJ4</f>
        <v>32</v>
      </c>
      <c r="AK4" s="31">
        <f>季度计划!AK4</f>
        <v>33</v>
      </c>
      <c r="AL4" s="31">
        <f>季度计划!AL4</f>
        <v>34</v>
      </c>
      <c r="AM4" s="31">
        <f>季度计划!AM4</f>
        <v>35</v>
      </c>
      <c r="AN4" s="31">
        <f>季度计划!AN4</f>
        <v>36</v>
      </c>
      <c r="AO4" s="31">
        <f>季度计划!AO4</f>
        <v>37</v>
      </c>
      <c r="AP4" s="31">
        <f>季度计划!AP4</f>
        <v>38</v>
      </c>
      <c r="AQ4" s="31">
        <f>季度计划!AQ4</f>
        <v>39</v>
      </c>
      <c r="AR4" s="31">
        <f>季度计划!AR4</f>
        <v>40</v>
      </c>
      <c r="AS4" s="31">
        <f>季度计划!AS4</f>
        <v>41</v>
      </c>
      <c r="AT4" s="31">
        <f>季度计划!AT4</f>
        <v>42</v>
      </c>
      <c r="AU4" s="31">
        <f>季度计划!AU4</f>
        <v>43</v>
      </c>
      <c r="AV4" s="31">
        <f>季度计划!AV4</f>
        <v>44</v>
      </c>
      <c r="AW4" s="31">
        <f>季度计划!AW4</f>
        <v>45</v>
      </c>
      <c r="AX4" s="31">
        <f>季度计划!AX4</f>
        <v>46</v>
      </c>
      <c r="AY4" s="31">
        <f>季度计划!AY4</f>
        <v>47</v>
      </c>
      <c r="AZ4" s="31">
        <f>季度计划!AZ4</f>
        <v>48</v>
      </c>
      <c r="BA4" s="31">
        <f>季度计划!BA4</f>
        <v>49</v>
      </c>
      <c r="BB4" s="31">
        <f>季度计划!BB4</f>
        <v>50</v>
      </c>
      <c r="BC4" s="31">
        <f>季度计划!BC4</f>
        <v>51</v>
      </c>
      <c r="BD4" s="31">
        <f>季度计划!BD4</f>
        <v>52</v>
      </c>
      <c r="BE4" s="31">
        <f>季度计划!BE4</f>
        <v>53</v>
      </c>
      <c r="BF4" s="31">
        <f>季度计划!BF4</f>
        <v>54</v>
      </c>
      <c r="BG4" s="31">
        <f>季度计划!BG4</f>
        <v>55</v>
      </c>
      <c r="BH4" s="31">
        <f>季度计划!BH4</f>
        <v>56</v>
      </c>
      <c r="BI4" s="31">
        <f>季度计划!BI4</f>
        <v>57</v>
      </c>
      <c r="BJ4" s="31">
        <f>季度计划!BJ4</f>
        <v>58</v>
      </c>
      <c r="BK4" s="31">
        <f>季度计划!BK4</f>
        <v>59</v>
      </c>
      <c r="BL4" s="31">
        <f>季度计划!BL4</f>
        <v>60</v>
      </c>
      <c r="BM4" s="31">
        <f>季度计划!BM4</f>
        <v>61</v>
      </c>
      <c r="BN4" s="31">
        <f>季度计划!BN4</f>
        <v>62</v>
      </c>
      <c r="BO4" s="31">
        <f>季度计划!BO4</f>
        <v>63</v>
      </c>
      <c r="BP4" s="31">
        <f>季度计划!BP4</f>
        <v>64</v>
      </c>
      <c r="BQ4" s="31">
        <f>季度计划!BQ4</f>
        <v>65</v>
      </c>
      <c r="BR4" s="31">
        <f>季度计划!BR4</f>
        <v>66</v>
      </c>
      <c r="BS4" s="31">
        <f>季度计划!BS4</f>
        <v>67</v>
      </c>
      <c r="BT4" s="31">
        <f>季度计划!BT4</f>
        <v>68</v>
      </c>
      <c r="BU4" s="31">
        <f>季度计划!BU4</f>
        <v>69</v>
      </c>
      <c r="BV4" s="31">
        <f>季度计划!BV4</f>
        <v>70</v>
      </c>
      <c r="BW4" s="31">
        <f>季度计划!BW4</f>
        <v>71</v>
      </c>
      <c r="BX4" s="31">
        <f>季度计划!BX4</f>
        <v>72</v>
      </c>
      <c r="BY4" s="31">
        <f>季度计划!BY4</f>
        <v>73</v>
      </c>
      <c r="BZ4" s="31">
        <f>季度计划!BZ4</f>
        <v>74</v>
      </c>
      <c r="CA4" s="31">
        <f>季度计划!CA4</f>
        <v>75</v>
      </c>
      <c r="CB4" s="31">
        <f>季度计划!CB4</f>
        <v>76</v>
      </c>
      <c r="CC4" s="31">
        <f>季度计划!CC4</f>
        <v>77</v>
      </c>
      <c r="CD4" s="31">
        <f>季度计划!CD4</f>
        <v>78</v>
      </c>
      <c r="CE4" s="31">
        <f>季度计划!CE4</f>
        <v>79</v>
      </c>
      <c r="CF4" s="31">
        <f>季度计划!CF4</f>
        <v>80</v>
      </c>
      <c r="CG4" s="31">
        <f>季度计划!CG4</f>
        <v>81</v>
      </c>
      <c r="CH4" s="31">
        <f>季度计划!CH4</f>
        <v>82</v>
      </c>
      <c r="CI4" s="31">
        <f>季度计划!CI4</f>
        <v>83</v>
      </c>
      <c r="CJ4" s="31">
        <f>季度计划!CJ4</f>
        <v>84</v>
      </c>
      <c r="CK4" s="31">
        <f>季度计划!CK4</f>
        <v>85</v>
      </c>
      <c r="CL4" s="31">
        <f>季度计划!CL4</f>
        <v>86</v>
      </c>
      <c r="CM4" s="31">
        <f>季度计划!CM4</f>
        <v>87</v>
      </c>
      <c r="CN4" s="31">
        <f>季度计划!CN4</f>
        <v>88</v>
      </c>
      <c r="CO4" s="31">
        <f>季度计划!CO4</f>
        <v>89</v>
      </c>
      <c r="CP4" s="31">
        <f>季度计划!CP4</f>
        <v>90</v>
      </c>
      <c r="CQ4" s="31">
        <f>季度计划!CQ4</f>
        <v>91</v>
      </c>
      <c r="CR4" s="31">
        <f>季度计划!CR4</f>
        <v>92</v>
      </c>
      <c r="CS4" s="31">
        <f>季度计划!CS4</f>
        <v>93</v>
      </c>
      <c r="CT4" s="31">
        <f>季度计划!CT4</f>
        <v>94</v>
      </c>
      <c r="CU4" s="31">
        <f>季度计划!CU4</f>
        <v>95</v>
      </c>
      <c r="CV4" s="31">
        <f>季度计划!CV4</f>
        <v>96</v>
      </c>
      <c r="CW4" s="31">
        <f>季度计划!CW4</f>
        <v>97</v>
      </c>
      <c r="CX4" s="31">
        <f>季度计划!CX4</f>
        <v>98</v>
      </c>
      <c r="CY4" s="31">
        <f>季度计划!CY4</f>
        <v>99</v>
      </c>
      <c r="CZ4" s="31">
        <f>季度计划!CZ4</f>
        <v>100</v>
      </c>
      <c r="DA4" s="31">
        <f>季度计划!DA4</f>
        <v>101</v>
      </c>
      <c r="DB4" s="31">
        <f>季度计划!DB4</f>
        <v>102</v>
      </c>
      <c r="DC4" s="31">
        <f>季度计划!DC4</f>
        <v>103</v>
      </c>
      <c r="DD4" s="31">
        <f>季度计划!DD4</f>
        <v>104</v>
      </c>
      <c r="DE4" s="31">
        <f>季度计划!DE4</f>
        <v>105</v>
      </c>
      <c r="DF4" s="31">
        <f>季度计划!DF4</f>
        <v>106</v>
      </c>
      <c r="DG4" s="31">
        <f>季度计划!DG4</f>
        <v>107</v>
      </c>
      <c r="DH4" s="31">
        <f>季度计划!DH4</f>
        <v>108</v>
      </c>
      <c r="DI4" s="31">
        <f>季度计划!DI4</f>
        <v>109</v>
      </c>
      <c r="DJ4" s="31">
        <f>季度计划!DJ4</f>
        <v>110</v>
      </c>
      <c r="DK4" s="31">
        <f>季度计划!DK4</f>
        <v>111</v>
      </c>
      <c r="DL4" s="31">
        <f>季度计划!DL4</f>
        <v>112</v>
      </c>
      <c r="DM4" s="31">
        <f>季度计划!DM4</f>
        <v>113</v>
      </c>
      <c r="DN4" s="31">
        <f>季度计划!DN4</f>
        <v>114</v>
      </c>
      <c r="DO4" s="31">
        <f>季度计划!DO4</f>
        <v>115</v>
      </c>
      <c r="DP4" s="31">
        <f>季度计划!DP4</f>
        <v>116</v>
      </c>
      <c r="DQ4" s="31">
        <f>季度计划!DQ4</f>
        <v>117</v>
      </c>
      <c r="DR4" s="31">
        <f>季度计划!DR4</f>
        <v>118</v>
      </c>
      <c r="DS4" s="31">
        <f>季度计划!DS4</f>
        <v>119</v>
      </c>
      <c r="DT4" s="31">
        <f>季度计划!DT4</f>
        <v>120</v>
      </c>
    </row>
    <row r="5" spans="1:124" ht="21" customHeight="1">
      <c r="A5" s="8" t="s">
        <v>398</v>
      </c>
      <c r="B5" s="8"/>
      <c r="C5" s="8"/>
      <c r="D5" s="21" t="str">
        <f>季度计划!D5</f>
        <v>2026年末 / 第0年</v>
      </c>
      <c r="E5" s="21" t="str">
        <f>季度计划!E5</f>
        <v>2027Q1</v>
      </c>
      <c r="F5" s="21" t="str">
        <f>季度计划!F5</f>
        <v>2027Q2</v>
      </c>
      <c r="G5" s="21" t="str">
        <f>季度计划!G5</f>
        <v>2027Q3</v>
      </c>
      <c r="H5" s="21" t="str">
        <f>季度计划!H5</f>
        <v>2027Q4</v>
      </c>
      <c r="I5" s="21" t="str">
        <f>季度计划!I5</f>
        <v>2028Q1</v>
      </c>
      <c r="J5" s="21" t="str">
        <f>季度计划!J5</f>
        <v>2028Q2</v>
      </c>
      <c r="K5" s="21" t="str">
        <f>季度计划!K5</f>
        <v>2028Q3</v>
      </c>
      <c r="L5" s="21" t="str">
        <f>季度计划!L5</f>
        <v>2028Q4</v>
      </c>
      <c r="M5" s="21" t="str">
        <f>季度计划!M5</f>
        <v>2029Q1</v>
      </c>
      <c r="N5" s="21" t="str">
        <f>季度计划!N5</f>
        <v>2029Q2</v>
      </c>
      <c r="O5" s="21" t="str">
        <f>季度计划!O5</f>
        <v>2029Q3</v>
      </c>
      <c r="P5" s="21" t="str">
        <f>季度计划!P5</f>
        <v>2029Q4</v>
      </c>
      <c r="Q5" s="21" t="str">
        <f>季度计划!Q5</f>
        <v>2030Q1</v>
      </c>
      <c r="R5" s="21" t="str">
        <f>季度计划!R5</f>
        <v>2030Q2</v>
      </c>
      <c r="S5" s="21" t="str">
        <f>季度计划!S5</f>
        <v>2030Q3</v>
      </c>
      <c r="T5" s="21" t="str">
        <f>季度计划!T5</f>
        <v>2030Q4</v>
      </c>
      <c r="U5" s="21" t="str">
        <f>季度计划!U5</f>
        <v>2031Q1</v>
      </c>
      <c r="V5" s="21" t="str">
        <f>季度计划!V5</f>
        <v>2031Q2</v>
      </c>
      <c r="W5" s="21" t="str">
        <f>季度计划!W5</f>
        <v>2031Q3</v>
      </c>
      <c r="X5" s="21" t="str">
        <f>季度计划!X5</f>
        <v>2031Q4</v>
      </c>
      <c r="Y5" s="21" t="str">
        <f>季度计划!Y5</f>
        <v>2032Q1</v>
      </c>
      <c r="Z5" s="21" t="str">
        <f>季度计划!Z5</f>
        <v>2032Q2</v>
      </c>
      <c r="AA5" s="21" t="str">
        <f>季度计划!AA5</f>
        <v>2032Q3</v>
      </c>
      <c r="AB5" s="21" t="str">
        <f>季度计划!AB5</f>
        <v>2032Q4</v>
      </c>
      <c r="AC5" s="21" t="str">
        <f>季度计划!AC5</f>
        <v>2033Q1</v>
      </c>
      <c r="AD5" s="21" t="str">
        <f>季度计划!AD5</f>
        <v>2033Q2</v>
      </c>
      <c r="AE5" s="21" t="str">
        <f>季度计划!AE5</f>
        <v>2033Q3</v>
      </c>
      <c r="AF5" s="21" t="str">
        <f>季度计划!AF5</f>
        <v>2033Q4</v>
      </c>
      <c r="AG5" s="21" t="str">
        <f>季度计划!AG5</f>
        <v>2034Q1</v>
      </c>
      <c r="AH5" s="21" t="str">
        <f>季度计划!AH5</f>
        <v>2034Q2</v>
      </c>
      <c r="AI5" s="21" t="str">
        <f>季度计划!AI5</f>
        <v>2034Q3</v>
      </c>
      <c r="AJ5" s="21" t="str">
        <f>季度计划!AJ5</f>
        <v>2034Q4</v>
      </c>
      <c r="AK5" s="21" t="str">
        <f>季度计划!AK5</f>
        <v>2035Q1</v>
      </c>
      <c r="AL5" s="21" t="str">
        <f>季度计划!AL5</f>
        <v>2035Q2</v>
      </c>
      <c r="AM5" s="21" t="str">
        <f>季度计划!AM5</f>
        <v>2035Q3</v>
      </c>
      <c r="AN5" s="21" t="str">
        <f>季度计划!AN5</f>
        <v>2035Q4</v>
      </c>
      <c r="AO5" s="21" t="str">
        <f>季度计划!AO5</f>
        <v>2036Q1</v>
      </c>
      <c r="AP5" s="21" t="str">
        <f>季度计划!AP5</f>
        <v>2036Q2</v>
      </c>
      <c r="AQ5" s="21" t="str">
        <f>季度计划!AQ5</f>
        <v>2036Q3</v>
      </c>
      <c r="AR5" s="21" t="str">
        <f>季度计划!AR5</f>
        <v>2036Q4</v>
      </c>
      <c r="AS5" s="21" t="str">
        <f>季度计划!AS5</f>
        <v>2037Q1</v>
      </c>
      <c r="AT5" s="21" t="str">
        <f>季度计划!AT5</f>
        <v>2037Q2</v>
      </c>
      <c r="AU5" s="21" t="str">
        <f>季度计划!AU5</f>
        <v>2037Q3</v>
      </c>
      <c r="AV5" s="21" t="str">
        <f>季度计划!AV5</f>
        <v>2037Q4</v>
      </c>
      <c r="AW5" s="21" t="str">
        <f>季度计划!AW5</f>
        <v>2038Q1</v>
      </c>
      <c r="AX5" s="21" t="str">
        <f>季度计划!AX5</f>
        <v>2038Q2</v>
      </c>
      <c r="AY5" s="21" t="str">
        <f>季度计划!AY5</f>
        <v>2038Q3</v>
      </c>
      <c r="AZ5" s="21" t="str">
        <f>季度计划!AZ5</f>
        <v>2038Q4</v>
      </c>
      <c r="BA5" s="21" t="str">
        <f>季度计划!BA5</f>
        <v>2039Q1</v>
      </c>
      <c r="BB5" s="21" t="str">
        <f>季度计划!BB5</f>
        <v>2039Q2</v>
      </c>
      <c r="BC5" s="21" t="str">
        <f>季度计划!BC5</f>
        <v>2039Q3</v>
      </c>
      <c r="BD5" s="21" t="str">
        <f>季度计划!BD5</f>
        <v>2039Q4</v>
      </c>
      <c r="BE5" s="21" t="str">
        <f>季度计划!BE5</f>
        <v>2040Q1</v>
      </c>
      <c r="BF5" s="21" t="str">
        <f>季度计划!BF5</f>
        <v>2040Q2</v>
      </c>
      <c r="BG5" s="21" t="str">
        <f>季度计划!BG5</f>
        <v>2040Q3</v>
      </c>
      <c r="BH5" s="21" t="str">
        <f>季度计划!BH5</f>
        <v>2040Q4</v>
      </c>
      <c r="BI5" s="21" t="str">
        <f>季度计划!BI5</f>
        <v>2041Q1</v>
      </c>
      <c r="BJ5" s="21" t="str">
        <f>季度计划!BJ5</f>
        <v>2041Q2</v>
      </c>
      <c r="BK5" s="21" t="str">
        <f>季度计划!BK5</f>
        <v>2041Q3</v>
      </c>
      <c r="BL5" s="21" t="str">
        <f>季度计划!BL5</f>
        <v>2041Q4</v>
      </c>
      <c r="BM5" s="21" t="str">
        <f>季度计划!BM5</f>
        <v>2042Q1</v>
      </c>
      <c r="BN5" s="21" t="str">
        <f>季度计划!BN5</f>
        <v>2042Q2</v>
      </c>
      <c r="BO5" s="21" t="str">
        <f>季度计划!BO5</f>
        <v>2042Q3</v>
      </c>
      <c r="BP5" s="21" t="str">
        <f>季度计划!BP5</f>
        <v>2042Q4</v>
      </c>
      <c r="BQ5" s="21" t="str">
        <f>季度计划!BQ5</f>
        <v>2043Q1</v>
      </c>
      <c r="BR5" s="21" t="str">
        <f>季度计划!BR5</f>
        <v>2043Q2</v>
      </c>
      <c r="BS5" s="21" t="str">
        <f>季度计划!BS5</f>
        <v>2043Q3</v>
      </c>
      <c r="BT5" s="21" t="str">
        <f>季度计划!BT5</f>
        <v>2043Q4</v>
      </c>
      <c r="BU5" s="21" t="str">
        <f>季度计划!BU5</f>
        <v>2044Q1</v>
      </c>
      <c r="BV5" s="21" t="str">
        <f>季度计划!BV5</f>
        <v>2044Q2</v>
      </c>
      <c r="BW5" s="21" t="str">
        <f>季度计划!BW5</f>
        <v>2044Q3</v>
      </c>
      <c r="BX5" s="21" t="str">
        <f>季度计划!BX5</f>
        <v>2044Q4</v>
      </c>
      <c r="BY5" s="21" t="str">
        <f>季度计划!BY5</f>
        <v>2045Q1</v>
      </c>
      <c r="BZ5" s="21" t="str">
        <f>季度计划!BZ5</f>
        <v>2045Q2</v>
      </c>
      <c r="CA5" s="21" t="str">
        <f>季度计划!CA5</f>
        <v>2045Q3</v>
      </c>
      <c r="CB5" s="21" t="str">
        <f>季度计划!CB5</f>
        <v>2045Q4</v>
      </c>
      <c r="CC5" s="21" t="str">
        <f>季度计划!CC5</f>
        <v>2046Q1</v>
      </c>
      <c r="CD5" s="21" t="str">
        <f>季度计划!CD5</f>
        <v>2046Q2</v>
      </c>
      <c r="CE5" s="21" t="str">
        <f>季度计划!CE5</f>
        <v>2046Q3</v>
      </c>
      <c r="CF5" s="21" t="str">
        <f>季度计划!CF5</f>
        <v>2046Q4</v>
      </c>
      <c r="CG5" s="21" t="str">
        <f>季度计划!CG5</f>
        <v>2047Q1</v>
      </c>
      <c r="CH5" s="21" t="str">
        <f>季度计划!CH5</f>
        <v>2047Q2</v>
      </c>
      <c r="CI5" s="21" t="str">
        <f>季度计划!CI5</f>
        <v>2047Q3</v>
      </c>
      <c r="CJ5" s="21" t="str">
        <f>季度计划!CJ5</f>
        <v>2047Q4</v>
      </c>
      <c r="CK5" s="21" t="str">
        <f>季度计划!CK5</f>
        <v>2048Q1</v>
      </c>
      <c r="CL5" s="21" t="str">
        <f>季度计划!CL5</f>
        <v>2048Q2</v>
      </c>
      <c r="CM5" s="21" t="str">
        <f>季度计划!CM5</f>
        <v>2048Q3</v>
      </c>
      <c r="CN5" s="21" t="str">
        <f>季度计划!CN5</f>
        <v>2048Q4</v>
      </c>
      <c r="CO5" s="21" t="str">
        <f>季度计划!CO5</f>
        <v>2049Q1</v>
      </c>
      <c r="CP5" s="21" t="str">
        <f>季度计划!CP5</f>
        <v>2049Q2</v>
      </c>
      <c r="CQ5" s="21" t="str">
        <f>季度计划!CQ5</f>
        <v>2049Q3</v>
      </c>
      <c r="CR5" s="21" t="str">
        <f>季度计划!CR5</f>
        <v>2049Q4</v>
      </c>
      <c r="CS5" s="21" t="str">
        <f>季度计划!CS5</f>
        <v>2050Q1</v>
      </c>
      <c r="CT5" s="21" t="str">
        <f>季度计划!CT5</f>
        <v>2050Q2</v>
      </c>
      <c r="CU5" s="21" t="str">
        <f>季度计划!CU5</f>
        <v>2050Q3</v>
      </c>
      <c r="CV5" s="21" t="str">
        <f>季度计划!CV5</f>
        <v>2050Q4</v>
      </c>
      <c r="CW5" s="21" t="str">
        <f>季度计划!CW5</f>
        <v>2051Q1</v>
      </c>
      <c r="CX5" s="21" t="str">
        <f>季度计划!CX5</f>
        <v>2051Q2</v>
      </c>
      <c r="CY5" s="21" t="str">
        <f>季度计划!CY5</f>
        <v>2051Q3</v>
      </c>
      <c r="CZ5" s="21" t="str">
        <f>季度计划!CZ5</f>
        <v>2051Q4</v>
      </c>
      <c r="DA5" s="21" t="str">
        <f>季度计划!DA5</f>
        <v>2052Q1</v>
      </c>
      <c r="DB5" s="21" t="str">
        <f>季度计划!DB5</f>
        <v>2052Q2</v>
      </c>
      <c r="DC5" s="21" t="str">
        <f>季度计划!DC5</f>
        <v>2052Q3</v>
      </c>
      <c r="DD5" s="21" t="str">
        <f>季度计划!DD5</f>
        <v>2052Q4</v>
      </c>
      <c r="DE5" s="21" t="str">
        <f>季度计划!DE5</f>
        <v>2053Q1</v>
      </c>
      <c r="DF5" s="21" t="str">
        <f>季度计划!DF5</f>
        <v>2053Q2</v>
      </c>
      <c r="DG5" s="21" t="str">
        <f>季度计划!DG5</f>
        <v>2053Q3</v>
      </c>
      <c r="DH5" s="21" t="str">
        <f>季度计划!DH5</f>
        <v>2053Q4</v>
      </c>
      <c r="DI5" s="21" t="str">
        <f>季度计划!DI5</f>
        <v>2054Q1</v>
      </c>
      <c r="DJ5" s="21" t="str">
        <f>季度计划!DJ5</f>
        <v>2054Q2</v>
      </c>
      <c r="DK5" s="21" t="str">
        <f>季度计划!DK5</f>
        <v>2054Q3</v>
      </c>
      <c r="DL5" s="21" t="str">
        <f>季度计划!DL5</f>
        <v>2054Q4</v>
      </c>
      <c r="DM5" s="21" t="str">
        <f>季度计划!DM5</f>
        <v>2055Q1</v>
      </c>
      <c r="DN5" s="21" t="str">
        <f>季度计划!DN5</f>
        <v>2055Q2</v>
      </c>
      <c r="DO5" s="21" t="str">
        <f>季度计划!DO5</f>
        <v>2055Q3</v>
      </c>
      <c r="DP5" s="21" t="str">
        <f>季度计划!DP5</f>
        <v>2055Q4</v>
      </c>
      <c r="DQ5" s="21" t="str">
        <f>季度计划!DQ5</f>
        <v>2056Q1</v>
      </c>
      <c r="DR5" s="21" t="str">
        <f>季度计划!DR5</f>
        <v>2056Q2</v>
      </c>
      <c r="DS5" s="21" t="str">
        <f>季度计划!DS5</f>
        <v>2056Q3</v>
      </c>
      <c r="DT5" s="21" t="str">
        <f>季度计划!DT5</f>
        <v>2056Q4</v>
      </c>
    </row>
    <row r="6" spans="1:124" ht="21" customHeight="1">
      <c r="A6" s="8" t="s">
        <v>360</v>
      </c>
      <c r="B6" s="8" t="s">
        <v>16</v>
      </c>
      <c r="C6" s="8"/>
      <c r="D6" s="31">
        <f>季度计划!D6</f>
        <v>0</v>
      </c>
      <c r="E6" s="31" t="s">
        <v>188</v>
      </c>
      <c r="F6" s="31">
        <f>季度计划!F6</f>
        <v>1</v>
      </c>
      <c r="G6" s="31">
        <f>季度计划!G6</f>
        <v>1</v>
      </c>
      <c r="H6" s="31">
        <f>季度计划!H6</f>
        <v>1</v>
      </c>
      <c r="I6" s="31">
        <f>季度计划!I6</f>
        <v>2</v>
      </c>
      <c r="J6" s="31">
        <f>季度计划!J6</f>
        <v>2</v>
      </c>
      <c r="K6" s="31">
        <f>季度计划!K6</f>
        <v>2</v>
      </c>
      <c r="L6" s="31">
        <f>季度计划!L6</f>
        <v>2</v>
      </c>
      <c r="M6" s="31">
        <f>季度计划!M6</f>
        <v>3</v>
      </c>
      <c r="N6" s="31">
        <f>季度计划!N6</f>
        <v>3</v>
      </c>
      <c r="O6" s="31">
        <f>季度计划!O6</f>
        <v>3</v>
      </c>
      <c r="P6" s="31">
        <f>季度计划!P6</f>
        <v>3</v>
      </c>
      <c r="Q6" s="31">
        <f>季度计划!Q6</f>
        <v>4</v>
      </c>
      <c r="R6" s="31">
        <f>季度计划!R6</f>
        <v>4</v>
      </c>
      <c r="S6" s="31">
        <f>季度计划!S6</f>
        <v>4</v>
      </c>
      <c r="T6" s="31">
        <f>季度计划!T6</f>
        <v>4</v>
      </c>
      <c r="U6" s="31">
        <f>季度计划!U6</f>
        <v>5</v>
      </c>
      <c r="V6" s="31">
        <f>季度计划!V6</f>
        <v>5</v>
      </c>
      <c r="W6" s="31">
        <f>季度计划!W6</f>
        <v>5</v>
      </c>
      <c r="X6" s="31">
        <f>季度计划!X6</f>
        <v>5</v>
      </c>
      <c r="Y6" s="31">
        <f>季度计划!Y6</f>
        <v>6</v>
      </c>
      <c r="Z6" s="31">
        <f>季度计划!Z6</f>
        <v>6</v>
      </c>
      <c r="AA6" s="31">
        <f>季度计划!AA6</f>
        <v>6</v>
      </c>
      <c r="AB6" s="31">
        <f>季度计划!AB6</f>
        <v>6</v>
      </c>
      <c r="AC6" s="31">
        <f>季度计划!AC6</f>
        <v>7</v>
      </c>
      <c r="AD6" s="31">
        <f>季度计划!AD6</f>
        <v>7</v>
      </c>
      <c r="AE6" s="31">
        <f>季度计划!AE6</f>
        <v>7</v>
      </c>
      <c r="AF6" s="31">
        <f>季度计划!AF6</f>
        <v>7</v>
      </c>
      <c r="AG6" s="31">
        <f>季度计划!AG6</f>
        <v>8</v>
      </c>
      <c r="AH6" s="31">
        <f>季度计划!AH6</f>
        <v>8</v>
      </c>
      <c r="AI6" s="31">
        <f>季度计划!AI6</f>
        <v>8</v>
      </c>
      <c r="AJ6" s="31">
        <f>季度计划!AJ6</f>
        <v>8</v>
      </c>
      <c r="AK6" s="31">
        <f>季度计划!AK6</f>
        <v>9</v>
      </c>
      <c r="AL6" s="31">
        <f>季度计划!AL6</f>
        <v>9</v>
      </c>
      <c r="AM6" s="31">
        <f>季度计划!AM6</f>
        <v>9</v>
      </c>
      <c r="AN6" s="31">
        <f>季度计划!AN6</f>
        <v>9</v>
      </c>
      <c r="AO6" s="31">
        <f>季度计划!AO6</f>
        <v>10</v>
      </c>
      <c r="AP6" s="31">
        <f>季度计划!AP6</f>
        <v>10</v>
      </c>
      <c r="AQ6" s="31">
        <f>季度计划!AQ6</f>
        <v>10</v>
      </c>
      <c r="AR6" s="31">
        <f>季度计划!AR6</f>
        <v>10</v>
      </c>
      <c r="AS6" s="31">
        <f>季度计划!AS6</f>
        <v>11</v>
      </c>
      <c r="AT6" s="31">
        <f>季度计划!AT6</f>
        <v>11</v>
      </c>
      <c r="AU6" s="31">
        <f>季度计划!AU6</f>
        <v>11</v>
      </c>
      <c r="AV6" s="31">
        <f>季度计划!AV6</f>
        <v>11</v>
      </c>
      <c r="AW6" s="31">
        <f>季度计划!AW6</f>
        <v>12</v>
      </c>
      <c r="AX6" s="31">
        <f>季度计划!AX6</f>
        <v>12</v>
      </c>
      <c r="AY6" s="31">
        <f>季度计划!AY6</f>
        <v>12</v>
      </c>
      <c r="AZ6" s="31">
        <f>季度计划!AZ6</f>
        <v>12</v>
      </c>
      <c r="BA6" s="31">
        <f>季度计划!BA6</f>
        <v>13</v>
      </c>
      <c r="BB6" s="31">
        <f>季度计划!BB6</f>
        <v>13</v>
      </c>
      <c r="BC6" s="31">
        <f>季度计划!BC6</f>
        <v>13</v>
      </c>
      <c r="BD6" s="31">
        <f>季度计划!BD6</f>
        <v>13</v>
      </c>
      <c r="BE6" s="31">
        <f>季度计划!BE6</f>
        <v>14</v>
      </c>
      <c r="BF6" s="31">
        <f>季度计划!BF6</f>
        <v>14</v>
      </c>
      <c r="BG6" s="31">
        <f>季度计划!BG6</f>
        <v>14</v>
      </c>
      <c r="BH6" s="31">
        <f>季度计划!BH6</f>
        <v>14</v>
      </c>
      <c r="BI6" s="31">
        <f>季度计划!BI6</f>
        <v>15</v>
      </c>
      <c r="BJ6" s="31">
        <f>季度计划!BJ6</f>
        <v>15</v>
      </c>
      <c r="BK6" s="31">
        <f>季度计划!BK6</f>
        <v>15</v>
      </c>
      <c r="BL6" s="31">
        <f>季度计划!BL6</f>
        <v>15</v>
      </c>
      <c r="BM6" s="31">
        <f>季度计划!BM6</f>
        <v>16</v>
      </c>
      <c r="BN6" s="31">
        <f>季度计划!BN6</f>
        <v>16</v>
      </c>
      <c r="BO6" s="31">
        <f>季度计划!BO6</f>
        <v>16</v>
      </c>
      <c r="BP6" s="31">
        <f>季度计划!BP6</f>
        <v>16</v>
      </c>
      <c r="BQ6" s="31">
        <f>季度计划!BQ6</f>
        <v>17</v>
      </c>
      <c r="BR6" s="31">
        <f>季度计划!BR6</f>
        <v>17</v>
      </c>
      <c r="BS6" s="31">
        <f>季度计划!BS6</f>
        <v>17</v>
      </c>
      <c r="BT6" s="31">
        <f>季度计划!BT6</f>
        <v>17</v>
      </c>
      <c r="BU6" s="31">
        <f>季度计划!BU6</f>
        <v>18</v>
      </c>
      <c r="BV6" s="31">
        <f>季度计划!BV6</f>
        <v>18</v>
      </c>
      <c r="BW6" s="31">
        <f>季度计划!BW6</f>
        <v>18</v>
      </c>
      <c r="BX6" s="31">
        <f>季度计划!BX6</f>
        <v>18</v>
      </c>
      <c r="BY6" s="31">
        <f>季度计划!BY6</f>
        <v>19</v>
      </c>
      <c r="BZ6" s="31">
        <f>季度计划!BZ6</f>
        <v>19</v>
      </c>
      <c r="CA6" s="31">
        <f>季度计划!CA6</f>
        <v>19</v>
      </c>
      <c r="CB6" s="31">
        <f>季度计划!CB6</f>
        <v>19</v>
      </c>
      <c r="CC6" s="31">
        <f>季度计划!CC6</f>
        <v>20</v>
      </c>
      <c r="CD6" s="31">
        <f>季度计划!CD6</f>
        <v>20</v>
      </c>
      <c r="CE6" s="31">
        <f>季度计划!CE6</f>
        <v>20</v>
      </c>
      <c r="CF6" s="31">
        <f>季度计划!CF6</f>
        <v>20</v>
      </c>
      <c r="CG6" s="31">
        <f>季度计划!CG6</f>
        <v>21</v>
      </c>
      <c r="CH6" s="31">
        <f>季度计划!CH6</f>
        <v>21</v>
      </c>
      <c r="CI6" s="31">
        <f>季度计划!CI6</f>
        <v>21</v>
      </c>
      <c r="CJ6" s="31">
        <f>季度计划!CJ6</f>
        <v>21</v>
      </c>
      <c r="CK6" s="31">
        <f>季度计划!CK6</f>
        <v>22</v>
      </c>
      <c r="CL6" s="31">
        <f>季度计划!CL6</f>
        <v>22</v>
      </c>
      <c r="CM6" s="31">
        <f>季度计划!CM6</f>
        <v>22</v>
      </c>
      <c r="CN6" s="31">
        <f>季度计划!CN6</f>
        <v>22</v>
      </c>
      <c r="CO6" s="31">
        <f>季度计划!CO6</f>
        <v>23</v>
      </c>
      <c r="CP6" s="31">
        <f>季度计划!CP6</f>
        <v>23</v>
      </c>
      <c r="CQ6" s="31">
        <f>季度计划!CQ6</f>
        <v>23</v>
      </c>
      <c r="CR6" s="31">
        <f>季度计划!CR6</f>
        <v>23</v>
      </c>
      <c r="CS6" s="31">
        <f>季度计划!CS6</f>
        <v>24</v>
      </c>
      <c r="CT6" s="31">
        <f>季度计划!CT6</f>
        <v>24</v>
      </c>
      <c r="CU6" s="31">
        <f>季度计划!CU6</f>
        <v>24</v>
      </c>
      <c r="CV6" s="31">
        <f>季度计划!CV6</f>
        <v>24</v>
      </c>
      <c r="CW6" s="31">
        <f>季度计划!CW6</f>
        <v>25</v>
      </c>
      <c r="CX6" s="31">
        <f>季度计划!CX6</f>
        <v>25</v>
      </c>
      <c r="CY6" s="31">
        <f>季度计划!CY6</f>
        <v>25</v>
      </c>
      <c r="CZ6" s="31">
        <f>季度计划!CZ6</f>
        <v>25</v>
      </c>
      <c r="DA6" s="31">
        <f>季度计划!DA6</f>
        <v>26</v>
      </c>
      <c r="DB6" s="31">
        <f>季度计划!DB6</f>
        <v>26</v>
      </c>
      <c r="DC6" s="31">
        <f>季度计划!DC6</f>
        <v>26</v>
      </c>
      <c r="DD6" s="31">
        <f>季度计划!DD6</f>
        <v>26</v>
      </c>
      <c r="DE6" s="31">
        <f>季度计划!DE6</f>
        <v>27</v>
      </c>
      <c r="DF6" s="31">
        <f>季度计划!DF6</f>
        <v>27</v>
      </c>
      <c r="DG6" s="31">
        <f>季度计划!DG6</f>
        <v>27</v>
      </c>
      <c r="DH6" s="31">
        <f>季度计划!DH6</f>
        <v>27</v>
      </c>
      <c r="DI6" s="31">
        <f>季度计划!DI6</f>
        <v>28</v>
      </c>
      <c r="DJ6" s="31">
        <f>季度计划!DJ6</f>
        <v>28</v>
      </c>
      <c r="DK6" s="31">
        <f>季度计划!DK6</f>
        <v>28</v>
      </c>
      <c r="DL6" s="31">
        <f>季度计划!DL6</f>
        <v>28</v>
      </c>
      <c r="DM6" s="31">
        <f>季度计划!DM6</f>
        <v>29</v>
      </c>
      <c r="DN6" s="31">
        <f>季度计划!DN6</f>
        <v>29</v>
      </c>
      <c r="DO6" s="31">
        <f>季度计划!DO6</f>
        <v>29</v>
      </c>
      <c r="DP6" s="31">
        <f>季度计划!DP6</f>
        <v>29</v>
      </c>
      <c r="DQ6" s="31">
        <f>季度计划!DQ6</f>
        <v>30</v>
      </c>
      <c r="DR6" s="31">
        <f>季度计划!DR6</f>
        <v>30</v>
      </c>
      <c r="DS6" s="31">
        <f>季度计划!DS6</f>
        <v>30</v>
      </c>
      <c r="DT6" s="31">
        <f>季度计划!DT6</f>
        <v>30</v>
      </c>
    </row>
    <row r="7" spans="1:124" ht="24" customHeight="1">
      <c r="A7" s="23" t="s">
        <v>399</v>
      </c>
      <c r="B7" s="24">
        <f>核心参数输入!$B$10*核心参数输入!$B$144/10000+核心参数输入!$B$114</f>
        <v>8000</v>
      </c>
      <c r="C7" s="23"/>
      <c r="D7" s="24"/>
      <c r="E7" s="24">
        <f>核心参数输入!$B$10*核心参数输入!$B$144/10000+核心参数输入!$B$114</f>
        <v>8000</v>
      </c>
      <c r="F7" s="24"/>
      <c r="G7" s="24"/>
      <c r="H7" s="24"/>
      <c r="I7" s="24"/>
      <c r="J7" s="24"/>
      <c r="K7" s="24"/>
      <c r="L7" s="24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</row>
    <row r="8" spans="1:124" ht="21" customHeight="1">
      <c r="A8" s="8" t="s">
        <v>400</v>
      </c>
      <c r="B8" s="9">
        <f>核心参数输入!$B$10*核心参数输入!$B$11*核心参数输入!$B$22/10000*核心参数输入!$B$147</f>
        <v>36000</v>
      </c>
      <c r="C8" s="8"/>
      <c r="D8" s="9"/>
      <c r="E8" s="9">
        <f>核心参数输入!$B$10*核心参数输入!$B$11*核心参数输入!$B$22/10000*核心参数输入!$B$147*(1+核心参数输入!$B$81)</f>
        <v>39600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</row>
    <row r="9" spans="1:124" ht="21" customHeight="1">
      <c r="A9" s="8" t="s">
        <v>401</v>
      </c>
      <c r="B9" s="9">
        <f>核心参数输入!$B$13*核心参数输入!$B$23/10000*核心参数输入!$B$147</f>
        <v>4500</v>
      </c>
      <c r="C9" s="8"/>
      <c r="D9" s="9"/>
      <c r="E9" s="9">
        <f>核心参数输入!$B$13*核心参数输入!$B$23/10000*核心参数输入!$B$147*(1+核心参数输入!$B$81)</f>
        <v>4950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</row>
    <row r="10" spans="1:124" ht="21" customHeight="1">
      <c r="A10" s="8" t="s">
        <v>402</v>
      </c>
      <c r="B10" s="9">
        <f>核心参数输入!$B$24*核心参数输入!$B$147</f>
        <v>4500</v>
      </c>
      <c r="C10" s="8"/>
      <c r="D10" s="9"/>
      <c r="E10" s="9">
        <f>核心参数输入!$B$24*核心参数输入!$B$147*(1+核心参数输入!$B$81)</f>
        <v>4950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</row>
    <row r="11" spans="1:124" ht="21" customHeight="1">
      <c r="A11" s="8" t="s">
        <v>403</v>
      </c>
      <c r="B11" s="9">
        <f>核心参数输入!$B$25*核心参数输入!$B$147</f>
        <v>1800</v>
      </c>
      <c r="C11" s="8"/>
      <c r="D11" s="9"/>
      <c r="E11" s="9">
        <f>核心参数输入!$B$25*核心参数输入!$B$147*(1+核心参数输入!$B$81)</f>
        <v>1980.0000000000002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</row>
    <row r="12" spans="1:124" ht="21" customHeight="1">
      <c r="A12" s="8" t="s">
        <v>404</v>
      </c>
      <c r="B12" s="9">
        <f>核心参数输入!$B$26*核心参数输入!$B$147</f>
        <v>2200</v>
      </c>
      <c r="C12" s="8"/>
      <c r="D12" s="9"/>
      <c r="E12" s="9">
        <f>核心参数输入!$B$26*核心参数输入!$B$147*(1+核心参数输入!$B$81)</f>
        <v>2420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</row>
    <row r="13" spans="1:124" ht="21" customHeight="1">
      <c r="A13" s="8" t="s">
        <v>405</v>
      </c>
      <c r="B13" s="9">
        <f>SUM(B8:B12)</f>
        <v>49000</v>
      </c>
      <c r="C13" s="8"/>
      <c r="D13" s="9"/>
      <c r="E13" s="9">
        <f>SUM(E8:E12)</f>
        <v>53900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</row>
    <row r="14" spans="1:124" ht="21" customHeight="1">
      <c r="A14" s="8" t="s">
        <v>406</v>
      </c>
      <c r="B14" s="9">
        <f>$B$13*核心参数输入!$B$27</f>
        <v>3920</v>
      </c>
      <c r="C14" s="8"/>
      <c r="D14" s="9"/>
      <c r="E14" s="9">
        <f>$E$13*核心参数输入!$B$27</f>
        <v>4312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</row>
    <row r="15" spans="1:124" ht="21" customHeight="1">
      <c r="A15" s="8" t="s">
        <v>407</v>
      </c>
      <c r="B15" s="9">
        <f>SUM(B13:B14)</f>
        <v>52920</v>
      </c>
      <c r="C15" s="8"/>
      <c r="D15" s="9"/>
      <c r="E15" s="9">
        <f>SUM(E13:E14)</f>
        <v>58212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</row>
    <row r="16" spans="1:124" ht="21" customHeight="1">
      <c r="A16" s="8" t="s">
        <v>408</v>
      </c>
      <c r="B16" s="9">
        <f>IF(核心参数输入!$B$143&gt;0,核心参数输入!$B$115*核心参数输入!$B$147,0)</f>
        <v>0</v>
      </c>
      <c r="C16" s="8"/>
      <c r="D16" s="9"/>
      <c r="E16" s="9">
        <f>IF(核心参数输入!$B$143&gt;0,核心参数输入!$B$115*核心参数输入!$B$147*(1+核心参数输入!$B$81),0)</f>
        <v>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</row>
    <row r="17" spans="1:124" ht="21" customHeight="1">
      <c r="A17" s="8" t="s">
        <v>409</v>
      </c>
      <c r="B17" s="9">
        <f>SUM(B15:B16)</f>
        <v>52920</v>
      </c>
      <c r="C17" s="8"/>
      <c r="D17" s="9"/>
      <c r="E17" s="9">
        <f>SUM(E15:E16)</f>
        <v>58212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</row>
    <row r="18" spans="1:124" ht="21" customHeight="1">
      <c r="A18" s="8" t="s">
        <v>410</v>
      </c>
      <c r="B18" s="9">
        <f>SUM(季度投融资!$D$44:$DT$44)</f>
        <v>1890</v>
      </c>
      <c r="C18" s="8"/>
      <c r="D18" s="9"/>
      <c r="E18" s="9">
        <f>SUM(季度投融资!$D$154:$DT$154)</f>
        <v>1890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</row>
    <row r="19" spans="1:124" ht="21" customHeight="1">
      <c r="A19" s="8" t="s">
        <v>411</v>
      </c>
      <c r="B19" s="9">
        <f>核心参数输入!$B$57*核心参数输入!$B$113</f>
        <v>0</v>
      </c>
      <c r="C19" s="8"/>
      <c r="D19" s="9"/>
      <c r="E19" s="9">
        <f>核心参数输入!$B$57*核心参数输入!$B$113</f>
        <v>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</row>
    <row r="20" spans="1:124" ht="21" customHeight="1">
      <c r="A20" s="8" t="s">
        <v>106</v>
      </c>
      <c r="B20" s="9">
        <f>IF(核心参数输入!$B$143&gt;0,核心参数输入!$B$28,0)</f>
        <v>500</v>
      </c>
      <c r="C20" s="8"/>
      <c r="D20" s="9"/>
      <c r="E20" s="9">
        <f>IF(核心参数输入!$B$143&gt;0,核心参数输入!$B$28,0)</f>
        <v>500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</row>
    <row r="21" spans="1:124" ht="21" customHeight="1">
      <c r="A21" s="8" t="s">
        <v>412</v>
      </c>
      <c r="B21" s="9">
        <f>SUM(B7,B17:B20)</f>
        <v>63310</v>
      </c>
      <c r="C21" s="8"/>
      <c r="D21" s="9"/>
      <c r="E21" s="9">
        <f>SUM(E7,E17:E20)</f>
        <v>68602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</row>
    <row r="22" spans="1:124" ht="21" customHeight="1">
      <c r="A22" s="8" t="s">
        <v>413</v>
      </c>
      <c r="B22" s="9">
        <f>($B$7+$B$15*(1-IF(核心参数输入!$B$96=2,核心参数输入!$B$120,0)))*核心参数输入!$B$142</f>
        <v>33506</v>
      </c>
      <c r="C22" s="8"/>
      <c r="D22" s="9"/>
      <c r="E22" s="9">
        <f>($E$7+$E$15*(1-IF(核心参数输入!$B$96=2,核心参数输入!$B$120,0)))*核心参数输入!$B$142</f>
        <v>36416.600000000006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</row>
    <row r="23" spans="1:124" ht="21" customHeight="1">
      <c r="A23" s="8" t="s">
        <v>414</v>
      </c>
      <c r="B23" s="9">
        <f>($B$15*核心参数输入!$B$143+$B$16)*(1-IF(核心参数输入!$B$96=2,核心参数输入!$B$120,0))</f>
        <v>23813.999999999996</v>
      </c>
      <c r="C23" s="8"/>
      <c r="D23" s="9"/>
      <c r="E23" s="9">
        <f>($E$15*核心参数输入!$B$143+$E$16)*(1-IF(核心参数输入!$B$96=2,核心参数输入!$B$120,0))</f>
        <v>26195.399999999998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</row>
    <row r="24" spans="1:124" ht="21" customHeight="1">
      <c r="A24" s="8" t="s">
        <v>415</v>
      </c>
      <c r="B24" s="9">
        <f>$B$7*核心参数输入!$B$143</f>
        <v>3599.9999999999995</v>
      </c>
      <c r="C24" s="8"/>
      <c r="D24" s="9"/>
      <c r="E24" s="9">
        <f>$E$7*核心参数输入!$B$143</f>
        <v>3599.9999999999995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</row>
    <row r="25" spans="1:124" ht="21" customHeight="1">
      <c r="A25" s="8" t="s">
        <v>416</v>
      </c>
      <c r="B25" s="9">
        <f>$B$22+($B$18+$B$19)*核心参数输入!$B$142</f>
        <v>34545.5</v>
      </c>
      <c r="C25" s="8"/>
      <c r="D25" s="9"/>
      <c r="E25" s="9">
        <f>$E$22+($E$18+$E$19)*核心参数输入!$B$142</f>
        <v>37456.100000000006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</row>
    <row r="26" spans="1:124" ht="21" customHeight="1">
      <c r="A26" s="8" t="s">
        <v>417</v>
      </c>
      <c r="B26" s="9">
        <f>$B$23+($B$18+$B$19)*核心参数输入!$B$143</f>
        <v>24664.499999999996</v>
      </c>
      <c r="C26" s="8"/>
      <c r="D26" s="9"/>
      <c r="E26" s="9">
        <f>$E$23+($E$18+$E$19)*核心参数输入!$B$143</f>
        <v>27045.899999999998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</row>
    <row r="27" spans="1:124" ht="21" customHeight="1">
      <c r="A27" s="8" t="s">
        <v>418</v>
      </c>
      <c r="B27" s="9">
        <f>SUM(B24,B26,B20)</f>
        <v>28764.499999999996</v>
      </c>
      <c r="C27" s="8"/>
      <c r="D27" s="9"/>
      <c r="E27" s="9">
        <f>SUM(E24,E26,E20)</f>
        <v>31145.899999999998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</row>
    <row r="28" spans="1:124" ht="21" customHeight="1">
      <c r="A28" s="8" t="s">
        <v>419</v>
      </c>
      <c r="B28" s="25">
        <f>IF(核心参数输入!$B$57=0,0,IFERROR(MATCH(1,季度投融资!$D$60:$DT$60,0)-1,0))</f>
        <v>1</v>
      </c>
      <c r="C28" s="8"/>
      <c r="D28" s="9"/>
      <c r="E28" s="25">
        <f>IF(核心参数输入!$B$57=0,0,IFERROR(MATCH(1,季度投融资!$D$170:$DT$170,0)-1,0))</f>
        <v>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</row>
    <row r="29" spans="1:124" ht="21" customHeight="1">
      <c r="A29" s="8" t="s">
        <v>420</v>
      </c>
      <c r="B29" s="25">
        <f>IF(核心参数输入!$B$57=0,0,$B$28+核心参数输入!$B$59*4-1)</f>
        <v>40</v>
      </c>
      <c r="C29" s="8"/>
      <c r="D29" s="9"/>
      <c r="E29" s="25">
        <f>IF(核心参数输入!$B$57=0,0,$E$28+核心参数输入!$B$59*4-1)</f>
        <v>40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</row>
    <row r="30" spans="1:124" ht="21" customHeight="1">
      <c r="A30" s="8" t="s">
        <v>421</v>
      </c>
      <c r="B30" s="25">
        <f>核心参数输入!$B$60*4+核心参数输入!$B$148</f>
        <v>16</v>
      </c>
      <c r="C30" s="8"/>
      <c r="D30" s="9"/>
      <c r="E30" s="25">
        <f>核心参数输入!$B$60*4+核心参数输入!$B$148+核心参数输入!$B$124</f>
        <v>16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</row>
    <row r="31" spans="1:124" ht="21" customHeight="1">
      <c r="A31" s="8" t="s">
        <v>422</v>
      </c>
      <c r="B31" s="25">
        <f>IF(核心参数输入!$B$57=0,0,MAX(1,INT(($B$29-$B$30)/MAX(1,核心参数输入!$B$127))+1+IF(MOD($B$29-$B$30,MAX(1,核心参数输入!$B$127))&lt;&gt;0,1,0)))</f>
        <v>7</v>
      </c>
      <c r="C31" s="8"/>
      <c r="D31" s="9"/>
      <c r="E31" s="25">
        <f>IF(核心参数输入!$B$57=0,0,MAX(1,INT(($E$29-$E$30)/MAX(1,核心参数输入!$B$127))+1+IF(MOD($E$29-$E$30,MAX(1,核心参数输入!$B$127))&lt;&gt;0,1,0)))</f>
        <v>7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</row>
    <row r="32" spans="1:124" ht="21" customHeight="1">
      <c r="A32" s="8" t="s">
        <v>423</v>
      </c>
      <c r="B32" s="8">
        <f>核心参数输入!$B$10*核心参数输入!$B$11*核心参数输入!$B$12</f>
        <v>135000</v>
      </c>
      <c r="C32" s="8"/>
      <c r="D32" s="9"/>
      <c r="E32" s="9">
        <f>核心参数输入!$B$10*核心参数输入!$B$11*核心参数输入!$B$12</f>
        <v>135000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</row>
    <row r="33" spans="1:124" ht="21" customHeight="1">
      <c r="A33" s="8" t="s">
        <v>424</v>
      </c>
      <c r="B33" s="8">
        <f>IF(AND(OR(核心参数输入!$B$57=0,AND(季度投融资!$B$28&gt;0,季度投融资!$B$29&lt;=核心参数输入!$B$9*4,季度投融资!$B$30&gt;核心参数输入!$B$16*4+核心参数输入!$B$148,季度投融资!$B$30&lt;=季度投融资!$B$29,核心参数输入!$B$57&lt;=季度投融资!$B$17+0.01)),ABS(SUM(季度投融资!$D$39:$DT$39)-核心参数输入!$B$57)&lt;=0.01,MIN(季度投融资!$D$43:$DT$43)&gt;=-0.01,OR(核心参数输入!$B$57=0,AND(季度投融资!$E$28&gt;0,季度投融资!$E$29&lt;=核心参数输入!$B$9*4,季度投融资!$E$30&gt;核心参数输入!$B$16*4+核心参数输入!$B$148+核心参数输入!$B$124,季度投融资!$E$30&lt;=季度投融资!$E$29,核心参数输入!$B$57&lt;=季度投融资!$E$17+0.01)),ABS(SUM(季度投融资!$D$149:$DT$149)-核心参数输入!$B$57)&lt;=0.01,MIN(季度投融资!$D$153:$DT$153)&gt;=-0.01),1,0)</f>
        <v>1</v>
      </c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</row>
    <row r="34" spans="1:124" ht="24" customHeight="1">
      <c r="A34" s="23" t="s">
        <v>425</v>
      </c>
      <c r="B34" s="23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</row>
    <row r="35" spans="1:124" ht="21" customHeight="1">
      <c r="A35" s="8" t="s">
        <v>426</v>
      </c>
      <c r="B35" s="8" t="s">
        <v>39</v>
      </c>
      <c r="C35" s="8"/>
      <c r="D35" s="9">
        <f>IF(0&lt;=核心参数输入!$B$9*4,季度投融资!$B$17*季度计划!D11,0)</f>
        <v>0</v>
      </c>
      <c r="E35" s="9">
        <f>IF(1&lt;=核心参数输入!$B$9*4,季度投融资!$B$17*季度计划!E11,0)</f>
        <v>3969</v>
      </c>
      <c r="F35" s="9">
        <f>IF(2&lt;=核心参数输入!$B$9*4,季度投融资!$B$17*季度计划!F11,0)</f>
        <v>3969</v>
      </c>
      <c r="G35" s="9">
        <f>IF(3&lt;=核心参数输入!$B$9*4,季度投融资!$B$17*季度计划!G11,0)</f>
        <v>3969</v>
      </c>
      <c r="H35" s="9">
        <f>IF(4&lt;=核心参数输入!$B$9*4,季度投融资!$B$17*季度计划!H11,0)</f>
        <v>3969</v>
      </c>
      <c r="I35" s="9">
        <f>IF(5&lt;=核心参数输入!$B$9*4,季度投融资!$B$17*季度计划!I11,0)</f>
        <v>5292</v>
      </c>
      <c r="J35" s="9">
        <f>IF(6&lt;=核心参数输入!$B$9*4,季度投融资!$B$17*季度计划!J11,0)</f>
        <v>5292</v>
      </c>
      <c r="K35" s="9">
        <f>IF(7&lt;=核心参数输入!$B$9*4,季度投融资!$B$17*季度计划!K11,0)</f>
        <v>5292</v>
      </c>
      <c r="L35" s="9">
        <f>IF(8&lt;=核心参数输入!$B$9*4,季度投融资!$B$17*季度计划!L11,0)</f>
        <v>5292</v>
      </c>
      <c r="M35" s="9">
        <f>IF(9&lt;=核心参数输入!$B$9*4,季度投融资!$B$17*季度计划!M11,0)</f>
        <v>3969</v>
      </c>
      <c r="N35" s="9">
        <f>IF(10&lt;=核心参数输入!$B$9*4,季度投融资!$B$17*季度计划!N11,0)</f>
        <v>3969</v>
      </c>
      <c r="O35" s="9">
        <f>IF(11&lt;=核心参数输入!$B$9*4,季度投融资!$B$17*季度计划!O11,0)</f>
        <v>3969</v>
      </c>
      <c r="P35" s="9">
        <f>IF(12&lt;=核心参数输入!$B$9*4,季度投融资!$B$17*季度计划!P11,0)</f>
        <v>3969</v>
      </c>
      <c r="Q35" s="9">
        <f>IF(13&lt;=核心参数输入!$B$9*4,季度投融资!$B$17*季度计划!Q11,0)</f>
        <v>0</v>
      </c>
      <c r="R35" s="9">
        <f>IF(14&lt;=核心参数输入!$B$9*4,季度投融资!$B$17*季度计划!R11,0)</f>
        <v>0</v>
      </c>
      <c r="S35" s="9">
        <f>IF(15&lt;=核心参数输入!$B$9*4,季度投融资!$B$17*季度计划!S11,0)</f>
        <v>0</v>
      </c>
      <c r="T35" s="9">
        <f>IF(16&lt;=核心参数输入!$B$9*4,季度投融资!$B$17*季度计划!T11,0)</f>
        <v>0</v>
      </c>
      <c r="U35" s="9">
        <f>IF(17&lt;=核心参数输入!$B$9*4,季度投融资!$B$17*季度计划!U11,0)</f>
        <v>0</v>
      </c>
      <c r="V35" s="9">
        <f>IF(18&lt;=核心参数输入!$B$9*4,季度投融资!$B$17*季度计划!V11,0)</f>
        <v>0</v>
      </c>
      <c r="W35" s="9">
        <f>IF(19&lt;=核心参数输入!$B$9*4,季度投融资!$B$17*季度计划!W11,0)</f>
        <v>0</v>
      </c>
      <c r="X35" s="9">
        <f>IF(20&lt;=核心参数输入!$B$9*4,季度投融资!$B$17*季度计划!X11,0)</f>
        <v>0</v>
      </c>
      <c r="Y35" s="9">
        <f>IF(21&lt;=核心参数输入!$B$9*4,季度投融资!$B$17*季度计划!Y11,0)</f>
        <v>0</v>
      </c>
      <c r="Z35" s="9">
        <f>IF(22&lt;=核心参数输入!$B$9*4,季度投融资!$B$17*季度计划!Z11,0)</f>
        <v>0</v>
      </c>
      <c r="AA35" s="9">
        <f>IF(23&lt;=核心参数输入!$B$9*4,季度投融资!$B$17*季度计划!AA11,0)</f>
        <v>0</v>
      </c>
      <c r="AB35" s="9">
        <f>IF(24&lt;=核心参数输入!$B$9*4,季度投融资!$B$17*季度计划!AB11,0)</f>
        <v>0</v>
      </c>
      <c r="AC35" s="9">
        <f>IF(25&lt;=核心参数输入!$B$9*4,季度投融资!$B$17*季度计划!AC11,0)</f>
        <v>0</v>
      </c>
      <c r="AD35" s="9">
        <f>IF(26&lt;=核心参数输入!$B$9*4,季度投融资!$B$17*季度计划!AD11,0)</f>
        <v>0</v>
      </c>
      <c r="AE35" s="9">
        <f>IF(27&lt;=核心参数输入!$B$9*4,季度投融资!$B$17*季度计划!AE11,0)</f>
        <v>0</v>
      </c>
      <c r="AF35" s="9">
        <f>IF(28&lt;=核心参数输入!$B$9*4,季度投融资!$B$17*季度计划!AF11,0)</f>
        <v>0</v>
      </c>
      <c r="AG35" s="9">
        <f>IF(29&lt;=核心参数输入!$B$9*4,季度投融资!$B$17*季度计划!AG11,0)</f>
        <v>0</v>
      </c>
      <c r="AH35" s="9">
        <f>IF(30&lt;=核心参数输入!$B$9*4,季度投融资!$B$17*季度计划!AH11,0)</f>
        <v>0</v>
      </c>
      <c r="AI35" s="9">
        <f>IF(31&lt;=核心参数输入!$B$9*4,季度投融资!$B$17*季度计划!AI11,0)</f>
        <v>0</v>
      </c>
      <c r="AJ35" s="9">
        <f>IF(32&lt;=核心参数输入!$B$9*4,季度投融资!$B$17*季度计划!AJ11,0)</f>
        <v>0</v>
      </c>
      <c r="AK35" s="9">
        <f>IF(33&lt;=核心参数输入!$B$9*4,季度投融资!$B$17*季度计划!AK11,0)</f>
        <v>0</v>
      </c>
      <c r="AL35" s="9">
        <f>IF(34&lt;=核心参数输入!$B$9*4,季度投融资!$B$17*季度计划!AL11,0)</f>
        <v>0</v>
      </c>
      <c r="AM35" s="9">
        <f>IF(35&lt;=核心参数输入!$B$9*4,季度投融资!$B$17*季度计划!AM11,0)</f>
        <v>0</v>
      </c>
      <c r="AN35" s="9">
        <f>IF(36&lt;=核心参数输入!$B$9*4,季度投融资!$B$17*季度计划!AN11,0)</f>
        <v>0</v>
      </c>
      <c r="AO35" s="9">
        <f>IF(37&lt;=核心参数输入!$B$9*4,季度投融资!$B$17*季度计划!AO11,0)</f>
        <v>0</v>
      </c>
      <c r="AP35" s="9">
        <f>IF(38&lt;=核心参数输入!$B$9*4,季度投融资!$B$17*季度计划!AP11,0)</f>
        <v>0</v>
      </c>
      <c r="AQ35" s="9">
        <f>IF(39&lt;=核心参数输入!$B$9*4,季度投融资!$B$17*季度计划!AQ11,0)</f>
        <v>0</v>
      </c>
      <c r="AR35" s="9">
        <f>IF(40&lt;=核心参数输入!$B$9*4,季度投融资!$B$17*季度计划!AR11,0)</f>
        <v>0</v>
      </c>
      <c r="AS35" s="9">
        <f>IF(41&lt;=核心参数输入!$B$9*4,季度投融资!$B$17*季度计划!AS11,0)</f>
        <v>0</v>
      </c>
      <c r="AT35" s="9">
        <f>IF(42&lt;=核心参数输入!$B$9*4,季度投融资!$B$17*季度计划!AT11,0)</f>
        <v>0</v>
      </c>
      <c r="AU35" s="9">
        <f>IF(43&lt;=核心参数输入!$B$9*4,季度投融资!$B$17*季度计划!AU11,0)</f>
        <v>0</v>
      </c>
      <c r="AV35" s="9">
        <f>IF(44&lt;=核心参数输入!$B$9*4,季度投融资!$B$17*季度计划!AV11,0)</f>
        <v>0</v>
      </c>
      <c r="AW35" s="9">
        <f>IF(45&lt;=核心参数输入!$B$9*4,季度投融资!$B$17*季度计划!AW11,0)</f>
        <v>0</v>
      </c>
      <c r="AX35" s="9">
        <f>IF(46&lt;=核心参数输入!$B$9*4,季度投融资!$B$17*季度计划!AX11,0)</f>
        <v>0</v>
      </c>
      <c r="AY35" s="9">
        <f>IF(47&lt;=核心参数输入!$B$9*4,季度投融资!$B$17*季度计划!AY11,0)</f>
        <v>0</v>
      </c>
      <c r="AZ35" s="9">
        <f>IF(48&lt;=核心参数输入!$B$9*4,季度投融资!$B$17*季度计划!AZ11,0)</f>
        <v>0</v>
      </c>
      <c r="BA35" s="9">
        <f>IF(49&lt;=核心参数输入!$B$9*4,季度投融资!$B$17*季度计划!BA11,0)</f>
        <v>0</v>
      </c>
      <c r="BB35" s="9">
        <f>IF(50&lt;=核心参数输入!$B$9*4,季度投融资!$B$17*季度计划!BB11,0)</f>
        <v>0</v>
      </c>
      <c r="BC35" s="9">
        <f>IF(51&lt;=核心参数输入!$B$9*4,季度投融资!$B$17*季度计划!BC11,0)</f>
        <v>0</v>
      </c>
      <c r="BD35" s="9">
        <f>IF(52&lt;=核心参数输入!$B$9*4,季度投融资!$B$17*季度计划!BD11,0)</f>
        <v>0</v>
      </c>
      <c r="BE35" s="9">
        <f>IF(53&lt;=核心参数输入!$B$9*4,季度投融资!$B$17*季度计划!BE11,0)</f>
        <v>0</v>
      </c>
      <c r="BF35" s="9">
        <f>IF(54&lt;=核心参数输入!$B$9*4,季度投融资!$B$17*季度计划!BF11,0)</f>
        <v>0</v>
      </c>
      <c r="BG35" s="9">
        <f>IF(55&lt;=核心参数输入!$B$9*4,季度投融资!$B$17*季度计划!BG11,0)</f>
        <v>0</v>
      </c>
      <c r="BH35" s="9">
        <f>IF(56&lt;=核心参数输入!$B$9*4,季度投融资!$B$17*季度计划!BH11,0)</f>
        <v>0</v>
      </c>
      <c r="BI35" s="9">
        <f>IF(57&lt;=核心参数输入!$B$9*4,季度投融资!$B$17*季度计划!BI11,0)</f>
        <v>0</v>
      </c>
      <c r="BJ35" s="9">
        <f>IF(58&lt;=核心参数输入!$B$9*4,季度投融资!$B$17*季度计划!BJ11,0)</f>
        <v>0</v>
      </c>
      <c r="BK35" s="9">
        <f>IF(59&lt;=核心参数输入!$B$9*4,季度投融资!$B$17*季度计划!BK11,0)</f>
        <v>0</v>
      </c>
      <c r="BL35" s="9">
        <f>IF(60&lt;=核心参数输入!$B$9*4,季度投融资!$B$17*季度计划!BL11,0)</f>
        <v>0</v>
      </c>
      <c r="BM35" s="9">
        <f>IF(61&lt;=核心参数输入!$B$9*4,季度投融资!$B$17*季度计划!BM11,0)</f>
        <v>0</v>
      </c>
      <c r="BN35" s="9">
        <f>IF(62&lt;=核心参数输入!$B$9*4,季度投融资!$B$17*季度计划!BN11,0)</f>
        <v>0</v>
      </c>
      <c r="BO35" s="9">
        <f>IF(63&lt;=核心参数输入!$B$9*4,季度投融资!$B$17*季度计划!BO11,0)</f>
        <v>0</v>
      </c>
      <c r="BP35" s="9">
        <f>IF(64&lt;=核心参数输入!$B$9*4,季度投融资!$B$17*季度计划!BP11,0)</f>
        <v>0</v>
      </c>
      <c r="BQ35" s="9">
        <f>IF(65&lt;=核心参数输入!$B$9*4,季度投融资!$B$17*季度计划!BQ11,0)</f>
        <v>0</v>
      </c>
      <c r="BR35" s="9">
        <f>IF(66&lt;=核心参数输入!$B$9*4,季度投融资!$B$17*季度计划!BR11,0)</f>
        <v>0</v>
      </c>
      <c r="BS35" s="9">
        <f>IF(67&lt;=核心参数输入!$B$9*4,季度投融资!$B$17*季度计划!BS11,0)</f>
        <v>0</v>
      </c>
      <c r="BT35" s="9">
        <f>IF(68&lt;=核心参数输入!$B$9*4,季度投融资!$B$17*季度计划!BT11,0)</f>
        <v>0</v>
      </c>
      <c r="BU35" s="9">
        <f>IF(69&lt;=核心参数输入!$B$9*4,季度投融资!$B$17*季度计划!BU11,0)</f>
        <v>0</v>
      </c>
      <c r="BV35" s="9">
        <f>IF(70&lt;=核心参数输入!$B$9*4,季度投融资!$B$17*季度计划!BV11,0)</f>
        <v>0</v>
      </c>
      <c r="BW35" s="9">
        <f>IF(71&lt;=核心参数输入!$B$9*4,季度投融资!$B$17*季度计划!BW11,0)</f>
        <v>0</v>
      </c>
      <c r="BX35" s="9">
        <f>IF(72&lt;=核心参数输入!$B$9*4,季度投融资!$B$17*季度计划!BX11,0)</f>
        <v>0</v>
      </c>
      <c r="BY35" s="9">
        <f>IF(73&lt;=核心参数输入!$B$9*4,季度投融资!$B$17*季度计划!BY11,0)</f>
        <v>0</v>
      </c>
      <c r="BZ35" s="9">
        <f>IF(74&lt;=核心参数输入!$B$9*4,季度投融资!$B$17*季度计划!BZ11,0)</f>
        <v>0</v>
      </c>
      <c r="CA35" s="9">
        <f>IF(75&lt;=核心参数输入!$B$9*4,季度投融资!$B$17*季度计划!CA11,0)</f>
        <v>0</v>
      </c>
      <c r="CB35" s="9">
        <f>IF(76&lt;=核心参数输入!$B$9*4,季度投融资!$B$17*季度计划!CB11,0)</f>
        <v>0</v>
      </c>
      <c r="CC35" s="9">
        <f>IF(77&lt;=核心参数输入!$B$9*4,季度投融资!$B$17*季度计划!CC11,0)</f>
        <v>0</v>
      </c>
      <c r="CD35" s="9">
        <f>IF(78&lt;=核心参数输入!$B$9*4,季度投融资!$B$17*季度计划!CD11,0)</f>
        <v>0</v>
      </c>
      <c r="CE35" s="9">
        <f>IF(79&lt;=核心参数输入!$B$9*4,季度投融资!$B$17*季度计划!CE11,0)</f>
        <v>0</v>
      </c>
      <c r="CF35" s="9">
        <f>IF(80&lt;=核心参数输入!$B$9*4,季度投融资!$B$17*季度计划!CF11,0)</f>
        <v>0</v>
      </c>
      <c r="CG35" s="9">
        <f>IF(81&lt;=核心参数输入!$B$9*4,季度投融资!$B$17*季度计划!CG11,0)</f>
        <v>0</v>
      </c>
      <c r="CH35" s="9">
        <f>IF(82&lt;=核心参数输入!$B$9*4,季度投融资!$B$17*季度计划!CH11,0)</f>
        <v>0</v>
      </c>
      <c r="CI35" s="9">
        <f>IF(83&lt;=核心参数输入!$B$9*4,季度投融资!$B$17*季度计划!CI11,0)</f>
        <v>0</v>
      </c>
      <c r="CJ35" s="9">
        <f>IF(84&lt;=核心参数输入!$B$9*4,季度投融资!$B$17*季度计划!CJ11,0)</f>
        <v>0</v>
      </c>
      <c r="CK35" s="9">
        <f>IF(85&lt;=核心参数输入!$B$9*4,季度投融资!$B$17*季度计划!CK11,0)</f>
        <v>0</v>
      </c>
      <c r="CL35" s="9">
        <f>IF(86&lt;=核心参数输入!$B$9*4,季度投融资!$B$17*季度计划!CL11,0)</f>
        <v>0</v>
      </c>
      <c r="CM35" s="9">
        <f>IF(87&lt;=核心参数输入!$B$9*4,季度投融资!$B$17*季度计划!CM11,0)</f>
        <v>0</v>
      </c>
      <c r="CN35" s="9">
        <f>IF(88&lt;=核心参数输入!$B$9*4,季度投融资!$B$17*季度计划!CN11,0)</f>
        <v>0</v>
      </c>
      <c r="CO35" s="9">
        <f>IF(89&lt;=核心参数输入!$B$9*4,季度投融资!$B$17*季度计划!CO11,0)</f>
        <v>0</v>
      </c>
      <c r="CP35" s="9">
        <f>IF(90&lt;=核心参数输入!$B$9*4,季度投融资!$B$17*季度计划!CP11,0)</f>
        <v>0</v>
      </c>
      <c r="CQ35" s="9">
        <f>IF(91&lt;=核心参数输入!$B$9*4,季度投融资!$B$17*季度计划!CQ11,0)</f>
        <v>0</v>
      </c>
      <c r="CR35" s="9">
        <f>IF(92&lt;=核心参数输入!$B$9*4,季度投融资!$B$17*季度计划!CR11,0)</f>
        <v>0</v>
      </c>
      <c r="CS35" s="9">
        <f>IF(93&lt;=核心参数输入!$B$9*4,季度投融资!$B$17*季度计划!CS11,0)</f>
        <v>0</v>
      </c>
      <c r="CT35" s="9">
        <f>IF(94&lt;=核心参数输入!$B$9*4,季度投融资!$B$17*季度计划!CT11,0)</f>
        <v>0</v>
      </c>
      <c r="CU35" s="9">
        <f>IF(95&lt;=核心参数输入!$B$9*4,季度投融资!$B$17*季度计划!CU11,0)</f>
        <v>0</v>
      </c>
      <c r="CV35" s="9">
        <f>IF(96&lt;=核心参数输入!$B$9*4,季度投融资!$B$17*季度计划!CV11,0)</f>
        <v>0</v>
      </c>
      <c r="CW35" s="9">
        <f>IF(97&lt;=核心参数输入!$B$9*4,季度投融资!$B$17*季度计划!CW11,0)</f>
        <v>0</v>
      </c>
      <c r="CX35" s="9">
        <f>IF(98&lt;=核心参数输入!$B$9*4,季度投融资!$B$17*季度计划!CX11,0)</f>
        <v>0</v>
      </c>
      <c r="CY35" s="9">
        <f>IF(99&lt;=核心参数输入!$B$9*4,季度投融资!$B$17*季度计划!CY11,0)</f>
        <v>0</v>
      </c>
      <c r="CZ35" s="9">
        <f>IF(100&lt;=核心参数输入!$B$9*4,季度投融资!$B$17*季度计划!CZ11,0)</f>
        <v>0</v>
      </c>
      <c r="DA35" s="9">
        <f>IF(101&lt;=核心参数输入!$B$9*4,季度投融资!$B$17*季度计划!DA11,0)</f>
        <v>0</v>
      </c>
      <c r="DB35" s="9">
        <f>IF(102&lt;=核心参数输入!$B$9*4,季度投融资!$B$17*季度计划!DB11,0)</f>
        <v>0</v>
      </c>
      <c r="DC35" s="9">
        <f>IF(103&lt;=核心参数输入!$B$9*4,季度投融资!$B$17*季度计划!DC11,0)</f>
        <v>0</v>
      </c>
      <c r="DD35" s="9">
        <f>IF(104&lt;=核心参数输入!$B$9*4,季度投融资!$B$17*季度计划!DD11,0)</f>
        <v>0</v>
      </c>
      <c r="DE35" s="9">
        <f>IF(105&lt;=核心参数输入!$B$9*4,季度投融资!$B$17*季度计划!DE11,0)</f>
        <v>0</v>
      </c>
      <c r="DF35" s="9">
        <f>IF(106&lt;=核心参数输入!$B$9*4,季度投融资!$B$17*季度计划!DF11,0)</f>
        <v>0</v>
      </c>
      <c r="DG35" s="9">
        <f>IF(107&lt;=核心参数输入!$B$9*4,季度投融资!$B$17*季度计划!DG11,0)</f>
        <v>0</v>
      </c>
      <c r="DH35" s="9">
        <f>IF(108&lt;=核心参数输入!$B$9*4,季度投融资!$B$17*季度计划!DH11,0)</f>
        <v>0</v>
      </c>
      <c r="DI35" s="9">
        <f>IF(109&lt;=核心参数输入!$B$9*4,季度投融资!$B$17*季度计划!DI11,0)</f>
        <v>0</v>
      </c>
      <c r="DJ35" s="9">
        <f>IF(110&lt;=核心参数输入!$B$9*4,季度投融资!$B$17*季度计划!DJ11,0)</f>
        <v>0</v>
      </c>
      <c r="DK35" s="9">
        <f>IF(111&lt;=核心参数输入!$B$9*4,季度投融资!$B$17*季度计划!DK11,0)</f>
        <v>0</v>
      </c>
      <c r="DL35" s="9">
        <f>IF(112&lt;=核心参数输入!$B$9*4,季度投融资!$B$17*季度计划!DL11,0)</f>
        <v>0</v>
      </c>
      <c r="DM35" s="9">
        <f>IF(113&lt;=核心参数输入!$B$9*4,季度投融资!$B$17*季度计划!DM11,0)</f>
        <v>0</v>
      </c>
      <c r="DN35" s="9">
        <f>IF(114&lt;=核心参数输入!$B$9*4,季度投融资!$B$17*季度计划!DN11,0)</f>
        <v>0</v>
      </c>
      <c r="DO35" s="9">
        <f>IF(115&lt;=核心参数输入!$B$9*4,季度投融资!$B$17*季度计划!DO11,0)</f>
        <v>0</v>
      </c>
      <c r="DP35" s="9">
        <f>IF(116&lt;=核心参数输入!$B$9*4,季度投融资!$B$17*季度计划!DP11,0)</f>
        <v>0</v>
      </c>
      <c r="DQ35" s="9">
        <f>IF(117&lt;=核心参数输入!$B$9*4,季度投融资!$B$17*季度计划!DQ11,0)</f>
        <v>0</v>
      </c>
      <c r="DR35" s="9">
        <f>IF(118&lt;=核心参数输入!$B$9*4,季度投融资!$B$17*季度计划!DR11,0)</f>
        <v>0</v>
      </c>
      <c r="DS35" s="9">
        <f>IF(119&lt;=核心参数输入!$B$9*4,季度投融资!$B$17*季度计划!DS11,0)</f>
        <v>0</v>
      </c>
      <c r="DT35" s="9">
        <f>IF(120&lt;=核心参数输入!$B$9*4,季度投融资!$B$17*季度计划!DT11,0)</f>
        <v>0</v>
      </c>
    </row>
    <row r="36" spans="1:124" ht="21" customHeight="1">
      <c r="A36" s="8" t="s">
        <v>427</v>
      </c>
      <c r="B36" s="8" t="s">
        <v>39</v>
      </c>
      <c r="C36" s="8"/>
      <c r="D36" s="9">
        <f>IF(0&lt;=核心参数输入!$B$9*4,季度投融资!$B$7,0)</f>
        <v>8000</v>
      </c>
      <c r="E36" s="9">
        <f>IF(1&lt;=核心参数输入!$B$9*4,0,0)</f>
        <v>0</v>
      </c>
      <c r="F36" s="9">
        <f>IF(2&lt;=核心参数输入!$B$9*4,0,0)</f>
        <v>0</v>
      </c>
      <c r="G36" s="9">
        <f>IF(3&lt;=核心参数输入!$B$9*4,0,0)</f>
        <v>0</v>
      </c>
      <c r="H36" s="9">
        <f>IF(4&lt;=核心参数输入!$B$9*4,0,0)</f>
        <v>0</v>
      </c>
      <c r="I36" s="9">
        <f>IF(5&lt;=核心参数输入!$B$9*4,0,0)</f>
        <v>0</v>
      </c>
      <c r="J36" s="9">
        <f>IF(6&lt;=核心参数输入!$B$9*4,0,0)</f>
        <v>0</v>
      </c>
      <c r="K36" s="9">
        <f>IF(7&lt;=核心参数输入!$B$9*4,0,0)</f>
        <v>0</v>
      </c>
      <c r="L36" s="9">
        <f>IF(8&lt;=核心参数输入!$B$9*4,0,0)</f>
        <v>0</v>
      </c>
      <c r="M36" s="9">
        <f>IF(9&lt;=核心参数输入!$B$9*4,0,0)</f>
        <v>0</v>
      </c>
      <c r="N36" s="9">
        <f>IF(10&lt;=核心参数输入!$B$9*4,0,0)</f>
        <v>0</v>
      </c>
      <c r="O36" s="9">
        <f>IF(11&lt;=核心参数输入!$B$9*4,0,0)</f>
        <v>0</v>
      </c>
      <c r="P36" s="9">
        <f>IF(12&lt;=核心参数输入!$B$9*4,0,0)</f>
        <v>0</v>
      </c>
      <c r="Q36" s="9">
        <f>IF(13&lt;=核心参数输入!$B$9*4,0,0)</f>
        <v>0</v>
      </c>
      <c r="R36" s="9">
        <f>IF(14&lt;=核心参数输入!$B$9*4,0,0)</f>
        <v>0</v>
      </c>
      <c r="S36" s="9">
        <f>IF(15&lt;=核心参数输入!$B$9*4,0,0)</f>
        <v>0</v>
      </c>
      <c r="T36" s="9">
        <f>IF(16&lt;=核心参数输入!$B$9*4,0,0)</f>
        <v>0</v>
      </c>
      <c r="U36" s="9">
        <f>IF(17&lt;=核心参数输入!$B$9*4,0,0)</f>
        <v>0</v>
      </c>
      <c r="V36" s="9">
        <f>IF(18&lt;=核心参数输入!$B$9*4,0,0)</f>
        <v>0</v>
      </c>
      <c r="W36" s="9">
        <f>IF(19&lt;=核心参数输入!$B$9*4,0,0)</f>
        <v>0</v>
      </c>
      <c r="X36" s="9">
        <f>IF(20&lt;=核心参数输入!$B$9*4,0,0)</f>
        <v>0</v>
      </c>
      <c r="Y36" s="9">
        <f>IF(21&lt;=核心参数输入!$B$9*4,0,0)</f>
        <v>0</v>
      </c>
      <c r="Z36" s="9">
        <f>IF(22&lt;=核心参数输入!$B$9*4,0,0)</f>
        <v>0</v>
      </c>
      <c r="AA36" s="9">
        <f>IF(23&lt;=核心参数输入!$B$9*4,0,0)</f>
        <v>0</v>
      </c>
      <c r="AB36" s="9">
        <f>IF(24&lt;=核心参数输入!$B$9*4,0,0)</f>
        <v>0</v>
      </c>
      <c r="AC36" s="9">
        <f>IF(25&lt;=核心参数输入!$B$9*4,0,0)</f>
        <v>0</v>
      </c>
      <c r="AD36" s="9">
        <f>IF(26&lt;=核心参数输入!$B$9*4,0,0)</f>
        <v>0</v>
      </c>
      <c r="AE36" s="9">
        <f>IF(27&lt;=核心参数输入!$B$9*4,0,0)</f>
        <v>0</v>
      </c>
      <c r="AF36" s="9">
        <f>IF(28&lt;=核心参数输入!$B$9*4,0,0)</f>
        <v>0</v>
      </c>
      <c r="AG36" s="9">
        <f>IF(29&lt;=核心参数输入!$B$9*4,0,0)</f>
        <v>0</v>
      </c>
      <c r="AH36" s="9">
        <f>IF(30&lt;=核心参数输入!$B$9*4,0,0)</f>
        <v>0</v>
      </c>
      <c r="AI36" s="9">
        <f>IF(31&lt;=核心参数输入!$B$9*4,0,0)</f>
        <v>0</v>
      </c>
      <c r="AJ36" s="9">
        <f>IF(32&lt;=核心参数输入!$B$9*4,0,0)</f>
        <v>0</v>
      </c>
      <c r="AK36" s="9">
        <f>IF(33&lt;=核心参数输入!$B$9*4,0,0)</f>
        <v>0</v>
      </c>
      <c r="AL36" s="9">
        <f>IF(34&lt;=核心参数输入!$B$9*4,0,0)</f>
        <v>0</v>
      </c>
      <c r="AM36" s="9">
        <f>IF(35&lt;=核心参数输入!$B$9*4,0,0)</f>
        <v>0</v>
      </c>
      <c r="AN36" s="9">
        <f>IF(36&lt;=核心参数输入!$B$9*4,0,0)</f>
        <v>0</v>
      </c>
      <c r="AO36" s="9">
        <f>IF(37&lt;=核心参数输入!$B$9*4,0,0)</f>
        <v>0</v>
      </c>
      <c r="AP36" s="9">
        <f>IF(38&lt;=核心参数输入!$B$9*4,0,0)</f>
        <v>0</v>
      </c>
      <c r="AQ36" s="9">
        <f>IF(39&lt;=核心参数输入!$B$9*4,0,0)</f>
        <v>0</v>
      </c>
      <c r="AR36" s="9">
        <f>IF(40&lt;=核心参数输入!$B$9*4,0,0)</f>
        <v>0</v>
      </c>
      <c r="AS36" s="9">
        <f>IF(41&lt;=核心参数输入!$B$9*4,0,0)</f>
        <v>0</v>
      </c>
      <c r="AT36" s="9">
        <f>IF(42&lt;=核心参数输入!$B$9*4,0,0)</f>
        <v>0</v>
      </c>
      <c r="AU36" s="9">
        <f>IF(43&lt;=核心参数输入!$B$9*4,0,0)</f>
        <v>0</v>
      </c>
      <c r="AV36" s="9">
        <f>IF(44&lt;=核心参数输入!$B$9*4,0,0)</f>
        <v>0</v>
      </c>
      <c r="AW36" s="9">
        <f>IF(45&lt;=核心参数输入!$B$9*4,0,0)</f>
        <v>0</v>
      </c>
      <c r="AX36" s="9">
        <f>IF(46&lt;=核心参数输入!$B$9*4,0,0)</f>
        <v>0</v>
      </c>
      <c r="AY36" s="9">
        <f>IF(47&lt;=核心参数输入!$B$9*4,0,0)</f>
        <v>0</v>
      </c>
      <c r="AZ36" s="9">
        <f>IF(48&lt;=核心参数输入!$B$9*4,0,0)</f>
        <v>0</v>
      </c>
      <c r="BA36" s="9">
        <f>IF(49&lt;=核心参数输入!$B$9*4,0,0)</f>
        <v>0</v>
      </c>
      <c r="BB36" s="9">
        <f>IF(50&lt;=核心参数输入!$B$9*4,0,0)</f>
        <v>0</v>
      </c>
      <c r="BC36" s="9">
        <f>IF(51&lt;=核心参数输入!$B$9*4,0,0)</f>
        <v>0</v>
      </c>
      <c r="BD36" s="9">
        <f>IF(52&lt;=核心参数输入!$B$9*4,0,0)</f>
        <v>0</v>
      </c>
      <c r="BE36" s="9">
        <f>IF(53&lt;=核心参数输入!$B$9*4,0,0)</f>
        <v>0</v>
      </c>
      <c r="BF36" s="9">
        <f>IF(54&lt;=核心参数输入!$B$9*4,0,0)</f>
        <v>0</v>
      </c>
      <c r="BG36" s="9">
        <f>IF(55&lt;=核心参数输入!$B$9*4,0,0)</f>
        <v>0</v>
      </c>
      <c r="BH36" s="9">
        <f>IF(56&lt;=核心参数输入!$B$9*4,0,0)</f>
        <v>0</v>
      </c>
      <c r="BI36" s="9">
        <f>IF(57&lt;=核心参数输入!$B$9*4,0,0)</f>
        <v>0</v>
      </c>
      <c r="BJ36" s="9">
        <f>IF(58&lt;=核心参数输入!$B$9*4,0,0)</f>
        <v>0</v>
      </c>
      <c r="BK36" s="9">
        <f>IF(59&lt;=核心参数输入!$B$9*4,0,0)</f>
        <v>0</v>
      </c>
      <c r="BL36" s="9">
        <f>IF(60&lt;=核心参数输入!$B$9*4,0,0)</f>
        <v>0</v>
      </c>
      <c r="BM36" s="9">
        <f>IF(61&lt;=核心参数输入!$B$9*4,0,0)</f>
        <v>0</v>
      </c>
      <c r="BN36" s="9">
        <f>IF(62&lt;=核心参数输入!$B$9*4,0,0)</f>
        <v>0</v>
      </c>
      <c r="BO36" s="9">
        <f>IF(63&lt;=核心参数输入!$B$9*4,0,0)</f>
        <v>0</v>
      </c>
      <c r="BP36" s="9">
        <f>IF(64&lt;=核心参数输入!$B$9*4,0,0)</f>
        <v>0</v>
      </c>
      <c r="BQ36" s="9">
        <f>IF(65&lt;=核心参数输入!$B$9*4,0,0)</f>
        <v>0</v>
      </c>
      <c r="BR36" s="9">
        <f>IF(66&lt;=核心参数输入!$B$9*4,0,0)</f>
        <v>0</v>
      </c>
      <c r="BS36" s="9">
        <f>IF(67&lt;=核心参数输入!$B$9*4,0,0)</f>
        <v>0</v>
      </c>
      <c r="BT36" s="9">
        <f>IF(68&lt;=核心参数输入!$B$9*4,0,0)</f>
        <v>0</v>
      </c>
      <c r="BU36" s="9">
        <f>IF(69&lt;=核心参数输入!$B$9*4,0,0)</f>
        <v>0</v>
      </c>
      <c r="BV36" s="9">
        <f>IF(70&lt;=核心参数输入!$B$9*4,0,0)</f>
        <v>0</v>
      </c>
      <c r="BW36" s="9">
        <f>IF(71&lt;=核心参数输入!$B$9*4,0,0)</f>
        <v>0</v>
      </c>
      <c r="BX36" s="9">
        <f>IF(72&lt;=核心参数输入!$B$9*4,0,0)</f>
        <v>0</v>
      </c>
      <c r="BY36" s="9">
        <f>IF(73&lt;=核心参数输入!$B$9*4,0,0)</f>
        <v>0</v>
      </c>
      <c r="BZ36" s="9">
        <f>IF(74&lt;=核心参数输入!$B$9*4,0,0)</f>
        <v>0</v>
      </c>
      <c r="CA36" s="9">
        <f>IF(75&lt;=核心参数输入!$B$9*4,0,0)</f>
        <v>0</v>
      </c>
      <c r="CB36" s="9">
        <f>IF(76&lt;=核心参数输入!$B$9*4,0,0)</f>
        <v>0</v>
      </c>
      <c r="CC36" s="9">
        <f>IF(77&lt;=核心参数输入!$B$9*4,0,0)</f>
        <v>0</v>
      </c>
      <c r="CD36" s="9">
        <f>IF(78&lt;=核心参数输入!$B$9*4,0,0)</f>
        <v>0</v>
      </c>
      <c r="CE36" s="9">
        <f>IF(79&lt;=核心参数输入!$B$9*4,0,0)</f>
        <v>0</v>
      </c>
      <c r="CF36" s="9">
        <f>IF(80&lt;=核心参数输入!$B$9*4,0,0)</f>
        <v>0</v>
      </c>
      <c r="CG36" s="9">
        <f>IF(81&lt;=核心参数输入!$B$9*4,0,0)</f>
        <v>0</v>
      </c>
      <c r="CH36" s="9">
        <f>IF(82&lt;=核心参数输入!$B$9*4,0,0)</f>
        <v>0</v>
      </c>
      <c r="CI36" s="9">
        <f>IF(83&lt;=核心参数输入!$B$9*4,0,0)</f>
        <v>0</v>
      </c>
      <c r="CJ36" s="9">
        <f>IF(84&lt;=核心参数输入!$B$9*4,0,0)</f>
        <v>0</v>
      </c>
      <c r="CK36" s="9">
        <f>IF(85&lt;=核心参数输入!$B$9*4,0,0)</f>
        <v>0</v>
      </c>
      <c r="CL36" s="9">
        <f>IF(86&lt;=核心参数输入!$B$9*4,0,0)</f>
        <v>0</v>
      </c>
      <c r="CM36" s="9">
        <f>IF(87&lt;=核心参数输入!$B$9*4,0,0)</f>
        <v>0</v>
      </c>
      <c r="CN36" s="9">
        <f>IF(88&lt;=核心参数输入!$B$9*4,0,0)</f>
        <v>0</v>
      </c>
      <c r="CO36" s="9">
        <f>IF(89&lt;=核心参数输入!$B$9*4,0,0)</f>
        <v>0</v>
      </c>
      <c r="CP36" s="9">
        <f>IF(90&lt;=核心参数输入!$B$9*4,0,0)</f>
        <v>0</v>
      </c>
      <c r="CQ36" s="9">
        <f>IF(91&lt;=核心参数输入!$B$9*4,0,0)</f>
        <v>0</v>
      </c>
      <c r="CR36" s="9">
        <f>IF(92&lt;=核心参数输入!$B$9*4,0,0)</f>
        <v>0</v>
      </c>
      <c r="CS36" s="9">
        <f>IF(93&lt;=核心参数输入!$B$9*4,0,0)</f>
        <v>0</v>
      </c>
      <c r="CT36" s="9">
        <f>IF(94&lt;=核心参数输入!$B$9*4,0,0)</f>
        <v>0</v>
      </c>
      <c r="CU36" s="9">
        <f>IF(95&lt;=核心参数输入!$B$9*4,0,0)</f>
        <v>0</v>
      </c>
      <c r="CV36" s="9">
        <f>IF(96&lt;=核心参数输入!$B$9*4,0,0)</f>
        <v>0</v>
      </c>
      <c r="CW36" s="9">
        <f>IF(97&lt;=核心参数输入!$B$9*4,0,0)</f>
        <v>0</v>
      </c>
      <c r="CX36" s="9">
        <f>IF(98&lt;=核心参数输入!$B$9*4,0,0)</f>
        <v>0</v>
      </c>
      <c r="CY36" s="9">
        <f>IF(99&lt;=核心参数输入!$B$9*4,0,0)</f>
        <v>0</v>
      </c>
      <c r="CZ36" s="9">
        <f>IF(100&lt;=核心参数输入!$B$9*4,0,0)</f>
        <v>0</v>
      </c>
      <c r="DA36" s="9">
        <f>IF(101&lt;=核心参数输入!$B$9*4,0,0)</f>
        <v>0</v>
      </c>
      <c r="DB36" s="9">
        <f>IF(102&lt;=核心参数输入!$B$9*4,0,0)</f>
        <v>0</v>
      </c>
      <c r="DC36" s="9">
        <f>IF(103&lt;=核心参数输入!$B$9*4,0,0)</f>
        <v>0</v>
      </c>
      <c r="DD36" s="9">
        <f>IF(104&lt;=核心参数输入!$B$9*4,0,0)</f>
        <v>0</v>
      </c>
      <c r="DE36" s="9">
        <f>IF(105&lt;=核心参数输入!$B$9*4,0,0)</f>
        <v>0</v>
      </c>
      <c r="DF36" s="9">
        <f>IF(106&lt;=核心参数输入!$B$9*4,0,0)</f>
        <v>0</v>
      </c>
      <c r="DG36" s="9">
        <f>IF(107&lt;=核心参数输入!$B$9*4,0,0)</f>
        <v>0</v>
      </c>
      <c r="DH36" s="9">
        <f>IF(108&lt;=核心参数输入!$B$9*4,0,0)</f>
        <v>0</v>
      </c>
      <c r="DI36" s="9">
        <f>IF(109&lt;=核心参数输入!$B$9*4,0,0)</f>
        <v>0</v>
      </c>
      <c r="DJ36" s="9">
        <f>IF(110&lt;=核心参数输入!$B$9*4,0,0)</f>
        <v>0</v>
      </c>
      <c r="DK36" s="9">
        <f>IF(111&lt;=核心参数输入!$B$9*4,0,0)</f>
        <v>0</v>
      </c>
      <c r="DL36" s="9">
        <f>IF(112&lt;=核心参数输入!$B$9*4,0,0)</f>
        <v>0</v>
      </c>
      <c r="DM36" s="9">
        <f>IF(113&lt;=核心参数输入!$B$9*4,0,0)</f>
        <v>0</v>
      </c>
      <c r="DN36" s="9">
        <f>IF(114&lt;=核心参数输入!$B$9*4,0,0)</f>
        <v>0</v>
      </c>
      <c r="DO36" s="9">
        <f>IF(115&lt;=核心参数输入!$B$9*4,0,0)</f>
        <v>0</v>
      </c>
      <c r="DP36" s="9">
        <f>IF(116&lt;=核心参数输入!$B$9*4,0,0)</f>
        <v>0</v>
      </c>
      <c r="DQ36" s="9">
        <f>IF(117&lt;=核心参数输入!$B$9*4,0,0)</f>
        <v>0</v>
      </c>
      <c r="DR36" s="9">
        <f>IF(118&lt;=核心参数输入!$B$9*4,0,0)</f>
        <v>0</v>
      </c>
      <c r="DS36" s="9">
        <f>IF(119&lt;=核心参数输入!$B$9*4,0,0)</f>
        <v>0</v>
      </c>
      <c r="DT36" s="9">
        <f>IF(120&lt;=核心参数输入!$B$9*4,0,0)</f>
        <v>0</v>
      </c>
    </row>
    <row r="37" spans="1:124" ht="21" customHeight="1">
      <c r="A37" s="8" t="s">
        <v>428</v>
      </c>
      <c r="B37" s="8" t="s">
        <v>39</v>
      </c>
      <c r="C37" s="8"/>
      <c r="D37" s="9">
        <f>IF(0&lt;=核心参数输入!$B$9*4,季度投融资!$B$17*季度计划!D12,0)</f>
        <v>0</v>
      </c>
      <c r="E37" s="9">
        <f>IF(1&lt;=核心参数输入!$B$9*4,季度投融资!$B$17*季度计划!E12,0)</f>
        <v>3969</v>
      </c>
      <c r="F37" s="9">
        <f>IF(2&lt;=核心参数输入!$B$9*4,季度投融资!$B$17*季度计划!F12,0)</f>
        <v>3969</v>
      </c>
      <c r="G37" s="9">
        <f>IF(3&lt;=核心参数输入!$B$9*4,季度投融资!$B$17*季度计划!G12,0)</f>
        <v>3969</v>
      </c>
      <c r="H37" s="9">
        <f>IF(4&lt;=核心参数输入!$B$9*4,季度投融资!$B$17*季度计划!H12,0)</f>
        <v>3969</v>
      </c>
      <c r="I37" s="9">
        <f>IF(5&lt;=核心参数输入!$B$9*4,季度投融资!$B$17*季度计划!I12,0)</f>
        <v>5292</v>
      </c>
      <c r="J37" s="9">
        <f>IF(6&lt;=核心参数输入!$B$9*4,季度投融资!$B$17*季度计划!J12,0)</f>
        <v>5292</v>
      </c>
      <c r="K37" s="9">
        <f>IF(7&lt;=核心参数输入!$B$9*4,季度投融资!$B$17*季度计划!K12,0)</f>
        <v>5292</v>
      </c>
      <c r="L37" s="9">
        <f>IF(8&lt;=核心参数输入!$B$9*4,季度投融资!$B$17*季度计划!L12,0)</f>
        <v>5292</v>
      </c>
      <c r="M37" s="9">
        <f>IF(9&lt;=核心参数输入!$B$9*4,季度投融资!$B$17*季度计划!M12,0)</f>
        <v>3969</v>
      </c>
      <c r="N37" s="9">
        <f>IF(10&lt;=核心参数输入!$B$9*4,季度投融资!$B$17*季度计划!N12,0)</f>
        <v>3969</v>
      </c>
      <c r="O37" s="9">
        <f>IF(11&lt;=核心参数输入!$B$9*4,季度投融资!$B$17*季度计划!O12,0)</f>
        <v>3969</v>
      </c>
      <c r="P37" s="9">
        <f>IF(12&lt;=核心参数输入!$B$9*4,季度投融资!$B$17*季度计划!P12,0)</f>
        <v>3969</v>
      </c>
      <c r="Q37" s="9">
        <f>IF(13&lt;=核心参数输入!$B$9*4,季度投融资!$B$17*季度计划!Q12,0)</f>
        <v>0</v>
      </c>
      <c r="R37" s="9">
        <f>IF(14&lt;=核心参数输入!$B$9*4,季度投融资!$B$17*季度计划!R12,0)</f>
        <v>0</v>
      </c>
      <c r="S37" s="9">
        <f>IF(15&lt;=核心参数输入!$B$9*4,季度投融资!$B$17*季度计划!S12,0)</f>
        <v>0</v>
      </c>
      <c r="T37" s="9">
        <f>IF(16&lt;=核心参数输入!$B$9*4,季度投融资!$B$17*季度计划!T12,0)</f>
        <v>0</v>
      </c>
      <c r="U37" s="9">
        <f>IF(17&lt;=核心参数输入!$B$9*4,季度投融资!$B$17*季度计划!U12,0)</f>
        <v>0</v>
      </c>
      <c r="V37" s="9">
        <f>IF(18&lt;=核心参数输入!$B$9*4,季度投融资!$B$17*季度计划!V12,0)</f>
        <v>0</v>
      </c>
      <c r="W37" s="9">
        <f>IF(19&lt;=核心参数输入!$B$9*4,季度投融资!$B$17*季度计划!W12,0)</f>
        <v>0</v>
      </c>
      <c r="X37" s="9">
        <f>IF(20&lt;=核心参数输入!$B$9*4,季度投融资!$B$17*季度计划!X12,0)</f>
        <v>0</v>
      </c>
      <c r="Y37" s="9">
        <f>IF(21&lt;=核心参数输入!$B$9*4,季度投融资!$B$17*季度计划!Y12,0)</f>
        <v>0</v>
      </c>
      <c r="Z37" s="9">
        <f>IF(22&lt;=核心参数输入!$B$9*4,季度投融资!$B$17*季度计划!Z12,0)</f>
        <v>0</v>
      </c>
      <c r="AA37" s="9">
        <f>IF(23&lt;=核心参数输入!$B$9*4,季度投融资!$B$17*季度计划!AA12,0)</f>
        <v>0</v>
      </c>
      <c r="AB37" s="9">
        <f>IF(24&lt;=核心参数输入!$B$9*4,季度投融资!$B$17*季度计划!AB12,0)</f>
        <v>0</v>
      </c>
      <c r="AC37" s="9">
        <f>IF(25&lt;=核心参数输入!$B$9*4,季度投融资!$B$17*季度计划!AC12,0)</f>
        <v>0</v>
      </c>
      <c r="AD37" s="9">
        <f>IF(26&lt;=核心参数输入!$B$9*4,季度投融资!$B$17*季度计划!AD12,0)</f>
        <v>0</v>
      </c>
      <c r="AE37" s="9">
        <f>IF(27&lt;=核心参数输入!$B$9*4,季度投融资!$B$17*季度计划!AE12,0)</f>
        <v>0</v>
      </c>
      <c r="AF37" s="9">
        <f>IF(28&lt;=核心参数输入!$B$9*4,季度投融资!$B$17*季度计划!AF12,0)</f>
        <v>0</v>
      </c>
      <c r="AG37" s="9">
        <f>IF(29&lt;=核心参数输入!$B$9*4,季度投融资!$B$17*季度计划!AG12,0)</f>
        <v>0</v>
      </c>
      <c r="AH37" s="9">
        <f>IF(30&lt;=核心参数输入!$B$9*4,季度投融资!$B$17*季度计划!AH12,0)</f>
        <v>0</v>
      </c>
      <c r="AI37" s="9">
        <f>IF(31&lt;=核心参数输入!$B$9*4,季度投融资!$B$17*季度计划!AI12,0)</f>
        <v>0</v>
      </c>
      <c r="AJ37" s="9">
        <f>IF(32&lt;=核心参数输入!$B$9*4,季度投融资!$B$17*季度计划!AJ12,0)</f>
        <v>0</v>
      </c>
      <c r="AK37" s="9">
        <f>IF(33&lt;=核心参数输入!$B$9*4,季度投融资!$B$17*季度计划!AK12,0)</f>
        <v>0</v>
      </c>
      <c r="AL37" s="9">
        <f>IF(34&lt;=核心参数输入!$B$9*4,季度投融资!$B$17*季度计划!AL12,0)</f>
        <v>0</v>
      </c>
      <c r="AM37" s="9">
        <f>IF(35&lt;=核心参数输入!$B$9*4,季度投融资!$B$17*季度计划!AM12,0)</f>
        <v>0</v>
      </c>
      <c r="AN37" s="9">
        <f>IF(36&lt;=核心参数输入!$B$9*4,季度投融资!$B$17*季度计划!AN12,0)</f>
        <v>0</v>
      </c>
      <c r="AO37" s="9">
        <f>IF(37&lt;=核心参数输入!$B$9*4,季度投融资!$B$17*季度计划!AO12,0)</f>
        <v>0</v>
      </c>
      <c r="AP37" s="9">
        <f>IF(38&lt;=核心参数输入!$B$9*4,季度投融资!$B$17*季度计划!AP12,0)</f>
        <v>0</v>
      </c>
      <c r="AQ37" s="9">
        <f>IF(39&lt;=核心参数输入!$B$9*4,季度投融资!$B$17*季度计划!AQ12,0)</f>
        <v>0</v>
      </c>
      <c r="AR37" s="9">
        <f>IF(40&lt;=核心参数输入!$B$9*4,季度投融资!$B$17*季度计划!AR12,0)</f>
        <v>0</v>
      </c>
      <c r="AS37" s="9">
        <f>IF(41&lt;=核心参数输入!$B$9*4,季度投融资!$B$17*季度计划!AS12,0)</f>
        <v>0</v>
      </c>
      <c r="AT37" s="9">
        <f>IF(42&lt;=核心参数输入!$B$9*4,季度投融资!$B$17*季度计划!AT12,0)</f>
        <v>0</v>
      </c>
      <c r="AU37" s="9">
        <f>IF(43&lt;=核心参数输入!$B$9*4,季度投融资!$B$17*季度计划!AU12,0)</f>
        <v>0</v>
      </c>
      <c r="AV37" s="9">
        <f>IF(44&lt;=核心参数输入!$B$9*4,季度投融资!$B$17*季度计划!AV12,0)</f>
        <v>0</v>
      </c>
      <c r="AW37" s="9">
        <f>IF(45&lt;=核心参数输入!$B$9*4,季度投融资!$B$17*季度计划!AW12,0)</f>
        <v>0</v>
      </c>
      <c r="AX37" s="9">
        <f>IF(46&lt;=核心参数输入!$B$9*4,季度投融资!$B$17*季度计划!AX12,0)</f>
        <v>0</v>
      </c>
      <c r="AY37" s="9">
        <f>IF(47&lt;=核心参数输入!$B$9*4,季度投融资!$B$17*季度计划!AY12,0)</f>
        <v>0</v>
      </c>
      <c r="AZ37" s="9">
        <f>IF(48&lt;=核心参数输入!$B$9*4,季度投融资!$B$17*季度计划!AZ12,0)</f>
        <v>0</v>
      </c>
      <c r="BA37" s="9">
        <f>IF(49&lt;=核心参数输入!$B$9*4,季度投融资!$B$17*季度计划!BA12,0)</f>
        <v>0</v>
      </c>
      <c r="BB37" s="9">
        <f>IF(50&lt;=核心参数输入!$B$9*4,季度投融资!$B$17*季度计划!BB12,0)</f>
        <v>0</v>
      </c>
      <c r="BC37" s="9">
        <f>IF(51&lt;=核心参数输入!$B$9*4,季度投融资!$B$17*季度计划!BC12,0)</f>
        <v>0</v>
      </c>
      <c r="BD37" s="9">
        <f>IF(52&lt;=核心参数输入!$B$9*4,季度投融资!$B$17*季度计划!BD12,0)</f>
        <v>0</v>
      </c>
      <c r="BE37" s="9">
        <f>IF(53&lt;=核心参数输入!$B$9*4,季度投融资!$B$17*季度计划!BE12,0)</f>
        <v>0</v>
      </c>
      <c r="BF37" s="9">
        <f>IF(54&lt;=核心参数输入!$B$9*4,季度投融资!$B$17*季度计划!BF12,0)</f>
        <v>0</v>
      </c>
      <c r="BG37" s="9">
        <f>IF(55&lt;=核心参数输入!$B$9*4,季度投融资!$B$17*季度计划!BG12,0)</f>
        <v>0</v>
      </c>
      <c r="BH37" s="9">
        <f>IF(56&lt;=核心参数输入!$B$9*4,季度投融资!$B$17*季度计划!BH12,0)</f>
        <v>0</v>
      </c>
      <c r="BI37" s="9">
        <f>IF(57&lt;=核心参数输入!$B$9*4,季度投融资!$B$17*季度计划!BI12,0)</f>
        <v>0</v>
      </c>
      <c r="BJ37" s="9">
        <f>IF(58&lt;=核心参数输入!$B$9*4,季度投融资!$B$17*季度计划!BJ12,0)</f>
        <v>0</v>
      </c>
      <c r="BK37" s="9">
        <f>IF(59&lt;=核心参数输入!$B$9*4,季度投融资!$B$17*季度计划!BK12,0)</f>
        <v>0</v>
      </c>
      <c r="BL37" s="9">
        <f>IF(60&lt;=核心参数输入!$B$9*4,季度投融资!$B$17*季度计划!BL12,0)</f>
        <v>0</v>
      </c>
      <c r="BM37" s="9">
        <f>IF(61&lt;=核心参数输入!$B$9*4,季度投融资!$B$17*季度计划!BM12,0)</f>
        <v>0</v>
      </c>
      <c r="BN37" s="9">
        <f>IF(62&lt;=核心参数输入!$B$9*4,季度投融资!$B$17*季度计划!BN12,0)</f>
        <v>0</v>
      </c>
      <c r="BO37" s="9">
        <f>IF(63&lt;=核心参数输入!$B$9*4,季度投融资!$B$17*季度计划!BO12,0)</f>
        <v>0</v>
      </c>
      <c r="BP37" s="9">
        <f>IF(64&lt;=核心参数输入!$B$9*4,季度投融资!$B$17*季度计划!BP12,0)</f>
        <v>0</v>
      </c>
      <c r="BQ37" s="9">
        <f>IF(65&lt;=核心参数输入!$B$9*4,季度投融资!$B$17*季度计划!BQ12,0)</f>
        <v>0</v>
      </c>
      <c r="BR37" s="9">
        <f>IF(66&lt;=核心参数输入!$B$9*4,季度投融资!$B$17*季度计划!BR12,0)</f>
        <v>0</v>
      </c>
      <c r="BS37" s="9">
        <f>IF(67&lt;=核心参数输入!$B$9*4,季度投融资!$B$17*季度计划!BS12,0)</f>
        <v>0</v>
      </c>
      <c r="BT37" s="9">
        <f>IF(68&lt;=核心参数输入!$B$9*4,季度投融资!$B$17*季度计划!BT12,0)</f>
        <v>0</v>
      </c>
      <c r="BU37" s="9">
        <f>IF(69&lt;=核心参数输入!$B$9*4,季度投融资!$B$17*季度计划!BU12,0)</f>
        <v>0</v>
      </c>
      <c r="BV37" s="9">
        <f>IF(70&lt;=核心参数输入!$B$9*4,季度投融资!$B$17*季度计划!BV12,0)</f>
        <v>0</v>
      </c>
      <c r="BW37" s="9">
        <f>IF(71&lt;=核心参数输入!$B$9*4,季度投融资!$B$17*季度计划!BW12,0)</f>
        <v>0</v>
      </c>
      <c r="BX37" s="9">
        <f>IF(72&lt;=核心参数输入!$B$9*4,季度投融资!$B$17*季度计划!BX12,0)</f>
        <v>0</v>
      </c>
      <c r="BY37" s="9">
        <f>IF(73&lt;=核心参数输入!$B$9*4,季度投融资!$B$17*季度计划!BY12,0)</f>
        <v>0</v>
      </c>
      <c r="BZ37" s="9">
        <f>IF(74&lt;=核心参数输入!$B$9*4,季度投融资!$B$17*季度计划!BZ12,0)</f>
        <v>0</v>
      </c>
      <c r="CA37" s="9">
        <f>IF(75&lt;=核心参数输入!$B$9*4,季度投融资!$B$17*季度计划!CA12,0)</f>
        <v>0</v>
      </c>
      <c r="CB37" s="9">
        <f>IF(76&lt;=核心参数输入!$B$9*4,季度投融资!$B$17*季度计划!CB12,0)</f>
        <v>0</v>
      </c>
      <c r="CC37" s="9">
        <f>IF(77&lt;=核心参数输入!$B$9*4,季度投融资!$B$17*季度计划!CC12,0)</f>
        <v>0</v>
      </c>
      <c r="CD37" s="9">
        <f>IF(78&lt;=核心参数输入!$B$9*4,季度投融资!$B$17*季度计划!CD12,0)</f>
        <v>0</v>
      </c>
      <c r="CE37" s="9">
        <f>IF(79&lt;=核心参数输入!$B$9*4,季度投融资!$B$17*季度计划!CE12,0)</f>
        <v>0</v>
      </c>
      <c r="CF37" s="9">
        <f>IF(80&lt;=核心参数输入!$B$9*4,季度投融资!$B$17*季度计划!CF12,0)</f>
        <v>0</v>
      </c>
      <c r="CG37" s="9">
        <f>IF(81&lt;=核心参数输入!$B$9*4,季度投融资!$B$17*季度计划!CG12,0)</f>
        <v>0</v>
      </c>
      <c r="CH37" s="9">
        <f>IF(82&lt;=核心参数输入!$B$9*4,季度投融资!$B$17*季度计划!CH12,0)</f>
        <v>0</v>
      </c>
      <c r="CI37" s="9">
        <f>IF(83&lt;=核心参数输入!$B$9*4,季度投融资!$B$17*季度计划!CI12,0)</f>
        <v>0</v>
      </c>
      <c r="CJ37" s="9">
        <f>IF(84&lt;=核心参数输入!$B$9*4,季度投融资!$B$17*季度计划!CJ12,0)</f>
        <v>0</v>
      </c>
      <c r="CK37" s="9">
        <f>IF(85&lt;=核心参数输入!$B$9*4,季度投融资!$B$17*季度计划!CK12,0)</f>
        <v>0</v>
      </c>
      <c r="CL37" s="9">
        <f>IF(86&lt;=核心参数输入!$B$9*4,季度投融资!$B$17*季度计划!CL12,0)</f>
        <v>0</v>
      </c>
      <c r="CM37" s="9">
        <f>IF(87&lt;=核心参数输入!$B$9*4,季度投融资!$B$17*季度计划!CM12,0)</f>
        <v>0</v>
      </c>
      <c r="CN37" s="9">
        <f>IF(88&lt;=核心参数输入!$B$9*4,季度投融资!$B$17*季度计划!CN12,0)</f>
        <v>0</v>
      </c>
      <c r="CO37" s="9">
        <f>IF(89&lt;=核心参数输入!$B$9*4,季度投融资!$B$17*季度计划!CO12,0)</f>
        <v>0</v>
      </c>
      <c r="CP37" s="9">
        <f>IF(90&lt;=核心参数输入!$B$9*4,季度投融资!$B$17*季度计划!CP12,0)</f>
        <v>0</v>
      </c>
      <c r="CQ37" s="9">
        <f>IF(91&lt;=核心参数输入!$B$9*4,季度投融资!$B$17*季度计划!CQ12,0)</f>
        <v>0</v>
      </c>
      <c r="CR37" s="9">
        <f>IF(92&lt;=核心参数输入!$B$9*4,季度投融资!$B$17*季度计划!CR12,0)</f>
        <v>0</v>
      </c>
      <c r="CS37" s="9">
        <f>IF(93&lt;=核心参数输入!$B$9*4,季度投融资!$B$17*季度计划!CS12,0)</f>
        <v>0</v>
      </c>
      <c r="CT37" s="9">
        <f>IF(94&lt;=核心参数输入!$B$9*4,季度投融资!$B$17*季度计划!CT12,0)</f>
        <v>0</v>
      </c>
      <c r="CU37" s="9">
        <f>IF(95&lt;=核心参数输入!$B$9*4,季度投融资!$B$17*季度计划!CU12,0)</f>
        <v>0</v>
      </c>
      <c r="CV37" s="9">
        <f>IF(96&lt;=核心参数输入!$B$9*4,季度投融资!$B$17*季度计划!CV12,0)</f>
        <v>0</v>
      </c>
      <c r="CW37" s="9">
        <f>IF(97&lt;=核心参数输入!$B$9*4,季度投融资!$B$17*季度计划!CW12,0)</f>
        <v>0</v>
      </c>
      <c r="CX37" s="9">
        <f>IF(98&lt;=核心参数输入!$B$9*4,季度投融资!$B$17*季度计划!CX12,0)</f>
        <v>0</v>
      </c>
      <c r="CY37" s="9">
        <f>IF(99&lt;=核心参数输入!$B$9*4,季度投融资!$B$17*季度计划!CY12,0)</f>
        <v>0</v>
      </c>
      <c r="CZ37" s="9">
        <f>IF(100&lt;=核心参数输入!$B$9*4,季度投融资!$B$17*季度计划!CZ12,0)</f>
        <v>0</v>
      </c>
      <c r="DA37" s="9">
        <f>IF(101&lt;=核心参数输入!$B$9*4,季度投融资!$B$17*季度计划!DA12,0)</f>
        <v>0</v>
      </c>
      <c r="DB37" s="9">
        <f>IF(102&lt;=核心参数输入!$B$9*4,季度投融资!$B$17*季度计划!DB12,0)</f>
        <v>0</v>
      </c>
      <c r="DC37" s="9">
        <f>IF(103&lt;=核心参数输入!$B$9*4,季度投融资!$B$17*季度计划!DC12,0)</f>
        <v>0</v>
      </c>
      <c r="DD37" s="9">
        <f>IF(104&lt;=核心参数输入!$B$9*4,季度投融资!$B$17*季度计划!DD12,0)</f>
        <v>0</v>
      </c>
      <c r="DE37" s="9">
        <f>IF(105&lt;=核心参数输入!$B$9*4,季度投融资!$B$17*季度计划!DE12,0)</f>
        <v>0</v>
      </c>
      <c r="DF37" s="9">
        <f>IF(106&lt;=核心参数输入!$B$9*4,季度投融资!$B$17*季度计划!DF12,0)</f>
        <v>0</v>
      </c>
      <c r="DG37" s="9">
        <f>IF(107&lt;=核心参数输入!$B$9*4,季度投融资!$B$17*季度计划!DG12,0)</f>
        <v>0</v>
      </c>
      <c r="DH37" s="9">
        <f>IF(108&lt;=核心参数输入!$B$9*4,季度投融资!$B$17*季度计划!DH12,0)</f>
        <v>0</v>
      </c>
      <c r="DI37" s="9">
        <f>IF(109&lt;=核心参数输入!$B$9*4,季度投融资!$B$17*季度计划!DI12,0)</f>
        <v>0</v>
      </c>
      <c r="DJ37" s="9">
        <f>IF(110&lt;=核心参数输入!$B$9*4,季度投融资!$B$17*季度计划!DJ12,0)</f>
        <v>0</v>
      </c>
      <c r="DK37" s="9">
        <f>IF(111&lt;=核心参数输入!$B$9*4,季度投融资!$B$17*季度计划!DK12,0)</f>
        <v>0</v>
      </c>
      <c r="DL37" s="9">
        <f>IF(112&lt;=核心参数输入!$B$9*4,季度投融资!$B$17*季度计划!DL12,0)</f>
        <v>0</v>
      </c>
      <c r="DM37" s="9">
        <f>IF(113&lt;=核心参数输入!$B$9*4,季度投融资!$B$17*季度计划!DM12,0)</f>
        <v>0</v>
      </c>
      <c r="DN37" s="9">
        <f>IF(114&lt;=核心参数输入!$B$9*4,季度投融资!$B$17*季度计划!DN12,0)</f>
        <v>0</v>
      </c>
      <c r="DO37" s="9">
        <f>IF(115&lt;=核心参数输入!$B$9*4,季度投融资!$B$17*季度计划!DO12,0)</f>
        <v>0</v>
      </c>
      <c r="DP37" s="9">
        <f>IF(116&lt;=核心参数输入!$B$9*4,季度投融资!$B$17*季度计划!DP12,0)</f>
        <v>0</v>
      </c>
      <c r="DQ37" s="9">
        <f>IF(117&lt;=核心参数输入!$B$9*4,季度投融资!$B$17*季度计划!DQ12,0)</f>
        <v>0</v>
      </c>
      <c r="DR37" s="9">
        <f>IF(118&lt;=核心参数输入!$B$9*4,季度投融资!$B$17*季度计划!DR12,0)</f>
        <v>0</v>
      </c>
      <c r="DS37" s="9">
        <f>IF(119&lt;=核心参数输入!$B$9*4,季度投融资!$B$17*季度计划!DS12,0)</f>
        <v>0</v>
      </c>
      <c r="DT37" s="9">
        <f>IF(120&lt;=核心参数输入!$B$9*4,季度投融资!$B$17*季度计划!DT12,0)</f>
        <v>0</v>
      </c>
    </row>
    <row r="38" spans="1:124" ht="21" customHeight="1">
      <c r="A38" s="8" t="s">
        <v>429</v>
      </c>
      <c r="B38" s="8" t="s">
        <v>39</v>
      </c>
      <c r="C38" s="8"/>
      <c r="D38" s="9">
        <f>IF(0&lt;=核心参数输入!$B$9*4,IF(0=核心参数输入!$B$16*4+核心参数输入!$B$148+1,季度投融资!$B$20,0),0)</f>
        <v>0</v>
      </c>
      <c r="E38" s="9">
        <f>IF(1&lt;=核心参数输入!$B$9*4,IF(1=核心参数输入!$B$16*4+核心参数输入!$B$148+1,季度投融资!$B$20,0),0)</f>
        <v>0</v>
      </c>
      <c r="F38" s="9">
        <f>IF(2&lt;=核心参数输入!$B$9*4,IF(2=核心参数输入!$B$16*4+核心参数输入!$B$148+1,季度投融资!$B$20,0),0)</f>
        <v>0</v>
      </c>
      <c r="G38" s="9">
        <f>IF(3&lt;=核心参数输入!$B$9*4,IF(3=核心参数输入!$B$16*4+核心参数输入!$B$148+1,季度投融资!$B$20,0),0)</f>
        <v>0</v>
      </c>
      <c r="H38" s="9">
        <f>IF(4&lt;=核心参数输入!$B$9*4,IF(4=核心参数输入!$B$16*4+核心参数输入!$B$148+1,季度投融资!$B$20,0),0)</f>
        <v>0</v>
      </c>
      <c r="I38" s="9">
        <f>IF(5&lt;=核心参数输入!$B$9*4,IF(5=核心参数输入!$B$16*4+核心参数输入!$B$148+1,季度投融资!$B$20,0),0)</f>
        <v>0</v>
      </c>
      <c r="J38" s="9">
        <f>IF(6&lt;=核心参数输入!$B$9*4,IF(6=核心参数输入!$B$16*4+核心参数输入!$B$148+1,季度投融资!$B$20,0),0)</f>
        <v>0</v>
      </c>
      <c r="K38" s="9">
        <f>IF(7&lt;=核心参数输入!$B$9*4,IF(7=核心参数输入!$B$16*4+核心参数输入!$B$148+1,季度投融资!$B$20,0),0)</f>
        <v>0</v>
      </c>
      <c r="L38" s="9">
        <f>IF(8&lt;=核心参数输入!$B$9*4,IF(8=核心参数输入!$B$16*4+核心参数输入!$B$148+1,季度投融资!$B$20,0),0)</f>
        <v>0</v>
      </c>
      <c r="M38" s="9">
        <f>IF(9&lt;=核心参数输入!$B$9*4,IF(9=核心参数输入!$B$16*4+核心参数输入!$B$148+1,季度投融资!$B$20,0),0)</f>
        <v>0</v>
      </c>
      <c r="N38" s="9">
        <f>IF(10&lt;=核心参数输入!$B$9*4,IF(10=核心参数输入!$B$16*4+核心参数输入!$B$148+1,季度投融资!$B$20,0),0)</f>
        <v>0</v>
      </c>
      <c r="O38" s="9">
        <f>IF(11&lt;=核心参数输入!$B$9*4,IF(11=核心参数输入!$B$16*4+核心参数输入!$B$148+1,季度投融资!$B$20,0),0)</f>
        <v>0</v>
      </c>
      <c r="P38" s="9">
        <f>IF(12&lt;=核心参数输入!$B$9*4,IF(12=核心参数输入!$B$16*4+核心参数输入!$B$148+1,季度投融资!$B$20,0),0)</f>
        <v>0</v>
      </c>
      <c r="Q38" s="9">
        <f>IF(13&lt;=核心参数输入!$B$9*4,IF(13=核心参数输入!$B$16*4+核心参数输入!$B$148+1,季度投融资!$B$20,0),0)</f>
        <v>500</v>
      </c>
      <c r="R38" s="9">
        <f>IF(14&lt;=核心参数输入!$B$9*4,IF(14=核心参数输入!$B$16*4+核心参数输入!$B$148+1,季度投融资!$B$20,0),0)</f>
        <v>0</v>
      </c>
      <c r="S38" s="9">
        <f>IF(15&lt;=核心参数输入!$B$9*4,IF(15=核心参数输入!$B$16*4+核心参数输入!$B$148+1,季度投融资!$B$20,0),0)</f>
        <v>0</v>
      </c>
      <c r="T38" s="9">
        <f>IF(16&lt;=核心参数输入!$B$9*4,IF(16=核心参数输入!$B$16*4+核心参数输入!$B$148+1,季度投融资!$B$20,0),0)</f>
        <v>0</v>
      </c>
      <c r="U38" s="9">
        <f>IF(17&lt;=核心参数输入!$B$9*4,IF(17=核心参数输入!$B$16*4+核心参数输入!$B$148+1,季度投融资!$B$20,0),0)</f>
        <v>0</v>
      </c>
      <c r="V38" s="9">
        <f>IF(18&lt;=核心参数输入!$B$9*4,IF(18=核心参数输入!$B$16*4+核心参数输入!$B$148+1,季度投融资!$B$20,0),0)</f>
        <v>0</v>
      </c>
      <c r="W38" s="9">
        <f>IF(19&lt;=核心参数输入!$B$9*4,IF(19=核心参数输入!$B$16*4+核心参数输入!$B$148+1,季度投融资!$B$20,0),0)</f>
        <v>0</v>
      </c>
      <c r="X38" s="9">
        <f>IF(20&lt;=核心参数输入!$B$9*4,IF(20=核心参数输入!$B$16*4+核心参数输入!$B$148+1,季度投融资!$B$20,0),0)</f>
        <v>0</v>
      </c>
      <c r="Y38" s="9">
        <f>IF(21&lt;=核心参数输入!$B$9*4,IF(21=核心参数输入!$B$16*4+核心参数输入!$B$148+1,季度投融资!$B$20,0),0)</f>
        <v>0</v>
      </c>
      <c r="Z38" s="9">
        <f>IF(22&lt;=核心参数输入!$B$9*4,IF(22=核心参数输入!$B$16*4+核心参数输入!$B$148+1,季度投融资!$B$20,0),0)</f>
        <v>0</v>
      </c>
      <c r="AA38" s="9">
        <f>IF(23&lt;=核心参数输入!$B$9*4,IF(23=核心参数输入!$B$16*4+核心参数输入!$B$148+1,季度投融资!$B$20,0),0)</f>
        <v>0</v>
      </c>
      <c r="AB38" s="9">
        <f>IF(24&lt;=核心参数输入!$B$9*4,IF(24=核心参数输入!$B$16*4+核心参数输入!$B$148+1,季度投融资!$B$20,0),0)</f>
        <v>0</v>
      </c>
      <c r="AC38" s="9">
        <f>IF(25&lt;=核心参数输入!$B$9*4,IF(25=核心参数输入!$B$16*4+核心参数输入!$B$148+1,季度投融资!$B$20,0),0)</f>
        <v>0</v>
      </c>
      <c r="AD38" s="9">
        <f>IF(26&lt;=核心参数输入!$B$9*4,IF(26=核心参数输入!$B$16*4+核心参数输入!$B$148+1,季度投融资!$B$20,0),0)</f>
        <v>0</v>
      </c>
      <c r="AE38" s="9">
        <f>IF(27&lt;=核心参数输入!$B$9*4,IF(27=核心参数输入!$B$16*4+核心参数输入!$B$148+1,季度投融资!$B$20,0),0)</f>
        <v>0</v>
      </c>
      <c r="AF38" s="9">
        <f>IF(28&lt;=核心参数输入!$B$9*4,IF(28=核心参数输入!$B$16*4+核心参数输入!$B$148+1,季度投融资!$B$20,0),0)</f>
        <v>0</v>
      </c>
      <c r="AG38" s="9">
        <f>IF(29&lt;=核心参数输入!$B$9*4,IF(29=核心参数输入!$B$16*4+核心参数输入!$B$148+1,季度投融资!$B$20,0),0)</f>
        <v>0</v>
      </c>
      <c r="AH38" s="9">
        <f>IF(30&lt;=核心参数输入!$B$9*4,IF(30=核心参数输入!$B$16*4+核心参数输入!$B$148+1,季度投融资!$B$20,0),0)</f>
        <v>0</v>
      </c>
      <c r="AI38" s="9">
        <f>IF(31&lt;=核心参数输入!$B$9*4,IF(31=核心参数输入!$B$16*4+核心参数输入!$B$148+1,季度投融资!$B$20,0),0)</f>
        <v>0</v>
      </c>
      <c r="AJ38" s="9">
        <f>IF(32&lt;=核心参数输入!$B$9*4,IF(32=核心参数输入!$B$16*4+核心参数输入!$B$148+1,季度投融资!$B$20,0),0)</f>
        <v>0</v>
      </c>
      <c r="AK38" s="9">
        <f>IF(33&lt;=核心参数输入!$B$9*4,IF(33=核心参数输入!$B$16*4+核心参数输入!$B$148+1,季度投融资!$B$20,0),0)</f>
        <v>0</v>
      </c>
      <c r="AL38" s="9">
        <f>IF(34&lt;=核心参数输入!$B$9*4,IF(34=核心参数输入!$B$16*4+核心参数输入!$B$148+1,季度投融资!$B$20,0),0)</f>
        <v>0</v>
      </c>
      <c r="AM38" s="9">
        <f>IF(35&lt;=核心参数输入!$B$9*4,IF(35=核心参数输入!$B$16*4+核心参数输入!$B$148+1,季度投融资!$B$20,0),0)</f>
        <v>0</v>
      </c>
      <c r="AN38" s="9">
        <f>IF(36&lt;=核心参数输入!$B$9*4,IF(36=核心参数输入!$B$16*4+核心参数输入!$B$148+1,季度投融资!$B$20,0),0)</f>
        <v>0</v>
      </c>
      <c r="AO38" s="9">
        <f>IF(37&lt;=核心参数输入!$B$9*4,IF(37=核心参数输入!$B$16*4+核心参数输入!$B$148+1,季度投融资!$B$20,0),0)</f>
        <v>0</v>
      </c>
      <c r="AP38" s="9">
        <f>IF(38&lt;=核心参数输入!$B$9*4,IF(38=核心参数输入!$B$16*4+核心参数输入!$B$148+1,季度投融资!$B$20,0),0)</f>
        <v>0</v>
      </c>
      <c r="AQ38" s="9">
        <f>IF(39&lt;=核心参数输入!$B$9*4,IF(39=核心参数输入!$B$16*4+核心参数输入!$B$148+1,季度投融资!$B$20,0),0)</f>
        <v>0</v>
      </c>
      <c r="AR38" s="9">
        <f>IF(40&lt;=核心参数输入!$B$9*4,IF(40=核心参数输入!$B$16*4+核心参数输入!$B$148+1,季度投融资!$B$20,0),0)</f>
        <v>0</v>
      </c>
      <c r="AS38" s="9">
        <f>IF(41&lt;=核心参数输入!$B$9*4,IF(41=核心参数输入!$B$16*4+核心参数输入!$B$148+1,季度投融资!$B$20,0),0)</f>
        <v>0</v>
      </c>
      <c r="AT38" s="9">
        <f>IF(42&lt;=核心参数输入!$B$9*4,IF(42=核心参数输入!$B$16*4+核心参数输入!$B$148+1,季度投融资!$B$20,0),0)</f>
        <v>0</v>
      </c>
      <c r="AU38" s="9">
        <f>IF(43&lt;=核心参数输入!$B$9*4,IF(43=核心参数输入!$B$16*4+核心参数输入!$B$148+1,季度投融资!$B$20,0),0)</f>
        <v>0</v>
      </c>
      <c r="AV38" s="9">
        <f>IF(44&lt;=核心参数输入!$B$9*4,IF(44=核心参数输入!$B$16*4+核心参数输入!$B$148+1,季度投融资!$B$20,0),0)</f>
        <v>0</v>
      </c>
      <c r="AW38" s="9">
        <f>IF(45&lt;=核心参数输入!$B$9*4,IF(45=核心参数输入!$B$16*4+核心参数输入!$B$148+1,季度投融资!$B$20,0),0)</f>
        <v>0</v>
      </c>
      <c r="AX38" s="9">
        <f>IF(46&lt;=核心参数输入!$B$9*4,IF(46=核心参数输入!$B$16*4+核心参数输入!$B$148+1,季度投融资!$B$20,0),0)</f>
        <v>0</v>
      </c>
      <c r="AY38" s="9">
        <f>IF(47&lt;=核心参数输入!$B$9*4,IF(47=核心参数输入!$B$16*4+核心参数输入!$B$148+1,季度投融资!$B$20,0),0)</f>
        <v>0</v>
      </c>
      <c r="AZ38" s="9">
        <f>IF(48&lt;=核心参数输入!$B$9*4,IF(48=核心参数输入!$B$16*4+核心参数输入!$B$148+1,季度投融资!$B$20,0),0)</f>
        <v>0</v>
      </c>
      <c r="BA38" s="9">
        <f>IF(49&lt;=核心参数输入!$B$9*4,IF(49=核心参数输入!$B$16*4+核心参数输入!$B$148+1,季度投融资!$B$20,0),0)</f>
        <v>0</v>
      </c>
      <c r="BB38" s="9">
        <f>IF(50&lt;=核心参数输入!$B$9*4,IF(50=核心参数输入!$B$16*4+核心参数输入!$B$148+1,季度投融资!$B$20,0),0)</f>
        <v>0</v>
      </c>
      <c r="BC38" s="9">
        <f>IF(51&lt;=核心参数输入!$B$9*4,IF(51=核心参数输入!$B$16*4+核心参数输入!$B$148+1,季度投融资!$B$20,0),0)</f>
        <v>0</v>
      </c>
      <c r="BD38" s="9">
        <f>IF(52&lt;=核心参数输入!$B$9*4,IF(52=核心参数输入!$B$16*4+核心参数输入!$B$148+1,季度投融资!$B$20,0),0)</f>
        <v>0</v>
      </c>
      <c r="BE38" s="9">
        <f>IF(53&lt;=核心参数输入!$B$9*4,IF(53=核心参数输入!$B$16*4+核心参数输入!$B$148+1,季度投融资!$B$20,0),0)</f>
        <v>0</v>
      </c>
      <c r="BF38" s="9">
        <f>IF(54&lt;=核心参数输入!$B$9*4,IF(54=核心参数输入!$B$16*4+核心参数输入!$B$148+1,季度投融资!$B$20,0),0)</f>
        <v>0</v>
      </c>
      <c r="BG38" s="9">
        <f>IF(55&lt;=核心参数输入!$B$9*4,IF(55=核心参数输入!$B$16*4+核心参数输入!$B$148+1,季度投融资!$B$20,0),0)</f>
        <v>0</v>
      </c>
      <c r="BH38" s="9">
        <f>IF(56&lt;=核心参数输入!$B$9*4,IF(56=核心参数输入!$B$16*4+核心参数输入!$B$148+1,季度投融资!$B$20,0),0)</f>
        <v>0</v>
      </c>
      <c r="BI38" s="9">
        <f>IF(57&lt;=核心参数输入!$B$9*4,IF(57=核心参数输入!$B$16*4+核心参数输入!$B$148+1,季度投融资!$B$20,0),0)</f>
        <v>0</v>
      </c>
      <c r="BJ38" s="9">
        <f>IF(58&lt;=核心参数输入!$B$9*4,IF(58=核心参数输入!$B$16*4+核心参数输入!$B$148+1,季度投融资!$B$20,0),0)</f>
        <v>0</v>
      </c>
      <c r="BK38" s="9">
        <f>IF(59&lt;=核心参数输入!$B$9*4,IF(59=核心参数输入!$B$16*4+核心参数输入!$B$148+1,季度投融资!$B$20,0),0)</f>
        <v>0</v>
      </c>
      <c r="BL38" s="9">
        <f>IF(60&lt;=核心参数输入!$B$9*4,IF(60=核心参数输入!$B$16*4+核心参数输入!$B$148+1,季度投融资!$B$20,0),0)</f>
        <v>0</v>
      </c>
      <c r="BM38" s="9">
        <f>IF(61&lt;=核心参数输入!$B$9*4,IF(61=核心参数输入!$B$16*4+核心参数输入!$B$148+1,季度投融资!$B$20,0),0)</f>
        <v>0</v>
      </c>
      <c r="BN38" s="9">
        <f>IF(62&lt;=核心参数输入!$B$9*4,IF(62=核心参数输入!$B$16*4+核心参数输入!$B$148+1,季度投融资!$B$20,0),0)</f>
        <v>0</v>
      </c>
      <c r="BO38" s="9">
        <f>IF(63&lt;=核心参数输入!$B$9*4,IF(63=核心参数输入!$B$16*4+核心参数输入!$B$148+1,季度投融资!$B$20,0),0)</f>
        <v>0</v>
      </c>
      <c r="BP38" s="9">
        <f>IF(64&lt;=核心参数输入!$B$9*4,IF(64=核心参数输入!$B$16*4+核心参数输入!$B$148+1,季度投融资!$B$20,0),0)</f>
        <v>0</v>
      </c>
      <c r="BQ38" s="9">
        <f>IF(65&lt;=核心参数输入!$B$9*4,IF(65=核心参数输入!$B$16*4+核心参数输入!$B$148+1,季度投融资!$B$20,0),0)</f>
        <v>0</v>
      </c>
      <c r="BR38" s="9">
        <f>IF(66&lt;=核心参数输入!$B$9*4,IF(66=核心参数输入!$B$16*4+核心参数输入!$B$148+1,季度投融资!$B$20,0),0)</f>
        <v>0</v>
      </c>
      <c r="BS38" s="9">
        <f>IF(67&lt;=核心参数输入!$B$9*4,IF(67=核心参数输入!$B$16*4+核心参数输入!$B$148+1,季度投融资!$B$20,0),0)</f>
        <v>0</v>
      </c>
      <c r="BT38" s="9">
        <f>IF(68&lt;=核心参数输入!$B$9*4,IF(68=核心参数输入!$B$16*4+核心参数输入!$B$148+1,季度投融资!$B$20,0),0)</f>
        <v>0</v>
      </c>
      <c r="BU38" s="9">
        <f>IF(69&lt;=核心参数输入!$B$9*4,IF(69=核心参数输入!$B$16*4+核心参数输入!$B$148+1,季度投融资!$B$20,0),0)</f>
        <v>0</v>
      </c>
      <c r="BV38" s="9">
        <f>IF(70&lt;=核心参数输入!$B$9*4,IF(70=核心参数输入!$B$16*4+核心参数输入!$B$148+1,季度投融资!$B$20,0),0)</f>
        <v>0</v>
      </c>
      <c r="BW38" s="9">
        <f>IF(71&lt;=核心参数输入!$B$9*4,IF(71=核心参数输入!$B$16*4+核心参数输入!$B$148+1,季度投融资!$B$20,0),0)</f>
        <v>0</v>
      </c>
      <c r="BX38" s="9">
        <f>IF(72&lt;=核心参数输入!$B$9*4,IF(72=核心参数输入!$B$16*4+核心参数输入!$B$148+1,季度投融资!$B$20,0),0)</f>
        <v>0</v>
      </c>
      <c r="BY38" s="9">
        <f>IF(73&lt;=核心参数输入!$B$9*4,IF(73=核心参数输入!$B$16*4+核心参数输入!$B$148+1,季度投融资!$B$20,0),0)</f>
        <v>0</v>
      </c>
      <c r="BZ38" s="9">
        <f>IF(74&lt;=核心参数输入!$B$9*4,IF(74=核心参数输入!$B$16*4+核心参数输入!$B$148+1,季度投融资!$B$20,0),0)</f>
        <v>0</v>
      </c>
      <c r="CA38" s="9">
        <f>IF(75&lt;=核心参数输入!$B$9*4,IF(75=核心参数输入!$B$16*4+核心参数输入!$B$148+1,季度投融资!$B$20,0),0)</f>
        <v>0</v>
      </c>
      <c r="CB38" s="9">
        <f>IF(76&lt;=核心参数输入!$B$9*4,IF(76=核心参数输入!$B$16*4+核心参数输入!$B$148+1,季度投融资!$B$20,0),0)</f>
        <v>0</v>
      </c>
      <c r="CC38" s="9">
        <f>IF(77&lt;=核心参数输入!$B$9*4,IF(77=核心参数输入!$B$16*4+核心参数输入!$B$148+1,季度投融资!$B$20,0),0)</f>
        <v>0</v>
      </c>
      <c r="CD38" s="9">
        <f>IF(78&lt;=核心参数输入!$B$9*4,IF(78=核心参数输入!$B$16*4+核心参数输入!$B$148+1,季度投融资!$B$20,0),0)</f>
        <v>0</v>
      </c>
      <c r="CE38" s="9">
        <f>IF(79&lt;=核心参数输入!$B$9*4,IF(79=核心参数输入!$B$16*4+核心参数输入!$B$148+1,季度投融资!$B$20,0),0)</f>
        <v>0</v>
      </c>
      <c r="CF38" s="9">
        <f>IF(80&lt;=核心参数输入!$B$9*4,IF(80=核心参数输入!$B$16*4+核心参数输入!$B$148+1,季度投融资!$B$20,0),0)</f>
        <v>0</v>
      </c>
      <c r="CG38" s="9">
        <f>IF(81&lt;=核心参数输入!$B$9*4,IF(81=核心参数输入!$B$16*4+核心参数输入!$B$148+1,季度投融资!$B$20,0),0)</f>
        <v>0</v>
      </c>
      <c r="CH38" s="9">
        <f>IF(82&lt;=核心参数输入!$B$9*4,IF(82=核心参数输入!$B$16*4+核心参数输入!$B$148+1,季度投融资!$B$20,0),0)</f>
        <v>0</v>
      </c>
      <c r="CI38" s="9">
        <f>IF(83&lt;=核心参数输入!$B$9*4,IF(83=核心参数输入!$B$16*4+核心参数输入!$B$148+1,季度投融资!$B$20,0),0)</f>
        <v>0</v>
      </c>
      <c r="CJ38" s="9">
        <f>IF(84&lt;=核心参数输入!$B$9*4,IF(84=核心参数输入!$B$16*4+核心参数输入!$B$148+1,季度投融资!$B$20,0),0)</f>
        <v>0</v>
      </c>
      <c r="CK38" s="9">
        <f>IF(85&lt;=核心参数输入!$B$9*4,IF(85=核心参数输入!$B$16*4+核心参数输入!$B$148+1,季度投融资!$B$20,0),0)</f>
        <v>0</v>
      </c>
      <c r="CL38" s="9">
        <f>IF(86&lt;=核心参数输入!$B$9*4,IF(86=核心参数输入!$B$16*4+核心参数输入!$B$148+1,季度投融资!$B$20,0),0)</f>
        <v>0</v>
      </c>
      <c r="CM38" s="9">
        <f>IF(87&lt;=核心参数输入!$B$9*4,IF(87=核心参数输入!$B$16*4+核心参数输入!$B$148+1,季度投融资!$B$20,0),0)</f>
        <v>0</v>
      </c>
      <c r="CN38" s="9">
        <f>IF(88&lt;=核心参数输入!$B$9*4,IF(88=核心参数输入!$B$16*4+核心参数输入!$B$148+1,季度投融资!$B$20,0),0)</f>
        <v>0</v>
      </c>
      <c r="CO38" s="9">
        <f>IF(89&lt;=核心参数输入!$B$9*4,IF(89=核心参数输入!$B$16*4+核心参数输入!$B$148+1,季度投融资!$B$20,0),0)</f>
        <v>0</v>
      </c>
      <c r="CP38" s="9">
        <f>IF(90&lt;=核心参数输入!$B$9*4,IF(90=核心参数输入!$B$16*4+核心参数输入!$B$148+1,季度投融资!$B$20,0),0)</f>
        <v>0</v>
      </c>
      <c r="CQ38" s="9">
        <f>IF(91&lt;=核心参数输入!$B$9*4,IF(91=核心参数输入!$B$16*4+核心参数输入!$B$148+1,季度投融资!$B$20,0),0)</f>
        <v>0</v>
      </c>
      <c r="CR38" s="9">
        <f>IF(92&lt;=核心参数输入!$B$9*4,IF(92=核心参数输入!$B$16*4+核心参数输入!$B$148+1,季度投融资!$B$20,0),0)</f>
        <v>0</v>
      </c>
      <c r="CS38" s="9">
        <f>IF(93&lt;=核心参数输入!$B$9*4,IF(93=核心参数输入!$B$16*4+核心参数输入!$B$148+1,季度投融资!$B$20,0),0)</f>
        <v>0</v>
      </c>
      <c r="CT38" s="9">
        <f>IF(94&lt;=核心参数输入!$B$9*4,IF(94=核心参数输入!$B$16*4+核心参数输入!$B$148+1,季度投融资!$B$20,0),0)</f>
        <v>0</v>
      </c>
      <c r="CU38" s="9">
        <f>IF(95&lt;=核心参数输入!$B$9*4,IF(95=核心参数输入!$B$16*4+核心参数输入!$B$148+1,季度投融资!$B$20,0),0)</f>
        <v>0</v>
      </c>
      <c r="CV38" s="9">
        <f>IF(96&lt;=核心参数输入!$B$9*4,IF(96=核心参数输入!$B$16*4+核心参数输入!$B$148+1,季度投融资!$B$20,0),0)</f>
        <v>0</v>
      </c>
      <c r="CW38" s="9">
        <f>IF(97&lt;=核心参数输入!$B$9*4,IF(97=核心参数输入!$B$16*4+核心参数输入!$B$148+1,季度投融资!$B$20,0),0)</f>
        <v>0</v>
      </c>
      <c r="CX38" s="9">
        <f>IF(98&lt;=核心参数输入!$B$9*4,IF(98=核心参数输入!$B$16*4+核心参数输入!$B$148+1,季度投融资!$B$20,0),0)</f>
        <v>0</v>
      </c>
      <c r="CY38" s="9">
        <f>IF(99&lt;=核心参数输入!$B$9*4,IF(99=核心参数输入!$B$16*4+核心参数输入!$B$148+1,季度投融资!$B$20,0),0)</f>
        <v>0</v>
      </c>
      <c r="CZ38" s="9">
        <f>IF(100&lt;=核心参数输入!$B$9*4,IF(100=核心参数输入!$B$16*4+核心参数输入!$B$148+1,季度投融资!$B$20,0),0)</f>
        <v>0</v>
      </c>
      <c r="DA38" s="9">
        <f>IF(101&lt;=核心参数输入!$B$9*4,IF(101=核心参数输入!$B$16*4+核心参数输入!$B$148+1,季度投融资!$B$20,0),0)</f>
        <v>0</v>
      </c>
      <c r="DB38" s="9">
        <f>IF(102&lt;=核心参数输入!$B$9*4,IF(102=核心参数输入!$B$16*4+核心参数输入!$B$148+1,季度投融资!$B$20,0),0)</f>
        <v>0</v>
      </c>
      <c r="DC38" s="9">
        <f>IF(103&lt;=核心参数输入!$B$9*4,IF(103=核心参数输入!$B$16*4+核心参数输入!$B$148+1,季度投融资!$B$20,0),0)</f>
        <v>0</v>
      </c>
      <c r="DD38" s="9">
        <f>IF(104&lt;=核心参数输入!$B$9*4,IF(104=核心参数输入!$B$16*4+核心参数输入!$B$148+1,季度投融资!$B$20,0),0)</f>
        <v>0</v>
      </c>
      <c r="DE38" s="9">
        <f>IF(105&lt;=核心参数输入!$B$9*4,IF(105=核心参数输入!$B$16*4+核心参数输入!$B$148+1,季度投融资!$B$20,0),0)</f>
        <v>0</v>
      </c>
      <c r="DF38" s="9">
        <f>IF(106&lt;=核心参数输入!$B$9*4,IF(106=核心参数输入!$B$16*4+核心参数输入!$B$148+1,季度投融资!$B$20,0),0)</f>
        <v>0</v>
      </c>
      <c r="DG38" s="9">
        <f>IF(107&lt;=核心参数输入!$B$9*4,IF(107=核心参数输入!$B$16*4+核心参数输入!$B$148+1,季度投融资!$B$20,0),0)</f>
        <v>0</v>
      </c>
      <c r="DH38" s="9">
        <f>IF(108&lt;=核心参数输入!$B$9*4,IF(108=核心参数输入!$B$16*4+核心参数输入!$B$148+1,季度投融资!$B$20,0),0)</f>
        <v>0</v>
      </c>
      <c r="DI38" s="9">
        <f>IF(109&lt;=核心参数输入!$B$9*4,IF(109=核心参数输入!$B$16*4+核心参数输入!$B$148+1,季度投融资!$B$20,0),0)</f>
        <v>0</v>
      </c>
      <c r="DJ38" s="9">
        <f>IF(110&lt;=核心参数输入!$B$9*4,IF(110=核心参数输入!$B$16*4+核心参数输入!$B$148+1,季度投融资!$B$20,0),0)</f>
        <v>0</v>
      </c>
      <c r="DK38" s="9">
        <f>IF(111&lt;=核心参数输入!$B$9*4,IF(111=核心参数输入!$B$16*4+核心参数输入!$B$148+1,季度投融资!$B$20,0),0)</f>
        <v>0</v>
      </c>
      <c r="DL38" s="9">
        <f>IF(112&lt;=核心参数输入!$B$9*4,IF(112=核心参数输入!$B$16*4+核心参数输入!$B$148+1,季度投融资!$B$20,0),0)</f>
        <v>0</v>
      </c>
      <c r="DM38" s="9">
        <f>IF(113&lt;=核心参数输入!$B$9*4,IF(113=核心参数输入!$B$16*4+核心参数输入!$B$148+1,季度投融资!$B$20,0),0)</f>
        <v>0</v>
      </c>
      <c r="DN38" s="9">
        <f>IF(114&lt;=核心参数输入!$B$9*4,IF(114=核心参数输入!$B$16*4+核心参数输入!$B$148+1,季度投融资!$B$20,0),0)</f>
        <v>0</v>
      </c>
      <c r="DO38" s="9">
        <f>IF(115&lt;=核心参数输入!$B$9*4,IF(115=核心参数输入!$B$16*4+核心参数输入!$B$148+1,季度投融资!$B$20,0),0)</f>
        <v>0</v>
      </c>
      <c r="DP38" s="9">
        <f>IF(116&lt;=核心参数输入!$B$9*4,IF(116=核心参数输入!$B$16*4+核心参数输入!$B$148+1,季度投融资!$B$20,0),0)</f>
        <v>0</v>
      </c>
      <c r="DQ38" s="9">
        <f>IF(117&lt;=核心参数输入!$B$9*4,IF(117=核心参数输入!$B$16*4+核心参数输入!$B$148+1,季度投融资!$B$20,0),0)</f>
        <v>0</v>
      </c>
      <c r="DR38" s="9">
        <f>IF(118&lt;=核心参数输入!$B$9*4,IF(118=核心参数输入!$B$16*4+核心参数输入!$B$148+1,季度投融资!$B$20,0),0)</f>
        <v>0</v>
      </c>
      <c r="DS38" s="9">
        <f>IF(119&lt;=核心参数输入!$B$9*4,IF(119=核心参数输入!$B$16*4+核心参数输入!$B$148+1,季度投融资!$B$20,0),0)</f>
        <v>0</v>
      </c>
      <c r="DT38" s="9">
        <f>IF(120&lt;=核心参数输入!$B$9*4,IF(120=核心参数输入!$B$16*4+核心参数输入!$B$148+1,季度投融资!$B$20,0),0)</f>
        <v>0</v>
      </c>
    </row>
    <row r="39" spans="1:124" ht="21" customHeight="1">
      <c r="A39" s="8" t="s">
        <v>430</v>
      </c>
      <c r="B39" s="8" t="s">
        <v>39</v>
      </c>
      <c r="C39" s="8"/>
      <c r="D39" s="9">
        <f>IF(0&lt;=核心参数输入!$B$9*4,核心参数输入!$B$57*季度计划!D13,0)</f>
        <v>0</v>
      </c>
      <c r="E39" s="9">
        <f>IF(1&lt;=核心参数输入!$B$9*4,核心参数输入!$B$57*季度计划!E13,0)</f>
        <v>2250</v>
      </c>
      <c r="F39" s="9">
        <f>IF(2&lt;=核心参数输入!$B$9*4,核心参数输入!$B$57*季度计划!F13,0)</f>
        <v>2250</v>
      </c>
      <c r="G39" s="9">
        <f>IF(3&lt;=核心参数输入!$B$9*4,核心参数输入!$B$57*季度计划!G13,0)</f>
        <v>2250</v>
      </c>
      <c r="H39" s="9">
        <f>IF(4&lt;=核心参数输入!$B$9*4,核心参数输入!$B$57*季度计划!H13,0)</f>
        <v>2250</v>
      </c>
      <c r="I39" s="9">
        <f>IF(5&lt;=核心参数输入!$B$9*4,核心参数输入!$B$57*季度计划!I13,0)</f>
        <v>3000</v>
      </c>
      <c r="J39" s="9">
        <f>IF(6&lt;=核心参数输入!$B$9*4,核心参数输入!$B$57*季度计划!J13,0)</f>
        <v>3000</v>
      </c>
      <c r="K39" s="9">
        <f>IF(7&lt;=核心参数输入!$B$9*4,核心参数输入!$B$57*季度计划!K13,0)</f>
        <v>3000</v>
      </c>
      <c r="L39" s="9">
        <f>IF(8&lt;=核心参数输入!$B$9*4,核心参数输入!$B$57*季度计划!L13,0)</f>
        <v>3000</v>
      </c>
      <c r="M39" s="9">
        <f>IF(9&lt;=核心参数输入!$B$9*4,核心参数输入!$B$57*季度计划!M13,0)</f>
        <v>2250</v>
      </c>
      <c r="N39" s="9">
        <f>IF(10&lt;=核心参数输入!$B$9*4,核心参数输入!$B$57*季度计划!N13,0)</f>
        <v>2250</v>
      </c>
      <c r="O39" s="9">
        <f>IF(11&lt;=核心参数输入!$B$9*4,核心参数输入!$B$57*季度计划!O13,0)</f>
        <v>2250</v>
      </c>
      <c r="P39" s="9">
        <f>IF(12&lt;=核心参数输入!$B$9*4,核心参数输入!$B$57*季度计划!P13,0)</f>
        <v>2250</v>
      </c>
      <c r="Q39" s="9">
        <f>IF(13&lt;=核心参数输入!$B$9*4,核心参数输入!$B$57*季度计划!Q13,0)</f>
        <v>0</v>
      </c>
      <c r="R39" s="9">
        <f>IF(14&lt;=核心参数输入!$B$9*4,核心参数输入!$B$57*季度计划!R13,0)</f>
        <v>0</v>
      </c>
      <c r="S39" s="9">
        <f>IF(15&lt;=核心参数输入!$B$9*4,核心参数输入!$B$57*季度计划!S13,0)</f>
        <v>0</v>
      </c>
      <c r="T39" s="9">
        <f>IF(16&lt;=核心参数输入!$B$9*4,核心参数输入!$B$57*季度计划!T13,0)</f>
        <v>0</v>
      </c>
      <c r="U39" s="9">
        <f>IF(17&lt;=核心参数输入!$B$9*4,核心参数输入!$B$57*季度计划!U13,0)</f>
        <v>0</v>
      </c>
      <c r="V39" s="9">
        <f>IF(18&lt;=核心参数输入!$B$9*4,核心参数输入!$B$57*季度计划!V13,0)</f>
        <v>0</v>
      </c>
      <c r="W39" s="9">
        <f>IF(19&lt;=核心参数输入!$B$9*4,核心参数输入!$B$57*季度计划!W13,0)</f>
        <v>0</v>
      </c>
      <c r="X39" s="9">
        <f>IF(20&lt;=核心参数输入!$B$9*4,核心参数输入!$B$57*季度计划!X13,0)</f>
        <v>0</v>
      </c>
      <c r="Y39" s="9">
        <f>IF(21&lt;=核心参数输入!$B$9*4,核心参数输入!$B$57*季度计划!Y13,0)</f>
        <v>0</v>
      </c>
      <c r="Z39" s="9">
        <f>IF(22&lt;=核心参数输入!$B$9*4,核心参数输入!$B$57*季度计划!Z13,0)</f>
        <v>0</v>
      </c>
      <c r="AA39" s="9">
        <f>IF(23&lt;=核心参数输入!$B$9*4,核心参数输入!$B$57*季度计划!AA13,0)</f>
        <v>0</v>
      </c>
      <c r="AB39" s="9">
        <f>IF(24&lt;=核心参数输入!$B$9*4,核心参数输入!$B$57*季度计划!AB13,0)</f>
        <v>0</v>
      </c>
      <c r="AC39" s="9">
        <f>IF(25&lt;=核心参数输入!$B$9*4,核心参数输入!$B$57*季度计划!AC13,0)</f>
        <v>0</v>
      </c>
      <c r="AD39" s="9">
        <f>IF(26&lt;=核心参数输入!$B$9*4,核心参数输入!$B$57*季度计划!AD13,0)</f>
        <v>0</v>
      </c>
      <c r="AE39" s="9">
        <f>IF(27&lt;=核心参数输入!$B$9*4,核心参数输入!$B$57*季度计划!AE13,0)</f>
        <v>0</v>
      </c>
      <c r="AF39" s="9">
        <f>IF(28&lt;=核心参数输入!$B$9*4,核心参数输入!$B$57*季度计划!AF13,0)</f>
        <v>0</v>
      </c>
      <c r="AG39" s="9">
        <f>IF(29&lt;=核心参数输入!$B$9*4,核心参数输入!$B$57*季度计划!AG13,0)</f>
        <v>0</v>
      </c>
      <c r="AH39" s="9">
        <f>IF(30&lt;=核心参数输入!$B$9*4,核心参数输入!$B$57*季度计划!AH13,0)</f>
        <v>0</v>
      </c>
      <c r="AI39" s="9">
        <f>IF(31&lt;=核心参数输入!$B$9*4,核心参数输入!$B$57*季度计划!AI13,0)</f>
        <v>0</v>
      </c>
      <c r="AJ39" s="9">
        <f>IF(32&lt;=核心参数输入!$B$9*4,核心参数输入!$B$57*季度计划!AJ13,0)</f>
        <v>0</v>
      </c>
      <c r="AK39" s="9">
        <f>IF(33&lt;=核心参数输入!$B$9*4,核心参数输入!$B$57*季度计划!AK13,0)</f>
        <v>0</v>
      </c>
      <c r="AL39" s="9">
        <f>IF(34&lt;=核心参数输入!$B$9*4,核心参数输入!$B$57*季度计划!AL13,0)</f>
        <v>0</v>
      </c>
      <c r="AM39" s="9">
        <f>IF(35&lt;=核心参数输入!$B$9*4,核心参数输入!$B$57*季度计划!AM13,0)</f>
        <v>0</v>
      </c>
      <c r="AN39" s="9">
        <f>IF(36&lt;=核心参数输入!$B$9*4,核心参数输入!$B$57*季度计划!AN13,0)</f>
        <v>0</v>
      </c>
      <c r="AO39" s="9">
        <f>IF(37&lt;=核心参数输入!$B$9*4,核心参数输入!$B$57*季度计划!AO13,0)</f>
        <v>0</v>
      </c>
      <c r="AP39" s="9">
        <f>IF(38&lt;=核心参数输入!$B$9*4,核心参数输入!$B$57*季度计划!AP13,0)</f>
        <v>0</v>
      </c>
      <c r="AQ39" s="9">
        <f>IF(39&lt;=核心参数输入!$B$9*4,核心参数输入!$B$57*季度计划!AQ13,0)</f>
        <v>0</v>
      </c>
      <c r="AR39" s="9">
        <f>IF(40&lt;=核心参数输入!$B$9*4,核心参数输入!$B$57*季度计划!AR13,0)</f>
        <v>0</v>
      </c>
      <c r="AS39" s="9">
        <f>IF(41&lt;=核心参数输入!$B$9*4,核心参数输入!$B$57*季度计划!AS13,0)</f>
        <v>0</v>
      </c>
      <c r="AT39" s="9">
        <f>IF(42&lt;=核心参数输入!$B$9*4,核心参数输入!$B$57*季度计划!AT13,0)</f>
        <v>0</v>
      </c>
      <c r="AU39" s="9">
        <f>IF(43&lt;=核心参数输入!$B$9*4,核心参数输入!$B$57*季度计划!AU13,0)</f>
        <v>0</v>
      </c>
      <c r="AV39" s="9">
        <f>IF(44&lt;=核心参数输入!$B$9*4,核心参数输入!$B$57*季度计划!AV13,0)</f>
        <v>0</v>
      </c>
      <c r="AW39" s="9">
        <f>IF(45&lt;=核心参数输入!$B$9*4,核心参数输入!$B$57*季度计划!AW13,0)</f>
        <v>0</v>
      </c>
      <c r="AX39" s="9">
        <f>IF(46&lt;=核心参数输入!$B$9*4,核心参数输入!$B$57*季度计划!AX13,0)</f>
        <v>0</v>
      </c>
      <c r="AY39" s="9">
        <f>IF(47&lt;=核心参数输入!$B$9*4,核心参数输入!$B$57*季度计划!AY13,0)</f>
        <v>0</v>
      </c>
      <c r="AZ39" s="9">
        <f>IF(48&lt;=核心参数输入!$B$9*4,核心参数输入!$B$57*季度计划!AZ13,0)</f>
        <v>0</v>
      </c>
      <c r="BA39" s="9">
        <f>IF(49&lt;=核心参数输入!$B$9*4,核心参数输入!$B$57*季度计划!BA13,0)</f>
        <v>0</v>
      </c>
      <c r="BB39" s="9">
        <f>IF(50&lt;=核心参数输入!$B$9*4,核心参数输入!$B$57*季度计划!BB13,0)</f>
        <v>0</v>
      </c>
      <c r="BC39" s="9">
        <f>IF(51&lt;=核心参数输入!$B$9*4,核心参数输入!$B$57*季度计划!BC13,0)</f>
        <v>0</v>
      </c>
      <c r="BD39" s="9">
        <f>IF(52&lt;=核心参数输入!$B$9*4,核心参数输入!$B$57*季度计划!BD13,0)</f>
        <v>0</v>
      </c>
      <c r="BE39" s="9">
        <f>IF(53&lt;=核心参数输入!$B$9*4,核心参数输入!$B$57*季度计划!BE13,0)</f>
        <v>0</v>
      </c>
      <c r="BF39" s="9">
        <f>IF(54&lt;=核心参数输入!$B$9*4,核心参数输入!$B$57*季度计划!BF13,0)</f>
        <v>0</v>
      </c>
      <c r="BG39" s="9">
        <f>IF(55&lt;=核心参数输入!$B$9*4,核心参数输入!$B$57*季度计划!BG13,0)</f>
        <v>0</v>
      </c>
      <c r="BH39" s="9">
        <f>IF(56&lt;=核心参数输入!$B$9*4,核心参数输入!$B$57*季度计划!BH13,0)</f>
        <v>0</v>
      </c>
      <c r="BI39" s="9">
        <f>IF(57&lt;=核心参数输入!$B$9*4,核心参数输入!$B$57*季度计划!BI13,0)</f>
        <v>0</v>
      </c>
      <c r="BJ39" s="9">
        <f>IF(58&lt;=核心参数输入!$B$9*4,核心参数输入!$B$57*季度计划!BJ13,0)</f>
        <v>0</v>
      </c>
      <c r="BK39" s="9">
        <f>IF(59&lt;=核心参数输入!$B$9*4,核心参数输入!$B$57*季度计划!BK13,0)</f>
        <v>0</v>
      </c>
      <c r="BL39" s="9">
        <f>IF(60&lt;=核心参数输入!$B$9*4,核心参数输入!$B$57*季度计划!BL13,0)</f>
        <v>0</v>
      </c>
      <c r="BM39" s="9">
        <f>IF(61&lt;=核心参数输入!$B$9*4,核心参数输入!$B$57*季度计划!BM13,0)</f>
        <v>0</v>
      </c>
      <c r="BN39" s="9">
        <f>IF(62&lt;=核心参数输入!$B$9*4,核心参数输入!$B$57*季度计划!BN13,0)</f>
        <v>0</v>
      </c>
      <c r="BO39" s="9">
        <f>IF(63&lt;=核心参数输入!$B$9*4,核心参数输入!$B$57*季度计划!BO13,0)</f>
        <v>0</v>
      </c>
      <c r="BP39" s="9">
        <f>IF(64&lt;=核心参数输入!$B$9*4,核心参数输入!$B$57*季度计划!BP13,0)</f>
        <v>0</v>
      </c>
      <c r="BQ39" s="9">
        <f>IF(65&lt;=核心参数输入!$B$9*4,核心参数输入!$B$57*季度计划!BQ13,0)</f>
        <v>0</v>
      </c>
      <c r="BR39" s="9">
        <f>IF(66&lt;=核心参数输入!$B$9*4,核心参数输入!$B$57*季度计划!BR13,0)</f>
        <v>0</v>
      </c>
      <c r="BS39" s="9">
        <f>IF(67&lt;=核心参数输入!$B$9*4,核心参数输入!$B$57*季度计划!BS13,0)</f>
        <v>0</v>
      </c>
      <c r="BT39" s="9">
        <f>IF(68&lt;=核心参数输入!$B$9*4,核心参数输入!$B$57*季度计划!BT13,0)</f>
        <v>0</v>
      </c>
      <c r="BU39" s="9">
        <f>IF(69&lt;=核心参数输入!$B$9*4,核心参数输入!$B$57*季度计划!BU13,0)</f>
        <v>0</v>
      </c>
      <c r="BV39" s="9">
        <f>IF(70&lt;=核心参数输入!$B$9*4,核心参数输入!$B$57*季度计划!BV13,0)</f>
        <v>0</v>
      </c>
      <c r="BW39" s="9">
        <f>IF(71&lt;=核心参数输入!$B$9*4,核心参数输入!$B$57*季度计划!BW13,0)</f>
        <v>0</v>
      </c>
      <c r="BX39" s="9">
        <f>IF(72&lt;=核心参数输入!$B$9*4,核心参数输入!$B$57*季度计划!BX13,0)</f>
        <v>0</v>
      </c>
      <c r="BY39" s="9">
        <f>IF(73&lt;=核心参数输入!$B$9*4,核心参数输入!$B$57*季度计划!BY13,0)</f>
        <v>0</v>
      </c>
      <c r="BZ39" s="9">
        <f>IF(74&lt;=核心参数输入!$B$9*4,核心参数输入!$B$57*季度计划!BZ13,0)</f>
        <v>0</v>
      </c>
      <c r="CA39" s="9">
        <f>IF(75&lt;=核心参数输入!$B$9*4,核心参数输入!$B$57*季度计划!CA13,0)</f>
        <v>0</v>
      </c>
      <c r="CB39" s="9">
        <f>IF(76&lt;=核心参数输入!$B$9*4,核心参数输入!$B$57*季度计划!CB13,0)</f>
        <v>0</v>
      </c>
      <c r="CC39" s="9">
        <f>IF(77&lt;=核心参数输入!$B$9*4,核心参数输入!$B$57*季度计划!CC13,0)</f>
        <v>0</v>
      </c>
      <c r="CD39" s="9">
        <f>IF(78&lt;=核心参数输入!$B$9*4,核心参数输入!$B$57*季度计划!CD13,0)</f>
        <v>0</v>
      </c>
      <c r="CE39" s="9">
        <f>IF(79&lt;=核心参数输入!$B$9*4,核心参数输入!$B$57*季度计划!CE13,0)</f>
        <v>0</v>
      </c>
      <c r="CF39" s="9">
        <f>IF(80&lt;=核心参数输入!$B$9*4,核心参数输入!$B$57*季度计划!CF13,0)</f>
        <v>0</v>
      </c>
      <c r="CG39" s="9">
        <f>IF(81&lt;=核心参数输入!$B$9*4,核心参数输入!$B$57*季度计划!CG13,0)</f>
        <v>0</v>
      </c>
      <c r="CH39" s="9">
        <f>IF(82&lt;=核心参数输入!$B$9*4,核心参数输入!$B$57*季度计划!CH13,0)</f>
        <v>0</v>
      </c>
      <c r="CI39" s="9">
        <f>IF(83&lt;=核心参数输入!$B$9*4,核心参数输入!$B$57*季度计划!CI13,0)</f>
        <v>0</v>
      </c>
      <c r="CJ39" s="9">
        <f>IF(84&lt;=核心参数输入!$B$9*4,核心参数输入!$B$57*季度计划!CJ13,0)</f>
        <v>0</v>
      </c>
      <c r="CK39" s="9">
        <f>IF(85&lt;=核心参数输入!$B$9*4,核心参数输入!$B$57*季度计划!CK13,0)</f>
        <v>0</v>
      </c>
      <c r="CL39" s="9">
        <f>IF(86&lt;=核心参数输入!$B$9*4,核心参数输入!$B$57*季度计划!CL13,0)</f>
        <v>0</v>
      </c>
      <c r="CM39" s="9">
        <f>IF(87&lt;=核心参数输入!$B$9*4,核心参数输入!$B$57*季度计划!CM13,0)</f>
        <v>0</v>
      </c>
      <c r="CN39" s="9">
        <f>IF(88&lt;=核心参数输入!$B$9*4,核心参数输入!$B$57*季度计划!CN13,0)</f>
        <v>0</v>
      </c>
      <c r="CO39" s="9">
        <f>IF(89&lt;=核心参数输入!$B$9*4,核心参数输入!$B$57*季度计划!CO13,0)</f>
        <v>0</v>
      </c>
      <c r="CP39" s="9">
        <f>IF(90&lt;=核心参数输入!$B$9*4,核心参数输入!$B$57*季度计划!CP13,0)</f>
        <v>0</v>
      </c>
      <c r="CQ39" s="9">
        <f>IF(91&lt;=核心参数输入!$B$9*4,核心参数输入!$B$57*季度计划!CQ13,0)</f>
        <v>0</v>
      </c>
      <c r="CR39" s="9">
        <f>IF(92&lt;=核心参数输入!$B$9*4,核心参数输入!$B$57*季度计划!CR13,0)</f>
        <v>0</v>
      </c>
      <c r="CS39" s="9">
        <f>IF(93&lt;=核心参数输入!$B$9*4,核心参数输入!$B$57*季度计划!CS13,0)</f>
        <v>0</v>
      </c>
      <c r="CT39" s="9">
        <f>IF(94&lt;=核心参数输入!$B$9*4,核心参数输入!$B$57*季度计划!CT13,0)</f>
        <v>0</v>
      </c>
      <c r="CU39" s="9">
        <f>IF(95&lt;=核心参数输入!$B$9*4,核心参数输入!$B$57*季度计划!CU13,0)</f>
        <v>0</v>
      </c>
      <c r="CV39" s="9">
        <f>IF(96&lt;=核心参数输入!$B$9*4,核心参数输入!$B$57*季度计划!CV13,0)</f>
        <v>0</v>
      </c>
      <c r="CW39" s="9">
        <f>IF(97&lt;=核心参数输入!$B$9*4,核心参数输入!$B$57*季度计划!CW13,0)</f>
        <v>0</v>
      </c>
      <c r="CX39" s="9">
        <f>IF(98&lt;=核心参数输入!$B$9*4,核心参数输入!$B$57*季度计划!CX13,0)</f>
        <v>0</v>
      </c>
      <c r="CY39" s="9">
        <f>IF(99&lt;=核心参数输入!$B$9*4,核心参数输入!$B$57*季度计划!CY13,0)</f>
        <v>0</v>
      </c>
      <c r="CZ39" s="9">
        <f>IF(100&lt;=核心参数输入!$B$9*4,核心参数输入!$B$57*季度计划!CZ13,0)</f>
        <v>0</v>
      </c>
      <c r="DA39" s="9">
        <f>IF(101&lt;=核心参数输入!$B$9*4,核心参数输入!$B$57*季度计划!DA13,0)</f>
        <v>0</v>
      </c>
      <c r="DB39" s="9">
        <f>IF(102&lt;=核心参数输入!$B$9*4,核心参数输入!$B$57*季度计划!DB13,0)</f>
        <v>0</v>
      </c>
      <c r="DC39" s="9">
        <f>IF(103&lt;=核心参数输入!$B$9*4,核心参数输入!$B$57*季度计划!DC13,0)</f>
        <v>0</v>
      </c>
      <c r="DD39" s="9">
        <f>IF(104&lt;=核心参数输入!$B$9*4,核心参数输入!$B$57*季度计划!DD13,0)</f>
        <v>0</v>
      </c>
      <c r="DE39" s="9">
        <f>IF(105&lt;=核心参数输入!$B$9*4,核心参数输入!$B$57*季度计划!DE13,0)</f>
        <v>0</v>
      </c>
      <c r="DF39" s="9">
        <f>IF(106&lt;=核心参数输入!$B$9*4,核心参数输入!$B$57*季度计划!DF13,0)</f>
        <v>0</v>
      </c>
      <c r="DG39" s="9">
        <f>IF(107&lt;=核心参数输入!$B$9*4,核心参数输入!$B$57*季度计划!DG13,0)</f>
        <v>0</v>
      </c>
      <c r="DH39" s="9">
        <f>IF(108&lt;=核心参数输入!$B$9*4,核心参数输入!$B$57*季度计划!DH13,0)</f>
        <v>0</v>
      </c>
      <c r="DI39" s="9">
        <f>IF(109&lt;=核心参数输入!$B$9*4,核心参数输入!$B$57*季度计划!DI13,0)</f>
        <v>0</v>
      </c>
      <c r="DJ39" s="9">
        <f>IF(110&lt;=核心参数输入!$B$9*4,核心参数输入!$B$57*季度计划!DJ13,0)</f>
        <v>0</v>
      </c>
      <c r="DK39" s="9">
        <f>IF(111&lt;=核心参数输入!$B$9*4,核心参数输入!$B$57*季度计划!DK13,0)</f>
        <v>0</v>
      </c>
      <c r="DL39" s="9">
        <f>IF(112&lt;=核心参数输入!$B$9*4,核心参数输入!$B$57*季度计划!DL13,0)</f>
        <v>0</v>
      </c>
      <c r="DM39" s="9">
        <f>IF(113&lt;=核心参数输入!$B$9*4,核心参数输入!$B$57*季度计划!DM13,0)</f>
        <v>0</v>
      </c>
      <c r="DN39" s="9">
        <f>IF(114&lt;=核心参数输入!$B$9*4,核心参数输入!$B$57*季度计划!DN13,0)</f>
        <v>0</v>
      </c>
      <c r="DO39" s="9">
        <f>IF(115&lt;=核心参数输入!$B$9*4,核心参数输入!$B$57*季度计划!DO13,0)</f>
        <v>0</v>
      </c>
      <c r="DP39" s="9">
        <f>IF(116&lt;=核心参数输入!$B$9*4,核心参数输入!$B$57*季度计划!DP13,0)</f>
        <v>0</v>
      </c>
      <c r="DQ39" s="9">
        <f>IF(117&lt;=核心参数输入!$B$9*4,核心参数输入!$B$57*季度计划!DQ13,0)</f>
        <v>0</v>
      </c>
      <c r="DR39" s="9">
        <f>IF(118&lt;=核心参数输入!$B$9*4,核心参数输入!$B$57*季度计划!DR13,0)</f>
        <v>0</v>
      </c>
      <c r="DS39" s="9">
        <f>IF(119&lt;=核心参数输入!$B$9*4,核心参数输入!$B$57*季度计划!DS13,0)</f>
        <v>0</v>
      </c>
      <c r="DT39" s="9">
        <f>IF(120&lt;=核心参数输入!$B$9*4,核心参数输入!$B$57*季度计划!DT13,0)</f>
        <v>0</v>
      </c>
    </row>
    <row r="40" spans="1:124" ht="21" customHeight="1">
      <c r="A40" s="8" t="s">
        <v>431</v>
      </c>
      <c r="B40" s="8" t="s">
        <v>39</v>
      </c>
      <c r="C40" s="8"/>
      <c r="D40" s="9">
        <f>IF(0&lt;=核心参数输入!$B$9*4,0,0)</f>
        <v>0</v>
      </c>
      <c r="E40" s="9">
        <f>IF(1&lt;=核心参数输入!$B$9*4,季度投融资!D43,0)</f>
        <v>0</v>
      </c>
      <c r="F40" s="9">
        <f>IF(2&lt;=核心参数输入!$B$9*4,季度投融资!E43,0)</f>
        <v>2250</v>
      </c>
      <c r="G40" s="9">
        <f>IF(3&lt;=核心参数输入!$B$9*4,季度投融资!F43,0)</f>
        <v>4500</v>
      </c>
      <c r="H40" s="9">
        <f>IF(4&lt;=核心参数输入!$B$9*4,季度投融资!G43,0)</f>
        <v>6750</v>
      </c>
      <c r="I40" s="9">
        <f>IF(5&lt;=核心参数输入!$B$9*4,季度投融资!H43,0)</f>
        <v>9000</v>
      </c>
      <c r="J40" s="9">
        <f>IF(6&lt;=核心参数输入!$B$9*4,季度投融资!I43,0)</f>
        <v>12000</v>
      </c>
      <c r="K40" s="9">
        <f>IF(7&lt;=核心参数输入!$B$9*4,季度投融资!J43,0)</f>
        <v>15000</v>
      </c>
      <c r="L40" s="9">
        <f>IF(8&lt;=核心参数输入!$B$9*4,季度投融资!K43,0)</f>
        <v>18000</v>
      </c>
      <c r="M40" s="9">
        <f>IF(9&lt;=核心参数输入!$B$9*4,季度投融资!L43,0)</f>
        <v>21000</v>
      </c>
      <c r="N40" s="9">
        <f>IF(10&lt;=核心参数输入!$B$9*4,季度投融资!M43,0)</f>
        <v>23250</v>
      </c>
      <c r="O40" s="9">
        <f>IF(11&lt;=核心参数输入!$B$9*4,季度投融资!N43,0)</f>
        <v>25500</v>
      </c>
      <c r="P40" s="9">
        <f>IF(12&lt;=核心参数输入!$B$9*4,季度投融资!O43,0)</f>
        <v>27750</v>
      </c>
      <c r="Q40" s="9">
        <f>IF(13&lt;=核心参数输入!$B$9*4,季度投融资!P43,0)</f>
        <v>30000</v>
      </c>
      <c r="R40" s="9">
        <f>IF(14&lt;=核心参数输入!$B$9*4,季度投融资!Q43,0)</f>
        <v>30000</v>
      </c>
      <c r="S40" s="9">
        <f>IF(15&lt;=核心参数输入!$B$9*4,季度投融资!R43,0)</f>
        <v>30000</v>
      </c>
      <c r="T40" s="9">
        <f>IF(16&lt;=核心参数输入!$B$9*4,季度投融资!S43,0)</f>
        <v>30000</v>
      </c>
      <c r="U40" s="9">
        <f>IF(17&lt;=核心参数输入!$B$9*4,季度投融资!T43,0)</f>
        <v>25714.285714285714</v>
      </c>
      <c r="V40" s="9">
        <f>IF(18&lt;=核心参数输入!$B$9*4,季度投融资!U43,0)</f>
        <v>25714.285714285714</v>
      </c>
      <c r="W40" s="9">
        <f>IF(19&lt;=核心参数输入!$B$9*4,季度投融资!V43,0)</f>
        <v>25714.285714285714</v>
      </c>
      <c r="X40" s="9">
        <f>IF(20&lt;=核心参数输入!$B$9*4,季度投融资!W43,0)</f>
        <v>25714.285714285714</v>
      </c>
      <c r="Y40" s="9">
        <f>IF(21&lt;=核心参数输入!$B$9*4,季度投融资!X43,0)</f>
        <v>21428.571428571428</v>
      </c>
      <c r="Z40" s="9">
        <f>IF(22&lt;=核心参数输入!$B$9*4,季度投融资!Y43,0)</f>
        <v>21428.571428571428</v>
      </c>
      <c r="AA40" s="9">
        <f>IF(23&lt;=核心参数输入!$B$9*4,季度投融资!Z43,0)</f>
        <v>21428.571428571428</v>
      </c>
      <c r="AB40" s="9">
        <f>IF(24&lt;=核心参数输入!$B$9*4,季度投融资!AA43,0)</f>
        <v>21428.571428571428</v>
      </c>
      <c r="AC40" s="9">
        <f>IF(25&lt;=核心参数输入!$B$9*4,季度投融资!AB43,0)</f>
        <v>17142.857142857141</v>
      </c>
      <c r="AD40" s="9">
        <f>IF(26&lt;=核心参数输入!$B$9*4,季度投融资!AC43,0)</f>
        <v>17142.857142857141</v>
      </c>
      <c r="AE40" s="9">
        <f>IF(27&lt;=核心参数输入!$B$9*4,季度投融资!AD43,0)</f>
        <v>17142.857142857141</v>
      </c>
      <c r="AF40" s="9">
        <f>IF(28&lt;=核心参数输入!$B$9*4,季度投融资!AE43,0)</f>
        <v>17142.857142857141</v>
      </c>
      <c r="AG40" s="9">
        <f>IF(29&lt;=核心参数输入!$B$9*4,季度投融资!AF43,0)</f>
        <v>12857.142857142855</v>
      </c>
      <c r="AH40" s="9">
        <f>IF(30&lt;=核心参数输入!$B$9*4,季度投融资!AG43,0)</f>
        <v>12857.142857142855</v>
      </c>
      <c r="AI40" s="9">
        <f>IF(31&lt;=核心参数输入!$B$9*4,季度投融资!AH43,0)</f>
        <v>12857.142857142855</v>
      </c>
      <c r="AJ40" s="9">
        <f>IF(32&lt;=核心参数输入!$B$9*4,季度投融资!AI43,0)</f>
        <v>12857.142857142855</v>
      </c>
      <c r="AK40" s="9">
        <f>IF(33&lt;=核心参数输入!$B$9*4,季度投融资!AJ43,0)</f>
        <v>8571.4285714285688</v>
      </c>
      <c r="AL40" s="9">
        <f>IF(34&lt;=核心参数输入!$B$9*4,季度投融资!AK43,0)</f>
        <v>8571.4285714285688</v>
      </c>
      <c r="AM40" s="9">
        <f>IF(35&lt;=核心参数输入!$B$9*4,季度投融资!AL43,0)</f>
        <v>8571.4285714285688</v>
      </c>
      <c r="AN40" s="9">
        <f>IF(36&lt;=核心参数输入!$B$9*4,季度投融资!AM43,0)</f>
        <v>8571.4285714285688</v>
      </c>
      <c r="AO40" s="9">
        <f>IF(37&lt;=核心参数输入!$B$9*4,季度投融资!AN43,0)</f>
        <v>4285.7142857142835</v>
      </c>
      <c r="AP40" s="9">
        <f>IF(38&lt;=核心参数输入!$B$9*4,季度投融资!AO43,0)</f>
        <v>4285.7142857142835</v>
      </c>
      <c r="AQ40" s="9">
        <f>IF(39&lt;=核心参数输入!$B$9*4,季度投融资!AP43,0)</f>
        <v>4285.7142857142835</v>
      </c>
      <c r="AR40" s="9">
        <f>IF(40&lt;=核心参数输入!$B$9*4,季度投融资!AQ43,0)</f>
        <v>4285.7142857142835</v>
      </c>
      <c r="AS40" s="9">
        <f>IF(41&lt;=核心参数输入!$B$9*4,季度投融资!AR43,0)</f>
        <v>0</v>
      </c>
      <c r="AT40" s="9">
        <f>IF(42&lt;=核心参数输入!$B$9*4,季度投融资!AS43,0)</f>
        <v>0</v>
      </c>
      <c r="AU40" s="9">
        <f>IF(43&lt;=核心参数输入!$B$9*4,季度投融资!AT43,0)</f>
        <v>0</v>
      </c>
      <c r="AV40" s="9">
        <f>IF(44&lt;=核心参数输入!$B$9*4,季度投融资!AU43,0)</f>
        <v>0</v>
      </c>
      <c r="AW40" s="9">
        <f>IF(45&lt;=核心参数输入!$B$9*4,季度投融资!AV43,0)</f>
        <v>0</v>
      </c>
      <c r="AX40" s="9">
        <f>IF(46&lt;=核心参数输入!$B$9*4,季度投融资!AW43,0)</f>
        <v>0</v>
      </c>
      <c r="AY40" s="9">
        <f>IF(47&lt;=核心参数输入!$B$9*4,季度投融资!AX43,0)</f>
        <v>0</v>
      </c>
      <c r="AZ40" s="9">
        <f>IF(48&lt;=核心参数输入!$B$9*4,季度投融资!AY43,0)</f>
        <v>0</v>
      </c>
      <c r="BA40" s="9">
        <f>IF(49&lt;=核心参数输入!$B$9*4,季度投融资!AZ43,0)</f>
        <v>0</v>
      </c>
      <c r="BB40" s="9">
        <f>IF(50&lt;=核心参数输入!$B$9*4,季度投融资!BA43,0)</f>
        <v>0</v>
      </c>
      <c r="BC40" s="9">
        <f>IF(51&lt;=核心参数输入!$B$9*4,季度投融资!BB43,0)</f>
        <v>0</v>
      </c>
      <c r="BD40" s="9">
        <f>IF(52&lt;=核心参数输入!$B$9*4,季度投融资!BC43,0)</f>
        <v>0</v>
      </c>
      <c r="BE40" s="9">
        <f>IF(53&lt;=核心参数输入!$B$9*4,季度投融资!BD43,0)</f>
        <v>0</v>
      </c>
      <c r="BF40" s="9">
        <f>IF(54&lt;=核心参数输入!$B$9*4,季度投融资!BE43,0)</f>
        <v>0</v>
      </c>
      <c r="BG40" s="9">
        <f>IF(55&lt;=核心参数输入!$B$9*4,季度投融资!BF43,0)</f>
        <v>0</v>
      </c>
      <c r="BH40" s="9">
        <f>IF(56&lt;=核心参数输入!$B$9*4,季度投融资!BG43,0)</f>
        <v>0</v>
      </c>
      <c r="BI40" s="9">
        <f>IF(57&lt;=核心参数输入!$B$9*4,季度投融资!BH43,0)</f>
        <v>0</v>
      </c>
      <c r="BJ40" s="9">
        <f>IF(58&lt;=核心参数输入!$B$9*4,季度投融资!BI43,0)</f>
        <v>0</v>
      </c>
      <c r="BK40" s="9">
        <f>IF(59&lt;=核心参数输入!$B$9*4,季度投融资!BJ43,0)</f>
        <v>0</v>
      </c>
      <c r="BL40" s="9">
        <f>IF(60&lt;=核心参数输入!$B$9*4,季度投融资!BK43,0)</f>
        <v>0</v>
      </c>
      <c r="BM40" s="9">
        <f>IF(61&lt;=核心参数输入!$B$9*4,季度投融资!BL43,0)</f>
        <v>0</v>
      </c>
      <c r="BN40" s="9">
        <f>IF(62&lt;=核心参数输入!$B$9*4,季度投融资!BM43,0)</f>
        <v>0</v>
      </c>
      <c r="BO40" s="9">
        <f>IF(63&lt;=核心参数输入!$B$9*4,季度投融资!BN43,0)</f>
        <v>0</v>
      </c>
      <c r="BP40" s="9">
        <f>IF(64&lt;=核心参数输入!$B$9*4,季度投融资!BO43,0)</f>
        <v>0</v>
      </c>
      <c r="BQ40" s="9">
        <f>IF(65&lt;=核心参数输入!$B$9*4,季度投融资!BP43,0)</f>
        <v>0</v>
      </c>
      <c r="BR40" s="9">
        <f>IF(66&lt;=核心参数输入!$B$9*4,季度投融资!BQ43,0)</f>
        <v>0</v>
      </c>
      <c r="BS40" s="9">
        <f>IF(67&lt;=核心参数输入!$B$9*4,季度投融资!BR43,0)</f>
        <v>0</v>
      </c>
      <c r="BT40" s="9">
        <f>IF(68&lt;=核心参数输入!$B$9*4,季度投融资!BS43,0)</f>
        <v>0</v>
      </c>
      <c r="BU40" s="9">
        <f>IF(69&lt;=核心参数输入!$B$9*4,季度投融资!BT43,0)</f>
        <v>0</v>
      </c>
      <c r="BV40" s="9">
        <f>IF(70&lt;=核心参数输入!$B$9*4,季度投融资!BU43,0)</f>
        <v>0</v>
      </c>
      <c r="BW40" s="9">
        <f>IF(71&lt;=核心参数输入!$B$9*4,季度投融资!BV43,0)</f>
        <v>0</v>
      </c>
      <c r="BX40" s="9">
        <f>IF(72&lt;=核心参数输入!$B$9*4,季度投融资!BW43,0)</f>
        <v>0</v>
      </c>
      <c r="BY40" s="9">
        <f>IF(73&lt;=核心参数输入!$B$9*4,季度投融资!BX43,0)</f>
        <v>0</v>
      </c>
      <c r="BZ40" s="9">
        <f>IF(74&lt;=核心参数输入!$B$9*4,季度投融资!BY43,0)</f>
        <v>0</v>
      </c>
      <c r="CA40" s="9">
        <f>IF(75&lt;=核心参数输入!$B$9*4,季度投融资!BZ43,0)</f>
        <v>0</v>
      </c>
      <c r="CB40" s="9">
        <f>IF(76&lt;=核心参数输入!$B$9*4,季度投融资!CA43,0)</f>
        <v>0</v>
      </c>
      <c r="CC40" s="9">
        <f>IF(77&lt;=核心参数输入!$B$9*4,季度投融资!CB43,0)</f>
        <v>0</v>
      </c>
      <c r="CD40" s="9">
        <f>IF(78&lt;=核心参数输入!$B$9*4,季度投融资!CC43,0)</f>
        <v>0</v>
      </c>
      <c r="CE40" s="9">
        <f>IF(79&lt;=核心参数输入!$B$9*4,季度投融资!CD43,0)</f>
        <v>0</v>
      </c>
      <c r="CF40" s="9">
        <f>IF(80&lt;=核心参数输入!$B$9*4,季度投融资!CE43,0)</f>
        <v>0</v>
      </c>
      <c r="CG40" s="9">
        <f>IF(81&lt;=核心参数输入!$B$9*4,季度投融资!CF43,0)</f>
        <v>0</v>
      </c>
      <c r="CH40" s="9">
        <f>IF(82&lt;=核心参数输入!$B$9*4,季度投融资!CG43,0)</f>
        <v>0</v>
      </c>
      <c r="CI40" s="9">
        <f>IF(83&lt;=核心参数输入!$B$9*4,季度投融资!CH43,0)</f>
        <v>0</v>
      </c>
      <c r="CJ40" s="9">
        <f>IF(84&lt;=核心参数输入!$B$9*4,季度投融资!CI43,0)</f>
        <v>0</v>
      </c>
      <c r="CK40" s="9">
        <f>IF(85&lt;=核心参数输入!$B$9*4,季度投融资!CJ43,0)</f>
        <v>0</v>
      </c>
      <c r="CL40" s="9">
        <f>IF(86&lt;=核心参数输入!$B$9*4,季度投融资!CK43,0)</f>
        <v>0</v>
      </c>
      <c r="CM40" s="9">
        <f>IF(87&lt;=核心参数输入!$B$9*4,季度投融资!CL43,0)</f>
        <v>0</v>
      </c>
      <c r="CN40" s="9">
        <f>IF(88&lt;=核心参数输入!$B$9*4,季度投融资!CM43,0)</f>
        <v>0</v>
      </c>
      <c r="CO40" s="9">
        <f>IF(89&lt;=核心参数输入!$B$9*4,季度投融资!CN43,0)</f>
        <v>0</v>
      </c>
      <c r="CP40" s="9">
        <f>IF(90&lt;=核心参数输入!$B$9*4,季度投融资!CO43,0)</f>
        <v>0</v>
      </c>
      <c r="CQ40" s="9">
        <f>IF(91&lt;=核心参数输入!$B$9*4,季度投融资!CP43,0)</f>
        <v>0</v>
      </c>
      <c r="CR40" s="9">
        <f>IF(92&lt;=核心参数输入!$B$9*4,季度投融资!CQ43,0)</f>
        <v>0</v>
      </c>
      <c r="CS40" s="9">
        <f>IF(93&lt;=核心参数输入!$B$9*4,季度投融资!CR43,0)</f>
        <v>0</v>
      </c>
      <c r="CT40" s="9">
        <f>IF(94&lt;=核心参数输入!$B$9*4,季度投融资!CS43,0)</f>
        <v>0</v>
      </c>
      <c r="CU40" s="9">
        <f>IF(95&lt;=核心参数输入!$B$9*4,季度投融资!CT43,0)</f>
        <v>0</v>
      </c>
      <c r="CV40" s="9">
        <f>IF(96&lt;=核心参数输入!$B$9*4,季度投融资!CU43,0)</f>
        <v>0</v>
      </c>
      <c r="CW40" s="9">
        <f>IF(97&lt;=核心参数输入!$B$9*4,季度投融资!CV43,0)</f>
        <v>0</v>
      </c>
      <c r="CX40" s="9">
        <f>IF(98&lt;=核心参数输入!$B$9*4,季度投融资!CW43,0)</f>
        <v>0</v>
      </c>
      <c r="CY40" s="9">
        <f>IF(99&lt;=核心参数输入!$B$9*4,季度投融资!CX43,0)</f>
        <v>0</v>
      </c>
      <c r="CZ40" s="9">
        <f>IF(100&lt;=核心参数输入!$B$9*4,季度投融资!CY43,0)</f>
        <v>0</v>
      </c>
      <c r="DA40" s="9">
        <f>IF(101&lt;=核心参数输入!$B$9*4,季度投融资!CZ43,0)</f>
        <v>0</v>
      </c>
      <c r="DB40" s="9">
        <f>IF(102&lt;=核心参数输入!$B$9*4,季度投融资!DA43,0)</f>
        <v>0</v>
      </c>
      <c r="DC40" s="9">
        <f>IF(103&lt;=核心参数输入!$B$9*4,季度投融资!DB43,0)</f>
        <v>0</v>
      </c>
      <c r="DD40" s="9">
        <f>IF(104&lt;=核心参数输入!$B$9*4,季度投融资!DC43,0)</f>
        <v>0</v>
      </c>
      <c r="DE40" s="9">
        <f>IF(105&lt;=核心参数输入!$B$9*4,季度投融资!DD43,0)</f>
        <v>0</v>
      </c>
      <c r="DF40" s="9">
        <f>IF(106&lt;=核心参数输入!$B$9*4,季度投融资!DE43,0)</f>
        <v>0</v>
      </c>
      <c r="DG40" s="9">
        <f>IF(107&lt;=核心参数输入!$B$9*4,季度投融资!DF43,0)</f>
        <v>0</v>
      </c>
      <c r="DH40" s="9">
        <f>IF(108&lt;=核心参数输入!$B$9*4,季度投融资!DG43,0)</f>
        <v>0</v>
      </c>
      <c r="DI40" s="9">
        <f>IF(109&lt;=核心参数输入!$B$9*4,季度投融资!DH43,0)</f>
        <v>0</v>
      </c>
      <c r="DJ40" s="9">
        <f>IF(110&lt;=核心参数输入!$B$9*4,季度投融资!DI43,0)</f>
        <v>0</v>
      </c>
      <c r="DK40" s="9">
        <f>IF(111&lt;=核心参数输入!$B$9*4,季度投融资!DJ43,0)</f>
        <v>0</v>
      </c>
      <c r="DL40" s="9">
        <f>IF(112&lt;=核心参数输入!$B$9*4,季度投融资!DK43,0)</f>
        <v>0</v>
      </c>
      <c r="DM40" s="9">
        <f>IF(113&lt;=核心参数输入!$B$9*4,季度投融资!DL43,0)</f>
        <v>0</v>
      </c>
      <c r="DN40" s="9">
        <f>IF(114&lt;=核心参数输入!$B$9*4,季度投融资!DM43,0)</f>
        <v>0</v>
      </c>
      <c r="DO40" s="9">
        <f>IF(115&lt;=核心参数输入!$B$9*4,季度投融资!DN43,0)</f>
        <v>0</v>
      </c>
      <c r="DP40" s="9">
        <f>IF(116&lt;=核心参数输入!$B$9*4,季度投融资!DO43,0)</f>
        <v>0</v>
      </c>
      <c r="DQ40" s="9">
        <f>IF(117&lt;=核心参数输入!$B$9*4,季度投融资!DP43,0)</f>
        <v>0</v>
      </c>
      <c r="DR40" s="9">
        <f>IF(118&lt;=核心参数输入!$B$9*4,季度投融资!DQ43,0)</f>
        <v>0</v>
      </c>
      <c r="DS40" s="9">
        <f>IF(119&lt;=核心参数输入!$B$9*4,季度投融资!DR43,0)</f>
        <v>0</v>
      </c>
      <c r="DT40" s="9">
        <f>IF(120&lt;=核心参数输入!$B$9*4,季度投融资!DS43,0)</f>
        <v>0</v>
      </c>
    </row>
    <row r="41" spans="1:124" ht="21" customHeight="1">
      <c r="A41" s="8" t="s">
        <v>432</v>
      </c>
      <c r="B41" s="8" t="s">
        <v>39</v>
      </c>
      <c r="C41" s="8"/>
      <c r="D41" s="9">
        <f>IF(0&lt;=核心参数输入!$B$9*4,IF(AND(核心参数输入!$B$57&gt;0,0&gt;=季度投融资!$B$30,0&lt;=季度投融资!$B$29,OR(MOD(0-季度投融资!$B$30,MAX(1,核心参数输入!$B$127))=0,0=季度投融资!$B$29)),IF(0=季度投融资!$B$29,D40+D39,MIN(D40+D39,核心参数输入!$B$57/MAX(1,季度投融资!$B$31))),0),0)</f>
        <v>0</v>
      </c>
      <c r="E41" s="9">
        <f>IF(1&lt;=核心参数输入!$B$9*4,IF(AND(核心参数输入!$B$57&gt;0,1&gt;=季度投融资!$B$30,1&lt;=季度投融资!$B$29,OR(MOD(1-季度投融资!$B$30,MAX(1,核心参数输入!$B$127))=0,1=季度投融资!$B$29)),IF(1=季度投融资!$B$29,E40+E39,MIN(E40+E39,核心参数输入!$B$57/MAX(1,季度投融资!$B$31))),0),0)</f>
        <v>0</v>
      </c>
      <c r="F41" s="9">
        <f>IF(2&lt;=核心参数输入!$B$9*4,IF(AND(核心参数输入!$B$57&gt;0,2&gt;=季度投融资!$B$30,2&lt;=季度投融资!$B$29,OR(MOD(2-季度投融资!$B$30,MAX(1,核心参数输入!$B$127))=0,2=季度投融资!$B$29)),IF(2=季度投融资!$B$29,F40+F39,MIN(F40+F39,核心参数输入!$B$57/MAX(1,季度投融资!$B$31))),0),0)</f>
        <v>0</v>
      </c>
      <c r="G41" s="9">
        <f>IF(3&lt;=核心参数输入!$B$9*4,IF(AND(核心参数输入!$B$57&gt;0,3&gt;=季度投融资!$B$30,3&lt;=季度投融资!$B$29,OR(MOD(3-季度投融资!$B$30,MAX(1,核心参数输入!$B$127))=0,3=季度投融资!$B$29)),IF(3=季度投融资!$B$29,G40+G39,MIN(G40+G39,核心参数输入!$B$57/MAX(1,季度投融资!$B$31))),0),0)</f>
        <v>0</v>
      </c>
      <c r="H41" s="9">
        <f>IF(4&lt;=核心参数输入!$B$9*4,IF(AND(核心参数输入!$B$57&gt;0,4&gt;=季度投融资!$B$30,4&lt;=季度投融资!$B$29,OR(MOD(4-季度投融资!$B$30,MAX(1,核心参数输入!$B$127))=0,4=季度投融资!$B$29)),IF(4=季度投融资!$B$29,H40+H39,MIN(H40+H39,核心参数输入!$B$57/MAX(1,季度投融资!$B$31))),0),0)</f>
        <v>0</v>
      </c>
      <c r="I41" s="9">
        <f>IF(5&lt;=核心参数输入!$B$9*4,IF(AND(核心参数输入!$B$57&gt;0,5&gt;=季度投融资!$B$30,5&lt;=季度投融资!$B$29,OR(MOD(5-季度投融资!$B$30,MAX(1,核心参数输入!$B$127))=0,5=季度投融资!$B$29)),IF(5=季度投融资!$B$29,I40+I39,MIN(I40+I39,核心参数输入!$B$57/MAX(1,季度投融资!$B$31))),0),0)</f>
        <v>0</v>
      </c>
      <c r="J41" s="9">
        <f>IF(6&lt;=核心参数输入!$B$9*4,IF(AND(核心参数输入!$B$57&gt;0,6&gt;=季度投融资!$B$30,6&lt;=季度投融资!$B$29,OR(MOD(6-季度投融资!$B$30,MAX(1,核心参数输入!$B$127))=0,6=季度投融资!$B$29)),IF(6=季度投融资!$B$29,J40+J39,MIN(J40+J39,核心参数输入!$B$57/MAX(1,季度投融资!$B$31))),0),0)</f>
        <v>0</v>
      </c>
      <c r="K41" s="9">
        <f>IF(7&lt;=核心参数输入!$B$9*4,IF(AND(核心参数输入!$B$57&gt;0,7&gt;=季度投融资!$B$30,7&lt;=季度投融资!$B$29,OR(MOD(7-季度投融资!$B$30,MAX(1,核心参数输入!$B$127))=0,7=季度投融资!$B$29)),IF(7=季度投融资!$B$29,K40+K39,MIN(K40+K39,核心参数输入!$B$57/MAX(1,季度投融资!$B$31))),0),0)</f>
        <v>0</v>
      </c>
      <c r="L41" s="9">
        <f>IF(8&lt;=核心参数输入!$B$9*4,IF(AND(核心参数输入!$B$57&gt;0,8&gt;=季度投融资!$B$30,8&lt;=季度投融资!$B$29,OR(MOD(8-季度投融资!$B$30,MAX(1,核心参数输入!$B$127))=0,8=季度投融资!$B$29)),IF(8=季度投融资!$B$29,L40+L39,MIN(L40+L39,核心参数输入!$B$57/MAX(1,季度投融资!$B$31))),0),0)</f>
        <v>0</v>
      </c>
      <c r="M41" s="9">
        <f>IF(9&lt;=核心参数输入!$B$9*4,IF(AND(核心参数输入!$B$57&gt;0,9&gt;=季度投融资!$B$30,9&lt;=季度投融资!$B$29,OR(MOD(9-季度投融资!$B$30,MAX(1,核心参数输入!$B$127))=0,9=季度投融资!$B$29)),IF(9=季度投融资!$B$29,M40+M39,MIN(M40+M39,核心参数输入!$B$57/MAX(1,季度投融资!$B$31))),0),0)</f>
        <v>0</v>
      </c>
      <c r="N41" s="9">
        <f>IF(10&lt;=核心参数输入!$B$9*4,IF(AND(核心参数输入!$B$57&gt;0,10&gt;=季度投融资!$B$30,10&lt;=季度投融资!$B$29,OR(MOD(10-季度投融资!$B$30,MAX(1,核心参数输入!$B$127))=0,10=季度投融资!$B$29)),IF(10=季度投融资!$B$29,N40+N39,MIN(N40+N39,核心参数输入!$B$57/MAX(1,季度投融资!$B$31))),0),0)</f>
        <v>0</v>
      </c>
      <c r="O41" s="9">
        <f>IF(11&lt;=核心参数输入!$B$9*4,IF(AND(核心参数输入!$B$57&gt;0,11&gt;=季度投融资!$B$30,11&lt;=季度投融资!$B$29,OR(MOD(11-季度投融资!$B$30,MAX(1,核心参数输入!$B$127))=0,11=季度投融资!$B$29)),IF(11=季度投融资!$B$29,O40+O39,MIN(O40+O39,核心参数输入!$B$57/MAX(1,季度投融资!$B$31))),0),0)</f>
        <v>0</v>
      </c>
      <c r="P41" s="9">
        <f>IF(12&lt;=核心参数输入!$B$9*4,IF(AND(核心参数输入!$B$57&gt;0,12&gt;=季度投融资!$B$30,12&lt;=季度投融资!$B$29,OR(MOD(12-季度投融资!$B$30,MAX(1,核心参数输入!$B$127))=0,12=季度投融资!$B$29)),IF(12=季度投融资!$B$29,P40+P39,MIN(P40+P39,核心参数输入!$B$57/MAX(1,季度投融资!$B$31))),0),0)</f>
        <v>0</v>
      </c>
      <c r="Q41" s="9">
        <f>IF(13&lt;=核心参数输入!$B$9*4,IF(AND(核心参数输入!$B$57&gt;0,13&gt;=季度投融资!$B$30,13&lt;=季度投融资!$B$29,OR(MOD(13-季度投融资!$B$30,MAX(1,核心参数输入!$B$127))=0,13=季度投融资!$B$29)),IF(13=季度投融资!$B$29,Q40+Q39,MIN(Q40+Q39,核心参数输入!$B$57/MAX(1,季度投融资!$B$31))),0),0)</f>
        <v>0</v>
      </c>
      <c r="R41" s="9">
        <f>IF(14&lt;=核心参数输入!$B$9*4,IF(AND(核心参数输入!$B$57&gt;0,14&gt;=季度投融资!$B$30,14&lt;=季度投融资!$B$29,OR(MOD(14-季度投融资!$B$30,MAX(1,核心参数输入!$B$127))=0,14=季度投融资!$B$29)),IF(14=季度投融资!$B$29,R40+R39,MIN(R40+R39,核心参数输入!$B$57/MAX(1,季度投融资!$B$31))),0),0)</f>
        <v>0</v>
      </c>
      <c r="S41" s="9">
        <f>IF(15&lt;=核心参数输入!$B$9*4,IF(AND(核心参数输入!$B$57&gt;0,15&gt;=季度投融资!$B$30,15&lt;=季度投融资!$B$29,OR(MOD(15-季度投融资!$B$30,MAX(1,核心参数输入!$B$127))=0,15=季度投融资!$B$29)),IF(15=季度投融资!$B$29,S40+S39,MIN(S40+S39,核心参数输入!$B$57/MAX(1,季度投融资!$B$31))),0),0)</f>
        <v>0</v>
      </c>
      <c r="T41" s="9">
        <f>IF(16&lt;=核心参数输入!$B$9*4,IF(AND(核心参数输入!$B$57&gt;0,16&gt;=季度投融资!$B$30,16&lt;=季度投融资!$B$29,OR(MOD(16-季度投融资!$B$30,MAX(1,核心参数输入!$B$127))=0,16=季度投融资!$B$29)),IF(16=季度投融资!$B$29,T40+T39,MIN(T40+T39,核心参数输入!$B$57/MAX(1,季度投融资!$B$31))),0),0)</f>
        <v>4285.7142857142853</v>
      </c>
      <c r="U41" s="9">
        <f>IF(17&lt;=核心参数输入!$B$9*4,IF(AND(核心参数输入!$B$57&gt;0,17&gt;=季度投融资!$B$30,17&lt;=季度投融资!$B$29,OR(MOD(17-季度投融资!$B$30,MAX(1,核心参数输入!$B$127))=0,17=季度投融资!$B$29)),IF(17=季度投融资!$B$29,U40+U39,MIN(U40+U39,核心参数输入!$B$57/MAX(1,季度投融资!$B$31))),0),0)</f>
        <v>0</v>
      </c>
      <c r="V41" s="9">
        <f>IF(18&lt;=核心参数输入!$B$9*4,IF(AND(核心参数输入!$B$57&gt;0,18&gt;=季度投融资!$B$30,18&lt;=季度投融资!$B$29,OR(MOD(18-季度投融资!$B$30,MAX(1,核心参数输入!$B$127))=0,18=季度投融资!$B$29)),IF(18=季度投融资!$B$29,V40+V39,MIN(V40+V39,核心参数输入!$B$57/MAX(1,季度投融资!$B$31))),0),0)</f>
        <v>0</v>
      </c>
      <c r="W41" s="9">
        <f>IF(19&lt;=核心参数输入!$B$9*4,IF(AND(核心参数输入!$B$57&gt;0,19&gt;=季度投融资!$B$30,19&lt;=季度投融资!$B$29,OR(MOD(19-季度投融资!$B$30,MAX(1,核心参数输入!$B$127))=0,19=季度投融资!$B$29)),IF(19=季度投融资!$B$29,W40+W39,MIN(W40+W39,核心参数输入!$B$57/MAX(1,季度投融资!$B$31))),0),0)</f>
        <v>0</v>
      </c>
      <c r="X41" s="9">
        <f>IF(20&lt;=核心参数输入!$B$9*4,IF(AND(核心参数输入!$B$57&gt;0,20&gt;=季度投融资!$B$30,20&lt;=季度投融资!$B$29,OR(MOD(20-季度投融资!$B$30,MAX(1,核心参数输入!$B$127))=0,20=季度投融资!$B$29)),IF(20=季度投融资!$B$29,X40+X39,MIN(X40+X39,核心参数输入!$B$57/MAX(1,季度投融资!$B$31))),0),0)</f>
        <v>4285.7142857142853</v>
      </c>
      <c r="Y41" s="9">
        <f>IF(21&lt;=核心参数输入!$B$9*4,IF(AND(核心参数输入!$B$57&gt;0,21&gt;=季度投融资!$B$30,21&lt;=季度投融资!$B$29,OR(MOD(21-季度投融资!$B$30,MAX(1,核心参数输入!$B$127))=0,21=季度投融资!$B$29)),IF(21=季度投融资!$B$29,Y40+Y39,MIN(Y40+Y39,核心参数输入!$B$57/MAX(1,季度投融资!$B$31))),0),0)</f>
        <v>0</v>
      </c>
      <c r="Z41" s="9">
        <f>IF(22&lt;=核心参数输入!$B$9*4,IF(AND(核心参数输入!$B$57&gt;0,22&gt;=季度投融资!$B$30,22&lt;=季度投融资!$B$29,OR(MOD(22-季度投融资!$B$30,MAX(1,核心参数输入!$B$127))=0,22=季度投融资!$B$29)),IF(22=季度投融资!$B$29,Z40+Z39,MIN(Z40+Z39,核心参数输入!$B$57/MAX(1,季度投融资!$B$31))),0),0)</f>
        <v>0</v>
      </c>
      <c r="AA41" s="9">
        <f>IF(23&lt;=核心参数输入!$B$9*4,IF(AND(核心参数输入!$B$57&gt;0,23&gt;=季度投融资!$B$30,23&lt;=季度投融资!$B$29,OR(MOD(23-季度投融资!$B$30,MAX(1,核心参数输入!$B$127))=0,23=季度投融资!$B$29)),IF(23=季度投融资!$B$29,AA40+AA39,MIN(AA40+AA39,核心参数输入!$B$57/MAX(1,季度投融资!$B$31))),0),0)</f>
        <v>0</v>
      </c>
      <c r="AB41" s="9">
        <f>IF(24&lt;=核心参数输入!$B$9*4,IF(AND(核心参数输入!$B$57&gt;0,24&gt;=季度投融资!$B$30,24&lt;=季度投融资!$B$29,OR(MOD(24-季度投融资!$B$30,MAX(1,核心参数输入!$B$127))=0,24=季度投融资!$B$29)),IF(24=季度投融资!$B$29,AB40+AB39,MIN(AB40+AB39,核心参数输入!$B$57/MAX(1,季度投融资!$B$31))),0),0)</f>
        <v>4285.7142857142853</v>
      </c>
      <c r="AC41" s="9">
        <f>IF(25&lt;=核心参数输入!$B$9*4,IF(AND(核心参数输入!$B$57&gt;0,25&gt;=季度投融资!$B$30,25&lt;=季度投融资!$B$29,OR(MOD(25-季度投融资!$B$30,MAX(1,核心参数输入!$B$127))=0,25=季度投融资!$B$29)),IF(25=季度投融资!$B$29,AC40+AC39,MIN(AC40+AC39,核心参数输入!$B$57/MAX(1,季度投融资!$B$31))),0),0)</f>
        <v>0</v>
      </c>
      <c r="AD41" s="9">
        <f>IF(26&lt;=核心参数输入!$B$9*4,IF(AND(核心参数输入!$B$57&gt;0,26&gt;=季度投融资!$B$30,26&lt;=季度投融资!$B$29,OR(MOD(26-季度投融资!$B$30,MAX(1,核心参数输入!$B$127))=0,26=季度投融资!$B$29)),IF(26=季度投融资!$B$29,AD40+AD39,MIN(AD40+AD39,核心参数输入!$B$57/MAX(1,季度投融资!$B$31))),0),0)</f>
        <v>0</v>
      </c>
      <c r="AE41" s="9">
        <f>IF(27&lt;=核心参数输入!$B$9*4,IF(AND(核心参数输入!$B$57&gt;0,27&gt;=季度投融资!$B$30,27&lt;=季度投融资!$B$29,OR(MOD(27-季度投融资!$B$30,MAX(1,核心参数输入!$B$127))=0,27=季度投融资!$B$29)),IF(27=季度投融资!$B$29,AE40+AE39,MIN(AE40+AE39,核心参数输入!$B$57/MAX(1,季度投融资!$B$31))),0),0)</f>
        <v>0</v>
      </c>
      <c r="AF41" s="9">
        <f>IF(28&lt;=核心参数输入!$B$9*4,IF(AND(核心参数输入!$B$57&gt;0,28&gt;=季度投融资!$B$30,28&lt;=季度投融资!$B$29,OR(MOD(28-季度投融资!$B$30,MAX(1,核心参数输入!$B$127))=0,28=季度投融资!$B$29)),IF(28=季度投融资!$B$29,AF40+AF39,MIN(AF40+AF39,核心参数输入!$B$57/MAX(1,季度投融资!$B$31))),0),0)</f>
        <v>4285.7142857142853</v>
      </c>
      <c r="AG41" s="9">
        <f>IF(29&lt;=核心参数输入!$B$9*4,IF(AND(核心参数输入!$B$57&gt;0,29&gt;=季度投融资!$B$30,29&lt;=季度投融资!$B$29,OR(MOD(29-季度投融资!$B$30,MAX(1,核心参数输入!$B$127))=0,29=季度投融资!$B$29)),IF(29=季度投融资!$B$29,AG40+AG39,MIN(AG40+AG39,核心参数输入!$B$57/MAX(1,季度投融资!$B$31))),0),0)</f>
        <v>0</v>
      </c>
      <c r="AH41" s="9">
        <f>IF(30&lt;=核心参数输入!$B$9*4,IF(AND(核心参数输入!$B$57&gt;0,30&gt;=季度投融资!$B$30,30&lt;=季度投融资!$B$29,OR(MOD(30-季度投融资!$B$30,MAX(1,核心参数输入!$B$127))=0,30=季度投融资!$B$29)),IF(30=季度投融资!$B$29,AH40+AH39,MIN(AH40+AH39,核心参数输入!$B$57/MAX(1,季度投融资!$B$31))),0),0)</f>
        <v>0</v>
      </c>
      <c r="AI41" s="9">
        <f>IF(31&lt;=核心参数输入!$B$9*4,IF(AND(核心参数输入!$B$57&gt;0,31&gt;=季度投融资!$B$30,31&lt;=季度投融资!$B$29,OR(MOD(31-季度投融资!$B$30,MAX(1,核心参数输入!$B$127))=0,31=季度投融资!$B$29)),IF(31=季度投融资!$B$29,AI40+AI39,MIN(AI40+AI39,核心参数输入!$B$57/MAX(1,季度投融资!$B$31))),0),0)</f>
        <v>0</v>
      </c>
      <c r="AJ41" s="9">
        <f>IF(32&lt;=核心参数输入!$B$9*4,IF(AND(核心参数输入!$B$57&gt;0,32&gt;=季度投融资!$B$30,32&lt;=季度投融资!$B$29,OR(MOD(32-季度投融资!$B$30,MAX(1,核心参数输入!$B$127))=0,32=季度投融资!$B$29)),IF(32=季度投融资!$B$29,AJ40+AJ39,MIN(AJ40+AJ39,核心参数输入!$B$57/MAX(1,季度投融资!$B$31))),0),0)</f>
        <v>4285.7142857142853</v>
      </c>
      <c r="AK41" s="9">
        <f>IF(33&lt;=核心参数输入!$B$9*4,IF(AND(核心参数输入!$B$57&gt;0,33&gt;=季度投融资!$B$30,33&lt;=季度投融资!$B$29,OR(MOD(33-季度投融资!$B$30,MAX(1,核心参数输入!$B$127))=0,33=季度投融资!$B$29)),IF(33=季度投融资!$B$29,AK40+AK39,MIN(AK40+AK39,核心参数输入!$B$57/MAX(1,季度投融资!$B$31))),0),0)</f>
        <v>0</v>
      </c>
      <c r="AL41" s="9">
        <f>IF(34&lt;=核心参数输入!$B$9*4,IF(AND(核心参数输入!$B$57&gt;0,34&gt;=季度投融资!$B$30,34&lt;=季度投融资!$B$29,OR(MOD(34-季度投融资!$B$30,MAX(1,核心参数输入!$B$127))=0,34=季度投融资!$B$29)),IF(34=季度投融资!$B$29,AL40+AL39,MIN(AL40+AL39,核心参数输入!$B$57/MAX(1,季度投融资!$B$31))),0),0)</f>
        <v>0</v>
      </c>
      <c r="AM41" s="9">
        <f>IF(35&lt;=核心参数输入!$B$9*4,IF(AND(核心参数输入!$B$57&gt;0,35&gt;=季度投融资!$B$30,35&lt;=季度投融资!$B$29,OR(MOD(35-季度投融资!$B$30,MAX(1,核心参数输入!$B$127))=0,35=季度投融资!$B$29)),IF(35=季度投融资!$B$29,AM40+AM39,MIN(AM40+AM39,核心参数输入!$B$57/MAX(1,季度投融资!$B$31))),0),0)</f>
        <v>0</v>
      </c>
      <c r="AN41" s="9">
        <f>IF(36&lt;=核心参数输入!$B$9*4,IF(AND(核心参数输入!$B$57&gt;0,36&gt;=季度投融资!$B$30,36&lt;=季度投融资!$B$29,OR(MOD(36-季度投融资!$B$30,MAX(1,核心参数输入!$B$127))=0,36=季度投融资!$B$29)),IF(36=季度投融资!$B$29,AN40+AN39,MIN(AN40+AN39,核心参数输入!$B$57/MAX(1,季度投融资!$B$31))),0),0)</f>
        <v>4285.7142857142853</v>
      </c>
      <c r="AO41" s="9">
        <f>IF(37&lt;=核心参数输入!$B$9*4,IF(AND(核心参数输入!$B$57&gt;0,37&gt;=季度投融资!$B$30,37&lt;=季度投融资!$B$29,OR(MOD(37-季度投融资!$B$30,MAX(1,核心参数输入!$B$127))=0,37=季度投融资!$B$29)),IF(37=季度投融资!$B$29,AO40+AO39,MIN(AO40+AO39,核心参数输入!$B$57/MAX(1,季度投融资!$B$31))),0),0)</f>
        <v>0</v>
      </c>
      <c r="AP41" s="9">
        <f>IF(38&lt;=核心参数输入!$B$9*4,IF(AND(核心参数输入!$B$57&gt;0,38&gt;=季度投融资!$B$30,38&lt;=季度投融资!$B$29,OR(MOD(38-季度投融资!$B$30,MAX(1,核心参数输入!$B$127))=0,38=季度投融资!$B$29)),IF(38=季度投融资!$B$29,AP40+AP39,MIN(AP40+AP39,核心参数输入!$B$57/MAX(1,季度投融资!$B$31))),0),0)</f>
        <v>0</v>
      </c>
      <c r="AQ41" s="9">
        <f>IF(39&lt;=核心参数输入!$B$9*4,IF(AND(核心参数输入!$B$57&gt;0,39&gt;=季度投融资!$B$30,39&lt;=季度投融资!$B$29,OR(MOD(39-季度投融资!$B$30,MAX(1,核心参数输入!$B$127))=0,39=季度投融资!$B$29)),IF(39=季度投融资!$B$29,AQ40+AQ39,MIN(AQ40+AQ39,核心参数输入!$B$57/MAX(1,季度投融资!$B$31))),0),0)</f>
        <v>0</v>
      </c>
      <c r="AR41" s="9">
        <f>IF(40&lt;=核心参数输入!$B$9*4,IF(AND(核心参数输入!$B$57&gt;0,40&gt;=季度投融资!$B$30,40&lt;=季度投融资!$B$29,OR(MOD(40-季度投融资!$B$30,MAX(1,核心参数输入!$B$127))=0,40=季度投融资!$B$29)),IF(40=季度投融资!$B$29,AR40+AR39,MIN(AR40+AR39,核心参数输入!$B$57/MAX(1,季度投融资!$B$31))),0),0)</f>
        <v>4285.7142857142835</v>
      </c>
      <c r="AS41" s="9">
        <f>IF(41&lt;=核心参数输入!$B$9*4,IF(AND(核心参数输入!$B$57&gt;0,41&gt;=季度投融资!$B$30,41&lt;=季度投融资!$B$29,OR(MOD(41-季度投融资!$B$30,MAX(1,核心参数输入!$B$127))=0,41=季度投融资!$B$29)),IF(41=季度投融资!$B$29,AS40+AS39,MIN(AS40+AS39,核心参数输入!$B$57/MAX(1,季度投融资!$B$31))),0),0)</f>
        <v>0</v>
      </c>
      <c r="AT41" s="9">
        <f>IF(42&lt;=核心参数输入!$B$9*4,IF(AND(核心参数输入!$B$57&gt;0,42&gt;=季度投融资!$B$30,42&lt;=季度投融资!$B$29,OR(MOD(42-季度投融资!$B$30,MAX(1,核心参数输入!$B$127))=0,42=季度投融资!$B$29)),IF(42=季度投融资!$B$29,AT40+AT39,MIN(AT40+AT39,核心参数输入!$B$57/MAX(1,季度投融资!$B$31))),0),0)</f>
        <v>0</v>
      </c>
      <c r="AU41" s="9">
        <f>IF(43&lt;=核心参数输入!$B$9*4,IF(AND(核心参数输入!$B$57&gt;0,43&gt;=季度投融资!$B$30,43&lt;=季度投融资!$B$29,OR(MOD(43-季度投融资!$B$30,MAX(1,核心参数输入!$B$127))=0,43=季度投融资!$B$29)),IF(43=季度投融资!$B$29,AU40+AU39,MIN(AU40+AU39,核心参数输入!$B$57/MAX(1,季度投融资!$B$31))),0),0)</f>
        <v>0</v>
      </c>
      <c r="AV41" s="9">
        <f>IF(44&lt;=核心参数输入!$B$9*4,IF(AND(核心参数输入!$B$57&gt;0,44&gt;=季度投融资!$B$30,44&lt;=季度投融资!$B$29,OR(MOD(44-季度投融资!$B$30,MAX(1,核心参数输入!$B$127))=0,44=季度投融资!$B$29)),IF(44=季度投融资!$B$29,AV40+AV39,MIN(AV40+AV39,核心参数输入!$B$57/MAX(1,季度投融资!$B$31))),0),0)</f>
        <v>0</v>
      </c>
      <c r="AW41" s="9">
        <f>IF(45&lt;=核心参数输入!$B$9*4,IF(AND(核心参数输入!$B$57&gt;0,45&gt;=季度投融资!$B$30,45&lt;=季度投融资!$B$29,OR(MOD(45-季度投融资!$B$30,MAX(1,核心参数输入!$B$127))=0,45=季度投融资!$B$29)),IF(45=季度投融资!$B$29,AW40+AW39,MIN(AW40+AW39,核心参数输入!$B$57/MAX(1,季度投融资!$B$31))),0),0)</f>
        <v>0</v>
      </c>
      <c r="AX41" s="9">
        <f>IF(46&lt;=核心参数输入!$B$9*4,IF(AND(核心参数输入!$B$57&gt;0,46&gt;=季度投融资!$B$30,46&lt;=季度投融资!$B$29,OR(MOD(46-季度投融资!$B$30,MAX(1,核心参数输入!$B$127))=0,46=季度投融资!$B$29)),IF(46=季度投融资!$B$29,AX40+AX39,MIN(AX40+AX39,核心参数输入!$B$57/MAX(1,季度投融资!$B$31))),0),0)</f>
        <v>0</v>
      </c>
      <c r="AY41" s="9">
        <f>IF(47&lt;=核心参数输入!$B$9*4,IF(AND(核心参数输入!$B$57&gt;0,47&gt;=季度投融资!$B$30,47&lt;=季度投融资!$B$29,OR(MOD(47-季度投融资!$B$30,MAX(1,核心参数输入!$B$127))=0,47=季度投融资!$B$29)),IF(47=季度投融资!$B$29,AY40+AY39,MIN(AY40+AY39,核心参数输入!$B$57/MAX(1,季度投融资!$B$31))),0),0)</f>
        <v>0</v>
      </c>
      <c r="AZ41" s="9">
        <f>IF(48&lt;=核心参数输入!$B$9*4,IF(AND(核心参数输入!$B$57&gt;0,48&gt;=季度投融资!$B$30,48&lt;=季度投融资!$B$29,OR(MOD(48-季度投融资!$B$30,MAX(1,核心参数输入!$B$127))=0,48=季度投融资!$B$29)),IF(48=季度投融资!$B$29,AZ40+AZ39,MIN(AZ40+AZ39,核心参数输入!$B$57/MAX(1,季度投融资!$B$31))),0),0)</f>
        <v>0</v>
      </c>
      <c r="BA41" s="9">
        <f>IF(49&lt;=核心参数输入!$B$9*4,IF(AND(核心参数输入!$B$57&gt;0,49&gt;=季度投融资!$B$30,49&lt;=季度投融资!$B$29,OR(MOD(49-季度投融资!$B$30,MAX(1,核心参数输入!$B$127))=0,49=季度投融资!$B$29)),IF(49=季度投融资!$B$29,BA40+BA39,MIN(BA40+BA39,核心参数输入!$B$57/MAX(1,季度投融资!$B$31))),0),0)</f>
        <v>0</v>
      </c>
      <c r="BB41" s="9">
        <f>IF(50&lt;=核心参数输入!$B$9*4,IF(AND(核心参数输入!$B$57&gt;0,50&gt;=季度投融资!$B$30,50&lt;=季度投融资!$B$29,OR(MOD(50-季度投融资!$B$30,MAX(1,核心参数输入!$B$127))=0,50=季度投融资!$B$29)),IF(50=季度投融资!$B$29,BB40+BB39,MIN(BB40+BB39,核心参数输入!$B$57/MAX(1,季度投融资!$B$31))),0),0)</f>
        <v>0</v>
      </c>
      <c r="BC41" s="9">
        <f>IF(51&lt;=核心参数输入!$B$9*4,IF(AND(核心参数输入!$B$57&gt;0,51&gt;=季度投融资!$B$30,51&lt;=季度投融资!$B$29,OR(MOD(51-季度投融资!$B$30,MAX(1,核心参数输入!$B$127))=0,51=季度投融资!$B$29)),IF(51=季度投融资!$B$29,BC40+BC39,MIN(BC40+BC39,核心参数输入!$B$57/MAX(1,季度投融资!$B$31))),0),0)</f>
        <v>0</v>
      </c>
      <c r="BD41" s="9">
        <f>IF(52&lt;=核心参数输入!$B$9*4,IF(AND(核心参数输入!$B$57&gt;0,52&gt;=季度投融资!$B$30,52&lt;=季度投融资!$B$29,OR(MOD(52-季度投融资!$B$30,MAX(1,核心参数输入!$B$127))=0,52=季度投融资!$B$29)),IF(52=季度投融资!$B$29,BD40+BD39,MIN(BD40+BD39,核心参数输入!$B$57/MAX(1,季度投融资!$B$31))),0),0)</f>
        <v>0</v>
      </c>
      <c r="BE41" s="9">
        <f>IF(53&lt;=核心参数输入!$B$9*4,IF(AND(核心参数输入!$B$57&gt;0,53&gt;=季度投融资!$B$30,53&lt;=季度投融资!$B$29,OR(MOD(53-季度投融资!$B$30,MAX(1,核心参数输入!$B$127))=0,53=季度投融资!$B$29)),IF(53=季度投融资!$B$29,BE40+BE39,MIN(BE40+BE39,核心参数输入!$B$57/MAX(1,季度投融资!$B$31))),0),0)</f>
        <v>0</v>
      </c>
      <c r="BF41" s="9">
        <f>IF(54&lt;=核心参数输入!$B$9*4,IF(AND(核心参数输入!$B$57&gt;0,54&gt;=季度投融资!$B$30,54&lt;=季度投融资!$B$29,OR(MOD(54-季度投融资!$B$30,MAX(1,核心参数输入!$B$127))=0,54=季度投融资!$B$29)),IF(54=季度投融资!$B$29,BF40+BF39,MIN(BF40+BF39,核心参数输入!$B$57/MAX(1,季度投融资!$B$31))),0),0)</f>
        <v>0</v>
      </c>
      <c r="BG41" s="9">
        <f>IF(55&lt;=核心参数输入!$B$9*4,IF(AND(核心参数输入!$B$57&gt;0,55&gt;=季度投融资!$B$30,55&lt;=季度投融资!$B$29,OR(MOD(55-季度投融资!$B$30,MAX(1,核心参数输入!$B$127))=0,55=季度投融资!$B$29)),IF(55=季度投融资!$B$29,BG40+BG39,MIN(BG40+BG39,核心参数输入!$B$57/MAX(1,季度投融资!$B$31))),0),0)</f>
        <v>0</v>
      </c>
      <c r="BH41" s="9">
        <f>IF(56&lt;=核心参数输入!$B$9*4,IF(AND(核心参数输入!$B$57&gt;0,56&gt;=季度投融资!$B$30,56&lt;=季度投融资!$B$29,OR(MOD(56-季度投融资!$B$30,MAX(1,核心参数输入!$B$127))=0,56=季度投融资!$B$29)),IF(56=季度投融资!$B$29,BH40+BH39,MIN(BH40+BH39,核心参数输入!$B$57/MAX(1,季度投融资!$B$31))),0),0)</f>
        <v>0</v>
      </c>
      <c r="BI41" s="9">
        <f>IF(57&lt;=核心参数输入!$B$9*4,IF(AND(核心参数输入!$B$57&gt;0,57&gt;=季度投融资!$B$30,57&lt;=季度投融资!$B$29,OR(MOD(57-季度投融资!$B$30,MAX(1,核心参数输入!$B$127))=0,57=季度投融资!$B$29)),IF(57=季度投融资!$B$29,BI40+BI39,MIN(BI40+BI39,核心参数输入!$B$57/MAX(1,季度投融资!$B$31))),0),0)</f>
        <v>0</v>
      </c>
      <c r="BJ41" s="9">
        <f>IF(58&lt;=核心参数输入!$B$9*4,IF(AND(核心参数输入!$B$57&gt;0,58&gt;=季度投融资!$B$30,58&lt;=季度投融资!$B$29,OR(MOD(58-季度投融资!$B$30,MAX(1,核心参数输入!$B$127))=0,58=季度投融资!$B$29)),IF(58=季度投融资!$B$29,BJ40+BJ39,MIN(BJ40+BJ39,核心参数输入!$B$57/MAX(1,季度投融资!$B$31))),0),0)</f>
        <v>0</v>
      </c>
      <c r="BK41" s="9">
        <f>IF(59&lt;=核心参数输入!$B$9*4,IF(AND(核心参数输入!$B$57&gt;0,59&gt;=季度投融资!$B$30,59&lt;=季度投融资!$B$29,OR(MOD(59-季度投融资!$B$30,MAX(1,核心参数输入!$B$127))=0,59=季度投融资!$B$29)),IF(59=季度投融资!$B$29,BK40+BK39,MIN(BK40+BK39,核心参数输入!$B$57/MAX(1,季度投融资!$B$31))),0),0)</f>
        <v>0</v>
      </c>
      <c r="BL41" s="9">
        <f>IF(60&lt;=核心参数输入!$B$9*4,IF(AND(核心参数输入!$B$57&gt;0,60&gt;=季度投融资!$B$30,60&lt;=季度投融资!$B$29,OR(MOD(60-季度投融资!$B$30,MAX(1,核心参数输入!$B$127))=0,60=季度投融资!$B$29)),IF(60=季度投融资!$B$29,BL40+BL39,MIN(BL40+BL39,核心参数输入!$B$57/MAX(1,季度投融资!$B$31))),0),0)</f>
        <v>0</v>
      </c>
      <c r="BM41" s="9">
        <f>IF(61&lt;=核心参数输入!$B$9*4,IF(AND(核心参数输入!$B$57&gt;0,61&gt;=季度投融资!$B$30,61&lt;=季度投融资!$B$29,OR(MOD(61-季度投融资!$B$30,MAX(1,核心参数输入!$B$127))=0,61=季度投融资!$B$29)),IF(61=季度投融资!$B$29,BM40+BM39,MIN(BM40+BM39,核心参数输入!$B$57/MAX(1,季度投融资!$B$31))),0),0)</f>
        <v>0</v>
      </c>
      <c r="BN41" s="9">
        <f>IF(62&lt;=核心参数输入!$B$9*4,IF(AND(核心参数输入!$B$57&gt;0,62&gt;=季度投融资!$B$30,62&lt;=季度投融资!$B$29,OR(MOD(62-季度投融资!$B$30,MAX(1,核心参数输入!$B$127))=0,62=季度投融资!$B$29)),IF(62=季度投融资!$B$29,BN40+BN39,MIN(BN40+BN39,核心参数输入!$B$57/MAX(1,季度投融资!$B$31))),0),0)</f>
        <v>0</v>
      </c>
      <c r="BO41" s="9">
        <f>IF(63&lt;=核心参数输入!$B$9*4,IF(AND(核心参数输入!$B$57&gt;0,63&gt;=季度投融资!$B$30,63&lt;=季度投融资!$B$29,OR(MOD(63-季度投融资!$B$30,MAX(1,核心参数输入!$B$127))=0,63=季度投融资!$B$29)),IF(63=季度投融资!$B$29,BO40+BO39,MIN(BO40+BO39,核心参数输入!$B$57/MAX(1,季度投融资!$B$31))),0),0)</f>
        <v>0</v>
      </c>
      <c r="BP41" s="9">
        <f>IF(64&lt;=核心参数输入!$B$9*4,IF(AND(核心参数输入!$B$57&gt;0,64&gt;=季度投融资!$B$30,64&lt;=季度投融资!$B$29,OR(MOD(64-季度投融资!$B$30,MAX(1,核心参数输入!$B$127))=0,64=季度投融资!$B$29)),IF(64=季度投融资!$B$29,BP40+BP39,MIN(BP40+BP39,核心参数输入!$B$57/MAX(1,季度投融资!$B$31))),0),0)</f>
        <v>0</v>
      </c>
      <c r="BQ41" s="9">
        <f>IF(65&lt;=核心参数输入!$B$9*4,IF(AND(核心参数输入!$B$57&gt;0,65&gt;=季度投融资!$B$30,65&lt;=季度投融资!$B$29,OR(MOD(65-季度投融资!$B$30,MAX(1,核心参数输入!$B$127))=0,65=季度投融资!$B$29)),IF(65=季度投融资!$B$29,BQ40+BQ39,MIN(BQ40+BQ39,核心参数输入!$B$57/MAX(1,季度投融资!$B$31))),0),0)</f>
        <v>0</v>
      </c>
      <c r="BR41" s="9">
        <f>IF(66&lt;=核心参数输入!$B$9*4,IF(AND(核心参数输入!$B$57&gt;0,66&gt;=季度投融资!$B$30,66&lt;=季度投融资!$B$29,OR(MOD(66-季度投融资!$B$30,MAX(1,核心参数输入!$B$127))=0,66=季度投融资!$B$29)),IF(66=季度投融资!$B$29,BR40+BR39,MIN(BR40+BR39,核心参数输入!$B$57/MAX(1,季度投融资!$B$31))),0),0)</f>
        <v>0</v>
      </c>
      <c r="BS41" s="9">
        <f>IF(67&lt;=核心参数输入!$B$9*4,IF(AND(核心参数输入!$B$57&gt;0,67&gt;=季度投融资!$B$30,67&lt;=季度投融资!$B$29,OR(MOD(67-季度投融资!$B$30,MAX(1,核心参数输入!$B$127))=0,67=季度投融资!$B$29)),IF(67=季度投融资!$B$29,BS40+BS39,MIN(BS40+BS39,核心参数输入!$B$57/MAX(1,季度投融资!$B$31))),0),0)</f>
        <v>0</v>
      </c>
      <c r="BT41" s="9">
        <f>IF(68&lt;=核心参数输入!$B$9*4,IF(AND(核心参数输入!$B$57&gt;0,68&gt;=季度投融资!$B$30,68&lt;=季度投融资!$B$29,OR(MOD(68-季度投融资!$B$30,MAX(1,核心参数输入!$B$127))=0,68=季度投融资!$B$29)),IF(68=季度投融资!$B$29,BT40+BT39,MIN(BT40+BT39,核心参数输入!$B$57/MAX(1,季度投融资!$B$31))),0),0)</f>
        <v>0</v>
      </c>
      <c r="BU41" s="9">
        <f>IF(69&lt;=核心参数输入!$B$9*4,IF(AND(核心参数输入!$B$57&gt;0,69&gt;=季度投融资!$B$30,69&lt;=季度投融资!$B$29,OR(MOD(69-季度投融资!$B$30,MAX(1,核心参数输入!$B$127))=0,69=季度投融资!$B$29)),IF(69=季度投融资!$B$29,BU40+BU39,MIN(BU40+BU39,核心参数输入!$B$57/MAX(1,季度投融资!$B$31))),0),0)</f>
        <v>0</v>
      </c>
      <c r="BV41" s="9">
        <f>IF(70&lt;=核心参数输入!$B$9*4,IF(AND(核心参数输入!$B$57&gt;0,70&gt;=季度投融资!$B$30,70&lt;=季度投融资!$B$29,OR(MOD(70-季度投融资!$B$30,MAX(1,核心参数输入!$B$127))=0,70=季度投融资!$B$29)),IF(70=季度投融资!$B$29,BV40+BV39,MIN(BV40+BV39,核心参数输入!$B$57/MAX(1,季度投融资!$B$31))),0),0)</f>
        <v>0</v>
      </c>
      <c r="BW41" s="9">
        <f>IF(71&lt;=核心参数输入!$B$9*4,IF(AND(核心参数输入!$B$57&gt;0,71&gt;=季度投融资!$B$30,71&lt;=季度投融资!$B$29,OR(MOD(71-季度投融资!$B$30,MAX(1,核心参数输入!$B$127))=0,71=季度投融资!$B$29)),IF(71=季度投融资!$B$29,BW40+BW39,MIN(BW40+BW39,核心参数输入!$B$57/MAX(1,季度投融资!$B$31))),0),0)</f>
        <v>0</v>
      </c>
      <c r="BX41" s="9">
        <f>IF(72&lt;=核心参数输入!$B$9*4,IF(AND(核心参数输入!$B$57&gt;0,72&gt;=季度投融资!$B$30,72&lt;=季度投融资!$B$29,OR(MOD(72-季度投融资!$B$30,MAX(1,核心参数输入!$B$127))=0,72=季度投融资!$B$29)),IF(72=季度投融资!$B$29,BX40+BX39,MIN(BX40+BX39,核心参数输入!$B$57/MAX(1,季度投融资!$B$31))),0),0)</f>
        <v>0</v>
      </c>
      <c r="BY41" s="9">
        <f>IF(73&lt;=核心参数输入!$B$9*4,IF(AND(核心参数输入!$B$57&gt;0,73&gt;=季度投融资!$B$30,73&lt;=季度投融资!$B$29,OR(MOD(73-季度投融资!$B$30,MAX(1,核心参数输入!$B$127))=0,73=季度投融资!$B$29)),IF(73=季度投融资!$B$29,BY40+BY39,MIN(BY40+BY39,核心参数输入!$B$57/MAX(1,季度投融资!$B$31))),0),0)</f>
        <v>0</v>
      </c>
      <c r="BZ41" s="9">
        <f>IF(74&lt;=核心参数输入!$B$9*4,IF(AND(核心参数输入!$B$57&gt;0,74&gt;=季度投融资!$B$30,74&lt;=季度投融资!$B$29,OR(MOD(74-季度投融资!$B$30,MAX(1,核心参数输入!$B$127))=0,74=季度投融资!$B$29)),IF(74=季度投融资!$B$29,BZ40+BZ39,MIN(BZ40+BZ39,核心参数输入!$B$57/MAX(1,季度投融资!$B$31))),0),0)</f>
        <v>0</v>
      </c>
      <c r="CA41" s="9">
        <f>IF(75&lt;=核心参数输入!$B$9*4,IF(AND(核心参数输入!$B$57&gt;0,75&gt;=季度投融资!$B$30,75&lt;=季度投融资!$B$29,OR(MOD(75-季度投融资!$B$30,MAX(1,核心参数输入!$B$127))=0,75=季度投融资!$B$29)),IF(75=季度投融资!$B$29,CA40+CA39,MIN(CA40+CA39,核心参数输入!$B$57/MAX(1,季度投融资!$B$31))),0),0)</f>
        <v>0</v>
      </c>
      <c r="CB41" s="9">
        <f>IF(76&lt;=核心参数输入!$B$9*4,IF(AND(核心参数输入!$B$57&gt;0,76&gt;=季度投融资!$B$30,76&lt;=季度投融资!$B$29,OR(MOD(76-季度投融资!$B$30,MAX(1,核心参数输入!$B$127))=0,76=季度投融资!$B$29)),IF(76=季度投融资!$B$29,CB40+CB39,MIN(CB40+CB39,核心参数输入!$B$57/MAX(1,季度投融资!$B$31))),0),0)</f>
        <v>0</v>
      </c>
      <c r="CC41" s="9">
        <f>IF(77&lt;=核心参数输入!$B$9*4,IF(AND(核心参数输入!$B$57&gt;0,77&gt;=季度投融资!$B$30,77&lt;=季度投融资!$B$29,OR(MOD(77-季度投融资!$B$30,MAX(1,核心参数输入!$B$127))=0,77=季度投融资!$B$29)),IF(77=季度投融资!$B$29,CC40+CC39,MIN(CC40+CC39,核心参数输入!$B$57/MAX(1,季度投融资!$B$31))),0),0)</f>
        <v>0</v>
      </c>
      <c r="CD41" s="9">
        <f>IF(78&lt;=核心参数输入!$B$9*4,IF(AND(核心参数输入!$B$57&gt;0,78&gt;=季度投融资!$B$30,78&lt;=季度投融资!$B$29,OR(MOD(78-季度投融资!$B$30,MAX(1,核心参数输入!$B$127))=0,78=季度投融资!$B$29)),IF(78=季度投融资!$B$29,CD40+CD39,MIN(CD40+CD39,核心参数输入!$B$57/MAX(1,季度投融资!$B$31))),0),0)</f>
        <v>0</v>
      </c>
      <c r="CE41" s="9">
        <f>IF(79&lt;=核心参数输入!$B$9*4,IF(AND(核心参数输入!$B$57&gt;0,79&gt;=季度投融资!$B$30,79&lt;=季度投融资!$B$29,OR(MOD(79-季度投融资!$B$30,MAX(1,核心参数输入!$B$127))=0,79=季度投融资!$B$29)),IF(79=季度投融资!$B$29,CE40+CE39,MIN(CE40+CE39,核心参数输入!$B$57/MAX(1,季度投融资!$B$31))),0),0)</f>
        <v>0</v>
      </c>
      <c r="CF41" s="9">
        <f>IF(80&lt;=核心参数输入!$B$9*4,IF(AND(核心参数输入!$B$57&gt;0,80&gt;=季度投融资!$B$30,80&lt;=季度投融资!$B$29,OR(MOD(80-季度投融资!$B$30,MAX(1,核心参数输入!$B$127))=0,80=季度投融资!$B$29)),IF(80=季度投融资!$B$29,CF40+CF39,MIN(CF40+CF39,核心参数输入!$B$57/MAX(1,季度投融资!$B$31))),0),0)</f>
        <v>0</v>
      </c>
      <c r="CG41" s="9">
        <f>IF(81&lt;=核心参数输入!$B$9*4,IF(AND(核心参数输入!$B$57&gt;0,81&gt;=季度投融资!$B$30,81&lt;=季度投融资!$B$29,OR(MOD(81-季度投融资!$B$30,MAX(1,核心参数输入!$B$127))=0,81=季度投融资!$B$29)),IF(81=季度投融资!$B$29,CG40+CG39,MIN(CG40+CG39,核心参数输入!$B$57/MAX(1,季度投融资!$B$31))),0),0)</f>
        <v>0</v>
      </c>
      <c r="CH41" s="9">
        <f>IF(82&lt;=核心参数输入!$B$9*4,IF(AND(核心参数输入!$B$57&gt;0,82&gt;=季度投融资!$B$30,82&lt;=季度投融资!$B$29,OR(MOD(82-季度投融资!$B$30,MAX(1,核心参数输入!$B$127))=0,82=季度投融资!$B$29)),IF(82=季度投融资!$B$29,CH40+CH39,MIN(CH40+CH39,核心参数输入!$B$57/MAX(1,季度投融资!$B$31))),0),0)</f>
        <v>0</v>
      </c>
      <c r="CI41" s="9">
        <f>IF(83&lt;=核心参数输入!$B$9*4,IF(AND(核心参数输入!$B$57&gt;0,83&gt;=季度投融资!$B$30,83&lt;=季度投融资!$B$29,OR(MOD(83-季度投融资!$B$30,MAX(1,核心参数输入!$B$127))=0,83=季度投融资!$B$29)),IF(83=季度投融资!$B$29,CI40+CI39,MIN(CI40+CI39,核心参数输入!$B$57/MAX(1,季度投融资!$B$31))),0),0)</f>
        <v>0</v>
      </c>
      <c r="CJ41" s="9">
        <f>IF(84&lt;=核心参数输入!$B$9*4,IF(AND(核心参数输入!$B$57&gt;0,84&gt;=季度投融资!$B$30,84&lt;=季度投融资!$B$29,OR(MOD(84-季度投融资!$B$30,MAX(1,核心参数输入!$B$127))=0,84=季度投融资!$B$29)),IF(84=季度投融资!$B$29,CJ40+CJ39,MIN(CJ40+CJ39,核心参数输入!$B$57/MAX(1,季度投融资!$B$31))),0),0)</f>
        <v>0</v>
      </c>
      <c r="CK41" s="9">
        <f>IF(85&lt;=核心参数输入!$B$9*4,IF(AND(核心参数输入!$B$57&gt;0,85&gt;=季度投融资!$B$30,85&lt;=季度投融资!$B$29,OR(MOD(85-季度投融资!$B$30,MAX(1,核心参数输入!$B$127))=0,85=季度投融资!$B$29)),IF(85=季度投融资!$B$29,CK40+CK39,MIN(CK40+CK39,核心参数输入!$B$57/MAX(1,季度投融资!$B$31))),0),0)</f>
        <v>0</v>
      </c>
      <c r="CL41" s="9">
        <f>IF(86&lt;=核心参数输入!$B$9*4,IF(AND(核心参数输入!$B$57&gt;0,86&gt;=季度投融资!$B$30,86&lt;=季度投融资!$B$29,OR(MOD(86-季度投融资!$B$30,MAX(1,核心参数输入!$B$127))=0,86=季度投融资!$B$29)),IF(86=季度投融资!$B$29,CL40+CL39,MIN(CL40+CL39,核心参数输入!$B$57/MAX(1,季度投融资!$B$31))),0),0)</f>
        <v>0</v>
      </c>
      <c r="CM41" s="9">
        <f>IF(87&lt;=核心参数输入!$B$9*4,IF(AND(核心参数输入!$B$57&gt;0,87&gt;=季度投融资!$B$30,87&lt;=季度投融资!$B$29,OR(MOD(87-季度投融资!$B$30,MAX(1,核心参数输入!$B$127))=0,87=季度投融资!$B$29)),IF(87=季度投融资!$B$29,CM40+CM39,MIN(CM40+CM39,核心参数输入!$B$57/MAX(1,季度投融资!$B$31))),0),0)</f>
        <v>0</v>
      </c>
      <c r="CN41" s="9">
        <f>IF(88&lt;=核心参数输入!$B$9*4,IF(AND(核心参数输入!$B$57&gt;0,88&gt;=季度投融资!$B$30,88&lt;=季度投融资!$B$29,OR(MOD(88-季度投融资!$B$30,MAX(1,核心参数输入!$B$127))=0,88=季度投融资!$B$29)),IF(88=季度投融资!$B$29,CN40+CN39,MIN(CN40+CN39,核心参数输入!$B$57/MAX(1,季度投融资!$B$31))),0),0)</f>
        <v>0</v>
      </c>
      <c r="CO41" s="9">
        <f>IF(89&lt;=核心参数输入!$B$9*4,IF(AND(核心参数输入!$B$57&gt;0,89&gt;=季度投融资!$B$30,89&lt;=季度投融资!$B$29,OR(MOD(89-季度投融资!$B$30,MAX(1,核心参数输入!$B$127))=0,89=季度投融资!$B$29)),IF(89=季度投融资!$B$29,CO40+CO39,MIN(CO40+CO39,核心参数输入!$B$57/MAX(1,季度投融资!$B$31))),0),0)</f>
        <v>0</v>
      </c>
      <c r="CP41" s="9">
        <f>IF(90&lt;=核心参数输入!$B$9*4,IF(AND(核心参数输入!$B$57&gt;0,90&gt;=季度投融资!$B$30,90&lt;=季度投融资!$B$29,OR(MOD(90-季度投融资!$B$30,MAX(1,核心参数输入!$B$127))=0,90=季度投融资!$B$29)),IF(90=季度投融资!$B$29,CP40+CP39,MIN(CP40+CP39,核心参数输入!$B$57/MAX(1,季度投融资!$B$31))),0),0)</f>
        <v>0</v>
      </c>
      <c r="CQ41" s="9">
        <f>IF(91&lt;=核心参数输入!$B$9*4,IF(AND(核心参数输入!$B$57&gt;0,91&gt;=季度投融资!$B$30,91&lt;=季度投融资!$B$29,OR(MOD(91-季度投融资!$B$30,MAX(1,核心参数输入!$B$127))=0,91=季度投融资!$B$29)),IF(91=季度投融资!$B$29,CQ40+CQ39,MIN(CQ40+CQ39,核心参数输入!$B$57/MAX(1,季度投融资!$B$31))),0),0)</f>
        <v>0</v>
      </c>
      <c r="CR41" s="9">
        <f>IF(92&lt;=核心参数输入!$B$9*4,IF(AND(核心参数输入!$B$57&gt;0,92&gt;=季度投融资!$B$30,92&lt;=季度投融资!$B$29,OR(MOD(92-季度投融资!$B$30,MAX(1,核心参数输入!$B$127))=0,92=季度投融资!$B$29)),IF(92=季度投融资!$B$29,CR40+CR39,MIN(CR40+CR39,核心参数输入!$B$57/MAX(1,季度投融资!$B$31))),0),0)</f>
        <v>0</v>
      </c>
      <c r="CS41" s="9">
        <f>IF(93&lt;=核心参数输入!$B$9*4,IF(AND(核心参数输入!$B$57&gt;0,93&gt;=季度投融资!$B$30,93&lt;=季度投融资!$B$29,OR(MOD(93-季度投融资!$B$30,MAX(1,核心参数输入!$B$127))=0,93=季度投融资!$B$29)),IF(93=季度投融资!$B$29,CS40+CS39,MIN(CS40+CS39,核心参数输入!$B$57/MAX(1,季度投融资!$B$31))),0),0)</f>
        <v>0</v>
      </c>
      <c r="CT41" s="9">
        <f>IF(94&lt;=核心参数输入!$B$9*4,IF(AND(核心参数输入!$B$57&gt;0,94&gt;=季度投融资!$B$30,94&lt;=季度投融资!$B$29,OR(MOD(94-季度投融资!$B$30,MAX(1,核心参数输入!$B$127))=0,94=季度投融资!$B$29)),IF(94=季度投融资!$B$29,CT40+CT39,MIN(CT40+CT39,核心参数输入!$B$57/MAX(1,季度投融资!$B$31))),0),0)</f>
        <v>0</v>
      </c>
      <c r="CU41" s="9">
        <f>IF(95&lt;=核心参数输入!$B$9*4,IF(AND(核心参数输入!$B$57&gt;0,95&gt;=季度投融资!$B$30,95&lt;=季度投融资!$B$29,OR(MOD(95-季度投融资!$B$30,MAX(1,核心参数输入!$B$127))=0,95=季度投融资!$B$29)),IF(95=季度投融资!$B$29,CU40+CU39,MIN(CU40+CU39,核心参数输入!$B$57/MAX(1,季度投融资!$B$31))),0),0)</f>
        <v>0</v>
      </c>
      <c r="CV41" s="9">
        <f>IF(96&lt;=核心参数输入!$B$9*4,IF(AND(核心参数输入!$B$57&gt;0,96&gt;=季度投融资!$B$30,96&lt;=季度投融资!$B$29,OR(MOD(96-季度投融资!$B$30,MAX(1,核心参数输入!$B$127))=0,96=季度投融资!$B$29)),IF(96=季度投融资!$B$29,CV40+CV39,MIN(CV40+CV39,核心参数输入!$B$57/MAX(1,季度投融资!$B$31))),0),0)</f>
        <v>0</v>
      </c>
      <c r="CW41" s="9">
        <f>IF(97&lt;=核心参数输入!$B$9*4,IF(AND(核心参数输入!$B$57&gt;0,97&gt;=季度投融资!$B$30,97&lt;=季度投融资!$B$29,OR(MOD(97-季度投融资!$B$30,MAX(1,核心参数输入!$B$127))=0,97=季度投融资!$B$29)),IF(97=季度投融资!$B$29,CW40+CW39,MIN(CW40+CW39,核心参数输入!$B$57/MAX(1,季度投融资!$B$31))),0),0)</f>
        <v>0</v>
      </c>
      <c r="CX41" s="9">
        <f>IF(98&lt;=核心参数输入!$B$9*4,IF(AND(核心参数输入!$B$57&gt;0,98&gt;=季度投融资!$B$30,98&lt;=季度投融资!$B$29,OR(MOD(98-季度投融资!$B$30,MAX(1,核心参数输入!$B$127))=0,98=季度投融资!$B$29)),IF(98=季度投融资!$B$29,CX40+CX39,MIN(CX40+CX39,核心参数输入!$B$57/MAX(1,季度投融资!$B$31))),0),0)</f>
        <v>0</v>
      </c>
      <c r="CY41" s="9">
        <f>IF(99&lt;=核心参数输入!$B$9*4,IF(AND(核心参数输入!$B$57&gt;0,99&gt;=季度投融资!$B$30,99&lt;=季度投融资!$B$29,OR(MOD(99-季度投融资!$B$30,MAX(1,核心参数输入!$B$127))=0,99=季度投融资!$B$29)),IF(99=季度投融资!$B$29,CY40+CY39,MIN(CY40+CY39,核心参数输入!$B$57/MAX(1,季度投融资!$B$31))),0),0)</f>
        <v>0</v>
      </c>
      <c r="CZ41" s="9">
        <f>IF(100&lt;=核心参数输入!$B$9*4,IF(AND(核心参数输入!$B$57&gt;0,100&gt;=季度投融资!$B$30,100&lt;=季度投融资!$B$29,OR(MOD(100-季度投融资!$B$30,MAX(1,核心参数输入!$B$127))=0,100=季度投融资!$B$29)),IF(100=季度投融资!$B$29,CZ40+CZ39,MIN(CZ40+CZ39,核心参数输入!$B$57/MAX(1,季度投融资!$B$31))),0),0)</f>
        <v>0</v>
      </c>
      <c r="DA41" s="9">
        <f>IF(101&lt;=核心参数输入!$B$9*4,IF(AND(核心参数输入!$B$57&gt;0,101&gt;=季度投融资!$B$30,101&lt;=季度投融资!$B$29,OR(MOD(101-季度投融资!$B$30,MAX(1,核心参数输入!$B$127))=0,101=季度投融资!$B$29)),IF(101=季度投融资!$B$29,DA40+DA39,MIN(DA40+DA39,核心参数输入!$B$57/MAX(1,季度投融资!$B$31))),0),0)</f>
        <v>0</v>
      </c>
      <c r="DB41" s="9">
        <f>IF(102&lt;=核心参数输入!$B$9*4,IF(AND(核心参数输入!$B$57&gt;0,102&gt;=季度投融资!$B$30,102&lt;=季度投融资!$B$29,OR(MOD(102-季度投融资!$B$30,MAX(1,核心参数输入!$B$127))=0,102=季度投融资!$B$29)),IF(102=季度投融资!$B$29,DB40+DB39,MIN(DB40+DB39,核心参数输入!$B$57/MAX(1,季度投融资!$B$31))),0),0)</f>
        <v>0</v>
      </c>
      <c r="DC41" s="9">
        <f>IF(103&lt;=核心参数输入!$B$9*4,IF(AND(核心参数输入!$B$57&gt;0,103&gt;=季度投融资!$B$30,103&lt;=季度投融资!$B$29,OR(MOD(103-季度投融资!$B$30,MAX(1,核心参数输入!$B$127))=0,103=季度投融资!$B$29)),IF(103=季度投融资!$B$29,DC40+DC39,MIN(DC40+DC39,核心参数输入!$B$57/MAX(1,季度投融资!$B$31))),0),0)</f>
        <v>0</v>
      </c>
      <c r="DD41" s="9">
        <f>IF(104&lt;=核心参数输入!$B$9*4,IF(AND(核心参数输入!$B$57&gt;0,104&gt;=季度投融资!$B$30,104&lt;=季度投融资!$B$29,OR(MOD(104-季度投融资!$B$30,MAX(1,核心参数输入!$B$127))=0,104=季度投融资!$B$29)),IF(104=季度投融资!$B$29,DD40+DD39,MIN(DD40+DD39,核心参数输入!$B$57/MAX(1,季度投融资!$B$31))),0),0)</f>
        <v>0</v>
      </c>
      <c r="DE41" s="9">
        <f>IF(105&lt;=核心参数输入!$B$9*4,IF(AND(核心参数输入!$B$57&gt;0,105&gt;=季度投融资!$B$30,105&lt;=季度投融资!$B$29,OR(MOD(105-季度投融资!$B$30,MAX(1,核心参数输入!$B$127))=0,105=季度投融资!$B$29)),IF(105=季度投融资!$B$29,DE40+DE39,MIN(DE40+DE39,核心参数输入!$B$57/MAX(1,季度投融资!$B$31))),0),0)</f>
        <v>0</v>
      </c>
      <c r="DF41" s="9">
        <f>IF(106&lt;=核心参数输入!$B$9*4,IF(AND(核心参数输入!$B$57&gt;0,106&gt;=季度投融资!$B$30,106&lt;=季度投融资!$B$29,OR(MOD(106-季度投融资!$B$30,MAX(1,核心参数输入!$B$127))=0,106=季度投融资!$B$29)),IF(106=季度投融资!$B$29,DF40+DF39,MIN(DF40+DF39,核心参数输入!$B$57/MAX(1,季度投融资!$B$31))),0),0)</f>
        <v>0</v>
      </c>
      <c r="DG41" s="9">
        <f>IF(107&lt;=核心参数输入!$B$9*4,IF(AND(核心参数输入!$B$57&gt;0,107&gt;=季度投融资!$B$30,107&lt;=季度投融资!$B$29,OR(MOD(107-季度投融资!$B$30,MAX(1,核心参数输入!$B$127))=0,107=季度投融资!$B$29)),IF(107=季度投融资!$B$29,DG40+DG39,MIN(DG40+DG39,核心参数输入!$B$57/MAX(1,季度投融资!$B$31))),0),0)</f>
        <v>0</v>
      </c>
      <c r="DH41" s="9">
        <f>IF(108&lt;=核心参数输入!$B$9*4,IF(AND(核心参数输入!$B$57&gt;0,108&gt;=季度投融资!$B$30,108&lt;=季度投融资!$B$29,OR(MOD(108-季度投融资!$B$30,MAX(1,核心参数输入!$B$127))=0,108=季度投融资!$B$29)),IF(108=季度投融资!$B$29,DH40+DH39,MIN(DH40+DH39,核心参数输入!$B$57/MAX(1,季度投融资!$B$31))),0),0)</f>
        <v>0</v>
      </c>
      <c r="DI41" s="9">
        <f>IF(109&lt;=核心参数输入!$B$9*4,IF(AND(核心参数输入!$B$57&gt;0,109&gt;=季度投融资!$B$30,109&lt;=季度投融资!$B$29,OR(MOD(109-季度投融资!$B$30,MAX(1,核心参数输入!$B$127))=0,109=季度投融资!$B$29)),IF(109=季度投融资!$B$29,DI40+DI39,MIN(DI40+DI39,核心参数输入!$B$57/MAX(1,季度投融资!$B$31))),0),0)</f>
        <v>0</v>
      </c>
      <c r="DJ41" s="9">
        <f>IF(110&lt;=核心参数输入!$B$9*4,IF(AND(核心参数输入!$B$57&gt;0,110&gt;=季度投融资!$B$30,110&lt;=季度投融资!$B$29,OR(MOD(110-季度投融资!$B$30,MAX(1,核心参数输入!$B$127))=0,110=季度投融资!$B$29)),IF(110=季度投融资!$B$29,DJ40+DJ39,MIN(DJ40+DJ39,核心参数输入!$B$57/MAX(1,季度投融资!$B$31))),0),0)</f>
        <v>0</v>
      </c>
      <c r="DK41" s="9">
        <f>IF(111&lt;=核心参数输入!$B$9*4,IF(AND(核心参数输入!$B$57&gt;0,111&gt;=季度投融资!$B$30,111&lt;=季度投融资!$B$29,OR(MOD(111-季度投融资!$B$30,MAX(1,核心参数输入!$B$127))=0,111=季度投融资!$B$29)),IF(111=季度投融资!$B$29,DK40+DK39,MIN(DK40+DK39,核心参数输入!$B$57/MAX(1,季度投融资!$B$31))),0),0)</f>
        <v>0</v>
      </c>
      <c r="DL41" s="9">
        <f>IF(112&lt;=核心参数输入!$B$9*4,IF(AND(核心参数输入!$B$57&gt;0,112&gt;=季度投融资!$B$30,112&lt;=季度投融资!$B$29,OR(MOD(112-季度投融资!$B$30,MAX(1,核心参数输入!$B$127))=0,112=季度投融资!$B$29)),IF(112=季度投融资!$B$29,DL40+DL39,MIN(DL40+DL39,核心参数输入!$B$57/MAX(1,季度投融资!$B$31))),0),0)</f>
        <v>0</v>
      </c>
      <c r="DM41" s="9">
        <f>IF(113&lt;=核心参数输入!$B$9*4,IF(AND(核心参数输入!$B$57&gt;0,113&gt;=季度投融资!$B$30,113&lt;=季度投融资!$B$29,OR(MOD(113-季度投融资!$B$30,MAX(1,核心参数输入!$B$127))=0,113=季度投融资!$B$29)),IF(113=季度投融资!$B$29,DM40+DM39,MIN(DM40+DM39,核心参数输入!$B$57/MAX(1,季度投融资!$B$31))),0),0)</f>
        <v>0</v>
      </c>
      <c r="DN41" s="9">
        <f>IF(114&lt;=核心参数输入!$B$9*4,IF(AND(核心参数输入!$B$57&gt;0,114&gt;=季度投融资!$B$30,114&lt;=季度投融资!$B$29,OR(MOD(114-季度投融资!$B$30,MAX(1,核心参数输入!$B$127))=0,114=季度投融资!$B$29)),IF(114=季度投融资!$B$29,DN40+DN39,MIN(DN40+DN39,核心参数输入!$B$57/MAX(1,季度投融资!$B$31))),0),0)</f>
        <v>0</v>
      </c>
      <c r="DO41" s="9">
        <f>IF(115&lt;=核心参数输入!$B$9*4,IF(AND(核心参数输入!$B$57&gt;0,115&gt;=季度投融资!$B$30,115&lt;=季度投融资!$B$29,OR(MOD(115-季度投融资!$B$30,MAX(1,核心参数输入!$B$127))=0,115=季度投融资!$B$29)),IF(115=季度投融资!$B$29,DO40+DO39,MIN(DO40+DO39,核心参数输入!$B$57/MAX(1,季度投融资!$B$31))),0),0)</f>
        <v>0</v>
      </c>
      <c r="DP41" s="9">
        <f>IF(116&lt;=核心参数输入!$B$9*4,IF(AND(核心参数输入!$B$57&gt;0,116&gt;=季度投融资!$B$30,116&lt;=季度投融资!$B$29,OR(MOD(116-季度投融资!$B$30,MAX(1,核心参数输入!$B$127))=0,116=季度投融资!$B$29)),IF(116=季度投融资!$B$29,DP40+DP39,MIN(DP40+DP39,核心参数输入!$B$57/MAX(1,季度投融资!$B$31))),0),0)</f>
        <v>0</v>
      </c>
      <c r="DQ41" s="9">
        <f>IF(117&lt;=核心参数输入!$B$9*4,IF(AND(核心参数输入!$B$57&gt;0,117&gt;=季度投融资!$B$30,117&lt;=季度投融资!$B$29,OR(MOD(117-季度投融资!$B$30,MAX(1,核心参数输入!$B$127))=0,117=季度投融资!$B$29)),IF(117=季度投融资!$B$29,DQ40+DQ39,MIN(DQ40+DQ39,核心参数输入!$B$57/MAX(1,季度投融资!$B$31))),0),0)</f>
        <v>0</v>
      </c>
      <c r="DR41" s="9">
        <f>IF(118&lt;=核心参数输入!$B$9*4,IF(AND(核心参数输入!$B$57&gt;0,118&gt;=季度投融资!$B$30,118&lt;=季度投融资!$B$29,OR(MOD(118-季度投融资!$B$30,MAX(1,核心参数输入!$B$127))=0,118=季度投融资!$B$29)),IF(118=季度投融资!$B$29,DR40+DR39,MIN(DR40+DR39,核心参数输入!$B$57/MAX(1,季度投融资!$B$31))),0),0)</f>
        <v>0</v>
      </c>
      <c r="DS41" s="9">
        <f>IF(119&lt;=核心参数输入!$B$9*4,IF(AND(核心参数输入!$B$57&gt;0,119&gt;=季度投融资!$B$30,119&lt;=季度投融资!$B$29,OR(MOD(119-季度投融资!$B$30,MAX(1,核心参数输入!$B$127))=0,119=季度投融资!$B$29)),IF(119=季度投融资!$B$29,DS40+DS39,MIN(DS40+DS39,核心参数输入!$B$57/MAX(1,季度投融资!$B$31))),0),0)</f>
        <v>0</v>
      </c>
      <c r="DT41" s="9">
        <f>IF(120&lt;=核心参数输入!$B$9*4,IF(AND(核心参数输入!$B$57&gt;0,120&gt;=季度投融资!$B$30,120&lt;=季度投融资!$B$29,OR(MOD(120-季度投融资!$B$30,MAX(1,核心参数输入!$B$127))=0,120=季度投融资!$B$29)),IF(120=季度投融资!$B$29,DT40+DT39,MIN(DT40+DT39,核心参数输入!$B$57/MAX(1,季度投融资!$B$31))),0),0)</f>
        <v>0</v>
      </c>
    </row>
    <row r="42" spans="1:124" ht="21" customHeight="1">
      <c r="A42" s="8" t="s">
        <v>433</v>
      </c>
      <c r="B42" s="8" t="s">
        <v>39</v>
      </c>
      <c r="C42" s="8"/>
      <c r="D42" s="9">
        <f>IF(0&lt;=核心参数输入!$B$9*4,MAX(0,D40+D39/2-D41/2)*核心参数输入!$B$58/4,0)</f>
        <v>0</v>
      </c>
      <c r="E42" s="9">
        <f>IF(1&lt;=核心参数输入!$B$9*4,MAX(0,E40+E39/2-E41/2)*核心参数输入!$B$58/4,0)</f>
        <v>11.8125</v>
      </c>
      <c r="F42" s="9">
        <f>IF(2&lt;=核心参数输入!$B$9*4,MAX(0,F40+F39/2-F41/2)*核心参数输入!$B$58/4,0)</f>
        <v>35.4375</v>
      </c>
      <c r="G42" s="9">
        <f>IF(3&lt;=核心参数输入!$B$9*4,MAX(0,G40+G39/2-G41/2)*核心参数输入!$B$58/4,0)</f>
        <v>59.062500000000007</v>
      </c>
      <c r="H42" s="9">
        <f>IF(4&lt;=核心参数输入!$B$9*4,MAX(0,H40+H39/2-H41/2)*核心参数输入!$B$58/4,0)</f>
        <v>82.6875</v>
      </c>
      <c r="I42" s="9">
        <f>IF(5&lt;=核心参数输入!$B$9*4,MAX(0,I40+I39/2-I41/2)*核心参数输入!$B$58/4,0)</f>
        <v>110.25</v>
      </c>
      <c r="J42" s="9">
        <f>IF(6&lt;=核心参数输入!$B$9*4,MAX(0,J40+J39/2-J41/2)*核心参数输入!$B$58/4,0)</f>
        <v>141.75</v>
      </c>
      <c r="K42" s="9">
        <f>IF(7&lt;=核心参数输入!$B$9*4,MAX(0,K40+K39/2-K41/2)*核心参数输入!$B$58/4,0)</f>
        <v>173.25</v>
      </c>
      <c r="L42" s="9">
        <f>IF(8&lt;=核心参数输入!$B$9*4,MAX(0,L40+L39/2-L41/2)*核心参数输入!$B$58/4,0)</f>
        <v>204.75</v>
      </c>
      <c r="M42" s="9">
        <f>IF(9&lt;=核心参数输入!$B$9*4,MAX(0,M40+M39/2-M41/2)*核心参数输入!$B$58/4,0)</f>
        <v>232.31250000000003</v>
      </c>
      <c r="N42" s="9">
        <f>IF(10&lt;=核心参数输入!$B$9*4,MAX(0,N40+N39/2-N41/2)*核心参数输入!$B$58/4,0)</f>
        <v>255.93750000000003</v>
      </c>
      <c r="O42" s="9">
        <f>IF(11&lt;=核心参数输入!$B$9*4,MAX(0,O40+O39/2-O41/2)*核心参数输入!$B$58/4,0)</f>
        <v>279.5625</v>
      </c>
      <c r="P42" s="9">
        <f>IF(12&lt;=核心参数输入!$B$9*4,MAX(0,P40+P39/2-P41/2)*核心参数输入!$B$58/4,0)</f>
        <v>303.1875</v>
      </c>
      <c r="Q42" s="9">
        <f>IF(13&lt;=核心参数输入!$B$9*4,MAX(0,Q40+Q39/2-Q41/2)*核心参数输入!$B$58/4,0)</f>
        <v>315</v>
      </c>
      <c r="R42" s="9">
        <f>IF(14&lt;=核心参数输入!$B$9*4,MAX(0,R40+R39/2-R41/2)*核心参数输入!$B$58/4,0)</f>
        <v>315</v>
      </c>
      <c r="S42" s="9">
        <f>IF(15&lt;=核心参数输入!$B$9*4,MAX(0,S40+S39/2-S41/2)*核心参数输入!$B$58/4,0)</f>
        <v>315</v>
      </c>
      <c r="T42" s="9">
        <f>IF(16&lt;=核心参数输入!$B$9*4,MAX(0,T40+T39/2-T41/2)*核心参数输入!$B$58/4,0)</f>
        <v>292.50000000000006</v>
      </c>
      <c r="U42" s="9">
        <f>IF(17&lt;=核心参数输入!$B$9*4,MAX(0,U40+U39/2-U41/2)*核心参数输入!$B$58/4,0)</f>
        <v>270</v>
      </c>
      <c r="V42" s="9">
        <f>IF(18&lt;=核心参数输入!$B$9*4,MAX(0,V40+V39/2-V41/2)*核心参数输入!$B$58/4,0)</f>
        <v>270</v>
      </c>
      <c r="W42" s="9">
        <f>IF(19&lt;=核心参数输入!$B$9*4,MAX(0,W40+W39/2-W41/2)*核心参数输入!$B$58/4,0)</f>
        <v>270</v>
      </c>
      <c r="X42" s="9">
        <f>IF(20&lt;=核心参数输入!$B$9*4,MAX(0,X40+X39/2-X41/2)*核心参数输入!$B$58/4,0)</f>
        <v>247.50000000000003</v>
      </c>
      <c r="Y42" s="9">
        <f>IF(21&lt;=核心参数输入!$B$9*4,MAX(0,Y40+Y39/2-Y41/2)*核心参数输入!$B$58/4,0)</f>
        <v>225</v>
      </c>
      <c r="Z42" s="9">
        <f>IF(22&lt;=核心参数输入!$B$9*4,MAX(0,Z40+Z39/2-Z41/2)*核心参数输入!$B$58/4,0)</f>
        <v>225</v>
      </c>
      <c r="AA42" s="9">
        <f>IF(23&lt;=核心参数输入!$B$9*4,MAX(0,AA40+AA39/2-AA41/2)*核心参数输入!$B$58/4,0)</f>
        <v>225</v>
      </c>
      <c r="AB42" s="9">
        <f>IF(24&lt;=核心参数输入!$B$9*4,MAX(0,AB40+AB39/2-AB41/2)*核心参数输入!$B$58/4,0)</f>
        <v>202.50000000000003</v>
      </c>
      <c r="AC42" s="9">
        <f>IF(25&lt;=核心参数输入!$B$9*4,MAX(0,AC40+AC39/2-AC41/2)*核心参数输入!$B$58/4,0)</f>
        <v>180</v>
      </c>
      <c r="AD42" s="9">
        <f>IF(26&lt;=核心参数输入!$B$9*4,MAX(0,AD40+AD39/2-AD41/2)*核心参数输入!$B$58/4,0)</f>
        <v>180</v>
      </c>
      <c r="AE42" s="9">
        <f>IF(27&lt;=核心参数输入!$B$9*4,MAX(0,AE40+AE39/2-AE41/2)*核心参数输入!$B$58/4,0)</f>
        <v>180</v>
      </c>
      <c r="AF42" s="9">
        <f>IF(28&lt;=核心参数输入!$B$9*4,MAX(0,AF40+AF39/2-AF41/2)*核心参数输入!$B$58/4,0)</f>
        <v>157.5</v>
      </c>
      <c r="AG42" s="9">
        <f>IF(29&lt;=核心参数输入!$B$9*4,MAX(0,AG40+AG39/2-AG41/2)*核心参数输入!$B$58/4,0)</f>
        <v>135</v>
      </c>
      <c r="AH42" s="9">
        <f>IF(30&lt;=核心参数输入!$B$9*4,MAX(0,AH40+AH39/2-AH41/2)*核心参数输入!$B$58/4,0)</f>
        <v>135</v>
      </c>
      <c r="AI42" s="9">
        <f>IF(31&lt;=核心参数输入!$B$9*4,MAX(0,AI40+AI39/2-AI41/2)*核心参数输入!$B$58/4,0)</f>
        <v>135</v>
      </c>
      <c r="AJ42" s="9">
        <f>IF(32&lt;=核心参数输入!$B$9*4,MAX(0,AJ40+AJ39/2-AJ41/2)*核心参数输入!$B$58/4,0)</f>
        <v>112.49999999999999</v>
      </c>
      <c r="AK42" s="9">
        <f>IF(33&lt;=核心参数输入!$B$9*4,MAX(0,AK40+AK39/2-AK41/2)*核心参数输入!$B$58/4,0)</f>
        <v>89.999999999999972</v>
      </c>
      <c r="AL42" s="9">
        <f>IF(34&lt;=核心参数输入!$B$9*4,MAX(0,AL40+AL39/2-AL41/2)*核心参数输入!$B$58/4,0)</f>
        <v>89.999999999999972</v>
      </c>
      <c r="AM42" s="9">
        <f>IF(35&lt;=核心参数输入!$B$9*4,MAX(0,AM40+AM39/2-AM41/2)*核心参数输入!$B$58/4,0)</f>
        <v>89.999999999999972</v>
      </c>
      <c r="AN42" s="9">
        <f>IF(36&lt;=核心参数输入!$B$9*4,MAX(0,AN40+AN39/2-AN41/2)*核心参数输入!$B$58/4,0)</f>
        <v>67.499999999999972</v>
      </c>
      <c r="AO42" s="9">
        <f>IF(37&lt;=核心参数输入!$B$9*4,MAX(0,AO40+AO39/2-AO41/2)*核心参数输入!$B$58/4,0)</f>
        <v>44.999999999999979</v>
      </c>
      <c r="AP42" s="9">
        <f>IF(38&lt;=核心参数输入!$B$9*4,MAX(0,AP40+AP39/2-AP41/2)*核心参数输入!$B$58/4,0)</f>
        <v>44.999999999999979</v>
      </c>
      <c r="AQ42" s="9">
        <f>IF(39&lt;=核心参数输入!$B$9*4,MAX(0,AQ40+AQ39/2-AQ41/2)*核心参数输入!$B$58/4,0)</f>
        <v>44.999999999999979</v>
      </c>
      <c r="AR42" s="9">
        <f>IF(40&lt;=核心参数输入!$B$9*4,MAX(0,AR40+AR39/2-AR41/2)*核心参数输入!$B$58/4,0)</f>
        <v>22.499999999999989</v>
      </c>
      <c r="AS42" s="9">
        <f>IF(41&lt;=核心参数输入!$B$9*4,MAX(0,AS40+AS39/2-AS41/2)*核心参数输入!$B$58/4,0)</f>
        <v>0</v>
      </c>
      <c r="AT42" s="9">
        <f>IF(42&lt;=核心参数输入!$B$9*4,MAX(0,AT40+AT39/2-AT41/2)*核心参数输入!$B$58/4,0)</f>
        <v>0</v>
      </c>
      <c r="AU42" s="9">
        <f>IF(43&lt;=核心参数输入!$B$9*4,MAX(0,AU40+AU39/2-AU41/2)*核心参数输入!$B$58/4,0)</f>
        <v>0</v>
      </c>
      <c r="AV42" s="9">
        <f>IF(44&lt;=核心参数输入!$B$9*4,MAX(0,AV40+AV39/2-AV41/2)*核心参数输入!$B$58/4,0)</f>
        <v>0</v>
      </c>
      <c r="AW42" s="9">
        <f>IF(45&lt;=核心参数输入!$B$9*4,MAX(0,AW40+AW39/2-AW41/2)*核心参数输入!$B$58/4,0)</f>
        <v>0</v>
      </c>
      <c r="AX42" s="9">
        <f>IF(46&lt;=核心参数输入!$B$9*4,MAX(0,AX40+AX39/2-AX41/2)*核心参数输入!$B$58/4,0)</f>
        <v>0</v>
      </c>
      <c r="AY42" s="9">
        <f>IF(47&lt;=核心参数输入!$B$9*4,MAX(0,AY40+AY39/2-AY41/2)*核心参数输入!$B$58/4,0)</f>
        <v>0</v>
      </c>
      <c r="AZ42" s="9">
        <f>IF(48&lt;=核心参数输入!$B$9*4,MAX(0,AZ40+AZ39/2-AZ41/2)*核心参数输入!$B$58/4,0)</f>
        <v>0</v>
      </c>
      <c r="BA42" s="9">
        <f>IF(49&lt;=核心参数输入!$B$9*4,MAX(0,BA40+BA39/2-BA41/2)*核心参数输入!$B$58/4,0)</f>
        <v>0</v>
      </c>
      <c r="BB42" s="9">
        <f>IF(50&lt;=核心参数输入!$B$9*4,MAX(0,BB40+BB39/2-BB41/2)*核心参数输入!$B$58/4,0)</f>
        <v>0</v>
      </c>
      <c r="BC42" s="9">
        <f>IF(51&lt;=核心参数输入!$B$9*4,MAX(0,BC40+BC39/2-BC41/2)*核心参数输入!$B$58/4,0)</f>
        <v>0</v>
      </c>
      <c r="BD42" s="9">
        <f>IF(52&lt;=核心参数输入!$B$9*4,MAX(0,BD40+BD39/2-BD41/2)*核心参数输入!$B$58/4,0)</f>
        <v>0</v>
      </c>
      <c r="BE42" s="9">
        <f>IF(53&lt;=核心参数输入!$B$9*4,MAX(0,BE40+BE39/2-BE41/2)*核心参数输入!$B$58/4,0)</f>
        <v>0</v>
      </c>
      <c r="BF42" s="9">
        <f>IF(54&lt;=核心参数输入!$B$9*4,MAX(0,BF40+BF39/2-BF41/2)*核心参数输入!$B$58/4,0)</f>
        <v>0</v>
      </c>
      <c r="BG42" s="9">
        <f>IF(55&lt;=核心参数输入!$B$9*4,MAX(0,BG40+BG39/2-BG41/2)*核心参数输入!$B$58/4,0)</f>
        <v>0</v>
      </c>
      <c r="BH42" s="9">
        <f>IF(56&lt;=核心参数输入!$B$9*4,MAX(0,BH40+BH39/2-BH41/2)*核心参数输入!$B$58/4,0)</f>
        <v>0</v>
      </c>
      <c r="BI42" s="9">
        <f>IF(57&lt;=核心参数输入!$B$9*4,MAX(0,BI40+BI39/2-BI41/2)*核心参数输入!$B$58/4,0)</f>
        <v>0</v>
      </c>
      <c r="BJ42" s="9">
        <f>IF(58&lt;=核心参数输入!$B$9*4,MAX(0,BJ40+BJ39/2-BJ41/2)*核心参数输入!$B$58/4,0)</f>
        <v>0</v>
      </c>
      <c r="BK42" s="9">
        <f>IF(59&lt;=核心参数输入!$B$9*4,MAX(0,BK40+BK39/2-BK41/2)*核心参数输入!$B$58/4,0)</f>
        <v>0</v>
      </c>
      <c r="BL42" s="9">
        <f>IF(60&lt;=核心参数输入!$B$9*4,MAX(0,BL40+BL39/2-BL41/2)*核心参数输入!$B$58/4,0)</f>
        <v>0</v>
      </c>
      <c r="BM42" s="9">
        <f>IF(61&lt;=核心参数输入!$B$9*4,MAX(0,BM40+BM39/2-BM41/2)*核心参数输入!$B$58/4,0)</f>
        <v>0</v>
      </c>
      <c r="BN42" s="9">
        <f>IF(62&lt;=核心参数输入!$B$9*4,MAX(0,BN40+BN39/2-BN41/2)*核心参数输入!$B$58/4,0)</f>
        <v>0</v>
      </c>
      <c r="BO42" s="9">
        <f>IF(63&lt;=核心参数输入!$B$9*4,MAX(0,BO40+BO39/2-BO41/2)*核心参数输入!$B$58/4,0)</f>
        <v>0</v>
      </c>
      <c r="BP42" s="9">
        <f>IF(64&lt;=核心参数输入!$B$9*4,MAX(0,BP40+BP39/2-BP41/2)*核心参数输入!$B$58/4,0)</f>
        <v>0</v>
      </c>
      <c r="BQ42" s="9">
        <f>IF(65&lt;=核心参数输入!$B$9*4,MAX(0,BQ40+BQ39/2-BQ41/2)*核心参数输入!$B$58/4,0)</f>
        <v>0</v>
      </c>
      <c r="BR42" s="9">
        <f>IF(66&lt;=核心参数输入!$B$9*4,MAX(0,BR40+BR39/2-BR41/2)*核心参数输入!$B$58/4,0)</f>
        <v>0</v>
      </c>
      <c r="BS42" s="9">
        <f>IF(67&lt;=核心参数输入!$B$9*4,MAX(0,BS40+BS39/2-BS41/2)*核心参数输入!$B$58/4,0)</f>
        <v>0</v>
      </c>
      <c r="BT42" s="9">
        <f>IF(68&lt;=核心参数输入!$B$9*4,MAX(0,BT40+BT39/2-BT41/2)*核心参数输入!$B$58/4,0)</f>
        <v>0</v>
      </c>
      <c r="BU42" s="9">
        <f>IF(69&lt;=核心参数输入!$B$9*4,MAX(0,BU40+BU39/2-BU41/2)*核心参数输入!$B$58/4,0)</f>
        <v>0</v>
      </c>
      <c r="BV42" s="9">
        <f>IF(70&lt;=核心参数输入!$B$9*4,MAX(0,BV40+BV39/2-BV41/2)*核心参数输入!$B$58/4,0)</f>
        <v>0</v>
      </c>
      <c r="BW42" s="9">
        <f>IF(71&lt;=核心参数输入!$B$9*4,MAX(0,BW40+BW39/2-BW41/2)*核心参数输入!$B$58/4,0)</f>
        <v>0</v>
      </c>
      <c r="BX42" s="9">
        <f>IF(72&lt;=核心参数输入!$B$9*4,MAX(0,BX40+BX39/2-BX41/2)*核心参数输入!$B$58/4,0)</f>
        <v>0</v>
      </c>
      <c r="BY42" s="9">
        <f>IF(73&lt;=核心参数输入!$B$9*4,MAX(0,BY40+BY39/2-BY41/2)*核心参数输入!$B$58/4,0)</f>
        <v>0</v>
      </c>
      <c r="BZ42" s="9">
        <f>IF(74&lt;=核心参数输入!$B$9*4,MAX(0,BZ40+BZ39/2-BZ41/2)*核心参数输入!$B$58/4,0)</f>
        <v>0</v>
      </c>
      <c r="CA42" s="9">
        <f>IF(75&lt;=核心参数输入!$B$9*4,MAX(0,CA40+CA39/2-CA41/2)*核心参数输入!$B$58/4,0)</f>
        <v>0</v>
      </c>
      <c r="CB42" s="9">
        <f>IF(76&lt;=核心参数输入!$B$9*4,MAX(0,CB40+CB39/2-CB41/2)*核心参数输入!$B$58/4,0)</f>
        <v>0</v>
      </c>
      <c r="CC42" s="9">
        <f>IF(77&lt;=核心参数输入!$B$9*4,MAX(0,CC40+CC39/2-CC41/2)*核心参数输入!$B$58/4,0)</f>
        <v>0</v>
      </c>
      <c r="CD42" s="9">
        <f>IF(78&lt;=核心参数输入!$B$9*4,MAX(0,CD40+CD39/2-CD41/2)*核心参数输入!$B$58/4,0)</f>
        <v>0</v>
      </c>
      <c r="CE42" s="9">
        <f>IF(79&lt;=核心参数输入!$B$9*4,MAX(0,CE40+CE39/2-CE41/2)*核心参数输入!$B$58/4,0)</f>
        <v>0</v>
      </c>
      <c r="CF42" s="9">
        <f>IF(80&lt;=核心参数输入!$B$9*4,MAX(0,CF40+CF39/2-CF41/2)*核心参数输入!$B$58/4,0)</f>
        <v>0</v>
      </c>
      <c r="CG42" s="9">
        <f>IF(81&lt;=核心参数输入!$B$9*4,MAX(0,CG40+CG39/2-CG41/2)*核心参数输入!$B$58/4,0)</f>
        <v>0</v>
      </c>
      <c r="CH42" s="9">
        <f>IF(82&lt;=核心参数输入!$B$9*4,MAX(0,CH40+CH39/2-CH41/2)*核心参数输入!$B$58/4,0)</f>
        <v>0</v>
      </c>
      <c r="CI42" s="9">
        <f>IF(83&lt;=核心参数输入!$B$9*4,MAX(0,CI40+CI39/2-CI41/2)*核心参数输入!$B$58/4,0)</f>
        <v>0</v>
      </c>
      <c r="CJ42" s="9">
        <f>IF(84&lt;=核心参数输入!$B$9*4,MAX(0,CJ40+CJ39/2-CJ41/2)*核心参数输入!$B$58/4,0)</f>
        <v>0</v>
      </c>
      <c r="CK42" s="9">
        <f>IF(85&lt;=核心参数输入!$B$9*4,MAX(0,CK40+CK39/2-CK41/2)*核心参数输入!$B$58/4,0)</f>
        <v>0</v>
      </c>
      <c r="CL42" s="9">
        <f>IF(86&lt;=核心参数输入!$B$9*4,MAX(0,CL40+CL39/2-CL41/2)*核心参数输入!$B$58/4,0)</f>
        <v>0</v>
      </c>
      <c r="CM42" s="9">
        <f>IF(87&lt;=核心参数输入!$B$9*4,MAX(0,CM40+CM39/2-CM41/2)*核心参数输入!$B$58/4,0)</f>
        <v>0</v>
      </c>
      <c r="CN42" s="9">
        <f>IF(88&lt;=核心参数输入!$B$9*4,MAX(0,CN40+CN39/2-CN41/2)*核心参数输入!$B$58/4,0)</f>
        <v>0</v>
      </c>
      <c r="CO42" s="9">
        <f>IF(89&lt;=核心参数输入!$B$9*4,MAX(0,CO40+CO39/2-CO41/2)*核心参数输入!$B$58/4,0)</f>
        <v>0</v>
      </c>
      <c r="CP42" s="9">
        <f>IF(90&lt;=核心参数输入!$B$9*4,MAX(0,CP40+CP39/2-CP41/2)*核心参数输入!$B$58/4,0)</f>
        <v>0</v>
      </c>
      <c r="CQ42" s="9">
        <f>IF(91&lt;=核心参数输入!$B$9*4,MAX(0,CQ40+CQ39/2-CQ41/2)*核心参数输入!$B$58/4,0)</f>
        <v>0</v>
      </c>
      <c r="CR42" s="9">
        <f>IF(92&lt;=核心参数输入!$B$9*4,MAX(0,CR40+CR39/2-CR41/2)*核心参数输入!$B$58/4,0)</f>
        <v>0</v>
      </c>
      <c r="CS42" s="9">
        <f>IF(93&lt;=核心参数输入!$B$9*4,MAX(0,CS40+CS39/2-CS41/2)*核心参数输入!$B$58/4,0)</f>
        <v>0</v>
      </c>
      <c r="CT42" s="9">
        <f>IF(94&lt;=核心参数输入!$B$9*4,MAX(0,CT40+CT39/2-CT41/2)*核心参数输入!$B$58/4,0)</f>
        <v>0</v>
      </c>
      <c r="CU42" s="9">
        <f>IF(95&lt;=核心参数输入!$B$9*4,MAX(0,CU40+CU39/2-CU41/2)*核心参数输入!$B$58/4,0)</f>
        <v>0</v>
      </c>
      <c r="CV42" s="9">
        <f>IF(96&lt;=核心参数输入!$B$9*4,MAX(0,CV40+CV39/2-CV41/2)*核心参数输入!$B$58/4,0)</f>
        <v>0</v>
      </c>
      <c r="CW42" s="9">
        <f>IF(97&lt;=核心参数输入!$B$9*4,MAX(0,CW40+CW39/2-CW41/2)*核心参数输入!$B$58/4,0)</f>
        <v>0</v>
      </c>
      <c r="CX42" s="9">
        <f>IF(98&lt;=核心参数输入!$B$9*4,MAX(0,CX40+CX39/2-CX41/2)*核心参数输入!$B$58/4,0)</f>
        <v>0</v>
      </c>
      <c r="CY42" s="9">
        <f>IF(99&lt;=核心参数输入!$B$9*4,MAX(0,CY40+CY39/2-CY41/2)*核心参数输入!$B$58/4,0)</f>
        <v>0</v>
      </c>
      <c r="CZ42" s="9">
        <f>IF(100&lt;=核心参数输入!$B$9*4,MAX(0,CZ40+CZ39/2-CZ41/2)*核心参数输入!$B$58/4,0)</f>
        <v>0</v>
      </c>
      <c r="DA42" s="9">
        <f>IF(101&lt;=核心参数输入!$B$9*4,MAX(0,DA40+DA39/2-DA41/2)*核心参数输入!$B$58/4,0)</f>
        <v>0</v>
      </c>
      <c r="DB42" s="9">
        <f>IF(102&lt;=核心参数输入!$B$9*4,MAX(0,DB40+DB39/2-DB41/2)*核心参数输入!$B$58/4,0)</f>
        <v>0</v>
      </c>
      <c r="DC42" s="9">
        <f>IF(103&lt;=核心参数输入!$B$9*4,MAX(0,DC40+DC39/2-DC41/2)*核心参数输入!$B$58/4,0)</f>
        <v>0</v>
      </c>
      <c r="DD42" s="9">
        <f>IF(104&lt;=核心参数输入!$B$9*4,MAX(0,DD40+DD39/2-DD41/2)*核心参数输入!$B$58/4,0)</f>
        <v>0</v>
      </c>
      <c r="DE42" s="9">
        <f>IF(105&lt;=核心参数输入!$B$9*4,MAX(0,DE40+DE39/2-DE41/2)*核心参数输入!$B$58/4,0)</f>
        <v>0</v>
      </c>
      <c r="DF42" s="9">
        <f>IF(106&lt;=核心参数输入!$B$9*4,MAX(0,DF40+DF39/2-DF41/2)*核心参数输入!$B$58/4,0)</f>
        <v>0</v>
      </c>
      <c r="DG42" s="9">
        <f>IF(107&lt;=核心参数输入!$B$9*4,MAX(0,DG40+DG39/2-DG41/2)*核心参数输入!$B$58/4,0)</f>
        <v>0</v>
      </c>
      <c r="DH42" s="9">
        <f>IF(108&lt;=核心参数输入!$B$9*4,MAX(0,DH40+DH39/2-DH41/2)*核心参数输入!$B$58/4,0)</f>
        <v>0</v>
      </c>
      <c r="DI42" s="9">
        <f>IF(109&lt;=核心参数输入!$B$9*4,MAX(0,DI40+DI39/2-DI41/2)*核心参数输入!$B$58/4,0)</f>
        <v>0</v>
      </c>
      <c r="DJ42" s="9">
        <f>IF(110&lt;=核心参数输入!$B$9*4,MAX(0,DJ40+DJ39/2-DJ41/2)*核心参数输入!$B$58/4,0)</f>
        <v>0</v>
      </c>
      <c r="DK42" s="9">
        <f>IF(111&lt;=核心参数输入!$B$9*4,MAX(0,DK40+DK39/2-DK41/2)*核心参数输入!$B$58/4,0)</f>
        <v>0</v>
      </c>
      <c r="DL42" s="9">
        <f>IF(112&lt;=核心参数输入!$B$9*4,MAX(0,DL40+DL39/2-DL41/2)*核心参数输入!$B$58/4,0)</f>
        <v>0</v>
      </c>
      <c r="DM42" s="9">
        <f>IF(113&lt;=核心参数输入!$B$9*4,MAX(0,DM40+DM39/2-DM41/2)*核心参数输入!$B$58/4,0)</f>
        <v>0</v>
      </c>
      <c r="DN42" s="9">
        <f>IF(114&lt;=核心参数输入!$B$9*4,MAX(0,DN40+DN39/2-DN41/2)*核心参数输入!$B$58/4,0)</f>
        <v>0</v>
      </c>
      <c r="DO42" s="9">
        <f>IF(115&lt;=核心参数输入!$B$9*4,MAX(0,DO40+DO39/2-DO41/2)*核心参数输入!$B$58/4,0)</f>
        <v>0</v>
      </c>
      <c r="DP42" s="9">
        <f>IF(116&lt;=核心参数输入!$B$9*4,MAX(0,DP40+DP39/2-DP41/2)*核心参数输入!$B$58/4,0)</f>
        <v>0</v>
      </c>
      <c r="DQ42" s="9">
        <f>IF(117&lt;=核心参数输入!$B$9*4,MAX(0,DQ40+DQ39/2-DQ41/2)*核心参数输入!$B$58/4,0)</f>
        <v>0</v>
      </c>
      <c r="DR42" s="9">
        <f>IF(118&lt;=核心参数输入!$B$9*4,MAX(0,DR40+DR39/2-DR41/2)*核心参数输入!$B$58/4,0)</f>
        <v>0</v>
      </c>
      <c r="DS42" s="9">
        <f>IF(119&lt;=核心参数输入!$B$9*4,MAX(0,DS40+DS39/2-DS41/2)*核心参数输入!$B$58/4,0)</f>
        <v>0</v>
      </c>
      <c r="DT42" s="9">
        <f>IF(120&lt;=核心参数输入!$B$9*4,MAX(0,DT40+DT39/2-DT41/2)*核心参数输入!$B$58/4,0)</f>
        <v>0</v>
      </c>
    </row>
    <row r="43" spans="1:124" ht="21" customHeight="1">
      <c r="A43" s="8" t="s">
        <v>434</v>
      </c>
      <c r="B43" s="8" t="s">
        <v>39</v>
      </c>
      <c r="C43" s="8"/>
      <c r="D43" s="9">
        <f>IF(0&lt;=核心参数输入!$B$9*4,D40+D39-D41,0)</f>
        <v>0</v>
      </c>
      <c r="E43" s="9">
        <f>IF(1&lt;=核心参数输入!$B$9*4,E40+E39-E41,0)</f>
        <v>2250</v>
      </c>
      <c r="F43" s="9">
        <f>IF(2&lt;=核心参数输入!$B$9*4,F40+F39-F41,0)</f>
        <v>4500</v>
      </c>
      <c r="G43" s="9">
        <f>IF(3&lt;=核心参数输入!$B$9*4,G40+G39-G41,0)</f>
        <v>6750</v>
      </c>
      <c r="H43" s="9">
        <f>IF(4&lt;=核心参数输入!$B$9*4,H40+H39-H41,0)</f>
        <v>9000</v>
      </c>
      <c r="I43" s="9">
        <f>IF(5&lt;=核心参数输入!$B$9*4,I40+I39-I41,0)</f>
        <v>12000</v>
      </c>
      <c r="J43" s="9">
        <f>IF(6&lt;=核心参数输入!$B$9*4,J40+J39-J41,0)</f>
        <v>15000</v>
      </c>
      <c r="K43" s="9">
        <f>IF(7&lt;=核心参数输入!$B$9*4,K40+K39-K41,0)</f>
        <v>18000</v>
      </c>
      <c r="L43" s="9">
        <f>IF(8&lt;=核心参数输入!$B$9*4,L40+L39-L41,0)</f>
        <v>21000</v>
      </c>
      <c r="M43" s="9">
        <f>IF(9&lt;=核心参数输入!$B$9*4,M40+M39-M41,0)</f>
        <v>23250</v>
      </c>
      <c r="N43" s="9">
        <f>IF(10&lt;=核心参数输入!$B$9*4,N40+N39-N41,0)</f>
        <v>25500</v>
      </c>
      <c r="O43" s="9">
        <f>IF(11&lt;=核心参数输入!$B$9*4,O40+O39-O41,0)</f>
        <v>27750</v>
      </c>
      <c r="P43" s="9">
        <f>IF(12&lt;=核心参数输入!$B$9*4,P40+P39-P41,0)</f>
        <v>30000</v>
      </c>
      <c r="Q43" s="9">
        <f>IF(13&lt;=核心参数输入!$B$9*4,Q40+Q39-Q41,0)</f>
        <v>30000</v>
      </c>
      <c r="R43" s="9">
        <f>IF(14&lt;=核心参数输入!$B$9*4,R40+R39-R41,0)</f>
        <v>30000</v>
      </c>
      <c r="S43" s="9">
        <f>IF(15&lt;=核心参数输入!$B$9*4,S40+S39-S41,0)</f>
        <v>30000</v>
      </c>
      <c r="T43" s="9">
        <f>IF(16&lt;=核心参数输入!$B$9*4,T40+T39-T41,0)</f>
        <v>25714.285714285714</v>
      </c>
      <c r="U43" s="9">
        <f>IF(17&lt;=核心参数输入!$B$9*4,U40+U39-U41,0)</f>
        <v>25714.285714285714</v>
      </c>
      <c r="V43" s="9">
        <f>IF(18&lt;=核心参数输入!$B$9*4,V40+V39-V41,0)</f>
        <v>25714.285714285714</v>
      </c>
      <c r="W43" s="9">
        <f>IF(19&lt;=核心参数输入!$B$9*4,W40+W39-W41,0)</f>
        <v>25714.285714285714</v>
      </c>
      <c r="X43" s="9">
        <f>IF(20&lt;=核心参数输入!$B$9*4,X40+X39-X41,0)</f>
        <v>21428.571428571428</v>
      </c>
      <c r="Y43" s="9">
        <f>IF(21&lt;=核心参数输入!$B$9*4,Y40+Y39-Y41,0)</f>
        <v>21428.571428571428</v>
      </c>
      <c r="Z43" s="9">
        <f>IF(22&lt;=核心参数输入!$B$9*4,Z40+Z39-Z41,0)</f>
        <v>21428.571428571428</v>
      </c>
      <c r="AA43" s="9">
        <f>IF(23&lt;=核心参数输入!$B$9*4,AA40+AA39-AA41,0)</f>
        <v>21428.571428571428</v>
      </c>
      <c r="AB43" s="9">
        <f>IF(24&lt;=核心参数输入!$B$9*4,AB40+AB39-AB41,0)</f>
        <v>17142.857142857141</v>
      </c>
      <c r="AC43" s="9">
        <f>IF(25&lt;=核心参数输入!$B$9*4,AC40+AC39-AC41,0)</f>
        <v>17142.857142857141</v>
      </c>
      <c r="AD43" s="9">
        <f>IF(26&lt;=核心参数输入!$B$9*4,AD40+AD39-AD41,0)</f>
        <v>17142.857142857141</v>
      </c>
      <c r="AE43" s="9">
        <f>IF(27&lt;=核心参数输入!$B$9*4,AE40+AE39-AE41,0)</f>
        <v>17142.857142857141</v>
      </c>
      <c r="AF43" s="9">
        <f>IF(28&lt;=核心参数输入!$B$9*4,AF40+AF39-AF41,0)</f>
        <v>12857.142857142855</v>
      </c>
      <c r="AG43" s="9">
        <f>IF(29&lt;=核心参数输入!$B$9*4,AG40+AG39-AG41,0)</f>
        <v>12857.142857142855</v>
      </c>
      <c r="AH43" s="9">
        <f>IF(30&lt;=核心参数输入!$B$9*4,AH40+AH39-AH41,0)</f>
        <v>12857.142857142855</v>
      </c>
      <c r="AI43" s="9">
        <f>IF(31&lt;=核心参数输入!$B$9*4,AI40+AI39-AI41,0)</f>
        <v>12857.142857142855</v>
      </c>
      <c r="AJ43" s="9">
        <f>IF(32&lt;=核心参数输入!$B$9*4,AJ40+AJ39-AJ41,0)</f>
        <v>8571.4285714285688</v>
      </c>
      <c r="AK43" s="9">
        <f>IF(33&lt;=核心参数输入!$B$9*4,AK40+AK39-AK41,0)</f>
        <v>8571.4285714285688</v>
      </c>
      <c r="AL43" s="9">
        <f>IF(34&lt;=核心参数输入!$B$9*4,AL40+AL39-AL41,0)</f>
        <v>8571.4285714285688</v>
      </c>
      <c r="AM43" s="9">
        <f>IF(35&lt;=核心参数输入!$B$9*4,AM40+AM39-AM41,0)</f>
        <v>8571.4285714285688</v>
      </c>
      <c r="AN43" s="9">
        <f>IF(36&lt;=核心参数输入!$B$9*4,AN40+AN39-AN41,0)</f>
        <v>4285.7142857142835</v>
      </c>
      <c r="AO43" s="9">
        <f>IF(37&lt;=核心参数输入!$B$9*4,AO40+AO39-AO41,0)</f>
        <v>4285.7142857142835</v>
      </c>
      <c r="AP43" s="9">
        <f>IF(38&lt;=核心参数输入!$B$9*4,AP40+AP39-AP41,0)</f>
        <v>4285.7142857142835</v>
      </c>
      <c r="AQ43" s="9">
        <f>IF(39&lt;=核心参数输入!$B$9*4,AQ40+AQ39-AQ41,0)</f>
        <v>4285.7142857142835</v>
      </c>
      <c r="AR43" s="9">
        <f>IF(40&lt;=核心参数输入!$B$9*4,AR40+AR39-AR41,0)</f>
        <v>0</v>
      </c>
      <c r="AS43" s="9">
        <f>IF(41&lt;=核心参数输入!$B$9*4,AS40+AS39-AS41,0)</f>
        <v>0</v>
      </c>
      <c r="AT43" s="9">
        <f>IF(42&lt;=核心参数输入!$B$9*4,AT40+AT39-AT41,0)</f>
        <v>0</v>
      </c>
      <c r="AU43" s="9">
        <f>IF(43&lt;=核心参数输入!$B$9*4,AU40+AU39-AU41,0)</f>
        <v>0</v>
      </c>
      <c r="AV43" s="9">
        <f>IF(44&lt;=核心参数输入!$B$9*4,AV40+AV39-AV41,0)</f>
        <v>0</v>
      </c>
      <c r="AW43" s="9">
        <f>IF(45&lt;=核心参数输入!$B$9*4,AW40+AW39-AW41,0)</f>
        <v>0</v>
      </c>
      <c r="AX43" s="9">
        <f>IF(46&lt;=核心参数输入!$B$9*4,AX40+AX39-AX41,0)</f>
        <v>0</v>
      </c>
      <c r="AY43" s="9">
        <f>IF(47&lt;=核心参数输入!$B$9*4,AY40+AY39-AY41,0)</f>
        <v>0</v>
      </c>
      <c r="AZ43" s="9">
        <f>IF(48&lt;=核心参数输入!$B$9*4,AZ40+AZ39-AZ41,0)</f>
        <v>0</v>
      </c>
      <c r="BA43" s="9">
        <f>IF(49&lt;=核心参数输入!$B$9*4,BA40+BA39-BA41,0)</f>
        <v>0</v>
      </c>
      <c r="BB43" s="9">
        <f>IF(50&lt;=核心参数输入!$B$9*4,BB40+BB39-BB41,0)</f>
        <v>0</v>
      </c>
      <c r="BC43" s="9">
        <f>IF(51&lt;=核心参数输入!$B$9*4,BC40+BC39-BC41,0)</f>
        <v>0</v>
      </c>
      <c r="BD43" s="9">
        <f>IF(52&lt;=核心参数输入!$B$9*4,BD40+BD39-BD41,0)</f>
        <v>0</v>
      </c>
      <c r="BE43" s="9">
        <f>IF(53&lt;=核心参数输入!$B$9*4,BE40+BE39-BE41,0)</f>
        <v>0</v>
      </c>
      <c r="BF43" s="9">
        <f>IF(54&lt;=核心参数输入!$B$9*4,BF40+BF39-BF41,0)</f>
        <v>0</v>
      </c>
      <c r="BG43" s="9">
        <f>IF(55&lt;=核心参数输入!$B$9*4,BG40+BG39-BG41,0)</f>
        <v>0</v>
      </c>
      <c r="BH43" s="9">
        <f>IF(56&lt;=核心参数输入!$B$9*4,BH40+BH39-BH41,0)</f>
        <v>0</v>
      </c>
      <c r="BI43" s="9">
        <f>IF(57&lt;=核心参数输入!$B$9*4,BI40+BI39-BI41,0)</f>
        <v>0</v>
      </c>
      <c r="BJ43" s="9">
        <f>IF(58&lt;=核心参数输入!$B$9*4,BJ40+BJ39-BJ41,0)</f>
        <v>0</v>
      </c>
      <c r="BK43" s="9">
        <f>IF(59&lt;=核心参数输入!$B$9*4,BK40+BK39-BK41,0)</f>
        <v>0</v>
      </c>
      <c r="BL43" s="9">
        <f>IF(60&lt;=核心参数输入!$B$9*4,BL40+BL39-BL41,0)</f>
        <v>0</v>
      </c>
      <c r="BM43" s="9">
        <f>IF(61&lt;=核心参数输入!$B$9*4,BM40+BM39-BM41,0)</f>
        <v>0</v>
      </c>
      <c r="BN43" s="9">
        <f>IF(62&lt;=核心参数输入!$B$9*4,BN40+BN39-BN41,0)</f>
        <v>0</v>
      </c>
      <c r="BO43" s="9">
        <f>IF(63&lt;=核心参数输入!$B$9*4,BO40+BO39-BO41,0)</f>
        <v>0</v>
      </c>
      <c r="BP43" s="9">
        <f>IF(64&lt;=核心参数输入!$B$9*4,BP40+BP39-BP41,0)</f>
        <v>0</v>
      </c>
      <c r="BQ43" s="9">
        <f>IF(65&lt;=核心参数输入!$B$9*4,BQ40+BQ39-BQ41,0)</f>
        <v>0</v>
      </c>
      <c r="BR43" s="9">
        <f>IF(66&lt;=核心参数输入!$B$9*4,BR40+BR39-BR41,0)</f>
        <v>0</v>
      </c>
      <c r="BS43" s="9">
        <f>IF(67&lt;=核心参数输入!$B$9*4,BS40+BS39-BS41,0)</f>
        <v>0</v>
      </c>
      <c r="BT43" s="9">
        <f>IF(68&lt;=核心参数输入!$B$9*4,BT40+BT39-BT41,0)</f>
        <v>0</v>
      </c>
      <c r="BU43" s="9">
        <f>IF(69&lt;=核心参数输入!$B$9*4,BU40+BU39-BU41,0)</f>
        <v>0</v>
      </c>
      <c r="BV43" s="9">
        <f>IF(70&lt;=核心参数输入!$B$9*4,BV40+BV39-BV41,0)</f>
        <v>0</v>
      </c>
      <c r="BW43" s="9">
        <f>IF(71&lt;=核心参数输入!$B$9*4,BW40+BW39-BW41,0)</f>
        <v>0</v>
      </c>
      <c r="BX43" s="9">
        <f>IF(72&lt;=核心参数输入!$B$9*4,BX40+BX39-BX41,0)</f>
        <v>0</v>
      </c>
      <c r="BY43" s="9">
        <f>IF(73&lt;=核心参数输入!$B$9*4,BY40+BY39-BY41,0)</f>
        <v>0</v>
      </c>
      <c r="BZ43" s="9">
        <f>IF(74&lt;=核心参数输入!$B$9*4,BZ40+BZ39-BZ41,0)</f>
        <v>0</v>
      </c>
      <c r="CA43" s="9">
        <f>IF(75&lt;=核心参数输入!$B$9*4,CA40+CA39-CA41,0)</f>
        <v>0</v>
      </c>
      <c r="CB43" s="9">
        <f>IF(76&lt;=核心参数输入!$B$9*4,CB40+CB39-CB41,0)</f>
        <v>0</v>
      </c>
      <c r="CC43" s="9">
        <f>IF(77&lt;=核心参数输入!$B$9*4,CC40+CC39-CC41,0)</f>
        <v>0</v>
      </c>
      <c r="CD43" s="9">
        <f>IF(78&lt;=核心参数输入!$B$9*4,CD40+CD39-CD41,0)</f>
        <v>0</v>
      </c>
      <c r="CE43" s="9">
        <f>IF(79&lt;=核心参数输入!$B$9*4,CE40+CE39-CE41,0)</f>
        <v>0</v>
      </c>
      <c r="CF43" s="9">
        <f>IF(80&lt;=核心参数输入!$B$9*4,CF40+CF39-CF41,0)</f>
        <v>0</v>
      </c>
      <c r="CG43" s="9">
        <f>IF(81&lt;=核心参数输入!$B$9*4,CG40+CG39-CG41,0)</f>
        <v>0</v>
      </c>
      <c r="CH43" s="9">
        <f>IF(82&lt;=核心参数输入!$B$9*4,CH40+CH39-CH41,0)</f>
        <v>0</v>
      </c>
      <c r="CI43" s="9">
        <f>IF(83&lt;=核心参数输入!$B$9*4,CI40+CI39-CI41,0)</f>
        <v>0</v>
      </c>
      <c r="CJ43" s="9">
        <f>IF(84&lt;=核心参数输入!$B$9*4,CJ40+CJ39-CJ41,0)</f>
        <v>0</v>
      </c>
      <c r="CK43" s="9">
        <f>IF(85&lt;=核心参数输入!$B$9*4,CK40+CK39-CK41,0)</f>
        <v>0</v>
      </c>
      <c r="CL43" s="9">
        <f>IF(86&lt;=核心参数输入!$B$9*4,CL40+CL39-CL41,0)</f>
        <v>0</v>
      </c>
      <c r="CM43" s="9">
        <f>IF(87&lt;=核心参数输入!$B$9*4,CM40+CM39-CM41,0)</f>
        <v>0</v>
      </c>
      <c r="CN43" s="9">
        <f>IF(88&lt;=核心参数输入!$B$9*4,CN40+CN39-CN41,0)</f>
        <v>0</v>
      </c>
      <c r="CO43" s="9">
        <f>IF(89&lt;=核心参数输入!$B$9*4,CO40+CO39-CO41,0)</f>
        <v>0</v>
      </c>
      <c r="CP43" s="9">
        <f>IF(90&lt;=核心参数输入!$B$9*4,CP40+CP39-CP41,0)</f>
        <v>0</v>
      </c>
      <c r="CQ43" s="9">
        <f>IF(91&lt;=核心参数输入!$B$9*4,CQ40+CQ39-CQ41,0)</f>
        <v>0</v>
      </c>
      <c r="CR43" s="9">
        <f>IF(92&lt;=核心参数输入!$B$9*4,CR40+CR39-CR41,0)</f>
        <v>0</v>
      </c>
      <c r="CS43" s="9">
        <f>IF(93&lt;=核心参数输入!$B$9*4,CS40+CS39-CS41,0)</f>
        <v>0</v>
      </c>
      <c r="CT43" s="9">
        <f>IF(94&lt;=核心参数输入!$B$9*4,CT40+CT39-CT41,0)</f>
        <v>0</v>
      </c>
      <c r="CU43" s="9">
        <f>IF(95&lt;=核心参数输入!$B$9*4,CU40+CU39-CU41,0)</f>
        <v>0</v>
      </c>
      <c r="CV43" s="9">
        <f>IF(96&lt;=核心参数输入!$B$9*4,CV40+CV39-CV41,0)</f>
        <v>0</v>
      </c>
      <c r="CW43" s="9">
        <f>IF(97&lt;=核心参数输入!$B$9*4,CW40+CW39-CW41,0)</f>
        <v>0</v>
      </c>
      <c r="CX43" s="9">
        <f>IF(98&lt;=核心参数输入!$B$9*4,CX40+CX39-CX41,0)</f>
        <v>0</v>
      </c>
      <c r="CY43" s="9">
        <f>IF(99&lt;=核心参数输入!$B$9*4,CY40+CY39-CY41,0)</f>
        <v>0</v>
      </c>
      <c r="CZ43" s="9">
        <f>IF(100&lt;=核心参数输入!$B$9*4,CZ40+CZ39-CZ41,0)</f>
        <v>0</v>
      </c>
      <c r="DA43" s="9">
        <f>IF(101&lt;=核心参数输入!$B$9*4,DA40+DA39-DA41,0)</f>
        <v>0</v>
      </c>
      <c r="DB43" s="9">
        <f>IF(102&lt;=核心参数输入!$B$9*4,DB40+DB39-DB41,0)</f>
        <v>0</v>
      </c>
      <c r="DC43" s="9">
        <f>IF(103&lt;=核心参数输入!$B$9*4,DC40+DC39-DC41,0)</f>
        <v>0</v>
      </c>
      <c r="DD43" s="9">
        <f>IF(104&lt;=核心参数输入!$B$9*4,DD40+DD39-DD41,0)</f>
        <v>0</v>
      </c>
      <c r="DE43" s="9">
        <f>IF(105&lt;=核心参数输入!$B$9*4,DE40+DE39-DE41,0)</f>
        <v>0</v>
      </c>
      <c r="DF43" s="9">
        <f>IF(106&lt;=核心参数输入!$B$9*4,DF40+DF39-DF41,0)</f>
        <v>0</v>
      </c>
      <c r="DG43" s="9">
        <f>IF(107&lt;=核心参数输入!$B$9*4,DG40+DG39-DG41,0)</f>
        <v>0</v>
      </c>
      <c r="DH43" s="9">
        <f>IF(108&lt;=核心参数输入!$B$9*4,DH40+DH39-DH41,0)</f>
        <v>0</v>
      </c>
      <c r="DI43" s="9">
        <f>IF(109&lt;=核心参数输入!$B$9*4,DI40+DI39-DI41,0)</f>
        <v>0</v>
      </c>
      <c r="DJ43" s="9">
        <f>IF(110&lt;=核心参数输入!$B$9*4,DJ40+DJ39-DJ41,0)</f>
        <v>0</v>
      </c>
      <c r="DK43" s="9">
        <f>IF(111&lt;=核心参数输入!$B$9*4,DK40+DK39-DK41,0)</f>
        <v>0</v>
      </c>
      <c r="DL43" s="9">
        <f>IF(112&lt;=核心参数输入!$B$9*4,DL40+DL39-DL41,0)</f>
        <v>0</v>
      </c>
      <c r="DM43" s="9">
        <f>IF(113&lt;=核心参数输入!$B$9*4,DM40+DM39-DM41,0)</f>
        <v>0</v>
      </c>
      <c r="DN43" s="9">
        <f>IF(114&lt;=核心参数输入!$B$9*4,DN40+DN39-DN41,0)</f>
        <v>0</v>
      </c>
      <c r="DO43" s="9">
        <f>IF(115&lt;=核心参数输入!$B$9*4,DO40+DO39-DO41,0)</f>
        <v>0</v>
      </c>
      <c r="DP43" s="9">
        <f>IF(116&lt;=核心参数输入!$B$9*4,DP40+DP39-DP41,0)</f>
        <v>0</v>
      </c>
      <c r="DQ43" s="9">
        <f>IF(117&lt;=核心参数输入!$B$9*4,DQ40+DQ39-DQ41,0)</f>
        <v>0</v>
      </c>
      <c r="DR43" s="9">
        <f>IF(118&lt;=核心参数输入!$B$9*4,DR40+DR39-DR41,0)</f>
        <v>0</v>
      </c>
      <c r="DS43" s="9">
        <f>IF(119&lt;=核心参数输入!$B$9*4,DS40+DS39-DS41,0)</f>
        <v>0</v>
      </c>
      <c r="DT43" s="9">
        <f>IF(120&lt;=核心参数输入!$B$9*4,DT40+DT39-DT41,0)</f>
        <v>0</v>
      </c>
    </row>
    <row r="44" spans="1:124" ht="21" customHeight="1">
      <c r="A44" s="8" t="s">
        <v>435</v>
      </c>
      <c r="B44" s="8" t="s">
        <v>39</v>
      </c>
      <c r="C44" s="8"/>
      <c r="D44" s="9">
        <f>IF(0&lt;=核心参数输入!$B$9*4,IF(0&lt;=核心参数输入!$B$16*4+核心参数输入!$B$148,D42,0),0)</f>
        <v>0</v>
      </c>
      <c r="E44" s="9">
        <f>IF(1&lt;=核心参数输入!$B$9*4,IF(1&lt;=核心参数输入!$B$16*4+核心参数输入!$B$148,E42,0),0)</f>
        <v>11.8125</v>
      </c>
      <c r="F44" s="9">
        <f>IF(2&lt;=核心参数输入!$B$9*4,IF(2&lt;=核心参数输入!$B$16*4+核心参数输入!$B$148,F42,0),0)</f>
        <v>35.4375</v>
      </c>
      <c r="G44" s="9">
        <f>IF(3&lt;=核心参数输入!$B$9*4,IF(3&lt;=核心参数输入!$B$16*4+核心参数输入!$B$148,G42,0),0)</f>
        <v>59.062500000000007</v>
      </c>
      <c r="H44" s="9">
        <f>IF(4&lt;=核心参数输入!$B$9*4,IF(4&lt;=核心参数输入!$B$16*4+核心参数输入!$B$148,H42,0),0)</f>
        <v>82.6875</v>
      </c>
      <c r="I44" s="9">
        <f>IF(5&lt;=核心参数输入!$B$9*4,IF(5&lt;=核心参数输入!$B$16*4+核心参数输入!$B$148,I42,0),0)</f>
        <v>110.25</v>
      </c>
      <c r="J44" s="9">
        <f>IF(6&lt;=核心参数输入!$B$9*4,IF(6&lt;=核心参数输入!$B$16*4+核心参数输入!$B$148,J42,0),0)</f>
        <v>141.75</v>
      </c>
      <c r="K44" s="9">
        <f>IF(7&lt;=核心参数输入!$B$9*4,IF(7&lt;=核心参数输入!$B$16*4+核心参数输入!$B$148,K42,0),0)</f>
        <v>173.25</v>
      </c>
      <c r="L44" s="9">
        <f>IF(8&lt;=核心参数输入!$B$9*4,IF(8&lt;=核心参数输入!$B$16*4+核心参数输入!$B$148,L42,0),0)</f>
        <v>204.75</v>
      </c>
      <c r="M44" s="9">
        <f>IF(9&lt;=核心参数输入!$B$9*4,IF(9&lt;=核心参数输入!$B$16*4+核心参数输入!$B$148,M42,0),0)</f>
        <v>232.31250000000003</v>
      </c>
      <c r="N44" s="9">
        <f>IF(10&lt;=核心参数输入!$B$9*4,IF(10&lt;=核心参数输入!$B$16*4+核心参数输入!$B$148,N42,0),0)</f>
        <v>255.93750000000003</v>
      </c>
      <c r="O44" s="9">
        <f>IF(11&lt;=核心参数输入!$B$9*4,IF(11&lt;=核心参数输入!$B$16*4+核心参数输入!$B$148,O42,0),0)</f>
        <v>279.5625</v>
      </c>
      <c r="P44" s="9">
        <f>IF(12&lt;=核心参数输入!$B$9*4,IF(12&lt;=核心参数输入!$B$16*4+核心参数输入!$B$148,P42,0),0)</f>
        <v>303.1875</v>
      </c>
      <c r="Q44" s="9">
        <f>IF(13&lt;=核心参数输入!$B$9*4,IF(13&lt;=核心参数输入!$B$16*4+核心参数输入!$B$148,Q42,0),0)</f>
        <v>0</v>
      </c>
      <c r="R44" s="9">
        <f>IF(14&lt;=核心参数输入!$B$9*4,IF(14&lt;=核心参数输入!$B$16*4+核心参数输入!$B$148,R42,0),0)</f>
        <v>0</v>
      </c>
      <c r="S44" s="9">
        <f>IF(15&lt;=核心参数输入!$B$9*4,IF(15&lt;=核心参数输入!$B$16*4+核心参数输入!$B$148,S42,0),0)</f>
        <v>0</v>
      </c>
      <c r="T44" s="9">
        <f>IF(16&lt;=核心参数输入!$B$9*4,IF(16&lt;=核心参数输入!$B$16*4+核心参数输入!$B$148,T42,0),0)</f>
        <v>0</v>
      </c>
      <c r="U44" s="9">
        <f>IF(17&lt;=核心参数输入!$B$9*4,IF(17&lt;=核心参数输入!$B$16*4+核心参数输入!$B$148,U42,0),0)</f>
        <v>0</v>
      </c>
      <c r="V44" s="9">
        <f>IF(18&lt;=核心参数输入!$B$9*4,IF(18&lt;=核心参数输入!$B$16*4+核心参数输入!$B$148,V42,0),0)</f>
        <v>0</v>
      </c>
      <c r="W44" s="9">
        <f>IF(19&lt;=核心参数输入!$B$9*4,IF(19&lt;=核心参数输入!$B$16*4+核心参数输入!$B$148,W42,0),0)</f>
        <v>0</v>
      </c>
      <c r="X44" s="9">
        <f>IF(20&lt;=核心参数输入!$B$9*4,IF(20&lt;=核心参数输入!$B$16*4+核心参数输入!$B$148,X42,0),0)</f>
        <v>0</v>
      </c>
      <c r="Y44" s="9">
        <f>IF(21&lt;=核心参数输入!$B$9*4,IF(21&lt;=核心参数输入!$B$16*4+核心参数输入!$B$148,Y42,0),0)</f>
        <v>0</v>
      </c>
      <c r="Z44" s="9">
        <f>IF(22&lt;=核心参数输入!$B$9*4,IF(22&lt;=核心参数输入!$B$16*4+核心参数输入!$B$148,Z42,0),0)</f>
        <v>0</v>
      </c>
      <c r="AA44" s="9">
        <f>IF(23&lt;=核心参数输入!$B$9*4,IF(23&lt;=核心参数输入!$B$16*4+核心参数输入!$B$148,AA42,0),0)</f>
        <v>0</v>
      </c>
      <c r="AB44" s="9">
        <f>IF(24&lt;=核心参数输入!$B$9*4,IF(24&lt;=核心参数输入!$B$16*4+核心参数输入!$B$148,AB42,0),0)</f>
        <v>0</v>
      </c>
      <c r="AC44" s="9">
        <f>IF(25&lt;=核心参数输入!$B$9*4,IF(25&lt;=核心参数输入!$B$16*4+核心参数输入!$B$148,AC42,0),0)</f>
        <v>0</v>
      </c>
      <c r="AD44" s="9">
        <f>IF(26&lt;=核心参数输入!$B$9*4,IF(26&lt;=核心参数输入!$B$16*4+核心参数输入!$B$148,AD42,0),0)</f>
        <v>0</v>
      </c>
      <c r="AE44" s="9">
        <f>IF(27&lt;=核心参数输入!$B$9*4,IF(27&lt;=核心参数输入!$B$16*4+核心参数输入!$B$148,AE42,0),0)</f>
        <v>0</v>
      </c>
      <c r="AF44" s="9">
        <f>IF(28&lt;=核心参数输入!$B$9*4,IF(28&lt;=核心参数输入!$B$16*4+核心参数输入!$B$148,AF42,0),0)</f>
        <v>0</v>
      </c>
      <c r="AG44" s="9">
        <f>IF(29&lt;=核心参数输入!$B$9*4,IF(29&lt;=核心参数输入!$B$16*4+核心参数输入!$B$148,AG42,0),0)</f>
        <v>0</v>
      </c>
      <c r="AH44" s="9">
        <f>IF(30&lt;=核心参数输入!$B$9*4,IF(30&lt;=核心参数输入!$B$16*4+核心参数输入!$B$148,AH42,0),0)</f>
        <v>0</v>
      </c>
      <c r="AI44" s="9">
        <f>IF(31&lt;=核心参数输入!$B$9*4,IF(31&lt;=核心参数输入!$B$16*4+核心参数输入!$B$148,AI42,0),0)</f>
        <v>0</v>
      </c>
      <c r="AJ44" s="9">
        <f>IF(32&lt;=核心参数输入!$B$9*4,IF(32&lt;=核心参数输入!$B$16*4+核心参数输入!$B$148,AJ42,0),0)</f>
        <v>0</v>
      </c>
      <c r="AK44" s="9">
        <f>IF(33&lt;=核心参数输入!$B$9*4,IF(33&lt;=核心参数输入!$B$16*4+核心参数输入!$B$148,AK42,0),0)</f>
        <v>0</v>
      </c>
      <c r="AL44" s="9">
        <f>IF(34&lt;=核心参数输入!$B$9*4,IF(34&lt;=核心参数输入!$B$16*4+核心参数输入!$B$148,AL42,0),0)</f>
        <v>0</v>
      </c>
      <c r="AM44" s="9">
        <f>IF(35&lt;=核心参数输入!$B$9*4,IF(35&lt;=核心参数输入!$B$16*4+核心参数输入!$B$148,AM42,0),0)</f>
        <v>0</v>
      </c>
      <c r="AN44" s="9">
        <f>IF(36&lt;=核心参数输入!$B$9*4,IF(36&lt;=核心参数输入!$B$16*4+核心参数输入!$B$148,AN42,0),0)</f>
        <v>0</v>
      </c>
      <c r="AO44" s="9">
        <f>IF(37&lt;=核心参数输入!$B$9*4,IF(37&lt;=核心参数输入!$B$16*4+核心参数输入!$B$148,AO42,0),0)</f>
        <v>0</v>
      </c>
      <c r="AP44" s="9">
        <f>IF(38&lt;=核心参数输入!$B$9*4,IF(38&lt;=核心参数输入!$B$16*4+核心参数输入!$B$148,AP42,0),0)</f>
        <v>0</v>
      </c>
      <c r="AQ44" s="9">
        <f>IF(39&lt;=核心参数输入!$B$9*4,IF(39&lt;=核心参数输入!$B$16*4+核心参数输入!$B$148,AQ42,0),0)</f>
        <v>0</v>
      </c>
      <c r="AR44" s="9">
        <f>IF(40&lt;=核心参数输入!$B$9*4,IF(40&lt;=核心参数输入!$B$16*4+核心参数输入!$B$148,AR42,0),0)</f>
        <v>0</v>
      </c>
      <c r="AS44" s="9">
        <f>IF(41&lt;=核心参数输入!$B$9*4,IF(41&lt;=核心参数输入!$B$16*4+核心参数输入!$B$148,AS42,0),0)</f>
        <v>0</v>
      </c>
      <c r="AT44" s="9">
        <f>IF(42&lt;=核心参数输入!$B$9*4,IF(42&lt;=核心参数输入!$B$16*4+核心参数输入!$B$148,AT42,0),0)</f>
        <v>0</v>
      </c>
      <c r="AU44" s="9">
        <f>IF(43&lt;=核心参数输入!$B$9*4,IF(43&lt;=核心参数输入!$B$16*4+核心参数输入!$B$148,AU42,0),0)</f>
        <v>0</v>
      </c>
      <c r="AV44" s="9">
        <f>IF(44&lt;=核心参数输入!$B$9*4,IF(44&lt;=核心参数输入!$B$16*4+核心参数输入!$B$148,AV42,0),0)</f>
        <v>0</v>
      </c>
      <c r="AW44" s="9">
        <f>IF(45&lt;=核心参数输入!$B$9*4,IF(45&lt;=核心参数输入!$B$16*4+核心参数输入!$B$148,AW42,0),0)</f>
        <v>0</v>
      </c>
      <c r="AX44" s="9">
        <f>IF(46&lt;=核心参数输入!$B$9*4,IF(46&lt;=核心参数输入!$B$16*4+核心参数输入!$B$148,AX42,0),0)</f>
        <v>0</v>
      </c>
      <c r="AY44" s="9">
        <f>IF(47&lt;=核心参数输入!$B$9*4,IF(47&lt;=核心参数输入!$B$16*4+核心参数输入!$B$148,AY42,0),0)</f>
        <v>0</v>
      </c>
      <c r="AZ44" s="9">
        <f>IF(48&lt;=核心参数输入!$B$9*4,IF(48&lt;=核心参数输入!$B$16*4+核心参数输入!$B$148,AZ42,0),0)</f>
        <v>0</v>
      </c>
      <c r="BA44" s="9">
        <f>IF(49&lt;=核心参数输入!$B$9*4,IF(49&lt;=核心参数输入!$B$16*4+核心参数输入!$B$148,BA42,0),0)</f>
        <v>0</v>
      </c>
      <c r="BB44" s="9">
        <f>IF(50&lt;=核心参数输入!$B$9*4,IF(50&lt;=核心参数输入!$B$16*4+核心参数输入!$B$148,BB42,0),0)</f>
        <v>0</v>
      </c>
      <c r="BC44" s="9">
        <f>IF(51&lt;=核心参数输入!$B$9*4,IF(51&lt;=核心参数输入!$B$16*4+核心参数输入!$B$148,BC42,0),0)</f>
        <v>0</v>
      </c>
      <c r="BD44" s="9">
        <f>IF(52&lt;=核心参数输入!$B$9*4,IF(52&lt;=核心参数输入!$B$16*4+核心参数输入!$B$148,BD42,0),0)</f>
        <v>0</v>
      </c>
      <c r="BE44" s="9">
        <f>IF(53&lt;=核心参数输入!$B$9*4,IF(53&lt;=核心参数输入!$B$16*4+核心参数输入!$B$148,BE42,0),0)</f>
        <v>0</v>
      </c>
      <c r="BF44" s="9">
        <f>IF(54&lt;=核心参数输入!$B$9*4,IF(54&lt;=核心参数输入!$B$16*4+核心参数输入!$B$148,BF42,0),0)</f>
        <v>0</v>
      </c>
      <c r="BG44" s="9">
        <f>IF(55&lt;=核心参数输入!$B$9*4,IF(55&lt;=核心参数输入!$B$16*4+核心参数输入!$B$148,BG42,0),0)</f>
        <v>0</v>
      </c>
      <c r="BH44" s="9">
        <f>IF(56&lt;=核心参数输入!$B$9*4,IF(56&lt;=核心参数输入!$B$16*4+核心参数输入!$B$148,BH42,0),0)</f>
        <v>0</v>
      </c>
      <c r="BI44" s="9">
        <f>IF(57&lt;=核心参数输入!$B$9*4,IF(57&lt;=核心参数输入!$B$16*4+核心参数输入!$B$148,BI42,0),0)</f>
        <v>0</v>
      </c>
      <c r="BJ44" s="9">
        <f>IF(58&lt;=核心参数输入!$B$9*4,IF(58&lt;=核心参数输入!$B$16*4+核心参数输入!$B$148,BJ42,0),0)</f>
        <v>0</v>
      </c>
      <c r="BK44" s="9">
        <f>IF(59&lt;=核心参数输入!$B$9*4,IF(59&lt;=核心参数输入!$B$16*4+核心参数输入!$B$148,BK42,0),0)</f>
        <v>0</v>
      </c>
      <c r="BL44" s="9">
        <f>IF(60&lt;=核心参数输入!$B$9*4,IF(60&lt;=核心参数输入!$B$16*4+核心参数输入!$B$148,BL42,0),0)</f>
        <v>0</v>
      </c>
      <c r="BM44" s="9">
        <f>IF(61&lt;=核心参数输入!$B$9*4,IF(61&lt;=核心参数输入!$B$16*4+核心参数输入!$B$148,BM42,0),0)</f>
        <v>0</v>
      </c>
      <c r="BN44" s="9">
        <f>IF(62&lt;=核心参数输入!$B$9*4,IF(62&lt;=核心参数输入!$B$16*4+核心参数输入!$B$148,BN42,0),0)</f>
        <v>0</v>
      </c>
      <c r="BO44" s="9">
        <f>IF(63&lt;=核心参数输入!$B$9*4,IF(63&lt;=核心参数输入!$B$16*4+核心参数输入!$B$148,BO42,0),0)</f>
        <v>0</v>
      </c>
      <c r="BP44" s="9">
        <f>IF(64&lt;=核心参数输入!$B$9*4,IF(64&lt;=核心参数输入!$B$16*4+核心参数输入!$B$148,BP42,0),0)</f>
        <v>0</v>
      </c>
      <c r="BQ44" s="9">
        <f>IF(65&lt;=核心参数输入!$B$9*4,IF(65&lt;=核心参数输入!$B$16*4+核心参数输入!$B$148,BQ42,0),0)</f>
        <v>0</v>
      </c>
      <c r="BR44" s="9">
        <f>IF(66&lt;=核心参数输入!$B$9*4,IF(66&lt;=核心参数输入!$B$16*4+核心参数输入!$B$148,BR42,0),0)</f>
        <v>0</v>
      </c>
      <c r="BS44" s="9">
        <f>IF(67&lt;=核心参数输入!$B$9*4,IF(67&lt;=核心参数输入!$B$16*4+核心参数输入!$B$148,BS42,0),0)</f>
        <v>0</v>
      </c>
      <c r="BT44" s="9">
        <f>IF(68&lt;=核心参数输入!$B$9*4,IF(68&lt;=核心参数输入!$B$16*4+核心参数输入!$B$148,BT42,0),0)</f>
        <v>0</v>
      </c>
      <c r="BU44" s="9">
        <f>IF(69&lt;=核心参数输入!$B$9*4,IF(69&lt;=核心参数输入!$B$16*4+核心参数输入!$B$148,BU42,0),0)</f>
        <v>0</v>
      </c>
      <c r="BV44" s="9">
        <f>IF(70&lt;=核心参数输入!$B$9*4,IF(70&lt;=核心参数输入!$B$16*4+核心参数输入!$B$148,BV42,0),0)</f>
        <v>0</v>
      </c>
      <c r="BW44" s="9">
        <f>IF(71&lt;=核心参数输入!$B$9*4,IF(71&lt;=核心参数输入!$B$16*4+核心参数输入!$B$148,BW42,0),0)</f>
        <v>0</v>
      </c>
      <c r="BX44" s="9">
        <f>IF(72&lt;=核心参数输入!$B$9*4,IF(72&lt;=核心参数输入!$B$16*4+核心参数输入!$B$148,BX42,0),0)</f>
        <v>0</v>
      </c>
      <c r="BY44" s="9">
        <f>IF(73&lt;=核心参数输入!$B$9*4,IF(73&lt;=核心参数输入!$B$16*4+核心参数输入!$B$148,BY42,0),0)</f>
        <v>0</v>
      </c>
      <c r="BZ44" s="9">
        <f>IF(74&lt;=核心参数输入!$B$9*4,IF(74&lt;=核心参数输入!$B$16*4+核心参数输入!$B$148,BZ42,0),0)</f>
        <v>0</v>
      </c>
      <c r="CA44" s="9">
        <f>IF(75&lt;=核心参数输入!$B$9*4,IF(75&lt;=核心参数输入!$B$16*4+核心参数输入!$B$148,CA42,0),0)</f>
        <v>0</v>
      </c>
      <c r="CB44" s="9">
        <f>IF(76&lt;=核心参数输入!$B$9*4,IF(76&lt;=核心参数输入!$B$16*4+核心参数输入!$B$148,CB42,0),0)</f>
        <v>0</v>
      </c>
      <c r="CC44" s="9">
        <f>IF(77&lt;=核心参数输入!$B$9*4,IF(77&lt;=核心参数输入!$B$16*4+核心参数输入!$B$148,CC42,0),0)</f>
        <v>0</v>
      </c>
      <c r="CD44" s="9">
        <f>IF(78&lt;=核心参数输入!$B$9*4,IF(78&lt;=核心参数输入!$B$16*4+核心参数输入!$B$148,CD42,0),0)</f>
        <v>0</v>
      </c>
      <c r="CE44" s="9">
        <f>IF(79&lt;=核心参数输入!$B$9*4,IF(79&lt;=核心参数输入!$B$16*4+核心参数输入!$B$148,CE42,0),0)</f>
        <v>0</v>
      </c>
      <c r="CF44" s="9">
        <f>IF(80&lt;=核心参数输入!$B$9*4,IF(80&lt;=核心参数输入!$B$16*4+核心参数输入!$B$148,CF42,0),0)</f>
        <v>0</v>
      </c>
      <c r="CG44" s="9">
        <f>IF(81&lt;=核心参数输入!$B$9*4,IF(81&lt;=核心参数输入!$B$16*4+核心参数输入!$B$148,CG42,0),0)</f>
        <v>0</v>
      </c>
      <c r="CH44" s="9">
        <f>IF(82&lt;=核心参数输入!$B$9*4,IF(82&lt;=核心参数输入!$B$16*4+核心参数输入!$B$148,CH42,0),0)</f>
        <v>0</v>
      </c>
      <c r="CI44" s="9">
        <f>IF(83&lt;=核心参数输入!$B$9*4,IF(83&lt;=核心参数输入!$B$16*4+核心参数输入!$B$148,CI42,0),0)</f>
        <v>0</v>
      </c>
      <c r="CJ44" s="9">
        <f>IF(84&lt;=核心参数输入!$B$9*4,IF(84&lt;=核心参数输入!$B$16*4+核心参数输入!$B$148,CJ42,0),0)</f>
        <v>0</v>
      </c>
      <c r="CK44" s="9">
        <f>IF(85&lt;=核心参数输入!$B$9*4,IF(85&lt;=核心参数输入!$B$16*4+核心参数输入!$B$148,CK42,0),0)</f>
        <v>0</v>
      </c>
      <c r="CL44" s="9">
        <f>IF(86&lt;=核心参数输入!$B$9*4,IF(86&lt;=核心参数输入!$B$16*4+核心参数输入!$B$148,CL42,0),0)</f>
        <v>0</v>
      </c>
      <c r="CM44" s="9">
        <f>IF(87&lt;=核心参数输入!$B$9*4,IF(87&lt;=核心参数输入!$B$16*4+核心参数输入!$B$148,CM42,0),0)</f>
        <v>0</v>
      </c>
      <c r="CN44" s="9">
        <f>IF(88&lt;=核心参数输入!$B$9*4,IF(88&lt;=核心参数输入!$B$16*4+核心参数输入!$B$148,CN42,0),0)</f>
        <v>0</v>
      </c>
      <c r="CO44" s="9">
        <f>IF(89&lt;=核心参数输入!$B$9*4,IF(89&lt;=核心参数输入!$B$16*4+核心参数输入!$B$148,CO42,0),0)</f>
        <v>0</v>
      </c>
      <c r="CP44" s="9">
        <f>IF(90&lt;=核心参数输入!$B$9*4,IF(90&lt;=核心参数输入!$B$16*4+核心参数输入!$B$148,CP42,0),0)</f>
        <v>0</v>
      </c>
      <c r="CQ44" s="9">
        <f>IF(91&lt;=核心参数输入!$B$9*4,IF(91&lt;=核心参数输入!$B$16*4+核心参数输入!$B$148,CQ42,0),0)</f>
        <v>0</v>
      </c>
      <c r="CR44" s="9">
        <f>IF(92&lt;=核心参数输入!$B$9*4,IF(92&lt;=核心参数输入!$B$16*4+核心参数输入!$B$148,CR42,0),0)</f>
        <v>0</v>
      </c>
      <c r="CS44" s="9">
        <f>IF(93&lt;=核心参数输入!$B$9*4,IF(93&lt;=核心参数输入!$B$16*4+核心参数输入!$B$148,CS42,0),0)</f>
        <v>0</v>
      </c>
      <c r="CT44" s="9">
        <f>IF(94&lt;=核心参数输入!$B$9*4,IF(94&lt;=核心参数输入!$B$16*4+核心参数输入!$B$148,CT42,0),0)</f>
        <v>0</v>
      </c>
      <c r="CU44" s="9">
        <f>IF(95&lt;=核心参数输入!$B$9*4,IF(95&lt;=核心参数输入!$B$16*4+核心参数输入!$B$148,CU42,0),0)</f>
        <v>0</v>
      </c>
      <c r="CV44" s="9">
        <f>IF(96&lt;=核心参数输入!$B$9*4,IF(96&lt;=核心参数输入!$B$16*4+核心参数输入!$B$148,CV42,0),0)</f>
        <v>0</v>
      </c>
      <c r="CW44" s="9">
        <f>IF(97&lt;=核心参数输入!$B$9*4,IF(97&lt;=核心参数输入!$B$16*4+核心参数输入!$B$148,CW42,0),0)</f>
        <v>0</v>
      </c>
      <c r="CX44" s="9">
        <f>IF(98&lt;=核心参数输入!$B$9*4,IF(98&lt;=核心参数输入!$B$16*4+核心参数输入!$B$148,CX42,0),0)</f>
        <v>0</v>
      </c>
      <c r="CY44" s="9">
        <f>IF(99&lt;=核心参数输入!$B$9*4,IF(99&lt;=核心参数输入!$B$16*4+核心参数输入!$B$148,CY42,0),0)</f>
        <v>0</v>
      </c>
      <c r="CZ44" s="9">
        <f>IF(100&lt;=核心参数输入!$B$9*4,IF(100&lt;=核心参数输入!$B$16*4+核心参数输入!$B$148,CZ42,0),0)</f>
        <v>0</v>
      </c>
      <c r="DA44" s="9">
        <f>IF(101&lt;=核心参数输入!$B$9*4,IF(101&lt;=核心参数输入!$B$16*4+核心参数输入!$B$148,DA42,0),0)</f>
        <v>0</v>
      </c>
      <c r="DB44" s="9">
        <f>IF(102&lt;=核心参数输入!$B$9*4,IF(102&lt;=核心参数输入!$B$16*4+核心参数输入!$B$148,DB42,0),0)</f>
        <v>0</v>
      </c>
      <c r="DC44" s="9">
        <f>IF(103&lt;=核心参数输入!$B$9*4,IF(103&lt;=核心参数输入!$B$16*4+核心参数输入!$B$148,DC42,0),0)</f>
        <v>0</v>
      </c>
      <c r="DD44" s="9">
        <f>IF(104&lt;=核心参数输入!$B$9*4,IF(104&lt;=核心参数输入!$B$16*4+核心参数输入!$B$148,DD42,0),0)</f>
        <v>0</v>
      </c>
      <c r="DE44" s="9">
        <f>IF(105&lt;=核心参数输入!$B$9*4,IF(105&lt;=核心参数输入!$B$16*4+核心参数输入!$B$148,DE42,0),0)</f>
        <v>0</v>
      </c>
      <c r="DF44" s="9">
        <f>IF(106&lt;=核心参数输入!$B$9*4,IF(106&lt;=核心参数输入!$B$16*4+核心参数输入!$B$148,DF42,0),0)</f>
        <v>0</v>
      </c>
      <c r="DG44" s="9">
        <f>IF(107&lt;=核心参数输入!$B$9*4,IF(107&lt;=核心参数输入!$B$16*4+核心参数输入!$B$148,DG42,0),0)</f>
        <v>0</v>
      </c>
      <c r="DH44" s="9">
        <f>IF(108&lt;=核心参数输入!$B$9*4,IF(108&lt;=核心参数输入!$B$16*4+核心参数输入!$B$148,DH42,0),0)</f>
        <v>0</v>
      </c>
      <c r="DI44" s="9">
        <f>IF(109&lt;=核心参数输入!$B$9*4,IF(109&lt;=核心参数输入!$B$16*4+核心参数输入!$B$148,DI42,0),0)</f>
        <v>0</v>
      </c>
      <c r="DJ44" s="9">
        <f>IF(110&lt;=核心参数输入!$B$9*4,IF(110&lt;=核心参数输入!$B$16*4+核心参数输入!$B$148,DJ42,0),0)</f>
        <v>0</v>
      </c>
      <c r="DK44" s="9">
        <f>IF(111&lt;=核心参数输入!$B$9*4,IF(111&lt;=核心参数输入!$B$16*4+核心参数输入!$B$148,DK42,0),0)</f>
        <v>0</v>
      </c>
      <c r="DL44" s="9">
        <f>IF(112&lt;=核心参数输入!$B$9*4,IF(112&lt;=核心参数输入!$B$16*4+核心参数输入!$B$148,DL42,0),0)</f>
        <v>0</v>
      </c>
      <c r="DM44" s="9">
        <f>IF(113&lt;=核心参数输入!$B$9*4,IF(113&lt;=核心参数输入!$B$16*4+核心参数输入!$B$148,DM42,0),0)</f>
        <v>0</v>
      </c>
      <c r="DN44" s="9">
        <f>IF(114&lt;=核心参数输入!$B$9*4,IF(114&lt;=核心参数输入!$B$16*4+核心参数输入!$B$148,DN42,0),0)</f>
        <v>0</v>
      </c>
      <c r="DO44" s="9">
        <f>IF(115&lt;=核心参数输入!$B$9*4,IF(115&lt;=核心参数输入!$B$16*4+核心参数输入!$B$148,DO42,0),0)</f>
        <v>0</v>
      </c>
      <c r="DP44" s="9">
        <f>IF(116&lt;=核心参数输入!$B$9*4,IF(116&lt;=核心参数输入!$B$16*4+核心参数输入!$B$148,DP42,0),0)</f>
        <v>0</v>
      </c>
      <c r="DQ44" s="9">
        <f>IF(117&lt;=核心参数输入!$B$9*4,IF(117&lt;=核心参数输入!$B$16*4+核心参数输入!$B$148,DQ42,0),0)</f>
        <v>0</v>
      </c>
      <c r="DR44" s="9">
        <f>IF(118&lt;=核心参数输入!$B$9*4,IF(118&lt;=核心参数输入!$B$16*4+核心参数输入!$B$148,DR42,0),0)</f>
        <v>0</v>
      </c>
      <c r="DS44" s="9">
        <f>IF(119&lt;=核心参数输入!$B$9*4,IF(119&lt;=核心参数输入!$B$16*4+核心参数输入!$B$148,DS42,0),0)</f>
        <v>0</v>
      </c>
      <c r="DT44" s="9">
        <f>IF(120&lt;=核心参数输入!$B$9*4,IF(120&lt;=核心参数输入!$B$16*4+核心参数输入!$B$148,DT42,0),0)</f>
        <v>0</v>
      </c>
    </row>
    <row r="45" spans="1:124" ht="21" customHeight="1">
      <c r="A45" s="8" t="s">
        <v>436</v>
      </c>
      <c r="B45" s="8" t="s">
        <v>39</v>
      </c>
      <c r="C45" s="8"/>
      <c r="D45" s="9">
        <f>IF(0&lt;=核心参数输入!$B$9*4,D42-D44,0)</f>
        <v>0</v>
      </c>
      <c r="E45" s="9">
        <f>IF(1&lt;=核心参数输入!$B$9*4,E42-E44,0)</f>
        <v>0</v>
      </c>
      <c r="F45" s="9">
        <f>IF(2&lt;=核心参数输入!$B$9*4,F42-F44,0)</f>
        <v>0</v>
      </c>
      <c r="G45" s="9">
        <f>IF(3&lt;=核心参数输入!$B$9*4,G42-G44,0)</f>
        <v>0</v>
      </c>
      <c r="H45" s="9">
        <f>IF(4&lt;=核心参数输入!$B$9*4,H42-H44,0)</f>
        <v>0</v>
      </c>
      <c r="I45" s="9">
        <f>IF(5&lt;=核心参数输入!$B$9*4,I42-I44,0)</f>
        <v>0</v>
      </c>
      <c r="J45" s="9">
        <f>IF(6&lt;=核心参数输入!$B$9*4,J42-J44,0)</f>
        <v>0</v>
      </c>
      <c r="K45" s="9">
        <f>IF(7&lt;=核心参数输入!$B$9*4,K42-K44,0)</f>
        <v>0</v>
      </c>
      <c r="L45" s="9">
        <f>IF(8&lt;=核心参数输入!$B$9*4,L42-L44,0)</f>
        <v>0</v>
      </c>
      <c r="M45" s="9">
        <f>IF(9&lt;=核心参数输入!$B$9*4,M42-M44,0)</f>
        <v>0</v>
      </c>
      <c r="N45" s="9">
        <f>IF(10&lt;=核心参数输入!$B$9*4,N42-N44,0)</f>
        <v>0</v>
      </c>
      <c r="O45" s="9">
        <f>IF(11&lt;=核心参数输入!$B$9*4,O42-O44,0)</f>
        <v>0</v>
      </c>
      <c r="P45" s="9">
        <f>IF(12&lt;=核心参数输入!$B$9*4,P42-P44,0)</f>
        <v>0</v>
      </c>
      <c r="Q45" s="9">
        <f>IF(13&lt;=核心参数输入!$B$9*4,Q42-Q44,0)</f>
        <v>315</v>
      </c>
      <c r="R45" s="9">
        <f>IF(14&lt;=核心参数输入!$B$9*4,R42-R44,0)</f>
        <v>315</v>
      </c>
      <c r="S45" s="9">
        <f>IF(15&lt;=核心参数输入!$B$9*4,S42-S44,0)</f>
        <v>315</v>
      </c>
      <c r="T45" s="9">
        <f>IF(16&lt;=核心参数输入!$B$9*4,T42-T44,0)</f>
        <v>292.50000000000006</v>
      </c>
      <c r="U45" s="9">
        <f>IF(17&lt;=核心参数输入!$B$9*4,U42-U44,0)</f>
        <v>270</v>
      </c>
      <c r="V45" s="9">
        <f>IF(18&lt;=核心参数输入!$B$9*4,V42-V44,0)</f>
        <v>270</v>
      </c>
      <c r="W45" s="9">
        <f>IF(19&lt;=核心参数输入!$B$9*4,W42-W44,0)</f>
        <v>270</v>
      </c>
      <c r="X45" s="9">
        <f>IF(20&lt;=核心参数输入!$B$9*4,X42-X44,0)</f>
        <v>247.50000000000003</v>
      </c>
      <c r="Y45" s="9">
        <f>IF(21&lt;=核心参数输入!$B$9*4,Y42-Y44,0)</f>
        <v>225</v>
      </c>
      <c r="Z45" s="9">
        <f>IF(22&lt;=核心参数输入!$B$9*4,Z42-Z44,0)</f>
        <v>225</v>
      </c>
      <c r="AA45" s="9">
        <f>IF(23&lt;=核心参数输入!$B$9*4,AA42-AA44,0)</f>
        <v>225</v>
      </c>
      <c r="AB45" s="9">
        <f>IF(24&lt;=核心参数输入!$B$9*4,AB42-AB44,0)</f>
        <v>202.50000000000003</v>
      </c>
      <c r="AC45" s="9">
        <f>IF(25&lt;=核心参数输入!$B$9*4,AC42-AC44,0)</f>
        <v>180</v>
      </c>
      <c r="AD45" s="9">
        <f>IF(26&lt;=核心参数输入!$B$9*4,AD42-AD44,0)</f>
        <v>180</v>
      </c>
      <c r="AE45" s="9">
        <f>IF(27&lt;=核心参数输入!$B$9*4,AE42-AE44,0)</f>
        <v>180</v>
      </c>
      <c r="AF45" s="9">
        <f>IF(28&lt;=核心参数输入!$B$9*4,AF42-AF44,0)</f>
        <v>157.5</v>
      </c>
      <c r="AG45" s="9">
        <f>IF(29&lt;=核心参数输入!$B$9*4,AG42-AG44,0)</f>
        <v>135</v>
      </c>
      <c r="AH45" s="9">
        <f>IF(30&lt;=核心参数输入!$B$9*4,AH42-AH44,0)</f>
        <v>135</v>
      </c>
      <c r="AI45" s="9">
        <f>IF(31&lt;=核心参数输入!$B$9*4,AI42-AI44,0)</f>
        <v>135</v>
      </c>
      <c r="AJ45" s="9">
        <f>IF(32&lt;=核心参数输入!$B$9*4,AJ42-AJ44,0)</f>
        <v>112.49999999999999</v>
      </c>
      <c r="AK45" s="9">
        <f>IF(33&lt;=核心参数输入!$B$9*4,AK42-AK44,0)</f>
        <v>89.999999999999972</v>
      </c>
      <c r="AL45" s="9">
        <f>IF(34&lt;=核心参数输入!$B$9*4,AL42-AL44,0)</f>
        <v>89.999999999999972</v>
      </c>
      <c r="AM45" s="9">
        <f>IF(35&lt;=核心参数输入!$B$9*4,AM42-AM44,0)</f>
        <v>89.999999999999972</v>
      </c>
      <c r="AN45" s="9">
        <f>IF(36&lt;=核心参数输入!$B$9*4,AN42-AN44,0)</f>
        <v>67.499999999999972</v>
      </c>
      <c r="AO45" s="9">
        <f>IF(37&lt;=核心参数输入!$B$9*4,AO42-AO44,0)</f>
        <v>44.999999999999979</v>
      </c>
      <c r="AP45" s="9">
        <f>IF(38&lt;=核心参数输入!$B$9*4,AP42-AP44,0)</f>
        <v>44.999999999999979</v>
      </c>
      <c r="AQ45" s="9">
        <f>IF(39&lt;=核心参数输入!$B$9*4,AQ42-AQ44,0)</f>
        <v>44.999999999999979</v>
      </c>
      <c r="AR45" s="9">
        <f>IF(40&lt;=核心参数输入!$B$9*4,AR42-AR44,0)</f>
        <v>22.499999999999989</v>
      </c>
      <c r="AS45" s="9">
        <f>IF(41&lt;=核心参数输入!$B$9*4,AS42-AS44,0)</f>
        <v>0</v>
      </c>
      <c r="AT45" s="9">
        <f>IF(42&lt;=核心参数输入!$B$9*4,AT42-AT44,0)</f>
        <v>0</v>
      </c>
      <c r="AU45" s="9">
        <f>IF(43&lt;=核心参数输入!$B$9*4,AU42-AU44,0)</f>
        <v>0</v>
      </c>
      <c r="AV45" s="9">
        <f>IF(44&lt;=核心参数输入!$B$9*4,AV42-AV44,0)</f>
        <v>0</v>
      </c>
      <c r="AW45" s="9">
        <f>IF(45&lt;=核心参数输入!$B$9*4,AW42-AW44,0)</f>
        <v>0</v>
      </c>
      <c r="AX45" s="9">
        <f>IF(46&lt;=核心参数输入!$B$9*4,AX42-AX44,0)</f>
        <v>0</v>
      </c>
      <c r="AY45" s="9">
        <f>IF(47&lt;=核心参数输入!$B$9*4,AY42-AY44,0)</f>
        <v>0</v>
      </c>
      <c r="AZ45" s="9">
        <f>IF(48&lt;=核心参数输入!$B$9*4,AZ42-AZ44,0)</f>
        <v>0</v>
      </c>
      <c r="BA45" s="9">
        <f>IF(49&lt;=核心参数输入!$B$9*4,BA42-BA44,0)</f>
        <v>0</v>
      </c>
      <c r="BB45" s="9">
        <f>IF(50&lt;=核心参数输入!$B$9*4,BB42-BB44,0)</f>
        <v>0</v>
      </c>
      <c r="BC45" s="9">
        <f>IF(51&lt;=核心参数输入!$B$9*4,BC42-BC44,0)</f>
        <v>0</v>
      </c>
      <c r="BD45" s="9">
        <f>IF(52&lt;=核心参数输入!$B$9*4,BD42-BD44,0)</f>
        <v>0</v>
      </c>
      <c r="BE45" s="9">
        <f>IF(53&lt;=核心参数输入!$B$9*4,BE42-BE44,0)</f>
        <v>0</v>
      </c>
      <c r="BF45" s="9">
        <f>IF(54&lt;=核心参数输入!$B$9*4,BF42-BF44,0)</f>
        <v>0</v>
      </c>
      <c r="BG45" s="9">
        <f>IF(55&lt;=核心参数输入!$B$9*4,BG42-BG44,0)</f>
        <v>0</v>
      </c>
      <c r="BH45" s="9">
        <f>IF(56&lt;=核心参数输入!$B$9*4,BH42-BH44,0)</f>
        <v>0</v>
      </c>
      <c r="BI45" s="9">
        <f>IF(57&lt;=核心参数输入!$B$9*4,BI42-BI44,0)</f>
        <v>0</v>
      </c>
      <c r="BJ45" s="9">
        <f>IF(58&lt;=核心参数输入!$B$9*4,BJ42-BJ44,0)</f>
        <v>0</v>
      </c>
      <c r="BK45" s="9">
        <f>IF(59&lt;=核心参数输入!$B$9*4,BK42-BK44,0)</f>
        <v>0</v>
      </c>
      <c r="BL45" s="9">
        <f>IF(60&lt;=核心参数输入!$B$9*4,BL42-BL44,0)</f>
        <v>0</v>
      </c>
      <c r="BM45" s="9">
        <f>IF(61&lt;=核心参数输入!$B$9*4,BM42-BM44,0)</f>
        <v>0</v>
      </c>
      <c r="BN45" s="9">
        <f>IF(62&lt;=核心参数输入!$B$9*4,BN42-BN44,0)</f>
        <v>0</v>
      </c>
      <c r="BO45" s="9">
        <f>IF(63&lt;=核心参数输入!$B$9*4,BO42-BO44,0)</f>
        <v>0</v>
      </c>
      <c r="BP45" s="9">
        <f>IF(64&lt;=核心参数输入!$B$9*4,BP42-BP44,0)</f>
        <v>0</v>
      </c>
      <c r="BQ45" s="9">
        <f>IF(65&lt;=核心参数输入!$B$9*4,BQ42-BQ44,0)</f>
        <v>0</v>
      </c>
      <c r="BR45" s="9">
        <f>IF(66&lt;=核心参数输入!$B$9*4,BR42-BR44,0)</f>
        <v>0</v>
      </c>
      <c r="BS45" s="9">
        <f>IF(67&lt;=核心参数输入!$B$9*4,BS42-BS44,0)</f>
        <v>0</v>
      </c>
      <c r="BT45" s="9">
        <f>IF(68&lt;=核心参数输入!$B$9*4,BT42-BT44,0)</f>
        <v>0</v>
      </c>
      <c r="BU45" s="9">
        <f>IF(69&lt;=核心参数输入!$B$9*4,BU42-BU44,0)</f>
        <v>0</v>
      </c>
      <c r="BV45" s="9">
        <f>IF(70&lt;=核心参数输入!$B$9*4,BV42-BV44,0)</f>
        <v>0</v>
      </c>
      <c r="BW45" s="9">
        <f>IF(71&lt;=核心参数输入!$B$9*4,BW42-BW44,0)</f>
        <v>0</v>
      </c>
      <c r="BX45" s="9">
        <f>IF(72&lt;=核心参数输入!$B$9*4,BX42-BX44,0)</f>
        <v>0</v>
      </c>
      <c r="BY45" s="9">
        <f>IF(73&lt;=核心参数输入!$B$9*4,BY42-BY44,0)</f>
        <v>0</v>
      </c>
      <c r="BZ45" s="9">
        <f>IF(74&lt;=核心参数输入!$B$9*4,BZ42-BZ44,0)</f>
        <v>0</v>
      </c>
      <c r="CA45" s="9">
        <f>IF(75&lt;=核心参数输入!$B$9*4,CA42-CA44,0)</f>
        <v>0</v>
      </c>
      <c r="CB45" s="9">
        <f>IF(76&lt;=核心参数输入!$B$9*4,CB42-CB44,0)</f>
        <v>0</v>
      </c>
      <c r="CC45" s="9">
        <f>IF(77&lt;=核心参数输入!$B$9*4,CC42-CC44,0)</f>
        <v>0</v>
      </c>
      <c r="CD45" s="9">
        <f>IF(78&lt;=核心参数输入!$B$9*4,CD42-CD44,0)</f>
        <v>0</v>
      </c>
      <c r="CE45" s="9">
        <f>IF(79&lt;=核心参数输入!$B$9*4,CE42-CE44,0)</f>
        <v>0</v>
      </c>
      <c r="CF45" s="9">
        <f>IF(80&lt;=核心参数输入!$B$9*4,CF42-CF44,0)</f>
        <v>0</v>
      </c>
      <c r="CG45" s="9">
        <f>IF(81&lt;=核心参数输入!$B$9*4,CG42-CG44,0)</f>
        <v>0</v>
      </c>
      <c r="CH45" s="9">
        <f>IF(82&lt;=核心参数输入!$B$9*4,CH42-CH44,0)</f>
        <v>0</v>
      </c>
      <c r="CI45" s="9">
        <f>IF(83&lt;=核心参数输入!$B$9*4,CI42-CI44,0)</f>
        <v>0</v>
      </c>
      <c r="CJ45" s="9">
        <f>IF(84&lt;=核心参数输入!$B$9*4,CJ42-CJ44,0)</f>
        <v>0</v>
      </c>
      <c r="CK45" s="9">
        <f>IF(85&lt;=核心参数输入!$B$9*4,CK42-CK44,0)</f>
        <v>0</v>
      </c>
      <c r="CL45" s="9">
        <f>IF(86&lt;=核心参数输入!$B$9*4,CL42-CL44,0)</f>
        <v>0</v>
      </c>
      <c r="CM45" s="9">
        <f>IF(87&lt;=核心参数输入!$B$9*4,CM42-CM44,0)</f>
        <v>0</v>
      </c>
      <c r="CN45" s="9">
        <f>IF(88&lt;=核心参数输入!$B$9*4,CN42-CN44,0)</f>
        <v>0</v>
      </c>
      <c r="CO45" s="9">
        <f>IF(89&lt;=核心参数输入!$B$9*4,CO42-CO44,0)</f>
        <v>0</v>
      </c>
      <c r="CP45" s="9">
        <f>IF(90&lt;=核心参数输入!$B$9*4,CP42-CP44,0)</f>
        <v>0</v>
      </c>
      <c r="CQ45" s="9">
        <f>IF(91&lt;=核心参数输入!$B$9*4,CQ42-CQ44,0)</f>
        <v>0</v>
      </c>
      <c r="CR45" s="9">
        <f>IF(92&lt;=核心参数输入!$B$9*4,CR42-CR44,0)</f>
        <v>0</v>
      </c>
      <c r="CS45" s="9">
        <f>IF(93&lt;=核心参数输入!$B$9*4,CS42-CS44,0)</f>
        <v>0</v>
      </c>
      <c r="CT45" s="9">
        <f>IF(94&lt;=核心参数输入!$B$9*4,CT42-CT44,0)</f>
        <v>0</v>
      </c>
      <c r="CU45" s="9">
        <f>IF(95&lt;=核心参数输入!$B$9*4,CU42-CU44,0)</f>
        <v>0</v>
      </c>
      <c r="CV45" s="9">
        <f>IF(96&lt;=核心参数输入!$B$9*4,CV42-CV44,0)</f>
        <v>0</v>
      </c>
      <c r="CW45" s="9">
        <f>IF(97&lt;=核心参数输入!$B$9*4,CW42-CW44,0)</f>
        <v>0</v>
      </c>
      <c r="CX45" s="9">
        <f>IF(98&lt;=核心参数输入!$B$9*4,CX42-CX44,0)</f>
        <v>0</v>
      </c>
      <c r="CY45" s="9">
        <f>IF(99&lt;=核心参数输入!$B$9*4,CY42-CY44,0)</f>
        <v>0</v>
      </c>
      <c r="CZ45" s="9">
        <f>IF(100&lt;=核心参数输入!$B$9*4,CZ42-CZ44,0)</f>
        <v>0</v>
      </c>
      <c r="DA45" s="9">
        <f>IF(101&lt;=核心参数输入!$B$9*4,DA42-DA44,0)</f>
        <v>0</v>
      </c>
      <c r="DB45" s="9">
        <f>IF(102&lt;=核心参数输入!$B$9*4,DB42-DB44,0)</f>
        <v>0</v>
      </c>
      <c r="DC45" s="9">
        <f>IF(103&lt;=核心参数输入!$B$9*4,DC42-DC44,0)</f>
        <v>0</v>
      </c>
      <c r="DD45" s="9">
        <f>IF(104&lt;=核心参数输入!$B$9*4,DD42-DD44,0)</f>
        <v>0</v>
      </c>
      <c r="DE45" s="9">
        <f>IF(105&lt;=核心参数输入!$B$9*4,DE42-DE44,0)</f>
        <v>0</v>
      </c>
      <c r="DF45" s="9">
        <f>IF(106&lt;=核心参数输入!$B$9*4,DF42-DF44,0)</f>
        <v>0</v>
      </c>
      <c r="DG45" s="9">
        <f>IF(107&lt;=核心参数输入!$B$9*4,DG42-DG44,0)</f>
        <v>0</v>
      </c>
      <c r="DH45" s="9">
        <f>IF(108&lt;=核心参数输入!$B$9*4,DH42-DH44,0)</f>
        <v>0</v>
      </c>
      <c r="DI45" s="9">
        <f>IF(109&lt;=核心参数输入!$B$9*4,DI42-DI44,0)</f>
        <v>0</v>
      </c>
      <c r="DJ45" s="9">
        <f>IF(110&lt;=核心参数输入!$B$9*4,DJ42-DJ44,0)</f>
        <v>0</v>
      </c>
      <c r="DK45" s="9">
        <f>IF(111&lt;=核心参数输入!$B$9*4,DK42-DK44,0)</f>
        <v>0</v>
      </c>
      <c r="DL45" s="9">
        <f>IF(112&lt;=核心参数输入!$B$9*4,DL42-DL44,0)</f>
        <v>0</v>
      </c>
      <c r="DM45" s="9">
        <f>IF(113&lt;=核心参数输入!$B$9*4,DM42-DM44,0)</f>
        <v>0</v>
      </c>
      <c r="DN45" s="9">
        <f>IF(114&lt;=核心参数输入!$B$9*4,DN42-DN44,0)</f>
        <v>0</v>
      </c>
      <c r="DO45" s="9">
        <f>IF(115&lt;=核心参数输入!$B$9*4,DO42-DO44,0)</f>
        <v>0</v>
      </c>
      <c r="DP45" s="9">
        <f>IF(116&lt;=核心参数输入!$B$9*4,DP42-DP44,0)</f>
        <v>0</v>
      </c>
      <c r="DQ45" s="9">
        <f>IF(117&lt;=核心参数输入!$B$9*4,DQ42-DQ44,0)</f>
        <v>0</v>
      </c>
      <c r="DR45" s="9">
        <f>IF(118&lt;=核心参数输入!$B$9*4,DR42-DR44,0)</f>
        <v>0</v>
      </c>
      <c r="DS45" s="9">
        <f>IF(119&lt;=核心参数输入!$B$9*4,DS42-DS44,0)</f>
        <v>0</v>
      </c>
      <c r="DT45" s="9">
        <f>IF(120&lt;=核心参数输入!$B$9*4,DT42-DT44,0)</f>
        <v>0</v>
      </c>
    </row>
    <row r="46" spans="1:124" ht="21" customHeight="1">
      <c r="A46" s="8" t="s">
        <v>437</v>
      </c>
      <c r="B46" s="8" t="s">
        <v>39</v>
      </c>
      <c r="C46" s="8"/>
      <c r="D46" s="9">
        <f>IF(0&lt;=核心参数输入!$B$9*4,D41+D42,0)</f>
        <v>0</v>
      </c>
      <c r="E46" s="9">
        <f>IF(1&lt;=核心参数输入!$B$9*4,E41+E42,0)</f>
        <v>11.8125</v>
      </c>
      <c r="F46" s="9">
        <f>IF(2&lt;=核心参数输入!$B$9*4,F41+F42,0)</f>
        <v>35.4375</v>
      </c>
      <c r="G46" s="9">
        <f>IF(3&lt;=核心参数输入!$B$9*4,G41+G42,0)</f>
        <v>59.062500000000007</v>
      </c>
      <c r="H46" s="9">
        <f>IF(4&lt;=核心参数输入!$B$9*4,H41+H42,0)</f>
        <v>82.6875</v>
      </c>
      <c r="I46" s="9">
        <f>IF(5&lt;=核心参数输入!$B$9*4,I41+I42,0)</f>
        <v>110.25</v>
      </c>
      <c r="J46" s="9">
        <f>IF(6&lt;=核心参数输入!$B$9*4,J41+J42,0)</f>
        <v>141.75</v>
      </c>
      <c r="K46" s="9">
        <f>IF(7&lt;=核心参数输入!$B$9*4,K41+K42,0)</f>
        <v>173.25</v>
      </c>
      <c r="L46" s="9">
        <f>IF(8&lt;=核心参数输入!$B$9*4,L41+L42,0)</f>
        <v>204.75</v>
      </c>
      <c r="M46" s="9">
        <f>IF(9&lt;=核心参数输入!$B$9*4,M41+M42,0)</f>
        <v>232.31250000000003</v>
      </c>
      <c r="N46" s="9">
        <f>IF(10&lt;=核心参数输入!$B$9*4,N41+N42,0)</f>
        <v>255.93750000000003</v>
      </c>
      <c r="O46" s="9">
        <f>IF(11&lt;=核心参数输入!$B$9*4,O41+O42,0)</f>
        <v>279.5625</v>
      </c>
      <c r="P46" s="9">
        <f>IF(12&lt;=核心参数输入!$B$9*4,P41+P42,0)</f>
        <v>303.1875</v>
      </c>
      <c r="Q46" s="9">
        <f>IF(13&lt;=核心参数输入!$B$9*4,Q41+Q42,0)</f>
        <v>315</v>
      </c>
      <c r="R46" s="9">
        <f>IF(14&lt;=核心参数输入!$B$9*4,R41+R42,0)</f>
        <v>315</v>
      </c>
      <c r="S46" s="9">
        <f>IF(15&lt;=核心参数输入!$B$9*4,S41+S42,0)</f>
        <v>315</v>
      </c>
      <c r="T46" s="9">
        <f>IF(16&lt;=核心参数输入!$B$9*4,T41+T42,0)</f>
        <v>4578.2142857142853</v>
      </c>
      <c r="U46" s="9">
        <f>IF(17&lt;=核心参数输入!$B$9*4,U41+U42,0)</f>
        <v>270</v>
      </c>
      <c r="V46" s="9">
        <f>IF(18&lt;=核心参数输入!$B$9*4,V41+V42,0)</f>
        <v>270</v>
      </c>
      <c r="W46" s="9">
        <f>IF(19&lt;=核心参数输入!$B$9*4,W41+W42,0)</f>
        <v>270</v>
      </c>
      <c r="X46" s="9">
        <f>IF(20&lt;=核心参数输入!$B$9*4,X41+X42,0)</f>
        <v>4533.2142857142853</v>
      </c>
      <c r="Y46" s="9">
        <f>IF(21&lt;=核心参数输入!$B$9*4,Y41+Y42,0)</f>
        <v>225</v>
      </c>
      <c r="Z46" s="9">
        <f>IF(22&lt;=核心参数输入!$B$9*4,Z41+Z42,0)</f>
        <v>225</v>
      </c>
      <c r="AA46" s="9">
        <f>IF(23&lt;=核心参数输入!$B$9*4,AA41+AA42,0)</f>
        <v>225</v>
      </c>
      <c r="AB46" s="9">
        <f>IF(24&lt;=核心参数输入!$B$9*4,AB41+AB42,0)</f>
        <v>4488.2142857142853</v>
      </c>
      <c r="AC46" s="9">
        <f>IF(25&lt;=核心参数输入!$B$9*4,AC41+AC42,0)</f>
        <v>180</v>
      </c>
      <c r="AD46" s="9">
        <f>IF(26&lt;=核心参数输入!$B$9*4,AD41+AD42,0)</f>
        <v>180</v>
      </c>
      <c r="AE46" s="9">
        <f>IF(27&lt;=核心参数输入!$B$9*4,AE41+AE42,0)</f>
        <v>180</v>
      </c>
      <c r="AF46" s="9">
        <f>IF(28&lt;=核心参数输入!$B$9*4,AF41+AF42,0)</f>
        <v>4443.2142857142853</v>
      </c>
      <c r="AG46" s="9">
        <f>IF(29&lt;=核心参数输入!$B$9*4,AG41+AG42,0)</f>
        <v>135</v>
      </c>
      <c r="AH46" s="9">
        <f>IF(30&lt;=核心参数输入!$B$9*4,AH41+AH42,0)</f>
        <v>135</v>
      </c>
      <c r="AI46" s="9">
        <f>IF(31&lt;=核心参数输入!$B$9*4,AI41+AI42,0)</f>
        <v>135</v>
      </c>
      <c r="AJ46" s="9">
        <f>IF(32&lt;=核心参数输入!$B$9*4,AJ41+AJ42,0)</f>
        <v>4398.2142857142853</v>
      </c>
      <c r="AK46" s="9">
        <f>IF(33&lt;=核心参数输入!$B$9*4,AK41+AK42,0)</f>
        <v>89.999999999999972</v>
      </c>
      <c r="AL46" s="9">
        <f>IF(34&lt;=核心参数输入!$B$9*4,AL41+AL42,0)</f>
        <v>89.999999999999972</v>
      </c>
      <c r="AM46" s="9">
        <f>IF(35&lt;=核心参数输入!$B$9*4,AM41+AM42,0)</f>
        <v>89.999999999999972</v>
      </c>
      <c r="AN46" s="9">
        <f>IF(36&lt;=核心参数输入!$B$9*4,AN41+AN42,0)</f>
        <v>4353.2142857142853</v>
      </c>
      <c r="AO46" s="9">
        <f>IF(37&lt;=核心参数输入!$B$9*4,AO41+AO42,0)</f>
        <v>44.999999999999979</v>
      </c>
      <c r="AP46" s="9">
        <f>IF(38&lt;=核心参数输入!$B$9*4,AP41+AP42,0)</f>
        <v>44.999999999999979</v>
      </c>
      <c r="AQ46" s="9">
        <f>IF(39&lt;=核心参数输入!$B$9*4,AQ41+AQ42,0)</f>
        <v>44.999999999999979</v>
      </c>
      <c r="AR46" s="9">
        <f>IF(40&lt;=核心参数输入!$B$9*4,AR41+AR42,0)</f>
        <v>4308.2142857142835</v>
      </c>
      <c r="AS46" s="9">
        <f>IF(41&lt;=核心参数输入!$B$9*4,AS41+AS42,0)</f>
        <v>0</v>
      </c>
      <c r="AT46" s="9">
        <f>IF(42&lt;=核心参数输入!$B$9*4,AT41+AT42,0)</f>
        <v>0</v>
      </c>
      <c r="AU46" s="9">
        <f>IF(43&lt;=核心参数输入!$B$9*4,AU41+AU42,0)</f>
        <v>0</v>
      </c>
      <c r="AV46" s="9">
        <f>IF(44&lt;=核心参数输入!$B$9*4,AV41+AV42,0)</f>
        <v>0</v>
      </c>
      <c r="AW46" s="9">
        <f>IF(45&lt;=核心参数输入!$B$9*4,AW41+AW42,0)</f>
        <v>0</v>
      </c>
      <c r="AX46" s="9">
        <f>IF(46&lt;=核心参数输入!$B$9*4,AX41+AX42,0)</f>
        <v>0</v>
      </c>
      <c r="AY46" s="9">
        <f>IF(47&lt;=核心参数输入!$B$9*4,AY41+AY42,0)</f>
        <v>0</v>
      </c>
      <c r="AZ46" s="9">
        <f>IF(48&lt;=核心参数输入!$B$9*4,AZ41+AZ42,0)</f>
        <v>0</v>
      </c>
      <c r="BA46" s="9">
        <f>IF(49&lt;=核心参数输入!$B$9*4,BA41+BA42,0)</f>
        <v>0</v>
      </c>
      <c r="BB46" s="9">
        <f>IF(50&lt;=核心参数输入!$B$9*4,BB41+BB42,0)</f>
        <v>0</v>
      </c>
      <c r="BC46" s="9">
        <f>IF(51&lt;=核心参数输入!$B$9*4,BC41+BC42,0)</f>
        <v>0</v>
      </c>
      <c r="BD46" s="9">
        <f>IF(52&lt;=核心参数输入!$B$9*4,BD41+BD42,0)</f>
        <v>0</v>
      </c>
      <c r="BE46" s="9">
        <f>IF(53&lt;=核心参数输入!$B$9*4,BE41+BE42,0)</f>
        <v>0</v>
      </c>
      <c r="BF46" s="9">
        <f>IF(54&lt;=核心参数输入!$B$9*4,BF41+BF42,0)</f>
        <v>0</v>
      </c>
      <c r="BG46" s="9">
        <f>IF(55&lt;=核心参数输入!$B$9*4,BG41+BG42,0)</f>
        <v>0</v>
      </c>
      <c r="BH46" s="9">
        <f>IF(56&lt;=核心参数输入!$B$9*4,BH41+BH42,0)</f>
        <v>0</v>
      </c>
      <c r="BI46" s="9">
        <f>IF(57&lt;=核心参数输入!$B$9*4,BI41+BI42,0)</f>
        <v>0</v>
      </c>
      <c r="BJ46" s="9">
        <f>IF(58&lt;=核心参数输入!$B$9*4,BJ41+BJ42,0)</f>
        <v>0</v>
      </c>
      <c r="BK46" s="9">
        <f>IF(59&lt;=核心参数输入!$B$9*4,BK41+BK42,0)</f>
        <v>0</v>
      </c>
      <c r="BL46" s="9">
        <f>IF(60&lt;=核心参数输入!$B$9*4,BL41+BL42,0)</f>
        <v>0</v>
      </c>
      <c r="BM46" s="9">
        <f>IF(61&lt;=核心参数输入!$B$9*4,BM41+BM42,0)</f>
        <v>0</v>
      </c>
      <c r="BN46" s="9">
        <f>IF(62&lt;=核心参数输入!$B$9*4,BN41+BN42,0)</f>
        <v>0</v>
      </c>
      <c r="BO46" s="9">
        <f>IF(63&lt;=核心参数输入!$B$9*4,BO41+BO42,0)</f>
        <v>0</v>
      </c>
      <c r="BP46" s="9">
        <f>IF(64&lt;=核心参数输入!$B$9*4,BP41+BP42,0)</f>
        <v>0</v>
      </c>
      <c r="BQ46" s="9">
        <f>IF(65&lt;=核心参数输入!$B$9*4,BQ41+BQ42,0)</f>
        <v>0</v>
      </c>
      <c r="BR46" s="9">
        <f>IF(66&lt;=核心参数输入!$B$9*4,BR41+BR42,0)</f>
        <v>0</v>
      </c>
      <c r="BS46" s="9">
        <f>IF(67&lt;=核心参数输入!$B$9*4,BS41+BS42,0)</f>
        <v>0</v>
      </c>
      <c r="BT46" s="9">
        <f>IF(68&lt;=核心参数输入!$B$9*4,BT41+BT42,0)</f>
        <v>0</v>
      </c>
      <c r="BU46" s="9">
        <f>IF(69&lt;=核心参数输入!$B$9*4,BU41+BU42,0)</f>
        <v>0</v>
      </c>
      <c r="BV46" s="9">
        <f>IF(70&lt;=核心参数输入!$B$9*4,BV41+BV42,0)</f>
        <v>0</v>
      </c>
      <c r="BW46" s="9">
        <f>IF(71&lt;=核心参数输入!$B$9*4,BW41+BW42,0)</f>
        <v>0</v>
      </c>
      <c r="BX46" s="9">
        <f>IF(72&lt;=核心参数输入!$B$9*4,BX41+BX42,0)</f>
        <v>0</v>
      </c>
      <c r="BY46" s="9">
        <f>IF(73&lt;=核心参数输入!$B$9*4,BY41+BY42,0)</f>
        <v>0</v>
      </c>
      <c r="BZ46" s="9">
        <f>IF(74&lt;=核心参数输入!$B$9*4,BZ41+BZ42,0)</f>
        <v>0</v>
      </c>
      <c r="CA46" s="9">
        <f>IF(75&lt;=核心参数输入!$B$9*4,CA41+CA42,0)</f>
        <v>0</v>
      </c>
      <c r="CB46" s="9">
        <f>IF(76&lt;=核心参数输入!$B$9*4,CB41+CB42,0)</f>
        <v>0</v>
      </c>
      <c r="CC46" s="9">
        <f>IF(77&lt;=核心参数输入!$B$9*4,CC41+CC42,0)</f>
        <v>0</v>
      </c>
      <c r="CD46" s="9">
        <f>IF(78&lt;=核心参数输入!$B$9*4,CD41+CD42,0)</f>
        <v>0</v>
      </c>
      <c r="CE46" s="9">
        <f>IF(79&lt;=核心参数输入!$B$9*4,CE41+CE42,0)</f>
        <v>0</v>
      </c>
      <c r="CF46" s="9">
        <f>IF(80&lt;=核心参数输入!$B$9*4,CF41+CF42,0)</f>
        <v>0</v>
      </c>
      <c r="CG46" s="9">
        <f>IF(81&lt;=核心参数输入!$B$9*4,CG41+CG42,0)</f>
        <v>0</v>
      </c>
      <c r="CH46" s="9">
        <f>IF(82&lt;=核心参数输入!$B$9*4,CH41+CH42,0)</f>
        <v>0</v>
      </c>
      <c r="CI46" s="9">
        <f>IF(83&lt;=核心参数输入!$B$9*4,CI41+CI42,0)</f>
        <v>0</v>
      </c>
      <c r="CJ46" s="9">
        <f>IF(84&lt;=核心参数输入!$B$9*4,CJ41+CJ42,0)</f>
        <v>0</v>
      </c>
      <c r="CK46" s="9">
        <f>IF(85&lt;=核心参数输入!$B$9*4,CK41+CK42,0)</f>
        <v>0</v>
      </c>
      <c r="CL46" s="9">
        <f>IF(86&lt;=核心参数输入!$B$9*4,CL41+CL42,0)</f>
        <v>0</v>
      </c>
      <c r="CM46" s="9">
        <f>IF(87&lt;=核心参数输入!$B$9*4,CM41+CM42,0)</f>
        <v>0</v>
      </c>
      <c r="CN46" s="9">
        <f>IF(88&lt;=核心参数输入!$B$9*4,CN41+CN42,0)</f>
        <v>0</v>
      </c>
      <c r="CO46" s="9">
        <f>IF(89&lt;=核心参数输入!$B$9*4,CO41+CO42,0)</f>
        <v>0</v>
      </c>
      <c r="CP46" s="9">
        <f>IF(90&lt;=核心参数输入!$B$9*4,CP41+CP42,0)</f>
        <v>0</v>
      </c>
      <c r="CQ46" s="9">
        <f>IF(91&lt;=核心参数输入!$B$9*4,CQ41+CQ42,0)</f>
        <v>0</v>
      </c>
      <c r="CR46" s="9">
        <f>IF(92&lt;=核心参数输入!$B$9*4,CR41+CR42,0)</f>
        <v>0</v>
      </c>
      <c r="CS46" s="9">
        <f>IF(93&lt;=核心参数输入!$B$9*4,CS41+CS42,0)</f>
        <v>0</v>
      </c>
      <c r="CT46" s="9">
        <f>IF(94&lt;=核心参数输入!$B$9*4,CT41+CT42,0)</f>
        <v>0</v>
      </c>
      <c r="CU46" s="9">
        <f>IF(95&lt;=核心参数输入!$B$9*4,CU41+CU42,0)</f>
        <v>0</v>
      </c>
      <c r="CV46" s="9">
        <f>IF(96&lt;=核心参数输入!$B$9*4,CV41+CV42,0)</f>
        <v>0</v>
      </c>
      <c r="CW46" s="9">
        <f>IF(97&lt;=核心参数输入!$B$9*4,CW41+CW42,0)</f>
        <v>0</v>
      </c>
      <c r="CX46" s="9">
        <f>IF(98&lt;=核心参数输入!$B$9*4,CX41+CX42,0)</f>
        <v>0</v>
      </c>
      <c r="CY46" s="9">
        <f>IF(99&lt;=核心参数输入!$B$9*4,CY41+CY42,0)</f>
        <v>0</v>
      </c>
      <c r="CZ46" s="9">
        <f>IF(100&lt;=核心参数输入!$B$9*4,CZ41+CZ42,0)</f>
        <v>0</v>
      </c>
      <c r="DA46" s="9">
        <f>IF(101&lt;=核心参数输入!$B$9*4,DA41+DA42,0)</f>
        <v>0</v>
      </c>
      <c r="DB46" s="9">
        <f>IF(102&lt;=核心参数输入!$B$9*4,DB41+DB42,0)</f>
        <v>0</v>
      </c>
      <c r="DC46" s="9">
        <f>IF(103&lt;=核心参数输入!$B$9*4,DC41+DC42,0)</f>
        <v>0</v>
      </c>
      <c r="DD46" s="9">
        <f>IF(104&lt;=核心参数输入!$B$9*4,DD41+DD42,0)</f>
        <v>0</v>
      </c>
      <c r="DE46" s="9">
        <f>IF(105&lt;=核心参数输入!$B$9*4,DE41+DE42,0)</f>
        <v>0</v>
      </c>
      <c r="DF46" s="9">
        <f>IF(106&lt;=核心参数输入!$B$9*4,DF41+DF42,0)</f>
        <v>0</v>
      </c>
      <c r="DG46" s="9">
        <f>IF(107&lt;=核心参数输入!$B$9*4,DG41+DG42,0)</f>
        <v>0</v>
      </c>
      <c r="DH46" s="9">
        <f>IF(108&lt;=核心参数输入!$B$9*4,DH41+DH42,0)</f>
        <v>0</v>
      </c>
      <c r="DI46" s="9">
        <f>IF(109&lt;=核心参数输入!$B$9*4,DI41+DI42,0)</f>
        <v>0</v>
      </c>
      <c r="DJ46" s="9">
        <f>IF(110&lt;=核心参数输入!$B$9*4,DJ41+DJ42,0)</f>
        <v>0</v>
      </c>
      <c r="DK46" s="9">
        <f>IF(111&lt;=核心参数输入!$B$9*4,DK41+DK42,0)</f>
        <v>0</v>
      </c>
      <c r="DL46" s="9">
        <f>IF(112&lt;=核心参数输入!$B$9*4,DL41+DL42,0)</f>
        <v>0</v>
      </c>
      <c r="DM46" s="9">
        <f>IF(113&lt;=核心参数输入!$B$9*4,DM41+DM42,0)</f>
        <v>0</v>
      </c>
      <c r="DN46" s="9">
        <f>IF(114&lt;=核心参数输入!$B$9*4,DN41+DN42,0)</f>
        <v>0</v>
      </c>
      <c r="DO46" s="9">
        <f>IF(115&lt;=核心参数输入!$B$9*4,DO41+DO42,0)</f>
        <v>0</v>
      </c>
      <c r="DP46" s="9">
        <f>IF(116&lt;=核心参数输入!$B$9*4,DP41+DP42,0)</f>
        <v>0</v>
      </c>
      <c r="DQ46" s="9">
        <f>IF(117&lt;=核心参数输入!$B$9*4,DQ41+DQ42,0)</f>
        <v>0</v>
      </c>
      <c r="DR46" s="9">
        <f>IF(118&lt;=核心参数输入!$B$9*4,DR41+DR42,0)</f>
        <v>0</v>
      </c>
      <c r="DS46" s="9">
        <f>IF(119&lt;=核心参数输入!$B$9*4,DS41+DS42,0)</f>
        <v>0</v>
      </c>
      <c r="DT46" s="9">
        <f>IF(120&lt;=核心参数输入!$B$9*4,DT41+DT42,0)</f>
        <v>0</v>
      </c>
    </row>
    <row r="47" spans="1:124" ht="21" customHeight="1">
      <c r="A47" s="8" t="s">
        <v>438</v>
      </c>
      <c r="B47" s="8" t="s">
        <v>39</v>
      </c>
      <c r="C47" s="8"/>
      <c r="D47" s="9">
        <f>IF(0&lt;=核心参数输入!$B$9*4,SUM($D36:D36)+SUM($D37:D37),0)</f>
        <v>8000</v>
      </c>
      <c r="E47" s="9">
        <f>IF(1&lt;=核心参数输入!$B$9*4,SUM($D36:E36)+SUM($D37:E37),0)</f>
        <v>11969</v>
      </c>
      <c r="F47" s="9">
        <f>IF(2&lt;=核心参数输入!$B$9*4,SUM($D36:F36)+SUM($D37:F37),0)</f>
        <v>15938</v>
      </c>
      <c r="G47" s="9">
        <f>IF(3&lt;=核心参数输入!$B$9*4,SUM($D36:G36)+SUM($D37:G37),0)</f>
        <v>19907</v>
      </c>
      <c r="H47" s="9">
        <f>IF(4&lt;=核心参数输入!$B$9*4,SUM($D36:H36)+SUM($D37:H37),0)</f>
        <v>23876</v>
      </c>
      <c r="I47" s="9">
        <f>IF(5&lt;=核心参数输入!$B$9*4,SUM($D36:I36)+SUM($D37:I37),0)</f>
        <v>29168</v>
      </c>
      <c r="J47" s="9">
        <f>IF(6&lt;=核心参数输入!$B$9*4,SUM($D36:J36)+SUM($D37:J37),0)</f>
        <v>34460</v>
      </c>
      <c r="K47" s="9">
        <f>IF(7&lt;=核心参数输入!$B$9*4,SUM($D36:K36)+SUM($D37:K37),0)</f>
        <v>39752</v>
      </c>
      <c r="L47" s="9">
        <f>IF(8&lt;=核心参数输入!$B$9*4,SUM($D36:L36)+SUM($D37:L37),0)</f>
        <v>45044</v>
      </c>
      <c r="M47" s="9">
        <f>IF(9&lt;=核心参数输入!$B$9*4,SUM($D36:M36)+SUM($D37:M37),0)</f>
        <v>49013</v>
      </c>
      <c r="N47" s="9">
        <f>IF(10&lt;=核心参数输入!$B$9*4,SUM($D36:N36)+SUM($D37:N37),0)</f>
        <v>52982</v>
      </c>
      <c r="O47" s="9">
        <f>IF(11&lt;=核心参数输入!$B$9*4,SUM($D36:O36)+SUM($D37:O37),0)</f>
        <v>56951</v>
      </c>
      <c r="P47" s="9">
        <f>IF(12&lt;=核心参数输入!$B$9*4,SUM($D36:P36)+SUM($D37:P37),0)</f>
        <v>60920</v>
      </c>
      <c r="Q47" s="9">
        <f>IF(13&lt;=核心参数输入!$B$9*4,SUM($D36:Q36)+SUM($D37:Q37),0)</f>
        <v>60920</v>
      </c>
      <c r="R47" s="9">
        <f>IF(14&lt;=核心参数输入!$B$9*4,SUM($D36:R36)+SUM($D37:R37),0)</f>
        <v>60920</v>
      </c>
      <c r="S47" s="9">
        <f>IF(15&lt;=核心参数输入!$B$9*4,SUM($D36:S36)+SUM($D37:S37),0)</f>
        <v>60920</v>
      </c>
      <c r="T47" s="9">
        <f>IF(16&lt;=核心参数输入!$B$9*4,SUM($D36:T36)+SUM($D37:T37),0)</f>
        <v>60920</v>
      </c>
      <c r="U47" s="9">
        <f>IF(17&lt;=核心参数输入!$B$9*4,SUM($D36:U36)+SUM($D37:U37),0)</f>
        <v>60920</v>
      </c>
      <c r="V47" s="9">
        <f>IF(18&lt;=核心参数输入!$B$9*4,SUM($D36:V36)+SUM($D37:V37),0)</f>
        <v>60920</v>
      </c>
      <c r="W47" s="9">
        <f>IF(19&lt;=核心参数输入!$B$9*4,SUM($D36:W36)+SUM($D37:W37),0)</f>
        <v>60920</v>
      </c>
      <c r="X47" s="9">
        <f>IF(20&lt;=核心参数输入!$B$9*4,SUM($D36:X36)+SUM($D37:X37),0)</f>
        <v>60920</v>
      </c>
      <c r="Y47" s="9">
        <f>IF(21&lt;=核心参数输入!$B$9*4,SUM($D36:Y36)+SUM($D37:Y37),0)</f>
        <v>60920</v>
      </c>
      <c r="Z47" s="9">
        <f>IF(22&lt;=核心参数输入!$B$9*4,SUM($D36:Z36)+SUM($D37:Z37),0)</f>
        <v>60920</v>
      </c>
      <c r="AA47" s="9">
        <f>IF(23&lt;=核心参数输入!$B$9*4,SUM($D36:AA36)+SUM($D37:AA37),0)</f>
        <v>60920</v>
      </c>
      <c r="AB47" s="9">
        <f>IF(24&lt;=核心参数输入!$B$9*4,SUM($D36:AB36)+SUM($D37:AB37),0)</f>
        <v>60920</v>
      </c>
      <c r="AC47" s="9">
        <f>IF(25&lt;=核心参数输入!$B$9*4,SUM($D36:AC36)+SUM($D37:AC37),0)</f>
        <v>60920</v>
      </c>
      <c r="AD47" s="9">
        <f>IF(26&lt;=核心参数输入!$B$9*4,SUM($D36:AD36)+SUM($D37:AD37),0)</f>
        <v>60920</v>
      </c>
      <c r="AE47" s="9">
        <f>IF(27&lt;=核心参数输入!$B$9*4,SUM($D36:AE36)+SUM($D37:AE37),0)</f>
        <v>60920</v>
      </c>
      <c r="AF47" s="9">
        <f>IF(28&lt;=核心参数输入!$B$9*4,SUM($D36:AF36)+SUM($D37:AF37),0)</f>
        <v>60920</v>
      </c>
      <c r="AG47" s="9">
        <f>IF(29&lt;=核心参数输入!$B$9*4,SUM($D36:AG36)+SUM($D37:AG37),0)</f>
        <v>60920</v>
      </c>
      <c r="AH47" s="9">
        <f>IF(30&lt;=核心参数输入!$B$9*4,SUM($D36:AH36)+SUM($D37:AH37),0)</f>
        <v>60920</v>
      </c>
      <c r="AI47" s="9">
        <f>IF(31&lt;=核心参数输入!$B$9*4,SUM($D36:AI36)+SUM($D37:AI37),0)</f>
        <v>60920</v>
      </c>
      <c r="AJ47" s="9">
        <f>IF(32&lt;=核心参数输入!$B$9*4,SUM($D36:AJ36)+SUM($D37:AJ37),0)</f>
        <v>60920</v>
      </c>
      <c r="AK47" s="9">
        <f>IF(33&lt;=核心参数输入!$B$9*4,SUM($D36:AK36)+SUM($D37:AK37),0)</f>
        <v>60920</v>
      </c>
      <c r="AL47" s="9">
        <f>IF(34&lt;=核心参数输入!$B$9*4,SUM($D36:AL36)+SUM($D37:AL37),0)</f>
        <v>60920</v>
      </c>
      <c r="AM47" s="9">
        <f>IF(35&lt;=核心参数输入!$B$9*4,SUM($D36:AM36)+SUM($D37:AM37),0)</f>
        <v>60920</v>
      </c>
      <c r="AN47" s="9">
        <f>IF(36&lt;=核心参数输入!$B$9*4,SUM($D36:AN36)+SUM($D37:AN37),0)</f>
        <v>60920</v>
      </c>
      <c r="AO47" s="9">
        <f>IF(37&lt;=核心参数输入!$B$9*4,SUM($D36:AO36)+SUM($D37:AO37),0)</f>
        <v>60920</v>
      </c>
      <c r="AP47" s="9">
        <f>IF(38&lt;=核心参数输入!$B$9*4,SUM($D36:AP36)+SUM($D37:AP37),0)</f>
        <v>60920</v>
      </c>
      <c r="AQ47" s="9">
        <f>IF(39&lt;=核心参数输入!$B$9*4,SUM($D36:AQ36)+SUM($D37:AQ37),0)</f>
        <v>60920</v>
      </c>
      <c r="AR47" s="9">
        <f>IF(40&lt;=核心参数输入!$B$9*4,SUM($D36:AR36)+SUM($D37:AR37),0)</f>
        <v>60920</v>
      </c>
      <c r="AS47" s="9">
        <f>IF(41&lt;=核心参数输入!$B$9*4,SUM($D36:AS36)+SUM($D37:AS37),0)</f>
        <v>60920</v>
      </c>
      <c r="AT47" s="9">
        <f>IF(42&lt;=核心参数输入!$B$9*4,SUM($D36:AT36)+SUM($D37:AT37),0)</f>
        <v>60920</v>
      </c>
      <c r="AU47" s="9">
        <f>IF(43&lt;=核心参数输入!$B$9*4,SUM($D36:AU36)+SUM($D37:AU37),0)</f>
        <v>60920</v>
      </c>
      <c r="AV47" s="9">
        <f>IF(44&lt;=核心参数输入!$B$9*4,SUM($D36:AV36)+SUM($D37:AV37),0)</f>
        <v>60920</v>
      </c>
      <c r="AW47" s="9">
        <f>IF(45&lt;=核心参数输入!$B$9*4,SUM($D36:AW36)+SUM($D37:AW37),0)</f>
        <v>60920</v>
      </c>
      <c r="AX47" s="9">
        <f>IF(46&lt;=核心参数输入!$B$9*4,SUM($D36:AX36)+SUM($D37:AX37),0)</f>
        <v>60920</v>
      </c>
      <c r="AY47" s="9">
        <f>IF(47&lt;=核心参数输入!$B$9*4,SUM($D36:AY36)+SUM($D37:AY37),0)</f>
        <v>60920</v>
      </c>
      <c r="AZ47" s="9">
        <f>IF(48&lt;=核心参数输入!$B$9*4,SUM($D36:AZ36)+SUM($D37:AZ37),0)</f>
        <v>60920</v>
      </c>
      <c r="BA47" s="9">
        <f>IF(49&lt;=核心参数输入!$B$9*4,SUM($D36:BA36)+SUM($D37:BA37),0)</f>
        <v>60920</v>
      </c>
      <c r="BB47" s="9">
        <f>IF(50&lt;=核心参数输入!$B$9*4,SUM($D36:BB36)+SUM($D37:BB37),0)</f>
        <v>60920</v>
      </c>
      <c r="BC47" s="9">
        <f>IF(51&lt;=核心参数输入!$B$9*4,SUM($D36:BC36)+SUM($D37:BC37),0)</f>
        <v>60920</v>
      </c>
      <c r="BD47" s="9">
        <f>IF(52&lt;=核心参数输入!$B$9*4,SUM($D36:BD36)+SUM($D37:BD37),0)</f>
        <v>60920</v>
      </c>
      <c r="BE47" s="9">
        <f>IF(53&lt;=核心参数输入!$B$9*4,SUM($D36:BE36)+SUM($D37:BE37),0)</f>
        <v>60920</v>
      </c>
      <c r="BF47" s="9">
        <f>IF(54&lt;=核心参数输入!$B$9*4,SUM($D36:BF36)+SUM($D37:BF37),0)</f>
        <v>60920</v>
      </c>
      <c r="BG47" s="9">
        <f>IF(55&lt;=核心参数输入!$B$9*4,SUM($D36:BG36)+SUM($D37:BG37),0)</f>
        <v>60920</v>
      </c>
      <c r="BH47" s="9">
        <f>IF(56&lt;=核心参数输入!$B$9*4,SUM($D36:BH36)+SUM($D37:BH37),0)</f>
        <v>60920</v>
      </c>
      <c r="BI47" s="9">
        <f>IF(57&lt;=核心参数输入!$B$9*4,SUM($D36:BI36)+SUM($D37:BI37),0)</f>
        <v>60920</v>
      </c>
      <c r="BJ47" s="9">
        <f>IF(58&lt;=核心参数输入!$B$9*4,SUM($D36:BJ36)+SUM($D37:BJ37),0)</f>
        <v>60920</v>
      </c>
      <c r="BK47" s="9">
        <f>IF(59&lt;=核心参数输入!$B$9*4,SUM($D36:BK36)+SUM($D37:BK37),0)</f>
        <v>60920</v>
      </c>
      <c r="BL47" s="9">
        <f>IF(60&lt;=核心参数输入!$B$9*4,SUM($D36:BL36)+SUM($D37:BL37),0)</f>
        <v>60920</v>
      </c>
      <c r="BM47" s="9">
        <f>IF(61&lt;=核心参数输入!$B$9*4,SUM($D36:BM36)+SUM($D37:BM37),0)</f>
        <v>60920</v>
      </c>
      <c r="BN47" s="9">
        <f>IF(62&lt;=核心参数输入!$B$9*4,SUM($D36:BN36)+SUM($D37:BN37),0)</f>
        <v>60920</v>
      </c>
      <c r="BO47" s="9">
        <f>IF(63&lt;=核心参数输入!$B$9*4,SUM($D36:BO36)+SUM($D37:BO37),0)</f>
        <v>60920</v>
      </c>
      <c r="BP47" s="9">
        <f>IF(64&lt;=核心参数输入!$B$9*4,SUM($D36:BP36)+SUM($D37:BP37),0)</f>
        <v>60920</v>
      </c>
      <c r="BQ47" s="9">
        <f>IF(65&lt;=核心参数输入!$B$9*4,SUM($D36:BQ36)+SUM($D37:BQ37),0)</f>
        <v>60920</v>
      </c>
      <c r="BR47" s="9">
        <f>IF(66&lt;=核心参数输入!$B$9*4,SUM($D36:BR36)+SUM($D37:BR37),0)</f>
        <v>60920</v>
      </c>
      <c r="BS47" s="9">
        <f>IF(67&lt;=核心参数输入!$B$9*4,SUM($D36:BS36)+SUM($D37:BS37),0)</f>
        <v>60920</v>
      </c>
      <c r="BT47" s="9">
        <f>IF(68&lt;=核心参数输入!$B$9*4,SUM($D36:BT36)+SUM($D37:BT37),0)</f>
        <v>60920</v>
      </c>
      <c r="BU47" s="9">
        <f>IF(69&lt;=核心参数输入!$B$9*4,SUM($D36:BU36)+SUM($D37:BU37),0)</f>
        <v>60920</v>
      </c>
      <c r="BV47" s="9">
        <f>IF(70&lt;=核心参数输入!$B$9*4,SUM($D36:BV36)+SUM($D37:BV37),0)</f>
        <v>60920</v>
      </c>
      <c r="BW47" s="9">
        <f>IF(71&lt;=核心参数输入!$B$9*4,SUM($D36:BW36)+SUM($D37:BW37),0)</f>
        <v>60920</v>
      </c>
      <c r="BX47" s="9">
        <f>IF(72&lt;=核心参数输入!$B$9*4,SUM($D36:BX36)+SUM($D37:BX37),0)</f>
        <v>60920</v>
      </c>
      <c r="BY47" s="9">
        <f>IF(73&lt;=核心参数输入!$B$9*4,SUM($D36:BY36)+SUM($D37:BY37),0)</f>
        <v>60920</v>
      </c>
      <c r="BZ47" s="9">
        <f>IF(74&lt;=核心参数输入!$B$9*4,SUM($D36:BZ36)+SUM($D37:BZ37),0)</f>
        <v>60920</v>
      </c>
      <c r="CA47" s="9">
        <f>IF(75&lt;=核心参数输入!$B$9*4,SUM($D36:CA36)+SUM($D37:CA37),0)</f>
        <v>60920</v>
      </c>
      <c r="CB47" s="9">
        <f>IF(76&lt;=核心参数输入!$B$9*4,SUM($D36:CB36)+SUM($D37:CB37),0)</f>
        <v>60920</v>
      </c>
      <c r="CC47" s="9">
        <f>IF(77&lt;=核心参数输入!$B$9*4,SUM($D36:CC36)+SUM($D37:CC37),0)</f>
        <v>60920</v>
      </c>
      <c r="CD47" s="9">
        <f>IF(78&lt;=核心参数输入!$B$9*4,SUM($D36:CD36)+SUM($D37:CD37),0)</f>
        <v>60920</v>
      </c>
      <c r="CE47" s="9">
        <f>IF(79&lt;=核心参数输入!$B$9*4,SUM($D36:CE36)+SUM($D37:CE37),0)</f>
        <v>60920</v>
      </c>
      <c r="CF47" s="9">
        <f>IF(80&lt;=核心参数输入!$B$9*4,SUM($D36:CF36)+SUM($D37:CF37),0)</f>
        <v>60920</v>
      </c>
      <c r="CG47" s="9">
        <f>IF(81&lt;=核心参数输入!$B$9*4,SUM($D36:CG36)+SUM($D37:CG37),0)</f>
        <v>0</v>
      </c>
      <c r="CH47" s="9">
        <f>IF(82&lt;=核心参数输入!$B$9*4,SUM($D36:CH36)+SUM($D37:CH37),0)</f>
        <v>0</v>
      </c>
      <c r="CI47" s="9">
        <f>IF(83&lt;=核心参数输入!$B$9*4,SUM($D36:CI36)+SUM($D37:CI37),0)</f>
        <v>0</v>
      </c>
      <c r="CJ47" s="9">
        <f>IF(84&lt;=核心参数输入!$B$9*4,SUM($D36:CJ36)+SUM($D37:CJ37),0)</f>
        <v>0</v>
      </c>
      <c r="CK47" s="9">
        <f>IF(85&lt;=核心参数输入!$B$9*4,SUM($D36:CK36)+SUM($D37:CK37),0)</f>
        <v>0</v>
      </c>
      <c r="CL47" s="9">
        <f>IF(86&lt;=核心参数输入!$B$9*4,SUM($D36:CL36)+SUM($D37:CL37),0)</f>
        <v>0</v>
      </c>
      <c r="CM47" s="9">
        <f>IF(87&lt;=核心参数输入!$B$9*4,SUM($D36:CM36)+SUM($D37:CM37),0)</f>
        <v>0</v>
      </c>
      <c r="CN47" s="9">
        <f>IF(88&lt;=核心参数输入!$B$9*4,SUM($D36:CN36)+SUM($D37:CN37),0)</f>
        <v>0</v>
      </c>
      <c r="CO47" s="9">
        <f>IF(89&lt;=核心参数输入!$B$9*4,SUM($D36:CO36)+SUM($D37:CO37),0)</f>
        <v>0</v>
      </c>
      <c r="CP47" s="9">
        <f>IF(90&lt;=核心参数输入!$B$9*4,SUM($D36:CP36)+SUM($D37:CP37),0)</f>
        <v>0</v>
      </c>
      <c r="CQ47" s="9">
        <f>IF(91&lt;=核心参数输入!$B$9*4,SUM($D36:CQ36)+SUM($D37:CQ37),0)</f>
        <v>0</v>
      </c>
      <c r="CR47" s="9">
        <f>IF(92&lt;=核心参数输入!$B$9*4,SUM($D36:CR36)+SUM($D37:CR37),0)</f>
        <v>0</v>
      </c>
      <c r="CS47" s="9">
        <f>IF(93&lt;=核心参数输入!$B$9*4,SUM($D36:CS36)+SUM($D37:CS37),0)</f>
        <v>0</v>
      </c>
      <c r="CT47" s="9">
        <f>IF(94&lt;=核心参数输入!$B$9*4,SUM($D36:CT36)+SUM($D37:CT37),0)</f>
        <v>0</v>
      </c>
      <c r="CU47" s="9">
        <f>IF(95&lt;=核心参数输入!$B$9*4,SUM($D36:CU36)+SUM($D37:CU37),0)</f>
        <v>0</v>
      </c>
      <c r="CV47" s="9">
        <f>IF(96&lt;=核心参数输入!$B$9*4,SUM($D36:CV36)+SUM($D37:CV37),0)</f>
        <v>0</v>
      </c>
      <c r="CW47" s="9">
        <f>IF(97&lt;=核心参数输入!$B$9*4,SUM($D36:CW36)+SUM($D37:CW37),0)</f>
        <v>0</v>
      </c>
      <c r="CX47" s="9">
        <f>IF(98&lt;=核心参数输入!$B$9*4,SUM($D36:CX36)+SUM($D37:CX37),0)</f>
        <v>0</v>
      </c>
      <c r="CY47" s="9">
        <f>IF(99&lt;=核心参数输入!$B$9*4,SUM($D36:CY36)+SUM($D37:CY37),0)</f>
        <v>0</v>
      </c>
      <c r="CZ47" s="9">
        <f>IF(100&lt;=核心参数输入!$B$9*4,SUM($D36:CZ36)+SUM($D37:CZ37),0)</f>
        <v>0</v>
      </c>
      <c r="DA47" s="9">
        <f>IF(101&lt;=核心参数输入!$B$9*4,SUM($D36:DA36)+SUM($D37:DA37),0)</f>
        <v>0</v>
      </c>
      <c r="DB47" s="9">
        <f>IF(102&lt;=核心参数输入!$B$9*4,SUM($D36:DB36)+SUM($D37:DB37),0)</f>
        <v>0</v>
      </c>
      <c r="DC47" s="9">
        <f>IF(103&lt;=核心参数输入!$B$9*4,SUM($D36:DC36)+SUM($D37:DC37),0)</f>
        <v>0</v>
      </c>
      <c r="DD47" s="9">
        <f>IF(104&lt;=核心参数输入!$B$9*4,SUM($D36:DD36)+SUM($D37:DD37),0)</f>
        <v>0</v>
      </c>
      <c r="DE47" s="9">
        <f>IF(105&lt;=核心参数输入!$B$9*4,SUM($D36:DE36)+SUM($D37:DE37),0)</f>
        <v>0</v>
      </c>
      <c r="DF47" s="9">
        <f>IF(106&lt;=核心参数输入!$B$9*4,SUM($D36:DF36)+SUM($D37:DF37),0)</f>
        <v>0</v>
      </c>
      <c r="DG47" s="9">
        <f>IF(107&lt;=核心参数输入!$B$9*4,SUM($D36:DG36)+SUM($D37:DG37),0)</f>
        <v>0</v>
      </c>
      <c r="DH47" s="9">
        <f>IF(108&lt;=核心参数输入!$B$9*4,SUM($D36:DH36)+SUM($D37:DH37),0)</f>
        <v>0</v>
      </c>
      <c r="DI47" s="9">
        <f>IF(109&lt;=核心参数输入!$B$9*4,SUM($D36:DI36)+SUM($D37:DI37),0)</f>
        <v>0</v>
      </c>
      <c r="DJ47" s="9">
        <f>IF(110&lt;=核心参数输入!$B$9*4,SUM($D36:DJ36)+SUM($D37:DJ37),0)</f>
        <v>0</v>
      </c>
      <c r="DK47" s="9">
        <f>IF(111&lt;=核心参数输入!$B$9*4,SUM($D36:DK36)+SUM($D37:DK37),0)</f>
        <v>0</v>
      </c>
      <c r="DL47" s="9">
        <f>IF(112&lt;=核心参数输入!$B$9*4,SUM($D36:DL36)+SUM($D37:DL37),0)</f>
        <v>0</v>
      </c>
      <c r="DM47" s="9">
        <f>IF(113&lt;=核心参数输入!$B$9*4,SUM($D36:DM36)+SUM($D37:DM37),0)</f>
        <v>0</v>
      </c>
      <c r="DN47" s="9">
        <f>IF(114&lt;=核心参数输入!$B$9*4,SUM($D36:DN36)+SUM($D37:DN37),0)</f>
        <v>0</v>
      </c>
      <c r="DO47" s="9">
        <f>IF(115&lt;=核心参数输入!$B$9*4,SUM($D36:DO36)+SUM($D37:DO37),0)</f>
        <v>0</v>
      </c>
      <c r="DP47" s="9">
        <f>IF(116&lt;=核心参数输入!$B$9*4,SUM($D36:DP36)+SUM($D37:DP37),0)</f>
        <v>0</v>
      </c>
      <c r="DQ47" s="9">
        <f>IF(117&lt;=核心参数输入!$B$9*4,SUM($D36:DQ36)+SUM($D37:DQ37),0)</f>
        <v>0</v>
      </c>
      <c r="DR47" s="9">
        <f>IF(118&lt;=核心参数输入!$B$9*4,SUM($D36:DR36)+SUM($D37:DR37),0)</f>
        <v>0</v>
      </c>
      <c r="DS47" s="9">
        <f>IF(119&lt;=核心参数输入!$B$9*4,SUM($D36:DS36)+SUM($D37:DS37),0)</f>
        <v>0</v>
      </c>
      <c r="DT47" s="9">
        <f>IF(120&lt;=核心参数输入!$B$9*4,SUM($D36:DT36)+SUM($D37:DT37),0)</f>
        <v>0</v>
      </c>
    </row>
    <row r="48" spans="1:124" ht="21" customHeight="1">
      <c r="A48" s="8" t="s">
        <v>439</v>
      </c>
      <c r="B48" s="8" t="s">
        <v>39</v>
      </c>
      <c r="C48" s="8"/>
      <c r="D48" s="9">
        <f>IF(0&lt;=核心参数输入!$B$9*4,SUM(D36:D38)+D44+D49,0)</f>
        <v>8000</v>
      </c>
      <c r="E48" s="9">
        <f>IF(1&lt;=核心参数输入!$B$9*4,SUM(E36:E38)+E44+E49,0)</f>
        <v>3980.8125</v>
      </c>
      <c r="F48" s="9">
        <f>IF(2&lt;=核心参数输入!$B$9*4,SUM(F36:F38)+F44+F49,0)</f>
        <v>4004.4375</v>
      </c>
      <c r="G48" s="9">
        <f>IF(3&lt;=核心参数输入!$B$9*4,SUM(G36:G38)+G44+G49,0)</f>
        <v>4028.0625</v>
      </c>
      <c r="H48" s="9">
        <f>IF(4&lt;=核心参数输入!$B$9*4,SUM(H36:H38)+H44+H49,0)</f>
        <v>4051.6875</v>
      </c>
      <c r="I48" s="9">
        <f>IF(5&lt;=核心参数输入!$B$9*4,SUM(I36:I38)+I44+I49,0)</f>
        <v>5402.25</v>
      </c>
      <c r="J48" s="9">
        <f>IF(6&lt;=核心参数输入!$B$9*4,SUM(J36:J38)+J44+J49,0)</f>
        <v>5433.75</v>
      </c>
      <c r="K48" s="9">
        <f>IF(7&lt;=核心参数输入!$B$9*4,SUM(K36:K38)+K44+K49,0)</f>
        <v>5465.25</v>
      </c>
      <c r="L48" s="9">
        <f>IF(8&lt;=核心参数输入!$B$9*4,SUM(L36:L38)+L44+L49,0)</f>
        <v>5496.75</v>
      </c>
      <c r="M48" s="9">
        <f>IF(9&lt;=核心参数输入!$B$9*4,SUM(M36:M38)+M44+M49,0)</f>
        <v>4201.3125</v>
      </c>
      <c r="N48" s="9">
        <f>IF(10&lt;=核心参数输入!$B$9*4,SUM(N36:N38)+N44+N49,0)</f>
        <v>4224.9375</v>
      </c>
      <c r="O48" s="9">
        <f>IF(11&lt;=核心参数输入!$B$9*4,SUM(O36:O38)+O44+O49,0)</f>
        <v>4248.5625</v>
      </c>
      <c r="P48" s="9">
        <f>IF(12&lt;=核心参数输入!$B$9*4,SUM(P36:P38)+P44+P49,0)</f>
        <v>4272.1875</v>
      </c>
      <c r="Q48" s="9">
        <f>IF(13&lt;=核心参数输入!$B$9*4,SUM(Q36:Q38)+Q44+Q49,0)</f>
        <v>500</v>
      </c>
      <c r="R48" s="9">
        <f>IF(14&lt;=核心参数输入!$B$9*4,SUM(R36:R38)+R44+R49,0)</f>
        <v>0</v>
      </c>
      <c r="S48" s="9">
        <f>IF(15&lt;=核心参数输入!$B$9*4,SUM(S36:S38)+S44+S49,0)</f>
        <v>0</v>
      </c>
      <c r="T48" s="9">
        <f>IF(16&lt;=核心参数输入!$B$9*4,SUM(T36:T38)+T44+T49,0)</f>
        <v>0</v>
      </c>
      <c r="U48" s="9">
        <f>IF(17&lt;=核心参数输入!$B$9*4,SUM(U36:U38)+U44+U49,0)</f>
        <v>0</v>
      </c>
      <c r="V48" s="9">
        <f>IF(18&lt;=核心参数输入!$B$9*4,SUM(V36:V38)+V44+V49,0)</f>
        <v>0</v>
      </c>
      <c r="W48" s="9">
        <f>IF(19&lt;=核心参数输入!$B$9*4,SUM(W36:W38)+W44+W49,0)</f>
        <v>0</v>
      </c>
      <c r="X48" s="9">
        <f>IF(20&lt;=核心参数输入!$B$9*4,SUM(X36:X38)+X44+X49,0)</f>
        <v>0</v>
      </c>
      <c r="Y48" s="9">
        <f>IF(21&lt;=核心参数输入!$B$9*4,SUM(Y36:Y38)+Y44+Y49,0)</f>
        <v>0</v>
      </c>
      <c r="Z48" s="9">
        <f>IF(22&lt;=核心参数输入!$B$9*4,SUM(Z36:Z38)+Z44+Z49,0)</f>
        <v>0</v>
      </c>
      <c r="AA48" s="9">
        <f>IF(23&lt;=核心参数输入!$B$9*4,SUM(AA36:AA38)+AA44+AA49,0)</f>
        <v>0</v>
      </c>
      <c r="AB48" s="9">
        <f>IF(24&lt;=核心参数输入!$B$9*4,SUM(AB36:AB38)+AB44+AB49,0)</f>
        <v>0</v>
      </c>
      <c r="AC48" s="9">
        <f>IF(25&lt;=核心参数输入!$B$9*4,SUM(AC36:AC38)+AC44+AC49,0)</f>
        <v>0</v>
      </c>
      <c r="AD48" s="9">
        <f>IF(26&lt;=核心参数输入!$B$9*4,SUM(AD36:AD38)+AD44+AD49,0)</f>
        <v>0</v>
      </c>
      <c r="AE48" s="9">
        <f>IF(27&lt;=核心参数输入!$B$9*4,SUM(AE36:AE38)+AE44+AE49,0)</f>
        <v>0</v>
      </c>
      <c r="AF48" s="9">
        <f>IF(28&lt;=核心参数输入!$B$9*4,SUM(AF36:AF38)+AF44+AF49,0)</f>
        <v>0</v>
      </c>
      <c r="AG48" s="9">
        <f>IF(29&lt;=核心参数输入!$B$9*4,SUM(AG36:AG38)+AG44+AG49,0)</f>
        <v>0</v>
      </c>
      <c r="AH48" s="9">
        <f>IF(30&lt;=核心参数输入!$B$9*4,SUM(AH36:AH38)+AH44+AH49,0)</f>
        <v>0</v>
      </c>
      <c r="AI48" s="9">
        <f>IF(31&lt;=核心参数输入!$B$9*4,SUM(AI36:AI38)+AI44+AI49,0)</f>
        <v>0</v>
      </c>
      <c r="AJ48" s="9">
        <f>IF(32&lt;=核心参数输入!$B$9*4,SUM(AJ36:AJ38)+AJ44+AJ49,0)</f>
        <v>0</v>
      </c>
      <c r="AK48" s="9">
        <f>IF(33&lt;=核心参数输入!$B$9*4,SUM(AK36:AK38)+AK44+AK49,0)</f>
        <v>0</v>
      </c>
      <c r="AL48" s="9">
        <f>IF(34&lt;=核心参数输入!$B$9*4,SUM(AL36:AL38)+AL44+AL49,0)</f>
        <v>0</v>
      </c>
      <c r="AM48" s="9">
        <f>IF(35&lt;=核心参数输入!$B$9*4,SUM(AM36:AM38)+AM44+AM49,0)</f>
        <v>0</v>
      </c>
      <c r="AN48" s="9">
        <f>IF(36&lt;=核心参数输入!$B$9*4,SUM(AN36:AN38)+AN44+AN49,0)</f>
        <v>0</v>
      </c>
      <c r="AO48" s="9">
        <f>IF(37&lt;=核心参数输入!$B$9*4,SUM(AO36:AO38)+AO44+AO49,0)</f>
        <v>0</v>
      </c>
      <c r="AP48" s="9">
        <f>IF(38&lt;=核心参数输入!$B$9*4,SUM(AP36:AP38)+AP44+AP49,0)</f>
        <v>0</v>
      </c>
      <c r="AQ48" s="9">
        <f>IF(39&lt;=核心参数输入!$B$9*4,SUM(AQ36:AQ38)+AQ44+AQ49,0)</f>
        <v>0</v>
      </c>
      <c r="AR48" s="9">
        <f>IF(40&lt;=核心参数输入!$B$9*4,SUM(AR36:AR38)+AR44+AR49,0)</f>
        <v>0</v>
      </c>
      <c r="AS48" s="9">
        <f>IF(41&lt;=核心参数输入!$B$9*4,SUM(AS36:AS38)+AS44+AS49,0)</f>
        <v>0</v>
      </c>
      <c r="AT48" s="9">
        <f>IF(42&lt;=核心参数输入!$B$9*4,SUM(AT36:AT38)+AT44+AT49,0)</f>
        <v>0</v>
      </c>
      <c r="AU48" s="9">
        <f>IF(43&lt;=核心参数输入!$B$9*4,SUM(AU36:AU38)+AU44+AU49,0)</f>
        <v>0</v>
      </c>
      <c r="AV48" s="9">
        <f>IF(44&lt;=核心参数输入!$B$9*4,SUM(AV36:AV38)+AV44+AV49,0)</f>
        <v>0</v>
      </c>
      <c r="AW48" s="9">
        <f>IF(45&lt;=核心参数输入!$B$9*4,SUM(AW36:AW38)+AW44+AW49,0)</f>
        <v>0</v>
      </c>
      <c r="AX48" s="9">
        <f>IF(46&lt;=核心参数输入!$B$9*4,SUM(AX36:AX38)+AX44+AX49,0)</f>
        <v>0</v>
      </c>
      <c r="AY48" s="9">
        <f>IF(47&lt;=核心参数输入!$B$9*4,SUM(AY36:AY38)+AY44+AY49,0)</f>
        <v>0</v>
      </c>
      <c r="AZ48" s="9">
        <f>IF(48&lt;=核心参数输入!$B$9*4,SUM(AZ36:AZ38)+AZ44+AZ49,0)</f>
        <v>0</v>
      </c>
      <c r="BA48" s="9">
        <f>IF(49&lt;=核心参数输入!$B$9*4,SUM(BA36:BA38)+BA44+BA49,0)</f>
        <v>0</v>
      </c>
      <c r="BB48" s="9">
        <f>IF(50&lt;=核心参数输入!$B$9*4,SUM(BB36:BB38)+BB44+BB49,0)</f>
        <v>0</v>
      </c>
      <c r="BC48" s="9">
        <f>IF(51&lt;=核心参数输入!$B$9*4,SUM(BC36:BC38)+BC44+BC49,0)</f>
        <v>0</v>
      </c>
      <c r="BD48" s="9">
        <f>IF(52&lt;=核心参数输入!$B$9*4,SUM(BD36:BD38)+BD44+BD49,0)</f>
        <v>0</v>
      </c>
      <c r="BE48" s="9">
        <f>IF(53&lt;=核心参数输入!$B$9*4,SUM(BE36:BE38)+BE44+BE49,0)</f>
        <v>0</v>
      </c>
      <c r="BF48" s="9">
        <f>IF(54&lt;=核心参数输入!$B$9*4,SUM(BF36:BF38)+BF44+BF49,0)</f>
        <v>0</v>
      </c>
      <c r="BG48" s="9">
        <f>IF(55&lt;=核心参数输入!$B$9*4,SUM(BG36:BG38)+BG44+BG49,0)</f>
        <v>0</v>
      </c>
      <c r="BH48" s="9">
        <f>IF(56&lt;=核心参数输入!$B$9*4,SUM(BH36:BH38)+BH44+BH49,0)</f>
        <v>0</v>
      </c>
      <c r="BI48" s="9">
        <f>IF(57&lt;=核心参数输入!$B$9*4,SUM(BI36:BI38)+BI44+BI49,0)</f>
        <v>0</v>
      </c>
      <c r="BJ48" s="9">
        <f>IF(58&lt;=核心参数输入!$B$9*4,SUM(BJ36:BJ38)+BJ44+BJ49,0)</f>
        <v>0</v>
      </c>
      <c r="BK48" s="9">
        <f>IF(59&lt;=核心参数输入!$B$9*4,SUM(BK36:BK38)+BK44+BK49,0)</f>
        <v>0</v>
      </c>
      <c r="BL48" s="9">
        <f>IF(60&lt;=核心参数输入!$B$9*4,SUM(BL36:BL38)+BL44+BL49,0)</f>
        <v>0</v>
      </c>
      <c r="BM48" s="9">
        <f>IF(61&lt;=核心参数输入!$B$9*4,SUM(BM36:BM38)+BM44+BM49,0)</f>
        <v>0</v>
      </c>
      <c r="BN48" s="9">
        <f>IF(62&lt;=核心参数输入!$B$9*4,SUM(BN36:BN38)+BN44+BN49,0)</f>
        <v>0</v>
      </c>
      <c r="BO48" s="9">
        <f>IF(63&lt;=核心参数输入!$B$9*4,SUM(BO36:BO38)+BO44+BO49,0)</f>
        <v>0</v>
      </c>
      <c r="BP48" s="9">
        <f>IF(64&lt;=核心参数输入!$B$9*4,SUM(BP36:BP38)+BP44+BP49,0)</f>
        <v>0</v>
      </c>
      <c r="BQ48" s="9">
        <f>IF(65&lt;=核心参数输入!$B$9*4,SUM(BQ36:BQ38)+BQ44+BQ49,0)</f>
        <v>0</v>
      </c>
      <c r="BR48" s="9">
        <f>IF(66&lt;=核心参数输入!$B$9*4,SUM(BR36:BR38)+BR44+BR49,0)</f>
        <v>0</v>
      </c>
      <c r="BS48" s="9">
        <f>IF(67&lt;=核心参数输入!$B$9*4,SUM(BS36:BS38)+BS44+BS49,0)</f>
        <v>0</v>
      </c>
      <c r="BT48" s="9">
        <f>IF(68&lt;=核心参数输入!$B$9*4,SUM(BT36:BT38)+BT44+BT49,0)</f>
        <v>0</v>
      </c>
      <c r="BU48" s="9">
        <f>IF(69&lt;=核心参数输入!$B$9*4,SUM(BU36:BU38)+BU44+BU49,0)</f>
        <v>0</v>
      </c>
      <c r="BV48" s="9">
        <f>IF(70&lt;=核心参数输入!$B$9*4,SUM(BV36:BV38)+BV44+BV49,0)</f>
        <v>0</v>
      </c>
      <c r="BW48" s="9">
        <f>IF(71&lt;=核心参数输入!$B$9*4,SUM(BW36:BW38)+BW44+BW49,0)</f>
        <v>0</v>
      </c>
      <c r="BX48" s="9">
        <f>IF(72&lt;=核心参数输入!$B$9*4,SUM(BX36:BX38)+BX44+BX49,0)</f>
        <v>0</v>
      </c>
      <c r="BY48" s="9">
        <f>IF(73&lt;=核心参数输入!$B$9*4,SUM(BY36:BY38)+BY44+BY49,0)</f>
        <v>0</v>
      </c>
      <c r="BZ48" s="9">
        <f>IF(74&lt;=核心参数输入!$B$9*4,SUM(BZ36:BZ38)+BZ44+BZ49,0)</f>
        <v>0</v>
      </c>
      <c r="CA48" s="9">
        <f>IF(75&lt;=核心参数输入!$B$9*4,SUM(CA36:CA38)+CA44+CA49,0)</f>
        <v>0</v>
      </c>
      <c r="CB48" s="9">
        <f>IF(76&lt;=核心参数输入!$B$9*4,SUM(CB36:CB38)+CB44+CB49,0)</f>
        <v>0</v>
      </c>
      <c r="CC48" s="9">
        <f>IF(77&lt;=核心参数输入!$B$9*4,SUM(CC36:CC38)+CC44+CC49,0)</f>
        <v>0</v>
      </c>
      <c r="CD48" s="9">
        <f>IF(78&lt;=核心参数输入!$B$9*4,SUM(CD36:CD38)+CD44+CD49,0)</f>
        <v>0</v>
      </c>
      <c r="CE48" s="9">
        <f>IF(79&lt;=核心参数输入!$B$9*4,SUM(CE36:CE38)+CE44+CE49,0)</f>
        <v>0</v>
      </c>
      <c r="CF48" s="9">
        <f>IF(80&lt;=核心参数输入!$B$9*4,SUM(CF36:CF38)+CF44+CF49,0)</f>
        <v>0</v>
      </c>
      <c r="CG48" s="9">
        <f>IF(81&lt;=核心参数输入!$B$9*4,SUM(CG36:CG38)+CG44+CG49,0)</f>
        <v>0</v>
      </c>
      <c r="CH48" s="9">
        <f>IF(82&lt;=核心参数输入!$B$9*4,SUM(CH36:CH38)+CH44+CH49,0)</f>
        <v>0</v>
      </c>
      <c r="CI48" s="9">
        <f>IF(83&lt;=核心参数输入!$B$9*4,SUM(CI36:CI38)+CI44+CI49,0)</f>
        <v>0</v>
      </c>
      <c r="CJ48" s="9">
        <f>IF(84&lt;=核心参数输入!$B$9*4,SUM(CJ36:CJ38)+CJ44+CJ49,0)</f>
        <v>0</v>
      </c>
      <c r="CK48" s="9">
        <f>IF(85&lt;=核心参数输入!$B$9*4,SUM(CK36:CK38)+CK44+CK49,0)</f>
        <v>0</v>
      </c>
      <c r="CL48" s="9">
        <f>IF(86&lt;=核心参数输入!$B$9*4,SUM(CL36:CL38)+CL44+CL49,0)</f>
        <v>0</v>
      </c>
      <c r="CM48" s="9">
        <f>IF(87&lt;=核心参数输入!$B$9*4,SUM(CM36:CM38)+CM44+CM49,0)</f>
        <v>0</v>
      </c>
      <c r="CN48" s="9">
        <f>IF(88&lt;=核心参数输入!$B$9*4,SUM(CN36:CN38)+CN44+CN49,0)</f>
        <v>0</v>
      </c>
      <c r="CO48" s="9">
        <f>IF(89&lt;=核心参数输入!$B$9*4,SUM(CO36:CO38)+CO44+CO49,0)</f>
        <v>0</v>
      </c>
      <c r="CP48" s="9">
        <f>IF(90&lt;=核心参数输入!$B$9*4,SUM(CP36:CP38)+CP44+CP49,0)</f>
        <v>0</v>
      </c>
      <c r="CQ48" s="9">
        <f>IF(91&lt;=核心参数输入!$B$9*4,SUM(CQ36:CQ38)+CQ44+CQ49,0)</f>
        <v>0</v>
      </c>
      <c r="CR48" s="9">
        <f>IF(92&lt;=核心参数输入!$B$9*4,SUM(CR36:CR38)+CR44+CR49,0)</f>
        <v>0</v>
      </c>
      <c r="CS48" s="9">
        <f>IF(93&lt;=核心参数输入!$B$9*4,SUM(CS36:CS38)+CS44+CS49,0)</f>
        <v>0</v>
      </c>
      <c r="CT48" s="9">
        <f>IF(94&lt;=核心参数输入!$B$9*4,SUM(CT36:CT38)+CT44+CT49,0)</f>
        <v>0</v>
      </c>
      <c r="CU48" s="9">
        <f>IF(95&lt;=核心参数输入!$B$9*4,SUM(CU36:CU38)+CU44+CU49,0)</f>
        <v>0</v>
      </c>
      <c r="CV48" s="9">
        <f>IF(96&lt;=核心参数输入!$B$9*4,SUM(CV36:CV38)+CV44+CV49,0)</f>
        <v>0</v>
      </c>
      <c r="CW48" s="9">
        <f>IF(97&lt;=核心参数输入!$B$9*4,SUM(CW36:CW38)+CW44+CW49,0)</f>
        <v>0</v>
      </c>
      <c r="CX48" s="9">
        <f>IF(98&lt;=核心参数输入!$B$9*4,SUM(CX36:CX38)+CX44+CX49,0)</f>
        <v>0</v>
      </c>
      <c r="CY48" s="9">
        <f>IF(99&lt;=核心参数输入!$B$9*4,SUM(CY36:CY38)+CY44+CY49,0)</f>
        <v>0</v>
      </c>
      <c r="CZ48" s="9">
        <f>IF(100&lt;=核心参数输入!$B$9*4,SUM(CZ36:CZ38)+CZ44+CZ49,0)</f>
        <v>0</v>
      </c>
      <c r="DA48" s="9">
        <f>IF(101&lt;=核心参数输入!$B$9*4,SUM(DA36:DA38)+DA44+DA49,0)</f>
        <v>0</v>
      </c>
      <c r="DB48" s="9">
        <f>IF(102&lt;=核心参数输入!$B$9*4,SUM(DB36:DB38)+DB44+DB49,0)</f>
        <v>0</v>
      </c>
      <c r="DC48" s="9">
        <f>IF(103&lt;=核心参数输入!$B$9*4,SUM(DC36:DC38)+DC44+DC49,0)</f>
        <v>0</v>
      </c>
      <c r="DD48" s="9">
        <f>IF(104&lt;=核心参数输入!$B$9*4,SUM(DD36:DD38)+DD44+DD49,0)</f>
        <v>0</v>
      </c>
      <c r="DE48" s="9">
        <f>IF(105&lt;=核心参数输入!$B$9*4,SUM(DE36:DE38)+DE44+DE49,0)</f>
        <v>0</v>
      </c>
      <c r="DF48" s="9">
        <f>IF(106&lt;=核心参数输入!$B$9*4,SUM(DF36:DF38)+DF44+DF49,0)</f>
        <v>0</v>
      </c>
      <c r="DG48" s="9">
        <f>IF(107&lt;=核心参数输入!$B$9*4,SUM(DG36:DG38)+DG44+DG49,0)</f>
        <v>0</v>
      </c>
      <c r="DH48" s="9">
        <f>IF(108&lt;=核心参数输入!$B$9*4,SUM(DH36:DH38)+DH44+DH49,0)</f>
        <v>0</v>
      </c>
      <c r="DI48" s="9">
        <f>IF(109&lt;=核心参数输入!$B$9*4,SUM(DI36:DI38)+DI44+DI49,0)</f>
        <v>0</v>
      </c>
      <c r="DJ48" s="9">
        <f>IF(110&lt;=核心参数输入!$B$9*4,SUM(DJ36:DJ38)+DJ44+DJ49,0)</f>
        <v>0</v>
      </c>
      <c r="DK48" s="9">
        <f>IF(111&lt;=核心参数输入!$B$9*4,SUM(DK36:DK38)+DK44+DK49,0)</f>
        <v>0</v>
      </c>
      <c r="DL48" s="9">
        <f>IF(112&lt;=核心参数输入!$B$9*4,SUM(DL36:DL38)+DL44+DL49,0)</f>
        <v>0</v>
      </c>
      <c r="DM48" s="9">
        <f>IF(113&lt;=核心参数输入!$B$9*4,SUM(DM36:DM38)+DM44+DM49,0)</f>
        <v>0</v>
      </c>
      <c r="DN48" s="9">
        <f>IF(114&lt;=核心参数输入!$B$9*4,SUM(DN36:DN38)+DN44+DN49,0)</f>
        <v>0</v>
      </c>
      <c r="DO48" s="9">
        <f>IF(115&lt;=核心参数输入!$B$9*4,SUM(DO36:DO38)+DO44+DO49,0)</f>
        <v>0</v>
      </c>
      <c r="DP48" s="9">
        <f>IF(116&lt;=核心参数输入!$B$9*4,SUM(DP36:DP38)+DP44+DP49,0)</f>
        <v>0</v>
      </c>
      <c r="DQ48" s="9">
        <f>IF(117&lt;=核心参数输入!$B$9*4,SUM(DQ36:DQ38)+DQ44+DQ49,0)</f>
        <v>0</v>
      </c>
      <c r="DR48" s="9">
        <f>IF(118&lt;=核心参数输入!$B$9*4,SUM(DR36:DR38)+DR44+DR49,0)</f>
        <v>0</v>
      </c>
      <c r="DS48" s="9">
        <f>IF(119&lt;=核心参数输入!$B$9*4,SUM(DS36:DS38)+DS44+DS49,0)</f>
        <v>0</v>
      </c>
      <c r="DT48" s="9">
        <f>IF(120&lt;=核心参数输入!$B$9*4,SUM(DT36:DT38)+DT44+DT49,0)</f>
        <v>0</v>
      </c>
    </row>
    <row r="49" spans="1:124" ht="21" customHeight="1">
      <c r="A49" s="8" t="s">
        <v>440</v>
      </c>
      <c r="B49" s="8" t="s">
        <v>39</v>
      </c>
      <c r="C49" s="8"/>
      <c r="D49" s="9">
        <f>IF(0&lt;=核心参数输入!$B$9*4,IF(AND(核心参数输入!$B$57&gt;0,0=季度投融资!$B$28),季度投融资!$B$19,0),0)</f>
        <v>0</v>
      </c>
      <c r="E49" s="9">
        <f>IF(1&lt;=核心参数输入!$B$9*4,IF(AND(核心参数输入!$B$57&gt;0,1=季度投融资!$B$28),季度投融资!$B$19,0),0)</f>
        <v>0</v>
      </c>
      <c r="F49" s="9">
        <f>IF(2&lt;=核心参数输入!$B$9*4,IF(AND(核心参数输入!$B$57&gt;0,2=季度投融资!$B$28),季度投融资!$B$19,0),0)</f>
        <v>0</v>
      </c>
      <c r="G49" s="9">
        <f>IF(3&lt;=核心参数输入!$B$9*4,IF(AND(核心参数输入!$B$57&gt;0,3=季度投融资!$B$28),季度投融资!$B$19,0),0)</f>
        <v>0</v>
      </c>
      <c r="H49" s="9">
        <f>IF(4&lt;=核心参数输入!$B$9*4,IF(AND(核心参数输入!$B$57&gt;0,4=季度投融资!$B$28),季度投融资!$B$19,0),0)</f>
        <v>0</v>
      </c>
      <c r="I49" s="9">
        <f>IF(5&lt;=核心参数输入!$B$9*4,IF(AND(核心参数输入!$B$57&gt;0,5=季度投融资!$B$28),季度投融资!$B$19,0),0)</f>
        <v>0</v>
      </c>
      <c r="J49" s="9">
        <f>IF(6&lt;=核心参数输入!$B$9*4,IF(AND(核心参数输入!$B$57&gt;0,6=季度投融资!$B$28),季度投融资!$B$19,0),0)</f>
        <v>0</v>
      </c>
      <c r="K49" s="9">
        <f>IF(7&lt;=核心参数输入!$B$9*4,IF(AND(核心参数输入!$B$57&gt;0,7=季度投融资!$B$28),季度投融资!$B$19,0),0)</f>
        <v>0</v>
      </c>
      <c r="L49" s="9">
        <f>IF(8&lt;=核心参数输入!$B$9*4,IF(AND(核心参数输入!$B$57&gt;0,8=季度投融资!$B$28),季度投融资!$B$19,0),0)</f>
        <v>0</v>
      </c>
      <c r="M49" s="9">
        <f>IF(9&lt;=核心参数输入!$B$9*4,IF(AND(核心参数输入!$B$57&gt;0,9=季度投融资!$B$28),季度投融资!$B$19,0),0)</f>
        <v>0</v>
      </c>
      <c r="N49" s="9">
        <f>IF(10&lt;=核心参数输入!$B$9*4,IF(AND(核心参数输入!$B$57&gt;0,10=季度投融资!$B$28),季度投融资!$B$19,0),0)</f>
        <v>0</v>
      </c>
      <c r="O49" s="9">
        <f>IF(11&lt;=核心参数输入!$B$9*4,IF(AND(核心参数输入!$B$57&gt;0,11=季度投融资!$B$28),季度投融资!$B$19,0),0)</f>
        <v>0</v>
      </c>
      <c r="P49" s="9">
        <f>IF(12&lt;=核心参数输入!$B$9*4,IF(AND(核心参数输入!$B$57&gt;0,12=季度投融资!$B$28),季度投融资!$B$19,0),0)</f>
        <v>0</v>
      </c>
      <c r="Q49" s="9">
        <f>IF(13&lt;=核心参数输入!$B$9*4,IF(AND(核心参数输入!$B$57&gt;0,13=季度投融资!$B$28),季度投融资!$B$19,0),0)</f>
        <v>0</v>
      </c>
      <c r="R49" s="9">
        <f>IF(14&lt;=核心参数输入!$B$9*4,IF(AND(核心参数输入!$B$57&gt;0,14=季度投融资!$B$28),季度投融资!$B$19,0),0)</f>
        <v>0</v>
      </c>
      <c r="S49" s="9">
        <f>IF(15&lt;=核心参数输入!$B$9*4,IF(AND(核心参数输入!$B$57&gt;0,15=季度投融资!$B$28),季度投融资!$B$19,0),0)</f>
        <v>0</v>
      </c>
      <c r="T49" s="9">
        <f>IF(16&lt;=核心参数输入!$B$9*4,IF(AND(核心参数输入!$B$57&gt;0,16=季度投融资!$B$28),季度投融资!$B$19,0),0)</f>
        <v>0</v>
      </c>
      <c r="U49" s="9">
        <f>IF(17&lt;=核心参数输入!$B$9*4,IF(AND(核心参数输入!$B$57&gt;0,17=季度投融资!$B$28),季度投融资!$B$19,0),0)</f>
        <v>0</v>
      </c>
      <c r="V49" s="9">
        <f>IF(18&lt;=核心参数输入!$B$9*4,IF(AND(核心参数输入!$B$57&gt;0,18=季度投融资!$B$28),季度投融资!$B$19,0),0)</f>
        <v>0</v>
      </c>
      <c r="W49" s="9">
        <f>IF(19&lt;=核心参数输入!$B$9*4,IF(AND(核心参数输入!$B$57&gt;0,19=季度投融资!$B$28),季度投融资!$B$19,0),0)</f>
        <v>0</v>
      </c>
      <c r="X49" s="9">
        <f>IF(20&lt;=核心参数输入!$B$9*4,IF(AND(核心参数输入!$B$57&gt;0,20=季度投融资!$B$28),季度投融资!$B$19,0),0)</f>
        <v>0</v>
      </c>
      <c r="Y49" s="9">
        <f>IF(21&lt;=核心参数输入!$B$9*4,IF(AND(核心参数输入!$B$57&gt;0,21=季度投融资!$B$28),季度投融资!$B$19,0),0)</f>
        <v>0</v>
      </c>
      <c r="Z49" s="9">
        <f>IF(22&lt;=核心参数输入!$B$9*4,IF(AND(核心参数输入!$B$57&gt;0,22=季度投融资!$B$28),季度投融资!$B$19,0),0)</f>
        <v>0</v>
      </c>
      <c r="AA49" s="9">
        <f>IF(23&lt;=核心参数输入!$B$9*4,IF(AND(核心参数输入!$B$57&gt;0,23=季度投融资!$B$28),季度投融资!$B$19,0),0)</f>
        <v>0</v>
      </c>
      <c r="AB49" s="9">
        <f>IF(24&lt;=核心参数输入!$B$9*4,IF(AND(核心参数输入!$B$57&gt;0,24=季度投融资!$B$28),季度投融资!$B$19,0),0)</f>
        <v>0</v>
      </c>
      <c r="AC49" s="9">
        <f>IF(25&lt;=核心参数输入!$B$9*4,IF(AND(核心参数输入!$B$57&gt;0,25=季度投融资!$B$28),季度投融资!$B$19,0),0)</f>
        <v>0</v>
      </c>
      <c r="AD49" s="9">
        <f>IF(26&lt;=核心参数输入!$B$9*4,IF(AND(核心参数输入!$B$57&gt;0,26=季度投融资!$B$28),季度投融资!$B$19,0),0)</f>
        <v>0</v>
      </c>
      <c r="AE49" s="9">
        <f>IF(27&lt;=核心参数输入!$B$9*4,IF(AND(核心参数输入!$B$57&gt;0,27=季度投融资!$B$28),季度投融资!$B$19,0),0)</f>
        <v>0</v>
      </c>
      <c r="AF49" s="9">
        <f>IF(28&lt;=核心参数输入!$B$9*4,IF(AND(核心参数输入!$B$57&gt;0,28=季度投融资!$B$28),季度投融资!$B$19,0),0)</f>
        <v>0</v>
      </c>
      <c r="AG49" s="9">
        <f>IF(29&lt;=核心参数输入!$B$9*4,IF(AND(核心参数输入!$B$57&gt;0,29=季度投融资!$B$28),季度投融资!$B$19,0),0)</f>
        <v>0</v>
      </c>
      <c r="AH49" s="9">
        <f>IF(30&lt;=核心参数输入!$B$9*4,IF(AND(核心参数输入!$B$57&gt;0,30=季度投融资!$B$28),季度投融资!$B$19,0),0)</f>
        <v>0</v>
      </c>
      <c r="AI49" s="9">
        <f>IF(31&lt;=核心参数输入!$B$9*4,IF(AND(核心参数输入!$B$57&gt;0,31=季度投融资!$B$28),季度投融资!$B$19,0),0)</f>
        <v>0</v>
      </c>
      <c r="AJ49" s="9">
        <f>IF(32&lt;=核心参数输入!$B$9*4,IF(AND(核心参数输入!$B$57&gt;0,32=季度投融资!$B$28),季度投融资!$B$19,0),0)</f>
        <v>0</v>
      </c>
      <c r="AK49" s="9">
        <f>IF(33&lt;=核心参数输入!$B$9*4,IF(AND(核心参数输入!$B$57&gt;0,33=季度投融资!$B$28),季度投融资!$B$19,0),0)</f>
        <v>0</v>
      </c>
      <c r="AL49" s="9">
        <f>IF(34&lt;=核心参数输入!$B$9*4,IF(AND(核心参数输入!$B$57&gt;0,34=季度投融资!$B$28),季度投融资!$B$19,0),0)</f>
        <v>0</v>
      </c>
      <c r="AM49" s="9">
        <f>IF(35&lt;=核心参数输入!$B$9*4,IF(AND(核心参数输入!$B$57&gt;0,35=季度投融资!$B$28),季度投融资!$B$19,0),0)</f>
        <v>0</v>
      </c>
      <c r="AN49" s="9">
        <f>IF(36&lt;=核心参数输入!$B$9*4,IF(AND(核心参数输入!$B$57&gt;0,36=季度投融资!$B$28),季度投融资!$B$19,0),0)</f>
        <v>0</v>
      </c>
      <c r="AO49" s="9">
        <f>IF(37&lt;=核心参数输入!$B$9*4,IF(AND(核心参数输入!$B$57&gt;0,37=季度投融资!$B$28),季度投融资!$B$19,0),0)</f>
        <v>0</v>
      </c>
      <c r="AP49" s="9">
        <f>IF(38&lt;=核心参数输入!$B$9*4,IF(AND(核心参数输入!$B$57&gt;0,38=季度投融资!$B$28),季度投融资!$B$19,0),0)</f>
        <v>0</v>
      </c>
      <c r="AQ49" s="9">
        <f>IF(39&lt;=核心参数输入!$B$9*4,IF(AND(核心参数输入!$B$57&gt;0,39=季度投融资!$B$28),季度投融资!$B$19,0),0)</f>
        <v>0</v>
      </c>
      <c r="AR49" s="9">
        <f>IF(40&lt;=核心参数输入!$B$9*4,IF(AND(核心参数输入!$B$57&gt;0,40=季度投融资!$B$28),季度投融资!$B$19,0),0)</f>
        <v>0</v>
      </c>
      <c r="AS49" s="9">
        <f>IF(41&lt;=核心参数输入!$B$9*4,IF(AND(核心参数输入!$B$57&gt;0,41=季度投融资!$B$28),季度投融资!$B$19,0),0)</f>
        <v>0</v>
      </c>
      <c r="AT49" s="9">
        <f>IF(42&lt;=核心参数输入!$B$9*4,IF(AND(核心参数输入!$B$57&gt;0,42=季度投融资!$B$28),季度投融资!$B$19,0),0)</f>
        <v>0</v>
      </c>
      <c r="AU49" s="9">
        <f>IF(43&lt;=核心参数输入!$B$9*4,IF(AND(核心参数输入!$B$57&gt;0,43=季度投融资!$B$28),季度投融资!$B$19,0),0)</f>
        <v>0</v>
      </c>
      <c r="AV49" s="9">
        <f>IF(44&lt;=核心参数输入!$B$9*4,IF(AND(核心参数输入!$B$57&gt;0,44=季度投融资!$B$28),季度投融资!$B$19,0),0)</f>
        <v>0</v>
      </c>
      <c r="AW49" s="9">
        <f>IF(45&lt;=核心参数输入!$B$9*4,IF(AND(核心参数输入!$B$57&gt;0,45=季度投融资!$B$28),季度投融资!$B$19,0),0)</f>
        <v>0</v>
      </c>
      <c r="AX49" s="9">
        <f>IF(46&lt;=核心参数输入!$B$9*4,IF(AND(核心参数输入!$B$57&gt;0,46=季度投融资!$B$28),季度投融资!$B$19,0),0)</f>
        <v>0</v>
      </c>
      <c r="AY49" s="9">
        <f>IF(47&lt;=核心参数输入!$B$9*4,IF(AND(核心参数输入!$B$57&gt;0,47=季度投融资!$B$28),季度投融资!$B$19,0),0)</f>
        <v>0</v>
      </c>
      <c r="AZ49" s="9">
        <f>IF(48&lt;=核心参数输入!$B$9*4,IF(AND(核心参数输入!$B$57&gt;0,48=季度投融资!$B$28),季度投融资!$B$19,0),0)</f>
        <v>0</v>
      </c>
      <c r="BA49" s="9">
        <f>IF(49&lt;=核心参数输入!$B$9*4,IF(AND(核心参数输入!$B$57&gt;0,49=季度投融资!$B$28),季度投融资!$B$19,0),0)</f>
        <v>0</v>
      </c>
      <c r="BB49" s="9">
        <f>IF(50&lt;=核心参数输入!$B$9*4,IF(AND(核心参数输入!$B$57&gt;0,50=季度投融资!$B$28),季度投融资!$B$19,0),0)</f>
        <v>0</v>
      </c>
      <c r="BC49" s="9">
        <f>IF(51&lt;=核心参数输入!$B$9*4,IF(AND(核心参数输入!$B$57&gt;0,51=季度投融资!$B$28),季度投融资!$B$19,0),0)</f>
        <v>0</v>
      </c>
      <c r="BD49" s="9">
        <f>IF(52&lt;=核心参数输入!$B$9*4,IF(AND(核心参数输入!$B$57&gt;0,52=季度投融资!$B$28),季度投融资!$B$19,0),0)</f>
        <v>0</v>
      </c>
      <c r="BE49" s="9">
        <f>IF(53&lt;=核心参数输入!$B$9*4,IF(AND(核心参数输入!$B$57&gt;0,53=季度投融资!$B$28),季度投融资!$B$19,0),0)</f>
        <v>0</v>
      </c>
      <c r="BF49" s="9">
        <f>IF(54&lt;=核心参数输入!$B$9*4,IF(AND(核心参数输入!$B$57&gt;0,54=季度投融资!$B$28),季度投融资!$B$19,0),0)</f>
        <v>0</v>
      </c>
      <c r="BG49" s="9">
        <f>IF(55&lt;=核心参数输入!$B$9*4,IF(AND(核心参数输入!$B$57&gt;0,55=季度投融资!$B$28),季度投融资!$B$19,0),0)</f>
        <v>0</v>
      </c>
      <c r="BH49" s="9">
        <f>IF(56&lt;=核心参数输入!$B$9*4,IF(AND(核心参数输入!$B$57&gt;0,56=季度投融资!$B$28),季度投融资!$B$19,0),0)</f>
        <v>0</v>
      </c>
      <c r="BI49" s="9">
        <f>IF(57&lt;=核心参数输入!$B$9*4,IF(AND(核心参数输入!$B$57&gt;0,57=季度投融资!$B$28),季度投融资!$B$19,0),0)</f>
        <v>0</v>
      </c>
      <c r="BJ49" s="9">
        <f>IF(58&lt;=核心参数输入!$B$9*4,IF(AND(核心参数输入!$B$57&gt;0,58=季度投融资!$B$28),季度投融资!$B$19,0),0)</f>
        <v>0</v>
      </c>
      <c r="BK49" s="9">
        <f>IF(59&lt;=核心参数输入!$B$9*4,IF(AND(核心参数输入!$B$57&gt;0,59=季度投融资!$B$28),季度投融资!$B$19,0),0)</f>
        <v>0</v>
      </c>
      <c r="BL49" s="9">
        <f>IF(60&lt;=核心参数输入!$B$9*4,IF(AND(核心参数输入!$B$57&gt;0,60=季度投融资!$B$28),季度投融资!$B$19,0),0)</f>
        <v>0</v>
      </c>
      <c r="BM49" s="9">
        <f>IF(61&lt;=核心参数输入!$B$9*4,IF(AND(核心参数输入!$B$57&gt;0,61=季度投融资!$B$28),季度投融资!$B$19,0),0)</f>
        <v>0</v>
      </c>
      <c r="BN49" s="9">
        <f>IF(62&lt;=核心参数输入!$B$9*4,IF(AND(核心参数输入!$B$57&gt;0,62=季度投融资!$B$28),季度投融资!$B$19,0),0)</f>
        <v>0</v>
      </c>
      <c r="BO49" s="9">
        <f>IF(63&lt;=核心参数输入!$B$9*4,IF(AND(核心参数输入!$B$57&gt;0,63=季度投融资!$B$28),季度投融资!$B$19,0),0)</f>
        <v>0</v>
      </c>
      <c r="BP49" s="9">
        <f>IF(64&lt;=核心参数输入!$B$9*4,IF(AND(核心参数输入!$B$57&gt;0,64=季度投融资!$B$28),季度投融资!$B$19,0),0)</f>
        <v>0</v>
      </c>
      <c r="BQ49" s="9">
        <f>IF(65&lt;=核心参数输入!$B$9*4,IF(AND(核心参数输入!$B$57&gt;0,65=季度投融资!$B$28),季度投融资!$B$19,0),0)</f>
        <v>0</v>
      </c>
      <c r="BR49" s="9">
        <f>IF(66&lt;=核心参数输入!$B$9*4,IF(AND(核心参数输入!$B$57&gt;0,66=季度投融资!$B$28),季度投融资!$B$19,0),0)</f>
        <v>0</v>
      </c>
      <c r="BS49" s="9">
        <f>IF(67&lt;=核心参数输入!$B$9*4,IF(AND(核心参数输入!$B$57&gt;0,67=季度投融资!$B$28),季度投融资!$B$19,0),0)</f>
        <v>0</v>
      </c>
      <c r="BT49" s="9">
        <f>IF(68&lt;=核心参数输入!$B$9*4,IF(AND(核心参数输入!$B$57&gt;0,68=季度投融资!$B$28),季度投融资!$B$19,0),0)</f>
        <v>0</v>
      </c>
      <c r="BU49" s="9">
        <f>IF(69&lt;=核心参数输入!$B$9*4,IF(AND(核心参数输入!$B$57&gt;0,69=季度投融资!$B$28),季度投融资!$B$19,0),0)</f>
        <v>0</v>
      </c>
      <c r="BV49" s="9">
        <f>IF(70&lt;=核心参数输入!$B$9*4,IF(AND(核心参数输入!$B$57&gt;0,70=季度投融资!$B$28),季度投融资!$B$19,0),0)</f>
        <v>0</v>
      </c>
      <c r="BW49" s="9">
        <f>IF(71&lt;=核心参数输入!$B$9*4,IF(AND(核心参数输入!$B$57&gt;0,71=季度投融资!$B$28),季度投融资!$B$19,0),0)</f>
        <v>0</v>
      </c>
      <c r="BX49" s="9">
        <f>IF(72&lt;=核心参数输入!$B$9*4,IF(AND(核心参数输入!$B$57&gt;0,72=季度投融资!$B$28),季度投融资!$B$19,0),0)</f>
        <v>0</v>
      </c>
      <c r="BY49" s="9">
        <f>IF(73&lt;=核心参数输入!$B$9*4,IF(AND(核心参数输入!$B$57&gt;0,73=季度投融资!$B$28),季度投融资!$B$19,0),0)</f>
        <v>0</v>
      </c>
      <c r="BZ49" s="9">
        <f>IF(74&lt;=核心参数输入!$B$9*4,IF(AND(核心参数输入!$B$57&gt;0,74=季度投融资!$B$28),季度投融资!$B$19,0),0)</f>
        <v>0</v>
      </c>
      <c r="CA49" s="9">
        <f>IF(75&lt;=核心参数输入!$B$9*4,IF(AND(核心参数输入!$B$57&gt;0,75=季度投融资!$B$28),季度投融资!$B$19,0),0)</f>
        <v>0</v>
      </c>
      <c r="CB49" s="9">
        <f>IF(76&lt;=核心参数输入!$B$9*4,IF(AND(核心参数输入!$B$57&gt;0,76=季度投融资!$B$28),季度投融资!$B$19,0),0)</f>
        <v>0</v>
      </c>
      <c r="CC49" s="9">
        <f>IF(77&lt;=核心参数输入!$B$9*4,IF(AND(核心参数输入!$B$57&gt;0,77=季度投融资!$B$28),季度投融资!$B$19,0),0)</f>
        <v>0</v>
      </c>
      <c r="CD49" s="9">
        <f>IF(78&lt;=核心参数输入!$B$9*4,IF(AND(核心参数输入!$B$57&gt;0,78=季度投融资!$B$28),季度投融资!$B$19,0),0)</f>
        <v>0</v>
      </c>
      <c r="CE49" s="9">
        <f>IF(79&lt;=核心参数输入!$B$9*4,IF(AND(核心参数输入!$B$57&gt;0,79=季度投融资!$B$28),季度投融资!$B$19,0),0)</f>
        <v>0</v>
      </c>
      <c r="CF49" s="9">
        <f>IF(80&lt;=核心参数输入!$B$9*4,IF(AND(核心参数输入!$B$57&gt;0,80=季度投融资!$B$28),季度投融资!$B$19,0),0)</f>
        <v>0</v>
      </c>
      <c r="CG49" s="9">
        <f>IF(81&lt;=核心参数输入!$B$9*4,IF(AND(核心参数输入!$B$57&gt;0,81=季度投融资!$B$28),季度投融资!$B$19,0),0)</f>
        <v>0</v>
      </c>
      <c r="CH49" s="9">
        <f>IF(82&lt;=核心参数输入!$B$9*4,IF(AND(核心参数输入!$B$57&gt;0,82=季度投融资!$B$28),季度投融资!$B$19,0),0)</f>
        <v>0</v>
      </c>
      <c r="CI49" s="9">
        <f>IF(83&lt;=核心参数输入!$B$9*4,IF(AND(核心参数输入!$B$57&gt;0,83=季度投融资!$B$28),季度投融资!$B$19,0),0)</f>
        <v>0</v>
      </c>
      <c r="CJ49" s="9">
        <f>IF(84&lt;=核心参数输入!$B$9*4,IF(AND(核心参数输入!$B$57&gt;0,84=季度投融资!$B$28),季度投融资!$B$19,0),0)</f>
        <v>0</v>
      </c>
      <c r="CK49" s="9">
        <f>IF(85&lt;=核心参数输入!$B$9*4,IF(AND(核心参数输入!$B$57&gt;0,85=季度投融资!$B$28),季度投融资!$B$19,0),0)</f>
        <v>0</v>
      </c>
      <c r="CL49" s="9">
        <f>IF(86&lt;=核心参数输入!$B$9*4,IF(AND(核心参数输入!$B$57&gt;0,86=季度投融资!$B$28),季度投融资!$B$19,0),0)</f>
        <v>0</v>
      </c>
      <c r="CM49" s="9">
        <f>IF(87&lt;=核心参数输入!$B$9*4,IF(AND(核心参数输入!$B$57&gt;0,87=季度投融资!$B$28),季度投融资!$B$19,0),0)</f>
        <v>0</v>
      </c>
      <c r="CN49" s="9">
        <f>IF(88&lt;=核心参数输入!$B$9*4,IF(AND(核心参数输入!$B$57&gt;0,88=季度投融资!$B$28),季度投融资!$B$19,0),0)</f>
        <v>0</v>
      </c>
      <c r="CO49" s="9">
        <f>IF(89&lt;=核心参数输入!$B$9*4,IF(AND(核心参数输入!$B$57&gt;0,89=季度投融资!$B$28),季度投融资!$B$19,0),0)</f>
        <v>0</v>
      </c>
      <c r="CP49" s="9">
        <f>IF(90&lt;=核心参数输入!$B$9*4,IF(AND(核心参数输入!$B$57&gt;0,90=季度投融资!$B$28),季度投融资!$B$19,0),0)</f>
        <v>0</v>
      </c>
      <c r="CQ49" s="9">
        <f>IF(91&lt;=核心参数输入!$B$9*4,IF(AND(核心参数输入!$B$57&gt;0,91=季度投融资!$B$28),季度投融资!$B$19,0),0)</f>
        <v>0</v>
      </c>
      <c r="CR49" s="9">
        <f>IF(92&lt;=核心参数输入!$B$9*4,IF(AND(核心参数输入!$B$57&gt;0,92=季度投融资!$B$28),季度投融资!$B$19,0),0)</f>
        <v>0</v>
      </c>
      <c r="CS49" s="9">
        <f>IF(93&lt;=核心参数输入!$B$9*4,IF(AND(核心参数输入!$B$57&gt;0,93=季度投融资!$B$28),季度投融资!$B$19,0),0)</f>
        <v>0</v>
      </c>
      <c r="CT49" s="9">
        <f>IF(94&lt;=核心参数输入!$B$9*4,IF(AND(核心参数输入!$B$57&gt;0,94=季度投融资!$B$28),季度投融资!$B$19,0),0)</f>
        <v>0</v>
      </c>
      <c r="CU49" s="9">
        <f>IF(95&lt;=核心参数输入!$B$9*4,IF(AND(核心参数输入!$B$57&gt;0,95=季度投融资!$B$28),季度投融资!$B$19,0),0)</f>
        <v>0</v>
      </c>
      <c r="CV49" s="9">
        <f>IF(96&lt;=核心参数输入!$B$9*4,IF(AND(核心参数输入!$B$57&gt;0,96=季度投融资!$B$28),季度投融资!$B$19,0),0)</f>
        <v>0</v>
      </c>
      <c r="CW49" s="9">
        <f>IF(97&lt;=核心参数输入!$B$9*4,IF(AND(核心参数输入!$B$57&gt;0,97=季度投融资!$B$28),季度投融资!$B$19,0),0)</f>
        <v>0</v>
      </c>
      <c r="CX49" s="9">
        <f>IF(98&lt;=核心参数输入!$B$9*4,IF(AND(核心参数输入!$B$57&gt;0,98=季度投融资!$B$28),季度投融资!$B$19,0),0)</f>
        <v>0</v>
      </c>
      <c r="CY49" s="9">
        <f>IF(99&lt;=核心参数输入!$B$9*4,IF(AND(核心参数输入!$B$57&gt;0,99=季度投融资!$B$28),季度投融资!$B$19,0),0)</f>
        <v>0</v>
      </c>
      <c r="CZ49" s="9">
        <f>IF(100&lt;=核心参数输入!$B$9*4,IF(AND(核心参数输入!$B$57&gt;0,100=季度投融资!$B$28),季度投融资!$B$19,0),0)</f>
        <v>0</v>
      </c>
      <c r="DA49" s="9">
        <f>IF(101&lt;=核心参数输入!$B$9*4,IF(AND(核心参数输入!$B$57&gt;0,101=季度投融资!$B$28),季度投融资!$B$19,0),0)</f>
        <v>0</v>
      </c>
      <c r="DB49" s="9">
        <f>IF(102&lt;=核心参数输入!$B$9*4,IF(AND(核心参数输入!$B$57&gt;0,102=季度投融资!$B$28),季度投融资!$B$19,0),0)</f>
        <v>0</v>
      </c>
      <c r="DC49" s="9">
        <f>IF(103&lt;=核心参数输入!$B$9*4,IF(AND(核心参数输入!$B$57&gt;0,103=季度投融资!$B$28),季度投融资!$B$19,0),0)</f>
        <v>0</v>
      </c>
      <c r="DD49" s="9">
        <f>IF(104&lt;=核心参数输入!$B$9*4,IF(AND(核心参数输入!$B$57&gt;0,104=季度投融资!$B$28),季度投融资!$B$19,0),0)</f>
        <v>0</v>
      </c>
      <c r="DE49" s="9">
        <f>IF(105&lt;=核心参数输入!$B$9*4,IF(AND(核心参数输入!$B$57&gt;0,105=季度投融资!$B$28),季度投融资!$B$19,0),0)</f>
        <v>0</v>
      </c>
      <c r="DF49" s="9">
        <f>IF(106&lt;=核心参数输入!$B$9*4,IF(AND(核心参数输入!$B$57&gt;0,106=季度投融资!$B$28),季度投融资!$B$19,0),0)</f>
        <v>0</v>
      </c>
      <c r="DG49" s="9">
        <f>IF(107&lt;=核心参数输入!$B$9*4,IF(AND(核心参数输入!$B$57&gt;0,107=季度投融资!$B$28),季度投融资!$B$19,0),0)</f>
        <v>0</v>
      </c>
      <c r="DH49" s="9">
        <f>IF(108&lt;=核心参数输入!$B$9*4,IF(AND(核心参数输入!$B$57&gt;0,108=季度投融资!$B$28),季度投融资!$B$19,0),0)</f>
        <v>0</v>
      </c>
      <c r="DI49" s="9">
        <f>IF(109&lt;=核心参数输入!$B$9*4,IF(AND(核心参数输入!$B$57&gt;0,109=季度投融资!$B$28),季度投融资!$B$19,0),0)</f>
        <v>0</v>
      </c>
      <c r="DJ49" s="9">
        <f>IF(110&lt;=核心参数输入!$B$9*4,IF(AND(核心参数输入!$B$57&gt;0,110=季度投融资!$B$28),季度投融资!$B$19,0),0)</f>
        <v>0</v>
      </c>
      <c r="DK49" s="9">
        <f>IF(111&lt;=核心参数输入!$B$9*4,IF(AND(核心参数输入!$B$57&gt;0,111=季度投融资!$B$28),季度投融资!$B$19,0),0)</f>
        <v>0</v>
      </c>
      <c r="DL49" s="9">
        <f>IF(112&lt;=核心参数输入!$B$9*4,IF(AND(核心参数输入!$B$57&gt;0,112=季度投融资!$B$28),季度投融资!$B$19,0),0)</f>
        <v>0</v>
      </c>
      <c r="DM49" s="9">
        <f>IF(113&lt;=核心参数输入!$B$9*4,IF(AND(核心参数输入!$B$57&gt;0,113=季度投融资!$B$28),季度投融资!$B$19,0),0)</f>
        <v>0</v>
      </c>
      <c r="DN49" s="9">
        <f>IF(114&lt;=核心参数输入!$B$9*4,IF(AND(核心参数输入!$B$57&gt;0,114=季度投融资!$B$28),季度投融资!$B$19,0),0)</f>
        <v>0</v>
      </c>
      <c r="DO49" s="9">
        <f>IF(115&lt;=核心参数输入!$B$9*4,IF(AND(核心参数输入!$B$57&gt;0,115=季度投融资!$B$28),季度投融资!$B$19,0),0)</f>
        <v>0</v>
      </c>
      <c r="DP49" s="9">
        <f>IF(116&lt;=核心参数输入!$B$9*4,IF(AND(核心参数输入!$B$57&gt;0,116=季度投融资!$B$28),季度投融资!$B$19,0),0)</f>
        <v>0</v>
      </c>
      <c r="DQ49" s="9">
        <f>IF(117&lt;=核心参数输入!$B$9*4,IF(AND(核心参数输入!$B$57&gt;0,117=季度投融资!$B$28),季度投融资!$B$19,0),0)</f>
        <v>0</v>
      </c>
      <c r="DR49" s="9">
        <f>IF(118&lt;=核心参数输入!$B$9*4,IF(AND(核心参数输入!$B$57&gt;0,118=季度投融资!$B$28),季度投融资!$B$19,0),0)</f>
        <v>0</v>
      </c>
      <c r="DS49" s="9">
        <f>IF(119&lt;=核心参数输入!$B$9*4,IF(AND(核心参数输入!$B$57&gt;0,119=季度投融资!$B$28),季度投融资!$B$19,0),0)</f>
        <v>0</v>
      </c>
      <c r="DT49" s="9">
        <f>IF(120&lt;=核心参数输入!$B$9*4,IF(AND(核心参数输入!$B$57&gt;0,120=季度投融资!$B$28),季度投融资!$B$19,0),0)</f>
        <v>0</v>
      </c>
    </row>
    <row r="50" spans="1:124" ht="21" customHeight="1">
      <c r="A50" s="8" t="s">
        <v>31</v>
      </c>
      <c r="B50" s="8" t="s">
        <v>39</v>
      </c>
      <c r="C50" s="8"/>
      <c r="D50" s="9">
        <f>IF(0&lt;=核心参数输入!$B$9*4,IF(AND(核心参数输入!$B$57&gt;0,0=季度投融资!$B$29),D43,0),0)</f>
        <v>0</v>
      </c>
      <c r="E50" s="9">
        <f>IF(1&lt;=核心参数输入!$B$9*4,IF(AND(核心参数输入!$B$57&gt;0,1=季度投融资!$B$29),E43,0),0)</f>
        <v>0</v>
      </c>
      <c r="F50" s="9">
        <f>IF(2&lt;=核心参数输入!$B$9*4,IF(AND(核心参数输入!$B$57&gt;0,2=季度投融资!$B$29),F43,0),0)</f>
        <v>0</v>
      </c>
      <c r="G50" s="9">
        <f>IF(3&lt;=核心参数输入!$B$9*4,IF(AND(核心参数输入!$B$57&gt;0,3=季度投融资!$B$29),G43,0),0)</f>
        <v>0</v>
      </c>
      <c r="H50" s="9">
        <f>IF(4&lt;=核心参数输入!$B$9*4,IF(AND(核心参数输入!$B$57&gt;0,4=季度投融资!$B$29),H43,0),0)</f>
        <v>0</v>
      </c>
      <c r="I50" s="9">
        <f>IF(5&lt;=核心参数输入!$B$9*4,IF(AND(核心参数输入!$B$57&gt;0,5=季度投融资!$B$29),I43,0),0)</f>
        <v>0</v>
      </c>
      <c r="J50" s="9">
        <f>IF(6&lt;=核心参数输入!$B$9*4,IF(AND(核心参数输入!$B$57&gt;0,6=季度投融资!$B$29),J43,0),0)</f>
        <v>0</v>
      </c>
      <c r="K50" s="9">
        <f>IF(7&lt;=核心参数输入!$B$9*4,IF(AND(核心参数输入!$B$57&gt;0,7=季度投融资!$B$29),K43,0),0)</f>
        <v>0</v>
      </c>
      <c r="L50" s="9">
        <f>IF(8&lt;=核心参数输入!$B$9*4,IF(AND(核心参数输入!$B$57&gt;0,8=季度投融资!$B$29),L43,0),0)</f>
        <v>0</v>
      </c>
      <c r="M50" s="9">
        <f>IF(9&lt;=核心参数输入!$B$9*4,IF(AND(核心参数输入!$B$57&gt;0,9=季度投融资!$B$29),M43,0),0)</f>
        <v>0</v>
      </c>
      <c r="N50" s="9">
        <f>IF(10&lt;=核心参数输入!$B$9*4,IF(AND(核心参数输入!$B$57&gt;0,10=季度投融资!$B$29),N43,0),0)</f>
        <v>0</v>
      </c>
      <c r="O50" s="9">
        <f>IF(11&lt;=核心参数输入!$B$9*4,IF(AND(核心参数输入!$B$57&gt;0,11=季度投融资!$B$29),O43,0),0)</f>
        <v>0</v>
      </c>
      <c r="P50" s="9">
        <f>IF(12&lt;=核心参数输入!$B$9*4,IF(AND(核心参数输入!$B$57&gt;0,12=季度投融资!$B$29),P43,0),0)</f>
        <v>0</v>
      </c>
      <c r="Q50" s="9">
        <f>IF(13&lt;=核心参数输入!$B$9*4,IF(AND(核心参数输入!$B$57&gt;0,13=季度投融资!$B$29),Q43,0),0)</f>
        <v>0</v>
      </c>
      <c r="R50" s="9">
        <f>IF(14&lt;=核心参数输入!$B$9*4,IF(AND(核心参数输入!$B$57&gt;0,14=季度投融资!$B$29),R43,0),0)</f>
        <v>0</v>
      </c>
      <c r="S50" s="9">
        <f>IF(15&lt;=核心参数输入!$B$9*4,IF(AND(核心参数输入!$B$57&gt;0,15=季度投融资!$B$29),S43,0),0)</f>
        <v>0</v>
      </c>
      <c r="T50" s="9">
        <f>IF(16&lt;=核心参数输入!$B$9*4,IF(AND(核心参数输入!$B$57&gt;0,16=季度投融资!$B$29),T43,0),0)</f>
        <v>0</v>
      </c>
      <c r="U50" s="9">
        <f>IF(17&lt;=核心参数输入!$B$9*4,IF(AND(核心参数输入!$B$57&gt;0,17=季度投融资!$B$29),U43,0),0)</f>
        <v>0</v>
      </c>
      <c r="V50" s="9">
        <f>IF(18&lt;=核心参数输入!$B$9*4,IF(AND(核心参数输入!$B$57&gt;0,18=季度投融资!$B$29),V43,0),0)</f>
        <v>0</v>
      </c>
      <c r="W50" s="9">
        <f>IF(19&lt;=核心参数输入!$B$9*4,IF(AND(核心参数输入!$B$57&gt;0,19=季度投融资!$B$29),W43,0),0)</f>
        <v>0</v>
      </c>
      <c r="X50" s="9">
        <f>IF(20&lt;=核心参数输入!$B$9*4,IF(AND(核心参数输入!$B$57&gt;0,20=季度投融资!$B$29),X43,0),0)</f>
        <v>0</v>
      </c>
      <c r="Y50" s="9">
        <f>IF(21&lt;=核心参数输入!$B$9*4,IF(AND(核心参数输入!$B$57&gt;0,21=季度投融资!$B$29),Y43,0),0)</f>
        <v>0</v>
      </c>
      <c r="Z50" s="9">
        <f>IF(22&lt;=核心参数输入!$B$9*4,IF(AND(核心参数输入!$B$57&gt;0,22=季度投融资!$B$29),Z43,0),0)</f>
        <v>0</v>
      </c>
      <c r="AA50" s="9">
        <f>IF(23&lt;=核心参数输入!$B$9*4,IF(AND(核心参数输入!$B$57&gt;0,23=季度投融资!$B$29),AA43,0),0)</f>
        <v>0</v>
      </c>
      <c r="AB50" s="9">
        <f>IF(24&lt;=核心参数输入!$B$9*4,IF(AND(核心参数输入!$B$57&gt;0,24=季度投融资!$B$29),AB43,0),0)</f>
        <v>0</v>
      </c>
      <c r="AC50" s="9">
        <f>IF(25&lt;=核心参数输入!$B$9*4,IF(AND(核心参数输入!$B$57&gt;0,25=季度投融资!$B$29),AC43,0),0)</f>
        <v>0</v>
      </c>
      <c r="AD50" s="9">
        <f>IF(26&lt;=核心参数输入!$B$9*4,IF(AND(核心参数输入!$B$57&gt;0,26=季度投融资!$B$29),AD43,0),0)</f>
        <v>0</v>
      </c>
      <c r="AE50" s="9">
        <f>IF(27&lt;=核心参数输入!$B$9*4,IF(AND(核心参数输入!$B$57&gt;0,27=季度投融资!$B$29),AE43,0),0)</f>
        <v>0</v>
      </c>
      <c r="AF50" s="9">
        <f>IF(28&lt;=核心参数输入!$B$9*4,IF(AND(核心参数输入!$B$57&gt;0,28=季度投融资!$B$29),AF43,0),0)</f>
        <v>0</v>
      </c>
      <c r="AG50" s="9">
        <f>IF(29&lt;=核心参数输入!$B$9*4,IF(AND(核心参数输入!$B$57&gt;0,29=季度投融资!$B$29),AG43,0),0)</f>
        <v>0</v>
      </c>
      <c r="AH50" s="9">
        <f>IF(30&lt;=核心参数输入!$B$9*4,IF(AND(核心参数输入!$B$57&gt;0,30=季度投融资!$B$29),AH43,0),0)</f>
        <v>0</v>
      </c>
      <c r="AI50" s="9">
        <f>IF(31&lt;=核心参数输入!$B$9*4,IF(AND(核心参数输入!$B$57&gt;0,31=季度投融资!$B$29),AI43,0),0)</f>
        <v>0</v>
      </c>
      <c r="AJ50" s="9">
        <f>IF(32&lt;=核心参数输入!$B$9*4,IF(AND(核心参数输入!$B$57&gt;0,32=季度投融资!$B$29),AJ43,0),0)</f>
        <v>0</v>
      </c>
      <c r="AK50" s="9">
        <f>IF(33&lt;=核心参数输入!$B$9*4,IF(AND(核心参数输入!$B$57&gt;0,33=季度投融资!$B$29),AK43,0),0)</f>
        <v>0</v>
      </c>
      <c r="AL50" s="9">
        <f>IF(34&lt;=核心参数输入!$B$9*4,IF(AND(核心参数输入!$B$57&gt;0,34=季度投融资!$B$29),AL43,0),0)</f>
        <v>0</v>
      </c>
      <c r="AM50" s="9">
        <f>IF(35&lt;=核心参数输入!$B$9*4,IF(AND(核心参数输入!$B$57&gt;0,35=季度投融资!$B$29),AM43,0),0)</f>
        <v>0</v>
      </c>
      <c r="AN50" s="9">
        <f>IF(36&lt;=核心参数输入!$B$9*4,IF(AND(核心参数输入!$B$57&gt;0,36=季度投融资!$B$29),AN43,0),0)</f>
        <v>0</v>
      </c>
      <c r="AO50" s="9">
        <f>IF(37&lt;=核心参数输入!$B$9*4,IF(AND(核心参数输入!$B$57&gt;0,37=季度投融资!$B$29),AO43,0),0)</f>
        <v>0</v>
      </c>
      <c r="AP50" s="9">
        <f>IF(38&lt;=核心参数输入!$B$9*4,IF(AND(核心参数输入!$B$57&gt;0,38=季度投融资!$B$29),AP43,0),0)</f>
        <v>0</v>
      </c>
      <c r="AQ50" s="9">
        <f>IF(39&lt;=核心参数输入!$B$9*4,IF(AND(核心参数输入!$B$57&gt;0,39=季度投融资!$B$29),AQ43,0),0)</f>
        <v>0</v>
      </c>
      <c r="AR50" s="9">
        <f>IF(40&lt;=核心参数输入!$B$9*4,IF(AND(核心参数输入!$B$57&gt;0,40=季度投融资!$B$29),AR43,0),0)</f>
        <v>0</v>
      </c>
      <c r="AS50" s="9">
        <f>IF(41&lt;=核心参数输入!$B$9*4,IF(AND(核心参数输入!$B$57&gt;0,41=季度投融资!$B$29),AS43,0),0)</f>
        <v>0</v>
      </c>
      <c r="AT50" s="9">
        <f>IF(42&lt;=核心参数输入!$B$9*4,IF(AND(核心参数输入!$B$57&gt;0,42=季度投融资!$B$29),AT43,0),0)</f>
        <v>0</v>
      </c>
      <c r="AU50" s="9">
        <f>IF(43&lt;=核心参数输入!$B$9*4,IF(AND(核心参数输入!$B$57&gt;0,43=季度投融资!$B$29),AU43,0),0)</f>
        <v>0</v>
      </c>
      <c r="AV50" s="9">
        <f>IF(44&lt;=核心参数输入!$B$9*4,IF(AND(核心参数输入!$B$57&gt;0,44=季度投融资!$B$29),AV43,0),0)</f>
        <v>0</v>
      </c>
      <c r="AW50" s="9">
        <f>IF(45&lt;=核心参数输入!$B$9*4,IF(AND(核心参数输入!$B$57&gt;0,45=季度投融资!$B$29),AW43,0),0)</f>
        <v>0</v>
      </c>
      <c r="AX50" s="9">
        <f>IF(46&lt;=核心参数输入!$B$9*4,IF(AND(核心参数输入!$B$57&gt;0,46=季度投融资!$B$29),AX43,0),0)</f>
        <v>0</v>
      </c>
      <c r="AY50" s="9">
        <f>IF(47&lt;=核心参数输入!$B$9*4,IF(AND(核心参数输入!$B$57&gt;0,47=季度投融资!$B$29),AY43,0),0)</f>
        <v>0</v>
      </c>
      <c r="AZ50" s="9">
        <f>IF(48&lt;=核心参数输入!$B$9*4,IF(AND(核心参数输入!$B$57&gt;0,48=季度投融资!$B$29),AZ43,0),0)</f>
        <v>0</v>
      </c>
      <c r="BA50" s="9">
        <f>IF(49&lt;=核心参数输入!$B$9*4,IF(AND(核心参数输入!$B$57&gt;0,49=季度投融资!$B$29),BA43,0),0)</f>
        <v>0</v>
      </c>
      <c r="BB50" s="9">
        <f>IF(50&lt;=核心参数输入!$B$9*4,IF(AND(核心参数输入!$B$57&gt;0,50=季度投融资!$B$29),BB43,0),0)</f>
        <v>0</v>
      </c>
      <c r="BC50" s="9">
        <f>IF(51&lt;=核心参数输入!$B$9*4,IF(AND(核心参数输入!$B$57&gt;0,51=季度投融资!$B$29),BC43,0),0)</f>
        <v>0</v>
      </c>
      <c r="BD50" s="9">
        <f>IF(52&lt;=核心参数输入!$B$9*4,IF(AND(核心参数输入!$B$57&gt;0,52=季度投融资!$B$29),BD43,0),0)</f>
        <v>0</v>
      </c>
      <c r="BE50" s="9">
        <f>IF(53&lt;=核心参数输入!$B$9*4,IF(AND(核心参数输入!$B$57&gt;0,53=季度投融资!$B$29),BE43,0),0)</f>
        <v>0</v>
      </c>
      <c r="BF50" s="9">
        <f>IF(54&lt;=核心参数输入!$B$9*4,IF(AND(核心参数输入!$B$57&gt;0,54=季度投融资!$B$29),BF43,0),0)</f>
        <v>0</v>
      </c>
      <c r="BG50" s="9">
        <f>IF(55&lt;=核心参数输入!$B$9*4,IF(AND(核心参数输入!$B$57&gt;0,55=季度投融资!$B$29),BG43,0),0)</f>
        <v>0</v>
      </c>
      <c r="BH50" s="9">
        <f>IF(56&lt;=核心参数输入!$B$9*4,IF(AND(核心参数输入!$B$57&gt;0,56=季度投融资!$B$29),BH43,0),0)</f>
        <v>0</v>
      </c>
      <c r="BI50" s="9">
        <f>IF(57&lt;=核心参数输入!$B$9*4,IF(AND(核心参数输入!$B$57&gt;0,57=季度投融资!$B$29),BI43,0),0)</f>
        <v>0</v>
      </c>
      <c r="BJ50" s="9">
        <f>IF(58&lt;=核心参数输入!$B$9*4,IF(AND(核心参数输入!$B$57&gt;0,58=季度投融资!$B$29),BJ43,0),0)</f>
        <v>0</v>
      </c>
      <c r="BK50" s="9">
        <f>IF(59&lt;=核心参数输入!$B$9*4,IF(AND(核心参数输入!$B$57&gt;0,59=季度投融资!$B$29),BK43,0),0)</f>
        <v>0</v>
      </c>
      <c r="BL50" s="9">
        <f>IF(60&lt;=核心参数输入!$B$9*4,IF(AND(核心参数输入!$B$57&gt;0,60=季度投融资!$B$29),BL43,0),0)</f>
        <v>0</v>
      </c>
      <c r="BM50" s="9">
        <f>IF(61&lt;=核心参数输入!$B$9*4,IF(AND(核心参数输入!$B$57&gt;0,61=季度投融资!$B$29),BM43,0),0)</f>
        <v>0</v>
      </c>
      <c r="BN50" s="9">
        <f>IF(62&lt;=核心参数输入!$B$9*4,IF(AND(核心参数输入!$B$57&gt;0,62=季度投融资!$B$29),BN43,0),0)</f>
        <v>0</v>
      </c>
      <c r="BO50" s="9">
        <f>IF(63&lt;=核心参数输入!$B$9*4,IF(AND(核心参数输入!$B$57&gt;0,63=季度投融资!$B$29),BO43,0),0)</f>
        <v>0</v>
      </c>
      <c r="BP50" s="9">
        <f>IF(64&lt;=核心参数输入!$B$9*4,IF(AND(核心参数输入!$B$57&gt;0,64=季度投融资!$B$29),BP43,0),0)</f>
        <v>0</v>
      </c>
      <c r="BQ50" s="9">
        <f>IF(65&lt;=核心参数输入!$B$9*4,IF(AND(核心参数输入!$B$57&gt;0,65=季度投融资!$B$29),BQ43,0),0)</f>
        <v>0</v>
      </c>
      <c r="BR50" s="9">
        <f>IF(66&lt;=核心参数输入!$B$9*4,IF(AND(核心参数输入!$B$57&gt;0,66=季度投融资!$B$29),BR43,0),0)</f>
        <v>0</v>
      </c>
      <c r="BS50" s="9">
        <f>IF(67&lt;=核心参数输入!$B$9*4,IF(AND(核心参数输入!$B$57&gt;0,67=季度投融资!$B$29),BS43,0),0)</f>
        <v>0</v>
      </c>
      <c r="BT50" s="9">
        <f>IF(68&lt;=核心参数输入!$B$9*4,IF(AND(核心参数输入!$B$57&gt;0,68=季度投融资!$B$29),BT43,0),0)</f>
        <v>0</v>
      </c>
      <c r="BU50" s="9">
        <f>IF(69&lt;=核心参数输入!$B$9*4,IF(AND(核心参数输入!$B$57&gt;0,69=季度投融资!$B$29),BU43,0),0)</f>
        <v>0</v>
      </c>
      <c r="BV50" s="9">
        <f>IF(70&lt;=核心参数输入!$B$9*4,IF(AND(核心参数输入!$B$57&gt;0,70=季度投融资!$B$29),BV43,0),0)</f>
        <v>0</v>
      </c>
      <c r="BW50" s="9">
        <f>IF(71&lt;=核心参数输入!$B$9*4,IF(AND(核心参数输入!$B$57&gt;0,71=季度投融资!$B$29),BW43,0),0)</f>
        <v>0</v>
      </c>
      <c r="BX50" s="9">
        <f>IF(72&lt;=核心参数输入!$B$9*4,IF(AND(核心参数输入!$B$57&gt;0,72=季度投融资!$B$29),BX43,0),0)</f>
        <v>0</v>
      </c>
      <c r="BY50" s="9">
        <f>IF(73&lt;=核心参数输入!$B$9*4,IF(AND(核心参数输入!$B$57&gt;0,73=季度投融资!$B$29),BY43,0),0)</f>
        <v>0</v>
      </c>
      <c r="BZ50" s="9">
        <f>IF(74&lt;=核心参数输入!$B$9*4,IF(AND(核心参数输入!$B$57&gt;0,74=季度投融资!$B$29),BZ43,0),0)</f>
        <v>0</v>
      </c>
      <c r="CA50" s="9">
        <f>IF(75&lt;=核心参数输入!$B$9*4,IF(AND(核心参数输入!$B$57&gt;0,75=季度投融资!$B$29),CA43,0),0)</f>
        <v>0</v>
      </c>
      <c r="CB50" s="9">
        <f>IF(76&lt;=核心参数输入!$B$9*4,IF(AND(核心参数输入!$B$57&gt;0,76=季度投融资!$B$29),CB43,0),0)</f>
        <v>0</v>
      </c>
      <c r="CC50" s="9">
        <f>IF(77&lt;=核心参数输入!$B$9*4,IF(AND(核心参数输入!$B$57&gt;0,77=季度投融资!$B$29),CC43,0),0)</f>
        <v>0</v>
      </c>
      <c r="CD50" s="9">
        <f>IF(78&lt;=核心参数输入!$B$9*4,IF(AND(核心参数输入!$B$57&gt;0,78=季度投融资!$B$29),CD43,0),0)</f>
        <v>0</v>
      </c>
      <c r="CE50" s="9">
        <f>IF(79&lt;=核心参数输入!$B$9*4,IF(AND(核心参数输入!$B$57&gt;0,79=季度投融资!$B$29),CE43,0),0)</f>
        <v>0</v>
      </c>
      <c r="CF50" s="9">
        <f>IF(80&lt;=核心参数输入!$B$9*4,IF(AND(核心参数输入!$B$57&gt;0,80=季度投融资!$B$29),CF43,0),0)</f>
        <v>0</v>
      </c>
      <c r="CG50" s="9">
        <f>IF(81&lt;=核心参数输入!$B$9*4,IF(AND(核心参数输入!$B$57&gt;0,81=季度投融资!$B$29),CG43,0),0)</f>
        <v>0</v>
      </c>
      <c r="CH50" s="9">
        <f>IF(82&lt;=核心参数输入!$B$9*4,IF(AND(核心参数输入!$B$57&gt;0,82=季度投融资!$B$29),CH43,0),0)</f>
        <v>0</v>
      </c>
      <c r="CI50" s="9">
        <f>IF(83&lt;=核心参数输入!$B$9*4,IF(AND(核心参数输入!$B$57&gt;0,83=季度投融资!$B$29),CI43,0),0)</f>
        <v>0</v>
      </c>
      <c r="CJ50" s="9">
        <f>IF(84&lt;=核心参数输入!$B$9*4,IF(AND(核心参数输入!$B$57&gt;0,84=季度投融资!$B$29),CJ43,0),0)</f>
        <v>0</v>
      </c>
      <c r="CK50" s="9">
        <f>IF(85&lt;=核心参数输入!$B$9*4,IF(AND(核心参数输入!$B$57&gt;0,85=季度投融资!$B$29),CK43,0),0)</f>
        <v>0</v>
      </c>
      <c r="CL50" s="9">
        <f>IF(86&lt;=核心参数输入!$B$9*4,IF(AND(核心参数输入!$B$57&gt;0,86=季度投融资!$B$29),CL43,0),0)</f>
        <v>0</v>
      </c>
      <c r="CM50" s="9">
        <f>IF(87&lt;=核心参数输入!$B$9*4,IF(AND(核心参数输入!$B$57&gt;0,87=季度投融资!$B$29),CM43,0),0)</f>
        <v>0</v>
      </c>
      <c r="CN50" s="9">
        <f>IF(88&lt;=核心参数输入!$B$9*4,IF(AND(核心参数输入!$B$57&gt;0,88=季度投融资!$B$29),CN43,0),0)</f>
        <v>0</v>
      </c>
      <c r="CO50" s="9">
        <f>IF(89&lt;=核心参数输入!$B$9*4,IF(AND(核心参数输入!$B$57&gt;0,89=季度投融资!$B$29),CO43,0),0)</f>
        <v>0</v>
      </c>
      <c r="CP50" s="9">
        <f>IF(90&lt;=核心参数输入!$B$9*4,IF(AND(核心参数输入!$B$57&gt;0,90=季度投融资!$B$29),CP43,0),0)</f>
        <v>0</v>
      </c>
      <c r="CQ50" s="9">
        <f>IF(91&lt;=核心参数输入!$B$9*4,IF(AND(核心参数输入!$B$57&gt;0,91=季度投融资!$B$29),CQ43,0),0)</f>
        <v>0</v>
      </c>
      <c r="CR50" s="9">
        <f>IF(92&lt;=核心参数输入!$B$9*4,IF(AND(核心参数输入!$B$57&gt;0,92=季度投融资!$B$29),CR43,0),0)</f>
        <v>0</v>
      </c>
      <c r="CS50" s="9">
        <f>IF(93&lt;=核心参数输入!$B$9*4,IF(AND(核心参数输入!$B$57&gt;0,93=季度投融资!$B$29),CS43,0),0)</f>
        <v>0</v>
      </c>
      <c r="CT50" s="9">
        <f>IF(94&lt;=核心参数输入!$B$9*4,IF(AND(核心参数输入!$B$57&gt;0,94=季度投融资!$B$29),CT43,0),0)</f>
        <v>0</v>
      </c>
      <c r="CU50" s="9">
        <f>IF(95&lt;=核心参数输入!$B$9*4,IF(AND(核心参数输入!$B$57&gt;0,95=季度投融资!$B$29),CU43,0),0)</f>
        <v>0</v>
      </c>
      <c r="CV50" s="9">
        <f>IF(96&lt;=核心参数输入!$B$9*4,IF(AND(核心参数输入!$B$57&gt;0,96=季度投融资!$B$29),CV43,0),0)</f>
        <v>0</v>
      </c>
      <c r="CW50" s="9">
        <f>IF(97&lt;=核心参数输入!$B$9*4,IF(AND(核心参数输入!$B$57&gt;0,97=季度投融资!$B$29),CW43,0),0)</f>
        <v>0</v>
      </c>
      <c r="CX50" s="9">
        <f>IF(98&lt;=核心参数输入!$B$9*4,IF(AND(核心参数输入!$B$57&gt;0,98=季度投融资!$B$29),CX43,0),0)</f>
        <v>0</v>
      </c>
      <c r="CY50" s="9">
        <f>IF(99&lt;=核心参数输入!$B$9*4,IF(AND(核心参数输入!$B$57&gt;0,99=季度投融资!$B$29),CY43,0),0)</f>
        <v>0</v>
      </c>
      <c r="CZ50" s="9">
        <f>IF(100&lt;=核心参数输入!$B$9*4,IF(AND(核心参数输入!$B$57&gt;0,100=季度投融资!$B$29),CZ43,0),0)</f>
        <v>0</v>
      </c>
      <c r="DA50" s="9">
        <f>IF(101&lt;=核心参数输入!$B$9*4,IF(AND(核心参数输入!$B$57&gt;0,101=季度投融资!$B$29),DA43,0),0)</f>
        <v>0</v>
      </c>
      <c r="DB50" s="9">
        <f>IF(102&lt;=核心参数输入!$B$9*4,IF(AND(核心参数输入!$B$57&gt;0,102=季度投融资!$B$29),DB43,0),0)</f>
        <v>0</v>
      </c>
      <c r="DC50" s="9">
        <f>IF(103&lt;=核心参数输入!$B$9*4,IF(AND(核心参数输入!$B$57&gt;0,103=季度投融资!$B$29),DC43,0),0)</f>
        <v>0</v>
      </c>
      <c r="DD50" s="9">
        <f>IF(104&lt;=核心参数输入!$B$9*4,IF(AND(核心参数输入!$B$57&gt;0,104=季度投融资!$B$29),DD43,0),0)</f>
        <v>0</v>
      </c>
      <c r="DE50" s="9">
        <f>IF(105&lt;=核心参数输入!$B$9*4,IF(AND(核心参数输入!$B$57&gt;0,105=季度投融资!$B$29),DE43,0),0)</f>
        <v>0</v>
      </c>
      <c r="DF50" s="9">
        <f>IF(106&lt;=核心参数输入!$B$9*4,IF(AND(核心参数输入!$B$57&gt;0,106=季度投融资!$B$29),DF43,0),0)</f>
        <v>0</v>
      </c>
      <c r="DG50" s="9">
        <f>IF(107&lt;=核心参数输入!$B$9*4,IF(AND(核心参数输入!$B$57&gt;0,107=季度投融资!$B$29),DG43,0),0)</f>
        <v>0</v>
      </c>
      <c r="DH50" s="9">
        <f>IF(108&lt;=核心参数输入!$B$9*4,IF(AND(核心参数输入!$B$57&gt;0,108=季度投融资!$B$29),DH43,0),0)</f>
        <v>0</v>
      </c>
      <c r="DI50" s="9">
        <f>IF(109&lt;=核心参数输入!$B$9*4,IF(AND(核心参数输入!$B$57&gt;0,109=季度投融资!$B$29),DI43,0),0)</f>
        <v>0</v>
      </c>
      <c r="DJ50" s="9">
        <f>IF(110&lt;=核心参数输入!$B$9*4,IF(AND(核心参数输入!$B$57&gt;0,110=季度投融资!$B$29),DJ43,0),0)</f>
        <v>0</v>
      </c>
      <c r="DK50" s="9">
        <f>IF(111&lt;=核心参数输入!$B$9*4,IF(AND(核心参数输入!$B$57&gt;0,111=季度投融资!$B$29),DK43,0),0)</f>
        <v>0</v>
      </c>
      <c r="DL50" s="9">
        <f>IF(112&lt;=核心参数输入!$B$9*4,IF(AND(核心参数输入!$B$57&gt;0,112=季度投融资!$B$29),DL43,0),0)</f>
        <v>0</v>
      </c>
      <c r="DM50" s="9">
        <f>IF(113&lt;=核心参数输入!$B$9*4,IF(AND(核心参数输入!$B$57&gt;0,113=季度投融资!$B$29),DM43,0),0)</f>
        <v>0</v>
      </c>
      <c r="DN50" s="9">
        <f>IF(114&lt;=核心参数输入!$B$9*4,IF(AND(核心参数输入!$B$57&gt;0,114=季度投融资!$B$29),DN43,0),0)</f>
        <v>0</v>
      </c>
      <c r="DO50" s="9">
        <f>IF(115&lt;=核心参数输入!$B$9*4,IF(AND(核心参数输入!$B$57&gt;0,115=季度投融资!$B$29),DO43,0),0)</f>
        <v>0</v>
      </c>
      <c r="DP50" s="9">
        <f>IF(116&lt;=核心参数输入!$B$9*4,IF(AND(核心参数输入!$B$57&gt;0,116=季度投融资!$B$29),DP43,0),0)</f>
        <v>0</v>
      </c>
      <c r="DQ50" s="9">
        <f>IF(117&lt;=核心参数输入!$B$9*4,IF(AND(核心参数输入!$B$57&gt;0,117=季度投融资!$B$29),DQ43,0),0)</f>
        <v>0</v>
      </c>
      <c r="DR50" s="9">
        <f>IF(118&lt;=核心参数输入!$B$9*4,IF(AND(核心参数输入!$B$57&gt;0,118=季度投融资!$B$29),DR43,0),0)</f>
        <v>0</v>
      </c>
      <c r="DS50" s="9">
        <f>IF(119&lt;=核心参数输入!$B$9*4,IF(AND(核心参数输入!$B$57&gt;0,119=季度投融资!$B$29),DS43,0),0)</f>
        <v>0</v>
      </c>
      <c r="DT50" s="9">
        <f>IF(120&lt;=核心参数输入!$B$9*4,IF(AND(核心参数输入!$B$57&gt;0,120=季度投融资!$B$29),DT43,0),0)</f>
        <v>0</v>
      </c>
    </row>
    <row r="51" spans="1:124" ht="21" customHeight="1">
      <c r="A51" s="8" t="s">
        <v>441</v>
      </c>
      <c r="B51" s="8" t="s">
        <v>39</v>
      </c>
      <c r="C51" s="8"/>
      <c r="D51" s="9">
        <f>IF(0&lt;=核心参数输入!$B$9*4,SUM(D36:D38),0)</f>
        <v>8000</v>
      </c>
      <c r="E51" s="9">
        <f>IF(1&lt;=核心参数输入!$B$9*4,SUM(E36:E38),0)</f>
        <v>3969</v>
      </c>
      <c r="F51" s="9">
        <f>IF(2&lt;=核心参数输入!$B$9*4,SUM(F36:F38),0)</f>
        <v>3969</v>
      </c>
      <c r="G51" s="9">
        <f>IF(3&lt;=核心参数输入!$B$9*4,SUM(G36:G38),0)</f>
        <v>3969</v>
      </c>
      <c r="H51" s="9">
        <f>IF(4&lt;=核心参数输入!$B$9*4,SUM(H36:H38),0)</f>
        <v>3969</v>
      </c>
      <c r="I51" s="9">
        <f>IF(5&lt;=核心参数输入!$B$9*4,SUM(I36:I38),0)</f>
        <v>5292</v>
      </c>
      <c r="J51" s="9">
        <f>IF(6&lt;=核心参数输入!$B$9*4,SUM(J36:J38),0)</f>
        <v>5292</v>
      </c>
      <c r="K51" s="9">
        <f>IF(7&lt;=核心参数输入!$B$9*4,SUM(K36:K38),0)</f>
        <v>5292</v>
      </c>
      <c r="L51" s="9">
        <f>IF(8&lt;=核心参数输入!$B$9*4,SUM(L36:L38),0)</f>
        <v>5292</v>
      </c>
      <c r="M51" s="9">
        <f>IF(9&lt;=核心参数输入!$B$9*4,SUM(M36:M38),0)</f>
        <v>3969</v>
      </c>
      <c r="N51" s="9">
        <f>IF(10&lt;=核心参数输入!$B$9*4,SUM(N36:N38),0)</f>
        <v>3969</v>
      </c>
      <c r="O51" s="9">
        <f>IF(11&lt;=核心参数输入!$B$9*4,SUM(O36:O38),0)</f>
        <v>3969</v>
      </c>
      <c r="P51" s="9">
        <f>IF(12&lt;=核心参数输入!$B$9*4,SUM(P36:P38),0)</f>
        <v>3969</v>
      </c>
      <c r="Q51" s="9">
        <f>IF(13&lt;=核心参数输入!$B$9*4,SUM(Q36:Q38),0)</f>
        <v>500</v>
      </c>
      <c r="R51" s="9">
        <f>IF(14&lt;=核心参数输入!$B$9*4,SUM(R36:R38),0)</f>
        <v>0</v>
      </c>
      <c r="S51" s="9">
        <f>IF(15&lt;=核心参数输入!$B$9*4,SUM(S36:S38),0)</f>
        <v>0</v>
      </c>
      <c r="T51" s="9">
        <f>IF(16&lt;=核心参数输入!$B$9*4,SUM(T36:T38),0)</f>
        <v>0</v>
      </c>
      <c r="U51" s="9">
        <f>IF(17&lt;=核心参数输入!$B$9*4,SUM(U36:U38),0)</f>
        <v>0</v>
      </c>
      <c r="V51" s="9">
        <f>IF(18&lt;=核心参数输入!$B$9*4,SUM(V36:V38),0)</f>
        <v>0</v>
      </c>
      <c r="W51" s="9">
        <f>IF(19&lt;=核心参数输入!$B$9*4,SUM(W36:W38),0)</f>
        <v>0</v>
      </c>
      <c r="X51" s="9">
        <f>IF(20&lt;=核心参数输入!$B$9*4,SUM(X36:X38),0)</f>
        <v>0</v>
      </c>
      <c r="Y51" s="9">
        <f>IF(21&lt;=核心参数输入!$B$9*4,SUM(Y36:Y38),0)</f>
        <v>0</v>
      </c>
      <c r="Z51" s="9">
        <f>IF(22&lt;=核心参数输入!$B$9*4,SUM(Z36:Z38),0)</f>
        <v>0</v>
      </c>
      <c r="AA51" s="9">
        <f>IF(23&lt;=核心参数输入!$B$9*4,SUM(AA36:AA38),0)</f>
        <v>0</v>
      </c>
      <c r="AB51" s="9">
        <f>IF(24&lt;=核心参数输入!$B$9*4,SUM(AB36:AB38),0)</f>
        <v>0</v>
      </c>
      <c r="AC51" s="9">
        <f>IF(25&lt;=核心参数输入!$B$9*4,SUM(AC36:AC38),0)</f>
        <v>0</v>
      </c>
      <c r="AD51" s="9">
        <f>IF(26&lt;=核心参数输入!$B$9*4,SUM(AD36:AD38),0)</f>
        <v>0</v>
      </c>
      <c r="AE51" s="9">
        <f>IF(27&lt;=核心参数输入!$B$9*4,SUM(AE36:AE38),0)</f>
        <v>0</v>
      </c>
      <c r="AF51" s="9">
        <f>IF(28&lt;=核心参数输入!$B$9*4,SUM(AF36:AF38),0)</f>
        <v>0</v>
      </c>
      <c r="AG51" s="9">
        <f>IF(29&lt;=核心参数输入!$B$9*4,SUM(AG36:AG38),0)</f>
        <v>0</v>
      </c>
      <c r="AH51" s="9">
        <f>IF(30&lt;=核心参数输入!$B$9*4,SUM(AH36:AH38),0)</f>
        <v>0</v>
      </c>
      <c r="AI51" s="9">
        <f>IF(31&lt;=核心参数输入!$B$9*4,SUM(AI36:AI38),0)</f>
        <v>0</v>
      </c>
      <c r="AJ51" s="9">
        <f>IF(32&lt;=核心参数输入!$B$9*4,SUM(AJ36:AJ38),0)</f>
        <v>0</v>
      </c>
      <c r="AK51" s="9">
        <f>IF(33&lt;=核心参数输入!$B$9*4,SUM(AK36:AK38),0)</f>
        <v>0</v>
      </c>
      <c r="AL51" s="9">
        <f>IF(34&lt;=核心参数输入!$B$9*4,SUM(AL36:AL38),0)</f>
        <v>0</v>
      </c>
      <c r="AM51" s="9">
        <f>IF(35&lt;=核心参数输入!$B$9*4,SUM(AM36:AM38),0)</f>
        <v>0</v>
      </c>
      <c r="AN51" s="9">
        <f>IF(36&lt;=核心参数输入!$B$9*4,SUM(AN36:AN38),0)</f>
        <v>0</v>
      </c>
      <c r="AO51" s="9">
        <f>IF(37&lt;=核心参数输入!$B$9*4,SUM(AO36:AO38),0)</f>
        <v>0</v>
      </c>
      <c r="AP51" s="9">
        <f>IF(38&lt;=核心参数输入!$B$9*4,SUM(AP36:AP38),0)</f>
        <v>0</v>
      </c>
      <c r="AQ51" s="9">
        <f>IF(39&lt;=核心参数输入!$B$9*4,SUM(AQ36:AQ38),0)</f>
        <v>0</v>
      </c>
      <c r="AR51" s="9">
        <f>IF(40&lt;=核心参数输入!$B$9*4,SUM(AR36:AR38),0)</f>
        <v>0</v>
      </c>
      <c r="AS51" s="9">
        <f>IF(41&lt;=核心参数输入!$B$9*4,SUM(AS36:AS38),0)</f>
        <v>0</v>
      </c>
      <c r="AT51" s="9">
        <f>IF(42&lt;=核心参数输入!$B$9*4,SUM(AT36:AT38),0)</f>
        <v>0</v>
      </c>
      <c r="AU51" s="9">
        <f>IF(43&lt;=核心参数输入!$B$9*4,SUM(AU36:AU38),0)</f>
        <v>0</v>
      </c>
      <c r="AV51" s="9">
        <f>IF(44&lt;=核心参数输入!$B$9*4,SUM(AV36:AV38),0)</f>
        <v>0</v>
      </c>
      <c r="AW51" s="9">
        <f>IF(45&lt;=核心参数输入!$B$9*4,SUM(AW36:AW38),0)</f>
        <v>0</v>
      </c>
      <c r="AX51" s="9">
        <f>IF(46&lt;=核心参数输入!$B$9*4,SUM(AX36:AX38),0)</f>
        <v>0</v>
      </c>
      <c r="AY51" s="9">
        <f>IF(47&lt;=核心参数输入!$B$9*4,SUM(AY36:AY38),0)</f>
        <v>0</v>
      </c>
      <c r="AZ51" s="9">
        <f>IF(48&lt;=核心参数输入!$B$9*4,SUM(AZ36:AZ38),0)</f>
        <v>0</v>
      </c>
      <c r="BA51" s="9">
        <f>IF(49&lt;=核心参数输入!$B$9*4,SUM(BA36:BA38),0)</f>
        <v>0</v>
      </c>
      <c r="BB51" s="9">
        <f>IF(50&lt;=核心参数输入!$B$9*4,SUM(BB36:BB38),0)</f>
        <v>0</v>
      </c>
      <c r="BC51" s="9">
        <f>IF(51&lt;=核心参数输入!$B$9*4,SUM(BC36:BC38),0)</f>
        <v>0</v>
      </c>
      <c r="BD51" s="9">
        <f>IF(52&lt;=核心参数输入!$B$9*4,SUM(BD36:BD38),0)</f>
        <v>0</v>
      </c>
      <c r="BE51" s="9">
        <f>IF(53&lt;=核心参数输入!$B$9*4,SUM(BE36:BE38),0)</f>
        <v>0</v>
      </c>
      <c r="BF51" s="9">
        <f>IF(54&lt;=核心参数输入!$B$9*4,SUM(BF36:BF38),0)</f>
        <v>0</v>
      </c>
      <c r="BG51" s="9">
        <f>IF(55&lt;=核心参数输入!$B$9*4,SUM(BG36:BG38),0)</f>
        <v>0</v>
      </c>
      <c r="BH51" s="9">
        <f>IF(56&lt;=核心参数输入!$B$9*4,SUM(BH36:BH38),0)</f>
        <v>0</v>
      </c>
      <c r="BI51" s="9">
        <f>IF(57&lt;=核心参数输入!$B$9*4,SUM(BI36:BI38),0)</f>
        <v>0</v>
      </c>
      <c r="BJ51" s="9">
        <f>IF(58&lt;=核心参数输入!$B$9*4,SUM(BJ36:BJ38),0)</f>
        <v>0</v>
      </c>
      <c r="BK51" s="9">
        <f>IF(59&lt;=核心参数输入!$B$9*4,SUM(BK36:BK38),0)</f>
        <v>0</v>
      </c>
      <c r="BL51" s="9">
        <f>IF(60&lt;=核心参数输入!$B$9*4,SUM(BL36:BL38),0)</f>
        <v>0</v>
      </c>
      <c r="BM51" s="9">
        <f>IF(61&lt;=核心参数输入!$B$9*4,SUM(BM36:BM38),0)</f>
        <v>0</v>
      </c>
      <c r="BN51" s="9">
        <f>IF(62&lt;=核心参数输入!$B$9*4,SUM(BN36:BN38),0)</f>
        <v>0</v>
      </c>
      <c r="BO51" s="9">
        <f>IF(63&lt;=核心参数输入!$B$9*4,SUM(BO36:BO38),0)</f>
        <v>0</v>
      </c>
      <c r="BP51" s="9">
        <f>IF(64&lt;=核心参数输入!$B$9*4,SUM(BP36:BP38),0)</f>
        <v>0</v>
      </c>
      <c r="BQ51" s="9">
        <f>IF(65&lt;=核心参数输入!$B$9*4,SUM(BQ36:BQ38),0)</f>
        <v>0</v>
      </c>
      <c r="BR51" s="9">
        <f>IF(66&lt;=核心参数输入!$B$9*4,SUM(BR36:BR38),0)</f>
        <v>0</v>
      </c>
      <c r="BS51" s="9">
        <f>IF(67&lt;=核心参数输入!$B$9*4,SUM(BS36:BS38),0)</f>
        <v>0</v>
      </c>
      <c r="BT51" s="9">
        <f>IF(68&lt;=核心参数输入!$B$9*4,SUM(BT36:BT38),0)</f>
        <v>0</v>
      </c>
      <c r="BU51" s="9">
        <f>IF(69&lt;=核心参数输入!$B$9*4,SUM(BU36:BU38),0)</f>
        <v>0</v>
      </c>
      <c r="BV51" s="9">
        <f>IF(70&lt;=核心参数输入!$B$9*4,SUM(BV36:BV38),0)</f>
        <v>0</v>
      </c>
      <c r="BW51" s="9">
        <f>IF(71&lt;=核心参数输入!$B$9*4,SUM(BW36:BW38),0)</f>
        <v>0</v>
      </c>
      <c r="BX51" s="9">
        <f>IF(72&lt;=核心参数输入!$B$9*4,SUM(BX36:BX38),0)</f>
        <v>0</v>
      </c>
      <c r="BY51" s="9">
        <f>IF(73&lt;=核心参数输入!$B$9*4,SUM(BY36:BY38),0)</f>
        <v>0</v>
      </c>
      <c r="BZ51" s="9">
        <f>IF(74&lt;=核心参数输入!$B$9*4,SUM(BZ36:BZ38),0)</f>
        <v>0</v>
      </c>
      <c r="CA51" s="9">
        <f>IF(75&lt;=核心参数输入!$B$9*4,SUM(CA36:CA38),0)</f>
        <v>0</v>
      </c>
      <c r="CB51" s="9">
        <f>IF(76&lt;=核心参数输入!$B$9*4,SUM(CB36:CB38),0)</f>
        <v>0</v>
      </c>
      <c r="CC51" s="9">
        <f>IF(77&lt;=核心参数输入!$B$9*4,SUM(CC36:CC38),0)</f>
        <v>0</v>
      </c>
      <c r="CD51" s="9">
        <f>IF(78&lt;=核心参数输入!$B$9*4,SUM(CD36:CD38),0)</f>
        <v>0</v>
      </c>
      <c r="CE51" s="9">
        <f>IF(79&lt;=核心参数输入!$B$9*4,SUM(CE36:CE38),0)</f>
        <v>0</v>
      </c>
      <c r="CF51" s="9">
        <f>IF(80&lt;=核心参数输入!$B$9*4,SUM(CF36:CF38),0)</f>
        <v>0</v>
      </c>
      <c r="CG51" s="9">
        <f>IF(81&lt;=核心参数输入!$B$9*4,SUM(CG36:CG38),0)</f>
        <v>0</v>
      </c>
      <c r="CH51" s="9">
        <f>IF(82&lt;=核心参数输入!$B$9*4,SUM(CH36:CH38),0)</f>
        <v>0</v>
      </c>
      <c r="CI51" s="9">
        <f>IF(83&lt;=核心参数输入!$B$9*4,SUM(CI36:CI38),0)</f>
        <v>0</v>
      </c>
      <c r="CJ51" s="9">
        <f>IF(84&lt;=核心参数输入!$B$9*4,SUM(CJ36:CJ38),0)</f>
        <v>0</v>
      </c>
      <c r="CK51" s="9">
        <f>IF(85&lt;=核心参数输入!$B$9*4,SUM(CK36:CK38),0)</f>
        <v>0</v>
      </c>
      <c r="CL51" s="9">
        <f>IF(86&lt;=核心参数输入!$B$9*4,SUM(CL36:CL38),0)</f>
        <v>0</v>
      </c>
      <c r="CM51" s="9">
        <f>IF(87&lt;=核心参数输入!$B$9*4,SUM(CM36:CM38),0)</f>
        <v>0</v>
      </c>
      <c r="CN51" s="9">
        <f>IF(88&lt;=核心参数输入!$B$9*4,SUM(CN36:CN38),0)</f>
        <v>0</v>
      </c>
      <c r="CO51" s="9">
        <f>IF(89&lt;=核心参数输入!$B$9*4,SUM(CO36:CO38),0)</f>
        <v>0</v>
      </c>
      <c r="CP51" s="9">
        <f>IF(90&lt;=核心参数输入!$B$9*4,SUM(CP36:CP38),0)</f>
        <v>0</v>
      </c>
      <c r="CQ51" s="9">
        <f>IF(91&lt;=核心参数输入!$B$9*4,SUM(CQ36:CQ38),0)</f>
        <v>0</v>
      </c>
      <c r="CR51" s="9">
        <f>IF(92&lt;=核心参数输入!$B$9*4,SUM(CR36:CR38),0)</f>
        <v>0</v>
      </c>
      <c r="CS51" s="9">
        <f>IF(93&lt;=核心参数输入!$B$9*4,SUM(CS36:CS38),0)</f>
        <v>0</v>
      </c>
      <c r="CT51" s="9">
        <f>IF(94&lt;=核心参数输入!$B$9*4,SUM(CT36:CT38),0)</f>
        <v>0</v>
      </c>
      <c r="CU51" s="9">
        <f>IF(95&lt;=核心参数输入!$B$9*4,SUM(CU36:CU38),0)</f>
        <v>0</v>
      </c>
      <c r="CV51" s="9">
        <f>IF(96&lt;=核心参数输入!$B$9*4,SUM(CV36:CV38),0)</f>
        <v>0</v>
      </c>
      <c r="CW51" s="9">
        <f>IF(97&lt;=核心参数输入!$B$9*4,SUM(CW36:CW38),0)</f>
        <v>0</v>
      </c>
      <c r="CX51" s="9">
        <f>IF(98&lt;=核心参数输入!$B$9*4,SUM(CX36:CX38),0)</f>
        <v>0</v>
      </c>
      <c r="CY51" s="9">
        <f>IF(99&lt;=核心参数输入!$B$9*4,SUM(CY36:CY38),0)</f>
        <v>0</v>
      </c>
      <c r="CZ51" s="9">
        <f>IF(100&lt;=核心参数输入!$B$9*4,SUM(CZ36:CZ38),0)</f>
        <v>0</v>
      </c>
      <c r="DA51" s="9">
        <f>IF(101&lt;=核心参数输入!$B$9*4,SUM(DA36:DA38),0)</f>
        <v>0</v>
      </c>
      <c r="DB51" s="9">
        <f>IF(102&lt;=核心参数输入!$B$9*4,SUM(DB36:DB38),0)</f>
        <v>0</v>
      </c>
      <c r="DC51" s="9">
        <f>IF(103&lt;=核心参数输入!$B$9*4,SUM(DC36:DC38),0)</f>
        <v>0</v>
      </c>
      <c r="DD51" s="9">
        <f>IF(104&lt;=核心参数输入!$B$9*4,SUM(DD36:DD38),0)</f>
        <v>0</v>
      </c>
      <c r="DE51" s="9">
        <f>IF(105&lt;=核心参数输入!$B$9*4,SUM(DE36:DE38),0)</f>
        <v>0</v>
      </c>
      <c r="DF51" s="9">
        <f>IF(106&lt;=核心参数输入!$B$9*4,SUM(DF36:DF38),0)</f>
        <v>0</v>
      </c>
      <c r="DG51" s="9">
        <f>IF(107&lt;=核心参数输入!$B$9*4,SUM(DG36:DG38),0)</f>
        <v>0</v>
      </c>
      <c r="DH51" s="9">
        <f>IF(108&lt;=核心参数输入!$B$9*4,SUM(DH36:DH38),0)</f>
        <v>0</v>
      </c>
      <c r="DI51" s="9">
        <f>IF(109&lt;=核心参数输入!$B$9*4,SUM(DI36:DI38),0)</f>
        <v>0</v>
      </c>
      <c r="DJ51" s="9">
        <f>IF(110&lt;=核心参数输入!$B$9*4,SUM(DJ36:DJ38),0)</f>
        <v>0</v>
      </c>
      <c r="DK51" s="9">
        <f>IF(111&lt;=核心参数输入!$B$9*4,SUM(DK36:DK38),0)</f>
        <v>0</v>
      </c>
      <c r="DL51" s="9">
        <f>IF(112&lt;=核心参数输入!$B$9*4,SUM(DL36:DL38),0)</f>
        <v>0</v>
      </c>
      <c r="DM51" s="9">
        <f>IF(113&lt;=核心参数输入!$B$9*4,SUM(DM36:DM38),0)</f>
        <v>0</v>
      </c>
      <c r="DN51" s="9">
        <f>IF(114&lt;=核心参数输入!$B$9*4,SUM(DN36:DN38),0)</f>
        <v>0</v>
      </c>
      <c r="DO51" s="9">
        <f>IF(115&lt;=核心参数输入!$B$9*4,SUM(DO36:DO38),0)</f>
        <v>0</v>
      </c>
      <c r="DP51" s="9">
        <f>IF(116&lt;=核心参数输入!$B$9*4,SUM(DP36:DP38),0)</f>
        <v>0</v>
      </c>
      <c r="DQ51" s="9">
        <f>IF(117&lt;=核心参数输入!$B$9*4,SUM(DQ36:DQ38),0)</f>
        <v>0</v>
      </c>
      <c r="DR51" s="9">
        <f>IF(118&lt;=核心参数输入!$B$9*4,SUM(DR36:DR38),0)</f>
        <v>0</v>
      </c>
      <c r="DS51" s="9">
        <f>IF(119&lt;=核心参数输入!$B$9*4,SUM(DS36:DS38),0)</f>
        <v>0</v>
      </c>
      <c r="DT51" s="9">
        <f>IF(120&lt;=核心参数输入!$B$9*4,SUM(DT36:DT38),0)</f>
        <v>0</v>
      </c>
    </row>
    <row r="52" spans="1:124" ht="21" customHeight="1">
      <c r="A52" s="8" t="s">
        <v>442</v>
      </c>
      <c r="B52" s="8" t="s">
        <v>39</v>
      </c>
      <c r="C52" s="8"/>
      <c r="D52" s="9">
        <f>IF(0&lt;=核心参数输入!$B$9*4,SUM($D36:D36)+SUM($D35:D35),0)</f>
        <v>8000</v>
      </c>
      <c r="E52" s="9">
        <f>IF(1&lt;=核心参数输入!$B$9*4,SUM($D36:E36)+SUM($D35:E35),0)</f>
        <v>11969</v>
      </c>
      <c r="F52" s="9">
        <f>IF(2&lt;=核心参数输入!$B$9*4,SUM($D36:F36)+SUM($D35:F35),0)</f>
        <v>15938</v>
      </c>
      <c r="G52" s="9">
        <f>IF(3&lt;=核心参数输入!$B$9*4,SUM($D36:G36)+SUM($D35:G35),0)</f>
        <v>19907</v>
      </c>
      <c r="H52" s="9">
        <f>IF(4&lt;=核心参数输入!$B$9*4,SUM($D36:H36)+SUM($D35:H35),0)</f>
        <v>23876</v>
      </c>
      <c r="I52" s="9">
        <f>IF(5&lt;=核心参数输入!$B$9*4,SUM($D36:I36)+SUM($D35:I35),0)</f>
        <v>29168</v>
      </c>
      <c r="J52" s="9">
        <f>IF(6&lt;=核心参数输入!$B$9*4,SUM($D36:J36)+SUM($D35:J35),0)</f>
        <v>34460</v>
      </c>
      <c r="K52" s="9">
        <f>IF(7&lt;=核心参数输入!$B$9*4,SUM($D36:K36)+SUM($D35:K35),0)</f>
        <v>39752</v>
      </c>
      <c r="L52" s="9">
        <f>IF(8&lt;=核心参数输入!$B$9*4,SUM($D36:L36)+SUM($D35:L35),0)</f>
        <v>45044</v>
      </c>
      <c r="M52" s="9">
        <f>IF(9&lt;=核心参数输入!$B$9*4,SUM($D36:M36)+SUM($D35:M35),0)</f>
        <v>49013</v>
      </c>
      <c r="N52" s="9">
        <f>IF(10&lt;=核心参数输入!$B$9*4,SUM($D36:N36)+SUM($D35:N35),0)</f>
        <v>52982</v>
      </c>
      <c r="O52" s="9">
        <f>IF(11&lt;=核心参数输入!$B$9*4,SUM($D36:O36)+SUM($D35:O35),0)</f>
        <v>56951</v>
      </c>
      <c r="P52" s="9">
        <f>IF(12&lt;=核心参数输入!$B$9*4,SUM($D36:P36)+SUM($D35:P35),0)</f>
        <v>60920</v>
      </c>
      <c r="Q52" s="9">
        <f>IF(13&lt;=核心参数输入!$B$9*4,SUM($D36:Q36)+SUM($D35:Q35),0)</f>
        <v>60920</v>
      </c>
      <c r="R52" s="9">
        <f>IF(14&lt;=核心参数输入!$B$9*4,SUM($D36:R36)+SUM($D35:R35),0)</f>
        <v>60920</v>
      </c>
      <c r="S52" s="9">
        <f>IF(15&lt;=核心参数输入!$B$9*4,SUM($D36:S36)+SUM($D35:S35),0)</f>
        <v>60920</v>
      </c>
      <c r="T52" s="9">
        <f>IF(16&lt;=核心参数输入!$B$9*4,SUM($D36:T36)+SUM($D35:T35),0)</f>
        <v>60920</v>
      </c>
      <c r="U52" s="9">
        <f>IF(17&lt;=核心参数输入!$B$9*4,SUM($D36:U36)+SUM($D35:U35),0)</f>
        <v>60920</v>
      </c>
      <c r="V52" s="9">
        <f>IF(18&lt;=核心参数输入!$B$9*4,SUM($D36:V36)+SUM($D35:V35),0)</f>
        <v>60920</v>
      </c>
      <c r="W52" s="9">
        <f>IF(19&lt;=核心参数输入!$B$9*4,SUM($D36:W36)+SUM($D35:W35),0)</f>
        <v>60920</v>
      </c>
      <c r="X52" s="9">
        <f>IF(20&lt;=核心参数输入!$B$9*4,SUM($D36:X36)+SUM($D35:X35),0)</f>
        <v>60920</v>
      </c>
      <c r="Y52" s="9">
        <f>IF(21&lt;=核心参数输入!$B$9*4,SUM($D36:Y36)+SUM($D35:Y35),0)</f>
        <v>60920</v>
      </c>
      <c r="Z52" s="9">
        <f>IF(22&lt;=核心参数输入!$B$9*4,SUM($D36:Z36)+SUM($D35:Z35),0)</f>
        <v>60920</v>
      </c>
      <c r="AA52" s="9">
        <f>IF(23&lt;=核心参数输入!$B$9*4,SUM($D36:AA36)+SUM($D35:AA35),0)</f>
        <v>60920</v>
      </c>
      <c r="AB52" s="9">
        <f>IF(24&lt;=核心参数输入!$B$9*4,SUM($D36:AB36)+SUM($D35:AB35),0)</f>
        <v>60920</v>
      </c>
      <c r="AC52" s="9">
        <f>IF(25&lt;=核心参数输入!$B$9*4,SUM($D36:AC36)+SUM($D35:AC35),0)</f>
        <v>60920</v>
      </c>
      <c r="AD52" s="9">
        <f>IF(26&lt;=核心参数输入!$B$9*4,SUM($D36:AD36)+SUM($D35:AD35),0)</f>
        <v>60920</v>
      </c>
      <c r="AE52" s="9">
        <f>IF(27&lt;=核心参数输入!$B$9*4,SUM($D36:AE36)+SUM($D35:AE35),0)</f>
        <v>60920</v>
      </c>
      <c r="AF52" s="9">
        <f>IF(28&lt;=核心参数输入!$B$9*4,SUM($D36:AF36)+SUM($D35:AF35),0)</f>
        <v>60920</v>
      </c>
      <c r="AG52" s="9">
        <f>IF(29&lt;=核心参数输入!$B$9*4,SUM($D36:AG36)+SUM($D35:AG35),0)</f>
        <v>60920</v>
      </c>
      <c r="AH52" s="9">
        <f>IF(30&lt;=核心参数输入!$B$9*4,SUM($D36:AH36)+SUM($D35:AH35),0)</f>
        <v>60920</v>
      </c>
      <c r="AI52" s="9">
        <f>IF(31&lt;=核心参数输入!$B$9*4,SUM($D36:AI36)+SUM($D35:AI35),0)</f>
        <v>60920</v>
      </c>
      <c r="AJ52" s="9">
        <f>IF(32&lt;=核心参数输入!$B$9*4,SUM($D36:AJ36)+SUM($D35:AJ35),0)</f>
        <v>60920</v>
      </c>
      <c r="AK52" s="9">
        <f>IF(33&lt;=核心参数输入!$B$9*4,SUM($D36:AK36)+SUM($D35:AK35),0)</f>
        <v>60920</v>
      </c>
      <c r="AL52" s="9">
        <f>IF(34&lt;=核心参数输入!$B$9*4,SUM($D36:AL36)+SUM($D35:AL35),0)</f>
        <v>60920</v>
      </c>
      <c r="AM52" s="9">
        <f>IF(35&lt;=核心参数输入!$B$9*4,SUM($D36:AM36)+SUM($D35:AM35),0)</f>
        <v>60920</v>
      </c>
      <c r="AN52" s="9">
        <f>IF(36&lt;=核心参数输入!$B$9*4,SUM($D36:AN36)+SUM($D35:AN35),0)</f>
        <v>60920</v>
      </c>
      <c r="AO52" s="9">
        <f>IF(37&lt;=核心参数输入!$B$9*4,SUM($D36:AO36)+SUM($D35:AO35),0)</f>
        <v>60920</v>
      </c>
      <c r="AP52" s="9">
        <f>IF(38&lt;=核心参数输入!$B$9*4,SUM($D36:AP36)+SUM($D35:AP35),0)</f>
        <v>60920</v>
      </c>
      <c r="AQ52" s="9">
        <f>IF(39&lt;=核心参数输入!$B$9*4,SUM($D36:AQ36)+SUM($D35:AQ35),0)</f>
        <v>60920</v>
      </c>
      <c r="AR52" s="9">
        <f>IF(40&lt;=核心参数输入!$B$9*4,SUM($D36:AR36)+SUM($D35:AR35),0)</f>
        <v>60920</v>
      </c>
      <c r="AS52" s="9">
        <f>IF(41&lt;=核心参数输入!$B$9*4,SUM($D36:AS36)+SUM($D35:AS35),0)</f>
        <v>60920</v>
      </c>
      <c r="AT52" s="9">
        <f>IF(42&lt;=核心参数输入!$B$9*4,SUM($D36:AT36)+SUM($D35:AT35),0)</f>
        <v>60920</v>
      </c>
      <c r="AU52" s="9">
        <f>IF(43&lt;=核心参数输入!$B$9*4,SUM($D36:AU36)+SUM($D35:AU35),0)</f>
        <v>60920</v>
      </c>
      <c r="AV52" s="9">
        <f>IF(44&lt;=核心参数输入!$B$9*4,SUM($D36:AV36)+SUM($D35:AV35),0)</f>
        <v>60920</v>
      </c>
      <c r="AW52" s="9">
        <f>IF(45&lt;=核心参数输入!$B$9*4,SUM($D36:AW36)+SUM($D35:AW35),0)</f>
        <v>60920</v>
      </c>
      <c r="AX52" s="9">
        <f>IF(46&lt;=核心参数输入!$B$9*4,SUM($D36:AX36)+SUM($D35:AX35),0)</f>
        <v>60920</v>
      </c>
      <c r="AY52" s="9">
        <f>IF(47&lt;=核心参数输入!$B$9*4,SUM($D36:AY36)+SUM($D35:AY35),0)</f>
        <v>60920</v>
      </c>
      <c r="AZ52" s="9">
        <f>IF(48&lt;=核心参数输入!$B$9*4,SUM($D36:AZ36)+SUM($D35:AZ35),0)</f>
        <v>60920</v>
      </c>
      <c r="BA52" s="9">
        <f>IF(49&lt;=核心参数输入!$B$9*4,SUM($D36:BA36)+SUM($D35:BA35),0)</f>
        <v>60920</v>
      </c>
      <c r="BB52" s="9">
        <f>IF(50&lt;=核心参数输入!$B$9*4,SUM($D36:BB36)+SUM($D35:BB35),0)</f>
        <v>60920</v>
      </c>
      <c r="BC52" s="9">
        <f>IF(51&lt;=核心参数输入!$B$9*4,SUM($D36:BC36)+SUM($D35:BC35),0)</f>
        <v>60920</v>
      </c>
      <c r="BD52" s="9">
        <f>IF(52&lt;=核心参数输入!$B$9*4,SUM($D36:BD36)+SUM($D35:BD35),0)</f>
        <v>60920</v>
      </c>
      <c r="BE52" s="9">
        <f>IF(53&lt;=核心参数输入!$B$9*4,SUM($D36:BE36)+SUM($D35:BE35),0)</f>
        <v>60920</v>
      </c>
      <c r="BF52" s="9">
        <f>IF(54&lt;=核心参数输入!$B$9*4,SUM($D36:BF36)+SUM($D35:BF35),0)</f>
        <v>60920</v>
      </c>
      <c r="BG52" s="9">
        <f>IF(55&lt;=核心参数输入!$B$9*4,SUM($D36:BG36)+SUM($D35:BG35),0)</f>
        <v>60920</v>
      </c>
      <c r="BH52" s="9">
        <f>IF(56&lt;=核心参数输入!$B$9*4,SUM($D36:BH36)+SUM($D35:BH35),0)</f>
        <v>60920</v>
      </c>
      <c r="BI52" s="9">
        <f>IF(57&lt;=核心参数输入!$B$9*4,SUM($D36:BI36)+SUM($D35:BI35),0)</f>
        <v>60920</v>
      </c>
      <c r="BJ52" s="9">
        <f>IF(58&lt;=核心参数输入!$B$9*4,SUM($D36:BJ36)+SUM($D35:BJ35),0)</f>
        <v>60920</v>
      </c>
      <c r="BK52" s="9">
        <f>IF(59&lt;=核心参数输入!$B$9*4,SUM($D36:BK36)+SUM($D35:BK35),0)</f>
        <v>60920</v>
      </c>
      <c r="BL52" s="9">
        <f>IF(60&lt;=核心参数输入!$B$9*4,SUM($D36:BL36)+SUM($D35:BL35),0)</f>
        <v>60920</v>
      </c>
      <c r="BM52" s="9">
        <f>IF(61&lt;=核心参数输入!$B$9*4,SUM($D36:BM36)+SUM($D35:BM35),0)</f>
        <v>60920</v>
      </c>
      <c r="BN52" s="9">
        <f>IF(62&lt;=核心参数输入!$B$9*4,SUM($D36:BN36)+SUM($D35:BN35),0)</f>
        <v>60920</v>
      </c>
      <c r="BO52" s="9">
        <f>IF(63&lt;=核心参数输入!$B$9*4,SUM($D36:BO36)+SUM($D35:BO35),0)</f>
        <v>60920</v>
      </c>
      <c r="BP52" s="9">
        <f>IF(64&lt;=核心参数输入!$B$9*4,SUM($D36:BP36)+SUM($D35:BP35),0)</f>
        <v>60920</v>
      </c>
      <c r="BQ52" s="9">
        <f>IF(65&lt;=核心参数输入!$B$9*4,SUM($D36:BQ36)+SUM($D35:BQ35),0)</f>
        <v>60920</v>
      </c>
      <c r="BR52" s="9">
        <f>IF(66&lt;=核心参数输入!$B$9*4,SUM($D36:BR36)+SUM($D35:BR35),0)</f>
        <v>60920</v>
      </c>
      <c r="BS52" s="9">
        <f>IF(67&lt;=核心参数输入!$B$9*4,SUM($D36:BS36)+SUM($D35:BS35),0)</f>
        <v>60920</v>
      </c>
      <c r="BT52" s="9">
        <f>IF(68&lt;=核心参数输入!$B$9*4,SUM($D36:BT36)+SUM($D35:BT35),0)</f>
        <v>60920</v>
      </c>
      <c r="BU52" s="9">
        <f>IF(69&lt;=核心参数输入!$B$9*4,SUM($D36:BU36)+SUM($D35:BU35),0)</f>
        <v>60920</v>
      </c>
      <c r="BV52" s="9">
        <f>IF(70&lt;=核心参数输入!$B$9*4,SUM($D36:BV36)+SUM($D35:BV35),0)</f>
        <v>60920</v>
      </c>
      <c r="BW52" s="9">
        <f>IF(71&lt;=核心参数输入!$B$9*4,SUM($D36:BW36)+SUM($D35:BW35),0)</f>
        <v>60920</v>
      </c>
      <c r="BX52" s="9">
        <f>IF(72&lt;=核心参数输入!$B$9*4,SUM($D36:BX36)+SUM($D35:BX35),0)</f>
        <v>60920</v>
      </c>
      <c r="BY52" s="9">
        <f>IF(73&lt;=核心参数输入!$B$9*4,SUM($D36:BY36)+SUM($D35:BY35),0)</f>
        <v>60920</v>
      </c>
      <c r="BZ52" s="9">
        <f>IF(74&lt;=核心参数输入!$B$9*4,SUM($D36:BZ36)+SUM($D35:BZ35),0)</f>
        <v>60920</v>
      </c>
      <c r="CA52" s="9">
        <f>IF(75&lt;=核心参数输入!$B$9*4,SUM($D36:CA36)+SUM($D35:CA35),0)</f>
        <v>60920</v>
      </c>
      <c r="CB52" s="9">
        <f>IF(76&lt;=核心参数输入!$B$9*4,SUM($D36:CB36)+SUM($D35:CB35),0)</f>
        <v>60920</v>
      </c>
      <c r="CC52" s="9">
        <f>IF(77&lt;=核心参数输入!$B$9*4,SUM($D36:CC36)+SUM($D35:CC35),0)</f>
        <v>60920</v>
      </c>
      <c r="CD52" s="9">
        <f>IF(78&lt;=核心参数输入!$B$9*4,SUM($D36:CD36)+SUM($D35:CD35),0)</f>
        <v>60920</v>
      </c>
      <c r="CE52" s="9">
        <f>IF(79&lt;=核心参数输入!$B$9*4,SUM($D36:CE36)+SUM($D35:CE35),0)</f>
        <v>60920</v>
      </c>
      <c r="CF52" s="9">
        <f>IF(80&lt;=核心参数输入!$B$9*4,SUM($D36:CF36)+SUM($D35:CF35),0)</f>
        <v>60920</v>
      </c>
      <c r="CG52" s="9">
        <f>IF(81&lt;=核心参数输入!$B$9*4,SUM($D36:CG36)+SUM($D35:CG35),0)</f>
        <v>0</v>
      </c>
      <c r="CH52" s="9">
        <f>IF(82&lt;=核心参数输入!$B$9*4,SUM($D36:CH36)+SUM($D35:CH35),0)</f>
        <v>0</v>
      </c>
      <c r="CI52" s="9">
        <f>IF(83&lt;=核心参数输入!$B$9*4,SUM($D36:CI36)+SUM($D35:CI35),0)</f>
        <v>0</v>
      </c>
      <c r="CJ52" s="9">
        <f>IF(84&lt;=核心参数输入!$B$9*4,SUM($D36:CJ36)+SUM($D35:CJ35),0)</f>
        <v>0</v>
      </c>
      <c r="CK52" s="9">
        <f>IF(85&lt;=核心参数输入!$B$9*4,SUM($D36:CK36)+SUM($D35:CK35),0)</f>
        <v>0</v>
      </c>
      <c r="CL52" s="9">
        <f>IF(86&lt;=核心参数输入!$B$9*4,SUM($D36:CL36)+SUM($D35:CL35),0)</f>
        <v>0</v>
      </c>
      <c r="CM52" s="9">
        <f>IF(87&lt;=核心参数输入!$B$9*4,SUM($D36:CM36)+SUM($D35:CM35),0)</f>
        <v>0</v>
      </c>
      <c r="CN52" s="9">
        <f>IF(88&lt;=核心参数输入!$B$9*4,SUM($D36:CN36)+SUM($D35:CN35),0)</f>
        <v>0</v>
      </c>
      <c r="CO52" s="9">
        <f>IF(89&lt;=核心参数输入!$B$9*4,SUM($D36:CO36)+SUM($D35:CO35),0)</f>
        <v>0</v>
      </c>
      <c r="CP52" s="9">
        <f>IF(90&lt;=核心参数输入!$B$9*4,SUM($D36:CP36)+SUM($D35:CP35),0)</f>
        <v>0</v>
      </c>
      <c r="CQ52" s="9">
        <f>IF(91&lt;=核心参数输入!$B$9*4,SUM($D36:CQ36)+SUM($D35:CQ35),0)</f>
        <v>0</v>
      </c>
      <c r="CR52" s="9">
        <f>IF(92&lt;=核心参数输入!$B$9*4,SUM($D36:CR36)+SUM($D35:CR35),0)</f>
        <v>0</v>
      </c>
      <c r="CS52" s="9">
        <f>IF(93&lt;=核心参数输入!$B$9*4,SUM($D36:CS36)+SUM($D35:CS35),0)</f>
        <v>0</v>
      </c>
      <c r="CT52" s="9">
        <f>IF(94&lt;=核心参数输入!$B$9*4,SUM($D36:CT36)+SUM($D35:CT35),0)</f>
        <v>0</v>
      </c>
      <c r="CU52" s="9">
        <f>IF(95&lt;=核心参数输入!$B$9*4,SUM($D36:CU36)+SUM($D35:CU35),0)</f>
        <v>0</v>
      </c>
      <c r="CV52" s="9">
        <f>IF(96&lt;=核心参数输入!$B$9*4,SUM($D36:CV36)+SUM($D35:CV35),0)</f>
        <v>0</v>
      </c>
      <c r="CW52" s="9">
        <f>IF(97&lt;=核心参数输入!$B$9*4,SUM($D36:CW36)+SUM($D35:CW35),0)</f>
        <v>0</v>
      </c>
      <c r="CX52" s="9">
        <f>IF(98&lt;=核心参数输入!$B$9*4,SUM($D36:CX36)+SUM($D35:CX35),0)</f>
        <v>0</v>
      </c>
      <c r="CY52" s="9">
        <f>IF(99&lt;=核心参数输入!$B$9*4,SUM($D36:CY36)+SUM($D35:CY35),0)</f>
        <v>0</v>
      </c>
      <c r="CZ52" s="9">
        <f>IF(100&lt;=核心参数输入!$B$9*4,SUM($D36:CZ36)+SUM($D35:CZ35),0)</f>
        <v>0</v>
      </c>
      <c r="DA52" s="9">
        <f>IF(101&lt;=核心参数输入!$B$9*4,SUM($D36:DA36)+SUM($D35:DA35),0)</f>
        <v>0</v>
      </c>
      <c r="DB52" s="9">
        <f>IF(102&lt;=核心参数输入!$B$9*4,SUM($D36:DB36)+SUM($D35:DB35),0)</f>
        <v>0</v>
      </c>
      <c r="DC52" s="9">
        <f>IF(103&lt;=核心参数输入!$B$9*4,SUM($D36:DC36)+SUM($D35:DC35),0)</f>
        <v>0</v>
      </c>
      <c r="DD52" s="9">
        <f>IF(104&lt;=核心参数输入!$B$9*4,SUM($D36:DD36)+SUM($D35:DD35),0)</f>
        <v>0</v>
      </c>
      <c r="DE52" s="9">
        <f>IF(105&lt;=核心参数输入!$B$9*4,SUM($D36:DE36)+SUM($D35:DE35),0)</f>
        <v>0</v>
      </c>
      <c r="DF52" s="9">
        <f>IF(106&lt;=核心参数输入!$B$9*4,SUM($D36:DF36)+SUM($D35:DF35),0)</f>
        <v>0</v>
      </c>
      <c r="DG52" s="9">
        <f>IF(107&lt;=核心参数输入!$B$9*4,SUM($D36:DG36)+SUM($D35:DG35),0)</f>
        <v>0</v>
      </c>
      <c r="DH52" s="9">
        <f>IF(108&lt;=核心参数输入!$B$9*4,SUM($D36:DH36)+SUM($D35:DH35),0)</f>
        <v>0</v>
      </c>
      <c r="DI52" s="9">
        <f>IF(109&lt;=核心参数输入!$B$9*4,SUM($D36:DI36)+SUM($D35:DI35),0)</f>
        <v>0</v>
      </c>
      <c r="DJ52" s="9">
        <f>IF(110&lt;=核心参数输入!$B$9*4,SUM($D36:DJ36)+SUM($D35:DJ35),0)</f>
        <v>0</v>
      </c>
      <c r="DK52" s="9">
        <f>IF(111&lt;=核心参数输入!$B$9*4,SUM($D36:DK36)+SUM($D35:DK35),0)</f>
        <v>0</v>
      </c>
      <c r="DL52" s="9">
        <f>IF(112&lt;=核心参数输入!$B$9*4,SUM($D36:DL36)+SUM($D35:DL35),0)</f>
        <v>0</v>
      </c>
      <c r="DM52" s="9">
        <f>IF(113&lt;=核心参数输入!$B$9*4,SUM($D36:DM36)+SUM($D35:DM35),0)</f>
        <v>0</v>
      </c>
      <c r="DN52" s="9">
        <f>IF(114&lt;=核心参数输入!$B$9*4,SUM($D36:DN36)+SUM($D35:DN35),0)</f>
        <v>0</v>
      </c>
      <c r="DO52" s="9">
        <f>IF(115&lt;=核心参数输入!$B$9*4,SUM($D36:DO36)+SUM($D35:DO35),0)</f>
        <v>0</v>
      </c>
      <c r="DP52" s="9">
        <f>IF(116&lt;=核心参数输入!$B$9*4,SUM($D36:DP36)+SUM($D35:DP35),0)</f>
        <v>0</v>
      </c>
      <c r="DQ52" s="9">
        <f>IF(117&lt;=核心参数输入!$B$9*4,SUM($D36:DQ36)+SUM($D35:DQ35),0)</f>
        <v>0</v>
      </c>
      <c r="DR52" s="9">
        <f>IF(118&lt;=核心参数输入!$B$9*4,SUM($D36:DR36)+SUM($D35:DR35),0)</f>
        <v>0</v>
      </c>
      <c r="DS52" s="9">
        <f>IF(119&lt;=核心参数输入!$B$9*4,SUM($D36:DS36)+SUM($D35:DS35),0)</f>
        <v>0</v>
      </c>
      <c r="DT52" s="9">
        <f>IF(120&lt;=核心参数输入!$B$9*4,SUM($D36:DT36)+SUM($D35:DT35),0)</f>
        <v>0</v>
      </c>
    </row>
    <row r="53" spans="1:124" ht="21" customHeight="1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</row>
    <row r="54" spans="1:124" ht="21" customHeight="1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</row>
    <row r="55" spans="1:124" ht="21" customHeight="1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</row>
    <row r="56" spans="1:124" ht="21" customHeight="1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</row>
    <row r="57" spans="1:124" ht="21" customHeight="1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</row>
    <row r="58" spans="1:124" ht="21" customHeight="1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</row>
    <row r="59" spans="1:124" ht="21" customHeight="1">
      <c r="A59" s="8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</row>
    <row r="60" spans="1:124" ht="21" customHeight="1">
      <c r="A60" s="8" t="s">
        <v>443</v>
      </c>
      <c r="B60" s="8" t="s">
        <v>39</v>
      </c>
      <c r="C60" s="8"/>
      <c r="D60" s="9">
        <f>IF(0&lt;=核心参数输入!$B$9*4,IF(D39&gt;0.000001,1,0),0)</f>
        <v>0</v>
      </c>
      <c r="E60" s="9">
        <f>IF(1&lt;=核心参数输入!$B$9*4,IF(E39&gt;0.000001,1,0),0)</f>
        <v>1</v>
      </c>
      <c r="F60" s="9">
        <f>IF(2&lt;=核心参数输入!$B$9*4,IF(F39&gt;0.000001,1,0),0)</f>
        <v>1</v>
      </c>
      <c r="G60" s="9">
        <f>IF(3&lt;=核心参数输入!$B$9*4,IF(G39&gt;0.000001,1,0),0)</f>
        <v>1</v>
      </c>
      <c r="H60" s="9">
        <f>IF(4&lt;=核心参数输入!$B$9*4,IF(H39&gt;0.000001,1,0),0)</f>
        <v>1</v>
      </c>
      <c r="I60" s="9">
        <f>IF(5&lt;=核心参数输入!$B$9*4,IF(I39&gt;0.000001,1,0),0)</f>
        <v>1</v>
      </c>
      <c r="J60" s="9">
        <f>IF(6&lt;=核心参数输入!$B$9*4,IF(J39&gt;0.000001,1,0),0)</f>
        <v>1</v>
      </c>
      <c r="K60" s="9">
        <f>IF(7&lt;=核心参数输入!$B$9*4,IF(K39&gt;0.000001,1,0),0)</f>
        <v>1</v>
      </c>
      <c r="L60" s="9">
        <f>IF(8&lt;=核心参数输入!$B$9*4,IF(L39&gt;0.000001,1,0),0)</f>
        <v>1</v>
      </c>
      <c r="M60" s="9">
        <f>IF(9&lt;=核心参数输入!$B$9*4,IF(M39&gt;0.000001,1,0),0)</f>
        <v>1</v>
      </c>
      <c r="N60" s="9">
        <f>IF(10&lt;=核心参数输入!$B$9*4,IF(N39&gt;0.000001,1,0),0)</f>
        <v>1</v>
      </c>
      <c r="O60" s="9">
        <f>IF(11&lt;=核心参数输入!$B$9*4,IF(O39&gt;0.000001,1,0),0)</f>
        <v>1</v>
      </c>
      <c r="P60" s="9">
        <f>IF(12&lt;=核心参数输入!$B$9*4,IF(P39&gt;0.000001,1,0),0)</f>
        <v>1</v>
      </c>
      <c r="Q60" s="9">
        <f>IF(13&lt;=核心参数输入!$B$9*4,IF(Q39&gt;0.000001,1,0),0)</f>
        <v>0</v>
      </c>
      <c r="R60" s="9">
        <f>IF(14&lt;=核心参数输入!$B$9*4,IF(R39&gt;0.000001,1,0),0)</f>
        <v>0</v>
      </c>
      <c r="S60" s="9">
        <f>IF(15&lt;=核心参数输入!$B$9*4,IF(S39&gt;0.000001,1,0),0)</f>
        <v>0</v>
      </c>
      <c r="T60" s="9">
        <f>IF(16&lt;=核心参数输入!$B$9*4,IF(T39&gt;0.000001,1,0),0)</f>
        <v>0</v>
      </c>
      <c r="U60" s="9">
        <f>IF(17&lt;=核心参数输入!$B$9*4,IF(U39&gt;0.000001,1,0),0)</f>
        <v>0</v>
      </c>
      <c r="V60" s="9">
        <f>IF(18&lt;=核心参数输入!$B$9*4,IF(V39&gt;0.000001,1,0),0)</f>
        <v>0</v>
      </c>
      <c r="W60" s="9">
        <f>IF(19&lt;=核心参数输入!$B$9*4,IF(W39&gt;0.000001,1,0),0)</f>
        <v>0</v>
      </c>
      <c r="X60" s="9">
        <f>IF(20&lt;=核心参数输入!$B$9*4,IF(X39&gt;0.000001,1,0),0)</f>
        <v>0</v>
      </c>
      <c r="Y60" s="9">
        <f>IF(21&lt;=核心参数输入!$B$9*4,IF(Y39&gt;0.000001,1,0),0)</f>
        <v>0</v>
      </c>
      <c r="Z60" s="9">
        <f>IF(22&lt;=核心参数输入!$B$9*4,IF(Z39&gt;0.000001,1,0),0)</f>
        <v>0</v>
      </c>
      <c r="AA60" s="9">
        <f>IF(23&lt;=核心参数输入!$B$9*4,IF(AA39&gt;0.000001,1,0),0)</f>
        <v>0</v>
      </c>
      <c r="AB60" s="9">
        <f>IF(24&lt;=核心参数输入!$B$9*4,IF(AB39&gt;0.000001,1,0),0)</f>
        <v>0</v>
      </c>
      <c r="AC60" s="9">
        <f>IF(25&lt;=核心参数输入!$B$9*4,IF(AC39&gt;0.000001,1,0),0)</f>
        <v>0</v>
      </c>
      <c r="AD60" s="9">
        <f>IF(26&lt;=核心参数输入!$B$9*4,IF(AD39&gt;0.000001,1,0),0)</f>
        <v>0</v>
      </c>
      <c r="AE60" s="9">
        <f>IF(27&lt;=核心参数输入!$B$9*4,IF(AE39&gt;0.000001,1,0),0)</f>
        <v>0</v>
      </c>
      <c r="AF60" s="9">
        <f>IF(28&lt;=核心参数输入!$B$9*4,IF(AF39&gt;0.000001,1,0),0)</f>
        <v>0</v>
      </c>
      <c r="AG60" s="9">
        <f>IF(29&lt;=核心参数输入!$B$9*4,IF(AG39&gt;0.000001,1,0),0)</f>
        <v>0</v>
      </c>
      <c r="AH60" s="9">
        <f>IF(30&lt;=核心参数输入!$B$9*4,IF(AH39&gt;0.000001,1,0),0)</f>
        <v>0</v>
      </c>
      <c r="AI60" s="9">
        <f>IF(31&lt;=核心参数输入!$B$9*4,IF(AI39&gt;0.000001,1,0),0)</f>
        <v>0</v>
      </c>
      <c r="AJ60" s="9">
        <f>IF(32&lt;=核心参数输入!$B$9*4,IF(AJ39&gt;0.000001,1,0),0)</f>
        <v>0</v>
      </c>
      <c r="AK60" s="9">
        <f>IF(33&lt;=核心参数输入!$B$9*4,IF(AK39&gt;0.000001,1,0),0)</f>
        <v>0</v>
      </c>
      <c r="AL60" s="9">
        <f>IF(34&lt;=核心参数输入!$B$9*4,IF(AL39&gt;0.000001,1,0),0)</f>
        <v>0</v>
      </c>
      <c r="AM60" s="9">
        <f>IF(35&lt;=核心参数输入!$B$9*4,IF(AM39&gt;0.000001,1,0),0)</f>
        <v>0</v>
      </c>
      <c r="AN60" s="9">
        <f>IF(36&lt;=核心参数输入!$B$9*4,IF(AN39&gt;0.000001,1,0),0)</f>
        <v>0</v>
      </c>
      <c r="AO60" s="9">
        <f>IF(37&lt;=核心参数输入!$B$9*4,IF(AO39&gt;0.000001,1,0),0)</f>
        <v>0</v>
      </c>
      <c r="AP60" s="9">
        <f>IF(38&lt;=核心参数输入!$B$9*4,IF(AP39&gt;0.000001,1,0),0)</f>
        <v>0</v>
      </c>
      <c r="AQ60" s="9">
        <f>IF(39&lt;=核心参数输入!$B$9*4,IF(AQ39&gt;0.000001,1,0),0)</f>
        <v>0</v>
      </c>
      <c r="AR60" s="9">
        <f>IF(40&lt;=核心参数输入!$B$9*4,IF(AR39&gt;0.000001,1,0),0)</f>
        <v>0</v>
      </c>
      <c r="AS60" s="9">
        <f>IF(41&lt;=核心参数输入!$B$9*4,IF(AS39&gt;0.000001,1,0),0)</f>
        <v>0</v>
      </c>
      <c r="AT60" s="9">
        <f>IF(42&lt;=核心参数输入!$B$9*4,IF(AT39&gt;0.000001,1,0),0)</f>
        <v>0</v>
      </c>
      <c r="AU60" s="9">
        <f>IF(43&lt;=核心参数输入!$B$9*4,IF(AU39&gt;0.000001,1,0),0)</f>
        <v>0</v>
      </c>
      <c r="AV60" s="9">
        <f>IF(44&lt;=核心参数输入!$B$9*4,IF(AV39&gt;0.000001,1,0),0)</f>
        <v>0</v>
      </c>
      <c r="AW60" s="9">
        <f>IF(45&lt;=核心参数输入!$B$9*4,IF(AW39&gt;0.000001,1,0),0)</f>
        <v>0</v>
      </c>
      <c r="AX60" s="9">
        <f>IF(46&lt;=核心参数输入!$B$9*4,IF(AX39&gt;0.000001,1,0),0)</f>
        <v>0</v>
      </c>
      <c r="AY60" s="9">
        <f>IF(47&lt;=核心参数输入!$B$9*4,IF(AY39&gt;0.000001,1,0),0)</f>
        <v>0</v>
      </c>
      <c r="AZ60" s="9">
        <f>IF(48&lt;=核心参数输入!$B$9*4,IF(AZ39&gt;0.000001,1,0),0)</f>
        <v>0</v>
      </c>
      <c r="BA60" s="9">
        <f>IF(49&lt;=核心参数输入!$B$9*4,IF(BA39&gt;0.000001,1,0),0)</f>
        <v>0</v>
      </c>
      <c r="BB60" s="9">
        <f>IF(50&lt;=核心参数输入!$B$9*4,IF(BB39&gt;0.000001,1,0),0)</f>
        <v>0</v>
      </c>
      <c r="BC60" s="9">
        <f>IF(51&lt;=核心参数输入!$B$9*4,IF(BC39&gt;0.000001,1,0),0)</f>
        <v>0</v>
      </c>
      <c r="BD60" s="9">
        <f>IF(52&lt;=核心参数输入!$B$9*4,IF(BD39&gt;0.000001,1,0),0)</f>
        <v>0</v>
      </c>
      <c r="BE60" s="9">
        <f>IF(53&lt;=核心参数输入!$B$9*4,IF(BE39&gt;0.000001,1,0),0)</f>
        <v>0</v>
      </c>
      <c r="BF60" s="9">
        <f>IF(54&lt;=核心参数输入!$B$9*4,IF(BF39&gt;0.000001,1,0),0)</f>
        <v>0</v>
      </c>
      <c r="BG60" s="9">
        <f>IF(55&lt;=核心参数输入!$B$9*4,IF(BG39&gt;0.000001,1,0),0)</f>
        <v>0</v>
      </c>
      <c r="BH60" s="9">
        <f>IF(56&lt;=核心参数输入!$B$9*4,IF(BH39&gt;0.000001,1,0),0)</f>
        <v>0</v>
      </c>
      <c r="BI60" s="9">
        <f>IF(57&lt;=核心参数输入!$B$9*4,IF(BI39&gt;0.000001,1,0),0)</f>
        <v>0</v>
      </c>
      <c r="BJ60" s="9">
        <f>IF(58&lt;=核心参数输入!$B$9*4,IF(BJ39&gt;0.000001,1,0),0)</f>
        <v>0</v>
      </c>
      <c r="BK60" s="9">
        <f>IF(59&lt;=核心参数输入!$B$9*4,IF(BK39&gt;0.000001,1,0),0)</f>
        <v>0</v>
      </c>
      <c r="BL60" s="9">
        <f>IF(60&lt;=核心参数输入!$B$9*4,IF(BL39&gt;0.000001,1,0),0)</f>
        <v>0</v>
      </c>
      <c r="BM60" s="9">
        <f>IF(61&lt;=核心参数输入!$B$9*4,IF(BM39&gt;0.000001,1,0),0)</f>
        <v>0</v>
      </c>
      <c r="BN60" s="9">
        <f>IF(62&lt;=核心参数输入!$B$9*4,IF(BN39&gt;0.000001,1,0),0)</f>
        <v>0</v>
      </c>
      <c r="BO60" s="9">
        <f>IF(63&lt;=核心参数输入!$B$9*4,IF(BO39&gt;0.000001,1,0),0)</f>
        <v>0</v>
      </c>
      <c r="BP60" s="9">
        <f>IF(64&lt;=核心参数输入!$B$9*4,IF(BP39&gt;0.000001,1,0),0)</f>
        <v>0</v>
      </c>
      <c r="BQ60" s="9">
        <f>IF(65&lt;=核心参数输入!$B$9*4,IF(BQ39&gt;0.000001,1,0),0)</f>
        <v>0</v>
      </c>
      <c r="BR60" s="9">
        <f>IF(66&lt;=核心参数输入!$B$9*4,IF(BR39&gt;0.000001,1,0),0)</f>
        <v>0</v>
      </c>
      <c r="BS60" s="9">
        <f>IF(67&lt;=核心参数输入!$B$9*4,IF(BS39&gt;0.000001,1,0),0)</f>
        <v>0</v>
      </c>
      <c r="BT60" s="9">
        <f>IF(68&lt;=核心参数输入!$B$9*4,IF(BT39&gt;0.000001,1,0),0)</f>
        <v>0</v>
      </c>
      <c r="BU60" s="9">
        <f>IF(69&lt;=核心参数输入!$B$9*4,IF(BU39&gt;0.000001,1,0),0)</f>
        <v>0</v>
      </c>
      <c r="BV60" s="9">
        <f>IF(70&lt;=核心参数输入!$B$9*4,IF(BV39&gt;0.000001,1,0),0)</f>
        <v>0</v>
      </c>
      <c r="BW60" s="9">
        <f>IF(71&lt;=核心参数输入!$B$9*4,IF(BW39&gt;0.000001,1,0),0)</f>
        <v>0</v>
      </c>
      <c r="BX60" s="9">
        <f>IF(72&lt;=核心参数输入!$B$9*4,IF(BX39&gt;0.000001,1,0),0)</f>
        <v>0</v>
      </c>
      <c r="BY60" s="9">
        <f>IF(73&lt;=核心参数输入!$B$9*4,IF(BY39&gt;0.000001,1,0),0)</f>
        <v>0</v>
      </c>
      <c r="BZ60" s="9">
        <f>IF(74&lt;=核心参数输入!$B$9*4,IF(BZ39&gt;0.000001,1,0),0)</f>
        <v>0</v>
      </c>
      <c r="CA60" s="9">
        <f>IF(75&lt;=核心参数输入!$B$9*4,IF(CA39&gt;0.000001,1,0),0)</f>
        <v>0</v>
      </c>
      <c r="CB60" s="9">
        <f>IF(76&lt;=核心参数输入!$B$9*4,IF(CB39&gt;0.000001,1,0),0)</f>
        <v>0</v>
      </c>
      <c r="CC60" s="9">
        <f>IF(77&lt;=核心参数输入!$B$9*4,IF(CC39&gt;0.000001,1,0),0)</f>
        <v>0</v>
      </c>
      <c r="CD60" s="9">
        <f>IF(78&lt;=核心参数输入!$B$9*4,IF(CD39&gt;0.000001,1,0),0)</f>
        <v>0</v>
      </c>
      <c r="CE60" s="9">
        <f>IF(79&lt;=核心参数输入!$B$9*4,IF(CE39&gt;0.000001,1,0),0)</f>
        <v>0</v>
      </c>
      <c r="CF60" s="9">
        <f>IF(80&lt;=核心参数输入!$B$9*4,IF(CF39&gt;0.000001,1,0),0)</f>
        <v>0</v>
      </c>
      <c r="CG60" s="9">
        <f>IF(81&lt;=核心参数输入!$B$9*4,IF(CG39&gt;0.000001,1,0),0)</f>
        <v>0</v>
      </c>
      <c r="CH60" s="9">
        <f>IF(82&lt;=核心参数输入!$B$9*4,IF(CH39&gt;0.000001,1,0),0)</f>
        <v>0</v>
      </c>
      <c r="CI60" s="9">
        <f>IF(83&lt;=核心参数输入!$B$9*4,IF(CI39&gt;0.000001,1,0),0)</f>
        <v>0</v>
      </c>
      <c r="CJ60" s="9">
        <f>IF(84&lt;=核心参数输入!$B$9*4,IF(CJ39&gt;0.000001,1,0),0)</f>
        <v>0</v>
      </c>
      <c r="CK60" s="9">
        <f>IF(85&lt;=核心参数输入!$B$9*4,IF(CK39&gt;0.000001,1,0),0)</f>
        <v>0</v>
      </c>
      <c r="CL60" s="9">
        <f>IF(86&lt;=核心参数输入!$B$9*4,IF(CL39&gt;0.000001,1,0),0)</f>
        <v>0</v>
      </c>
      <c r="CM60" s="9">
        <f>IF(87&lt;=核心参数输入!$B$9*4,IF(CM39&gt;0.000001,1,0),0)</f>
        <v>0</v>
      </c>
      <c r="CN60" s="9">
        <f>IF(88&lt;=核心参数输入!$B$9*4,IF(CN39&gt;0.000001,1,0),0)</f>
        <v>0</v>
      </c>
      <c r="CO60" s="9">
        <f>IF(89&lt;=核心参数输入!$B$9*4,IF(CO39&gt;0.000001,1,0),0)</f>
        <v>0</v>
      </c>
      <c r="CP60" s="9">
        <f>IF(90&lt;=核心参数输入!$B$9*4,IF(CP39&gt;0.000001,1,0),0)</f>
        <v>0</v>
      </c>
      <c r="CQ60" s="9">
        <f>IF(91&lt;=核心参数输入!$B$9*4,IF(CQ39&gt;0.000001,1,0),0)</f>
        <v>0</v>
      </c>
      <c r="CR60" s="9">
        <f>IF(92&lt;=核心参数输入!$B$9*4,IF(CR39&gt;0.000001,1,0),0)</f>
        <v>0</v>
      </c>
      <c r="CS60" s="9">
        <f>IF(93&lt;=核心参数输入!$B$9*4,IF(CS39&gt;0.000001,1,0),0)</f>
        <v>0</v>
      </c>
      <c r="CT60" s="9">
        <f>IF(94&lt;=核心参数输入!$B$9*4,IF(CT39&gt;0.000001,1,0),0)</f>
        <v>0</v>
      </c>
      <c r="CU60" s="9">
        <f>IF(95&lt;=核心参数输入!$B$9*4,IF(CU39&gt;0.000001,1,0),0)</f>
        <v>0</v>
      </c>
      <c r="CV60" s="9">
        <f>IF(96&lt;=核心参数输入!$B$9*4,IF(CV39&gt;0.000001,1,0),0)</f>
        <v>0</v>
      </c>
      <c r="CW60" s="9">
        <f>IF(97&lt;=核心参数输入!$B$9*4,IF(CW39&gt;0.000001,1,0),0)</f>
        <v>0</v>
      </c>
      <c r="CX60" s="9">
        <f>IF(98&lt;=核心参数输入!$B$9*4,IF(CX39&gt;0.000001,1,0),0)</f>
        <v>0</v>
      </c>
      <c r="CY60" s="9">
        <f>IF(99&lt;=核心参数输入!$B$9*4,IF(CY39&gt;0.000001,1,0),0)</f>
        <v>0</v>
      </c>
      <c r="CZ60" s="9">
        <f>IF(100&lt;=核心参数输入!$B$9*4,IF(CZ39&gt;0.000001,1,0),0)</f>
        <v>0</v>
      </c>
      <c r="DA60" s="9">
        <f>IF(101&lt;=核心参数输入!$B$9*4,IF(DA39&gt;0.000001,1,0),0)</f>
        <v>0</v>
      </c>
      <c r="DB60" s="9">
        <f>IF(102&lt;=核心参数输入!$B$9*4,IF(DB39&gt;0.000001,1,0),0)</f>
        <v>0</v>
      </c>
      <c r="DC60" s="9">
        <f>IF(103&lt;=核心参数输入!$B$9*4,IF(DC39&gt;0.000001,1,0),0)</f>
        <v>0</v>
      </c>
      <c r="DD60" s="9">
        <f>IF(104&lt;=核心参数输入!$B$9*4,IF(DD39&gt;0.000001,1,0),0)</f>
        <v>0</v>
      </c>
      <c r="DE60" s="9">
        <f>IF(105&lt;=核心参数输入!$B$9*4,IF(DE39&gt;0.000001,1,0),0)</f>
        <v>0</v>
      </c>
      <c r="DF60" s="9">
        <f>IF(106&lt;=核心参数输入!$B$9*4,IF(DF39&gt;0.000001,1,0),0)</f>
        <v>0</v>
      </c>
      <c r="DG60" s="9">
        <f>IF(107&lt;=核心参数输入!$B$9*4,IF(DG39&gt;0.000001,1,0),0)</f>
        <v>0</v>
      </c>
      <c r="DH60" s="9">
        <f>IF(108&lt;=核心参数输入!$B$9*4,IF(DH39&gt;0.000001,1,0),0)</f>
        <v>0</v>
      </c>
      <c r="DI60" s="9">
        <f>IF(109&lt;=核心参数输入!$B$9*4,IF(DI39&gt;0.000001,1,0),0)</f>
        <v>0</v>
      </c>
      <c r="DJ60" s="9">
        <f>IF(110&lt;=核心参数输入!$B$9*4,IF(DJ39&gt;0.000001,1,0),0)</f>
        <v>0</v>
      </c>
      <c r="DK60" s="9">
        <f>IF(111&lt;=核心参数输入!$B$9*4,IF(DK39&gt;0.000001,1,0),0)</f>
        <v>0</v>
      </c>
      <c r="DL60" s="9">
        <f>IF(112&lt;=核心参数输入!$B$9*4,IF(DL39&gt;0.000001,1,0),0)</f>
        <v>0</v>
      </c>
      <c r="DM60" s="9">
        <f>IF(113&lt;=核心参数输入!$B$9*4,IF(DM39&gt;0.000001,1,0),0)</f>
        <v>0</v>
      </c>
      <c r="DN60" s="9">
        <f>IF(114&lt;=核心参数输入!$B$9*4,IF(DN39&gt;0.000001,1,0),0)</f>
        <v>0</v>
      </c>
      <c r="DO60" s="9">
        <f>IF(115&lt;=核心参数输入!$B$9*4,IF(DO39&gt;0.000001,1,0),0)</f>
        <v>0</v>
      </c>
      <c r="DP60" s="9">
        <f>IF(116&lt;=核心参数输入!$B$9*4,IF(DP39&gt;0.000001,1,0),0)</f>
        <v>0</v>
      </c>
      <c r="DQ60" s="9">
        <f>IF(117&lt;=核心参数输入!$B$9*4,IF(DQ39&gt;0.000001,1,0),0)</f>
        <v>0</v>
      </c>
      <c r="DR60" s="9">
        <f>IF(118&lt;=核心参数输入!$B$9*4,IF(DR39&gt;0.000001,1,0),0)</f>
        <v>0</v>
      </c>
      <c r="DS60" s="9">
        <f>IF(119&lt;=核心参数输入!$B$9*4,IF(DS39&gt;0.000001,1,0),0)</f>
        <v>0</v>
      </c>
      <c r="DT60" s="9">
        <f>IF(120&lt;=核心参数输入!$B$9*4,IF(DT39&gt;0.000001,1,0),0)</f>
        <v>0</v>
      </c>
    </row>
    <row r="61" spans="1:124" ht="21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</row>
    <row r="62" spans="1:124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</row>
    <row r="63" spans="1:124" ht="21" customHeight="1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</row>
    <row r="64" spans="1:124" ht="21" customHeight="1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</row>
    <row r="65" spans="1:124" ht="21" customHeight="1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</row>
    <row r="66" spans="1:124" ht="21" customHeight="1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</row>
    <row r="67" spans="1:124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</row>
    <row r="68" spans="1:124" ht="21" customHeight="1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</row>
    <row r="69" spans="1:124" ht="21" customHeight="1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</row>
    <row r="70" spans="1:124" ht="21" customHeight="1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</row>
    <row r="71" spans="1:124" ht="21" customHeight="1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</row>
    <row r="72" spans="1:124" ht="21" customHeight="1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</row>
    <row r="73" spans="1:124" ht="21" customHeight="1">
      <c r="A73" s="8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</row>
    <row r="74" spans="1:124" ht="21" customHeight="1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</row>
    <row r="75" spans="1:124" ht="21" customHeight="1">
      <c r="A75" s="8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</row>
    <row r="76" spans="1:124" ht="21" customHeight="1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</row>
    <row r="77" spans="1:124" ht="21" customHeight="1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</row>
    <row r="78" spans="1:124" ht="21" customHeight="1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</row>
    <row r="79" spans="1:124" ht="21" customHeight="1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</row>
    <row r="80" spans="1:124" ht="21" customHeight="1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</row>
    <row r="81" spans="1:124" ht="21" customHeight="1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</row>
    <row r="82" spans="1:124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</row>
    <row r="83" spans="1:124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</row>
    <row r="84" spans="1:124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</row>
    <row r="85" spans="1:124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</row>
    <row r="86" spans="1:124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</row>
    <row r="87" spans="1:124" ht="21" customHeigh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</row>
    <row r="88" spans="1:124" ht="21" customHeight="1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</row>
    <row r="89" spans="1:124" ht="21" customHeight="1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</row>
    <row r="90" spans="1:124" ht="21" customHeight="1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</row>
    <row r="91" spans="1:124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</row>
    <row r="92" spans="1:124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</row>
    <row r="93" spans="1:124" ht="21" customHeight="1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</row>
    <row r="94" spans="1:124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</row>
    <row r="95" spans="1:124" ht="21" customHeight="1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</row>
    <row r="96" spans="1:124" ht="21" customHeight="1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</row>
    <row r="97" spans="1:124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</row>
    <row r="98" spans="1:124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</row>
    <row r="99" spans="1:124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</row>
    <row r="100" spans="1:124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</row>
    <row r="101" spans="1:124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</row>
    <row r="102" spans="1:124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</row>
    <row r="103" spans="1:124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</row>
    <row r="104" spans="1:124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</row>
    <row r="105" spans="1:124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</row>
    <row r="106" spans="1:124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</row>
    <row r="107" spans="1:124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</row>
    <row r="108" spans="1:124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</row>
    <row r="109" spans="1:124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</row>
    <row r="110" spans="1:124" ht="21" customHeight="1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</row>
    <row r="111" spans="1:124" ht="21" customHeight="1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</row>
    <row r="112" spans="1:124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</row>
    <row r="113" spans="1:124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</row>
    <row r="114" spans="1:124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</row>
    <row r="115" spans="1:124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</row>
    <row r="116" spans="1:124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</row>
    <row r="117" spans="1:124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</row>
    <row r="118" spans="1:124" ht="21" customHeight="1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</row>
    <row r="119" spans="1:124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</row>
    <row r="120" spans="1:124" ht="21" customHeight="1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</row>
    <row r="121" spans="1:124" ht="21" customHeight="1">
      <c r="A121" s="8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</row>
    <row r="122" spans="1:124" ht="21" customHeight="1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</row>
    <row r="123" spans="1:124" ht="21" customHeight="1">
      <c r="A123" s="8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</row>
    <row r="124" spans="1:124" ht="21" customHeight="1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</row>
    <row r="125" spans="1:124" ht="21" customHeight="1">
      <c r="A125" s="8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</row>
    <row r="126" spans="1:124" ht="21" customHeight="1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</row>
    <row r="127" spans="1:124" ht="21" customHeight="1">
      <c r="A127" s="8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</row>
    <row r="128" spans="1:124" ht="21" customHeight="1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</row>
    <row r="129" spans="1:124" ht="21" customHeight="1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</row>
    <row r="130" spans="1:124" ht="21" customHeight="1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</row>
    <row r="131" spans="1:124" ht="21" customHeight="1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</row>
    <row r="132" spans="1:124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</row>
    <row r="133" spans="1:124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</row>
    <row r="134" spans="1:124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</row>
    <row r="135" spans="1:124" ht="21" customHeight="1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</row>
    <row r="136" spans="1:124" ht="21" customHeight="1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</row>
    <row r="137" spans="1:124" ht="21" customHeight="1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</row>
    <row r="138" spans="1:124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</row>
    <row r="139" spans="1:124" ht="21" customHeight="1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</row>
    <row r="140" spans="1:124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</row>
    <row r="141" spans="1:124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</row>
    <row r="142" spans="1:124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</row>
    <row r="143" spans="1:124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</row>
    <row r="144" spans="1:124" ht="24" customHeight="1">
      <c r="A144" s="23" t="s">
        <v>444</v>
      </c>
      <c r="B144" s="23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</row>
    <row r="145" spans="1:124" ht="21" customHeight="1">
      <c r="A145" s="8" t="s">
        <v>426</v>
      </c>
      <c r="B145" s="8" t="s">
        <v>39</v>
      </c>
      <c r="C145" s="8"/>
      <c r="D145" s="9">
        <f>IF(0&lt;=核心参数输入!$B$9*4,季度投融资!$E$17*季度计划!D121,0)</f>
        <v>0</v>
      </c>
      <c r="E145" s="9">
        <f>IF(1&lt;=核心参数输入!$B$9*4,季度投融资!$E$17*季度计划!E121,0)</f>
        <v>4365.8999999999996</v>
      </c>
      <c r="F145" s="9">
        <f>IF(2&lt;=核心参数输入!$B$9*4,季度投融资!$E$17*季度计划!F121,0)</f>
        <v>4365.8999999999996</v>
      </c>
      <c r="G145" s="9">
        <f>IF(3&lt;=核心参数输入!$B$9*4,季度投融资!$E$17*季度计划!G121,0)</f>
        <v>4365.8999999999996</v>
      </c>
      <c r="H145" s="9">
        <f>IF(4&lt;=核心参数输入!$B$9*4,季度投融资!$E$17*季度计划!H121,0)</f>
        <v>4365.8999999999996</v>
      </c>
      <c r="I145" s="9">
        <f>IF(5&lt;=核心参数输入!$B$9*4,季度投融资!$E$17*季度计划!I121,0)</f>
        <v>5821.2000000000007</v>
      </c>
      <c r="J145" s="9">
        <f>IF(6&lt;=核心参数输入!$B$9*4,季度投融资!$E$17*季度计划!J121,0)</f>
        <v>5821.2000000000007</v>
      </c>
      <c r="K145" s="9">
        <f>IF(7&lt;=核心参数输入!$B$9*4,季度投融资!$E$17*季度计划!K121,0)</f>
        <v>5821.2000000000007</v>
      </c>
      <c r="L145" s="9">
        <f>IF(8&lt;=核心参数输入!$B$9*4,季度投融资!$E$17*季度计划!L121,0)</f>
        <v>5821.2000000000007</v>
      </c>
      <c r="M145" s="9">
        <f>IF(9&lt;=核心参数输入!$B$9*4,季度投融资!$E$17*季度计划!M121,0)</f>
        <v>4365.8999999999996</v>
      </c>
      <c r="N145" s="9">
        <f>IF(10&lt;=核心参数输入!$B$9*4,季度投融资!$E$17*季度计划!N121,0)</f>
        <v>4365.8999999999996</v>
      </c>
      <c r="O145" s="9">
        <f>IF(11&lt;=核心参数输入!$B$9*4,季度投融资!$E$17*季度计划!O121,0)</f>
        <v>4365.8999999999996</v>
      </c>
      <c r="P145" s="9">
        <f>IF(12&lt;=核心参数输入!$B$9*4,季度投融资!$E$17*季度计划!P121,0)</f>
        <v>4365.8999999999996</v>
      </c>
      <c r="Q145" s="9">
        <f>IF(13&lt;=核心参数输入!$B$9*4,季度投融资!$E$17*季度计划!Q121,0)</f>
        <v>0</v>
      </c>
      <c r="R145" s="9">
        <f>IF(14&lt;=核心参数输入!$B$9*4,季度投融资!$E$17*季度计划!R121,0)</f>
        <v>0</v>
      </c>
      <c r="S145" s="9">
        <f>IF(15&lt;=核心参数输入!$B$9*4,季度投融资!$E$17*季度计划!S121,0)</f>
        <v>0</v>
      </c>
      <c r="T145" s="9">
        <f>IF(16&lt;=核心参数输入!$B$9*4,季度投融资!$E$17*季度计划!T121,0)</f>
        <v>0</v>
      </c>
      <c r="U145" s="9">
        <f>IF(17&lt;=核心参数输入!$B$9*4,季度投融资!$E$17*季度计划!U121,0)</f>
        <v>0</v>
      </c>
      <c r="V145" s="9">
        <f>IF(18&lt;=核心参数输入!$B$9*4,季度投融资!$E$17*季度计划!V121,0)</f>
        <v>0</v>
      </c>
      <c r="W145" s="9">
        <f>IF(19&lt;=核心参数输入!$B$9*4,季度投融资!$E$17*季度计划!W121,0)</f>
        <v>0</v>
      </c>
      <c r="X145" s="9">
        <f>IF(20&lt;=核心参数输入!$B$9*4,季度投融资!$E$17*季度计划!X121,0)</f>
        <v>0</v>
      </c>
      <c r="Y145" s="9">
        <f>IF(21&lt;=核心参数输入!$B$9*4,季度投融资!$E$17*季度计划!Y121,0)</f>
        <v>0</v>
      </c>
      <c r="Z145" s="9">
        <f>IF(22&lt;=核心参数输入!$B$9*4,季度投融资!$E$17*季度计划!Z121,0)</f>
        <v>0</v>
      </c>
      <c r="AA145" s="9">
        <f>IF(23&lt;=核心参数输入!$B$9*4,季度投融资!$E$17*季度计划!AA121,0)</f>
        <v>0</v>
      </c>
      <c r="AB145" s="9">
        <f>IF(24&lt;=核心参数输入!$B$9*4,季度投融资!$E$17*季度计划!AB121,0)</f>
        <v>0</v>
      </c>
      <c r="AC145" s="9">
        <f>IF(25&lt;=核心参数输入!$B$9*4,季度投融资!$E$17*季度计划!AC121,0)</f>
        <v>0</v>
      </c>
      <c r="AD145" s="9">
        <f>IF(26&lt;=核心参数输入!$B$9*4,季度投融资!$E$17*季度计划!AD121,0)</f>
        <v>0</v>
      </c>
      <c r="AE145" s="9">
        <f>IF(27&lt;=核心参数输入!$B$9*4,季度投融资!$E$17*季度计划!AE121,0)</f>
        <v>0</v>
      </c>
      <c r="AF145" s="9">
        <f>IF(28&lt;=核心参数输入!$B$9*4,季度投融资!$E$17*季度计划!AF121,0)</f>
        <v>0</v>
      </c>
      <c r="AG145" s="9">
        <f>IF(29&lt;=核心参数输入!$B$9*4,季度投融资!$E$17*季度计划!AG121,0)</f>
        <v>0</v>
      </c>
      <c r="AH145" s="9">
        <f>IF(30&lt;=核心参数输入!$B$9*4,季度投融资!$E$17*季度计划!AH121,0)</f>
        <v>0</v>
      </c>
      <c r="AI145" s="9">
        <f>IF(31&lt;=核心参数输入!$B$9*4,季度投融资!$E$17*季度计划!AI121,0)</f>
        <v>0</v>
      </c>
      <c r="AJ145" s="9">
        <f>IF(32&lt;=核心参数输入!$B$9*4,季度投融资!$E$17*季度计划!AJ121,0)</f>
        <v>0</v>
      </c>
      <c r="AK145" s="9">
        <f>IF(33&lt;=核心参数输入!$B$9*4,季度投融资!$E$17*季度计划!AK121,0)</f>
        <v>0</v>
      </c>
      <c r="AL145" s="9">
        <f>IF(34&lt;=核心参数输入!$B$9*4,季度投融资!$E$17*季度计划!AL121,0)</f>
        <v>0</v>
      </c>
      <c r="AM145" s="9">
        <f>IF(35&lt;=核心参数输入!$B$9*4,季度投融资!$E$17*季度计划!AM121,0)</f>
        <v>0</v>
      </c>
      <c r="AN145" s="9">
        <f>IF(36&lt;=核心参数输入!$B$9*4,季度投融资!$E$17*季度计划!AN121,0)</f>
        <v>0</v>
      </c>
      <c r="AO145" s="9">
        <f>IF(37&lt;=核心参数输入!$B$9*4,季度投融资!$E$17*季度计划!AO121,0)</f>
        <v>0</v>
      </c>
      <c r="AP145" s="9">
        <f>IF(38&lt;=核心参数输入!$B$9*4,季度投融资!$E$17*季度计划!AP121,0)</f>
        <v>0</v>
      </c>
      <c r="AQ145" s="9">
        <f>IF(39&lt;=核心参数输入!$B$9*4,季度投融资!$E$17*季度计划!AQ121,0)</f>
        <v>0</v>
      </c>
      <c r="AR145" s="9">
        <f>IF(40&lt;=核心参数输入!$B$9*4,季度投融资!$E$17*季度计划!AR121,0)</f>
        <v>0</v>
      </c>
      <c r="AS145" s="9">
        <f>IF(41&lt;=核心参数输入!$B$9*4,季度投融资!$E$17*季度计划!AS121,0)</f>
        <v>0</v>
      </c>
      <c r="AT145" s="9">
        <f>IF(42&lt;=核心参数输入!$B$9*4,季度投融资!$E$17*季度计划!AT121,0)</f>
        <v>0</v>
      </c>
      <c r="AU145" s="9">
        <f>IF(43&lt;=核心参数输入!$B$9*4,季度投融资!$E$17*季度计划!AU121,0)</f>
        <v>0</v>
      </c>
      <c r="AV145" s="9">
        <f>IF(44&lt;=核心参数输入!$B$9*4,季度投融资!$E$17*季度计划!AV121,0)</f>
        <v>0</v>
      </c>
      <c r="AW145" s="9">
        <f>IF(45&lt;=核心参数输入!$B$9*4,季度投融资!$E$17*季度计划!AW121,0)</f>
        <v>0</v>
      </c>
      <c r="AX145" s="9">
        <f>IF(46&lt;=核心参数输入!$B$9*4,季度投融资!$E$17*季度计划!AX121,0)</f>
        <v>0</v>
      </c>
      <c r="AY145" s="9">
        <f>IF(47&lt;=核心参数输入!$B$9*4,季度投融资!$E$17*季度计划!AY121,0)</f>
        <v>0</v>
      </c>
      <c r="AZ145" s="9">
        <f>IF(48&lt;=核心参数输入!$B$9*4,季度投融资!$E$17*季度计划!AZ121,0)</f>
        <v>0</v>
      </c>
      <c r="BA145" s="9">
        <f>IF(49&lt;=核心参数输入!$B$9*4,季度投融资!$E$17*季度计划!BA121,0)</f>
        <v>0</v>
      </c>
      <c r="BB145" s="9">
        <f>IF(50&lt;=核心参数输入!$B$9*4,季度投融资!$E$17*季度计划!BB121,0)</f>
        <v>0</v>
      </c>
      <c r="BC145" s="9">
        <f>IF(51&lt;=核心参数输入!$B$9*4,季度投融资!$E$17*季度计划!BC121,0)</f>
        <v>0</v>
      </c>
      <c r="BD145" s="9">
        <f>IF(52&lt;=核心参数输入!$B$9*4,季度投融资!$E$17*季度计划!BD121,0)</f>
        <v>0</v>
      </c>
      <c r="BE145" s="9">
        <f>IF(53&lt;=核心参数输入!$B$9*4,季度投融资!$E$17*季度计划!BE121,0)</f>
        <v>0</v>
      </c>
      <c r="BF145" s="9">
        <f>IF(54&lt;=核心参数输入!$B$9*4,季度投融资!$E$17*季度计划!BF121,0)</f>
        <v>0</v>
      </c>
      <c r="BG145" s="9">
        <f>IF(55&lt;=核心参数输入!$B$9*4,季度投融资!$E$17*季度计划!BG121,0)</f>
        <v>0</v>
      </c>
      <c r="BH145" s="9">
        <f>IF(56&lt;=核心参数输入!$B$9*4,季度投融资!$E$17*季度计划!BH121,0)</f>
        <v>0</v>
      </c>
      <c r="BI145" s="9">
        <f>IF(57&lt;=核心参数输入!$B$9*4,季度投融资!$E$17*季度计划!BI121,0)</f>
        <v>0</v>
      </c>
      <c r="BJ145" s="9">
        <f>IF(58&lt;=核心参数输入!$B$9*4,季度投融资!$E$17*季度计划!BJ121,0)</f>
        <v>0</v>
      </c>
      <c r="BK145" s="9">
        <f>IF(59&lt;=核心参数输入!$B$9*4,季度投融资!$E$17*季度计划!BK121,0)</f>
        <v>0</v>
      </c>
      <c r="BL145" s="9">
        <f>IF(60&lt;=核心参数输入!$B$9*4,季度投融资!$E$17*季度计划!BL121,0)</f>
        <v>0</v>
      </c>
      <c r="BM145" s="9">
        <f>IF(61&lt;=核心参数输入!$B$9*4,季度投融资!$E$17*季度计划!BM121,0)</f>
        <v>0</v>
      </c>
      <c r="BN145" s="9">
        <f>IF(62&lt;=核心参数输入!$B$9*4,季度投融资!$E$17*季度计划!BN121,0)</f>
        <v>0</v>
      </c>
      <c r="BO145" s="9">
        <f>IF(63&lt;=核心参数输入!$B$9*4,季度投融资!$E$17*季度计划!BO121,0)</f>
        <v>0</v>
      </c>
      <c r="BP145" s="9">
        <f>IF(64&lt;=核心参数输入!$B$9*4,季度投融资!$E$17*季度计划!BP121,0)</f>
        <v>0</v>
      </c>
      <c r="BQ145" s="9">
        <f>IF(65&lt;=核心参数输入!$B$9*4,季度投融资!$E$17*季度计划!BQ121,0)</f>
        <v>0</v>
      </c>
      <c r="BR145" s="9">
        <f>IF(66&lt;=核心参数输入!$B$9*4,季度投融资!$E$17*季度计划!BR121,0)</f>
        <v>0</v>
      </c>
      <c r="BS145" s="9">
        <f>IF(67&lt;=核心参数输入!$B$9*4,季度投融资!$E$17*季度计划!BS121,0)</f>
        <v>0</v>
      </c>
      <c r="BT145" s="9">
        <f>IF(68&lt;=核心参数输入!$B$9*4,季度投融资!$E$17*季度计划!BT121,0)</f>
        <v>0</v>
      </c>
      <c r="BU145" s="9">
        <f>IF(69&lt;=核心参数输入!$B$9*4,季度投融资!$E$17*季度计划!BU121,0)</f>
        <v>0</v>
      </c>
      <c r="BV145" s="9">
        <f>IF(70&lt;=核心参数输入!$B$9*4,季度投融资!$E$17*季度计划!BV121,0)</f>
        <v>0</v>
      </c>
      <c r="BW145" s="9">
        <f>IF(71&lt;=核心参数输入!$B$9*4,季度投融资!$E$17*季度计划!BW121,0)</f>
        <v>0</v>
      </c>
      <c r="BX145" s="9">
        <f>IF(72&lt;=核心参数输入!$B$9*4,季度投融资!$E$17*季度计划!BX121,0)</f>
        <v>0</v>
      </c>
      <c r="BY145" s="9">
        <f>IF(73&lt;=核心参数输入!$B$9*4,季度投融资!$E$17*季度计划!BY121,0)</f>
        <v>0</v>
      </c>
      <c r="BZ145" s="9">
        <f>IF(74&lt;=核心参数输入!$B$9*4,季度投融资!$E$17*季度计划!BZ121,0)</f>
        <v>0</v>
      </c>
      <c r="CA145" s="9">
        <f>IF(75&lt;=核心参数输入!$B$9*4,季度投融资!$E$17*季度计划!CA121,0)</f>
        <v>0</v>
      </c>
      <c r="CB145" s="9">
        <f>IF(76&lt;=核心参数输入!$B$9*4,季度投融资!$E$17*季度计划!CB121,0)</f>
        <v>0</v>
      </c>
      <c r="CC145" s="9">
        <f>IF(77&lt;=核心参数输入!$B$9*4,季度投融资!$E$17*季度计划!CC121,0)</f>
        <v>0</v>
      </c>
      <c r="CD145" s="9">
        <f>IF(78&lt;=核心参数输入!$B$9*4,季度投融资!$E$17*季度计划!CD121,0)</f>
        <v>0</v>
      </c>
      <c r="CE145" s="9">
        <f>IF(79&lt;=核心参数输入!$B$9*4,季度投融资!$E$17*季度计划!CE121,0)</f>
        <v>0</v>
      </c>
      <c r="CF145" s="9">
        <f>IF(80&lt;=核心参数输入!$B$9*4,季度投融资!$E$17*季度计划!CF121,0)</f>
        <v>0</v>
      </c>
      <c r="CG145" s="9">
        <f>IF(81&lt;=核心参数输入!$B$9*4,季度投融资!$E$17*季度计划!CG121,0)</f>
        <v>0</v>
      </c>
      <c r="CH145" s="9">
        <f>IF(82&lt;=核心参数输入!$B$9*4,季度投融资!$E$17*季度计划!CH121,0)</f>
        <v>0</v>
      </c>
      <c r="CI145" s="9">
        <f>IF(83&lt;=核心参数输入!$B$9*4,季度投融资!$E$17*季度计划!CI121,0)</f>
        <v>0</v>
      </c>
      <c r="CJ145" s="9">
        <f>IF(84&lt;=核心参数输入!$B$9*4,季度投融资!$E$17*季度计划!CJ121,0)</f>
        <v>0</v>
      </c>
      <c r="CK145" s="9">
        <f>IF(85&lt;=核心参数输入!$B$9*4,季度投融资!$E$17*季度计划!CK121,0)</f>
        <v>0</v>
      </c>
      <c r="CL145" s="9">
        <f>IF(86&lt;=核心参数输入!$B$9*4,季度投融资!$E$17*季度计划!CL121,0)</f>
        <v>0</v>
      </c>
      <c r="CM145" s="9">
        <f>IF(87&lt;=核心参数输入!$B$9*4,季度投融资!$E$17*季度计划!CM121,0)</f>
        <v>0</v>
      </c>
      <c r="CN145" s="9">
        <f>IF(88&lt;=核心参数输入!$B$9*4,季度投融资!$E$17*季度计划!CN121,0)</f>
        <v>0</v>
      </c>
      <c r="CO145" s="9">
        <f>IF(89&lt;=核心参数输入!$B$9*4,季度投融资!$E$17*季度计划!CO121,0)</f>
        <v>0</v>
      </c>
      <c r="CP145" s="9">
        <f>IF(90&lt;=核心参数输入!$B$9*4,季度投融资!$E$17*季度计划!CP121,0)</f>
        <v>0</v>
      </c>
      <c r="CQ145" s="9">
        <f>IF(91&lt;=核心参数输入!$B$9*4,季度投融资!$E$17*季度计划!CQ121,0)</f>
        <v>0</v>
      </c>
      <c r="CR145" s="9">
        <f>IF(92&lt;=核心参数输入!$B$9*4,季度投融资!$E$17*季度计划!CR121,0)</f>
        <v>0</v>
      </c>
      <c r="CS145" s="9">
        <f>IF(93&lt;=核心参数输入!$B$9*4,季度投融资!$E$17*季度计划!CS121,0)</f>
        <v>0</v>
      </c>
      <c r="CT145" s="9">
        <f>IF(94&lt;=核心参数输入!$B$9*4,季度投融资!$E$17*季度计划!CT121,0)</f>
        <v>0</v>
      </c>
      <c r="CU145" s="9">
        <f>IF(95&lt;=核心参数输入!$B$9*4,季度投融资!$E$17*季度计划!CU121,0)</f>
        <v>0</v>
      </c>
      <c r="CV145" s="9">
        <f>IF(96&lt;=核心参数输入!$B$9*4,季度投融资!$E$17*季度计划!CV121,0)</f>
        <v>0</v>
      </c>
      <c r="CW145" s="9">
        <f>IF(97&lt;=核心参数输入!$B$9*4,季度投融资!$E$17*季度计划!CW121,0)</f>
        <v>0</v>
      </c>
      <c r="CX145" s="9">
        <f>IF(98&lt;=核心参数输入!$B$9*4,季度投融资!$E$17*季度计划!CX121,0)</f>
        <v>0</v>
      </c>
      <c r="CY145" s="9">
        <f>IF(99&lt;=核心参数输入!$B$9*4,季度投融资!$E$17*季度计划!CY121,0)</f>
        <v>0</v>
      </c>
      <c r="CZ145" s="9">
        <f>IF(100&lt;=核心参数输入!$B$9*4,季度投融资!$E$17*季度计划!CZ121,0)</f>
        <v>0</v>
      </c>
      <c r="DA145" s="9">
        <f>IF(101&lt;=核心参数输入!$B$9*4,季度投融资!$E$17*季度计划!DA121,0)</f>
        <v>0</v>
      </c>
      <c r="DB145" s="9">
        <f>IF(102&lt;=核心参数输入!$B$9*4,季度投融资!$E$17*季度计划!DB121,0)</f>
        <v>0</v>
      </c>
      <c r="DC145" s="9">
        <f>IF(103&lt;=核心参数输入!$B$9*4,季度投融资!$E$17*季度计划!DC121,0)</f>
        <v>0</v>
      </c>
      <c r="DD145" s="9">
        <f>IF(104&lt;=核心参数输入!$B$9*4,季度投融资!$E$17*季度计划!DD121,0)</f>
        <v>0</v>
      </c>
      <c r="DE145" s="9">
        <f>IF(105&lt;=核心参数输入!$B$9*4,季度投融资!$E$17*季度计划!DE121,0)</f>
        <v>0</v>
      </c>
      <c r="DF145" s="9">
        <f>IF(106&lt;=核心参数输入!$B$9*4,季度投融资!$E$17*季度计划!DF121,0)</f>
        <v>0</v>
      </c>
      <c r="DG145" s="9">
        <f>IF(107&lt;=核心参数输入!$B$9*4,季度投融资!$E$17*季度计划!DG121,0)</f>
        <v>0</v>
      </c>
      <c r="DH145" s="9">
        <f>IF(108&lt;=核心参数输入!$B$9*4,季度投融资!$E$17*季度计划!DH121,0)</f>
        <v>0</v>
      </c>
      <c r="DI145" s="9">
        <f>IF(109&lt;=核心参数输入!$B$9*4,季度投融资!$E$17*季度计划!DI121,0)</f>
        <v>0</v>
      </c>
      <c r="DJ145" s="9">
        <f>IF(110&lt;=核心参数输入!$B$9*4,季度投融资!$E$17*季度计划!DJ121,0)</f>
        <v>0</v>
      </c>
      <c r="DK145" s="9">
        <f>IF(111&lt;=核心参数输入!$B$9*4,季度投融资!$E$17*季度计划!DK121,0)</f>
        <v>0</v>
      </c>
      <c r="DL145" s="9">
        <f>IF(112&lt;=核心参数输入!$B$9*4,季度投融资!$E$17*季度计划!DL121,0)</f>
        <v>0</v>
      </c>
      <c r="DM145" s="9">
        <f>IF(113&lt;=核心参数输入!$B$9*4,季度投融资!$E$17*季度计划!DM121,0)</f>
        <v>0</v>
      </c>
      <c r="DN145" s="9">
        <f>IF(114&lt;=核心参数输入!$B$9*4,季度投融资!$E$17*季度计划!DN121,0)</f>
        <v>0</v>
      </c>
      <c r="DO145" s="9">
        <f>IF(115&lt;=核心参数输入!$B$9*4,季度投融资!$E$17*季度计划!DO121,0)</f>
        <v>0</v>
      </c>
      <c r="DP145" s="9">
        <f>IF(116&lt;=核心参数输入!$B$9*4,季度投融资!$E$17*季度计划!DP121,0)</f>
        <v>0</v>
      </c>
      <c r="DQ145" s="9">
        <f>IF(117&lt;=核心参数输入!$B$9*4,季度投融资!$E$17*季度计划!DQ121,0)</f>
        <v>0</v>
      </c>
      <c r="DR145" s="9">
        <f>IF(118&lt;=核心参数输入!$B$9*4,季度投融资!$E$17*季度计划!DR121,0)</f>
        <v>0</v>
      </c>
      <c r="DS145" s="9">
        <f>IF(119&lt;=核心参数输入!$B$9*4,季度投融资!$E$17*季度计划!DS121,0)</f>
        <v>0</v>
      </c>
      <c r="DT145" s="9">
        <f>IF(120&lt;=核心参数输入!$B$9*4,季度投融资!$E$17*季度计划!DT121,0)</f>
        <v>0</v>
      </c>
    </row>
    <row r="146" spans="1:124" ht="21" customHeight="1">
      <c r="A146" s="8" t="s">
        <v>427</v>
      </c>
      <c r="B146" s="8" t="s">
        <v>39</v>
      </c>
      <c r="C146" s="8"/>
      <c r="D146" s="9">
        <f>IF(0&lt;=核心参数输入!$B$9*4,季度投融资!$E$7,0)</f>
        <v>8000</v>
      </c>
      <c r="E146" s="9">
        <f>IF(1&lt;=核心参数输入!$B$9*4,0,0)</f>
        <v>0</v>
      </c>
      <c r="F146" s="9">
        <f>IF(2&lt;=核心参数输入!$B$9*4,0,0)</f>
        <v>0</v>
      </c>
      <c r="G146" s="9">
        <f>IF(3&lt;=核心参数输入!$B$9*4,0,0)</f>
        <v>0</v>
      </c>
      <c r="H146" s="9">
        <f>IF(4&lt;=核心参数输入!$B$9*4,0,0)</f>
        <v>0</v>
      </c>
      <c r="I146" s="9">
        <f>IF(5&lt;=核心参数输入!$B$9*4,0,0)</f>
        <v>0</v>
      </c>
      <c r="J146" s="9">
        <f>IF(6&lt;=核心参数输入!$B$9*4,0,0)</f>
        <v>0</v>
      </c>
      <c r="K146" s="9">
        <f>IF(7&lt;=核心参数输入!$B$9*4,0,0)</f>
        <v>0</v>
      </c>
      <c r="L146" s="9">
        <f>IF(8&lt;=核心参数输入!$B$9*4,0,0)</f>
        <v>0</v>
      </c>
      <c r="M146" s="9">
        <f>IF(9&lt;=核心参数输入!$B$9*4,0,0)</f>
        <v>0</v>
      </c>
      <c r="N146" s="9">
        <f>IF(10&lt;=核心参数输入!$B$9*4,0,0)</f>
        <v>0</v>
      </c>
      <c r="O146" s="9">
        <f>IF(11&lt;=核心参数输入!$B$9*4,0,0)</f>
        <v>0</v>
      </c>
      <c r="P146" s="9">
        <f>IF(12&lt;=核心参数输入!$B$9*4,0,0)</f>
        <v>0</v>
      </c>
      <c r="Q146" s="9">
        <f>IF(13&lt;=核心参数输入!$B$9*4,0,0)</f>
        <v>0</v>
      </c>
      <c r="R146" s="9">
        <f>IF(14&lt;=核心参数输入!$B$9*4,0,0)</f>
        <v>0</v>
      </c>
      <c r="S146" s="9">
        <f>IF(15&lt;=核心参数输入!$B$9*4,0,0)</f>
        <v>0</v>
      </c>
      <c r="T146" s="9">
        <f>IF(16&lt;=核心参数输入!$B$9*4,0,0)</f>
        <v>0</v>
      </c>
      <c r="U146" s="9">
        <f>IF(17&lt;=核心参数输入!$B$9*4,0,0)</f>
        <v>0</v>
      </c>
      <c r="V146" s="9">
        <f>IF(18&lt;=核心参数输入!$B$9*4,0,0)</f>
        <v>0</v>
      </c>
      <c r="W146" s="9">
        <f>IF(19&lt;=核心参数输入!$B$9*4,0,0)</f>
        <v>0</v>
      </c>
      <c r="X146" s="9">
        <f>IF(20&lt;=核心参数输入!$B$9*4,0,0)</f>
        <v>0</v>
      </c>
      <c r="Y146" s="9">
        <f>IF(21&lt;=核心参数输入!$B$9*4,0,0)</f>
        <v>0</v>
      </c>
      <c r="Z146" s="9">
        <f>IF(22&lt;=核心参数输入!$B$9*4,0,0)</f>
        <v>0</v>
      </c>
      <c r="AA146" s="9">
        <f>IF(23&lt;=核心参数输入!$B$9*4,0,0)</f>
        <v>0</v>
      </c>
      <c r="AB146" s="9">
        <f>IF(24&lt;=核心参数输入!$B$9*4,0,0)</f>
        <v>0</v>
      </c>
      <c r="AC146" s="9">
        <f>IF(25&lt;=核心参数输入!$B$9*4,0,0)</f>
        <v>0</v>
      </c>
      <c r="AD146" s="9">
        <f>IF(26&lt;=核心参数输入!$B$9*4,0,0)</f>
        <v>0</v>
      </c>
      <c r="AE146" s="9">
        <f>IF(27&lt;=核心参数输入!$B$9*4,0,0)</f>
        <v>0</v>
      </c>
      <c r="AF146" s="9">
        <f>IF(28&lt;=核心参数输入!$B$9*4,0,0)</f>
        <v>0</v>
      </c>
      <c r="AG146" s="9">
        <f>IF(29&lt;=核心参数输入!$B$9*4,0,0)</f>
        <v>0</v>
      </c>
      <c r="AH146" s="9">
        <f>IF(30&lt;=核心参数输入!$B$9*4,0,0)</f>
        <v>0</v>
      </c>
      <c r="AI146" s="9">
        <f>IF(31&lt;=核心参数输入!$B$9*4,0,0)</f>
        <v>0</v>
      </c>
      <c r="AJ146" s="9">
        <f>IF(32&lt;=核心参数输入!$B$9*4,0,0)</f>
        <v>0</v>
      </c>
      <c r="AK146" s="9">
        <f>IF(33&lt;=核心参数输入!$B$9*4,0,0)</f>
        <v>0</v>
      </c>
      <c r="AL146" s="9">
        <f>IF(34&lt;=核心参数输入!$B$9*4,0,0)</f>
        <v>0</v>
      </c>
      <c r="AM146" s="9">
        <f>IF(35&lt;=核心参数输入!$B$9*4,0,0)</f>
        <v>0</v>
      </c>
      <c r="AN146" s="9">
        <f>IF(36&lt;=核心参数输入!$B$9*4,0,0)</f>
        <v>0</v>
      </c>
      <c r="AO146" s="9">
        <f>IF(37&lt;=核心参数输入!$B$9*4,0,0)</f>
        <v>0</v>
      </c>
      <c r="AP146" s="9">
        <f>IF(38&lt;=核心参数输入!$B$9*4,0,0)</f>
        <v>0</v>
      </c>
      <c r="AQ146" s="9">
        <f>IF(39&lt;=核心参数输入!$B$9*4,0,0)</f>
        <v>0</v>
      </c>
      <c r="AR146" s="9">
        <f>IF(40&lt;=核心参数输入!$B$9*4,0,0)</f>
        <v>0</v>
      </c>
      <c r="AS146" s="9">
        <f>IF(41&lt;=核心参数输入!$B$9*4,0,0)</f>
        <v>0</v>
      </c>
      <c r="AT146" s="9">
        <f>IF(42&lt;=核心参数输入!$B$9*4,0,0)</f>
        <v>0</v>
      </c>
      <c r="AU146" s="9">
        <f>IF(43&lt;=核心参数输入!$B$9*4,0,0)</f>
        <v>0</v>
      </c>
      <c r="AV146" s="9">
        <f>IF(44&lt;=核心参数输入!$B$9*4,0,0)</f>
        <v>0</v>
      </c>
      <c r="AW146" s="9">
        <f>IF(45&lt;=核心参数输入!$B$9*4,0,0)</f>
        <v>0</v>
      </c>
      <c r="AX146" s="9">
        <f>IF(46&lt;=核心参数输入!$B$9*4,0,0)</f>
        <v>0</v>
      </c>
      <c r="AY146" s="9">
        <f>IF(47&lt;=核心参数输入!$B$9*4,0,0)</f>
        <v>0</v>
      </c>
      <c r="AZ146" s="9">
        <f>IF(48&lt;=核心参数输入!$B$9*4,0,0)</f>
        <v>0</v>
      </c>
      <c r="BA146" s="9">
        <f>IF(49&lt;=核心参数输入!$B$9*4,0,0)</f>
        <v>0</v>
      </c>
      <c r="BB146" s="9">
        <f>IF(50&lt;=核心参数输入!$B$9*4,0,0)</f>
        <v>0</v>
      </c>
      <c r="BC146" s="9">
        <f>IF(51&lt;=核心参数输入!$B$9*4,0,0)</f>
        <v>0</v>
      </c>
      <c r="BD146" s="9">
        <f>IF(52&lt;=核心参数输入!$B$9*4,0,0)</f>
        <v>0</v>
      </c>
      <c r="BE146" s="9">
        <f>IF(53&lt;=核心参数输入!$B$9*4,0,0)</f>
        <v>0</v>
      </c>
      <c r="BF146" s="9">
        <f>IF(54&lt;=核心参数输入!$B$9*4,0,0)</f>
        <v>0</v>
      </c>
      <c r="BG146" s="9">
        <f>IF(55&lt;=核心参数输入!$B$9*4,0,0)</f>
        <v>0</v>
      </c>
      <c r="BH146" s="9">
        <f>IF(56&lt;=核心参数输入!$B$9*4,0,0)</f>
        <v>0</v>
      </c>
      <c r="BI146" s="9">
        <f>IF(57&lt;=核心参数输入!$B$9*4,0,0)</f>
        <v>0</v>
      </c>
      <c r="BJ146" s="9">
        <f>IF(58&lt;=核心参数输入!$B$9*4,0,0)</f>
        <v>0</v>
      </c>
      <c r="BK146" s="9">
        <f>IF(59&lt;=核心参数输入!$B$9*4,0,0)</f>
        <v>0</v>
      </c>
      <c r="BL146" s="9">
        <f>IF(60&lt;=核心参数输入!$B$9*4,0,0)</f>
        <v>0</v>
      </c>
      <c r="BM146" s="9">
        <f>IF(61&lt;=核心参数输入!$B$9*4,0,0)</f>
        <v>0</v>
      </c>
      <c r="BN146" s="9">
        <f>IF(62&lt;=核心参数输入!$B$9*4,0,0)</f>
        <v>0</v>
      </c>
      <c r="BO146" s="9">
        <f>IF(63&lt;=核心参数输入!$B$9*4,0,0)</f>
        <v>0</v>
      </c>
      <c r="BP146" s="9">
        <f>IF(64&lt;=核心参数输入!$B$9*4,0,0)</f>
        <v>0</v>
      </c>
      <c r="BQ146" s="9">
        <f>IF(65&lt;=核心参数输入!$B$9*4,0,0)</f>
        <v>0</v>
      </c>
      <c r="BR146" s="9">
        <f>IF(66&lt;=核心参数输入!$B$9*4,0,0)</f>
        <v>0</v>
      </c>
      <c r="BS146" s="9">
        <f>IF(67&lt;=核心参数输入!$B$9*4,0,0)</f>
        <v>0</v>
      </c>
      <c r="BT146" s="9">
        <f>IF(68&lt;=核心参数输入!$B$9*4,0,0)</f>
        <v>0</v>
      </c>
      <c r="BU146" s="9">
        <f>IF(69&lt;=核心参数输入!$B$9*4,0,0)</f>
        <v>0</v>
      </c>
      <c r="BV146" s="9">
        <f>IF(70&lt;=核心参数输入!$B$9*4,0,0)</f>
        <v>0</v>
      </c>
      <c r="BW146" s="9">
        <f>IF(71&lt;=核心参数输入!$B$9*4,0,0)</f>
        <v>0</v>
      </c>
      <c r="BX146" s="9">
        <f>IF(72&lt;=核心参数输入!$B$9*4,0,0)</f>
        <v>0</v>
      </c>
      <c r="BY146" s="9">
        <f>IF(73&lt;=核心参数输入!$B$9*4,0,0)</f>
        <v>0</v>
      </c>
      <c r="BZ146" s="9">
        <f>IF(74&lt;=核心参数输入!$B$9*4,0,0)</f>
        <v>0</v>
      </c>
      <c r="CA146" s="9">
        <f>IF(75&lt;=核心参数输入!$B$9*4,0,0)</f>
        <v>0</v>
      </c>
      <c r="CB146" s="9">
        <f>IF(76&lt;=核心参数输入!$B$9*4,0,0)</f>
        <v>0</v>
      </c>
      <c r="CC146" s="9">
        <f>IF(77&lt;=核心参数输入!$B$9*4,0,0)</f>
        <v>0</v>
      </c>
      <c r="CD146" s="9">
        <f>IF(78&lt;=核心参数输入!$B$9*4,0,0)</f>
        <v>0</v>
      </c>
      <c r="CE146" s="9">
        <f>IF(79&lt;=核心参数输入!$B$9*4,0,0)</f>
        <v>0</v>
      </c>
      <c r="CF146" s="9">
        <f>IF(80&lt;=核心参数输入!$B$9*4,0,0)</f>
        <v>0</v>
      </c>
      <c r="CG146" s="9">
        <f>IF(81&lt;=核心参数输入!$B$9*4,0,0)</f>
        <v>0</v>
      </c>
      <c r="CH146" s="9">
        <f>IF(82&lt;=核心参数输入!$B$9*4,0,0)</f>
        <v>0</v>
      </c>
      <c r="CI146" s="9">
        <f>IF(83&lt;=核心参数输入!$B$9*4,0,0)</f>
        <v>0</v>
      </c>
      <c r="CJ146" s="9">
        <f>IF(84&lt;=核心参数输入!$B$9*4,0,0)</f>
        <v>0</v>
      </c>
      <c r="CK146" s="9">
        <f>IF(85&lt;=核心参数输入!$B$9*4,0,0)</f>
        <v>0</v>
      </c>
      <c r="CL146" s="9">
        <f>IF(86&lt;=核心参数输入!$B$9*4,0,0)</f>
        <v>0</v>
      </c>
      <c r="CM146" s="9">
        <f>IF(87&lt;=核心参数输入!$B$9*4,0,0)</f>
        <v>0</v>
      </c>
      <c r="CN146" s="9">
        <f>IF(88&lt;=核心参数输入!$B$9*4,0,0)</f>
        <v>0</v>
      </c>
      <c r="CO146" s="9">
        <f>IF(89&lt;=核心参数输入!$B$9*4,0,0)</f>
        <v>0</v>
      </c>
      <c r="CP146" s="9">
        <f>IF(90&lt;=核心参数输入!$B$9*4,0,0)</f>
        <v>0</v>
      </c>
      <c r="CQ146" s="9">
        <f>IF(91&lt;=核心参数输入!$B$9*4,0,0)</f>
        <v>0</v>
      </c>
      <c r="CR146" s="9">
        <f>IF(92&lt;=核心参数输入!$B$9*4,0,0)</f>
        <v>0</v>
      </c>
      <c r="CS146" s="9">
        <f>IF(93&lt;=核心参数输入!$B$9*4,0,0)</f>
        <v>0</v>
      </c>
      <c r="CT146" s="9">
        <f>IF(94&lt;=核心参数输入!$B$9*4,0,0)</f>
        <v>0</v>
      </c>
      <c r="CU146" s="9">
        <f>IF(95&lt;=核心参数输入!$B$9*4,0,0)</f>
        <v>0</v>
      </c>
      <c r="CV146" s="9">
        <f>IF(96&lt;=核心参数输入!$B$9*4,0,0)</f>
        <v>0</v>
      </c>
      <c r="CW146" s="9">
        <f>IF(97&lt;=核心参数输入!$B$9*4,0,0)</f>
        <v>0</v>
      </c>
      <c r="CX146" s="9">
        <f>IF(98&lt;=核心参数输入!$B$9*4,0,0)</f>
        <v>0</v>
      </c>
      <c r="CY146" s="9">
        <f>IF(99&lt;=核心参数输入!$B$9*4,0,0)</f>
        <v>0</v>
      </c>
      <c r="CZ146" s="9">
        <f>IF(100&lt;=核心参数输入!$B$9*4,0,0)</f>
        <v>0</v>
      </c>
      <c r="DA146" s="9">
        <f>IF(101&lt;=核心参数输入!$B$9*4,0,0)</f>
        <v>0</v>
      </c>
      <c r="DB146" s="9">
        <f>IF(102&lt;=核心参数输入!$B$9*4,0,0)</f>
        <v>0</v>
      </c>
      <c r="DC146" s="9">
        <f>IF(103&lt;=核心参数输入!$B$9*4,0,0)</f>
        <v>0</v>
      </c>
      <c r="DD146" s="9">
        <f>IF(104&lt;=核心参数输入!$B$9*4,0,0)</f>
        <v>0</v>
      </c>
      <c r="DE146" s="9">
        <f>IF(105&lt;=核心参数输入!$B$9*4,0,0)</f>
        <v>0</v>
      </c>
      <c r="DF146" s="9">
        <f>IF(106&lt;=核心参数输入!$B$9*4,0,0)</f>
        <v>0</v>
      </c>
      <c r="DG146" s="9">
        <f>IF(107&lt;=核心参数输入!$B$9*4,0,0)</f>
        <v>0</v>
      </c>
      <c r="DH146" s="9">
        <f>IF(108&lt;=核心参数输入!$B$9*4,0,0)</f>
        <v>0</v>
      </c>
      <c r="DI146" s="9">
        <f>IF(109&lt;=核心参数输入!$B$9*4,0,0)</f>
        <v>0</v>
      </c>
      <c r="DJ146" s="9">
        <f>IF(110&lt;=核心参数输入!$B$9*4,0,0)</f>
        <v>0</v>
      </c>
      <c r="DK146" s="9">
        <f>IF(111&lt;=核心参数输入!$B$9*4,0,0)</f>
        <v>0</v>
      </c>
      <c r="DL146" s="9">
        <f>IF(112&lt;=核心参数输入!$B$9*4,0,0)</f>
        <v>0</v>
      </c>
      <c r="DM146" s="9">
        <f>IF(113&lt;=核心参数输入!$B$9*4,0,0)</f>
        <v>0</v>
      </c>
      <c r="DN146" s="9">
        <f>IF(114&lt;=核心参数输入!$B$9*4,0,0)</f>
        <v>0</v>
      </c>
      <c r="DO146" s="9">
        <f>IF(115&lt;=核心参数输入!$B$9*4,0,0)</f>
        <v>0</v>
      </c>
      <c r="DP146" s="9">
        <f>IF(116&lt;=核心参数输入!$B$9*4,0,0)</f>
        <v>0</v>
      </c>
      <c r="DQ146" s="9">
        <f>IF(117&lt;=核心参数输入!$B$9*4,0,0)</f>
        <v>0</v>
      </c>
      <c r="DR146" s="9">
        <f>IF(118&lt;=核心参数输入!$B$9*4,0,0)</f>
        <v>0</v>
      </c>
      <c r="DS146" s="9">
        <f>IF(119&lt;=核心参数输入!$B$9*4,0,0)</f>
        <v>0</v>
      </c>
      <c r="DT146" s="9">
        <f>IF(120&lt;=核心参数输入!$B$9*4,0,0)</f>
        <v>0</v>
      </c>
    </row>
    <row r="147" spans="1:124" ht="21" customHeight="1">
      <c r="A147" s="8" t="s">
        <v>428</v>
      </c>
      <c r="B147" s="8" t="s">
        <v>39</v>
      </c>
      <c r="C147" s="8"/>
      <c r="D147" s="9">
        <f>IF(0&lt;=核心参数输入!$B$9*4,季度投融资!$E$17*季度计划!D122,0)</f>
        <v>0</v>
      </c>
      <c r="E147" s="9">
        <f>IF(1&lt;=核心参数输入!$B$9*4,季度投融资!$E$17*季度计划!E122,0)</f>
        <v>4365.8999999999996</v>
      </c>
      <c r="F147" s="9">
        <f>IF(2&lt;=核心参数输入!$B$9*4,季度投融资!$E$17*季度计划!F122,0)</f>
        <v>4365.8999999999996</v>
      </c>
      <c r="G147" s="9">
        <f>IF(3&lt;=核心参数输入!$B$9*4,季度投融资!$E$17*季度计划!G122,0)</f>
        <v>4365.8999999999996</v>
      </c>
      <c r="H147" s="9">
        <f>IF(4&lt;=核心参数输入!$B$9*4,季度投融资!$E$17*季度计划!H122,0)</f>
        <v>4365.8999999999996</v>
      </c>
      <c r="I147" s="9">
        <f>IF(5&lt;=核心参数输入!$B$9*4,季度投融资!$E$17*季度计划!I122,0)</f>
        <v>5821.2000000000007</v>
      </c>
      <c r="J147" s="9">
        <f>IF(6&lt;=核心参数输入!$B$9*4,季度投融资!$E$17*季度计划!J122,0)</f>
        <v>5821.2000000000007</v>
      </c>
      <c r="K147" s="9">
        <f>IF(7&lt;=核心参数输入!$B$9*4,季度投融资!$E$17*季度计划!K122,0)</f>
        <v>5821.2000000000007</v>
      </c>
      <c r="L147" s="9">
        <f>IF(8&lt;=核心参数输入!$B$9*4,季度投融资!$E$17*季度计划!L122,0)</f>
        <v>5821.2000000000007</v>
      </c>
      <c r="M147" s="9">
        <f>IF(9&lt;=核心参数输入!$B$9*4,季度投融资!$E$17*季度计划!M122,0)</f>
        <v>4365.8999999999996</v>
      </c>
      <c r="N147" s="9">
        <f>IF(10&lt;=核心参数输入!$B$9*4,季度投融资!$E$17*季度计划!N122,0)</f>
        <v>4365.8999999999996</v>
      </c>
      <c r="O147" s="9">
        <f>IF(11&lt;=核心参数输入!$B$9*4,季度投融资!$E$17*季度计划!O122,0)</f>
        <v>4365.8999999999996</v>
      </c>
      <c r="P147" s="9">
        <f>IF(12&lt;=核心参数输入!$B$9*4,季度投融资!$E$17*季度计划!P122,0)</f>
        <v>4365.8999999999996</v>
      </c>
      <c r="Q147" s="9">
        <f>IF(13&lt;=核心参数输入!$B$9*4,季度投融资!$E$17*季度计划!Q122,0)</f>
        <v>0</v>
      </c>
      <c r="R147" s="9">
        <f>IF(14&lt;=核心参数输入!$B$9*4,季度投融资!$E$17*季度计划!R122,0)</f>
        <v>0</v>
      </c>
      <c r="S147" s="9">
        <f>IF(15&lt;=核心参数输入!$B$9*4,季度投融资!$E$17*季度计划!S122,0)</f>
        <v>0</v>
      </c>
      <c r="T147" s="9">
        <f>IF(16&lt;=核心参数输入!$B$9*4,季度投融资!$E$17*季度计划!T122,0)</f>
        <v>0</v>
      </c>
      <c r="U147" s="9">
        <f>IF(17&lt;=核心参数输入!$B$9*4,季度投融资!$E$17*季度计划!U122,0)</f>
        <v>0</v>
      </c>
      <c r="V147" s="9">
        <f>IF(18&lt;=核心参数输入!$B$9*4,季度投融资!$E$17*季度计划!V122,0)</f>
        <v>0</v>
      </c>
      <c r="W147" s="9">
        <f>IF(19&lt;=核心参数输入!$B$9*4,季度投融资!$E$17*季度计划!W122,0)</f>
        <v>0</v>
      </c>
      <c r="X147" s="9">
        <f>IF(20&lt;=核心参数输入!$B$9*4,季度投融资!$E$17*季度计划!X122,0)</f>
        <v>0</v>
      </c>
      <c r="Y147" s="9">
        <f>IF(21&lt;=核心参数输入!$B$9*4,季度投融资!$E$17*季度计划!Y122,0)</f>
        <v>0</v>
      </c>
      <c r="Z147" s="9">
        <f>IF(22&lt;=核心参数输入!$B$9*4,季度投融资!$E$17*季度计划!Z122,0)</f>
        <v>0</v>
      </c>
      <c r="AA147" s="9">
        <f>IF(23&lt;=核心参数输入!$B$9*4,季度投融资!$E$17*季度计划!AA122,0)</f>
        <v>0</v>
      </c>
      <c r="AB147" s="9">
        <f>IF(24&lt;=核心参数输入!$B$9*4,季度投融资!$E$17*季度计划!AB122,0)</f>
        <v>0</v>
      </c>
      <c r="AC147" s="9">
        <f>IF(25&lt;=核心参数输入!$B$9*4,季度投融资!$E$17*季度计划!AC122,0)</f>
        <v>0</v>
      </c>
      <c r="AD147" s="9">
        <f>IF(26&lt;=核心参数输入!$B$9*4,季度投融资!$E$17*季度计划!AD122,0)</f>
        <v>0</v>
      </c>
      <c r="AE147" s="9">
        <f>IF(27&lt;=核心参数输入!$B$9*4,季度投融资!$E$17*季度计划!AE122,0)</f>
        <v>0</v>
      </c>
      <c r="AF147" s="9">
        <f>IF(28&lt;=核心参数输入!$B$9*4,季度投融资!$E$17*季度计划!AF122,0)</f>
        <v>0</v>
      </c>
      <c r="AG147" s="9">
        <f>IF(29&lt;=核心参数输入!$B$9*4,季度投融资!$E$17*季度计划!AG122,0)</f>
        <v>0</v>
      </c>
      <c r="AH147" s="9">
        <f>IF(30&lt;=核心参数输入!$B$9*4,季度投融资!$E$17*季度计划!AH122,0)</f>
        <v>0</v>
      </c>
      <c r="AI147" s="9">
        <f>IF(31&lt;=核心参数输入!$B$9*4,季度投融资!$E$17*季度计划!AI122,0)</f>
        <v>0</v>
      </c>
      <c r="AJ147" s="9">
        <f>IF(32&lt;=核心参数输入!$B$9*4,季度投融资!$E$17*季度计划!AJ122,0)</f>
        <v>0</v>
      </c>
      <c r="AK147" s="9">
        <f>IF(33&lt;=核心参数输入!$B$9*4,季度投融资!$E$17*季度计划!AK122,0)</f>
        <v>0</v>
      </c>
      <c r="AL147" s="9">
        <f>IF(34&lt;=核心参数输入!$B$9*4,季度投融资!$E$17*季度计划!AL122,0)</f>
        <v>0</v>
      </c>
      <c r="AM147" s="9">
        <f>IF(35&lt;=核心参数输入!$B$9*4,季度投融资!$E$17*季度计划!AM122,0)</f>
        <v>0</v>
      </c>
      <c r="AN147" s="9">
        <f>IF(36&lt;=核心参数输入!$B$9*4,季度投融资!$E$17*季度计划!AN122,0)</f>
        <v>0</v>
      </c>
      <c r="AO147" s="9">
        <f>IF(37&lt;=核心参数输入!$B$9*4,季度投融资!$E$17*季度计划!AO122,0)</f>
        <v>0</v>
      </c>
      <c r="AP147" s="9">
        <f>IF(38&lt;=核心参数输入!$B$9*4,季度投融资!$E$17*季度计划!AP122,0)</f>
        <v>0</v>
      </c>
      <c r="AQ147" s="9">
        <f>IF(39&lt;=核心参数输入!$B$9*4,季度投融资!$E$17*季度计划!AQ122,0)</f>
        <v>0</v>
      </c>
      <c r="AR147" s="9">
        <f>IF(40&lt;=核心参数输入!$B$9*4,季度投融资!$E$17*季度计划!AR122,0)</f>
        <v>0</v>
      </c>
      <c r="AS147" s="9">
        <f>IF(41&lt;=核心参数输入!$B$9*4,季度投融资!$E$17*季度计划!AS122,0)</f>
        <v>0</v>
      </c>
      <c r="AT147" s="9">
        <f>IF(42&lt;=核心参数输入!$B$9*4,季度投融资!$E$17*季度计划!AT122,0)</f>
        <v>0</v>
      </c>
      <c r="AU147" s="9">
        <f>IF(43&lt;=核心参数输入!$B$9*4,季度投融资!$E$17*季度计划!AU122,0)</f>
        <v>0</v>
      </c>
      <c r="AV147" s="9">
        <f>IF(44&lt;=核心参数输入!$B$9*4,季度投融资!$E$17*季度计划!AV122,0)</f>
        <v>0</v>
      </c>
      <c r="AW147" s="9">
        <f>IF(45&lt;=核心参数输入!$B$9*4,季度投融资!$E$17*季度计划!AW122,0)</f>
        <v>0</v>
      </c>
      <c r="AX147" s="9">
        <f>IF(46&lt;=核心参数输入!$B$9*4,季度投融资!$E$17*季度计划!AX122,0)</f>
        <v>0</v>
      </c>
      <c r="AY147" s="9">
        <f>IF(47&lt;=核心参数输入!$B$9*4,季度投融资!$E$17*季度计划!AY122,0)</f>
        <v>0</v>
      </c>
      <c r="AZ147" s="9">
        <f>IF(48&lt;=核心参数输入!$B$9*4,季度投融资!$E$17*季度计划!AZ122,0)</f>
        <v>0</v>
      </c>
      <c r="BA147" s="9">
        <f>IF(49&lt;=核心参数输入!$B$9*4,季度投融资!$E$17*季度计划!BA122,0)</f>
        <v>0</v>
      </c>
      <c r="BB147" s="9">
        <f>IF(50&lt;=核心参数输入!$B$9*4,季度投融资!$E$17*季度计划!BB122,0)</f>
        <v>0</v>
      </c>
      <c r="BC147" s="9">
        <f>IF(51&lt;=核心参数输入!$B$9*4,季度投融资!$E$17*季度计划!BC122,0)</f>
        <v>0</v>
      </c>
      <c r="BD147" s="9">
        <f>IF(52&lt;=核心参数输入!$B$9*4,季度投融资!$E$17*季度计划!BD122,0)</f>
        <v>0</v>
      </c>
      <c r="BE147" s="9">
        <f>IF(53&lt;=核心参数输入!$B$9*4,季度投融资!$E$17*季度计划!BE122,0)</f>
        <v>0</v>
      </c>
      <c r="BF147" s="9">
        <f>IF(54&lt;=核心参数输入!$B$9*4,季度投融资!$E$17*季度计划!BF122,0)</f>
        <v>0</v>
      </c>
      <c r="BG147" s="9">
        <f>IF(55&lt;=核心参数输入!$B$9*4,季度投融资!$E$17*季度计划!BG122,0)</f>
        <v>0</v>
      </c>
      <c r="BH147" s="9">
        <f>IF(56&lt;=核心参数输入!$B$9*4,季度投融资!$E$17*季度计划!BH122,0)</f>
        <v>0</v>
      </c>
      <c r="BI147" s="9">
        <f>IF(57&lt;=核心参数输入!$B$9*4,季度投融资!$E$17*季度计划!BI122,0)</f>
        <v>0</v>
      </c>
      <c r="BJ147" s="9">
        <f>IF(58&lt;=核心参数输入!$B$9*4,季度投融资!$E$17*季度计划!BJ122,0)</f>
        <v>0</v>
      </c>
      <c r="BK147" s="9">
        <f>IF(59&lt;=核心参数输入!$B$9*4,季度投融资!$E$17*季度计划!BK122,0)</f>
        <v>0</v>
      </c>
      <c r="BL147" s="9">
        <f>IF(60&lt;=核心参数输入!$B$9*4,季度投融资!$E$17*季度计划!BL122,0)</f>
        <v>0</v>
      </c>
      <c r="BM147" s="9">
        <f>IF(61&lt;=核心参数输入!$B$9*4,季度投融资!$E$17*季度计划!BM122,0)</f>
        <v>0</v>
      </c>
      <c r="BN147" s="9">
        <f>IF(62&lt;=核心参数输入!$B$9*4,季度投融资!$E$17*季度计划!BN122,0)</f>
        <v>0</v>
      </c>
      <c r="BO147" s="9">
        <f>IF(63&lt;=核心参数输入!$B$9*4,季度投融资!$E$17*季度计划!BO122,0)</f>
        <v>0</v>
      </c>
      <c r="BP147" s="9">
        <f>IF(64&lt;=核心参数输入!$B$9*4,季度投融资!$E$17*季度计划!BP122,0)</f>
        <v>0</v>
      </c>
      <c r="BQ147" s="9">
        <f>IF(65&lt;=核心参数输入!$B$9*4,季度投融资!$E$17*季度计划!BQ122,0)</f>
        <v>0</v>
      </c>
      <c r="BR147" s="9">
        <f>IF(66&lt;=核心参数输入!$B$9*4,季度投融资!$E$17*季度计划!BR122,0)</f>
        <v>0</v>
      </c>
      <c r="BS147" s="9">
        <f>IF(67&lt;=核心参数输入!$B$9*4,季度投融资!$E$17*季度计划!BS122,0)</f>
        <v>0</v>
      </c>
      <c r="BT147" s="9">
        <f>IF(68&lt;=核心参数输入!$B$9*4,季度投融资!$E$17*季度计划!BT122,0)</f>
        <v>0</v>
      </c>
      <c r="BU147" s="9">
        <f>IF(69&lt;=核心参数输入!$B$9*4,季度投融资!$E$17*季度计划!BU122,0)</f>
        <v>0</v>
      </c>
      <c r="BV147" s="9">
        <f>IF(70&lt;=核心参数输入!$B$9*4,季度投融资!$E$17*季度计划!BV122,0)</f>
        <v>0</v>
      </c>
      <c r="BW147" s="9">
        <f>IF(71&lt;=核心参数输入!$B$9*4,季度投融资!$E$17*季度计划!BW122,0)</f>
        <v>0</v>
      </c>
      <c r="BX147" s="9">
        <f>IF(72&lt;=核心参数输入!$B$9*4,季度投融资!$E$17*季度计划!BX122,0)</f>
        <v>0</v>
      </c>
      <c r="BY147" s="9">
        <f>IF(73&lt;=核心参数输入!$B$9*4,季度投融资!$E$17*季度计划!BY122,0)</f>
        <v>0</v>
      </c>
      <c r="BZ147" s="9">
        <f>IF(74&lt;=核心参数输入!$B$9*4,季度投融资!$E$17*季度计划!BZ122,0)</f>
        <v>0</v>
      </c>
      <c r="CA147" s="9">
        <f>IF(75&lt;=核心参数输入!$B$9*4,季度投融资!$E$17*季度计划!CA122,0)</f>
        <v>0</v>
      </c>
      <c r="CB147" s="9">
        <f>IF(76&lt;=核心参数输入!$B$9*4,季度投融资!$E$17*季度计划!CB122,0)</f>
        <v>0</v>
      </c>
      <c r="CC147" s="9">
        <f>IF(77&lt;=核心参数输入!$B$9*4,季度投融资!$E$17*季度计划!CC122,0)</f>
        <v>0</v>
      </c>
      <c r="CD147" s="9">
        <f>IF(78&lt;=核心参数输入!$B$9*4,季度投融资!$E$17*季度计划!CD122,0)</f>
        <v>0</v>
      </c>
      <c r="CE147" s="9">
        <f>IF(79&lt;=核心参数输入!$B$9*4,季度投融资!$E$17*季度计划!CE122,0)</f>
        <v>0</v>
      </c>
      <c r="CF147" s="9">
        <f>IF(80&lt;=核心参数输入!$B$9*4,季度投融资!$E$17*季度计划!CF122,0)</f>
        <v>0</v>
      </c>
      <c r="CG147" s="9">
        <f>IF(81&lt;=核心参数输入!$B$9*4,季度投融资!$E$17*季度计划!CG122,0)</f>
        <v>0</v>
      </c>
      <c r="CH147" s="9">
        <f>IF(82&lt;=核心参数输入!$B$9*4,季度投融资!$E$17*季度计划!CH122,0)</f>
        <v>0</v>
      </c>
      <c r="CI147" s="9">
        <f>IF(83&lt;=核心参数输入!$B$9*4,季度投融资!$E$17*季度计划!CI122,0)</f>
        <v>0</v>
      </c>
      <c r="CJ147" s="9">
        <f>IF(84&lt;=核心参数输入!$B$9*4,季度投融资!$E$17*季度计划!CJ122,0)</f>
        <v>0</v>
      </c>
      <c r="CK147" s="9">
        <f>IF(85&lt;=核心参数输入!$B$9*4,季度投融资!$E$17*季度计划!CK122,0)</f>
        <v>0</v>
      </c>
      <c r="CL147" s="9">
        <f>IF(86&lt;=核心参数输入!$B$9*4,季度投融资!$E$17*季度计划!CL122,0)</f>
        <v>0</v>
      </c>
      <c r="CM147" s="9">
        <f>IF(87&lt;=核心参数输入!$B$9*4,季度投融资!$E$17*季度计划!CM122,0)</f>
        <v>0</v>
      </c>
      <c r="CN147" s="9">
        <f>IF(88&lt;=核心参数输入!$B$9*4,季度投融资!$E$17*季度计划!CN122,0)</f>
        <v>0</v>
      </c>
      <c r="CO147" s="9">
        <f>IF(89&lt;=核心参数输入!$B$9*4,季度投融资!$E$17*季度计划!CO122,0)</f>
        <v>0</v>
      </c>
      <c r="CP147" s="9">
        <f>IF(90&lt;=核心参数输入!$B$9*4,季度投融资!$E$17*季度计划!CP122,0)</f>
        <v>0</v>
      </c>
      <c r="CQ147" s="9">
        <f>IF(91&lt;=核心参数输入!$B$9*4,季度投融资!$E$17*季度计划!CQ122,0)</f>
        <v>0</v>
      </c>
      <c r="CR147" s="9">
        <f>IF(92&lt;=核心参数输入!$B$9*4,季度投融资!$E$17*季度计划!CR122,0)</f>
        <v>0</v>
      </c>
      <c r="CS147" s="9">
        <f>IF(93&lt;=核心参数输入!$B$9*4,季度投融资!$E$17*季度计划!CS122,0)</f>
        <v>0</v>
      </c>
      <c r="CT147" s="9">
        <f>IF(94&lt;=核心参数输入!$B$9*4,季度投融资!$E$17*季度计划!CT122,0)</f>
        <v>0</v>
      </c>
      <c r="CU147" s="9">
        <f>IF(95&lt;=核心参数输入!$B$9*4,季度投融资!$E$17*季度计划!CU122,0)</f>
        <v>0</v>
      </c>
      <c r="CV147" s="9">
        <f>IF(96&lt;=核心参数输入!$B$9*4,季度投融资!$E$17*季度计划!CV122,0)</f>
        <v>0</v>
      </c>
      <c r="CW147" s="9">
        <f>IF(97&lt;=核心参数输入!$B$9*4,季度投融资!$E$17*季度计划!CW122,0)</f>
        <v>0</v>
      </c>
      <c r="CX147" s="9">
        <f>IF(98&lt;=核心参数输入!$B$9*4,季度投融资!$E$17*季度计划!CX122,0)</f>
        <v>0</v>
      </c>
      <c r="CY147" s="9">
        <f>IF(99&lt;=核心参数输入!$B$9*4,季度投融资!$E$17*季度计划!CY122,0)</f>
        <v>0</v>
      </c>
      <c r="CZ147" s="9">
        <f>IF(100&lt;=核心参数输入!$B$9*4,季度投融资!$E$17*季度计划!CZ122,0)</f>
        <v>0</v>
      </c>
      <c r="DA147" s="9">
        <f>IF(101&lt;=核心参数输入!$B$9*4,季度投融资!$E$17*季度计划!DA122,0)</f>
        <v>0</v>
      </c>
      <c r="DB147" s="9">
        <f>IF(102&lt;=核心参数输入!$B$9*4,季度投融资!$E$17*季度计划!DB122,0)</f>
        <v>0</v>
      </c>
      <c r="DC147" s="9">
        <f>IF(103&lt;=核心参数输入!$B$9*4,季度投融资!$E$17*季度计划!DC122,0)</f>
        <v>0</v>
      </c>
      <c r="DD147" s="9">
        <f>IF(104&lt;=核心参数输入!$B$9*4,季度投融资!$E$17*季度计划!DD122,0)</f>
        <v>0</v>
      </c>
      <c r="DE147" s="9">
        <f>IF(105&lt;=核心参数输入!$B$9*4,季度投融资!$E$17*季度计划!DE122,0)</f>
        <v>0</v>
      </c>
      <c r="DF147" s="9">
        <f>IF(106&lt;=核心参数输入!$B$9*4,季度投融资!$E$17*季度计划!DF122,0)</f>
        <v>0</v>
      </c>
      <c r="DG147" s="9">
        <f>IF(107&lt;=核心参数输入!$B$9*4,季度投融资!$E$17*季度计划!DG122,0)</f>
        <v>0</v>
      </c>
      <c r="DH147" s="9">
        <f>IF(108&lt;=核心参数输入!$B$9*4,季度投融资!$E$17*季度计划!DH122,0)</f>
        <v>0</v>
      </c>
      <c r="DI147" s="9">
        <f>IF(109&lt;=核心参数输入!$B$9*4,季度投融资!$E$17*季度计划!DI122,0)</f>
        <v>0</v>
      </c>
      <c r="DJ147" s="9">
        <f>IF(110&lt;=核心参数输入!$B$9*4,季度投融资!$E$17*季度计划!DJ122,0)</f>
        <v>0</v>
      </c>
      <c r="DK147" s="9">
        <f>IF(111&lt;=核心参数输入!$B$9*4,季度投融资!$E$17*季度计划!DK122,0)</f>
        <v>0</v>
      </c>
      <c r="DL147" s="9">
        <f>IF(112&lt;=核心参数输入!$B$9*4,季度投融资!$E$17*季度计划!DL122,0)</f>
        <v>0</v>
      </c>
      <c r="DM147" s="9">
        <f>IF(113&lt;=核心参数输入!$B$9*4,季度投融资!$E$17*季度计划!DM122,0)</f>
        <v>0</v>
      </c>
      <c r="DN147" s="9">
        <f>IF(114&lt;=核心参数输入!$B$9*4,季度投融资!$E$17*季度计划!DN122,0)</f>
        <v>0</v>
      </c>
      <c r="DO147" s="9">
        <f>IF(115&lt;=核心参数输入!$B$9*4,季度投融资!$E$17*季度计划!DO122,0)</f>
        <v>0</v>
      </c>
      <c r="DP147" s="9">
        <f>IF(116&lt;=核心参数输入!$B$9*4,季度投融资!$E$17*季度计划!DP122,0)</f>
        <v>0</v>
      </c>
      <c r="DQ147" s="9">
        <f>IF(117&lt;=核心参数输入!$B$9*4,季度投融资!$E$17*季度计划!DQ122,0)</f>
        <v>0</v>
      </c>
      <c r="DR147" s="9">
        <f>IF(118&lt;=核心参数输入!$B$9*4,季度投融资!$E$17*季度计划!DR122,0)</f>
        <v>0</v>
      </c>
      <c r="DS147" s="9">
        <f>IF(119&lt;=核心参数输入!$B$9*4,季度投融资!$E$17*季度计划!DS122,0)</f>
        <v>0</v>
      </c>
      <c r="DT147" s="9">
        <f>IF(120&lt;=核心参数输入!$B$9*4,季度投融资!$E$17*季度计划!DT122,0)</f>
        <v>0</v>
      </c>
    </row>
    <row r="148" spans="1:124" ht="21" customHeight="1">
      <c r="A148" s="8" t="s">
        <v>429</v>
      </c>
      <c r="B148" s="8" t="s">
        <v>39</v>
      </c>
      <c r="C148" s="8"/>
      <c r="D148" s="9">
        <f>IF(0&lt;=核心参数输入!$B$9*4,IF(0=核心参数输入!$B$16*4+核心参数输入!$B$148+核心参数输入!$B$124+1,季度投融资!$E$20,0),0)</f>
        <v>0</v>
      </c>
      <c r="E148" s="9">
        <f>IF(1&lt;=核心参数输入!$B$9*4,IF(1=核心参数输入!$B$16*4+核心参数输入!$B$148+核心参数输入!$B$124+1,季度投融资!$E$20,0),0)</f>
        <v>0</v>
      </c>
      <c r="F148" s="9">
        <f>IF(2&lt;=核心参数输入!$B$9*4,IF(2=核心参数输入!$B$16*4+核心参数输入!$B$148+核心参数输入!$B$124+1,季度投融资!$E$20,0),0)</f>
        <v>0</v>
      </c>
      <c r="G148" s="9">
        <f>IF(3&lt;=核心参数输入!$B$9*4,IF(3=核心参数输入!$B$16*4+核心参数输入!$B$148+核心参数输入!$B$124+1,季度投融资!$E$20,0),0)</f>
        <v>0</v>
      </c>
      <c r="H148" s="9">
        <f>IF(4&lt;=核心参数输入!$B$9*4,IF(4=核心参数输入!$B$16*4+核心参数输入!$B$148+核心参数输入!$B$124+1,季度投融资!$E$20,0),0)</f>
        <v>0</v>
      </c>
      <c r="I148" s="9">
        <f>IF(5&lt;=核心参数输入!$B$9*4,IF(5=核心参数输入!$B$16*4+核心参数输入!$B$148+核心参数输入!$B$124+1,季度投融资!$E$20,0),0)</f>
        <v>0</v>
      </c>
      <c r="J148" s="9">
        <f>IF(6&lt;=核心参数输入!$B$9*4,IF(6=核心参数输入!$B$16*4+核心参数输入!$B$148+核心参数输入!$B$124+1,季度投融资!$E$20,0),0)</f>
        <v>0</v>
      </c>
      <c r="K148" s="9">
        <f>IF(7&lt;=核心参数输入!$B$9*4,IF(7=核心参数输入!$B$16*4+核心参数输入!$B$148+核心参数输入!$B$124+1,季度投融资!$E$20,0),0)</f>
        <v>0</v>
      </c>
      <c r="L148" s="9">
        <f>IF(8&lt;=核心参数输入!$B$9*4,IF(8=核心参数输入!$B$16*4+核心参数输入!$B$148+核心参数输入!$B$124+1,季度投融资!$E$20,0),0)</f>
        <v>0</v>
      </c>
      <c r="M148" s="9">
        <f>IF(9&lt;=核心参数输入!$B$9*4,IF(9=核心参数输入!$B$16*4+核心参数输入!$B$148+核心参数输入!$B$124+1,季度投融资!$E$20,0),0)</f>
        <v>0</v>
      </c>
      <c r="N148" s="9">
        <f>IF(10&lt;=核心参数输入!$B$9*4,IF(10=核心参数输入!$B$16*4+核心参数输入!$B$148+核心参数输入!$B$124+1,季度投融资!$E$20,0),0)</f>
        <v>0</v>
      </c>
      <c r="O148" s="9">
        <f>IF(11&lt;=核心参数输入!$B$9*4,IF(11=核心参数输入!$B$16*4+核心参数输入!$B$148+核心参数输入!$B$124+1,季度投融资!$E$20,0),0)</f>
        <v>0</v>
      </c>
      <c r="P148" s="9">
        <f>IF(12&lt;=核心参数输入!$B$9*4,IF(12=核心参数输入!$B$16*4+核心参数输入!$B$148+核心参数输入!$B$124+1,季度投融资!$E$20,0),0)</f>
        <v>0</v>
      </c>
      <c r="Q148" s="9">
        <f>IF(13&lt;=核心参数输入!$B$9*4,IF(13=核心参数输入!$B$16*4+核心参数输入!$B$148+核心参数输入!$B$124+1,季度投融资!$E$20,0),0)</f>
        <v>500</v>
      </c>
      <c r="R148" s="9">
        <f>IF(14&lt;=核心参数输入!$B$9*4,IF(14=核心参数输入!$B$16*4+核心参数输入!$B$148+核心参数输入!$B$124+1,季度投融资!$E$20,0),0)</f>
        <v>0</v>
      </c>
      <c r="S148" s="9">
        <f>IF(15&lt;=核心参数输入!$B$9*4,IF(15=核心参数输入!$B$16*4+核心参数输入!$B$148+核心参数输入!$B$124+1,季度投融资!$E$20,0),0)</f>
        <v>0</v>
      </c>
      <c r="T148" s="9">
        <f>IF(16&lt;=核心参数输入!$B$9*4,IF(16=核心参数输入!$B$16*4+核心参数输入!$B$148+核心参数输入!$B$124+1,季度投融资!$E$20,0),0)</f>
        <v>0</v>
      </c>
      <c r="U148" s="9">
        <f>IF(17&lt;=核心参数输入!$B$9*4,IF(17=核心参数输入!$B$16*4+核心参数输入!$B$148+核心参数输入!$B$124+1,季度投融资!$E$20,0),0)</f>
        <v>0</v>
      </c>
      <c r="V148" s="9">
        <f>IF(18&lt;=核心参数输入!$B$9*4,IF(18=核心参数输入!$B$16*4+核心参数输入!$B$148+核心参数输入!$B$124+1,季度投融资!$E$20,0),0)</f>
        <v>0</v>
      </c>
      <c r="W148" s="9">
        <f>IF(19&lt;=核心参数输入!$B$9*4,IF(19=核心参数输入!$B$16*4+核心参数输入!$B$148+核心参数输入!$B$124+1,季度投融资!$E$20,0),0)</f>
        <v>0</v>
      </c>
      <c r="X148" s="9">
        <f>IF(20&lt;=核心参数输入!$B$9*4,IF(20=核心参数输入!$B$16*4+核心参数输入!$B$148+核心参数输入!$B$124+1,季度投融资!$E$20,0),0)</f>
        <v>0</v>
      </c>
      <c r="Y148" s="9">
        <f>IF(21&lt;=核心参数输入!$B$9*4,IF(21=核心参数输入!$B$16*4+核心参数输入!$B$148+核心参数输入!$B$124+1,季度投融资!$E$20,0),0)</f>
        <v>0</v>
      </c>
      <c r="Z148" s="9">
        <f>IF(22&lt;=核心参数输入!$B$9*4,IF(22=核心参数输入!$B$16*4+核心参数输入!$B$148+核心参数输入!$B$124+1,季度投融资!$E$20,0),0)</f>
        <v>0</v>
      </c>
      <c r="AA148" s="9">
        <f>IF(23&lt;=核心参数输入!$B$9*4,IF(23=核心参数输入!$B$16*4+核心参数输入!$B$148+核心参数输入!$B$124+1,季度投融资!$E$20,0),0)</f>
        <v>0</v>
      </c>
      <c r="AB148" s="9">
        <f>IF(24&lt;=核心参数输入!$B$9*4,IF(24=核心参数输入!$B$16*4+核心参数输入!$B$148+核心参数输入!$B$124+1,季度投融资!$E$20,0),0)</f>
        <v>0</v>
      </c>
      <c r="AC148" s="9">
        <f>IF(25&lt;=核心参数输入!$B$9*4,IF(25=核心参数输入!$B$16*4+核心参数输入!$B$148+核心参数输入!$B$124+1,季度投融资!$E$20,0),0)</f>
        <v>0</v>
      </c>
      <c r="AD148" s="9">
        <f>IF(26&lt;=核心参数输入!$B$9*4,IF(26=核心参数输入!$B$16*4+核心参数输入!$B$148+核心参数输入!$B$124+1,季度投融资!$E$20,0),0)</f>
        <v>0</v>
      </c>
      <c r="AE148" s="9">
        <f>IF(27&lt;=核心参数输入!$B$9*4,IF(27=核心参数输入!$B$16*4+核心参数输入!$B$148+核心参数输入!$B$124+1,季度投融资!$E$20,0),0)</f>
        <v>0</v>
      </c>
      <c r="AF148" s="9">
        <f>IF(28&lt;=核心参数输入!$B$9*4,IF(28=核心参数输入!$B$16*4+核心参数输入!$B$148+核心参数输入!$B$124+1,季度投融资!$E$20,0),0)</f>
        <v>0</v>
      </c>
      <c r="AG148" s="9">
        <f>IF(29&lt;=核心参数输入!$B$9*4,IF(29=核心参数输入!$B$16*4+核心参数输入!$B$148+核心参数输入!$B$124+1,季度投融资!$E$20,0),0)</f>
        <v>0</v>
      </c>
      <c r="AH148" s="9">
        <f>IF(30&lt;=核心参数输入!$B$9*4,IF(30=核心参数输入!$B$16*4+核心参数输入!$B$148+核心参数输入!$B$124+1,季度投融资!$E$20,0),0)</f>
        <v>0</v>
      </c>
      <c r="AI148" s="9">
        <f>IF(31&lt;=核心参数输入!$B$9*4,IF(31=核心参数输入!$B$16*4+核心参数输入!$B$148+核心参数输入!$B$124+1,季度投融资!$E$20,0),0)</f>
        <v>0</v>
      </c>
      <c r="AJ148" s="9">
        <f>IF(32&lt;=核心参数输入!$B$9*4,IF(32=核心参数输入!$B$16*4+核心参数输入!$B$148+核心参数输入!$B$124+1,季度投融资!$E$20,0),0)</f>
        <v>0</v>
      </c>
      <c r="AK148" s="9">
        <f>IF(33&lt;=核心参数输入!$B$9*4,IF(33=核心参数输入!$B$16*4+核心参数输入!$B$148+核心参数输入!$B$124+1,季度投融资!$E$20,0),0)</f>
        <v>0</v>
      </c>
      <c r="AL148" s="9">
        <f>IF(34&lt;=核心参数输入!$B$9*4,IF(34=核心参数输入!$B$16*4+核心参数输入!$B$148+核心参数输入!$B$124+1,季度投融资!$E$20,0),0)</f>
        <v>0</v>
      </c>
      <c r="AM148" s="9">
        <f>IF(35&lt;=核心参数输入!$B$9*4,IF(35=核心参数输入!$B$16*4+核心参数输入!$B$148+核心参数输入!$B$124+1,季度投融资!$E$20,0),0)</f>
        <v>0</v>
      </c>
      <c r="AN148" s="9">
        <f>IF(36&lt;=核心参数输入!$B$9*4,IF(36=核心参数输入!$B$16*4+核心参数输入!$B$148+核心参数输入!$B$124+1,季度投融资!$E$20,0),0)</f>
        <v>0</v>
      </c>
      <c r="AO148" s="9">
        <f>IF(37&lt;=核心参数输入!$B$9*4,IF(37=核心参数输入!$B$16*4+核心参数输入!$B$148+核心参数输入!$B$124+1,季度投融资!$E$20,0),0)</f>
        <v>0</v>
      </c>
      <c r="AP148" s="9">
        <f>IF(38&lt;=核心参数输入!$B$9*4,IF(38=核心参数输入!$B$16*4+核心参数输入!$B$148+核心参数输入!$B$124+1,季度投融资!$E$20,0),0)</f>
        <v>0</v>
      </c>
      <c r="AQ148" s="9">
        <f>IF(39&lt;=核心参数输入!$B$9*4,IF(39=核心参数输入!$B$16*4+核心参数输入!$B$148+核心参数输入!$B$124+1,季度投融资!$E$20,0),0)</f>
        <v>0</v>
      </c>
      <c r="AR148" s="9">
        <f>IF(40&lt;=核心参数输入!$B$9*4,IF(40=核心参数输入!$B$16*4+核心参数输入!$B$148+核心参数输入!$B$124+1,季度投融资!$E$20,0),0)</f>
        <v>0</v>
      </c>
      <c r="AS148" s="9">
        <f>IF(41&lt;=核心参数输入!$B$9*4,IF(41=核心参数输入!$B$16*4+核心参数输入!$B$148+核心参数输入!$B$124+1,季度投融资!$E$20,0),0)</f>
        <v>0</v>
      </c>
      <c r="AT148" s="9">
        <f>IF(42&lt;=核心参数输入!$B$9*4,IF(42=核心参数输入!$B$16*4+核心参数输入!$B$148+核心参数输入!$B$124+1,季度投融资!$E$20,0),0)</f>
        <v>0</v>
      </c>
      <c r="AU148" s="9">
        <f>IF(43&lt;=核心参数输入!$B$9*4,IF(43=核心参数输入!$B$16*4+核心参数输入!$B$148+核心参数输入!$B$124+1,季度投融资!$E$20,0),0)</f>
        <v>0</v>
      </c>
      <c r="AV148" s="9">
        <f>IF(44&lt;=核心参数输入!$B$9*4,IF(44=核心参数输入!$B$16*4+核心参数输入!$B$148+核心参数输入!$B$124+1,季度投融资!$E$20,0),0)</f>
        <v>0</v>
      </c>
      <c r="AW148" s="9">
        <f>IF(45&lt;=核心参数输入!$B$9*4,IF(45=核心参数输入!$B$16*4+核心参数输入!$B$148+核心参数输入!$B$124+1,季度投融资!$E$20,0),0)</f>
        <v>0</v>
      </c>
      <c r="AX148" s="9">
        <f>IF(46&lt;=核心参数输入!$B$9*4,IF(46=核心参数输入!$B$16*4+核心参数输入!$B$148+核心参数输入!$B$124+1,季度投融资!$E$20,0),0)</f>
        <v>0</v>
      </c>
      <c r="AY148" s="9">
        <f>IF(47&lt;=核心参数输入!$B$9*4,IF(47=核心参数输入!$B$16*4+核心参数输入!$B$148+核心参数输入!$B$124+1,季度投融资!$E$20,0),0)</f>
        <v>0</v>
      </c>
      <c r="AZ148" s="9">
        <f>IF(48&lt;=核心参数输入!$B$9*4,IF(48=核心参数输入!$B$16*4+核心参数输入!$B$148+核心参数输入!$B$124+1,季度投融资!$E$20,0),0)</f>
        <v>0</v>
      </c>
      <c r="BA148" s="9">
        <f>IF(49&lt;=核心参数输入!$B$9*4,IF(49=核心参数输入!$B$16*4+核心参数输入!$B$148+核心参数输入!$B$124+1,季度投融资!$E$20,0),0)</f>
        <v>0</v>
      </c>
      <c r="BB148" s="9">
        <f>IF(50&lt;=核心参数输入!$B$9*4,IF(50=核心参数输入!$B$16*4+核心参数输入!$B$148+核心参数输入!$B$124+1,季度投融资!$E$20,0),0)</f>
        <v>0</v>
      </c>
      <c r="BC148" s="9">
        <f>IF(51&lt;=核心参数输入!$B$9*4,IF(51=核心参数输入!$B$16*4+核心参数输入!$B$148+核心参数输入!$B$124+1,季度投融资!$E$20,0),0)</f>
        <v>0</v>
      </c>
      <c r="BD148" s="9">
        <f>IF(52&lt;=核心参数输入!$B$9*4,IF(52=核心参数输入!$B$16*4+核心参数输入!$B$148+核心参数输入!$B$124+1,季度投融资!$E$20,0),0)</f>
        <v>0</v>
      </c>
      <c r="BE148" s="9">
        <f>IF(53&lt;=核心参数输入!$B$9*4,IF(53=核心参数输入!$B$16*4+核心参数输入!$B$148+核心参数输入!$B$124+1,季度投融资!$E$20,0),0)</f>
        <v>0</v>
      </c>
      <c r="BF148" s="9">
        <f>IF(54&lt;=核心参数输入!$B$9*4,IF(54=核心参数输入!$B$16*4+核心参数输入!$B$148+核心参数输入!$B$124+1,季度投融资!$E$20,0),0)</f>
        <v>0</v>
      </c>
      <c r="BG148" s="9">
        <f>IF(55&lt;=核心参数输入!$B$9*4,IF(55=核心参数输入!$B$16*4+核心参数输入!$B$148+核心参数输入!$B$124+1,季度投融资!$E$20,0),0)</f>
        <v>0</v>
      </c>
      <c r="BH148" s="9">
        <f>IF(56&lt;=核心参数输入!$B$9*4,IF(56=核心参数输入!$B$16*4+核心参数输入!$B$148+核心参数输入!$B$124+1,季度投融资!$E$20,0),0)</f>
        <v>0</v>
      </c>
      <c r="BI148" s="9">
        <f>IF(57&lt;=核心参数输入!$B$9*4,IF(57=核心参数输入!$B$16*4+核心参数输入!$B$148+核心参数输入!$B$124+1,季度投融资!$E$20,0),0)</f>
        <v>0</v>
      </c>
      <c r="BJ148" s="9">
        <f>IF(58&lt;=核心参数输入!$B$9*4,IF(58=核心参数输入!$B$16*4+核心参数输入!$B$148+核心参数输入!$B$124+1,季度投融资!$E$20,0),0)</f>
        <v>0</v>
      </c>
      <c r="BK148" s="9">
        <f>IF(59&lt;=核心参数输入!$B$9*4,IF(59=核心参数输入!$B$16*4+核心参数输入!$B$148+核心参数输入!$B$124+1,季度投融资!$E$20,0),0)</f>
        <v>0</v>
      </c>
      <c r="BL148" s="9">
        <f>IF(60&lt;=核心参数输入!$B$9*4,IF(60=核心参数输入!$B$16*4+核心参数输入!$B$148+核心参数输入!$B$124+1,季度投融资!$E$20,0),0)</f>
        <v>0</v>
      </c>
      <c r="BM148" s="9">
        <f>IF(61&lt;=核心参数输入!$B$9*4,IF(61=核心参数输入!$B$16*4+核心参数输入!$B$148+核心参数输入!$B$124+1,季度投融资!$E$20,0),0)</f>
        <v>0</v>
      </c>
      <c r="BN148" s="9">
        <f>IF(62&lt;=核心参数输入!$B$9*4,IF(62=核心参数输入!$B$16*4+核心参数输入!$B$148+核心参数输入!$B$124+1,季度投融资!$E$20,0),0)</f>
        <v>0</v>
      </c>
      <c r="BO148" s="9">
        <f>IF(63&lt;=核心参数输入!$B$9*4,IF(63=核心参数输入!$B$16*4+核心参数输入!$B$148+核心参数输入!$B$124+1,季度投融资!$E$20,0),0)</f>
        <v>0</v>
      </c>
      <c r="BP148" s="9">
        <f>IF(64&lt;=核心参数输入!$B$9*4,IF(64=核心参数输入!$B$16*4+核心参数输入!$B$148+核心参数输入!$B$124+1,季度投融资!$E$20,0),0)</f>
        <v>0</v>
      </c>
      <c r="BQ148" s="9">
        <f>IF(65&lt;=核心参数输入!$B$9*4,IF(65=核心参数输入!$B$16*4+核心参数输入!$B$148+核心参数输入!$B$124+1,季度投融资!$E$20,0),0)</f>
        <v>0</v>
      </c>
      <c r="BR148" s="9">
        <f>IF(66&lt;=核心参数输入!$B$9*4,IF(66=核心参数输入!$B$16*4+核心参数输入!$B$148+核心参数输入!$B$124+1,季度投融资!$E$20,0),0)</f>
        <v>0</v>
      </c>
      <c r="BS148" s="9">
        <f>IF(67&lt;=核心参数输入!$B$9*4,IF(67=核心参数输入!$B$16*4+核心参数输入!$B$148+核心参数输入!$B$124+1,季度投融资!$E$20,0),0)</f>
        <v>0</v>
      </c>
      <c r="BT148" s="9">
        <f>IF(68&lt;=核心参数输入!$B$9*4,IF(68=核心参数输入!$B$16*4+核心参数输入!$B$148+核心参数输入!$B$124+1,季度投融资!$E$20,0),0)</f>
        <v>0</v>
      </c>
      <c r="BU148" s="9">
        <f>IF(69&lt;=核心参数输入!$B$9*4,IF(69=核心参数输入!$B$16*4+核心参数输入!$B$148+核心参数输入!$B$124+1,季度投融资!$E$20,0),0)</f>
        <v>0</v>
      </c>
      <c r="BV148" s="9">
        <f>IF(70&lt;=核心参数输入!$B$9*4,IF(70=核心参数输入!$B$16*4+核心参数输入!$B$148+核心参数输入!$B$124+1,季度投融资!$E$20,0),0)</f>
        <v>0</v>
      </c>
      <c r="BW148" s="9">
        <f>IF(71&lt;=核心参数输入!$B$9*4,IF(71=核心参数输入!$B$16*4+核心参数输入!$B$148+核心参数输入!$B$124+1,季度投融资!$E$20,0),0)</f>
        <v>0</v>
      </c>
      <c r="BX148" s="9">
        <f>IF(72&lt;=核心参数输入!$B$9*4,IF(72=核心参数输入!$B$16*4+核心参数输入!$B$148+核心参数输入!$B$124+1,季度投融资!$E$20,0),0)</f>
        <v>0</v>
      </c>
      <c r="BY148" s="9">
        <f>IF(73&lt;=核心参数输入!$B$9*4,IF(73=核心参数输入!$B$16*4+核心参数输入!$B$148+核心参数输入!$B$124+1,季度投融资!$E$20,0),0)</f>
        <v>0</v>
      </c>
      <c r="BZ148" s="9">
        <f>IF(74&lt;=核心参数输入!$B$9*4,IF(74=核心参数输入!$B$16*4+核心参数输入!$B$148+核心参数输入!$B$124+1,季度投融资!$E$20,0),0)</f>
        <v>0</v>
      </c>
      <c r="CA148" s="9">
        <f>IF(75&lt;=核心参数输入!$B$9*4,IF(75=核心参数输入!$B$16*4+核心参数输入!$B$148+核心参数输入!$B$124+1,季度投融资!$E$20,0),0)</f>
        <v>0</v>
      </c>
      <c r="CB148" s="9">
        <f>IF(76&lt;=核心参数输入!$B$9*4,IF(76=核心参数输入!$B$16*4+核心参数输入!$B$148+核心参数输入!$B$124+1,季度投融资!$E$20,0),0)</f>
        <v>0</v>
      </c>
      <c r="CC148" s="9">
        <f>IF(77&lt;=核心参数输入!$B$9*4,IF(77=核心参数输入!$B$16*4+核心参数输入!$B$148+核心参数输入!$B$124+1,季度投融资!$E$20,0),0)</f>
        <v>0</v>
      </c>
      <c r="CD148" s="9">
        <f>IF(78&lt;=核心参数输入!$B$9*4,IF(78=核心参数输入!$B$16*4+核心参数输入!$B$148+核心参数输入!$B$124+1,季度投融资!$E$20,0),0)</f>
        <v>0</v>
      </c>
      <c r="CE148" s="9">
        <f>IF(79&lt;=核心参数输入!$B$9*4,IF(79=核心参数输入!$B$16*4+核心参数输入!$B$148+核心参数输入!$B$124+1,季度投融资!$E$20,0),0)</f>
        <v>0</v>
      </c>
      <c r="CF148" s="9">
        <f>IF(80&lt;=核心参数输入!$B$9*4,IF(80=核心参数输入!$B$16*4+核心参数输入!$B$148+核心参数输入!$B$124+1,季度投融资!$E$20,0),0)</f>
        <v>0</v>
      </c>
      <c r="CG148" s="9">
        <f>IF(81&lt;=核心参数输入!$B$9*4,IF(81=核心参数输入!$B$16*4+核心参数输入!$B$148+核心参数输入!$B$124+1,季度投融资!$E$20,0),0)</f>
        <v>0</v>
      </c>
      <c r="CH148" s="9">
        <f>IF(82&lt;=核心参数输入!$B$9*4,IF(82=核心参数输入!$B$16*4+核心参数输入!$B$148+核心参数输入!$B$124+1,季度投融资!$E$20,0),0)</f>
        <v>0</v>
      </c>
      <c r="CI148" s="9">
        <f>IF(83&lt;=核心参数输入!$B$9*4,IF(83=核心参数输入!$B$16*4+核心参数输入!$B$148+核心参数输入!$B$124+1,季度投融资!$E$20,0),0)</f>
        <v>0</v>
      </c>
      <c r="CJ148" s="9">
        <f>IF(84&lt;=核心参数输入!$B$9*4,IF(84=核心参数输入!$B$16*4+核心参数输入!$B$148+核心参数输入!$B$124+1,季度投融资!$E$20,0),0)</f>
        <v>0</v>
      </c>
      <c r="CK148" s="9">
        <f>IF(85&lt;=核心参数输入!$B$9*4,IF(85=核心参数输入!$B$16*4+核心参数输入!$B$148+核心参数输入!$B$124+1,季度投融资!$E$20,0),0)</f>
        <v>0</v>
      </c>
      <c r="CL148" s="9">
        <f>IF(86&lt;=核心参数输入!$B$9*4,IF(86=核心参数输入!$B$16*4+核心参数输入!$B$148+核心参数输入!$B$124+1,季度投融资!$E$20,0),0)</f>
        <v>0</v>
      </c>
      <c r="CM148" s="9">
        <f>IF(87&lt;=核心参数输入!$B$9*4,IF(87=核心参数输入!$B$16*4+核心参数输入!$B$148+核心参数输入!$B$124+1,季度投融资!$E$20,0),0)</f>
        <v>0</v>
      </c>
      <c r="CN148" s="9">
        <f>IF(88&lt;=核心参数输入!$B$9*4,IF(88=核心参数输入!$B$16*4+核心参数输入!$B$148+核心参数输入!$B$124+1,季度投融资!$E$20,0),0)</f>
        <v>0</v>
      </c>
      <c r="CO148" s="9">
        <f>IF(89&lt;=核心参数输入!$B$9*4,IF(89=核心参数输入!$B$16*4+核心参数输入!$B$148+核心参数输入!$B$124+1,季度投融资!$E$20,0),0)</f>
        <v>0</v>
      </c>
      <c r="CP148" s="9">
        <f>IF(90&lt;=核心参数输入!$B$9*4,IF(90=核心参数输入!$B$16*4+核心参数输入!$B$148+核心参数输入!$B$124+1,季度投融资!$E$20,0),0)</f>
        <v>0</v>
      </c>
      <c r="CQ148" s="9">
        <f>IF(91&lt;=核心参数输入!$B$9*4,IF(91=核心参数输入!$B$16*4+核心参数输入!$B$148+核心参数输入!$B$124+1,季度投融资!$E$20,0),0)</f>
        <v>0</v>
      </c>
      <c r="CR148" s="9">
        <f>IF(92&lt;=核心参数输入!$B$9*4,IF(92=核心参数输入!$B$16*4+核心参数输入!$B$148+核心参数输入!$B$124+1,季度投融资!$E$20,0),0)</f>
        <v>0</v>
      </c>
      <c r="CS148" s="9">
        <f>IF(93&lt;=核心参数输入!$B$9*4,IF(93=核心参数输入!$B$16*4+核心参数输入!$B$148+核心参数输入!$B$124+1,季度投融资!$E$20,0),0)</f>
        <v>0</v>
      </c>
      <c r="CT148" s="9">
        <f>IF(94&lt;=核心参数输入!$B$9*4,IF(94=核心参数输入!$B$16*4+核心参数输入!$B$148+核心参数输入!$B$124+1,季度投融资!$E$20,0),0)</f>
        <v>0</v>
      </c>
      <c r="CU148" s="9">
        <f>IF(95&lt;=核心参数输入!$B$9*4,IF(95=核心参数输入!$B$16*4+核心参数输入!$B$148+核心参数输入!$B$124+1,季度投融资!$E$20,0),0)</f>
        <v>0</v>
      </c>
      <c r="CV148" s="9">
        <f>IF(96&lt;=核心参数输入!$B$9*4,IF(96=核心参数输入!$B$16*4+核心参数输入!$B$148+核心参数输入!$B$124+1,季度投融资!$E$20,0),0)</f>
        <v>0</v>
      </c>
      <c r="CW148" s="9">
        <f>IF(97&lt;=核心参数输入!$B$9*4,IF(97=核心参数输入!$B$16*4+核心参数输入!$B$148+核心参数输入!$B$124+1,季度投融资!$E$20,0),0)</f>
        <v>0</v>
      </c>
      <c r="CX148" s="9">
        <f>IF(98&lt;=核心参数输入!$B$9*4,IF(98=核心参数输入!$B$16*4+核心参数输入!$B$148+核心参数输入!$B$124+1,季度投融资!$E$20,0),0)</f>
        <v>0</v>
      </c>
      <c r="CY148" s="9">
        <f>IF(99&lt;=核心参数输入!$B$9*4,IF(99=核心参数输入!$B$16*4+核心参数输入!$B$148+核心参数输入!$B$124+1,季度投融资!$E$20,0),0)</f>
        <v>0</v>
      </c>
      <c r="CZ148" s="9">
        <f>IF(100&lt;=核心参数输入!$B$9*4,IF(100=核心参数输入!$B$16*4+核心参数输入!$B$148+核心参数输入!$B$124+1,季度投融资!$E$20,0),0)</f>
        <v>0</v>
      </c>
      <c r="DA148" s="9">
        <f>IF(101&lt;=核心参数输入!$B$9*4,IF(101=核心参数输入!$B$16*4+核心参数输入!$B$148+核心参数输入!$B$124+1,季度投融资!$E$20,0),0)</f>
        <v>0</v>
      </c>
      <c r="DB148" s="9">
        <f>IF(102&lt;=核心参数输入!$B$9*4,IF(102=核心参数输入!$B$16*4+核心参数输入!$B$148+核心参数输入!$B$124+1,季度投融资!$E$20,0),0)</f>
        <v>0</v>
      </c>
      <c r="DC148" s="9">
        <f>IF(103&lt;=核心参数输入!$B$9*4,IF(103=核心参数输入!$B$16*4+核心参数输入!$B$148+核心参数输入!$B$124+1,季度投融资!$E$20,0),0)</f>
        <v>0</v>
      </c>
      <c r="DD148" s="9">
        <f>IF(104&lt;=核心参数输入!$B$9*4,IF(104=核心参数输入!$B$16*4+核心参数输入!$B$148+核心参数输入!$B$124+1,季度投融资!$E$20,0),0)</f>
        <v>0</v>
      </c>
      <c r="DE148" s="9">
        <f>IF(105&lt;=核心参数输入!$B$9*4,IF(105=核心参数输入!$B$16*4+核心参数输入!$B$148+核心参数输入!$B$124+1,季度投融资!$E$20,0),0)</f>
        <v>0</v>
      </c>
      <c r="DF148" s="9">
        <f>IF(106&lt;=核心参数输入!$B$9*4,IF(106=核心参数输入!$B$16*4+核心参数输入!$B$148+核心参数输入!$B$124+1,季度投融资!$E$20,0),0)</f>
        <v>0</v>
      </c>
      <c r="DG148" s="9">
        <f>IF(107&lt;=核心参数输入!$B$9*4,IF(107=核心参数输入!$B$16*4+核心参数输入!$B$148+核心参数输入!$B$124+1,季度投融资!$E$20,0),0)</f>
        <v>0</v>
      </c>
      <c r="DH148" s="9">
        <f>IF(108&lt;=核心参数输入!$B$9*4,IF(108=核心参数输入!$B$16*4+核心参数输入!$B$148+核心参数输入!$B$124+1,季度投融资!$E$20,0),0)</f>
        <v>0</v>
      </c>
      <c r="DI148" s="9">
        <f>IF(109&lt;=核心参数输入!$B$9*4,IF(109=核心参数输入!$B$16*4+核心参数输入!$B$148+核心参数输入!$B$124+1,季度投融资!$E$20,0),0)</f>
        <v>0</v>
      </c>
      <c r="DJ148" s="9">
        <f>IF(110&lt;=核心参数输入!$B$9*4,IF(110=核心参数输入!$B$16*4+核心参数输入!$B$148+核心参数输入!$B$124+1,季度投融资!$E$20,0),0)</f>
        <v>0</v>
      </c>
      <c r="DK148" s="9">
        <f>IF(111&lt;=核心参数输入!$B$9*4,IF(111=核心参数输入!$B$16*4+核心参数输入!$B$148+核心参数输入!$B$124+1,季度投融资!$E$20,0),0)</f>
        <v>0</v>
      </c>
      <c r="DL148" s="9">
        <f>IF(112&lt;=核心参数输入!$B$9*4,IF(112=核心参数输入!$B$16*4+核心参数输入!$B$148+核心参数输入!$B$124+1,季度投融资!$E$20,0),0)</f>
        <v>0</v>
      </c>
      <c r="DM148" s="9">
        <f>IF(113&lt;=核心参数输入!$B$9*4,IF(113=核心参数输入!$B$16*4+核心参数输入!$B$148+核心参数输入!$B$124+1,季度投融资!$E$20,0),0)</f>
        <v>0</v>
      </c>
      <c r="DN148" s="9">
        <f>IF(114&lt;=核心参数输入!$B$9*4,IF(114=核心参数输入!$B$16*4+核心参数输入!$B$148+核心参数输入!$B$124+1,季度投融资!$E$20,0),0)</f>
        <v>0</v>
      </c>
      <c r="DO148" s="9">
        <f>IF(115&lt;=核心参数输入!$B$9*4,IF(115=核心参数输入!$B$16*4+核心参数输入!$B$148+核心参数输入!$B$124+1,季度投融资!$E$20,0),0)</f>
        <v>0</v>
      </c>
      <c r="DP148" s="9">
        <f>IF(116&lt;=核心参数输入!$B$9*4,IF(116=核心参数输入!$B$16*4+核心参数输入!$B$148+核心参数输入!$B$124+1,季度投融资!$E$20,0),0)</f>
        <v>0</v>
      </c>
      <c r="DQ148" s="9">
        <f>IF(117&lt;=核心参数输入!$B$9*4,IF(117=核心参数输入!$B$16*4+核心参数输入!$B$148+核心参数输入!$B$124+1,季度投融资!$E$20,0),0)</f>
        <v>0</v>
      </c>
      <c r="DR148" s="9">
        <f>IF(118&lt;=核心参数输入!$B$9*4,IF(118=核心参数输入!$B$16*4+核心参数输入!$B$148+核心参数输入!$B$124+1,季度投融资!$E$20,0),0)</f>
        <v>0</v>
      </c>
      <c r="DS148" s="9">
        <f>IF(119&lt;=核心参数输入!$B$9*4,IF(119=核心参数输入!$B$16*4+核心参数输入!$B$148+核心参数输入!$B$124+1,季度投融资!$E$20,0),0)</f>
        <v>0</v>
      </c>
      <c r="DT148" s="9">
        <f>IF(120&lt;=核心参数输入!$B$9*4,IF(120=核心参数输入!$B$16*4+核心参数输入!$B$148+核心参数输入!$B$124+1,季度投融资!$E$20,0),0)</f>
        <v>0</v>
      </c>
    </row>
    <row r="149" spans="1:124" ht="21" customHeight="1">
      <c r="A149" s="8" t="s">
        <v>430</v>
      </c>
      <c r="B149" s="8" t="s">
        <v>39</v>
      </c>
      <c r="C149" s="8"/>
      <c r="D149" s="9">
        <f>IF(0&lt;=核心参数输入!$B$9*4,核心参数输入!$B$57*季度计划!D123,0)</f>
        <v>0</v>
      </c>
      <c r="E149" s="9">
        <f>IF(1&lt;=核心参数输入!$B$9*4,核心参数输入!$B$57*季度计划!E123,0)</f>
        <v>2250</v>
      </c>
      <c r="F149" s="9">
        <f>IF(2&lt;=核心参数输入!$B$9*4,核心参数输入!$B$57*季度计划!F123,0)</f>
        <v>2250</v>
      </c>
      <c r="G149" s="9">
        <f>IF(3&lt;=核心参数输入!$B$9*4,核心参数输入!$B$57*季度计划!G123,0)</f>
        <v>2250</v>
      </c>
      <c r="H149" s="9">
        <f>IF(4&lt;=核心参数输入!$B$9*4,核心参数输入!$B$57*季度计划!H123,0)</f>
        <v>2250</v>
      </c>
      <c r="I149" s="9">
        <f>IF(5&lt;=核心参数输入!$B$9*4,核心参数输入!$B$57*季度计划!I123,0)</f>
        <v>3000</v>
      </c>
      <c r="J149" s="9">
        <f>IF(6&lt;=核心参数输入!$B$9*4,核心参数输入!$B$57*季度计划!J123,0)</f>
        <v>3000</v>
      </c>
      <c r="K149" s="9">
        <f>IF(7&lt;=核心参数输入!$B$9*4,核心参数输入!$B$57*季度计划!K123,0)</f>
        <v>3000</v>
      </c>
      <c r="L149" s="9">
        <f>IF(8&lt;=核心参数输入!$B$9*4,核心参数输入!$B$57*季度计划!L123,0)</f>
        <v>3000</v>
      </c>
      <c r="M149" s="9">
        <f>IF(9&lt;=核心参数输入!$B$9*4,核心参数输入!$B$57*季度计划!M123,0)</f>
        <v>2250</v>
      </c>
      <c r="N149" s="9">
        <f>IF(10&lt;=核心参数输入!$B$9*4,核心参数输入!$B$57*季度计划!N123,0)</f>
        <v>2250</v>
      </c>
      <c r="O149" s="9">
        <f>IF(11&lt;=核心参数输入!$B$9*4,核心参数输入!$B$57*季度计划!O123,0)</f>
        <v>2250</v>
      </c>
      <c r="P149" s="9">
        <f>IF(12&lt;=核心参数输入!$B$9*4,核心参数输入!$B$57*季度计划!P123,0)</f>
        <v>2250</v>
      </c>
      <c r="Q149" s="9">
        <f>IF(13&lt;=核心参数输入!$B$9*4,核心参数输入!$B$57*季度计划!Q123,0)</f>
        <v>0</v>
      </c>
      <c r="R149" s="9">
        <f>IF(14&lt;=核心参数输入!$B$9*4,核心参数输入!$B$57*季度计划!R123,0)</f>
        <v>0</v>
      </c>
      <c r="S149" s="9">
        <f>IF(15&lt;=核心参数输入!$B$9*4,核心参数输入!$B$57*季度计划!S123,0)</f>
        <v>0</v>
      </c>
      <c r="T149" s="9">
        <f>IF(16&lt;=核心参数输入!$B$9*4,核心参数输入!$B$57*季度计划!T123,0)</f>
        <v>0</v>
      </c>
      <c r="U149" s="9">
        <f>IF(17&lt;=核心参数输入!$B$9*4,核心参数输入!$B$57*季度计划!U123,0)</f>
        <v>0</v>
      </c>
      <c r="V149" s="9">
        <f>IF(18&lt;=核心参数输入!$B$9*4,核心参数输入!$B$57*季度计划!V123,0)</f>
        <v>0</v>
      </c>
      <c r="W149" s="9">
        <f>IF(19&lt;=核心参数输入!$B$9*4,核心参数输入!$B$57*季度计划!W123,0)</f>
        <v>0</v>
      </c>
      <c r="X149" s="9">
        <f>IF(20&lt;=核心参数输入!$B$9*4,核心参数输入!$B$57*季度计划!X123,0)</f>
        <v>0</v>
      </c>
      <c r="Y149" s="9">
        <f>IF(21&lt;=核心参数输入!$B$9*4,核心参数输入!$B$57*季度计划!Y123,0)</f>
        <v>0</v>
      </c>
      <c r="Z149" s="9">
        <f>IF(22&lt;=核心参数输入!$B$9*4,核心参数输入!$B$57*季度计划!Z123,0)</f>
        <v>0</v>
      </c>
      <c r="AA149" s="9">
        <f>IF(23&lt;=核心参数输入!$B$9*4,核心参数输入!$B$57*季度计划!AA123,0)</f>
        <v>0</v>
      </c>
      <c r="AB149" s="9">
        <f>IF(24&lt;=核心参数输入!$B$9*4,核心参数输入!$B$57*季度计划!AB123,0)</f>
        <v>0</v>
      </c>
      <c r="AC149" s="9">
        <f>IF(25&lt;=核心参数输入!$B$9*4,核心参数输入!$B$57*季度计划!AC123,0)</f>
        <v>0</v>
      </c>
      <c r="AD149" s="9">
        <f>IF(26&lt;=核心参数输入!$B$9*4,核心参数输入!$B$57*季度计划!AD123,0)</f>
        <v>0</v>
      </c>
      <c r="AE149" s="9">
        <f>IF(27&lt;=核心参数输入!$B$9*4,核心参数输入!$B$57*季度计划!AE123,0)</f>
        <v>0</v>
      </c>
      <c r="AF149" s="9">
        <f>IF(28&lt;=核心参数输入!$B$9*4,核心参数输入!$B$57*季度计划!AF123,0)</f>
        <v>0</v>
      </c>
      <c r="AG149" s="9">
        <f>IF(29&lt;=核心参数输入!$B$9*4,核心参数输入!$B$57*季度计划!AG123,0)</f>
        <v>0</v>
      </c>
      <c r="AH149" s="9">
        <f>IF(30&lt;=核心参数输入!$B$9*4,核心参数输入!$B$57*季度计划!AH123,0)</f>
        <v>0</v>
      </c>
      <c r="AI149" s="9">
        <f>IF(31&lt;=核心参数输入!$B$9*4,核心参数输入!$B$57*季度计划!AI123,0)</f>
        <v>0</v>
      </c>
      <c r="AJ149" s="9">
        <f>IF(32&lt;=核心参数输入!$B$9*4,核心参数输入!$B$57*季度计划!AJ123,0)</f>
        <v>0</v>
      </c>
      <c r="AK149" s="9">
        <f>IF(33&lt;=核心参数输入!$B$9*4,核心参数输入!$B$57*季度计划!AK123,0)</f>
        <v>0</v>
      </c>
      <c r="AL149" s="9">
        <f>IF(34&lt;=核心参数输入!$B$9*4,核心参数输入!$B$57*季度计划!AL123,0)</f>
        <v>0</v>
      </c>
      <c r="AM149" s="9">
        <f>IF(35&lt;=核心参数输入!$B$9*4,核心参数输入!$B$57*季度计划!AM123,0)</f>
        <v>0</v>
      </c>
      <c r="AN149" s="9">
        <f>IF(36&lt;=核心参数输入!$B$9*4,核心参数输入!$B$57*季度计划!AN123,0)</f>
        <v>0</v>
      </c>
      <c r="AO149" s="9">
        <f>IF(37&lt;=核心参数输入!$B$9*4,核心参数输入!$B$57*季度计划!AO123,0)</f>
        <v>0</v>
      </c>
      <c r="AP149" s="9">
        <f>IF(38&lt;=核心参数输入!$B$9*4,核心参数输入!$B$57*季度计划!AP123,0)</f>
        <v>0</v>
      </c>
      <c r="AQ149" s="9">
        <f>IF(39&lt;=核心参数输入!$B$9*4,核心参数输入!$B$57*季度计划!AQ123,0)</f>
        <v>0</v>
      </c>
      <c r="AR149" s="9">
        <f>IF(40&lt;=核心参数输入!$B$9*4,核心参数输入!$B$57*季度计划!AR123,0)</f>
        <v>0</v>
      </c>
      <c r="AS149" s="9">
        <f>IF(41&lt;=核心参数输入!$B$9*4,核心参数输入!$B$57*季度计划!AS123,0)</f>
        <v>0</v>
      </c>
      <c r="AT149" s="9">
        <f>IF(42&lt;=核心参数输入!$B$9*4,核心参数输入!$B$57*季度计划!AT123,0)</f>
        <v>0</v>
      </c>
      <c r="AU149" s="9">
        <f>IF(43&lt;=核心参数输入!$B$9*4,核心参数输入!$B$57*季度计划!AU123,0)</f>
        <v>0</v>
      </c>
      <c r="AV149" s="9">
        <f>IF(44&lt;=核心参数输入!$B$9*4,核心参数输入!$B$57*季度计划!AV123,0)</f>
        <v>0</v>
      </c>
      <c r="AW149" s="9">
        <f>IF(45&lt;=核心参数输入!$B$9*4,核心参数输入!$B$57*季度计划!AW123,0)</f>
        <v>0</v>
      </c>
      <c r="AX149" s="9">
        <f>IF(46&lt;=核心参数输入!$B$9*4,核心参数输入!$B$57*季度计划!AX123,0)</f>
        <v>0</v>
      </c>
      <c r="AY149" s="9">
        <f>IF(47&lt;=核心参数输入!$B$9*4,核心参数输入!$B$57*季度计划!AY123,0)</f>
        <v>0</v>
      </c>
      <c r="AZ149" s="9">
        <f>IF(48&lt;=核心参数输入!$B$9*4,核心参数输入!$B$57*季度计划!AZ123,0)</f>
        <v>0</v>
      </c>
      <c r="BA149" s="9">
        <f>IF(49&lt;=核心参数输入!$B$9*4,核心参数输入!$B$57*季度计划!BA123,0)</f>
        <v>0</v>
      </c>
      <c r="BB149" s="9">
        <f>IF(50&lt;=核心参数输入!$B$9*4,核心参数输入!$B$57*季度计划!BB123,0)</f>
        <v>0</v>
      </c>
      <c r="BC149" s="9">
        <f>IF(51&lt;=核心参数输入!$B$9*4,核心参数输入!$B$57*季度计划!BC123,0)</f>
        <v>0</v>
      </c>
      <c r="BD149" s="9">
        <f>IF(52&lt;=核心参数输入!$B$9*4,核心参数输入!$B$57*季度计划!BD123,0)</f>
        <v>0</v>
      </c>
      <c r="BE149" s="9">
        <f>IF(53&lt;=核心参数输入!$B$9*4,核心参数输入!$B$57*季度计划!BE123,0)</f>
        <v>0</v>
      </c>
      <c r="BF149" s="9">
        <f>IF(54&lt;=核心参数输入!$B$9*4,核心参数输入!$B$57*季度计划!BF123,0)</f>
        <v>0</v>
      </c>
      <c r="BG149" s="9">
        <f>IF(55&lt;=核心参数输入!$B$9*4,核心参数输入!$B$57*季度计划!BG123,0)</f>
        <v>0</v>
      </c>
      <c r="BH149" s="9">
        <f>IF(56&lt;=核心参数输入!$B$9*4,核心参数输入!$B$57*季度计划!BH123,0)</f>
        <v>0</v>
      </c>
      <c r="BI149" s="9">
        <f>IF(57&lt;=核心参数输入!$B$9*4,核心参数输入!$B$57*季度计划!BI123,0)</f>
        <v>0</v>
      </c>
      <c r="BJ149" s="9">
        <f>IF(58&lt;=核心参数输入!$B$9*4,核心参数输入!$B$57*季度计划!BJ123,0)</f>
        <v>0</v>
      </c>
      <c r="BK149" s="9">
        <f>IF(59&lt;=核心参数输入!$B$9*4,核心参数输入!$B$57*季度计划!BK123,0)</f>
        <v>0</v>
      </c>
      <c r="BL149" s="9">
        <f>IF(60&lt;=核心参数输入!$B$9*4,核心参数输入!$B$57*季度计划!BL123,0)</f>
        <v>0</v>
      </c>
      <c r="BM149" s="9">
        <f>IF(61&lt;=核心参数输入!$B$9*4,核心参数输入!$B$57*季度计划!BM123,0)</f>
        <v>0</v>
      </c>
      <c r="BN149" s="9">
        <f>IF(62&lt;=核心参数输入!$B$9*4,核心参数输入!$B$57*季度计划!BN123,0)</f>
        <v>0</v>
      </c>
      <c r="BO149" s="9">
        <f>IF(63&lt;=核心参数输入!$B$9*4,核心参数输入!$B$57*季度计划!BO123,0)</f>
        <v>0</v>
      </c>
      <c r="BP149" s="9">
        <f>IF(64&lt;=核心参数输入!$B$9*4,核心参数输入!$B$57*季度计划!BP123,0)</f>
        <v>0</v>
      </c>
      <c r="BQ149" s="9">
        <f>IF(65&lt;=核心参数输入!$B$9*4,核心参数输入!$B$57*季度计划!BQ123,0)</f>
        <v>0</v>
      </c>
      <c r="BR149" s="9">
        <f>IF(66&lt;=核心参数输入!$B$9*4,核心参数输入!$B$57*季度计划!BR123,0)</f>
        <v>0</v>
      </c>
      <c r="BS149" s="9">
        <f>IF(67&lt;=核心参数输入!$B$9*4,核心参数输入!$B$57*季度计划!BS123,0)</f>
        <v>0</v>
      </c>
      <c r="BT149" s="9">
        <f>IF(68&lt;=核心参数输入!$B$9*4,核心参数输入!$B$57*季度计划!BT123,0)</f>
        <v>0</v>
      </c>
      <c r="BU149" s="9">
        <f>IF(69&lt;=核心参数输入!$B$9*4,核心参数输入!$B$57*季度计划!BU123,0)</f>
        <v>0</v>
      </c>
      <c r="BV149" s="9">
        <f>IF(70&lt;=核心参数输入!$B$9*4,核心参数输入!$B$57*季度计划!BV123,0)</f>
        <v>0</v>
      </c>
      <c r="BW149" s="9">
        <f>IF(71&lt;=核心参数输入!$B$9*4,核心参数输入!$B$57*季度计划!BW123,0)</f>
        <v>0</v>
      </c>
      <c r="BX149" s="9">
        <f>IF(72&lt;=核心参数输入!$B$9*4,核心参数输入!$B$57*季度计划!BX123,0)</f>
        <v>0</v>
      </c>
      <c r="BY149" s="9">
        <f>IF(73&lt;=核心参数输入!$B$9*4,核心参数输入!$B$57*季度计划!BY123,0)</f>
        <v>0</v>
      </c>
      <c r="BZ149" s="9">
        <f>IF(74&lt;=核心参数输入!$B$9*4,核心参数输入!$B$57*季度计划!BZ123,0)</f>
        <v>0</v>
      </c>
      <c r="CA149" s="9">
        <f>IF(75&lt;=核心参数输入!$B$9*4,核心参数输入!$B$57*季度计划!CA123,0)</f>
        <v>0</v>
      </c>
      <c r="CB149" s="9">
        <f>IF(76&lt;=核心参数输入!$B$9*4,核心参数输入!$B$57*季度计划!CB123,0)</f>
        <v>0</v>
      </c>
      <c r="CC149" s="9">
        <f>IF(77&lt;=核心参数输入!$B$9*4,核心参数输入!$B$57*季度计划!CC123,0)</f>
        <v>0</v>
      </c>
      <c r="CD149" s="9">
        <f>IF(78&lt;=核心参数输入!$B$9*4,核心参数输入!$B$57*季度计划!CD123,0)</f>
        <v>0</v>
      </c>
      <c r="CE149" s="9">
        <f>IF(79&lt;=核心参数输入!$B$9*4,核心参数输入!$B$57*季度计划!CE123,0)</f>
        <v>0</v>
      </c>
      <c r="CF149" s="9">
        <f>IF(80&lt;=核心参数输入!$B$9*4,核心参数输入!$B$57*季度计划!CF123,0)</f>
        <v>0</v>
      </c>
      <c r="CG149" s="9">
        <f>IF(81&lt;=核心参数输入!$B$9*4,核心参数输入!$B$57*季度计划!CG123,0)</f>
        <v>0</v>
      </c>
      <c r="CH149" s="9">
        <f>IF(82&lt;=核心参数输入!$B$9*4,核心参数输入!$B$57*季度计划!CH123,0)</f>
        <v>0</v>
      </c>
      <c r="CI149" s="9">
        <f>IF(83&lt;=核心参数输入!$B$9*4,核心参数输入!$B$57*季度计划!CI123,0)</f>
        <v>0</v>
      </c>
      <c r="CJ149" s="9">
        <f>IF(84&lt;=核心参数输入!$B$9*4,核心参数输入!$B$57*季度计划!CJ123,0)</f>
        <v>0</v>
      </c>
      <c r="CK149" s="9">
        <f>IF(85&lt;=核心参数输入!$B$9*4,核心参数输入!$B$57*季度计划!CK123,0)</f>
        <v>0</v>
      </c>
      <c r="CL149" s="9">
        <f>IF(86&lt;=核心参数输入!$B$9*4,核心参数输入!$B$57*季度计划!CL123,0)</f>
        <v>0</v>
      </c>
      <c r="CM149" s="9">
        <f>IF(87&lt;=核心参数输入!$B$9*4,核心参数输入!$B$57*季度计划!CM123,0)</f>
        <v>0</v>
      </c>
      <c r="CN149" s="9">
        <f>IF(88&lt;=核心参数输入!$B$9*4,核心参数输入!$B$57*季度计划!CN123,0)</f>
        <v>0</v>
      </c>
      <c r="CO149" s="9">
        <f>IF(89&lt;=核心参数输入!$B$9*4,核心参数输入!$B$57*季度计划!CO123,0)</f>
        <v>0</v>
      </c>
      <c r="CP149" s="9">
        <f>IF(90&lt;=核心参数输入!$B$9*4,核心参数输入!$B$57*季度计划!CP123,0)</f>
        <v>0</v>
      </c>
      <c r="CQ149" s="9">
        <f>IF(91&lt;=核心参数输入!$B$9*4,核心参数输入!$B$57*季度计划!CQ123,0)</f>
        <v>0</v>
      </c>
      <c r="CR149" s="9">
        <f>IF(92&lt;=核心参数输入!$B$9*4,核心参数输入!$B$57*季度计划!CR123,0)</f>
        <v>0</v>
      </c>
      <c r="CS149" s="9">
        <f>IF(93&lt;=核心参数输入!$B$9*4,核心参数输入!$B$57*季度计划!CS123,0)</f>
        <v>0</v>
      </c>
      <c r="CT149" s="9">
        <f>IF(94&lt;=核心参数输入!$B$9*4,核心参数输入!$B$57*季度计划!CT123,0)</f>
        <v>0</v>
      </c>
      <c r="CU149" s="9">
        <f>IF(95&lt;=核心参数输入!$B$9*4,核心参数输入!$B$57*季度计划!CU123,0)</f>
        <v>0</v>
      </c>
      <c r="CV149" s="9">
        <f>IF(96&lt;=核心参数输入!$B$9*4,核心参数输入!$B$57*季度计划!CV123,0)</f>
        <v>0</v>
      </c>
      <c r="CW149" s="9">
        <f>IF(97&lt;=核心参数输入!$B$9*4,核心参数输入!$B$57*季度计划!CW123,0)</f>
        <v>0</v>
      </c>
      <c r="CX149" s="9">
        <f>IF(98&lt;=核心参数输入!$B$9*4,核心参数输入!$B$57*季度计划!CX123,0)</f>
        <v>0</v>
      </c>
      <c r="CY149" s="9">
        <f>IF(99&lt;=核心参数输入!$B$9*4,核心参数输入!$B$57*季度计划!CY123,0)</f>
        <v>0</v>
      </c>
      <c r="CZ149" s="9">
        <f>IF(100&lt;=核心参数输入!$B$9*4,核心参数输入!$B$57*季度计划!CZ123,0)</f>
        <v>0</v>
      </c>
      <c r="DA149" s="9">
        <f>IF(101&lt;=核心参数输入!$B$9*4,核心参数输入!$B$57*季度计划!DA123,0)</f>
        <v>0</v>
      </c>
      <c r="DB149" s="9">
        <f>IF(102&lt;=核心参数输入!$B$9*4,核心参数输入!$B$57*季度计划!DB123,0)</f>
        <v>0</v>
      </c>
      <c r="DC149" s="9">
        <f>IF(103&lt;=核心参数输入!$B$9*4,核心参数输入!$B$57*季度计划!DC123,0)</f>
        <v>0</v>
      </c>
      <c r="DD149" s="9">
        <f>IF(104&lt;=核心参数输入!$B$9*4,核心参数输入!$B$57*季度计划!DD123,0)</f>
        <v>0</v>
      </c>
      <c r="DE149" s="9">
        <f>IF(105&lt;=核心参数输入!$B$9*4,核心参数输入!$B$57*季度计划!DE123,0)</f>
        <v>0</v>
      </c>
      <c r="DF149" s="9">
        <f>IF(106&lt;=核心参数输入!$B$9*4,核心参数输入!$B$57*季度计划!DF123,0)</f>
        <v>0</v>
      </c>
      <c r="DG149" s="9">
        <f>IF(107&lt;=核心参数输入!$B$9*4,核心参数输入!$B$57*季度计划!DG123,0)</f>
        <v>0</v>
      </c>
      <c r="DH149" s="9">
        <f>IF(108&lt;=核心参数输入!$B$9*4,核心参数输入!$B$57*季度计划!DH123,0)</f>
        <v>0</v>
      </c>
      <c r="DI149" s="9">
        <f>IF(109&lt;=核心参数输入!$B$9*4,核心参数输入!$B$57*季度计划!DI123,0)</f>
        <v>0</v>
      </c>
      <c r="DJ149" s="9">
        <f>IF(110&lt;=核心参数输入!$B$9*4,核心参数输入!$B$57*季度计划!DJ123,0)</f>
        <v>0</v>
      </c>
      <c r="DK149" s="9">
        <f>IF(111&lt;=核心参数输入!$B$9*4,核心参数输入!$B$57*季度计划!DK123,0)</f>
        <v>0</v>
      </c>
      <c r="DL149" s="9">
        <f>IF(112&lt;=核心参数输入!$B$9*4,核心参数输入!$B$57*季度计划!DL123,0)</f>
        <v>0</v>
      </c>
      <c r="DM149" s="9">
        <f>IF(113&lt;=核心参数输入!$B$9*4,核心参数输入!$B$57*季度计划!DM123,0)</f>
        <v>0</v>
      </c>
      <c r="DN149" s="9">
        <f>IF(114&lt;=核心参数输入!$B$9*4,核心参数输入!$B$57*季度计划!DN123,0)</f>
        <v>0</v>
      </c>
      <c r="DO149" s="9">
        <f>IF(115&lt;=核心参数输入!$B$9*4,核心参数输入!$B$57*季度计划!DO123,0)</f>
        <v>0</v>
      </c>
      <c r="DP149" s="9">
        <f>IF(116&lt;=核心参数输入!$B$9*4,核心参数输入!$B$57*季度计划!DP123,0)</f>
        <v>0</v>
      </c>
      <c r="DQ149" s="9">
        <f>IF(117&lt;=核心参数输入!$B$9*4,核心参数输入!$B$57*季度计划!DQ123,0)</f>
        <v>0</v>
      </c>
      <c r="DR149" s="9">
        <f>IF(118&lt;=核心参数输入!$B$9*4,核心参数输入!$B$57*季度计划!DR123,0)</f>
        <v>0</v>
      </c>
      <c r="DS149" s="9">
        <f>IF(119&lt;=核心参数输入!$B$9*4,核心参数输入!$B$57*季度计划!DS123,0)</f>
        <v>0</v>
      </c>
      <c r="DT149" s="9">
        <f>IF(120&lt;=核心参数输入!$B$9*4,核心参数输入!$B$57*季度计划!DT123,0)</f>
        <v>0</v>
      </c>
    </row>
    <row r="150" spans="1:124" ht="21" customHeight="1">
      <c r="A150" s="8" t="s">
        <v>431</v>
      </c>
      <c r="B150" s="8" t="s">
        <v>39</v>
      </c>
      <c r="C150" s="8"/>
      <c r="D150" s="9">
        <f>IF(0&lt;=核心参数输入!$B$9*4,0,0)</f>
        <v>0</v>
      </c>
      <c r="E150" s="9">
        <f>IF(1&lt;=核心参数输入!$B$9*4,季度投融资!D153,0)</f>
        <v>0</v>
      </c>
      <c r="F150" s="9">
        <f>IF(2&lt;=核心参数输入!$B$9*4,季度投融资!E153,0)</f>
        <v>2250</v>
      </c>
      <c r="G150" s="9">
        <f>IF(3&lt;=核心参数输入!$B$9*4,季度投融资!F153,0)</f>
        <v>4500</v>
      </c>
      <c r="H150" s="9">
        <f>IF(4&lt;=核心参数输入!$B$9*4,季度投融资!G153,0)</f>
        <v>6750</v>
      </c>
      <c r="I150" s="9">
        <f>IF(5&lt;=核心参数输入!$B$9*4,季度投融资!H153,0)</f>
        <v>9000</v>
      </c>
      <c r="J150" s="9">
        <f>IF(6&lt;=核心参数输入!$B$9*4,季度投融资!I153,0)</f>
        <v>12000</v>
      </c>
      <c r="K150" s="9">
        <f>IF(7&lt;=核心参数输入!$B$9*4,季度投融资!J153,0)</f>
        <v>15000</v>
      </c>
      <c r="L150" s="9">
        <f>IF(8&lt;=核心参数输入!$B$9*4,季度投融资!K153,0)</f>
        <v>18000</v>
      </c>
      <c r="M150" s="9">
        <f>IF(9&lt;=核心参数输入!$B$9*4,季度投融资!L153,0)</f>
        <v>21000</v>
      </c>
      <c r="N150" s="9">
        <f>IF(10&lt;=核心参数输入!$B$9*4,季度投融资!M153,0)</f>
        <v>23250</v>
      </c>
      <c r="O150" s="9">
        <f>IF(11&lt;=核心参数输入!$B$9*4,季度投融资!N153,0)</f>
        <v>25500</v>
      </c>
      <c r="P150" s="9">
        <f>IF(12&lt;=核心参数输入!$B$9*4,季度投融资!O153,0)</f>
        <v>27750</v>
      </c>
      <c r="Q150" s="9">
        <f>IF(13&lt;=核心参数输入!$B$9*4,季度投融资!P153,0)</f>
        <v>30000</v>
      </c>
      <c r="R150" s="9">
        <f>IF(14&lt;=核心参数输入!$B$9*4,季度投融资!Q153,0)</f>
        <v>30000</v>
      </c>
      <c r="S150" s="9">
        <f>IF(15&lt;=核心参数输入!$B$9*4,季度投融资!R153,0)</f>
        <v>30000</v>
      </c>
      <c r="T150" s="9">
        <f>IF(16&lt;=核心参数输入!$B$9*4,季度投融资!S153,0)</f>
        <v>30000</v>
      </c>
      <c r="U150" s="9">
        <f>IF(17&lt;=核心参数输入!$B$9*4,季度投融资!T153,0)</f>
        <v>25714.285714285714</v>
      </c>
      <c r="V150" s="9">
        <f>IF(18&lt;=核心参数输入!$B$9*4,季度投融资!U153,0)</f>
        <v>25714.285714285714</v>
      </c>
      <c r="W150" s="9">
        <f>IF(19&lt;=核心参数输入!$B$9*4,季度投融资!V153,0)</f>
        <v>25714.285714285714</v>
      </c>
      <c r="X150" s="9">
        <f>IF(20&lt;=核心参数输入!$B$9*4,季度投融资!W153,0)</f>
        <v>25714.285714285714</v>
      </c>
      <c r="Y150" s="9">
        <f>IF(21&lt;=核心参数输入!$B$9*4,季度投融资!X153,0)</f>
        <v>21428.571428571428</v>
      </c>
      <c r="Z150" s="9">
        <f>IF(22&lt;=核心参数输入!$B$9*4,季度投融资!Y153,0)</f>
        <v>21428.571428571428</v>
      </c>
      <c r="AA150" s="9">
        <f>IF(23&lt;=核心参数输入!$B$9*4,季度投融资!Z153,0)</f>
        <v>21428.571428571428</v>
      </c>
      <c r="AB150" s="9">
        <f>IF(24&lt;=核心参数输入!$B$9*4,季度投融资!AA153,0)</f>
        <v>21428.571428571428</v>
      </c>
      <c r="AC150" s="9">
        <f>IF(25&lt;=核心参数输入!$B$9*4,季度投融资!AB153,0)</f>
        <v>17142.857142857141</v>
      </c>
      <c r="AD150" s="9">
        <f>IF(26&lt;=核心参数输入!$B$9*4,季度投融资!AC153,0)</f>
        <v>17142.857142857141</v>
      </c>
      <c r="AE150" s="9">
        <f>IF(27&lt;=核心参数输入!$B$9*4,季度投融资!AD153,0)</f>
        <v>17142.857142857141</v>
      </c>
      <c r="AF150" s="9">
        <f>IF(28&lt;=核心参数输入!$B$9*4,季度投融资!AE153,0)</f>
        <v>17142.857142857141</v>
      </c>
      <c r="AG150" s="9">
        <f>IF(29&lt;=核心参数输入!$B$9*4,季度投融资!AF153,0)</f>
        <v>12857.142857142855</v>
      </c>
      <c r="AH150" s="9">
        <f>IF(30&lt;=核心参数输入!$B$9*4,季度投融资!AG153,0)</f>
        <v>12857.142857142855</v>
      </c>
      <c r="AI150" s="9">
        <f>IF(31&lt;=核心参数输入!$B$9*4,季度投融资!AH153,0)</f>
        <v>12857.142857142855</v>
      </c>
      <c r="AJ150" s="9">
        <f>IF(32&lt;=核心参数输入!$B$9*4,季度投融资!AI153,0)</f>
        <v>12857.142857142855</v>
      </c>
      <c r="AK150" s="9">
        <f>IF(33&lt;=核心参数输入!$B$9*4,季度投融资!AJ153,0)</f>
        <v>8571.4285714285688</v>
      </c>
      <c r="AL150" s="9">
        <f>IF(34&lt;=核心参数输入!$B$9*4,季度投融资!AK153,0)</f>
        <v>8571.4285714285688</v>
      </c>
      <c r="AM150" s="9">
        <f>IF(35&lt;=核心参数输入!$B$9*4,季度投融资!AL153,0)</f>
        <v>8571.4285714285688</v>
      </c>
      <c r="AN150" s="9">
        <f>IF(36&lt;=核心参数输入!$B$9*4,季度投融资!AM153,0)</f>
        <v>8571.4285714285688</v>
      </c>
      <c r="AO150" s="9">
        <f>IF(37&lt;=核心参数输入!$B$9*4,季度投融资!AN153,0)</f>
        <v>4285.7142857142835</v>
      </c>
      <c r="AP150" s="9">
        <f>IF(38&lt;=核心参数输入!$B$9*4,季度投融资!AO153,0)</f>
        <v>4285.7142857142835</v>
      </c>
      <c r="AQ150" s="9">
        <f>IF(39&lt;=核心参数输入!$B$9*4,季度投融资!AP153,0)</f>
        <v>4285.7142857142835</v>
      </c>
      <c r="AR150" s="9">
        <f>IF(40&lt;=核心参数输入!$B$9*4,季度投融资!AQ153,0)</f>
        <v>4285.7142857142835</v>
      </c>
      <c r="AS150" s="9">
        <f>IF(41&lt;=核心参数输入!$B$9*4,季度投融资!AR153,0)</f>
        <v>0</v>
      </c>
      <c r="AT150" s="9">
        <f>IF(42&lt;=核心参数输入!$B$9*4,季度投融资!AS153,0)</f>
        <v>0</v>
      </c>
      <c r="AU150" s="9">
        <f>IF(43&lt;=核心参数输入!$B$9*4,季度投融资!AT153,0)</f>
        <v>0</v>
      </c>
      <c r="AV150" s="9">
        <f>IF(44&lt;=核心参数输入!$B$9*4,季度投融资!AU153,0)</f>
        <v>0</v>
      </c>
      <c r="AW150" s="9">
        <f>IF(45&lt;=核心参数输入!$B$9*4,季度投融资!AV153,0)</f>
        <v>0</v>
      </c>
      <c r="AX150" s="9">
        <f>IF(46&lt;=核心参数输入!$B$9*4,季度投融资!AW153,0)</f>
        <v>0</v>
      </c>
      <c r="AY150" s="9">
        <f>IF(47&lt;=核心参数输入!$B$9*4,季度投融资!AX153,0)</f>
        <v>0</v>
      </c>
      <c r="AZ150" s="9">
        <f>IF(48&lt;=核心参数输入!$B$9*4,季度投融资!AY153,0)</f>
        <v>0</v>
      </c>
      <c r="BA150" s="9">
        <f>IF(49&lt;=核心参数输入!$B$9*4,季度投融资!AZ153,0)</f>
        <v>0</v>
      </c>
      <c r="BB150" s="9">
        <f>IF(50&lt;=核心参数输入!$B$9*4,季度投融资!BA153,0)</f>
        <v>0</v>
      </c>
      <c r="BC150" s="9">
        <f>IF(51&lt;=核心参数输入!$B$9*4,季度投融资!BB153,0)</f>
        <v>0</v>
      </c>
      <c r="BD150" s="9">
        <f>IF(52&lt;=核心参数输入!$B$9*4,季度投融资!BC153,0)</f>
        <v>0</v>
      </c>
      <c r="BE150" s="9">
        <f>IF(53&lt;=核心参数输入!$B$9*4,季度投融资!BD153,0)</f>
        <v>0</v>
      </c>
      <c r="BF150" s="9">
        <f>IF(54&lt;=核心参数输入!$B$9*4,季度投融资!BE153,0)</f>
        <v>0</v>
      </c>
      <c r="BG150" s="9">
        <f>IF(55&lt;=核心参数输入!$B$9*4,季度投融资!BF153,0)</f>
        <v>0</v>
      </c>
      <c r="BH150" s="9">
        <f>IF(56&lt;=核心参数输入!$B$9*4,季度投融资!BG153,0)</f>
        <v>0</v>
      </c>
      <c r="BI150" s="9">
        <f>IF(57&lt;=核心参数输入!$B$9*4,季度投融资!BH153,0)</f>
        <v>0</v>
      </c>
      <c r="BJ150" s="9">
        <f>IF(58&lt;=核心参数输入!$B$9*4,季度投融资!BI153,0)</f>
        <v>0</v>
      </c>
      <c r="BK150" s="9">
        <f>IF(59&lt;=核心参数输入!$B$9*4,季度投融资!BJ153,0)</f>
        <v>0</v>
      </c>
      <c r="BL150" s="9">
        <f>IF(60&lt;=核心参数输入!$B$9*4,季度投融资!BK153,0)</f>
        <v>0</v>
      </c>
      <c r="BM150" s="9">
        <f>IF(61&lt;=核心参数输入!$B$9*4,季度投融资!BL153,0)</f>
        <v>0</v>
      </c>
      <c r="BN150" s="9">
        <f>IF(62&lt;=核心参数输入!$B$9*4,季度投融资!BM153,0)</f>
        <v>0</v>
      </c>
      <c r="BO150" s="9">
        <f>IF(63&lt;=核心参数输入!$B$9*4,季度投融资!BN153,0)</f>
        <v>0</v>
      </c>
      <c r="BP150" s="9">
        <f>IF(64&lt;=核心参数输入!$B$9*4,季度投融资!BO153,0)</f>
        <v>0</v>
      </c>
      <c r="BQ150" s="9">
        <f>IF(65&lt;=核心参数输入!$B$9*4,季度投融资!BP153,0)</f>
        <v>0</v>
      </c>
      <c r="BR150" s="9">
        <f>IF(66&lt;=核心参数输入!$B$9*4,季度投融资!BQ153,0)</f>
        <v>0</v>
      </c>
      <c r="BS150" s="9">
        <f>IF(67&lt;=核心参数输入!$B$9*4,季度投融资!BR153,0)</f>
        <v>0</v>
      </c>
      <c r="BT150" s="9">
        <f>IF(68&lt;=核心参数输入!$B$9*4,季度投融资!BS153,0)</f>
        <v>0</v>
      </c>
      <c r="BU150" s="9">
        <f>IF(69&lt;=核心参数输入!$B$9*4,季度投融资!BT153,0)</f>
        <v>0</v>
      </c>
      <c r="BV150" s="9">
        <f>IF(70&lt;=核心参数输入!$B$9*4,季度投融资!BU153,0)</f>
        <v>0</v>
      </c>
      <c r="BW150" s="9">
        <f>IF(71&lt;=核心参数输入!$B$9*4,季度投融资!BV153,0)</f>
        <v>0</v>
      </c>
      <c r="BX150" s="9">
        <f>IF(72&lt;=核心参数输入!$B$9*4,季度投融资!BW153,0)</f>
        <v>0</v>
      </c>
      <c r="BY150" s="9">
        <f>IF(73&lt;=核心参数输入!$B$9*4,季度投融资!BX153,0)</f>
        <v>0</v>
      </c>
      <c r="BZ150" s="9">
        <f>IF(74&lt;=核心参数输入!$B$9*4,季度投融资!BY153,0)</f>
        <v>0</v>
      </c>
      <c r="CA150" s="9">
        <f>IF(75&lt;=核心参数输入!$B$9*4,季度投融资!BZ153,0)</f>
        <v>0</v>
      </c>
      <c r="CB150" s="9">
        <f>IF(76&lt;=核心参数输入!$B$9*4,季度投融资!CA153,0)</f>
        <v>0</v>
      </c>
      <c r="CC150" s="9">
        <f>IF(77&lt;=核心参数输入!$B$9*4,季度投融资!CB153,0)</f>
        <v>0</v>
      </c>
      <c r="CD150" s="9">
        <f>IF(78&lt;=核心参数输入!$B$9*4,季度投融资!CC153,0)</f>
        <v>0</v>
      </c>
      <c r="CE150" s="9">
        <f>IF(79&lt;=核心参数输入!$B$9*4,季度投融资!CD153,0)</f>
        <v>0</v>
      </c>
      <c r="CF150" s="9">
        <f>IF(80&lt;=核心参数输入!$B$9*4,季度投融资!CE153,0)</f>
        <v>0</v>
      </c>
      <c r="CG150" s="9">
        <f>IF(81&lt;=核心参数输入!$B$9*4,季度投融资!CF153,0)</f>
        <v>0</v>
      </c>
      <c r="CH150" s="9">
        <f>IF(82&lt;=核心参数输入!$B$9*4,季度投融资!CG153,0)</f>
        <v>0</v>
      </c>
      <c r="CI150" s="9">
        <f>IF(83&lt;=核心参数输入!$B$9*4,季度投融资!CH153,0)</f>
        <v>0</v>
      </c>
      <c r="CJ150" s="9">
        <f>IF(84&lt;=核心参数输入!$B$9*4,季度投融资!CI153,0)</f>
        <v>0</v>
      </c>
      <c r="CK150" s="9">
        <f>IF(85&lt;=核心参数输入!$B$9*4,季度投融资!CJ153,0)</f>
        <v>0</v>
      </c>
      <c r="CL150" s="9">
        <f>IF(86&lt;=核心参数输入!$B$9*4,季度投融资!CK153,0)</f>
        <v>0</v>
      </c>
      <c r="CM150" s="9">
        <f>IF(87&lt;=核心参数输入!$B$9*4,季度投融资!CL153,0)</f>
        <v>0</v>
      </c>
      <c r="CN150" s="9">
        <f>IF(88&lt;=核心参数输入!$B$9*4,季度投融资!CM153,0)</f>
        <v>0</v>
      </c>
      <c r="CO150" s="9">
        <f>IF(89&lt;=核心参数输入!$B$9*4,季度投融资!CN153,0)</f>
        <v>0</v>
      </c>
      <c r="CP150" s="9">
        <f>IF(90&lt;=核心参数输入!$B$9*4,季度投融资!CO153,0)</f>
        <v>0</v>
      </c>
      <c r="CQ150" s="9">
        <f>IF(91&lt;=核心参数输入!$B$9*4,季度投融资!CP153,0)</f>
        <v>0</v>
      </c>
      <c r="CR150" s="9">
        <f>IF(92&lt;=核心参数输入!$B$9*4,季度投融资!CQ153,0)</f>
        <v>0</v>
      </c>
      <c r="CS150" s="9">
        <f>IF(93&lt;=核心参数输入!$B$9*4,季度投融资!CR153,0)</f>
        <v>0</v>
      </c>
      <c r="CT150" s="9">
        <f>IF(94&lt;=核心参数输入!$B$9*4,季度投融资!CS153,0)</f>
        <v>0</v>
      </c>
      <c r="CU150" s="9">
        <f>IF(95&lt;=核心参数输入!$B$9*4,季度投融资!CT153,0)</f>
        <v>0</v>
      </c>
      <c r="CV150" s="9">
        <f>IF(96&lt;=核心参数输入!$B$9*4,季度投融资!CU153,0)</f>
        <v>0</v>
      </c>
      <c r="CW150" s="9">
        <f>IF(97&lt;=核心参数输入!$B$9*4,季度投融资!CV153,0)</f>
        <v>0</v>
      </c>
      <c r="CX150" s="9">
        <f>IF(98&lt;=核心参数输入!$B$9*4,季度投融资!CW153,0)</f>
        <v>0</v>
      </c>
      <c r="CY150" s="9">
        <f>IF(99&lt;=核心参数输入!$B$9*4,季度投融资!CX153,0)</f>
        <v>0</v>
      </c>
      <c r="CZ150" s="9">
        <f>IF(100&lt;=核心参数输入!$B$9*4,季度投融资!CY153,0)</f>
        <v>0</v>
      </c>
      <c r="DA150" s="9">
        <f>IF(101&lt;=核心参数输入!$B$9*4,季度投融资!CZ153,0)</f>
        <v>0</v>
      </c>
      <c r="DB150" s="9">
        <f>IF(102&lt;=核心参数输入!$B$9*4,季度投融资!DA153,0)</f>
        <v>0</v>
      </c>
      <c r="DC150" s="9">
        <f>IF(103&lt;=核心参数输入!$B$9*4,季度投融资!DB153,0)</f>
        <v>0</v>
      </c>
      <c r="DD150" s="9">
        <f>IF(104&lt;=核心参数输入!$B$9*4,季度投融资!DC153,0)</f>
        <v>0</v>
      </c>
      <c r="DE150" s="9">
        <f>IF(105&lt;=核心参数输入!$B$9*4,季度投融资!DD153,0)</f>
        <v>0</v>
      </c>
      <c r="DF150" s="9">
        <f>IF(106&lt;=核心参数输入!$B$9*4,季度投融资!DE153,0)</f>
        <v>0</v>
      </c>
      <c r="DG150" s="9">
        <f>IF(107&lt;=核心参数输入!$B$9*4,季度投融资!DF153,0)</f>
        <v>0</v>
      </c>
      <c r="DH150" s="9">
        <f>IF(108&lt;=核心参数输入!$B$9*4,季度投融资!DG153,0)</f>
        <v>0</v>
      </c>
      <c r="DI150" s="9">
        <f>IF(109&lt;=核心参数输入!$B$9*4,季度投融资!DH153,0)</f>
        <v>0</v>
      </c>
      <c r="DJ150" s="9">
        <f>IF(110&lt;=核心参数输入!$B$9*4,季度投融资!DI153,0)</f>
        <v>0</v>
      </c>
      <c r="DK150" s="9">
        <f>IF(111&lt;=核心参数输入!$B$9*4,季度投融资!DJ153,0)</f>
        <v>0</v>
      </c>
      <c r="DL150" s="9">
        <f>IF(112&lt;=核心参数输入!$B$9*4,季度投融资!DK153,0)</f>
        <v>0</v>
      </c>
      <c r="DM150" s="9">
        <f>IF(113&lt;=核心参数输入!$B$9*4,季度投融资!DL153,0)</f>
        <v>0</v>
      </c>
      <c r="DN150" s="9">
        <f>IF(114&lt;=核心参数输入!$B$9*4,季度投融资!DM153,0)</f>
        <v>0</v>
      </c>
      <c r="DO150" s="9">
        <f>IF(115&lt;=核心参数输入!$B$9*4,季度投融资!DN153,0)</f>
        <v>0</v>
      </c>
      <c r="DP150" s="9">
        <f>IF(116&lt;=核心参数输入!$B$9*4,季度投融资!DO153,0)</f>
        <v>0</v>
      </c>
      <c r="DQ150" s="9">
        <f>IF(117&lt;=核心参数输入!$B$9*4,季度投融资!DP153,0)</f>
        <v>0</v>
      </c>
      <c r="DR150" s="9">
        <f>IF(118&lt;=核心参数输入!$B$9*4,季度投融资!DQ153,0)</f>
        <v>0</v>
      </c>
      <c r="DS150" s="9">
        <f>IF(119&lt;=核心参数输入!$B$9*4,季度投融资!DR153,0)</f>
        <v>0</v>
      </c>
      <c r="DT150" s="9">
        <f>IF(120&lt;=核心参数输入!$B$9*4,季度投融资!DS153,0)</f>
        <v>0</v>
      </c>
    </row>
    <row r="151" spans="1:124" ht="21" customHeight="1">
      <c r="A151" s="8" t="s">
        <v>432</v>
      </c>
      <c r="B151" s="8" t="s">
        <v>39</v>
      </c>
      <c r="C151" s="8"/>
      <c r="D151" s="9">
        <f>IF(0&lt;=核心参数输入!$B$9*4,IF(AND(核心参数输入!$B$57&gt;0,0&gt;=季度投融资!$E$30,0&lt;=季度投融资!$E$29,OR(MOD(0-季度投融资!$E$30,MAX(1,核心参数输入!$B$127))=0,0=季度投融资!$E$29)),IF(0=季度投融资!$E$29,D150+D149,MIN(D150+D149,核心参数输入!$B$57/MAX(1,季度投融资!$E$31))),0),0)</f>
        <v>0</v>
      </c>
      <c r="E151" s="9">
        <f>IF(1&lt;=核心参数输入!$B$9*4,IF(AND(核心参数输入!$B$57&gt;0,1&gt;=季度投融资!$E$30,1&lt;=季度投融资!$E$29,OR(MOD(1-季度投融资!$E$30,MAX(1,核心参数输入!$B$127))=0,1=季度投融资!$E$29)),IF(1=季度投融资!$E$29,E150+E149,MIN(E150+E149,核心参数输入!$B$57/MAX(1,季度投融资!$E$31))),0),0)</f>
        <v>0</v>
      </c>
      <c r="F151" s="9">
        <f>IF(2&lt;=核心参数输入!$B$9*4,IF(AND(核心参数输入!$B$57&gt;0,2&gt;=季度投融资!$E$30,2&lt;=季度投融资!$E$29,OR(MOD(2-季度投融资!$E$30,MAX(1,核心参数输入!$B$127))=0,2=季度投融资!$E$29)),IF(2=季度投融资!$E$29,F150+F149,MIN(F150+F149,核心参数输入!$B$57/MAX(1,季度投融资!$E$31))),0),0)</f>
        <v>0</v>
      </c>
      <c r="G151" s="9">
        <f>IF(3&lt;=核心参数输入!$B$9*4,IF(AND(核心参数输入!$B$57&gt;0,3&gt;=季度投融资!$E$30,3&lt;=季度投融资!$E$29,OR(MOD(3-季度投融资!$E$30,MAX(1,核心参数输入!$B$127))=0,3=季度投融资!$E$29)),IF(3=季度投融资!$E$29,G150+G149,MIN(G150+G149,核心参数输入!$B$57/MAX(1,季度投融资!$E$31))),0),0)</f>
        <v>0</v>
      </c>
      <c r="H151" s="9">
        <f>IF(4&lt;=核心参数输入!$B$9*4,IF(AND(核心参数输入!$B$57&gt;0,4&gt;=季度投融资!$E$30,4&lt;=季度投融资!$E$29,OR(MOD(4-季度投融资!$E$30,MAX(1,核心参数输入!$B$127))=0,4=季度投融资!$E$29)),IF(4=季度投融资!$E$29,H150+H149,MIN(H150+H149,核心参数输入!$B$57/MAX(1,季度投融资!$E$31))),0),0)</f>
        <v>0</v>
      </c>
      <c r="I151" s="9">
        <f>IF(5&lt;=核心参数输入!$B$9*4,IF(AND(核心参数输入!$B$57&gt;0,5&gt;=季度投融资!$E$30,5&lt;=季度投融资!$E$29,OR(MOD(5-季度投融资!$E$30,MAX(1,核心参数输入!$B$127))=0,5=季度投融资!$E$29)),IF(5=季度投融资!$E$29,I150+I149,MIN(I150+I149,核心参数输入!$B$57/MAX(1,季度投融资!$E$31))),0),0)</f>
        <v>0</v>
      </c>
      <c r="J151" s="9">
        <f>IF(6&lt;=核心参数输入!$B$9*4,IF(AND(核心参数输入!$B$57&gt;0,6&gt;=季度投融资!$E$30,6&lt;=季度投融资!$E$29,OR(MOD(6-季度投融资!$E$30,MAX(1,核心参数输入!$B$127))=0,6=季度投融资!$E$29)),IF(6=季度投融资!$E$29,J150+J149,MIN(J150+J149,核心参数输入!$B$57/MAX(1,季度投融资!$E$31))),0),0)</f>
        <v>0</v>
      </c>
      <c r="K151" s="9">
        <f>IF(7&lt;=核心参数输入!$B$9*4,IF(AND(核心参数输入!$B$57&gt;0,7&gt;=季度投融资!$E$30,7&lt;=季度投融资!$E$29,OR(MOD(7-季度投融资!$E$30,MAX(1,核心参数输入!$B$127))=0,7=季度投融资!$E$29)),IF(7=季度投融资!$E$29,K150+K149,MIN(K150+K149,核心参数输入!$B$57/MAX(1,季度投融资!$E$31))),0),0)</f>
        <v>0</v>
      </c>
      <c r="L151" s="9">
        <f>IF(8&lt;=核心参数输入!$B$9*4,IF(AND(核心参数输入!$B$57&gt;0,8&gt;=季度投融资!$E$30,8&lt;=季度投融资!$E$29,OR(MOD(8-季度投融资!$E$30,MAX(1,核心参数输入!$B$127))=0,8=季度投融资!$E$29)),IF(8=季度投融资!$E$29,L150+L149,MIN(L150+L149,核心参数输入!$B$57/MAX(1,季度投融资!$E$31))),0),0)</f>
        <v>0</v>
      </c>
      <c r="M151" s="9">
        <f>IF(9&lt;=核心参数输入!$B$9*4,IF(AND(核心参数输入!$B$57&gt;0,9&gt;=季度投融资!$E$30,9&lt;=季度投融资!$E$29,OR(MOD(9-季度投融资!$E$30,MAX(1,核心参数输入!$B$127))=0,9=季度投融资!$E$29)),IF(9=季度投融资!$E$29,M150+M149,MIN(M150+M149,核心参数输入!$B$57/MAX(1,季度投融资!$E$31))),0),0)</f>
        <v>0</v>
      </c>
      <c r="N151" s="9">
        <f>IF(10&lt;=核心参数输入!$B$9*4,IF(AND(核心参数输入!$B$57&gt;0,10&gt;=季度投融资!$E$30,10&lt;=季度投融资!$E$29,OR(MOD(10-季度投融资!$E$30,MAX(1,核心参数输入!$B$127))=0,10=季度投融资!$E$29)),IF(10=季度投融资!$E$29,N150+N149,MIN(N150+N149,核心参数输入!$B$57/MAX(1,季度投融资!$E$31))),0),0)</f>
        <v>0</v>
      </c>
      <c r="O151" s="9">
        <f>IF(11&lt;=核心参数输入!$B$9*4,IF(AND(核心参数输入!$B$57&gt;0,11&gt;=季度投融资!$E$30,11&lt;=季度投融资!$E$29,OR(MOD(11-季度投融资!$E$30,MAX(1,核心参数输入!$B$127))=0,11=季度投融资!$E$29)),IF(11=季度投融资!$E$29,O150+O149,MIN(O150+O149,核心参数输入!$B$57/MAX(1,季度投融资!$E$31))),0),0)</f>
        <v>0</v>
      </c>
      <c r="P151" s="9">
        <f>IF(12&lt;=核心参数输入!$B$9*4,IF(AND(核心参数输入!$B$57&gt;0,12&gt;=季度投融资!$E$30,12&lt;=季度投融资!$E$29,OR(MOD(12-季度投融资!$E$30,MAX(1,核心参数输入!$B$127))=0,12=季度投融资!$E$29)),IF(12=季度投融资!$E$29,P150+P149,MIN(P150+P149,核心参数输入!$B$57/MAX(1,季度投融资!$E$31))),0),0)</f>
        <v>0</v>
      </c>
      <c r="Q151" s="9">
        <f>IF(13&lt;=核心参数输入!$B$9*4,IF(AND(核心参数输入!$B$57&gt;0,13&gt;=季度投融资!$E$30,13&lt;=季度投融资!$E$29,OR(MOD(13-季度投融资!$E$30,MAX(1,核心参数输入!$B$127))=0,13=季度投融资!$E$29)),IF(13=季度投融资!$E$29,Q150+Q149,MIN(Q150+Q149,核心参数输入!$B$57/MAX(1,季度投融资!$E$31))),0),0)</f>
        <v>0</v>
      </c>
      <c r="R151" s="9">
        <f>IF(14&lt;=核心参数输入!$B$9*4,IF(AND(核心参数输入!$B$57&gt;0,14&gt;=季度投融资!$E$30,14&lt;=季度投融资!$E$29,OR(MOD(14-季度投融资!$E$30,MAX(1,核心参数输入!$B$127))=0,14=季度投融资!$E$29)),IF(14=季度投融资!$E$29,R150+R149,MIN(R150+R149,核心参数输入!$B$57/MAX(1,季度投融资!$E$31))),0),0)</f>
        <v>0</v>
      </c>
      <c r="S151" s="9">
        <f>IF(15&lt;=核心参数输入!$B$9*4,IF(AND(核心参数输入!$B$57&gt;0,15&gt;=季度投融资!$E$30,15&lt;=季度投融资!$E$29,OR(MOD(15-季度投融资!$E$30,MAX(1,核心参数输入!$B$127))=0,15=季度投融资!$E$29)),IF(15=季度投融资!$E$29,S150+S149,MIN(S150+S149,核心参数输入!$B$57/MAX(1,季度投融资!$E$31))),0),0)</f>
        <v>0</v>
      </c>
      <c r="T151" s="9">
        <f>IF(16&lt;=核心参数输入!$B$9*4,IF(AND(核心参数输入!$B$57&gt;0,16&gt;=季度投融资!$E$30,16&lt;=季度投融资!$E$29,OR(MOD(16-季度投融资!$E$30,MAX(1,核心参数输入!$B$127))=0,16=季度投融资!$E$29)),IF(16=季度投融资!$E$29,T150+T149,MIN(T150+T149,核心参数输入!$B$57/MAX(1,季度投融资!$E$31))),0),0)</f>
        <v>4285.7142857142853</v>
      </c>
      <c r="U151" s="9">
        <f>IF(17&lt;=核心参数输入!$B$9*4,IF(AND(核心参数输入!$B$57&gt;0,17&gt;=季度投融资!$E$30,17&lt;=季度投融资!$E$29,OR(MOD(17-季度投融资!$E$30,MAX(1,核心参数输入!$B$127))=0,17=季度投融资!$E$29)),IF(17=季度投融资!$E$29,U150+U149,MIN(U150+U149,核心参数输入!$B$57/MAX(1,季度投融资!$E$31))),0),0)</f>
        <v>0</v>
      </c>
      <c r="V151" s="9">
        <f>IF(18&lt;=核心参数输入!$B$9*4,IF(AND(核心参数输入!$B$57&gt;0,18&gt;=季度投融资!$E$30,18&lt;=季度投融资!$E$29,OR(MOD(18-季度投融资!$E$30,MAX(1,核心参数输入!$B$127))=0,18=季度投融资!$E$29)),IF(18=季度投融资!$E$29,V150+V149,MIN(V150+V149,核心参数输入!$B$57/MAX(1,季度投融资!$E$31))),0),0)</f>
        <v>0</v>
      </c>
      <c r="W151" s="9">
        <f>IF(19&lt;=核心参数输入!$B$9*4,IF(AND(核心参数输入!$B$57&gt;0,19&gt;=季度投融资!$E$30,19&lt;=季度投融资!$E$29,OR(MOD(19-季度投融资!$E$30,MAX(1,核心参数输入!$B$127))=0,19=季度投融资!$E$29)),IF(19=季度投融资!$E$29,W150+W149,MIN(W150+W149,核心参数输入!$B$57/MAX(1,季度投融资!$E$31))),0),0)</f>
        <v>0</v>
      </c>
      <c r="X151" s="9">
        <f>IF(20&lt;=核心参数输入!$B$9*4,IF(AND(核心参数输入!$B$57&gt;0,20&gt;=季度投融资!$E$30,20&lt;=季度投融资!$E$29,OR(MOD(20-季度投融资!$E$30,MAX(1,核心参数输入!$B$127))=0,20=季度投融资!$E$29)),IF(20=季度投融资!$E$29,X150+X149,MIN(X150+X149,核心参数输入!$B$57/MAX(1,季度投融资!$E$31))),0),0)</f>
        <v>4285.7142857142853</v>
      </c>
      <c r="Y151" s="9">
        <f>IF(21&lt;=核心参数输入!$B$9*4,IF(AND(核心参数输入!$B$57&gt;0,21&gt;=季度投融资!$E$30,21&lt;=季度投融资!$E$29,OR(MOD(21-季度投融资!$E$30,MAX(1,核心参数输入!$B$127))=0,21=季度投融资!$E$29)),IF(21=季度投融资!$E$29,Y150+Y149,MIN(Y150+Y149,核心参数输入!$B$57/MAX(1,季度投融资!$E$31))),0),0)</f>
        <v>0</v>
      </c>
      <c r="Z151" s="9">
        <f>IF(22&lt;=核心参数输入!$B$9*4,IF(AND(核心参数输入!$B$57&gt;0,22&gt;=季度投融资!$E$30,22&lt;=季度投融资!$E$29,OR(MOD(22-季度投融资!$E$30,MAX(1,核心参数输入!$B$127))=0,22=季度投融资!$E$29)),IF(22=季度投融资!$E$29,Z150+Z149,MIN(Z150+Z149,核心参数输入!$B$57/MAX(1,季度投融资!$E$31))),0),0)</f>
        <v>0</v>
      </c>
      <c r="AA151" s="9">
        <f>IF(23&lt;=核心参数输入!$B$9*4,IF(AND(核心参数输入!$B$57&gt;0,23&gt;=季度投融资!$E$30,23&lt;=季度投融资!$E$29,OR(MOD(23-季度投融资!$E$30,MAX(1,核心参数输入!$B$127))=0,23=季度投融资!$E$29)),IF(23=季度投融资!$E$29,AA150+AA149,MIN(AA150+AA149,核心参数输入!$B$57/MAX(1,季度投融资!$E$31))),0),0)</f>
        <v>0</v>
      </c>
      <c r="AB151" s="9">
        <f>IF(24&lt;=核心参数输入!$B$9*4,IF(AND(核心参数输入!$B$57&gt;0,24&gt;=季度投融资!$E$30,24&lt;=季度投融资!$E$29,OR(MOD(24-季度投融资!$E$30,MAX(1,核心参数输入!$B$127))=0,24=季度投融资!$E$29)),IF(24=季度投融资!$E$29,AB150+AB149,MIN(AB150+AB149,核心参数输入!$B$57/MAX(1,季度投融资!$E$31))),0),0)</f>
        <v>4285.7142857142853</v>
      </c>
      <c r="AC151" s="9">
        <f>IF(25&lt;=核心参数输入!$B$9*4,IF(AND(核心参数输入!$B$57&gt;0,25&gt;=季度投融资!$E$30,25&lt;=季度投融资!$E$29,OR(MOD(25-季度投融资!$E$30,MAX(1,核心参数输入!$B$127))=0,25=季度投融资!$E$29)),IF(25=季度投融资!$E$29,AC150+AC149,MIN(AC150+AC149,核心参数输入!$B$57/MAX(1,季度投融资!$E$31))),0),0)</f>
        <v>0</v>
      </c>
      <c r="AD151" s="9">
        <f>IF(26&lt;=核心参数输入!$B$9*4,IF(AND(核心参数输入!$B$57&gt;0,26&gt;=季度投融资!$E$30,26&lt;=季度投融资!$E$29,OR(MOD(26-季度投融资!$E$30,MAX(1,核心参数输入!$B$127))=0,26=季度投融资!$E$29)),IF(26=季度投融资!$E$29,AD150+AD149,MIN(AD150+AD149,核心参数输入!$B$57/MAX(1,季度投融资!$E$31))),0),0)</f>
        <v>0</v>
      </c>
      <c r="AE151" s="9">
        <f>IF(27&lt;=核心参数输入!$B$9*4,IF(AND(核心参数输入!$B$57&gt;0,27&gt;=季度投融资!$E$30,27&lt;=季度投融资!$E$29,OR(MOD(27-季度投融资!$E$30,MAX(1,核心参数输入!$B$127))=0,27=季度投融资!$E$29)),IF(27=季度投融资!$E$29,AE150+AE149,MIN(AE150+AE149,核心参数输入!$B$57/MAX(1,季度投融资!$E$31))),0),0)</f>
        <v>0</v>
      </c>
      <c r="AF151" s="9">
        <f>IF(28&lt;=核心参数输入!$B$9*4,IF(AND(核心参数输入!$B$57&gt;0,28&gt;=季度投融资!$E$30,28&lt;=季度投融资!$E$29,OR(MOD(28-季度投融资!$E$30,MAX(1,核心参数输入!$B$127))=0,28=季度投融资!$E$29)),IF(28=季度投融资!$E$29,AF150+AF149,MIN(AF150+AF149,核心参数输入!$B$57/MAX(1,季度投融资!$E$31))),0),0)</f>
        <v>4285.7142857142853</v>
      </c>
      <c r="AG151" s="9">
        <f>IF(29&lt;=核心参数输入!$B$9*4,IF(AND(核心参数输入!$B$57&gt;0,29&gt;=季度投融资!$E$30,29&lt;=季度投融资!$E$29,OR(MOD(29-季度投融资!$E$30,MAX(1,核心参数输入!$B$127))=0,29=季度投融资!$E$29)),IF(29=季度投融资!$E$29,AG150+AG149,MIN(AG150+AG149,核心参数输入!$B$57/MAX(1,季度投融资!$E$31))),0),0)</f>
        <v>0</v>
      </c>
      <c r="AH151" s="9">
        <f>IF(30&lt;=核心参数输入!$B$9*4,IF(AND(核心参数输入!$B$57&gt;0,30&gt;=季度投融资!$E$30,30&lt;=季度投融资!$E$29,OR(MOD(30-季度投融资!$E$30,MAX(1,核心参数输入!$B$127))=0,30=季度投融资!$E$29)),IF(30=季度投融资!$E$29,AH150+AH149,MIN(AH150+AH149,核心参数输入!$B$57/MAX(1,季度投融资!$E$31))),0),0)</f>
        <v>0</v>
      </c>
      <c r="AI151" s="9">
        <f>IF(31&lt;=核心参数输入!$B$9*4,IF(AND(核心参数输入!$B$57&gt;0,31&gt;=季度投融资!$E$30,31&lt;=季度投融资!$E$29,OR(MOD(31-季度投融资!$E$30,MAX(1,核心参数输入!$B$127))=0,31=季度投融资!$E$29)),IF(31=季度投融资!$E$29,AI150+AI149,MIN(AI150+AI149,核心参数输入!$B$57/MAX(1,季度投融资!$E$31))),0),0)</f>
        <v>0</v>
      </c>
      <c r="AJ151" s="9">
        <f>IF(32&lt;=核心参数输入!$B$9*4,IF(AND(核心参数输入!$B$57&gt;0,32&gt;=季度投融资!$E$30,32&lt;=季度投融资!$E$29,OR(MOD(32-季度投融资!$E$30,MAX(1,核心参数输入!$B$127))=0,32=季度投融资!$E$29)),IF(32=季度投融资!$E$29,AJ150+AJ149,MIN(AJ150+AJ149,核心参数输入!$B$57/MAX(1,季度投融资!$E$31))),0),0)</f>
        <v>4285.7142857142853</v>
      </c>
      <c r="AK151" s="9">
        <f>IF(33&lt;=核心参数输入!$B$9*4,IF(AND(核心参数输入!$B$57&gt;0,33&gt;=季度投融资!$E$30,33&lt;=季度投融资!$E$29,OR(MOD(33-季度投融资!$E$30,MAX(1,核心参数输入!$B$127))=0,33=季度投融资!$E$29)),IF(33=季度投融资!$E$29,AK150+AK149,MIN(AK150+AK149,核心参数输入!$B$57/MAX(1,季度投融资!$E$31))),0),0)</f>
        <v>0</v>
      </c>
      <c r="AL151" s="9">
        <f>IF(34&lt;=核心参数输入!$B$9*4,IF(AND(核心参数输入!$B$57&gt;0,34&gt;=季度投融资!$E$30,34&lt;=季度投融资!$E$29,OR(MOD(34-季度投融资!$E$30,MAX(1,核心参数输入!$B$127))=0,34=季度投融资!$E$29)),IF(34=季度投融资!$E$29,AL150+AL149,MIN(AL150+AL149,核心参数输入!$B$57/MAX(1,季度投融资!$E$31))),0),0)</f>
        <v>0</v>
      </c>
      <c r="AM151" s="9">
        <f>IF(35&lt;=核心参数输入!$B$9*4,IF(AND(核心参数输入!$B$57&gt;0,35&gt;=季度投融资!$E$30,35&lt;=季度投融资!$E$29,OR(MOD(35-季度投融资!$E$30,MAX(1,核心参数输入!$B$127))=0,35=季度投融资!$E$29)),IF(35=季度投融资!$E$29,AM150+AM149,MIN(AM150+AM149,核心参数输入!$B$57/MAX(1,季度投融资!$E$31))),0),0)</f>
        <v>0</v>
      </c>
      <c r="AN151" s="9">
        <f>IF(36&lt;=核心参数输入!$B$9*4,IF(AND(核心参数输入!$B$57&gt;0,36&gt;=季度投融资!$E$30,36&lt;=季度投融资!$E$29,OR(MOD(36-季度投融资!$E$30,MAX(1,核心参数输入!$B$127))=0,36=季度投融资!$E$29)),IF(36=季度投融资!$E$29,AN150+AN149,MIN(AN150+AN149,核心参数输入!$B$57/MAX(1,季度投融资!$E$31))),0),0)</f>
        <v>4285.7142857142853</v>
      </c>
      <c r="AO151" s="9">
        <f>IF(37&lt;=核心参数输入!$B$9*4,IF(AND(核心参数输入!$B$57&gt;0,37&gt;=季度投融资!$E$30,37&lt;=季度投融资!$E$29,OR(MOD(37-季度投融资!$E$30,MAX(1,核心参数输入!$B$127))=0,37=季度投融资!$E$29)),IF(37=季度投融资!$E$29,AO150+AO149,MIN(AO150+AO149,核心参数输入!$B$57/MAX(1,季度投融资!$E$31))),0),0)</f>
        <v>0</v>
      </c>
      <c r="AP151" s="9">
        <f>IF(38&lt;=核心参数输入!$B$9*4,IF(AND(核心参数输入!$B$57&gt;0,38&gt;=季度投融资!$E$30,38&lt;=季度投融资!$E$29,OR(MOD(38-季度投融资!$E$30,MAX(1,核心参数输入!$B$127))=0,38=季度投融资!$E$29)),IF(38=季度投融资!$E$29,AP150+AP149,MIN(AP150+AP149,核心参数输入!$B$57/MAX(1,季度投融资!$E$31))),0),0)</f>
        <v>0</v>
      </c>
      <c r="AQ151" s="9">
        <f>IF(39&lt;=核心参数输入!$B$9*4,IF(AND(核心参数输入!$B$57&gt;0,39&gt;=季度投融资!$E$30,39&lt;=季度投融资!$E$29,OR(MOD(39-季度投融资!$E$30,MAX(1,核心参数输入!$B$127))=0,39=季度投融资!$E$29)),IF(39=季度投融资!$E$29,AQ150+AQ149,MIN(AQ150+AQ149,核心参数输入!$B$57/MAX(1,季度投融资!$E$31))),0),0)</f>
        <v>0</v>
      </c>
      <c r="AR151" s="9">
        <f>IF(40&lt;=核心参数输入!$B$9*4,IF(AND(核心参数输入!$B$57&gt;0,40&gt;=季度投融资!$E$30,40&lt;=季度投融资!$E$29,OR(MOD(40-季度投融资!$E$30,MAX(1,核心参数输入!$B$127))=0,40=季度投融资!$E$29)),IF(40=季度投融资!$E$29,AR150+AR149,MIN(AR150+AR149,核心参数输入!$B$57/MAX(1,季度投融资!$E$31))),0),0)</f>
        <v>4285.7142857142835</v>
      </c>
      <c r="AS151" s="9">
        <f>IF(41&lt;=核心参数输入!$B$9*4,IF(AND(核心参数输入!$B$57&gt;0,41&gt;=季度投融资!$E$30,41&lt;=季度投融资!$E$29,OR(MOD(41-季度投融资!$E$30,MAX(1,核心参数输入!$B$127))=0,41=季度投融资!$E$29)),IF(41=季度投融资!$E$29,AS150+AS149,MIN(AS150+AS149,核心参数输入!$B$57/MAX(1,季度投融资!$E$31))),0),0)</f>
        <v>0</v>
      </c>
      <c r="AT151" s="9">
        <f>IF(42&lt;=核心参数输入!$B$9*4,IF(AND(核心参数输入!$B$57&gt;0,42&gt;=季度投融资!$E$30,42&lt;=季度投融资!$E$29,OR(MOD(42-季度投融资!$E$30,MAX(1,核心参数输入!$B$127))=0,42=季度投融资!$E$29)),IF(42=季度投融资!$E$29,AT150+AT149,MIN(AT150+AT149,核心参数输入!$B$57/MAX(1,季度投融资!$E$31))),0),0)</f>
        <v>0</v>
      </c>
      <c r="AU151" s="9">
        <f>IF(43&lt;=核心参数输入!$B$9*4,IF(AND(核心参数输入!$B$57&gt;0,43&gt;=季度投融资!$E$30,43&lt;=季度投融资!$E$29,OR(MOD(43-季度投融资!$E$30,MAX(1,核心参数输入!$B$127))=0,43=季度投融资!$E$29)),IF(43=季度投融资!$E$29,AU150+AU149,MIN(AU150+AU149,核心参数输入!$B$57/MAX(1,季度投融资!$E$31))),0),0)</f>
        <v>0</v>
      </c>
      <c r="AV151" s="9">
        <f>IF(44&lt;=核心参数输入!$B$9*4,IF(AND(核心参数输入!$B$57&gt;0,44&gt;=季度投融资!$E$30,44&lt;=季度投融资!$E$29,OR(MOD(44-季度投融资!$E$30,MAX(1,核心参数输入!$B$127))=0,44=季度投融资!$E$29)),IF(44=季度投融资!$E$29,AV150+AV149,MIN(AV150+AV149,核心参数输入!$B$57/MAX(1,季度投融资!$E$31))),0),0)</f>
        <v>0</v>
      </c>
      <c r="AW151" s="9">
        <f>IF(45&lt;=核心参数输入!$B$9*4,IF(AND(核心参数输入!$B$57&gt;0,45&gt;=季度投融资!$E$30,45&lt;=季度投融资!$E$29,OR(MOD(45-季度投融资!$E$30,MAX(1,核心参数输入!$B$127))=0,45=季度投融资!$E$29)),IF(45=季度投融资!$E$29,AW150+AW149,MIN(AW150+AW149,核心参数输入!$B$57/MAX(1,季度投融资!$E$31))),0),0)</f>
        <v>0</v>
      </c>
      <c r="AX151" s="9">
        <f>IF(46&lt;=核心参数输入!$B$9*4,IF(AND(核心参数输入!$B$57&gt;0,46&gt;=季度投融资!$E$30,46&lt;=季度投融资!$E$29,OR(MOD(46-季度投融资!$E$30,MAX(1,核心参数输入!$B$127))=0,46=季度投融资!$E$29)),IF(46=季度投融资!$E$29,AX150+AX149,MIN(AX150+AX149,核心参数输入!$B$57/MAX(1,季度投融资!$E$31))),0),0)</f>
        <v>0</v>
      </c>
      <c r="AY151" s="9">
        <f>IF(47&lt;=核心参数输入!$B$9*4,IF(AND(核心参数输入!$B$57&gt;0,47&gt;=季度投融资!$E$30,47&lt;=季度投融资!$E$29,OR(MOD(47-季度投融资!$E$30,MAX(1,核心参数输入!$B$127))=0,47=季度投融资!$E$29)),IF(47=季度投融资!$E$29,AY150+AY149,MIN(AY150+AY149,核心参数输入!$B$57/MAX(1,季度投融资!$E$31))),0),0)</f>
        <v>0</v>
      </c>
      <c r="AZ151" s="9">
        <f>IF(48&lt;=核心参数输入!$B$9*4,IF(AND(核心参数输入!$B$57&gt;0,48&gt;=季度投融资!$E$30,48&lt;=季度投融资!$E$29,OR(MOD(48-季度投融资!$E$30,MAX(1,核心参数输入!$B$127))=0,48=季度投融资!$E$29)),IF(48=季度投融资!$E$29,AZ150+AZ149,MIN(AZ150+AZ149,核心参数输入!$B$57/MAX(1,季度投融资!$E$31))),0),0)</f>
        <v>0</v>
      </c>
      <c r="BA151" s="9">
        <f>IF(49&lt;=核心参数输入!$B$9*4,IF(AND(核心参数输入!$B$57&gt;0,49&gt;=季度投融资!$E$30,49&lt;=季度投融资!$E$29,OR(MOD(49-季度投融资!$E$30,MAX(1,核心参数输入!$B$127))=0,49=季度投融资!$E$29)),IF(49=季度投融资!$E$29,BA150+BA149,MIN(BA150+BA149,核心参数输入!$B$57/MAX(1,季度投融资!$E$31))),0),0)</f>
        <v>0</v>
      </c>
      <c r="BB151" s="9">
        <f>IF(50&lt;=核心参数输入!$B$9*4,IF(AND(核心参数输入!$B$57&gt;0,50&gt;=季度投融资!$E$30,50&lt;=季度投融资!$E$29,OR(MOD(50-季度投融资!$E$30,MAX(1,核心参数输入!$B$127))=0,50=季度投融资!$E$29)),IF(50=季度投融资!$E$29,BB150+BB149,MIN(BB150+BB149,核心参数输入!$B$57/MAX(1,季度投融资!$E$31))),0),0)</f>
        <v>0</v>
      </c>
      <c r="BC151" s="9">
        <f>IF(51&lt;=核心参数输入!$B$9*4,IF(AND(核心参数输入!$B$57&gt;0,51&gt;=季度投融资!$E$30,51&lt;=季度投融资!$E$29,OR(MOD(51-季度投融资!$E$30,MAX(1,核心参数输入!$B$127))=0,51=季度投融资!$E$29)),IF(51=季度投融资!$E$29,BC150+BC149,MIN(BC150+BC149,核心参数输入!$B$57/MAX(1,季度投融资!$E$31))),0),0)</f>
        <v>0</v>
      </c>
      <c r="BD151" s="9">
        <f>IF(52&lt;=核心参数输入!$B$9*4,IF(AND(核心参数输入!$B$57&gt;0,52&gt;=季度投融资!$E$30,52&lt;=季度投融资!$E$29,OR(MOD(52-季度投融资!$E$30,MAX(1,核心参数输入!$B$127))=0,52=季度投融资!$E$29)),IF(52=季度投融资!$E$29,BD150+BD149,MIN(BD150+BD149,核心参数输入!$B$57/MAX(1,季度投融资!$E$31))),0),0)</f>
        <v>0</v>
      </c>
      <c r="BE151" s="9">
        <f>IF(53&lt;=核心参数输入!$B$9*4,IF(AND(核心参数输入!$B$57&gt;0,53&gt;=季度投融资!$E$30,53&lt;=季度投融资!$E$29,OR(MOD(53-季度投融资!$E$30,MAX(1,核心参数输入!$B$127))=0,53=季度投融资!$E$29)),IF(53=季度投融资!$E$29,BE150+BE149,MIN(BE150+BE149,核心参数输入!$B$57/MAX(1,季度投融资!$E$31))),0),0)</f>
        <v>0</v>
      </c>
      <c r="BF151" s="9">
        <f>IF(54&lt;=核心参数输入!$B$9*4,IF(AND(核心参数输入!$B$57&gt;0,54&gt;=季度投融资!$E$30,54&lt;=季度投融资!$E$29,OR(MOD(54-季度投融资!$E$30,MAX(1,核心参数输入!$B$127))=0,54=季度投融资!$E$29)),IF(54=季度投融资!$E$29,BF150+BF149,MIN(BF150+BF149,核心参数输入!$B$57/MAX(1,季度投融资!$E$31))),0),0)</f>
        <v>0</v>
      </c>
      <c r="BG151" s="9">
        <f>IF(55&lt;=核心参数输入!$B$9*4,IF(AND(核心参数输入!$B$57&gt;0,55&gt;=季度投融资!$E$30,55&lt;=季度投融资!$E$29,OR(MOD(55-季度投融资!$E$30,MAX(1,核心参数输入!$B$127))=0,55=季度投融资!$E$29)),IF(55=季度投融资!$E$29,BG150+BG149,MIN(BG150+BG149,核心参数输入!$B$57/MAX(1,季度投融资!$E$31))),0),0)</f>
        <v>0</v>
      </c>
      <c r="BH151" s="9">
        <f>IF(56&lt;=核心参数输入!$B$9*4,IF(AND(核心参数输入!$B$57&gt;0,56&gt;=季度投融资!$E$30,56&lt;=季度投融资!$E$29,OR(MOD(56-季度投融资!$E$30,MAX(1,核心参数输入!$B$127))=0,56=季度投融资!$E$29)),IF(56=季度投融资!$E$29,BH150+BH149,MIN(BH150+BH149,核心参数输入!$B$57/MAX(1,季度投融资!$E$31))),0),0)</f>
        <v>0</v>
      </c>
      <c r="BI151" s="9">
        <f>IF(57&lt;=核心参数输入!$B$9*4,IF(AND(核心参数输入!$B$57&gt;0,57&gt;=季度投融资!$E$30,57&lt;=季度投融资!$E$29,OR(MOD(57-季度投融资!$E$30,MAX(1,核心参数输入!$B$127))=0,57=季度投融资!$E$29)),IF(57=季度投融资!$E$29,BI150+BI149,MIN(BI150+BI149,核心参数输入!$B$57/MAX(1,季度投融资!$E$31))),0),0)</f>
        <v>0</v>
      </c>
      <c r="BJ151" s="9">
        <f>IF(58&lt;=核心参数输入!$B$9*4,IF(AND(核心参数输入!$B$57&gt;0,58&gt;=季度投融资!$E$30,58&lt;=季度投融资!$E$29,OR(MOD(58-季度投融资!$E$30,MAX(1,核心参数输入!$B$127))=0,58=季度投融资!$E$29)),IF(58=季度投融资!$E$29,BJ150+BJ149,MIN(BJ150+BJ149,核心参数输入!$B$57/MAX(1,季度投融资!$E$31))),0),0)</f>
        <v>0</v>
      </c>
      <c r="BK151" s="9">
        <f>IF(59&lt;=核心参数输入!$B$9*4,IF(AND(核心参数输入!$B$57&gt;0,59&gt;=季度投融资!$E$30,59&lt;=季度投融资!$E$29,OR(MOD(59-季度投融资!$E$30,MAX(1,核心参数输入!$B$127))=0,59=季度投融资!$E$29)),IF(59=季度投融资!$E$29,BK150+BK149,MIN(BK150+BK149,核心参数输入!$B$57/MAX(1,季度投融资!$E$31))),0),0)</f>
        <v>0</v>
      </c>
      <c r="BL151" s="9">
        <f>IF(60&lt;=核心参数输入!$B$9*4,IF(AND(核心参数输入!$B$57&gt;0,60&gt;=季度投融资!$E$30,60&lt;=季度投融资!$E$29,OR(MOD(60-季度投融资!$E$30,MAX(1,核心参数输入!$B$127))=0,60=季度投融资!$E$29)),IF(60=季度投融资!$E$29,BL150+BL149,MIN(BL150+BL149,核心参数输入!$B$57/MAX(1,季度投融资!$E$31))),0),0)</f>
        <v>0</v>
      </c>
      <c r="BM151" s="9">
        <f>IF(61&lt;=核心参数输入!$B$9*4,IF(AND(核心参数输入!$B$57&gt;0,61&gt;=季度投融资!$E$30,61&lt;=季度投融资!$E$29,OR(MOD(61-季度投融资!$E$30,MAX(1,核心参数输入!$B$127))=0,61=季度投融资!$E$29)),IF(61=季度投融资!$E$29,BM150+BM149,MIN(BM150+BM149,核心参数输入!$B$57/MAX(1,季度投融资!$E$31))),0),0)</f>
        <v>0</v>
      </c>
      <c r="BN151" s="9">
        <f>IF(62&lt;=核心参数输入!$B$9*4,IF(AND(核心参数输入!$B$57&gt;0,62&gt;=季度投融资!$E$30,62&lt;=季度投融资!$E$29,OR(MOD(62-季度投融资!$E$30,MAX(1,核心参数输入!$B$127))=0,62=季度投融资!$E$29)),IF(62=季度投融资!$E$29,BN150+BN149,MIN(BN150+BN149,核心参数输入!$B$57/MAX(1,季度投融资!$E$31))),0),0)</f>
        <v>0</v>
      </c>
      <c r="BO151" s="9">
        <f>IF(63&lt;=核心参数输入!$B$9*4,IF(AND(核心参数输入!$B$57&gt;0,63&gt;=季度投融资!$E$30,63&lt;=季度投融资!$E$29,OR(MOD(63-季度投融资!$E$30,MAX(1,核心参数输入!$B$127))=0,63=季度投融资!$E$29)),IF(63=季度投融资!$E$29,BO150+BO149,MIN(BO150+BO149,核心参数输入!$B$57/MAX(1,季度投融资!$E$31))),0),0)</f>
        <v>0</v>
      </c>
      <c r="BP151" s="9">
        <f>IF(64&lt;=核心参数输入!$B$9*4,IF(AND(核心参数输入!$B$57&gt;0,64&gt;=季度投融资!$E$30,64&lt;=季度投融资!$E$29,OR(MOD(64-季度投融资!$E$30,MAX(1,核心参数输入!$B$127))=0,64=季度投融资!$E$29)),IF(64=季度投融资!$E$29,BP150+BP149,MIN(BP150+BP149,核心参数输入!$B$57/MAX(1,季度投融资!$E$31))),0),0)</f>
        <v>0</v>
      </c>
      <c r="BQ151" s="9">
        <f>IF(65&lt;=核心参数输入!$B$9*4,IF(AND(核心参数输入!$B$57&gt;0,65&gt;=季度投融资!$E$30,65&lt;=季度投融资!$E$29,OR(MOD(65-季度投融资!$E$30,MAX(1,核心参数输入!$B$127))=0,65=季度投融资!$E$29)),IF(65=季度投融资!$E$29,BQ150+BQ149,MIN(BQ150+BQ149,核心参数输入!$B$57/MAX(1,季度投融资!$E$31))),0),0)</f>
        <v>0</v>
      </c>
      <c r="BR151" s="9">
        <f>IF(66&lt;=核心参数输入!$B$9*4,IF(AND(核心参数输入!$B$57&gt;0,66&gt;=季度投融资!$E$30,66&lt;=季度投融资!$E$29,OR(MOD(66-季度投融资!$E$30,MAX(1,核心参数输入!$B$127))=0,66=季度投融资!$E$29)),IF(66=季度投融资!$E$29,BR150+BR149,MIN(BR150+BR149,核心参数输入!$B$57/MAX(1,季度投融资!$E$31))),0),0)</f>
        <v>0</v>
      </c>
      <c r="BS151" s="9">
        <f>IF(67&lt;=核心参数输入!$B$9*4,IF(AND(核心参数输入!$B$57&gt;0,67&gt;=季度投融资!$E$30,67&lt;=季度投融资!$E$29,OR(MOD(67-季度投融资!$E$30,MAX(1,核心参数输入!$B$127))=0,67=季度投融资!$E$29)),IF(67=季度投融资!$E$29,BS150+BS149,MIN(BS150+BS149,核心参数输入!$B$57/MAX(1,季度投融资!$E$31))),0),0)</f>
        <v>0</v>
      </c>
      <c r="BT151" s="9">
        <f>IF(68&lt;=核心参数输入!$B$9*4,IF(AND(核心参数输入!$B$57&gt;0,68&gt;=季度投融资!$E$30,68&lt;=季度投融资!$E$29,OR(MOD(68-季度投融资!$E$30,MAX(1,核心参数输入!$B$127))=0,68=季度投融资!$E$29)),IF(68=季度投融资!$E$29,BT150+BT149,MIN(BT150+BT149,核心参数输入!$B$57/MAX(1,季度投融资!$E$31))),0),0)</f>
        <v>0</v>
      </c>
      <c r="BU151" s="9">
        <f>IF(69&lt;=核心参数输入!$B$9*4,IF(AND(核心参数输入!$B$57&gt;0,69&gt;=季度投融资!$E$30,69&lt;=季度投融资!$E$29,OR(MOD(69-季度投融资!$E$30,MAX(1,核心参数输入!$B$127))=0,69=季度投融资!$E$29)),IF(69=季度投融资!$E$29,BU150+BU149,MIN(BU150+BU149,核心参数输入!$B$57/MAX(1,季度投融资!$E$31))),0),0)</f>
        <v>0</v>
      </c>
      <c r="BV151" s="9">
        <f>IF(70&lt;=核心参数输入!$B$9*4,IF(AND(核心参数输入!$B$57&gt;0,70&gt;=季度投融资!$E$30,70&lt;=季度投融资!$E$29,OR(MOD(70-季度投融资!$E$30,MAX(1,核心参数输入!$B$127))=0,70=季度投融资!$E$29)),IF(70=季度投融资!$E$29,BV150+BV149,MIN(BV150+BV149,核心参数输入!$B$57/MAX(1,季度投融资!$E$31))),0),0)</f>
        <v>0</v>
      </c>
      <c r="BW151" s="9">
        <f>IF(71&lt;=核心参数输入!$B$9*4,IF(AND(核心参数输入!$B$57&gt;0,71&gt;=季度投融资!$E$30,71&lt;=季度投融资!$E$29,OR(MOD(71-季度投融资!$E$30,MAX(1,核心参数输入!$B$127))=0,71=季度投融资!$E$29)),IF(71=季度投融资!$E$29,BW150+BW149,MIN(BW150+BW149,核心参数输入!$B$57/MAX(1,季度投融资!$E$31))),0),0)</f>
        <v>0</v>
      </c>
      <c r="BX151" s="9">
        <f>IF(72&lt;=核心参数输入!$B$9*4,IF(AND(核心参数输入!$B$57&gt;0,72&gt;=季度投融资!$E$30,72&lt;=季度投融资!$E$29,OR(MOD(72-季度投融资!$E$30,MAX(1,核心参数输入!$B$127))=0,72=季度投融资!$E$29)),IF(72=季度投融资!$E$29,BX150+BX149,MIN(BX150+BX149,核心参数输入!$B$57/MAX(1,季度投融资!$E$31))),0),0)</f>
        <v>0</v>
      </c>
      <c r="BY151" s="9">
        <f>IF(73&lt;=核心参数输入!$B$9*4,IF(AND(核心参数输入!$B$57&gt;0,73&gt;=季度投融资!$E$30,73&lt;=季度投融资!$E$29,OR(MOD(73-季度投融资!$E$30,MAX(1,核心参数输入!$B$127))=0,73=季度投融资!$E$29)),IF(73=季度投融资!$E$29,BY150+BY149,MIN(BY150+BY149,核心参数输入!$B$57/MAX(1,季度投融资!$E$31))),0),0)</f>
        <v>0</v>
      </c>
      <c r="BZ151" s="9">
        <f>IF(74&lt;=核心参数输入!$B$9*4,IF(AND(核心参数输入!$B$57&gt;0,74&gt;=季度投融资!$E$30,74&lt;=季度投融资!$E$29,OR(MOD(74-季度投融资!$E$30,MAX(1,核心参数输入!$B$127))=0,74=季度投融资!$E$29)),IF(74=季度投融资!$E$29,BZ150+BZ149,MIN(BZ150+BZ149,核心参数输入!$B$57/MAX(1,季度投融资!$E$31))),0),0)</f>
        <v>0</v>
      </c>
      <c r="CA151" s="9">
        <f>IF(75&lt;=核心参数输入!$B$9*4,IF(AND(核心参数输入!$B$57&gt;0,75&gt;=季度投融资!$E$30,75&lt;=季度投融资!$E$29,OR(MOD(75-季度投融资!$E$30,MAX(1,核心参数输入!$B$127))=0,75=季度投融资!$E$29)),IF(75=季度投融资!$E$29,CA150+CA149,MIN(CA150+CA149,核心参数输入!$B$57/MAX(1,季度投融资!$E$31))),0),0)</f>
        <v>0</v>
      </c>
      <c r="CB151" s="9">
        <f>IF(76&lt;=核心参数输入!$B$9*4,IF(AND(核心参数输入!$B$57&gt;0,76&gt;=季度投融资!$E$30,76&lt;=季度投融资!$E$29,OR(MOD(76-季度投融资!$E$30,MAX(1,核心参数输入!$B$127))=0,76=季度投融资!$E$29)),IF(76=季度投融资!$E$29,CB150+CB149,MIN(CB150+CB149,核心参数输入!$B$57/MAX(1,季度投融资!$E$31))),0),0)</f>
        <v>0</v>
      </c>
      <c r="CC151" s="9">
        <f>IF(77&lt;=核心参数输入!$B$9*4,IF(AND(核心参数输入!$B$57&gt;0,77&gt;=季度投融资!$E$30,77&lt;=季度投融资!$E$29,OR(MOD(77-季度投融资!$E$30,MAX(1,核心参数输入!$B$127))=0,77=季度投融资!$E$29)),IF(77=季度投融资!$E$29,CC150+CC149,MIN(CC150+CC149,核心参数输入!$B$57/MAX(1,季度投融资!$E$31))),0),0)</f>
        <v>0</v>
      </c>
      <c r="CD151" s="9">
        <f>IF(78&lt;=核心参数输入!$B$9*4,IF(AND(核心参数输入!$B$57&gt;0,78&gt;=季度投融资!$E$30,78&lt;=季度投融资!$E$29,OR(MOD(78-季度投融资!$E$30,MAX(1,核心参数输入!$B$127))=0,78=季度投融资!$E$29)),IF(78=季度投融资!$E$29,CD150+CD149,MIN(CD150+CD149,核心参数输入!$B$57/MAX(1,季度投融资!$E$31))),0),0)</f>
        <v>0</v>
      </c>
      <c r="CE151" s="9">
        <f>IF(79&lt;=核心参数输入!$B$9*4,IF(AND(核心参数输入!$B$57&gt;0,79&gt;=季度投融资!$E$30,79&lt;=季度投融资!$E$29,OR(MOD(79-季度投融资!$E$30,MAX(1,核心参数输入!$B$127))=0,79=季度投融资!$E$29)),IF(79=季度投融资!$E$29,CE150+CE149,MIN(CE150+CE149,核心参数输入!$B$57/MAX(1,季度投融资!$E$31))),0),0)</f>
        <v>0</v>
      </c>
      <c r="CF151" s="9">
        <f>IF(80&lt;=核心参数输入!$B$9*4,IF(AND(核心参数输入!$B$57&gt;0,80&gt;=季度投融资!$E$30,80&lt;=季度投融资!$E$29,OR(MOD(80-季度投融资!$E$30,MAX(1,核心参数输入!$B$127))=0,80=季度投融资!$E$29)),IF(80=季度投融资!$E$29,CF150+CF149,MIN(CF150+CF149,核心参数输入!$B$57/MAX(1,季度投融资!$E$31))),0),0)</f>
        <v>0</v>
      </c>
      <c r="CG151" s="9">
        <f>IF(81&lt;=核心参数输入!$B$9*4,IF(AND(核心参数输入!$B$57&gt;0,81&gt;=季度投融资!$E$30,81&lt;=季度投融资!$E$29,OR(MOD(81-季度投融资!$E$30,MAX(1,核心参数输入!$B$127))=0,81=季度投融资!$E$29)),IF(81=季度投融资!$E$29,CG150+CG149,MIN(CG150+CG149,核心参数输入!$B$57/MAX(1,季度投融资!$E$31))),0),0)</f>
        <v>0</v>
      </c>
      <c r="CH151" s="9">
        <f>IF(82&lt;=核心参数输入!$B$9*4,IF(AND(核心参数输入!$B$57&gt;0,82&gt;=季度投融资!$E$30,82&lt;=季度投融资!$E$29,OR(MOD(82-季度投融资!$E$30,MAX(1,核心参数输入!$B$127))=0,82=季度投融资!$E$29)),IF(82=季度投融资!$E$29,CH150+CH149,MIN(CH150+CH149,核心参数输入!$B$57/MAX(1,季度投融资!$E$31))),0),0)</f>
        <v>0</v>
      </c>
      <c r="CI151" s="9">
        <f>IF(83&lt;=核心参数输入!$B$9*4,IF(AND(核心参数输入!$B$57&gt;0,83&gt;=季度投融资!$E$30,83&lt;=季度投融资!$E$29,OR(MOD(83-季度投融资!$E$30,MAX(1,核心参数输入!$B$127))=0,83=季度投融资!$E$29)),IF(83=季度投融资!$E$29,CI150+CI149,MIN(CI150+CI149,核心参数输入!$B$57/MAX(1,季度投融资!$E$31))),0),0)</f>
        <v>0</v>
      </c>
      <c r="CJ151" s="9">
        <f>IF(84&lt;=核心参数输入!$B$9*4,IF(AND(核心参数输入!$B$57&gt;0,84&gt;=季度投融资!$E$30,84&lt;=季度投融资!$E$29,OR(MOD(84-季度投融资!$E$30,MAX(1,核心参数输入!$B$127))=0,84=季度投融资!$E$29)),IF(84=季度投融资!$E$29,CJ150+CJ149,MIN(CJ150+CJ149,核心参数输入!$B$57/MAX(1,季度投融资!$E$31))),0),0)</f>
        <v>0</v>
      </c>
      <c r="CK151" s="9">
        <f>IF(85&lt;=核心参数输入!$B$9*4,IF(AND(核心参数输入!$B$57&gt;0,85&gt;=季度投融资!$E$30,85&lt;=季度投融资!$E$29,OR(MOD(85-季度投融资!$E$30,MAX(1,核心参数输入!$B$127))=0,85=季度投融资!$E$29)),IF(85=季度投融资!$E$29,CK150+CK149,MIN(CK150+CK149,核心参数输入!$B$57/MAX(1,季度投融资!$E$31))),0),0)</f>
        <v>0</v>
      </c>
      <c r="CL151" s="9">
        <f>IF(86&lt;=核心参数输入!$B$9*4,IF(AND(核心参数输入!$B$57&gt;0,86&gt;=季度投融资!$E$30,86&lt;=季度投融资!$E$29,OR(MOD(86-季度投融资!$E$30,MAX(1,核心参数输入!$B$127))=0,86=季度投融资!$E$29)),IF(86=季度投融资!$E$29,CL150+CL149,MIN(CL150+CL149,核心参数输入!$B$57/MAX(1,季度投融资!$E$31))),0),0)</f>
        <v>0</v>
      </c>
      <c r="CM151" s="9">
        <f>IF(87&lt;=核心参数输入!$B$9*4,IF(AND(核心参数输入!$B$57&gt;0,87&gt;=季度投融资!$E$30,87&lt;=季度投融资!$E$29,OR(MOD(87-季度投融资!$E$30,MAX(1,核心参数输入!$B$127))=0,87=季度投融资!$E$29)),IF(87=季度投融资!$E$29,CM150+CM149,MIN(CM150+CM149,核心参数输入!$B$57/MAX(1,季度投融资!$E$31))),0),0)</f>
        <v>0</v>
      </c>
      <c r="CN151" s="9">
        <f>IF(88&lt;=核心参数输入!$B$9*4,IF(AND(核心参数输入!$B$57&gt;0,88&gt;=季度投融资!$E$30,88&lt;=季度投融资!$E$29,OR(MOD(88-季度投融资!$E$30,MAX(1,核心参数输入!$B$127))=0,88=季度投融资!$E$29)),IF(88=季度投融资!$E$29,CN150+CN149,MIN(CN150+CN149,核心参数输入!$B$57/MAX(1,季度投融资!$E$31))),0),0)</f>
        <v>0</v>
      </c>
      <c r="CO151" s="9">
        <f>IF(89&lt;=核心参数输入!$B$9*4,IF(AND(核心参数输入!$B$57&gt;0,89&gt;=季度投融资!$E$30,89&lt;=季度投融资!$E$29,OR(MOD(89-季度投融资!$E$30,MAX(1,核心参数输入!$B$127))=0,89=季度投融资!$E$29)),IF(89=季度投融资!$E$29,CO150+CO149,MIN(CO150+CO149,核心参数输入!$B$57/MAX(1,季度投融资!$E$31))),0),0)</f>
        <v>0</v>
      </c>
      <c r="CP151" s="9">
        <f>IF(90&lt;=核心参数输入!$B$9*4,IF(AND(核心参数输入!$B$57&gt;0,90&gt;=季度投融资!$E$30,90&lt;=季度投融资!$E$29,OR(MOD(90-季度投融资!$E$30,MAX(1,核心参数输入!$B$127))=0,90=季度投融资!$E$29)),IF(90=季度投融资!$E$29,CP150+CP149,MIN(CP150+CP149,核心参数输入!$B$57/MAX(1,季度投融资!$E$31))),0),0)</f>
        <v>0</v>
      </c>
      <c r="CQ151" s="9">
        <f>IF(91&lt;=核心参数输入!$B$9*4,IF(AND(核心参数输入!$B$57&gt;0,91&gt;=季度投融资!$E$30,91&lt;=季度投融资!$E$29,OR(MOD(91-季度投融资!$E$30,MAX(1,核心参数输入!$B$127))=0,91=季度投融资!$E$29)),IF(91=季度投融资!$E$29,CQ150+CQ149,MIN(CQ150+CQ149,核心参数输入!$B$57/MAX(1,季度投融资!$E$31))),0),0)</f>
        <v>0</v>
      </c>
      <c r="CR151" s="9">
        <f>IF(92&lt;=核心参数输入!$B$9*4,IF(AND(核心参数输入!$B$57&gt;0,92&gt;=季度投融资!$E$30,92&lt;=季度投融资!$E$29,OR(MOD(92-季度投融资!$E$30,MAX(1,核心参数输入!$B$127))=0,92=季度投融资!$E$29)),IF(92=季度投融资!$E$29,CR150+CR149,MIN(CR150+CR149,核心参数输入!$B$57/MAX(1,季度投融资!$E$31))),0),0)</f>
        <v>0</v>
      </c>
      <c r="CS151" s="9">
        <f>IF(93&lt;=核心参数输入!$B$9*4,IF(AND(核心参数输入!$B$57&gt;0,93&gt;=季度投融资!$E$30,93&lt;=季度投融资!$E$29,OR(MOD(93-季度投融资!$E$30,MAX(1,核心参数输入!$B$127))=0,93=季度投融资!$E$29)),IF(93=季度投融资!$E$29,CS150+CS149,MIN(CS150+CS149,核心参数输入!$B$57/MAX(1,季度投融资!$E$31))),0),0)</f>
        <v>0</v>
      </c>
      <c r="CT151" s="9">
        <f>IF(94&lt;=核心参数输入!$B$9*4,IF(AND(核心参数输入!$B$57&gt;0,94&gt;=季度投融资!$E$30,94&lt;=季度投融资!$E$29,OR(MOD(94-季度投融资!$E$30,MAX(1,核心参数输入!$B$127))=0,94=季度投融资!$E$29)),IF(94=季度投融资!$E$29,CT150+CT149,MIN(CT150+CT149,核心参数输入!$B$57/MAX(1,季度投融资!$E$31))),0),0)</f>
        <v>0</v>
      </c>
      <c r="CU151" s="9">
        <f>IF(95&lt;=核心参数输入!$B$9*4,IF(AND(核心参数输入!$B$57&gt;0,95&gt;=季度投融资!$E$30,95&lt;=季度投融资!$E$29,OR(MOD(95-季度投融资!$E$30,MAX(1,核心参数输入!$B$127))=0,95=季度投融资!$E$29)),IF(95=季度投融资!$E$29,CU150+CU149,MIN(CU150+CU149,核心参数输入!$B$57/MAX(1,季度投融资!$E$31))),0),0)</f>
        <v>0</v>
      </c>
      <c r="CV151" s="9">
        <f>IF(96&lt;=核心参数输入!$B$9*4,IF(AND(核心参数输入!$B$57&gt;0,96&gt;=季度投融资!$E$30,96&lt;=季度投融资!$E$29,OR(MOD(96-季度投融资!$E$30,MAX(1,核心参数输入!$B$127))=0,96=季度投融资!$E$29)),IF(96=季度投融资!$E$29,CV150+CV149,MIN(CV150+CV149,核心参数输入!$B$57/MAX(1,季度投融资!$E$31))),0),0)</f>
        <v>0</v>
      </c>
      <c r="CW151" s="9">
        <f>IF(97&lt;=核心参数输入!$B$9*4,IF(AND(核心参数输入!$B$57&gt;0,97&gt;=季度投融资!$E$30,97&lt;=季度投融资!$E$29,OR(MOD(97-季度投融资!$E$30,MAX(1,核心参数输入!$B$127))=0,97=季度投融资!$E$29)),IF(97=季度投融资!$E$29,CW150+CW149,MIN(CW150+CW149,核心参数输入!$B$57/MAX(1,季度投融资!$E$31))),0),0)</f>
        <v>0</v>
      </c>
      <c r="CX151" s="9">
        <f>IF(98&lt;=核心参数输入!$B$9*4,IF(AND(核心参数输入!$B$57&gt;0,98&gt;=季度投融资!$E$30,98&lt;=季度投融资!$E$29,OR(MOD(98-季度投融资!$E$30,MAX(1,核心参数输入!$B$127))=0,98=季度投融资!$E$29)),IF(98=季度投融资!$E$29,CX150+CX149,MIN(CX150+CX149,核心参数输入!$B$57/MAX(1,季度投融资!$E$31))),0),0)</f>
        <v>0</v>
      </c>
      <c r="CY151" s="9">
        <f>IF(99&lt;=核心参数输入!$B$9*4,IF(AND(核心参数输入!$B$57&gt;0,99&gt;=季度投融资!$E$30,99&lt;=季度投融资!$E$29,OR(MOD(99-季度投融资!$E$30,MAX(1,核心参数输入!$B$127))=0,99=季度投融资!$E$29)),IF(99=季度投融资!$E$29,CY150+CY149,MIN(CY150+CY149,核心参数输入!$B$57/MAX(1,季度投融资!$E$31))),0),0)</f>
        <v>0</v>
      </c>
      <c r="CZ151" s="9">
        <f>IF(100&lt;=核心参数输入!$B$9*4,IF(AND(核心参数输入!$B$57&gt;0,100&gt;=季度投融资!$E$30,100&lt;=季度投融资!$E$29,OR(MOD(100-季度投融资!$E$30,MAX(1,核心参数输入!$B$127))=0,100=季度投融资!$E$29)),IF(100=季度投融资!$E$29,CZ150+CZ149,MIN(CZ150+CZ149,核心参数输入!$B$57/MAX(1,季度投融资!$E$31))),0),0)</f>
        <v>0</v>
      </c>
      <c r="DA151" s="9">
        <f>IF(101&lt;=核心参数输入!$B$9*4,IF(AND(核心参数输入!$B$57&gt;0,101&gt;=季度投融资!$E$30,101&lt;=季度投融资!$E$29,OR(MOD(101-季度投融资!$E$30,MAX(1,核心参数输入!$B$127))=0,101=季度投融资!$E$29)),IF(101=季度投融资!$E$29,DA150+DA149,MIN(DA150+DA149,核心参数输入!$B$57/MAX(1,季度投融资!$E$31))),0),0)</f>
        <v>0</v>
      </c>
      <c r="DB151" s="9">
        <f>IF(102&lt;=核心参数输入!$B$9*4,IF(AND(核心参数输入!$B$57&gt;0,102&gt;=季度投融资!$E$30,102&lt;=季度投融资!$E$29,OR(MOD(102-季度投融资!$E$30,MAX(1,核心参数输入!$B$127))=0,102=季度投融资!$E$29)),IF(102=季度投融资!$E$29,DB150+DB149,MIN(DB150+DB149,核心参数输入!$B$57/MAX(1,季度投融资!$E$31))),0),0)</f>
        <v>0</v>
      </c>
      <c r="DC151" s="9">
        <f>IF(103&lt;=核心参数输入!$B$9*4,IF(AND(核心参数输入!$B$57&gt;0,103&gt;=季度投融资!$E$30,103&lt;=季度投融资!$E$29,OR(MOD(103-季度投融资!$E$30,MAX(1,核心参数输入!$B$127))=0,103=季度投融资!$E$29)),IF(103=季度投融资!$E$29,DC150+DC149,MIN(DC150+DC149,核心参数输入!$B$57/MAX(1,季度投融资!$E$31))),0),0)</f>
        <v>0</v>
      </c>
      <c r="DD151" s="9">
        <f>IF(104&lt;=核心参数输入!$B$9*4,IF(AND(核心参数输入!$B$57&gt;0,104&gt;=季度投融资!$E$30,104&lt;=季度投融资!$E$29,OR(MOD(104-季度投融资!$E$30,MAX(1,核心参数输入!$B$127))=0,104=季度投融资!$E$29)),IF(104=季度投融资!$E$29,DD150+DD149,MIN(DD150+DD149,核心参数输入!$B$57/MAX(1,季度投融资!$E$31))),0),0)</f>
        <v>0</v>
      </c>
      <c r="DE151" s="9">
        <f>IF(105&lt;=核心参数输入!$B$9*4,IF(AND(核心参数输入!$B$57&gt;0,105&gt;=季度投融资!$E$30,105&lt;=季度投融资!$E$29,OR(MOD(105-季度投融资!$E$30,MAX(1,核心参数输入!$B$127))=0,105=季度投融资!$E$29)),IF(105=季度投融资!$E$29,DE150+DE149,MIN(DE150+DE149,核心参数输入!$B$57/MAX(1,季度投融资!$E$31))),0),0)</f>
        <v>0</v>
      </c>
      <c r="DF151" s="9">
        <f>IF(106&lt;=核心参数输入!$B$9*4,IF(AND(核心参数输入!$B$57&gt;0,106&gt;=季度投融资!$E$30,106&lt;=季度投融资!$E$29,OR(MOD(106-季度投融资!$E$30,MAX(1,核心参数输入!$B$127))=0,106=季度投融资!$E$29)),IF(106=季度投融资!$E$29,DF150+DF149,MIN(DF150+DF149,核心参数输入!$B$57/MAX(1,季度投融资!$E$31))),0),0)</f>
        <v>0</v>
      </c>
      <c r="DG151" s="9">
        <f>IF(107&lt;=核心参数输入!$B$9*4,IF(AND(核心参数输入!$B$57&gt;0,107&gt;=季度投融资!$E$30,107&lt;=季度投融资!$E$29,OR(MOD(107-季度投融资!$E$30,MAX(1,核心参数输入!$B$127))=0,107=季度投融资!$E$29)),IF(107=季度投融资!$E$29,DG150+DG149,MIN(DG150+DG149,核心参数输入!$B$57/MAX(1,季度投融资!$E$31))),0),0)</f>
        <v>0</v>
      </c>
      <c r="DH151" s="9">
        <f>IF(108&lt;=核心参数输入!$B$9*4,IF(AND(核心参数输入!$B$57&gt;0,108&gt;=季度投融资!$E$30,108&lt;=季度投融资!$E$29,OR(MOD(108-季度投融资!$E$30,MAX(1,核心参数输入!$B$127))=0,108=季度投融资!$E$29)),IF(108=季度投融资!$E$29,DH150+DH149,MIN(DH150+DH149,核心参数输入!$B$57/MAX(1,季度投融资!$E$31))),0),0)</f>
        <v>0</v>
      </c>
      <c r="DI151" s="9">
        <f>IF(109&lt;=核心参数输入!$B$9*4,IF(AND(核心参数输入!$B$57&gt;0,109&gt;=季度投融资!$E$30,109&lt;=季度投融资!$E$29,OR(MOD(109-季度投融资!$E$30,MAX(1,核心参数输入!$B$127))=0,109=季度投融资!$E$29)),IF(109=季度投融资!$E$29,DI150+DI149,MIN(DI150+DI149,核心参数输入!$B$57/MAX(1,季度投融资!$E$31))),0),0)</f>
        <v>0</v>
      </c>
      <c r="DJ151" s="9">
        <f>IF(110&lt;=核心参数输入!$B$9*4,IF(AND(核心参数输入!$B$57&gt;0,110&gt;=季度投融资!$E$30,110&lt;=季度投融资!$E$29,OR(MOD(110-季度投融资!$E$30,MAX(1,核心参数输入!$B$127))=0,110=季度投融资!$E$29)),IF(110=季度投融资!$E$29,DJ150+DJ149,MIN(DJ150+DJ149,核心参数输入!$B$57/MAX(1,季度投融资!$E$31))),0),0)</f>
        <v>0</v>
      </c>
      <c r="DK151" s="9">
        <f>IF(111&lt;=核心参数输入!$B$9*4,IF(AND(核心参数输入!$B$57&gt;0,111&gt;=季度投融资!$E$30,111&lt;=季度投融资!$E$29,OR(MOD(111-季度投融资!$E$30,MAX(1,核心参数输入!$B$127))=0,111=季度投融资!$E$29)),IF(111=季度投融资!$E$29,DK150+DK149,MIN(DK150+DK149,核心参数输入!$B$57/MAX(1,季度投融资!$E$31))),0),0)</f>
        <v>0</v>
      </c>
      <c r="DL151" s="9">
        <f>IF(112&lt;=核心参数输入!$B$9*4,IF(AND(核心参数输入!$B$57&gt;0,112&gt;=季度投融资!$E$30,112&lt;=季度投融资!$E$29,OR(MOD(112-季度投融资!$E$30,MAX(1,核心参数输入!$B$127))=0,112=季度投融资!$E$29)),IF(112=季度投融资!$E$29,DL150+DL149,MIN(DL150+DL149,核心参数输入!$B$57/MAX(1,季度投融资!$E$31))),0),0)</f>
        <v>0</v>
      </c>
      <c r="DM151" s="9">
        <f>IF(113&lt;=核心参数输入!$B$9*4,IF(AND(核心参数输入!$B$57&gt;0,113&gt;=季度投融资!$E$30,113&lt;=季度投融资!$E$29,OR(MOD(113-季度投融资!$E$30,MAX(1,核心参数输入!$B$127))=0,113=季度投融资!$E$29)),IF(113=季度投融资!$E$29,DM150+DM149,MIN(DM150+DM149,核心参数输入!$B$57/MAX(1,季度投融资!$E$31))),0),0)</f>
        <v>0</v>
      </c>
      <c r="DN151" s="9">
        <f>IF(114&lt;=核心参数输入!$B$9*4,IF(AND(核心参数输入!$B$57&gt;0,114&gt;=季度投融资!$E$30,114&lt;=季度投融资!$E$29,OR(MOD(114-季度投融资!$E$30,MAX(1,核心参数输入!$B$127))=0,114=季度投融资!$E$29)),IF(114=季度投融资!$E$29,DN150+DN149,MIN(DN150+DN149,核心参数输入!$B$57/MAX(1,季度投融资!$E$31))),0),0)</f>
        <v>0</v>
      </c>
      <c r="DO151" s="9">
        <f>IF(115&lt;=核心参数输入!$B$9*4,IF(AND(核心参数输入!$B$57&gt;0,115&gt;=季度投融资!$E$30,115&lt;=季度投融资!$E$29,OR(MOD(115-季度投融资!$E$30,MAX(1,核心参数输入!$B$127))=0,115=季度投融资!$E$29)),IF(115=季度投融资!$E$29,DO150+DO149,MIN(DO150+DO149,核心参数输入!$B$57/MAX(1,季度投融资!$E$31))),0),0)</f>
        <v>0</v>
      </c>
      <c r="DP151" s="9">
        <f>IF(116&lt;=核心参数输入!$B$9*4,IF(AND(核心参数输入!$B$57&gt;0,116&gt;=季度投融资!$E$30,116&lt;=季度投融资!$E$29,OR(MOD(116-季度投融资!$E$30,MAX(1,核心参数输入!$B$127))=0,116=季度投融资!$E$29)),IF(116=季度投融资!$E$29,DP150+DP149,MIN(DP150+DP149,核心参数输入!$B$57/MAX(1,季度投融资!$E$31))),0),0)</f>
        <v>0</v>
      </c>
      <c r="DQ151" s="9">
        <f>IF(117&lt;=核心参数输入!$B$9*4,IF(AND(核心参数输入!$B$57&gt;0,117&gt;=季度投融资!$E$30,117&lt;=季度投融资!$E$29,OR(MOD(117-季度投融资!$E$30,MAX(1,核心参数输入!$B$127))=0,117=季度投融资!$E$29)),IF(117=季度投融资!$E$29,DQ150+DQ149,MIN(DQ150+DQ149,核心参数输入!$B$57/MAX(1,季度投融资!$E$31))),0),0)</f>
        <v>0</v>
      </c>
      <c r="DR151" s="9">
        <f>IF(118&lt;=核心参数输入!$B$9*4,IF(AND(核心参数输入!$B$57&gt;0,118&gt;=季度投融资!$E$30,118&lt;=季度投融资!$E$29,OR(MOD(118-季度投融资!$E$30,MAX(1,核心参数输入!$B$127))=0,118=季度投融资!$E$29)),IF(118=季度投融资!$E$29,DR150+DR149,MIN(DR150+DR149,核心参数输入!$B$57/MAX(1,季度投融资!$E$31))),0),0)</f>
        <v>0</v>
      </c>
      <c r="DS151" s="9">
        <f>IF(119&lt;=核心参数输入!$B$9*4,IF(AND(核心参数输入!$B$57&gt;0,119&gt;=季度投融资!$E$30,119&lt;=季度投融资!$E$29,OR(MOD(119-季度投融资!$E$30,MAX(1,核心参数输入!$B$127))=0,119=季度投融资!$E$29)),IF(119=季度投融资!$E$29,DS150+DS149,MIN(DS150+DS149,核心参数输入!$B$57/MAX(1,季度投融资!$E$31))),0),0)</f>
        <v>0</v>
      </c>
      <c r="DT151" s="9">
        <f>IF(120&lt;=核心参数输入!$B$9*4,IF(AND(核心参数输入!$B$57&gt;0,120&gt;=季度投融资!$E$30,120&lt;=季度投融资!$E$29,OR(MOD(120-季度投融资!$E$30,MAX(1,核心参数输入!$B$127))=0,120=季度投融资!$E$29)),IF(120=季度投融资!$E$29,DT150+DT149,MIN(DT150+DT149,核心参数输入!$B$57/MAX(1,季度投融资!$E$31))),0),0)</f>
        <v>0</v>
      </c>
    </row>
    <row r="152" spans="1:124" ht="21" customHeight="1">
      <c r="A152" s="8" t="s">
        <v>433</v>
      </c>
      <c r="B152" s="8" t="s">
        <v>39</v>
      </c>
      <c r="C152" s="8"/>
      <c r="D152" s="9">
        <f>IF(0&lt;=核心参数输入!$B$9*4,MAX(0,D150+D149/2-D151/2)*核心参数输入!$B$58/4,0)</f>
        <v>0</v>
      </c>
      <c r="E152" s="9">
        <f>IF(1&lt;=核心参数输入!$B$9*4,MAX(0,E150+E149/2-E151/2)*核心参数输入!$B$58/4,0)</f>
        <v>11.8125</v>
      </c>
      <c r="F152" s="9">
        <f>IF(2&lt;=核心参数输入!$B$9*4,MAX(0,F150+F149/2-F151/2)*核心参数输入!$B$58/4,0)</f>
        <v>35.4375</v>
      </c>
      <c r="G152" s="9">
        <f>IF(3&lt;=核心参数输入!$B$9*4,MAX(0,G150+G149/2-G151/2)*核心参数输入!$B$58/4,0)</f>
        <v>59.062500000000007</v>
      </c>
      <c r="H152" s="9">
        <f>IF(4&lt;=核心参数输入!$B$9*4,MAX(0,H150+H149/2-H151/2)*核心参数输入!$B$58/4,0)</f>
        <v>82.6875</v>
      </c>
      <c r="I152" s="9">
        <f>IF(5&lt;=核心参数输入!$B$9*4,MAX(0,I150+I149/2-I151/2)*核心参数输入!$B$58/4,0)</f>
        <v>110.25</v>
      </c>
      <c r="J152" s="9">
        <f>IF(6&lt;=核心参数输入!$B$9*4,MAX(0,J150+J149/2-J151/2)*核心参数输入!$B$58/4,0)</f>
        <v>141.75</v>
      </c>
      <c r="K152" s="9">
        <f>IF(7&lt;=核心参数输入!$B$9*4,MAX(0,K150+K149/2-K151/2)*核心参数输入!$B$58/4,0)</f>
        <v>173.25</v>
      </c>
      <c r="L152" s="9">
        <f>IF(8&lt;=核心参数输入!$B$9*4,MAX(0,L150+L149/2-L151/2)*核心参数输入!$B$58/4,0)</f>
        <v>204.75</v>
      </c>
      <c r="M152" s="9">
        <f>IF(9&lt;=核心参数输入!$B$9*4,MAX(0,M150+M149/2-M151/2)*核心参数输入!$B$58/4,0)</f>
        <v>232.31250000000003</v>
      </c>
      <c r="N152" s="9">
        <f>IF(10&lt;=核心参数输入!$B$9*4,MAX(0,N150+N149/2-N151/2)*核心参数输入!$B$58/4,0)</f>
        <v>255.93750000000003</v>
      </c>
      <c r="O152" s="9">
        <f>IF(11&lt;=核心参数输入!$B$9*4,MAX(0,O150+O149/2-O151/2)*核心参数输入!$B$58/4,0)</f>
        <v>279.5625</v>
      </c>
      <c r="P152" s="9">
        <f>IF(12&lt;=核心参数输入!$B$9*4,MAX(0,P150+P149/2-P151/2)*核心参数输入!$B$58/4,0)</f>
        <v>303.1875</v>
      </c>
      <c r="Q152" s="9">
        <f>IF(13&lt;=核心参数输入!$B$9*4,MAX(0,Q150+Q149/2-Q151/2)*核心参数输入!$B$58/4,0)</f>
        <v>315</v>
      </c>
      <c r="R152" s="9">
        <f>IF(14&lt;=核心参数输入!$B$9*4,MAX(0,R150+R149/2-R151/2)*核心参数输入!$B$58/4,0)</f>
        <v>315</v>
      </c>
      <c r="S152" s="9">
        <f>IF(15&lt;=核心参数输入!$B$9*4,MAX(0,S150+S149/2-S151/2)*核心参数输入!$B$58/4,0)</f>
        <v>315</v>
      </c>
      <c r="T152" s="9">
        <f>IF(16&lt;=核心参数输入!$B$9*4,MAX(0,T150+T149/2-T151/2)*核心参数输入!$B$58/4,0)</f>
        <v>292.50000000000006</v>
      </c>
      <c r="U152" s="9">
        <f>IF(17&lt;=核心参数输入!$B$9*4,MAX(0,U150+U149/2-U151/2)*核心参数输入!$B$58/4,0)</f>
        <v>270</v>
      </c>
      <c r="V152" s="9">
        <f>IF(18&lt;=核心参数输入!$B$9*4,MAX(0,V150+V149/2-V151/2)*核心参数输入!$B$58/4,0)</f>
        <v>270</v>
      </c>
      <c r="W152" s="9">
        <f>IF(19&lt;=核心参数输入!$B$9*4,MAX(0,W150+W149/2-W151/2)*核心参数输入!$B$58/4,0)</f>
        <v>270</v>
      </c>
      <c r="X152" s="9">
        <f>IF(20&lt;=核心参数输入!$B$9*4,MAX(0,X150+X149/2-X151/2)*核心参数输入!$B$58/4,0)</f>
        <v>247.50000000000003</v>
      </c>
      <c r="Y152" s="9">
        <f>IF(21&lt;=核心参数输入!$B$9*4,MAX(0,Y150+Y149/2-Y151/2)*核心参数输入!$B$58/4,0)</f>
        <v>225</v>
      </c>
      <c r="Z152" s="9">
        <f>IF(22&lt;=核心参数输入!$B$9*4,MAX(0,Z150+Z149/2-Z151/2)*核心参数输入!$B$58/4,0)</f>
        <v>225</v>
      </c>
      <c r="AA152" s="9">
        <f>IF(23&lt;=核心参数输入!$B$9*4,MAX(0,AA150+AA149/2-AA151/2)*核心参数输入!$B$58/4,0)</f>
        <v>225</v>
      </c>
      <c r="AB152" s="9">
        <f>IF(24&lt;=核心参数输入!$B$9*4,MAX(0,AB150+AB149/2-AB151/2)*核心参数输入!$B$58/4,0)</f>
        <v>202.50000000000003</v>
      </c>
      <c r="AC152" s="9">
        <f>IF(25&lt;=核心参数输入!$B$9*4,MAX(0,AC150+AC149/2-AC151/2)*核心参数输入!$B$58/4,0)</f>
        <v>180</v>
      </c>
      <c r="AD152" s="9">
        <f>IF(26&lt;=核心参数输入!$B$9*4,MAX(0,AD150+AD149/2-AD151/2)*核心参数输入!$B$58/4,0)</f>
        <v>180</v>
      </c>
      <c r="AE152" s="9">
        <f>IF(27&lt;=核心参数输入!$B$9*4,MAX(0,AE150+AE149/2-AE151/2)*核心参数输入!$B$58/4,0)</f>
        <v>180</v>
      </c>
      <c r="AF152" s="9">
        <f>IF(28&lt;=核心参数输入!$B$9*4,MAX(0,AF150+AF149/2-AF151/2)*核心参数输入!$B$58/4,0)</f>
        <v>157.5</v>
      </c>
      <c r="AG152" s="9">
        <f>IF(29&lt;=核心参数输入!$B$9*4,MAX(0,AG150+AG149/2-AG151/2)*核心参数输入!$B$58/4,0)</f>
        <v>135</v>
      </c>
      <c r="AH152" s="9">
        <f>IF(30&lt;=核心参数输入!$B$9*4,MAX(0,AH150+AH149/2-AH151/2)*核心参数输入!$B$58/4,0)</f>
        <v>135</v>
      </c>
      <c r="AI152" s="9">
        <f>IF(31&lt;=核心参数输入!$B$9*4,MAX(0,AI150+AI149/2-AI151/2)*核心参数输入!$B$58/4,0)</f>
        <v>135</v>
      </c>
      <c r="AJ152" s="9">
        <f>IF(32&lt;=核心参数输入!$B$9*4,MAX(0,AJ150+AJ149/2-AJ151/2)*核心参数输入!$B$58/4,0)</f>
        <v>112.49999999999999</v>
      </c>
      <c r="AK152" s="9">
        <f>IF(33&lt;=核心参数输入!$B$9*4,MAX(0,AK150+AK149/2-AK151/2)*核心参数输入!$B$58/4,0)</f>
        <v>89.999999999999972</v>
      </c>
      <c r="AL152" s="9">
        <f>IF(34&lt;=核心参数输入!$B$9*4,MAX(0,AL150+AL149/2-AL151/2)*核心参数输入!$B$58/4,0)</f>
        <v>89.999999999999972</v>
      </c>
      <c r="AM152" s="9">
        <f>IF(35&lt;=核心参数输入!$B$9*4,MAX(0,AM150+AM149/2-AM151/2)*核心参数输入!$B$58/4,0)</f>
        <v>89.999999999999972</v>
      </c>
      <c r="AN152" s="9">
        <f>IF(36&lt;=核心参数输入!$B$9*4,MAX(0,AN150+AN149/2-AN151/2)*核心参数输入!$B$58/4,0)</f>
        <v>67.499999999999972</v>
      </c>
      <c r="AO152" s="9">
        <f>IF(37&lt;=核心参数输入!$B$9*4,MAX(0,AO150+AO149/2-AO151/2)*核心参数输入!$B$58/4,0)</f>
        <v>44.999999999999979</v>
      </c>
      <c r="AP152" s="9">
        <f>IF(38&lt;=核心参数输入!$B$9*4,MAX(0,AP150+AP149/2-AP151/2)*核心参数输入!$B$58/4,0)</f>
        <v>44.999999999999979</v>
      </c>
      <c r="AQ152" s="9">
        <f>IF(39&lt;=核心参数输入!$B$9*4,MAX(0,AQ150+AQ149/2-AQ151/2)*核心参数输入!$B$58/4,0)</f>
        <v>44.999999999999979</v>
      </c>
      <c r="AR152" s="9">
        <f>IF(40&lt;=核心参数输入!$B$9*4,MAX(0,AR150+AR149/2-AR151/2)*核心参数输入!$B$58/4,0)</f>
        <v>22.499999999999989</v>
      </c>
      <c r="AS152" s="9">
        <f>IF(41&lt;=核心参数输入!$B$9*4,MAX(0,AS150+AS149/2-AS151/2)*核心参数输入!$B$58/4,0)</f>
        <v>0</v>
      </c>
      <c r="AT152" s="9">
        <f>IF(42&lt;=核心参数输入!$B$9*4,MAX(0,AT150+AT149/2-AT151/2)*核心参数输入!$B$58/4,0)</f>
        <v>0</v>
      </c>
      <c r="AU152" s="9">
        <f>IF(43&lt;=核心参数输入!$B$9*4,MAX(0,AU150+AU149/2-AU151/2)*核心参数输入!$B$58/4,0)</f>
        <v>0</v>
      </c>
      <c r="AV152" s="9">
        <f>IF(44&lt;=核心参数输入!$B$9*4,MAX(0,AV150+AV149/2-AV151/2)*核心参数输入!$B$58/4,0)</f>
        <v>0</v>
      </c>
      <c r="AW152" s="9">
        <f>IF(45&lt;=核心参数输入!$B$9*4,MAX(0,AW150+AW149/2-AW151/2)*核心参数输入!$B$58/4,0)</f>
        <v>0</v>
      </c>
      <c r="AX152" s="9">
        <f>IF(46&lt;=核心参数输入!$B$9*4,MAX(0,AX150+AX149/2-AX151/2)*核心参数输入!$B$58/4,0)</f>
        <v>0</v>
      </c>
      <c r="AY152" s="9">
        <f>IF(47&lt;=核心参数输入!$B$9*4,MAX(0,AY150+AY149/2-AY151/2)*核心参数输入!$B$58/4,0)</f>
        <v>0</v>
      </c>
      <c r="AZ152" s="9">
        <f>IF(48&lt;=核心参数输入!$B$9*4,MAX(0,AZ150+AZ149/2-AZ151/2)*核心参数输入!$B$58/4,0)</f>
        <v>0</v>
      </c>
      <c r="BA152" s="9">
        <f>IF(49&lt;=核心参数输入!$B$9*4,MAX(0,BA150+BA149/2-BA151/2)*核心参数输入!$B$58/4,0)</f>
        <v>0</v>
      </c>
      <c r="BB152" s="9">
        <f>IF(50&lt;=核心参数输入!$B$9*4,MAX(0,BB150+BB149/2-BB151/2)*核心参数输入!$B$58/4,0)</f>
        <v>0</v>
      </c>
      <c r="BC152" s="9">
        <f>IF(51&lt;=核心参数输入!$B$9*4,MAX(0,BC150+BC149/2-BC151/2)*核心参数输入!$B$58/4,0)</f>
        <v>0</v>
      </c>
      <c r="BD152" s="9">
        <f>IF(52&lt;=核心参数输入!$B$9*4,MAX(0,BD150+BD149/2-BD151/2)*核心参数输入!$B$58/4,0)</f>
        <v>0</v>
      </c>
      <c r="BE152" s="9">
        <f>IF(53&lt;=核心参数输入!$B$9*4,MAX(0,BE150+BE149/2-BE151/2)*核心参数输入!$B$58/4,0)</f>
        <v>0</v>
      </c>
      <c r="BF152" s="9">
        <f>IF(54&lt;=核心参数输入!$B$9*4,MAX(0,BF150+BF149/2-BF151/2)*核心参数输入!$B$58/4,0)</f>
        <v>0</v>
      </c>
      <c r="BG152" s="9">
        <f>IF(55&lt;=核心参数输入!$B$9*4,MAX(0,BG150+BG149/2-BG151/2)*核心参数输入!$B$58/4,0)</f>
        <v>0</v>
      </c>
      <c r="BH152" s="9">
        <f>IF(56&lt;=核心参数输入!$B$9*4,MAX(0,BH150+BH149/2-BH151/2)*核心参数输入!$B$58/4,0)</f>
        <v>0</v>
      </c>
      <c r="BI152" s="9">
        <f>IF(57&lt;=核心参数输入!$B$9*4,MAX(0,BI150+BI149/2-BI151/2)*核心参数输入!$B$58/4,0)</f>
        <v>0</v>
      </c>
      <c r="BJ152" s="9">
        <f>IF(58&lt;=核心参数输入!$B$9*4,MAX(0,BJ150+BJ149/2-BJ151/2)*核心参数输入!$B$58/4,0)</f>
        <v>0</v>
      </c>
      <c r="BK152" s="9">
        <f>IF(59&lt;=核心参数输入!$B$9*4,MAX(0,BK150+BK149/2-BK151/2)*核心参数输入!$B$58/4,0)</f>
        <v>0</v>
      </c>
      <c r="BL152" s="9">
        <f>IF(60&lt;=核心参数输入!$B$9*4,MAX(0,BL150+BL149/2-BL151/2)*核心参数输入!$B$58/4,0)</f>
        <v>0</v>
      </c>
      <c r="BM152" s="9">
        <f>IF(61&lt;=核心参数输入!$B$9*4,MAX(0,BM150+BM149/2-BM151/2)*核心参数输入!$B$58/4,0)</f>
        <v>0</v>
      </c>
      <c r="BN152" s="9">
        <f>IF(62&lt;=核心参数输入!$B$9*4,MAX(0,BN150+BN149/2-BN151/2)*核心参数输入!$B$58/4,0)</f>
        <v>0</v>
      </c>
      <c r="BO152" s="9">
        <f>IF(63&lt;=核心参数输入!$B$9*4,MAX(0,BO150+BO149/2-BO151/2)*核心参数输入!$B$58/4,0)</f>
        <v>0</v>
      </c>
      <c r="BP152" s="9">
        <f>IF(64&lt;=核心参数输入!$B$9*4,MAX(0,BP150+BP149/2-BP151/2)*核心参数输入!$B$58/4,0)</f>
        <v>0</v>
      </c>
      <c r="BQ152" s="9">
        <f>IF(65&lt;=核心参数输入!$B$9*4,MAX(0,BQ150+BQ149/2-BQ151/2)*核心参数输入!$B$58/4,0)</f>
        <v>0</v>
      </c>
      <c r="BR152" s="9">
        <f>IF(66&lt;=核心参数输入!$B$9*4,MAX(0,BR150+BR149/2-BR151/2)*核心参数输入!$B$58/4,0)</f>
        <v>0</v>
      </c>
      <c r="BS152" s="9">
        <f>IF(67&lt;=核心参数输入!$B$9*4,MAX(0,BS150+BS149/2-BS151/2)*核心参数输入!$B$58/4,0)</f>
        <v>0</v>
      </c>
      <c r="BT152" s="9">
        <f>IF(68&lt;=核心参数输入!$B$9*4,MAX(0,BT150+BT149/2-BT151/2)*核心参数输入!$B$58/4,0)</f>
        <v>0</v>
      </c>
      <c r="BU152" s="9">
        <f>IF(69&lt;=核心参数输入!$B$9*4,MAX(0,BU150+BU149/2-BU151/2)*核心参数输入!$B$58/4,0)</f>
        <v>0</v>
      </c>
      <c r="BV152" s="9">
        <f>IF(70&lt;=核心参数输入!$B$9*4,MAX(0,BV150+BV149/2-BV151/2)*核心参数输入!$B$58/4,0)</f>
        <v>0</v>
      </c>
      <c r="BW152" s="9">
        <f>IF(71&lt;=核心参数输入!$B$9*4,MAX(0,BW150+BW149/2-BW151/2)*核心参数输入!$B$58/4,0)</f>
        <v>0</v>
      </c>
      <c r="BX152" s="9">
        <f>IF(72&lt;=核心参数输入!$B$9*4,MAX(0,BX150+BX149/2-BX151/2)*核心参数输入!$B$58/4,0)</f>
        <v>0</v>
      </c>
      <c r="BY152" s="9">
        <f>IF(73&lt;=核心参数输入!$B$9*4,MAX(0,BY150+BY149/2-BY151/2)*核心参数输入!$B$58/4,0)</f>
        <v>0</v>
      </c>
      <c r="BZ152" s="9">
        <f>IF(74&lt;=核心参数输入!$B$9*4,MAX(0,BZ150+BZ149/2-BZ151/2)*核心参数输入!$B$58/4,0)</f>
        <v>0</v>
      </c>
      <c r="CA152" s="9">
        <f>IF(75&lt;=核心参数输入!$B$9*4,MAX(0,CA150+CA149/2-CA151/2)*核心参数输入!$B$58/4,0)</f>
        <v>0</v>
      </c>
      <c r="CB152" s="9">
        <f>IF(76&lt;=核心参数输入!$B$9*4,MAX(0,CB150+CB149/2-CB151/2)*核心参数输入!$B$58/4,0)</f>
        <v>0</v>
      </c>
      <c r="CC152" s="9">
        <f>IF(77&lt;=核心参数输入!$B$9*4,MAX(0,CC150+CC149/2-CC151/2)*核心参数输入!$B$58/4,0)</f>
        <v>0</v>
      </c>
      <c r="CD152" s="9">
        <f>IF(78&lt;=核心参数输入!$B$9*4,MAX(0,CD150+CD149/2-CD151/2)*核心参数输入!$B$58/4,0)</f>
        <v>0</v>
      </c>
      <c r="CE152" s="9">
        <f>IF(79&lt;=核心参数输入!$B$9*4,MAX(0,CE150+CE149/2-CE151/2)*核心参数输入!$B$58/4,0)</f>
        <v>0</v>
      </c>
      <c r="CF152" s="9">
        <f>IF(80&lt;=核心参数输入!$B$9*4,MAX(0,CF150+CF149/2-CF151/2)*核心参数输入!$B$58/4,0)</f>
        <v>0</v>
      </c>
      <c r="CG152" s="9">
        <f>IF(81&lt;=核心参数输入!$B$9*4,MAX(0,CG150+CG149/2-CG151/2)*核心参数输入!$B$58/4,0)</f>
        <v>0</v>
      </c>
      <c r="CH152" s="9">
        <f>IF(82&lt;=核心参数输入!$B$9*4,MAX(0,CH150+CH149/2-CH151/2)*核心参数输入!$B$58/4,0)</f>
        <v>0</v>
      </c>
      <c r="CI152" s="9">
        <f>IF(83&lt;=核心参数输入!$B$9*4,MAX(0,CI150+CI149/2-CI151/2)*核心参数输入!$B$58/4,0)</f>
        <v>0</v>
      </c>
      <c r="CJ152" s="9">
        <f>IF(84&lt;=核心参数输入!$B$9*4,MAX(0,CJ150+CJ149/2-CJ151/2)*核心参数输入!$B$58/4,0)</f>
        <v>0</v>
      </c>
      <c r="CK152" s="9">
        <f>IF(85&lt;=核心参数输入!$B$9*4,MAX(0,CK150+CK149/2-CK151/2)*核心参数输入!$B$58/4,0)</f>
        <v>0</v>
      </c>
      <c r="CL152" s="9">
        <f>IF(86&lt;=核心参数输入!$B$9*4,MAX(0,CL150+CL149/2-CL151/2)*核心参数输入!$B$58/4,0)</f>
        <v>0</v>
      </c>
      <c r="CM152" s="9">
        <f>IF(87&lt;=核心参数输入!$B$9*4,MAX(0,CM150+CM149/2-CM151/2)*核心参数输入!$B$58/4,0)</f>
        <v>0</v>
      </c>
      <c r="CN152" s="9">
        <f>IF(88&lt;=核心参数输入!$B$9*4,MAX(0,CN150+CN149/2-CN151/2)*核心参数输入!$B$58/4,0)</f>
        <v>0</v>
      </c>
      <c r="CO152" s="9">
        <f>IF(89&lt;=核心参数输入!$B$9*4,MAX(0,CO150+CO149/2-CO151/2)*核心参数输入!$B$58/4,0)</f>
        <v>0</v>
      </c>
      <c r="CP152" s="9">
        <f>IF(90&lt;=核心参数输入!$B$9*4,MAX(0,CP150+CP149/2-CP151/2)*核心参数输入!$B$58/4,0)</f>
        <v>0</v>
      </c>
      <c r="CQ152" s="9">
        <f>IF(91&lt;=核心参数输入!$B$9*4,MAX(0,CQ150+CQ149/2-CQ151/2)*核心参数输入!$B$58/4,0)</f>
        <v>0</v>
      </c>
      <c r="CR152" s="9">
        <f>IF(92&lt;=核心参数输入!$B$9*4,MAX(0,CR150+CR149/2-CR151/2)*核心参数输入!$B$58/4,0)</f>
        <v>0</v>
      </c>
      <c r="CS152" s="9">
        <f>IF(93&lt;=核心参数输入!$B$9*4,MAX(0,CS150+CS149/2-CS151/2)*核心参数输入!$B$58/4,0)</f>
        <v>0</v>
      </c>
      <c r="CT152" s="9">
        <f>IF(94&lt;=核心参数输入!$B$9*4,MAX(0,CT150+CT149/2-CT151/2)*核心参数输入!$B$58/4,0)</f>
        <v>0</v>
      </c>
      <c r="CU152" s="9">
        <f>IF(95&lt;=核心参数输入!$B$9*4,MAX(0,CU150+CU149/2-CU151/2)*核心参数输入!$B$58/4,0)</f>
        <v>0</v>
      </c>
      <c r="CV152" s="9">
        <f>IF(96&lt;=核心参数输入!$B$9*4,MAX(0,CV150+CV149/2-CV151/2)*核心参数输入!$B$58/4,0)</f>
        <v>0</v>
      </c>
      <c r="CW152" s="9">
        <f>IF(97&lt;=核心参数输入!$B$9*4,MAX(0,CW150+CW149/2-CW151/2)*核心参数输入!$B$58/4,0)</f>
        <v>0</v>
      </c>
      <c r="CX152" s="9">
        <f>IF(98&lt;=核心参数输入!$B$9*4,MAX(0,CX150+CX149/2-CX151/2)*核心参数输入!$B$58/4,0)</f>
        <v>0</v>
      </c>
      <c r="CY152" s="9">
        <f>IF(99&lt;=核心参数输入!$B$9*4,MAX(0,CY150+CY149/2-CY151/2)*核心参数输入!$B$58/4,0)</f>
        <v>0</v>
      </c>
      <c r="CZ152" s="9">
        <f>IF(100&lt;=核心参数输入!$B$9*4,MAX(0,CZ150+CZ149/2-CZ151/2)*核心参数输入!$B$58/4,0)</f>
        <v>0</v>
      </c>
      <c r="DA152" s="9">
        <f>IF(101&lt;=核心参数输入!$B$9*4,MAX(0,DA150+DA149/2-DA151/2)*核心参数输入!$B$58/4,0)</f>
        <v>0</v>
      </c>
      <c r="DB152" s="9">
        <f>IF(102&lt;=核心参数输入!$B$9*4,MAX(0,DB150+DB149/2-DB151/2)*核心参数输入!$B$58/4,0)</f>
        <v>0</v>
      </c>
      <c r="DC152" s="9">
        <f>IF(103&lt;=核心参数输入!$B$9*4,MAX(0,DC150+DC149/2-DC151/2)*核心参数输入!$B$58/4,0)</f>
        <v>0</v>
      </c>
      <c r="DD152" s="9">
        <f>IF(104&lt;=核心参数输入!$B$9*4,MAX(0,DD150+DD149/2-DD151/2)*核心参数输入!$B$58/4,0)</f>
        <v>0</v>
      </c>
      <c r="DE152" s="9">
        <f>IF(105&lt;=核心参数输入!$B$9*4,MAX(0,DE150+DE149/2-DE151/2)*核心参数输入!$B$58/4,0)</f>
        <v>0</v>
      </c>
      <c r="DF152" s="9">
        <f>IF(106&lt;=核心参数输入!$B$9*4,MAX(0,DF150+DF149/2-DF151/2)*核心参数输入!$B$58/4,0)</f>
        <v>0</v>
      </c>
      <c r="DG152" s="9">
        <f>IF(107&lt;=核心参数输入!$B$9*4,MAX(0,DG150+DG149/2-DG151/2)*核心参数输入!$B$58/4,0)</f>
        <v>0</v>
      </c>
      <c r="DH152" s="9">
        <f>IF(108&lt;=核心参数输入!$B$9*4,MAX(0,DH150+DH149/2-DH151/2)*核心参数输入!$B$58/4,0)</f>
        <v>0</v>
      </c>
      <c r="DI152" s="9">
        <f>IF(109&lt;=核心参数输入!$B$9*4,MAX(0,DI150+DI149/2-DI151/2)*核心参数输入!$B$58/4,0)</f>
        <v>0</v>
      </c>
      <c r="DJ152" s="9">
        <f>IF(110&lt;=核心参数输入!$B$9*4,MAX(0,DJ150+DJ149/2-DJ151/2)*核心参数输入!$B$58/4,0)</f>
        <v>0</v>
      </c>
      <c r="DK152" s="9">
        <f>IF(111&lt;=核心参数输入!$B$9*4,MAX(0,DK150+DK149/2-DK151/2)*核心参数输入!$B$58/4,0)</f>
        <v>0</v>
      </c>
      <c r="DL152" s="9">
        <f>IF(112&lt;=核心参数输入!$B$9*4,MAX(0,DL150+DL149/2-DL151/2)*核心参数输入!$B$58/4,0)</f>
        <v>0</v>
      </c>
      <c r="DM152" s="9">
        <f>IF(113&lt;=核心参数输入!$B$9*4,MAX(0,DM150+DM149/2-DM151/2)*核心参数输入!$B$58/4,0)</f>
        <v>0</v>
      </c>
      <c r="DN152" s="9">
        <f>IF(114&lt;=核心参数输入!$B$9*4,MAX(0,DN150+DN149/2-DN151/2)*核心参数输入!$B$58/4,0)</f>
        <v>0</v>
      </c>
      <c r="DO152" s="9">
        <f>IF(115&lt;=核心参数输入!$B$9*4,MAX(0,DO150+DO149/2-DO151/2)*核心参数输入!$B$58/4,0)</f>
        <v>0</v>
      </c>
      <c r="DP152" s="9">
        <f>IF(116&lt;=核心参数输入!$B$9*4,MAX(0,DP150+DP149/2-DP151/2)*核心参数输入!$B$58/4,0)</f>
        <v>0</v>
      </c>
      <c r="DQ152" s="9">
        <f>IF(117&lt;=核心参数输入!$B$9*4,MAX(0,DQ150+DQ149/2-DQ151/2)*核心参数输入!$B$58/4,0)</f>
        <v>0</v>
      </c>
      <c r="DR152" s="9">
        <f>IF(118&lt;=核心参数输入!$B$9*4,MAX(0,DR150+DR149/2-DR151/2)*核心参数输入!$B$58/4,0)</f>
        <v>0</v>
      </c>
      <c r="DS152" s="9">
        <f>IF(119&lt;=核心参数输入!$B$9*4,MAX(0,DS150+DS149/2-DS151/2)*核心参数输入!$B$58/4,0)</f>
        <v>0</v>
      </c>
      <c r="DT152" s="9">
        <f>IF(120&lt;=核心参数输入!$B$9*4,MAX(0,DT150+DT149/2-DT151/2)*核心参数输入!$B$58/4,0)</f>
        <v>0</v>
      </c>
    </row>
    <row r="153" spans="1:124" ht="21" customHeight="1">
      <c r="A153" s="8" t="s">
        <v>434</v>
      </c>
      <c r="B153" s="8" t="s">
        <v>39</v>
      </c>
      <c r="C153" s="8"/>
      <c r="D153" s="9">
        <f>IF(0&lt;=核心参数输入!$B$9*4,D150+D149-D151,0)</f>
        <v>0</v>
      </c>
      <c r="E153" s="9">
        <f>IF(1&lt;=核心参数输入!$B$9*4,E150+E149-E151,0)</f>
        <v>2250</v>
      </c>
      <c r="F153" s="9">
        <f>IF(2&lt;=核心参数输入!$B$9*4,F150+F149-F151,0)</f>
        <v>4500</v>
      </c>
      <c r="G153" s="9">
        <f>IF(3&lt;=核心参数输入!$B$9*4,G150+G149-G151,0)</f>
        <v>6750</v>
      </c>
      <c r="H153" s="9">
        <f>IF(4&lt;=核心参数输入!$B$9*4,H150+H149-H151,0)</f>
        <v>9000</v>
      </c>
      <c r="I153" s="9">
        <f>IF(5&lt;=核心参数输入!$B$9*4,I150+I149-I151,0)</f>
        <v>12000</v>
      </c>
      <c r="J153" s="9">
        <f>IF(6&lt;=核心参数输入!$B$9*4,J150+J149-J151,0)</f>
        <v>15000</v>
      </c>
      <c r="K153" s="9">
        <f>IF(7&lt;=核心参数输入!$B$9*4,K150+K149-K151,0)</f>
        <v>18000</v>
      </c>
      <c r="L153" s="9">
        <f>IF(8&lt;=核心参数输入!$B$9*4,L150+L149-L151,0)</f>
        <v>21000</v>
      </c>
      <c r="M153" s="9">
        <f>IF(9&lt;=核心参数输入!$B$9*4,M150+M149-M151,0)</f>
        <v>23250</v>
      </c>
      <c r="N153" s="9">
        <f>IF(10&lt;=核心参数输入!$B$9*4,N150+N149-N151,0)</f>
        <v>25500</v>
      </c>
      <c r="O153" s="9">
        <f>IF(11&lt;=核心参数输入!$B$9*4,O150+O149-O151,0)</f>
        <v>27750</v>
      </c>
      <c r="P153" s="9">
        <f>IF(12&lt;=核心参数输入!$B$9*4,P150+P149-P151,0)</f>
        <v>30000</v>
      </c>
      <c r="Q153" s="9">
        <f>IF(13&lt;=核心参数输入!$B$9*4,Q150+Q149-Q151,0)</f>
        <v>30000</v>
      </c>
      <c r="R153" s="9">
        <f>IF(14&lt;=核心参数输入!$B$9*4,R150+R149-R151,0)</f>
        <v>30000</v>
      </c>
      <c r="S153" s="9">
        <f>IF(15&lt;=核心参数输入!$B$9*4,S150+S149-S151,0)</f>
        <v>30000</v>
      </c>
      <c r="T153" s="9">
        <f>IF(16&lt;=核心参数输入!$B$9*4,T150+T149-T151,0)</f>
        <v>25714.285714285714</v>
      </c>
      <c r="U153" s="9">
        <f>IF(17&lt;=核心参数输入!$B$9*4,U150+U149-U151,0)</f>
        <v>25714.285714285714</v>
      </c>
      <c r="V153" s="9">
        <f>IF(18&lt;=核心参数输入!$B$9*4,V150+V149-V151,0)</f>
        <v>25714.285714285714</v>
      </c>
      <c r="W153" s="9">
        <f>IF(19&lt;=核心参数输入!$B$9*4,W150+W149-W151,0)</f>
        <v>25714.285714285714</v>
      </c>
      <c r="X153" s="9">
        <f>IF(20&lt;=核心参数输入!$B$9*4,X150+X149-X151,0)</f>
        <v>21428.571428571428</v>
      </c>
      <c r="Y153" s="9">
        <f>IF(21&lt;=核心参数输入!$B$9*4,Y150+Y149-Y151,0)</f>
        <v>21428.571428571428</v>
      </c>
      <c r="Z153" s="9">
        <f>IF(22&lt;=核心参数输入!$B$9*4,Z150+Z149-Z151,0)</f>
        <v>21428.571428571428</v>
      </c>
      <c r="AA153" s="9">
        <f>IF(23&lt;=核心参数输入!$B$9*4,AA150+AA149-AA151,0)</f>
        <v>21428.571428571428</v>
      </c>
      <c r="AB153" s="9">
        <f>IF(24&lt;=核心参数输入!$B$9*4,AB150+AB149-AB151,0)</f>
        <v>17142.857142857141</v>
      </c>
      <c r="AC153" s="9">
        <f>IF(25&lt;=核心参数输入!$B$9*4,AC150+AC149-AC151,0)</f>
        <v>17142.857142857141</v>
      </c>
      <c r="AD153" s="9">
        <f>IF(26&lt;=核心参数输入!$B$9*4,AD150+AD149-AD151,0)</f>
        <v>17142.857142857141</v>
      </c>
      <c r="AE153" s="9">
        <f>IF(27&lt;=核心参数输入!$B$9*4,AE150+AE149-AE151,0)</f>
        <v>17142.857142857141</v>
      </c>
      <c r="AF153" s="9">
        <f>IF(28&lt;=核心参数输入!$B$9*4,AF150+AF149-AF151,0)</f>
        <v>12857.142857142855</v>
      </c>
      <c r="AG153" s="9">
        <f>IF(29&lt;=核心参数输入!$B$9*4,AG150+AG149-AG151,0)</f>
        <v>12857.142857142855</v>
      </c>
      <c r="AH153" s="9">
        <f>IF(30&lt;=核心参数输入!$B$9*4,AH150+AH149-AH151,0)</f>
        <v>12857.142857142855</v>
      </c>
      <c r="AI153" s="9">
        <f>IF(31&lt;=核心参数输入!$B$9*4,AI150+AI149-AI151,0)</f>
        <v>12857.142857142855</v>
      </c>
      <c r="AJ153" s="9">
        <f>IF(32&lt;=核心参数输入!$B$9*4,AJ150+AJ149-AJ151,0)</f>
        <v>8571.4285714285688</v>
      </c>
      <c r="AK153" s="9">
        <f>IF(33&lt;=核心参数输入!$B$9*4,AK150+AK149-AK151,0)</f>
        <v>8571.4285714285688</v>
      </c>
      <c r="AL153" s="9">
        <f>IF(34&lt;=核心参数输入!$B$9*4,AL150+AL149-AL151,0)</f>
        <v>8571.4285714285688</v>
      </c>
      <c r="AM153" s="9">
        <f>IF(35&lt;=核心参数输入!$B$9*4,AM150+AM149-AM151,0)</f>
        <v>8571.4285714285688</v>
      </c>
      <c r="AN153" s="9">
        <f>IF(36&lt;=核心参数输入!$B$9*4,AN150+AN149-AN151,0)</f>
        <v>4285.7142857142835</v>
      </c>
      <c r="AO153" s="9">
        <f>IF(37&lt;=核心参数输入!$B$9*4,AO150+AO149-AO151,0)</f>
        <v>4285.7142857142835</v>
      </c>
      <c r="AP153" s="9">
        <f>IF(38&lt;=核心参数输入!$B$9*4,AP150+AP149-AP151,0)</f>
        <v>4285.7142857142835</v>
      </c>
      <c r="AQ153" s="9">
        <f>IF(39&lt;=核心参数输入!$B$9*4,AQ150+AQ149-AQ151,0)</f>
        <v>4285.7142857142835</v>
      </c>
      <c r="AR153" s="9">
        <f>IF(40&lt;=核心参数输入!$B$9*4,AR150+AR149-AR151,0)</f>
        <v>0</v>
      </c>
      <c r="AS153" s="9">
        <f>IF(41&lt;=核心参数输入!$B$9*4,AS150+AS149-AS151,0)</f>
        <v>0</v>
      </c>
      <c r="AT153" s="9">
        <f>IF(42&lt;=核心参数输入!$B$9*4,AT150+AT149-AT151,0)</f>
        <v>0</v>
      </c>
      <c r="AU153" s="9">
        <f>IF(43&lt;=核心参数输入!$B$9*4,AU150+AU149-AU151,0)</f>
        <v>0</v>
      </c>
      <c r="AV153" s="9">
        <f>IF(44&lt;=核心参数输入!$B$9*4,AV150+AV149-AV151,0)</f>
        <v>0</v>
      </c>
      <c r="AW153" s="9">
        <f>IF(45&lt;=核心参数输入!$B$9*4,AW150+AW149-AW151,0)</f>
        <v>0</v>
      </c>
      <c r="AX153" s="9">
        <f>IF(46&lt;=核心参数输入!$B$9*4,AX150+AX149-AX151,0)</f>
        <v>0</v>
      </c>
      <c r="AY153" s="9">
        <f>IF(47&lt;=核心参数输入!$B$9*4,AY150+AY149-AY151,0)</f>
        <v>0</v>
      </c>
      <c r="AZ153" s="9">
        <f>IF(48&lt;=核心参数输入!$B$9*4,AZ150+AZ149-AZ151,0)</f>
        <v>0</v>
      </c>
      <c r="BA153" s="9">
        <f>IF(49&lt;=核心参数输入!$B$9*4,BA150+BA149-BA151,0)</f>
        <v>0</v>
      </c>
      <c r="BB153" s="9">
        <f>IF(50&lt;=核心参数输入!$B$9*4,BB150+BB149-BB151,0)</f>
        <v>0</v>
      </c>
      <c r="BC153" s="9">
        <f>IF(51&lt;=核心参数输入!$B$9*4,BC150+BC149-BC151,0)</f>
        <v>0</v>
      </c>
      <c r="BD153" s="9">
        <f>IF(52&lt;=核心参数输入!$B$9*4,BD150+BD149-BD151,0)</f>
        <v>0</v>
      </c>
      <c r="BE153" s="9">
        <f>IF(53&lt;=核心参数输入!$B$9*4,BE150+BE149-BE151,0)</f>
        <v>0</v>
      </c>
      <c r="BF153" s="9">
        <f>IF(54&lt;=核心参数输入!$B$9*4,BF150+BF149-BF151,0)</f>
        <v>0</v>
      </c>
      <c r="BG153" s="9">
        <f>IF(55&lt;=核心参数输入!$B$9*4,BG150+BG149-BG151,0)</f>
        <v>0</v>
      </c>
      <c r="BH153" s="9">
        <f>IF(56&lt;=核心参数输入!$B$9*4,BH150+BH149-BH151,0)</f>
        <v>0</v>
      </c>
      <c r="BI153" s="9">
        <f>IF(57&lt;=核心参数输入!$B$9*4,BI150+BI149-BI151,0)</f>
        <v>0</v>
      </c>
      <c r="BJ153" s="9">
        <f>IF(58&lt;=核心参数输入!$B$9*4,BJ150+BJ149-BJ151,0)</f>
        <v>0</v>
      </c>
      <c r="BK153" s="9">
        <f>IF(59&lt;=核心参数输入!$B$9*4,BK150+BK149-BK151,0)</f>
        <v>0</v>
      </c>
      <c r="BL153" s="9">
        <f>IF(60&lt;=核心参数输入!$B$9*4,BL150+BL149-BL151,0)</f>
        <v>0</v>
      </c>
      <c r="BM153" s="9">
        <f>IF(61&lt;=核心参数输入!$B$9*4,BM150+BM149-BM151,0)</f>
        <v>0</v>
      </c>
      <c r="BN153" s="9">
        <f>IF(62&lt;=核心参数输入!$B$9*4,BN150+BN149-BN151,0)</f>
        <v>0</v>
      </c>
      <c r="BO153" s="9">
        <f>IF(63&lt;=核心参数输入!$B$9*4,BO150+BO149-BO151,0)</f>
        <v>0</v>
      </c>
      <c r="BP153" s="9">
        <f>IF(64&lt;=核心参数输入!$B$9*4,BP150+BP149-BP151,0)</f>
        <v>0</v>
      </c>
      <c r="BQ153" s="9">
        <f>IF(65&lt;=核心参数输入!$B$9*4,BQ150+BQ149-BQ151,0)</f>
        <v>0</v>
      </c>
      <c r="BR153" s="9">
        <f>IF(66&lt;=核心参数输入!$B$9*4,BR150+BR149-BR151,0)</f>
        <v>0</v>
      </c>
      <c r="BS153" s="9">
        <f>IF(67&lt;=核心参数输入!$B$9*4,BS150+BS149-BS151,0)</f>
        <v>0</v>
      </c>
      <c r="BT153" s="9">
        <f>IF(68&lt;=核心参数输入!$B$9*4,BT150+BT149-BT151,0)</f>
        <v>0</v>
      </c>
      <c r="BU153" s="9">
        <f>IF(69&lt;=核心参数输入!$B$9*4,BU150+BU149-BU151,0)</f>
        <v>0</v>
      </c>
      <c r="BV153" s="9">
        <f>IF(70&lt;=核心参数输入!$B$9*4,BV150+BV149-BV151,0)</f>
        <v>0</v>
      </c>
      <c r="BW153" s="9">
        <f>IF(71&lt;=核心参数输入!$B$9*4,BW150+BW149-BW151,0)</f>
        <v>0</v>
      </c>
      <c r="BX153" s="9">
        <f>IF(72&lt;=核心参数输入!$B$9*4,BX150+BX149-BX151,0)</f>
        <v>0</v>
      </c>
      <c r="BY153" s="9">
        <f>IF(73&lt;=核心参数输入!$B$9*4,BY150+BY149-BY151,0)</f>
        <v>0</v>
      </c>
      <c r="BZ153" s="9">
        <f>IF(74&lt;=核心参数输入!$B$9*4,BZ150+BZ149-BZ151,0)</f>
        <v>0</v>
      </c>
      <c r="CA153" s="9">
        <f>IF(75&lt;=核心参数输入!$B$9*4,CA150+CA149-CA151,0)</f>
        <v>0</v>
      </c>
      <c r="CB153" s="9">
        <f>IF(76&lt;=核心参数输入!$B$9*4,CB150+CB149-CB151,0)</f>
        <v>0</v>
      </c>
      <c r="CC153" s="9">
        <f>IF(77&lt;=核心参数输入!$B$9*4,CC150+CC149-CC151,0)</f>
        <v>0</v>
      </c>
      <c r="CD153" s="9">
        <f>IF(78&lt;=核心参数输入!$B$9*4,CD150+CD149-CD151,0)</f>
        <v>0</v>
      </c>
      <c r="CE153" s="9">
        <f>IF(79&lt;=核心参数输入!$B$9*4,CE150+CE149-CE151,0)</f>
        <v>0</v>
      </c>
      <c r="CF153" s="9">
        <f>IF(80&lt;=核心参数输入!$B$9*4,CF150+CF149-CF151,0)</f>
        <v>0</v>
      </c>
      <c r="CG153" s="9">
        <f>IF(81&lt;=核心参数输入!$B$9*4,CG150+CG149-CG151,0)</f>
        <v>0</v>
      </c>
      <c r="CH153" s="9">
        <f>IF(82&lt;=核心参数输入!$B$9*4,CH150+CH149-CH151,0)</f>
        <v>0</v>
      </c>
      <c r="CI153" s="9">
        <f>IF(83&lt;=核心参数输入!$B$9*4,CI150+CI149-CI151,0)</f>
        <v>0</v>
      </c>
      <c r="CJ153" s="9">
        <f>IF(84&lt;=核心参数输入!$B$9*4,CJ150+CJ149-CJ151,0)</f>
        <v>0</v>
      </c>
      <c r="CK153" s="9">
        <f>IF(85&lt;=核心参数输入!$B$9*4,CK150+CK149-CK151,0)</f>
        <v>0</v>
      </c>
      <c r="CL153" s="9">
        <f>IF(86&lt;=核心参数输入!$B$9*4,CL150+CL149-CL151,0)</f>
        <v>0</v>
      </c>
      <c r="CM153" s="9">
        <f>IF(87&lt;=核心参数输入!$B$9*4,CM150+CM149-CM151,0)</f>
        <v>0</v>
      </c>
      <c r="CN153" s="9">
        <f>IF(88&lt;=核心参数输入!$B$9*4,CN150+CN149-CN151,0)</f>
        <v>0</v>
      </c>
      <c r="CO153" s="9">
        <f>IF(89&lt;=核心参数输入!$B$9*4,CO150+CO149-CO151,0)</f>
        <v>0</v>
      </c>
      <c r="CP153" s="9">
        <f>IF(90&lt;=核心参数输入!$B$9*4,CP150+CP149-CP151,0)</f>
        <v>0</v>
      </c>
      <c r="CQ153" s="9">
        <f>IF(91&lt;=核心参数输入!$B$9*4,CQ150+CQ149-CQ151,0)</f>
        <v>0</v>
      </c>
      <c r="CR153" s="9">
        <f>IF(92&lt;=核心参数输入!$B$9*4,CR150+CR149-CR151,0)</f>
        <v>0</v>
      </c>
      <c r="CS153" s="9">
        <f>IF(93&lt;=核心参数输入!$B$9*4,CS150+CS149-CS151,0)</f>
        <v>0</v>
      </c>
      <c r="CT153" s="9">
        <f>IF(94&lt;=核心参数输入!$B$9*4,CT150+CT149-CT151,0)</f>
        <v>0</v>
      </c>
      <c r="CU153" s="9">
        <f>IF(95&lt;=核心参数输入!$B$9*4,CU150+CU149-CU151,0)</f>
        <v>0</v>
      </c>
      <c r="CV153" s="9">
        <f>IF(96&lt;=核心参数输入!$B$9*4,CV150+CV149-CV151,0)</f>
        <v>0</v>
      </c>
      <c r="CW153" s="9">
        <f>IF(97&lt;=核心参数输入!$B$9*4,CW150+CW149-CW151,0)</f>
        <v>0</v>
      </c>
      <c r="CX153" s="9">
        <f>IF(98&lt;=核心参数输入!$B$9*4,CX150+CX149-CX151,0)</f>
        <v>0</v>
      </c>
      <c r="CY153" s="9">
        <f>IF(99&lt;=核心参数输入!$B$9*4,CY150+CY149-CY151,0)</f>
        <v>0</v>
      </c>
      <c r="CZ153" s="9">
        <f>IF(100&lt;=核心参数输入!$B$9*4,CZ150+CZ149-CZ151,0)</f>
        <v>0</v>
      </c>
      <c r="DA153" s="9">
        <f>IF(101&lt;=核心参数输入!$B$9*4,DA150+DA149-DA151,0)</f>
        <v>0</v>
      </c>
      <c r="DB153" s="9">
        <f>IF(102&lt;=核心参数输入!$B$9*4,DB150+DB149-DB151,0)</f>
        <v>0</v>
      </c>
      <c r="DC153" s="9">
        <f>IF(103&lt;=核心参数输入!$B$9*4,DC150+DC149-DC151,0)</f>
        <v>0</v>
      </c>
      <c r="DD153" s="9">
        <f>IF(104&lt;=核心参数输入!$B$9*4,DD150+DD149-DD151,0)</f>
        <v>0</v>
      </c>
      <c r="DE153" s="9">
        <f>IF(105&lt;=核心参数输入!$B$9*4,DE150+DE149-DE151,0)</f>
        <v>0</v>
      </c>
      <c r="DF153" s="9">
        <f>IF(106&lt;=核心参数输入!$B$9*4,DF150+DF149-DF151,0)</f>
        <v>0</v>
      </c>
      <c r="DG153" s="9">
        <f>IF(107&lt;=核心参数输入!$B$9*4,DG150+DG149-DG151,0)</f>
        <v>0</v>
      </c>
      <c r="DH153" s="9">
        <f>IF(108&lt;=核心参数输入!$B$9*4,DH150+DH149-DH151,0)</f>
        <v>0</v>
      </c>
      <c r="DI153" s="9">
        <f>IF(109&lt;=核心参数输入!$B$9*4,DI150+DI149-DI151,0)</f>
        <v>0</v>
      </c>
      <c r="DJ153" s="9">
        <f>IF(110&lt;=核心参数输入!$B$9*4,DJ150+DJ149-DJ151,0)</f>
        <v>0</v>
      </c>
      <c r="DK153" s="9">
        <f>IF(111&lt;=核心参数输入!$B$9*4,DK150+DK149-DK151,0)</f>
        <v>0</v>
      </c>
      <c r="DL153" s="9">
        <f>IF(112&lt;=核心参数输入!$B$9*4,DL150+DL149-DL151,0)</f>
        <v>0</v>
      </c>
      <c r="DM153" s="9">
        <f>IF(113&lt;=核心参数输入!$B$9*4,DM150+DM149-DM151,0)</f>
        <v>0</v>
      </c>
      <c r="DN153" s="9">
        <f>IF(114&lt;=核心参数输入!$B$9*4,DN150+DN149-DN151,0)</f>
        <v>0</v>
      </c>
      <c r="DO153" s="9">
        <f>IF(115&lt;=核心参数输入!$B$9*4,DO150+DO149-DO151,0)</f>
        <v>0</v>
      </c>
      <c r="DP153" s="9">
        <f>IF(116&lt;=核心参数输入!$B$9*4,DP150+DP149-DP151,0)</f>
        <v>0</v>
      </c>
      <c r="DQ153" s="9">
        <f>IF(117&lt;=核心参数输入!$B$9*4,DQ150+DQ149-DQ151,0)</f>
        <v>0</v>
      </c>
      <c r="DR153" s="9">
        <f>IF(118&lt;=核心参数输入!$B$9*4,DR150+DR149-DR151,0)</f>
        <v>0</v>
      </c>
      <c r="DS153" s="9">
        <f>IF(119&lt;=核心参数输入!$B$9*4,DS150+DS149-DS151,0)</f>
        <v>0</v>
      </c>
      <c r="DT153" s="9">
        <f>IF(120&lt;=核心参数输入!$B$9*4,DT150+DT149-DT151,0)</f>
        <v>0</v>
      </c>
    </row>
    <row r="154" spans="1:124" ht="21" customHeight="1">
      <c r="A154" s="8" t="s">
        <v>435</v>
      </c>
      <c r="B154" s="8" t="s">
        <v>39</v>
      </c>
      <c r="C154" s="8"/>
      <c r="D154" s="9">
        <f>IF(0&lt;=核心参数输入!$B$9*4,IF(0&lt;=核心参数输入!$B$16*4+核心参数输入!$B$148+核心参数输入!$B$124,D152,0),0)</f>
        <v>0</v>
      </c>
      <c r="E154" s="9">
        <f>IF(1&lt;=核心参数输入!$B$9*4,IF(1&lt;=核心参数输入!$B$16*4+核心参数输入!$B$148+核心参数输入!$B$124,E152,0),0)</f>
        <v>11.8125</v>
      </c>
      <c r="F154" s="9">
        <f>IF(2&lt;=核心参数输入!$B$9*4,IF(2&lt;=核心参数输入!$B$16*4+核心参数输入!$B$148+核心参数输入!$B$124,F152,0),0)</f>
        <v>35.4375</v>
      </c>
      <c r="G154" s="9">
        <f>IF(3&lt;=核心参数输入!$B$9*4,IF(3&lt;=核心参数输入!$B$16*4+核心参数输入!$B$148+核心参数输入!$B$124,G152,0),0)</f>
        <v>59.062500000000007</v>
      </c>
      <c r="H154" s="9">
        <f>IF(4&lt;=核心参数输入!$B$9*4,IF(4&lt;=核心参数输入!$B$16*4+核心参数输入!$B$148+核心参数输入!$B$124,H152,0),0)</f>
        <v>82.6875</v>
      </c>
      <c r="I154" s="9">
        <f>IF(5&lt;=核心参数输入!$B$9*4,IF(5&lt;=核心参数输入!$B$16*4+核心参数输入!$B$148+核心参数输入!$B$124,I152,0),0)</f>
        <v>110.25</v>
      </c>
      <c r="J154" s="9">
        <f>IF(6&lt;=核心参数输入!$B$9*4,IF(6&lt;=核心参数输入!$B$16*4+核心参数输入!$B$148+核心参数输入!$B$124,J152,0),0)</f>
        <v>141.75</v>
      </c>
      <c r="K154" s="9">
        <f>IF(7&lt;=核心参数输入!$B$9*4,IF(7&lt;=核心参数输入!$B$16*4+核心参数输入!$B$148+核心参数输入!$B$124,K152,0),0)</f>
        <v>173.25</v>
      </c>
      <c r="L154" s="9">
        <f>IF(8&lt;=核心参数输入!$B$9*4,IF(8&lt;=核心参数输入!$B$16*4+核心参数输入!$B$148+核心参数输入!$B$124,L152,0),0)</f>
        <v>204.75</v>
      </c>
      <c r="M154" s="9">
        <f>IF(9&lt;=核心参数输入!$B$9*4,IF(9&lt;=核心参数输入!$B$16*4+核心参数输入!$B$148+核心参数输入!$B$124,M152,0),0)</f>
        <v>232.31250000000003</v>
      </c>
      <c r="N154" s="9">
        <f>IF(10&lt;=核心参数输入!$B$9*4,IF(10&lt;=核心参数输入!$B$16*4+核心参数输入!$B$148+核心参数输入!$B$124,N152,0),0)</f>
        <v>255.93750000000003</v>
      </c>
      <c r="O154" s="9">
        <f>IF(11&lt;=核心参数输入!$B$9*4,IF(11&lt;=核心参数输入!$B$16*4+核心参数输入!$B$148+核心参数输入!$B$124,O152,0),0)</f>
        <v>279.5625</v>
      </c>
      <c r="P154" s="9">
        <f>IF(12&lt;=核心参数输入!$B$9*4,IF(12&lt;=核心参数输入!$B$16*4+核心参数输入!$B$148+核心参数输入!$B$124,P152,0),0)</f>
        <v>303.1875</v>
      </c>
      <c r="Q154" s="9">
        <f>IF(13&lt;=核心参数输入!$B$9*4,IF(13&lt;=核心参数输入!$B$16*4+核心参数输入!$B$148+核心参数输入!$B$124,Q152,0),0)</f>
        <v>0</v>
      </c>
      <c r="R154" s="9">
        <f>IF(14&lt;=核心参数输入!$B$9*4,IF(14&lt;=核心参数输入!$B$16*4+核心参数输入!$B$148+核心参数输入!$B$124,R152,0),0)</f>
        <v>0</v>
      </c>
      <c r="S154" s="9">
        <f>IF(15&lt;=核心参数输入!$B$9*4,IF(15&lt;=核心参数输入!$B$16*4+核心参数输入!$B$148+核心参数输入!$B$124,S152,0),0)</f>
        <v>0</v>
      </c>
      <c r="T154" s="9">
        <f>IF(16&lt;=核心参数输入!$B$9*4,IF(16&lt;=核心参数输入!$B$16*4+核心参数输入!$B$148+核心参数输入!$B$124,T152,0),0)</f>
        <v>0</v>
      </c>
      <c r="U154" s="9">
        <f>IF(17&lt;=核心参数输入!$B$9*4,IF(17&lt;=核心参数输入!$B$16*4+核心参数输入!$B$148+核心参数输入!$B$124,U152,0),0)</f>
        <v>0</v>
      </c>
      <c r="V154" s="9">
        <f>IF(18&lt;=核心参数输入!$B$9*4,IF(18&lt;=核心参数输入!$B$16*4+核心参数输入!$B$148+核心参数输入!$B$124,V152,0),0)</f>
        <v>0</v>
      </c>
      <c r="W154" s="9">
        <f>IF(19&lt;=核心参数输入!$B$9*4,IF(19&lt;=核心参数输入!$B$16*4+核心参数输入!$B$148+核心参数输入!$B$124,W152,0),0)</f>
        <v>0</v>
      </c>
      <c r="X154" s="9">
        <f>IF(20&lt;=核心参数输入!$B$9*4,IF(20&lt;=核心参数输入!$B$16*4+核心参数输入!$B$148+核心参数输入!$B$124,X152,0),0)</f>
        <v>0</v>
      </c>
      <c r="Y154" s="9">
        <f>IF(21&lt;=核心参数输入!$B$9*4,IF(21&lt;=核心参数输入!$B$16*4+核心参数输入!$B$148+核心参数输入!$B$124,Y152,0),0)</f>
        <v>0</v>
      </c>
      <c r="Z154" s="9">
        <f>IF(22&lt;=核心参数输入!$B$9*4,IF(22&lt;=核心参数输入!$B$16*4+核心参数输入!$B$148+核心参数输入!$B$124,Z152,0),0)</f>
        <v>0</v>
      </c>
      <c r="AA154" s="9">
        <f>IF(23&lt;=核心参数输入!$B$9*4,IF(23&lt;=核心参数输入!$B$16*4+核心参数输入!$B$148+核心参数输入!$B$124,AA152,0),0)</f>
        <v>0</v>
      </c>
      <c r="AB154" s="9">
        <f>IF(24&lt;=核心参数输入!$B$9*4,IF(24&lt;=核心参数输入!$B$16*4+核心参数输入!$B$148+核心参数输入!$B$124,AB152,0),0)</f>
        <v>0</v>
      </c>
      <c r="AC154" s="9">
        <f>IF(25&lt;=核心参数输入!$B$9*4,IF(25&lt;=核心参数输入!$B$16*4+核心参数输入!$B$148+核心参数输入!$B$124,AC152,0),0)</f>
        <v>0</v>
      </c>
      <c r="AD154" s="9">
        <f>IF(26&lt;=核心参数输入!$B$9*4,IF(26&lt;=核心参数输入!$B$16*4+核心参数输入!$B$148+核心参数输入!$B$124,AD152,0),0)</f>
        <v>0</v>
      </c>
      <c r="AE154" s="9">
        <f>IF(27&lt;=核心参数输入!$B$9*4,IF(27&lt;=核心参数输入!$B$16*4+核心参数输入!$B$148+核心参数输入!$B$124,AE152,0),0)</f>
        <v>0</v>
      </c>
      <c r="AF154" s="9">
        <f>IF(28&lt;=核心参数输入!$B$9*4,IF(28&lt;=核心参数输入!$B$16*4+核心参数输入!$B$148+核心参数输入!$B$124,AF152,0),0)</f>
        <v>0</v>
      </c>
      <c r="AG154" s="9">
        <f>IF(29&lt;=核心参数输入!$B$9*4,IF(29&lt;=核心参数输入!$B$16*4+核心参数输入!$B$148+核心参数输入!$B$124,AG152,0),0)</f>
        <v>0</v>
      </c>
      <c r="AH154" s="9">
        <f>IF(30&lt;=核心参数输入!$B$9*4,IF(30&lt;=核心参数输入!$B$16*4+核心参数输入!$B$148+核心参数输入!$B$124,AH152,0),0)</f>
        <v>0</v>
      </c>
      <c r="AI154" s="9">
        <f>IF(31&lt;=核心参数输入!$B$9*4,IF(31&lt;=核心参数输入!$B$16*4+核心参数输入!$B$148+核心参数输入!$B$124,AI152,0),0)</f>
        <v>0</v>
      </c>
      <c r="AJ154" s="9">
        <f>IF(32&lt;=核心参数输入!$B$9*4,IF(32&lt;=核心参数输入!$B$16*4+核心参数输入!$B$148+核心参数输入!$B$124,AJ152,0),0)</f>
        <v>0</v>
      </c>
      <c r="AK154" s="9">
        <f>IF(33&lt;=核心参数输入!$B$9*4,IF(33&lt;=核心参数输入!$B$16*4+核心参数输入!$B$148+核心参数输入!$B$124,AK152,0),0)</f>
        <v>0</v>
      </c>
      <c r="AL154" s="9">
        <f>IF(34&lt;=核心参数输入!$B$9*4,IF(34&lt;=核心参数输入!$B$16*4+核心参数输入!$B$148+核心参数输入!$B$124,AL152,0),0)</f>
        <v>0</v>
      </c>
      <c r="AM154" s="9">
        <f>IF(35&lt;=核心参数输入!$B$9*4,IF(35&lt;=核心参数输入!$B$16*4+核心参数输入!$B$148+核心参数输入!$B$124,AM152,0),0)</f>
        <v>0</v>
      </c>
      <c r="AN154" s="9">
        <f>IF(36&lt;=核心参数输入!$B$9*4,IF(36&lt;=核心参数输入!$B$16*4+核心参数输入!$B$148+核心参数输入!$B$124,AN152,0),0)</f>
        <v>0</v>
      </c>
      <c r="AO154" s="9">
        <f>IF(37&lt;=核心参数输入!$B$9*4,IF(37&lt;=核心参数输入!$B$16*4+核心参数输入!$B$148+核心参数输入!$B$124,AO152,0),0)</f>
        <v>0</v>
      </c>
      <c r="AP154" s="9">
        <f>IF(38&lt;=核心参数输入!$B$9*4,IF(38&lt;=核心参数输入!$B$16*4+核心参数输入!$B$148+核心参数输入!$B$124,AP152,0),0)</f>
        <v>0</v>
      </c>
      <c r="AQ154" s="9">
        <f>IF(39&lt;=核心参数输入!$B$9*4,IF(39&lt;=核心参数输入!$B$16*4+核心参数输入!$B$148+核心参数输入!$B$124,AQ152,0),0)</f>
        <v>0</v>
      </c>
      <c r="AR154" s="9">
        <f>IF(40&lt;=核心参数输入!$B$9*4,IF(40&lt;=核心参数输入!$B$16*4+核心参数输入!$B$148+核心参数输入!$B$124,AR152,0),0)</f>
        <v>0</v>
      </c>
      <c r="AS154" s="9">
        <f>IF(41&lt;=核心参数输入!$B$9*4,IF(41&lt;=核心参数输入!$B$16*4+核心参数输入!$B$148+核心参数输入!$B$124,AS152,0),0)</f>
        <v>0</v>
      </c>
      <c r="AT154" s="9">
        <f>IF(42&lt;=核心参数输入!$B$9*4,IF(42&lt;=核心参数输入!$B$16*4+核心参数输入!$B$148+核心参数输入!$B$124,AT152,0),0)</f>
        <v>0</v>
      </c>
      <c r="AU154" s="9">
        <f>IF(43&lt;=核心参数输入!$B$9*4,IF(43&lt;=核心参数输入!$B$16*4+核心参数输入!$B$148+核心参数输入!$B$124,AU152,0),0)</f>
        <v>0</v>
      </c>
      <c r="AV154" s="9">
        <f>IF(44&lt;=核心参数输入!$B$9*4,IF(44&lt;=核心参数输入!$B$16*4+核心参数输入!$B$148+核心参数输入!$B$124,AV152,0),0)</f>
        <v>0</v>
      </c>
      <c r="AW154" s="9">
        <f>IF(45&lt;=核心参数输入!$B$9*4,IF(45&lt;=核心参数输入!$B$16*4+核心参数输入!$B$148+核心参数输入!$B$124,AW152,0),0)</f>
        <v>0</v>
      </c>
      <c r="AX154" s="9">
        <f>IF(46&lt;=核心参数输入!$B$9*4,IF(46&lt;=核心参数输入!$B$16*4+核心参数输入!$B$148+核心参数输入!$B$124,AX152,0),0)</f>
        <v>0</v>
      </c>
      <c r="AY154" s="9">
        <f>IF(47&lt;=核心参数输入!$B$9*4,IF(47&lt;=核心参数输入!$B$16*4+核心参数输入!$B$148+核心参数输入!$B$124,AY152,0),0)</f>
        <v>0</v>
      </c>
      <c r="AZ154" s="9">
        <f>IF(48&lt;=核心参数输入!$B$9*4,IF(48&lt;=核心参数输入!$B$16*4+核心参数输入!$B$148+核心参数输入!$B$124,AZ152,0),0)</f>
        <v>0</v>
      </c>
      <c r="BA154" s="9">
        <f>IF(49&lt;=核心参数输入!$B$9*4,IF(49&lt;=核心参数输入!$B$16*4+核心参数输入!$B$148+核心参数输入!$B$124,BA152,0),0)</f>
        <v>0</v>
      </c>
      <c r="BB154" s="9">
        <f>IF(50&lt;=核心参数输入!$B$9*4,IF(50&lt;=核心参数输入!$B$16*4+核心参数输入!$B$148+核心参数输入!$B$124,BB152,0),0)</f>
        <v>0</v>
      </c>
      <c r="BC154" s="9">
        <f>IF(51&lt;=核心参数输入!$B$9*4,IF(51&lt;=核心参数输入!$B$16*4+核心参数输入!$B$148+核心参数输入!$B$124,BC152,0),0)</f>
        <v>0</v>
      </c>
      <c r="BD154" s="9">
        <f>IF(52&lt;=核心参数输入!$B$9*4,IF(52&lt;=核心参数输入!$B$16*4+核心参数输入!$B$148+核心参数输入!$B$124,BD152,0),0)</f>
        <v>0</v>
      </c>
      <c r="BE154" s="9">
        <f>IF(53&lt;=核心参数输入!$B$9*4,IF(53&lt;=核心参数输入!$B$16*4+核心参数输入!$B$148+核心参数输入!$B$124,BE152,0),0)</f>
        <v>0</v>
      </c>
      <c r="BF154" s="9">
        <f>IF(54&lt;=核心参数输入!$B$9*4,IF(54&lt;=核心参数输入!$B$16*4+核心参数输入!$B$148+核心参数输入!$B$124,BF152,0),0)</f>
        <v>0</v>
      </c>
      <c r="BG154" s="9">
        <f>IF(55&lt;=核心参数输入!$B$9*4,IF(55&lt;=核心参数输入!$B$16*4+核心参数输入!$B$148+核心参数输入!$B$124,BG152,0),0)</f>
        <v>0</v>
      </c>
      <c r="BH154" s="9">
        <f>IF(56&lt;=核心参数输入!$B$9*4,IF(56&lt;=核心参数输入!$B$16*4+核心参数输入!$B$148+核心参数输入!$B$124,BH152,0),0)</f>
        <v>0</v>
      </c>
      <c r="BI154" s="9">
        <f>IF(57&lt;=核心参数输入!$B$9*4,IF(57&lt;=核心参数输入!$B$16*4+核心参数输入!$B$148+核心参数输入!$B$124,BI152,0),0)</f>
        <v>0</v>
      </c>
      <c r="BJ154" s="9">
        <f>IF(58&lt;=核心参数输入!$B$9*4,IF(58&lt;=核心参数输入!$B$16*4+核心参数输入!$B$148+核心参数输入!$B$124,BJ152,0),0)</f>
        <v>0</v>
      </c>
      <c r="BK154" s="9">
        <f>IF(59&lt;=核心参数输入!$B$9*4,IF(59&lt;=核心参数输入!$B$16*4+核心参数输入!$B$148+核心参数输入!$B$124,BK152,0),0)</f>
        <v>0</v>
      </c>
      <c r="BL154" s="9">
        <f>IF(60&lt;=核心参数输入!$B$9*4,IF(60&lt;=核心参数输入!$B$16*4+核心参数输入!$B$148+核心参数输入!$B$124,BL152,0),0)</f>
        <v>0</v>
      </c>
      <c r="BM154" s="9">
        <f>IF(61&lt;=核心参数输入!$B$9*4,IF(61&lt;=核心参数输入!$B$16*4+核心参数输入!$B$148+核心参数输入!$B$124,BM152,0),0)</f>
        <v>0</v>
      </c>
      <c r="BN154" s="9">
        <f>IF(62&lt;=核心参数输入!$B$9*4,IF(62&lt;=核心参数输入!$B$16*4+核心参数输入!$B$148+核心参数输入!$B$124,BN152,0),0)</f>
        <v>0</v>
      </c>
      <c r="BO154" s="9">
        <f>IF(63&lt;=核心参数输入!$B$9*4,IF(63&lt;=核心参数输入!$B$16*4+核心参数输入!$B$148+核心参数输入!$B$124,BO152,0),0)</f>
        <v>0</v>
      </c>
      <c r="BP154" s="9">
        <f>IF(64&lt;=核心参数输入!$B$9*4,IF(64&lt;=核心参数输入!$B$16*4+核心参数输入!$B$148+核心参数输入!$B$124,BP152,0),0)</f>
        <v>0</v>
      </c>
      <c r="BQ154" s="9">
        <f>IF(65&lt;=核心参数输入!$B$9*4,IF(65&lt;=核心参数输入!$B$16*4+核心参数输入!$B$148+核心参数输入!$B$124,BQ152,0),0)</f>
        <v>0</v>
      </c>
      <c r="BR154" s="9">
        <f>IF(66&lt;=核心参数输入!$B$9*4,IF(66&lt;=核心参数输入!$B$16*4+核心参数输入!$B$148+核心参数输入!$B$124,BR152,0),0)</f>
        <v>0</v>
      </c>
      <c r="BS154" s="9">
        <f>IF(67&lt;=核心参数输入!$B$9*4,IF(67&lt;=核心参数输入!$B$16*4+核心参数输入!$B$148+核心参数输入!$B$124,BS152,0),0)</f>
        <v>0</v>
      </c>
      <c r="BT154" s="9">
        <f>IF(68&lt;=核心参数输入!$B$9*4,IF(68&lt;=核心参数输入!$B$16*4+核心参数输入!$B$148+核心参数输入!$B$124,BT152,0),0)</f>
        <v>0</v>
      </c>
      <c r="BU154" s="9">
        <f>IF(69&lt;=核心参数输入!$B$9*4,IF(69&lt;=核心参数输入!$B$16*4+核心参数输入!$B$148+核心参数输入!$B$124,BU152,0),0)</f>
        <v>0</v>
      </c>
      <c r="BV154" s="9">
        <f>IF(70&lt;=核心参数输入!$B$9*4,IF(70&lt;=核心参数输入!$B$16*4+核心参数输入!$B$148+核心参数输入!$B$124,BV152,0),0)</f>
        <v>0</v>
      </c>
      <c r="BW154" s="9">
        <f>IF(71&lt;=核心参数输入!$B$9*4,IF(71&lt;=核心参数输入!$B$16*4+核心参数输入!$B$148+核心参数输入!$B$124,BW152,0),0)</f>
        <v>0</v>
      </c>
      <c r="BX154" s="9">
        <f>IF(72&lt;=核心参数输入!$B$9*4,IF(72&lt;=核心参数输入!$B$16*4+核心参数输入!$B$148+核心参数输入!$B$124,BX152,0),0)</f>
        <v>0</v>
      </c>
      <c r="BY154" s="9">
        <f>IF(73&lt;=核心参数输入!$B$9*4,IF(73&lt;=核心参数输入!$B$16*4+核心参数输入!$B$148+核心参数输入!$B$124,BY152,0),0)</f>
        <v>0</v>
      </c>
      <c r="BZ154" s="9">
        <f>IF(74&lt;=核心参数输入!$B$9*4,IF(74&lt;=核心参数输入!$B$16*4+核心参数输入!$B$148+核心参数输入!$B$124,BZ152,0),0)</f>
        <v>0</v>
      </c>
      <c r="CA154" s="9">
        <f>IF(75&lt;=核心参数输入!$B$9*4,IF(75&lt;=核心参数输入!$B$16*4+核心参数输入!$B$148+核心参数输入!$B$124,CA152,0),0)</f>
        <v>0</v>
      </c>
      <c r="CB154" s="9">
        <f>IF(76&lt;=核心参数输入!$B$9*4,IF(76&lt;=核心参数输入!$B$16*4+核心参数输入!$B$148+核心参数输入!$B$124,CB152,0),0)</f>
        <v>0</v>
      </c>
      <c r="CC154" s="9">
        <f>IF(77&lt;=核心参数输入!$B$9*4,IF(77&lt;=核心参数输入!$B$16*4+核心参数输入!$B$148+核心参数输入!$B$124,CC152,0),0)</f>
        <v>0</v>
      </c>
      <c r="CD154" s="9">
        <f>IF(78&lt;=核心参数输入!$B$9*4,IF(78&lt;=核心参数输入!$B$16*4+核心参数输入!$B$148+核心参数输入!$B$124,CD152,0),0)</f>
        <v>0</v>
      </c>
      <c r="CE154" s="9">
        <f>IF(79&lt;=核心参数输入!$B$9*4,IF(79&lt;=核心参数输入!$B$16*4+核心参数输入!$B$148+核心参数输入!$B$124,CE152,0),0)</f>
        <v>0</v>
      </c>
      <c r="CF154" s="9">
        <f>IF(80&lt;=核心参数输入!$B$9*4,IF(80&lt;=核心参数输入!$B$16*4+核心参数输入!$B$148+核心参数输入!$B$124,CF152,0),0)</f>
        <v>0</v>
      </c>
      <c r="CG154" s="9">
        <f>IF(81&lt;=核心参数输入!$B$9*4,IF(81&lt;=核心参数输入!$B$16*4+核心参数输入!$B$148+核心参数输入!$B$124,CG152,0),0)</f>
        <v>0</v>
      </c>
      <c r="CH154" s="9">
        <f>IF(82&lt;=核心参数输入!$B$9*4,IF(82&lt;=核心参数输入!$B$16*4+核心参数输入!$B$148+核心参数输入!$B$124,CH152,0),0)</f>
        <v>0</v>
      </c>
      <c r="CI154" s="9">
        <f>IF(83&lt;=核心参数输入!$B$9*4,IF(83&lt;=核心参数输入!$B$16*4+核心参数输入!$B$148+核心参数输入!$B$124,CI152,0),0)</f>
        <v>0</v>
      </c>
      <c r="CJ154" s="9">
        <f>IF(84&lt;=核心参数输入!$B$9*4,IF(84&lt;=核心参数输入!$B$16*4+核心参数输入!$B$148+核心参数输入!$B$124,CJ152,0),0)</f>
        <v>0</v>
      </c>
      <c r="CK154" s="9">
        <f>IF(85&lt;=核心参数输入!$B$9*4,IF(85&lt;=核心参数输入!$B$16*4+核心参数输入!$B$148+核心参数输入!$B$124,CK152,0),0)</f>
        <v>0</v>
      </c>
      <c r="CL154" s="9">
        <f>IF(86&lt;=核心参数输入!$B$9*4,IF(86&lt;=核心参数输入!$B$16*4+核心参数输入!$B$148+核心参数输入!$B$124,CL152,0),0)</f>
        <v>0</v>
      </c>
      <c r="CM154" s="9">
        <f>IF(87&lt;=核心参数输入!$B$9*4,IF(87&lt;=核心参数输入!$B$16*4+核心参数输入!$B$148+核心参数输入!$B$124,CM152,0),0)</f>
        <v>0</v>
      </c>
      <c r="CN154" s="9">
        <f>IF(88&lt;=核心参数输入!$B$9*4,IF(88&lt;=核心参数输入!$B$16*4+核心参数输入!$B$148+核心参数输入!$B$124,CN152,0),0)</f>
        <v>0</v>
      </c>
      <c r="CO154" s="9">
        <f>IF(89&lt;=核心参数输入!$B$9*4,IF(89&lt;=核心参数输入!$B$16*4+核心参数输入!$B$148+核心参数输入!$B$124,CO152,0),0)</f>
        <v>0</v>
      </c>
      <c r="CP154" s="9">
        <f>IF(90&lt;=核心参数输入!$B$9*4,IF(90&lt;=核心参数输入!$B$16*4+核心参数输入!$B$148+核心参数输入!$B$124,CP152,0),0)</f>
        <v>0</v>
      </c>
      <c r="CQ154" s="9">
        <f>IF(91&lt;=核心参数输入!$B$9*4,IF(91&lt;=核心参数输入!$B$16*4+核心参数输入!$B$148+核心参数输入!$B$124,CQ152,0),0)</f>
        <v>0</v>
      </c>
      <c r="CR154" s="9">
        <f>IF(92&lt;=核心参数输入!$B$9*4,IF(92&lt;=核心参数输入!$B$16*4+核心参数输入!$B$148+核心参数输入!$B$124,CR152,0),0)</f>
        <v>0</v>
      </c>
      <c r="CS154" s="9">
        <f>IF(93&lt;=核心参数输入!$B$9*4,IF(93&lt;=核心参数输入!$B$16*4+核心参数输入!$B$148+核心参数输入!$B$124,CS152,0),0)</f>
        <v>0</v>
      </c>
      <c r="CT154" s="9">
        <f>IF(94&lt;=核心参数输入!$B$9*4,IF(94&lt;=核心参数输入!$B$16*4+核心参数输入!$B$148+核心参数输入!$B$124,CT152,0),0)</f>
        <v>0</v>
      </c>
      <c r="CU154" s="9">
        <f>IF(95&lt;=核心参数输入!$B$9*4,IF(95&lt;=核心参数输入!$B$16*4+核心参数输入!$B$148+核心参数输入!$B$124,CU152,0),0)</f>
        <v>0</v>
      </c>
      <c r="CV154" s="9">
        <f>IF(96&lt;=核心参数输入!$B$9*4,IF(96&lt;=核心参数输入!$B$16*4+核心参数输入!$B$148+核心参数输入!$B$124,CV152,0),0)</f>
        <v>0</v>
      </c>
      <c r="CW154" s="9">
        <f>IF(97&lt;=核心参数输入!$B$9*4,IF(97&lt;=核心参数输入!$B$16*4+核心参数输入!$B$148+核心参数输入!$B$124,CW152,0),0)</f>
        <v>0</v>
      </c>
      <c r="CX154" s="9">
        <f>IF(98&lt;=核心参数输入!$B$9*4,IF(98&lt;=核心参数输入!$B$16*4+核心参数输入!$B$148+核心参数输入!$B$124,CX152,0),0)</f>
        <v>0</v>
      </c>
      <c r="CY154" s="9">
        <f>IF(99&lt;=核心参数输入!$B$9*4,IF(99&lt;=核心参数输入!$B$16*4+核心参数输入!$B$148+核心参数输入!$B$124,CY152,0),0)</f>
        <v>0</v>
      </c>
      <c r="CZ154" s="9">
        <f>IF(100&lt;=核心参数输入!$B$9*4,IF(100&lt;=核心参数输入!$B$16*4+核心参数输入!$B$148+核心参数输入!$B$124,CZ152,0),0)</f>
        <v>0</v>
      </c>
      <c r="DA154" s="9">
        <f>IF(101&lt;=核心参数输入!$B$9*4,IF(101&lt;=核心参数输入!$B$16*4+核心参数输入!$B$148+核心参数输入!$B$124,DA152,0),0)</f>
        <v>0</v>
      </c>
      <c r="DB154" s="9">
        <f>IF(102&lt;=核心参数输入!$B$9*4,IF(102&lt;=核心参数输入!$B$16*4+核心参数输入!$B$148+核心参数输入!$B$124,DB152,0),0)</f>
        <v>0</v>
      </c>
      <c r="DC154" s="9">
        <f>IF(103&lt;=核心参数输入!$B$9*4,IF(103&lt;=核心参数输入!$B$16*4+核心参数输入!$B$148+核心参数输入!$B$124,DC152,0),0)</f>
        <v>0</v>
      </c>
      <c r="DD154" s="9">
        <f>IF(104&lt;=核心参数输入!$B$9*4,IF(104&lt;=核心参数输入!$B$16*4+核心参数输入!$B$148+核心参数输入!$B$124,DD152,0),0)</f>
        <v>0</v>
      </c>
      <c r="DE154" s="9">
        <f>IF(105&lt;=核心参数输入!$B$9*4,IF(105&lt;=核心参数输入!$B$16*4+核心参数输入!$B$148+核心参数输入!$B$124,DE152,0),0)</f>
        <v>0</v>
      </c>
      <c r="DF154" s="9">
        <f>IF(106&lt;=核心参数输入!$B$9*4,IF(106&lt;=核心参数输入!$B$16*4+核心参数输入!$B$148+核心参数输入!$B$124,DF152,0),0)</f>
        <v>0</v>
      </c>
      <c r="DG154" s="9">
        <f>IF(107&lt;=核心参数输入!$B$9*4,IF(107&lt;=核心参数输入!$B$16*4+核心参数输入!$B$148+核心参数输入!$B$124,DG152,0),0)</f>
        <v>0</v>
      </c>
      <c r="DH154" s="9">
        <f>IF(108&lt;=核心参数输入!$B$9*4,IF(108&lt;=核心参数输入!$B$16*4+核心参数输入!$B$148+核心参数输入!$B$124,DH152,0),0)</f>
        <v>0</v>
      </c>
      <c r="DI154" s="9">
        <f>IF(109&lt;=核心参数输入!$B$9*4,IF(109&lt;=核心参数输入!$B$16*4+核心参数输入!$B$148+核心参数输入!$B$124,DI152,0),0)</f>
        <v>0</v>
      </c>
      <c r="DJ154" s="9">
        <f>IF(110&lt;=核心参数输入!$B$9*4,IF(110&lt;=核心参数输入!$B$16*4+核心参数输入!$B$148+核心参数输入!$B$124,DJ152,0),0)</f>
        <v>0</v>
      </c>
      <c r="DK154" s="9">
        <f>IF(111&lt;=核心参数输入!$B$9*4,IF(111&lt;=核心参数输入!$B$16*4+核心参数输入!$B$148+核心参数输入!$B$124,DK152,0),0)</f>
        <v>0</v>
      </c>
      <c r="DL154" s="9">
        <f>IF(112&lt;=核心参数输入!$B$9*4,IF(112&lt;=核心参数输入!$B$16*4+核心参数输入!$B$148+核心参数输入!$B$124,DL152,0),0)</f>
        <v>0</v>
      </c>
      <c r="DM154" s="9">
        <f>IF(113&lt;=核心参数输入!$B$9*4,IF(113&lt;=核心参数输入!$B$16*4+核心参数输入!$B$148+核心参数输入!$B$124,DM152,0),0)</f>
        <v>0</v>
      </c>
      <c r="DN154" s="9">
        <f>IF(114&lt;=核心参数输入!$B$9*4,IF(114&lt;=核心参数输入!$B$16*4+核心参数输入!$B$148+核心参数输入!$B$124,DN152,0),0)</f>
        <v>0</v>
      </c>
      <c r="DO154" s="9">
        <f>IF(115&lt;=核心参数输入!$B$9*4,IF(115&lt;=核心参数输入!$B$16*4+核心参数输入!$B$148+核心参数输入!$B$124,DO152,0),0)</f>
        <v>0</v>
      </c>
      <c r="DP154" s="9">
        <f>IF(116&lt;=核心参数输入!$B$9*4,IF(116&lt;=核心参数输入!$B$16*4+核心参数输入!$B$148+核心参数输入!$B$124,DP152,0),0)</f>
        <v>0</v>
      </c>
      <c r="DQ154" s="9">
        <f>IF(117&lt;=核心参数输入!$B$9*4,IF(117&lt;=核心参数输入!$B$16*4+核心参数输入!$B$148+核心参数输入!$B$124,DQ152,0),0)</f>
        <v>0</v>
      </c>
      <c r="DR154" s="9">
        <f>IF(118&lt;=核心参数输入!$B$9*4,IF(118&lt;=核心参数输入!$B$16*4+核心参数输入!$B$148+核心参数输入!$B$124,DR152,0),0)</f>
        <v>0</v>
      </c>
      <c r="DS154" s="9">
        <f>IF(119&lt;=核心参数输入!$B$9*4,IF(119&lt;=核心参数输入!$B$16*4+核心参数输入!$B$148+核心参数输入!$B$124,DS152,0),0)</f>
        <v>0</v>
      </c>
      <c r="DT154" s="9">
        <f>IF(120&lt;=核心参数输入!$B$9*4,IF(120&lt;=核心参数输入!$B$16*4+核心参数输入!$B$148+核心参数输入!$B$124,DT152,0),0)</f>
        <v>0</v>
      </c>
    </row>
    <row r="155" spans="1:124" ht="21" customHeight="1">
      <c r="A155" s="8" t="s">
        <v>436</v>
      </c>
      <c r="B155" s="8" t="s">
        <v>39</v>
      </c>
      <c r="C155" s="8"/>
      <c r="D155" s="9">
        <f>IF(0&lt;=核心参数输入!$B$9*4,D152-D154,0)</f>
        <v>0</v>
      </c>
      <c r="E155" s="9">
        <f>IF(1&lt;=核心参数输入!$B$9*4,E152-E154,0)</f>
        <v>0</v>
      </c>
      <c r="F155" s="9">
        <f>IF(2&lt;=核心参数输入!$B$9*4,F152-F154,0)</f>
        <v>0</v>
      </c>
      <c r="G155" s="9">
        <f>IF(3&lt;=核心参数输入!$B$9*4,G152-G154,0)</f>
        <v>0</v>
      </c>
      <c r="H155" s="9">
        <f>IF(4&lt;=核心参数输入!$B$9*4,H152-H154,0)</f>
        <v>0</v>
      </c>
      <c r="I155" s="9">
        <f>IF(5&lt;=核心参数输入!$B$9*4,I152-I154,0)</f>
        <v>0</v>
      </c>
      <c r="J155" s="9">
        <f>IF(6&lt;=核心参数输入!$B$9*4,J152-J154,0)</f>
        <v>0</v>
      </c>
      <c r="K155" s="9">
        <f>IF(7&lt;=核心参数输入!$B$9*4,K152-K154,0)</f>
        <v>0</v>
      </c>
      <c r="L155" s="9">
        <f>IF(8&lt;=核心参数输入!$B$9*4,L152-L154,0)</f>
        <v>0</v>
      </c>
      <c r="M155" s="9">
        <f>IF(9&lt;=核心参数输入!$B$9*4,M152-M154,0)</f>
        <v>0</v>
      </c>
      <c r="N155" s="9">
        <f>IF(10&lt;=核心参数输入!$B$9*4,N152-N154,0)</f>
        <v>0</v>
      </c>
      <c r="O155" s="9">
        <f>IF(11&lt;=核心参数输入!$B$9*4,O152-O154,0)</f>
        <v>0</v>
      </c>
      <c r="P155" s="9">
        <f>IF(12&lt;=核心参数输入!$B$9*4,P152-P154,0)</f>
        <v>0</v>
      </c>
      <c r="Q155" s="9">
        <f>IF(13&lt;=核心参数输入!$B$9*4,Q152-Q154,0)</f>
        <v>315</v>
      </c>
      <c r="R155" s="9">
        <f>IF(14&lt;=核心参数输入!$B$9*4,R152-R154,0)</f>
        <v>315</v>
      </c>
      <c r="S155" s="9">
        <f>IF(15&lt;=核心参数输入!$B$9*4,S152-S154,0)</f>
        <v>315</v>
      </c>
      <c r="T155" s="9">
        <f>IF(16&lt;=核心参数输入!$B$9*4,T152-T154,0)</f>
        <v>292.50000000000006</v>
      </c>
      <c r="U155" s="9">
        <f>IF(17&lt;=核心参数输入!$B$9*4,U152-U154,0)</f>
        <v>270</v>
      </c>
      <c r="V155" s="9">
        <f>IF(18&lt;=核心参数输入!$B$9*4,V152-V154,0)</f>
        <v>270</v>
      </c>
      <c r="W155" s="9">
        <f>IF(19&lt;=核心参数输入!$B$9*4,W152-W154,0)</f>
        <v>270</v>
      </c>
      <c r="X155" s="9">
        <f>IF(20&lt;=核心参数输入!$B$9*4,X152-X154,0)</f>
        <v>247.50000000000003</v>
      </c>
      <c r="Y155" s="9">
        <f>IF(21&lt;=核心参数输入!$B$9*4,Y152-Y154,0)</f>
        <v>225</v>
      </c>
      <c r="Z155" s="9">
        <f>IF(22&lt;=核心参数输入!$B$9*4,Z152-Z154,0)</f>
        <v>225</v>
      </c>
      <c r="AA155" s="9">
        <f>IF(23&lt;=核心参数输入!$B$9*4,AA152-AA154,0)</f>
        <v>225</v>
      </c>
      <c r="AB155" s="9">
        <f>IF(24&lt;=核心参数输入!$B$9*4,AB152-AB154,0)</f>
        <v>202.50000000000003</v>
      </c>
      <c r="AC155" s="9">
        <f>IF(25&lt;=核心参数输入!$B$9*4,AC152-AC154,0)</f>
        <v>180</v>
      </c>
      <c r="AD155" s="9">
        <f>IF(26&lt;=核心参数输入!$B$9*4,AD152-AD154,0)</f>
        <v>180</v>
      </c>
      <c r="AE155" s="9">
        <f>IF(27&lt;=核心参数输入!$B$9*4,AE152-AE154,0)</f>
        <v>180</v>
      </c>
      <c r="AF155" s="9">
        <f>IF(28&lt;=核心参数输入!$B$9*4,AF152-AF154,0)</f>
        <v>157.5</v>
      </c>
      <c r="AG155" s="9">
        <f>IF(29&lt;=核心参数输入!$B$9*4,AG152-AG154,0)</f>
        <v>135</v>
      </c>
      <c r="AH155" s="9">
        <f>IF(30&lt;=核心参数输入!$B$9*4,AH152-AH154,0)</f>
        <v>135</v>
      </c>
      <c r="AI155" s="9">
        <f>IF(31&lt;=核心参数输入!$B$9*4,AI152-AI154,0)</f>
        <v>135</v>
      </c>
      <c r="AJ155" s="9">
        <f>IF(32&lt;=核心参数输入!$B$9*4,AJ152-AJ154,0)</f>
        <v>112.49999999999999</v>
      </c>
      <c r="AK155" s="9">
        <f>IF(33&lt;=核心参数输入!$B$9*4,AK152-AK154,0)</f>
        <v>89.999999999999972</v>
      </c>
      <c r="AL155" s="9">
        <f>IF(34&lt;=核心参数输入!$B$9*4,AL152-AL154,0)</f>
        <v>89.999999999999972</v>
      </c>
      <c r="AM155" s="9">
        <f>IF(35&lt;=核心参数输入!$B$9*4,AM152-AM154,0)</f>
        <v>89.999999999999972</v>
      </c>
      <c r="AN155" s="9">
        <f>IF(36&lt;=核心参数输入!$B$9*4,AN152-AN154,0)</f>
        <v>67.499999999999972</v>
      </c>
      <c r="AO155" s="9">
        <f>IF(37&lt;=核心参数输入!$B$9*4,AO152-AO154,0)</f>
        <v>44.999999999999979</v>
      </c>
      <c r="AP155" s="9">
        <f>IF(38&lt;=核心参数输入!$B$9*4,AP152-AP154,0)</f>
        <v>44.999999999999979</v>
      </c>
      <c r="AQ155" s="9">
        <f>IF(39&lt;=核心参数输入!$B$9*4,AQ152-AQ154,0)</f>
        <v>44.999999999999979</v>
      </c>
      <c r="AR155" s="9">
        <f>IF(40&lt;=核心参数输入!$B$9*4,AR152-AR154,0)</f>
        <v>22.499999999999989</v>
      </c>
      <c r="AS155" s="9">
        <f>IF(41&lt;=核心参数输入!$B$9*4,AS152-AS154,0)</f>
        <v>0</v>
      </c>
      <c r="AT155" s="9">
        <f>IF(42&lt;=核心参数输入!$B$9*4,AT152-AT154,0)</f>
        <v>0</v>
      </c>
      <c r="AU155" s="9">
        <f>IF(43&lt;=核心参数输入!$B$9*4,AU152-AU154,0)</f>
        <v>0</v>
      </c>
      <c r="AV155" s="9">
        <f>IF(44&lt;=核心参数输入!$B$9*4,AV152-AV154,0)</f>
        <v>0</v>
      </c>
      <c r="AW155" s="9">
        <f>IF(45&lt;=核心参数输入!$B$9*4,AW152-AW154,0)</f>
        <v>0</v>
      </c>
      <c r="AX155" s="9">
        <f>IF(46&lt;=核心参数输入!$B$9*4,AX152-AX154,0)</f>
        <v>0</v>
      </c>
      <c r="AY155" s="9">
        <f>IF(47&lt;=核心参数输入!$B$9*4,AY152-AY154,0)</f>
        <v>0</v>
      </c>
      <c r="AZ155" s="9">
        <f>IF(48&lt;=核心参数输入!$B$9*4,AZ152-AZ154,0)</f>
        <v>0</v>
      </c>
      <c r="BA155" s="9">
        <f>IF(49&lt;=核心参数输入!$B$9*4,BA152-BA154,0)</f>
        <v>0</v>
      </c>
      <c r="BB155" s="9">
        <f>IF(50&lt;=核心参数输入!$B$9*4,BB152-BB154,0)</f>
        <v>0</v>
      </c>
      <c r="BC155" s="9">
        <f>IF(51&lt;=核心参数输入!$B$9*4,BC152-BC154,0)</f>
        <v>0</v>
      </c>
      <c r="BD155" s="9">
        <f>IF(52&lt;=核心参数输入!$B$9*4,BD152-BD154,0)</f>
        <v>0</v>
      </c>
      <c r="BE155" s="9">
        <f>IF(53&lt;=核心参数输入!$B$9*4,BE152-BE154,0)</f>
        <v>0</v>
      </c>
      <c r="BF155" s="9">
        <f>IF(54&lt;=核心参数输入!$B$9*4,BF152-BF154,0)</f>
        <v>0</v>
      </c>
      <c r="BG155" s="9">
        <f>IF(55&lt;=核心参数输入!$B$9*4,BG152-BG154,0)</f>
        <v>0</v>
      </c>
      <c r="BH155" s="9">
        <f>IF(56&lt;=核心参数输入!$B$9*4,BH152-BH154,0)</f>
        <v>0</v>
      </c>
      <c r="BI155" s="9">
        <f>IF(57&lt;=核心参数输入!$B$9*4,BI152-BI154,0)</f>
        <v>0</v>
      </c>
      <c r="BJ155" s="9">
        <f>IF(58&lt;=核心参数输入!$B$9*4,BJ152-BJ154,0)</f>
        <v>0</v>
      </c>
      <c r="BK155" s="9">
        <f>IF(59&lt;=核心参数输入!$B$9*4,BK152-BK154,0)</f>
        <v>0</v>
      </c>
      <c r="BL155" s="9">
        <f>IF(60&lt;=核心参数输入!$B$9*4,BL152-BL154,0)</f>
        <v>0</v>
      </c>
      <c r="BM155" s="9">
        <f>IF(61&lt;=核心参数输入!$B$9*4,BM152-BM154,0)</f>
        <v>0</v>
      </c>
      <c r="BN155" s="9">
        <f>IF(62&lt;=核心参数输入!$B$9*4,BN152-BN154,0)</f>
        <v>0</v>
      </c>
      <c r="BO155" s="9">
        <f>IF(63&lt;=核心参数输入!$B$9*4,BO152-BO154,0)</f>
        <v>0</v>
      </c>
      <c r="BP155" s="9">
        <f>IF(64&lt;=核心参数输入!$B$9*4,BP152-BP154,0)</f>
        <v>0</v>
      </c>
      <c r="BQ155" s="9">
        <f>IF(65&lt;=核心参数输入!$B$9*4,BQ152-BQ154,0)</f>
        <v>0</v>
      </c>
      <c r="BR155" s="9">
        <f>IF(66&lt;=核心参数输入!$B$9*4,BR152-BR154,0)</f>
        <v>0</v>
      </c>
      <c r="BS155" s="9">
        <f>IF(67&lt;=核心参数输入!$B$9*4,BS152-BS154,0)</f>
        <v>0</v>
      </c>
      <c r="BT155" s="9">
        <f>IF(68&lt;=核心参数输入!$B$9*4,BT152-BT154,0)</f>
        <v>0</v>
      </c>
      <c r="BU155" s="9">
        <f>IF(69&lt;=核心参数输入!$B$9*4,BU152-BU154,0)</f>
        <v>0</v>
      </c>
      <c r="BV155" s="9">
        <f>IF(70&lt;=核心参数输入!$B$9*4,BV152-BV154,0)</f>
        <v>0</v>
      </c>
      <c r="BW155" s="9">
        <f>IF(71&lt;=核心参数输入!$B$9*4,BW152-BW154,0)</f>
        <v>0</v>
      </c>
      <c r="BX155" s="9">
        <f>IF(72&lt;=核心参数输入!$B$9*4,BX152-BX154,0)</f>
        <v>0</v>
      </c>
      <c r="BY155" s="9">
        <f>IF(73&lt;=核心参数输入!$B$9*4,BY152-BY154,0)</f>
        <v>0</v>
      </c>
      <c r="BZ155" s="9">
        <f>IF(74&lt;=核心参数输入!$B$9*4,BZ152-BZ154,0)</f>
        <v>0</v>
      </c>
      <c r="CA155" s="9">
        <f>IF(75&lt;=核心参数输入!$B$9*4,CA152-CA154,0)</f>
        <v>0</v>
      </c>
      <c r="CB155" s="9">
        <f>IF(76&lt;=核心参数输入!$B$9*4,CB152-CB154,0)</f>
        <v>0</v>
      </c>
      <c r="CC155" s="9">
        <f>IF(77&lt;=核心参数输入!$B$9*4,CC152-CC154,0)</f>
        <v>0</v>
      </c>
      <c r="CD155" s="9">
        <f>IF(78&lt;=核心参数输入!$B$9*4,CD152-CD154,0)</f>
        <v>0</v>
      </c>
      <c r="CE155" s="9">
        <f>IF(79&lt;=核心参数输入!$B$9*4,CE152-CE154,0)</f>
        <v>0</v>
      </c>
      <c r="CF155" s="9">
        <f>IF(80&lt;=核心参数输入!$B$9*4,CF152-CF154,0)</f>
        <v>0</v>
      </c>
      <c r="CG155" s="9">
        <f>IF(81&lt;=核心参数输入!$B$9*4,CG152-CG154,0)</f>
        <v>0</v>
      </c>
      <c r="CH155" s="9">
        <f>IF(82&lt;=核心参数输入!$B$9*4,CH152-CH154,0)</f>
        <v>0</v>
      </c>
      <c r="CI155" s="9">
        <f>IF(83&lt;=核心参数输入!$B$9*4,CI152-CI154,0)</f>
        <v>0</v>
      </c>
      <c r="CJ155" s="9">
        <f>IF(84&lt;=核心参数输入!$B$9*4,CJ152-CJ154,0)</f>
        <v>0</v>
      </c>
      <c r="CK155" s="9">
        <f>IF(85&lt;=核心参数输入!$B$9*4,CK152-CK154,0)</f>
        <v>0</v>
      </c>
      <c r="CL155" s="9">
        <f>IF(86&lt;=核心参数输入!$B$9*4,CL152-CL154,0)</f>
        <v>0</v>
      </c>
      <c r="CM155" s="9">
        <f>IF(87&lt;=核心参数输入!$B$9*4,CM152-CM154,0)</f>
        <v>0</v>
      </c>
      <c r="CN155" s="9">
        <f>IF(88&lt;=核心参数输入!$B$9*4,CN152-CN154,0)</f>
        <v>0</v>
      </c>
      <c r="CO155" s="9">
        <f>IF(89&lt;=核心参数输入!$B$9*4,CO152-CO154,0)</f>
        <v>0</v>
      </c>
      <c r="CP155" s="9">
        <f>IF(90&lt;=核心参数输入!$B$9*4,CP152-CP154,0)</f>
        <v>0</v>
      </c>
      <c r="CQ155" s="9">
        <f>IF(91&lt;=核心参数输入!$B$9*4,CQ152-CQ154,0)</f>
        <v>0</v>
      </c>
      <c r="CR155" s="9">
        <f>IF(92&lt;=核心参数输入!$B$9*4,CR152-CR154,0)</f>
        <v>0</v>
      </c>
      <c r="CS155" s="9">
        <f>IF(93&lt;=核心参数输入!$B$9*4,CS152-CS154,0)</f>
        <v>0</v>
      </c>
      <c r="CT155" s="9">
        <f>IF(94&lt;=核心参数输入!$B$9*4,CT152-CT154,0)</f>
        <v>0</v>
      </c>
      <c r="CU155" s="9">
        <f>IF(95&lt;=核心参数输入!$B$9*4,CU152-CU154,0)</f>
        <v>0</v>
      </c>
      <c r="CV155" s="9">
        <f>IF(96&lt;=核心参数输入!$B$9*4,CV152-CV154,0)</f>
        <v>0</v>
      </c>
      <c r="CW155" s="9">
        <f>IF(97&lt;=核心参数输入!$B$9*4,CW152-CW154,0)</f>
        <v>0</v>
      </c>
      <c r="CX155" s="9">
        <f>IF(98&lt;=核心参数输入!$B$9*4,CX152-CX154,0)</f>
        <v>0</v>
      </c>
      <c r="CY155" s="9">
        <f>IF(99&lt;=核心参数输入!$B$9*4,CY152-CY154,0)</f>
        <v>0</v>
      </c>
      <c r="CZ155" s="9">
        <f>IF(100&lt;=核心参数输入!$B$9*4,CZ152-CZ154,0)</f>
        <v>0</v>
      </c>
      <c r="DA155" s="9">
        <f>IF(101&lt;=核心参数输入!$B$9*4,DA152-DA154,0)</f>
        <v>0</v>
      </c>
      <c r="DB155" s="9">
        <f>IF(102&lt;=核心参数输入!$B$9*4,DB152-DB154,0)</f>
        <v>0</v>
      </c>
      <c r="DC155" s="9">
        <f>IF(103&lt;=核心参数输入!$B$9*4,DC152-DC154,0)</f>
        <v>0</v>
      </c>
      <c r="DD155" s="9">
        <f>IF(104&lt;=核心参数输入!$B$9*4,DD152-DD154,0)</f>
        <v>0</v>
      </c>
      <c r="DE155" s="9">
        <f>IF(105&lt;=核心参数输入!$B$9*4,DE152-DE154,0)</f>
        <v>0</v>
      </c>
      <c r="DF155" s="9">
        <f>IF(106&lt;=核心参数输入!$B$9*4,DF152-DF154,0)</f>
        <v>0</v>
      </c>
      <c r="DG155" s="9">
        <f>IF(107&lt;=核心参数输入!$B$9*4,DG152-DG154,0)</f>
        <v>0</v>
      </c>
      <c r="DH155" s="9">
        <f>IF(108&lt;=核心参数输入!$B$9*4,DH152-DH154,0)</f>
        <v>0</v>
      </c>
      <c r="DI155" s="9">
        <f>IF(109&lt;=核心参数输入!$B$9*4,DI152-DI154,0)</f>
        <v>0</v>
      </c>
      <c r="DJ155" s="9">
        <f>IF(110&lt;=核心参数输入!$B$9*4,DJ152-DJ154,0)</f>
        <v>0</v>
      </c>
      <c r="DK155" s="9">
        <f>IF(111&lt;=核心参数输入!$B$9*4,DK152-DK154,0)</f>
        <v>0</v>
      </c>
      <c r="DL155" s="9">
        <f>IF(112&lt;=核心参数输入!$B$9*4,DL152-DL154,0)</f>
        <v>0</v>
      </c>
      <c r="DM155" s="9">
        <f>IF(113&lt;=核心参数输入!$B$9*4,DM152-DM154,0)</f>
        <v>0</v>
      </c>
      <c r="DN155" s="9">
        <f>IF(114&lt;=核心参数输入!$B$9*4,DN152-DN154,0)</f>
        <v>0</v>
      </c>
      <c r="DO155" s="9">
        <f>IF(115&lt;=核心参数输入!$B$9*4,DO152-DO154,0)</f>
        <v>0</v>
      </c>
      <c r="DP155" s="9">
        <f>IF(116&lt;=核心参数输入!$B$9*4,DP152-DP154,0)</f>
        <v>0</v>
      </c>
      <c r="DQ155" s="9">
        <f>IF(117&lt;=核心参数输入!$B$9*4,DQ152-DQ154,0)</f>
        <v>0</v>
      </c>
      <c r="DR155" s="9">
        <f>IF(118&lt;=核心参数输入!$B$9*4,DR152-DR154,0)</f>
        <v>0</v>
      </c>
      <c r="DS155" s="9">
        <f>IF(119&lt;=核心参数输入!$B$9*4,DS152-DS154,0)</f>
        <v>0</v>
      </c>
      <c r="DT155" s="9">
        <f>IF(120&lt;=核心参数输入!$B$9*4,DT152-DT154,0)</f>
        <v>0</v>
      </c>
    </row>
    <row r="156" spans="1:124" ht="21" customHeight="1">
      <c r="A156" s="8" t="s">
        <v>437</v>
      </c>
      <c r="B156" s="8" t="s">
        <v>39</v>
      </c>
      <c r="C156" s="8"/>
      <c r="D156" s="9">
        <f>IF(0&lt;=核心参数输入!$B$9*4,D151+D152,0)</f>
        <v>0</v>
      </c>
      <c r="E156" s="9">
        <f>IF(1&lt;=核心参数输入!$B$9*4,E151+E152,0)</f>
        <v>11.8125</v>
      </c>
      <c r="F156" s="9">
        <f>IF(2&lt;=核心参数输入!$B$9*4,F151+F152,0)</f>
        <v>35.4375</v>
      </c>
      <c r="G156" s="9">
        <f>IF(3&lt;=核心参数输入!$B$9*4,G151+G152,0)</f>
        <v>59.062500000000007</v>
      </c>
      <c r="H156" s="9">
        <f>IF(4&lt;=核心参数输入!$B$9*4,H151+H152,0)</f>
        <v>82.6875</v>
      </c>
      <c r="I156" s="9">
        <f>IF(5&lt;=核心参数输入!$B$9*4,I151+I152,0)</f>
        <v>110.25</v>
      </c>
      <c r="J156" s="9">
        <f>IF(6&lt;=核心参数输入!$B$9*4,J151+J152,0)</f>
        <v>141.75</v>
      </c>
      <c r="K156" s="9">
        <f>IF(7&lt;=核心参数输入!$B$9*4,K151+K152,0)</f>
        <v>173.25</v>
      </c>
      <c r="L156" s="9">
        <f>IF(8&lt;=核心参数输入!$B$9*4,L151+L152,0)</f>
        <v>204.75</v>
      </c>
      <c r="M156" s="9">
        <f>IF(9&lt;=核心参数输入!$B$9*4,M151+M152,0)</f>
        <v>232.31250000000003</v>
      </c>
      <c r="N156" s="9">
        <f>IF(10&lt;=核心参数输入!$B$9*4,N151+N152,0)</f>
        <v>255.93750000000003</v>
      </c>
      <c r="O156" s="9">
        <f>IF(11&lt;=核心参数输入!$B$9*4,O151+O152,0)</f>
        <v>279.5625</v>
      </c>
      <c r="P156" s="9">
        <f>IF(12&lt;=核心参数输入!$B$9*4,P151+P152,0)</f>
        <v>303.1875</v>
      </c>
      <c r="Q156" s="9">
        <f>IF(13&lt;=核心参数输入!$B$9*4,Q151+Q152,0)</f>
        <v>315</v>
      </c>
      <c r="R156" s="9">
        <f>IF(14&lt;=核心参数输入!$B$9*4,R151+R152,0)</f>
        <v>315</v>
      </c>
      <c r="S156" s="9">
        <f>IF(15&lt;=核心参数输入!$B$9*4,S151+S152,0)</f>
        <v>315</v>
      </c>
      <c r="T156" s="9">
        <f>IF(16&lt;=核心参数输入!$B$9*4,T151+T152,0)</f>
        <v>4578.2142857142853</v>
      </c>
      <c r="U156" s="9">
        <f>IF(17&lt;=核心参数输入!$B$9*4,U151+U152,0)</f>
        <v>270</v>
      </c>
      <c r="V156" s="9">
        <f>IF(18&lt;=核心参数输入!$B$9*4,V151+V152,0)</f>
        <v>270</v>
      </c>
      <c r="W156" s="9">
        <f>IF(19&lt;=核心参数输入!$B$9*4,W151+W152,0)</f>
        <v>270</v>
      </c>
      <c r="X156" s="9">
        <f>IF(20&lt;=核心参数输入!$B$9*4,X151+X152,0)</f>
        <v>4533.2142857142853</v>
      </c>
      <c r="Y156" s="9">
        <f>IF(21&lt;=核心参数输入!$B$9*4,Y151+Y152,0)</f>
        <v>225</v>
      </c>
      <c r="Z156" s="9">
        <f>IF(22&lt;=核心参数输入!$B$9*4,Z151+Z152,0)</f>
        <v>225</v>
      </c>
      <c r="AA156" s="9">
        <f>IF(23&lt;=核心参数输入!$B$9*4,AA151+AA152,0)</f>
        <v>225</v>
      </c>
      <c r="AB156" s="9">
        <f>IF(24&lt;=核心参数输入!$B$9*4,AB151+AB152,0)</f>
        <v>4488.2142857142853</v>
      </c>
      <c r="AC156" s="9">
        <f>IF(25&lt;=核心参数输入!$B$9*4,AC151+AC152,0)</f>
        <v>180</v>
      </c>
      <c r="AD156" s="9">
        <f>IF(26&lt;=核心参数输入!$B$9*4,AD151+AD152,0)</f>
        <v>180</v>
      </c>
      <c r="AE156" s="9">
        <f>IF(27&lt;=核心参数输入!$B$9*4,AE151+AE152,0)</f>
        <v>180</v>
      </c>
      <c r="AF156" s="9">
        <f>IF(28&lt;=核心参数输入!$B$9*4,AF151+AF152,0)</f>
        <v>4443.2142857142853</v>
      </c>
      <c r="AG156" s="9">
        <f>IF(29&lt;=核心参数输入!$B$9*4,AG151+AG152,0)</f>
        <v>135</v>
      </c>
      <c r="AH156" s="9">
        <f>IF(30&lt;=核心参数输入!$B$9*4,AH151+AH152,0)</f>
        <v>135</v>
      </c>
      <c r="AI156" s="9">
        <f>IF(31&lt;=核心参数输入!$B$9*4,AI151+AI152,0)</f>
        <v>135</v>
      </c>
      <c r="AJ156" s="9">
        <f>IF(32&lt;=核心参数输入!$B$9*4,AJ151+AJ152,0)</f>
        <v>4398.2142857142853</v>
      </c>
      <c r="AK156" s="9">
        <f>IF(33&lt;=核心参数输入!$B$9*4,AK151+AK152,0)</f>
        <v>89.999999999999972</v>
      </c>
      <c r="AL156" s="9">
        <f>IF(34&lt;=核心参数输入!$B$9*4,AL151+AL152,0)</f>
        <v>89.999999999999972</v>
      </c>
      <c r="AM156" s="9">
        <f>IF(35&lt;=核心参数输入!$B$9*4,AM151+AM152,0)</f>
        <v>89.999999999999972</v>
      </c>
      <c r="AN156" s="9">
        <f>IF(36&lt;=核心参数输入!$B$9*4,AN151+AN152,0)</f>
        <v>4353.2142857142853</v>
      </c>
      <c r="AO156" s="9">
        <f>IF(37&lt;=核心参数输入!$B$9*4,AO151+AO152,0)</f>
        <v>44.999999999999979</v>
      </c>
      <c r="AP156" s="9">
        <f>IF(38&lt;=核心参数输入!$B$9*4,AP151+AP152,0)</f>
        <v>44.999999999999979</v>
      </c>
      <c r="AQ156" s="9">
        <f>IF(39&lt;=核心参数输入!$B$9*4,AQ151+AQ152,0)</f>
        <v>44.999999999999979</v>
      </c>
      <c r="AR156" s="9">
        <f>IF(40&lt;=核心参数输入!$B$9*4,AR151+AR152,0)</f>
        <v>4308.2142857142835</v>
      </c>
      <c r="AS156" s="9">
        <f>IF(41&lt;=核心参数输入!$B$9*4,AS151+AS152,0)</f>
        <v>0</v>
      </c>
      <c r="AT156" s="9">
        <f>IF(42&lt;=核心参数输入!$B$9*4,AT151+AT152,0)</f>
        <v>0</v>
      </c>
      <c r="AU156" s="9">
        <f>IF(43&lt;=核心参数输入!$B$9*4,AU151+AU152,0)</f>
        <v>0</v>
      </c>
      <c r="AV156" s="9">
        <f>IF(44&lt;=核心参数输入!$B$9*4,AV151+AV152,0)</f>
        <v>0</v>
      </c>
      <c r="AW156" s="9">
        <f>IF(45&lt;=核心参数输入!$B$9*4,AW151+AW152,0)</f>
        <v>0</v>
      </c>
      <c r="AX156" s="9">
        <f>IF(46&lt;=核心参数输入!$B$9*4,AX151+AX152,0)</f>
        <v>0</v>
      </c>
      <c r="AY156" s="9">
        <f>IF(47&lt;=核心参数输入!$B$9*4,AY151+AY152,0)</f>
        <v>0</v>
      </c>
      <c r="AZ156" s="9">
        <f>IF(48&lt;=核心参数输入!$B$9*4,AZ151+AZ152,0)</f>
        <v>0</v>
      </c>
      <c r="BA156" s="9">
        <f>IF(49&lt;=核心参数输入!$B$9*4,BA151+BA152,0)</f>
        <v>0</v>
      </c>
      <c r="BB156" s="9">
        <f>IF(50&lt;=核心参数输入!$B$9*4,BB151+BB152,0)</f>
        <v>0</v>
      </c>
      <c r="BC156" s="9">
        <f>IF(51&lt;=核心参数输入!$B$9*4,BC151+BC152,0)</f>
        <v>0</v>
      </c>
      <c r="BD156" s="9">
        <f>IF(52&lt;=核心参数输入!$B$9*4,BD151+BD152,0)</f>
        <v>0</v>
      </c>
      <c r="BE156" s="9">
        <f>IF(53&lt;=核心参数输入!$B$9*4,BE151+BE152,0)</f>
        <v>0</v>
      </c>
      <c r="BF156" s="9">
        <f>IF(54&lt;=核心参数输入!$B$9*4,BF151+BF152,0)</f>
        <v>0</v>
      </c>
      <c r="BG156" s="9">
        <f>IF(55&lt;=核心参数输入!$B$9*4,BG151+BG152,0)</f>
        <v>0</v>
      </c>
      <c r="BH156" s="9">
        <f>IF(56&lt;=核心参数输入!$B$9*4,BH151+BH152,0)</f>
        <v>0</v>
      </c>
      <c r="BI156" s="9">
        <f>IF(57&lt;=核心参数输入!$B$9*4,BI151+BI152,0)</f>
        <v>0</v>
      </c>
      <c r="BJ156" s="9">
        <f>IF(58&lt;=核心参数输入!$B$9*4,BJ151+BJ152,0)</f>
        <v>0</v>
      </c>
      <c r="BK156" s="9">
        <f>IF(59&lt;=核心参数输入!$B$9*4,BK151+BK152,0)</f>
        <v>0</v>
      </c>
      <c r="BL156" s="9">
        <f>IF(60&lt;=核心参数输入!$B$9*4,BL151+BL152,0)</f>
        <v>0</v>
      </c>
      <c r="BM156" s="9">
        <f>IF(61&lt;=核心参数输入!$B$9*4,BM151+BM152,0)</f>
        <v>0</v>
      </c>
      <c r="BN156" s="9">
        <f>IF(62&lt;=核心参数输入!$B$9*4,BN151+BN152,0)</f>
        <v>0</v>
      </c>
      <c r="BO156" s="9">
        <f>IF(63&lt;=核心参数输入!$B$9*4,BO151+BO152,0)</f>
        <v>0</v>
      </c>
      <c r="BP156" s="9">
        <f>IF(64&lt;=核心参数输入!$B$9*4,BP151+BP152,0)</f>
        <v>0</v>
      </c>
      <c r="BQ156" s="9">
        <f>IF(65&lt;=核心参数输入!$B$9*4,BQ151+BQ152,0)</f>
        <v>0</v>
      </c>
      <c r="BR156" s="9">
        <f>IF(66&lt;=核心参数输入!$B$9*4,BR151+BR152,0)</f>
        <v>0</v>
      </c>
      <c r="BS156" s="9">
        <f>IF(67&lt;=核心参数输入!$B$9*4,BS151+BS152,0)</f>
        <v>0</v>
      </c>
      <c r="BT156" s="9">
        <f>IF(68&lt;=核心参数输入!$B$9*4,BT151+BT152,0)</f>
        <v>0</v>
      </c>
      <c r="BU156" s="9">
        <f>IF(69&lt;=核心参数输入!$B$9*4,BU151+BU152,0)</f>
        <v>0</v>
      </c>
      <c r="BV156" s="9">
        <f>IF(70&lt;=核心参数输入!$B$9*4,BV151+BV152,0)</f>
        <v>0</v>
      </c>
      <c r="BW156" s="9">
        <f>IF(71&lt;=核心参数输入!$B$9*4,BW151+BW152,0)</f>
        <v>0</v>
      </c>
      <c r="BX156" s="9">
        <f>IF(72&lt;=核心参数输入!$B$9*4,BX151+BX152,0)</f>
        <v>0</v>
      </c>
      <c r="BY156" s="9">
        <f>IF(73&lt;=核心参数输入!$B$9*4,BY151+BY152,0)</f>
        <v>0</v>
      </c>
      <c r="BZ156" s="9">
        <f>IF(74&lt;=核心参数输入!$B$9*4,BZ151+BZ152,0)</f>
        <v>0</v>
      </c>
      <c r="CA156" s="9">
        <f>IF(75&lt;=核心参数输入!$B$9*4,CA151+CA152,0)</f>
        <v>0</v>
      </c>
      <c r="CB156" s="9">
        <f>IF(76&lt;=核心参数输入!$B$9*4,CB151+CB152,0)</f>
        <v>0</v>
      </c>
      <c r="CC156" s="9">
        <f>IF(77&lt;=核心参数输入!$B$9*4,CC151+CC152,0)</f>
        <v>0</v>
      </c>
      <c r="CD156" s="9">
        <f>IF(78&lt;=核心参数输入!$B$9*4,CD151+CD152,0)</f>
        <v>0</v>
      </c>
      <c r="CE156" s="9">
        <f>IF(79&lt;=核心参数输入!$B$9*4,CE151+CE152,0)</f>
        <v>0</v>
      </c>
      <c r="CF156" s="9">
        <f>IF(80&lt;=核心参数输入!$B$9*4,CF151+CF152,0)</f>
        <v>0</v>
      </c>
      <c r="CG156" s="9">
        <f>IF(81&lt;=核心参数输入!$B$9*4,CG151+CG152,0)</f>
        <v>0</v>
      </c>
      <c r="CH156" s="9">
        <f>IF(82&lt;=核心参数输入!$B$9*4,CH151+CH152,0)</f>
        <v>0</v>
      </c>
      <c r="CI156" s="9">
        <f>IF(83&lt;=核心参数输入!$B$9*4,CI151+CI152,0)</f>
        <v>0</v>
      </c>
      <c r="CJ156" s="9">
        <f>IF(84&lt;=核心参数输入!$B$9*4,CJ151+CJ152,0)</f>
        <v>0</v>
      </c>
      <c r="CK156" s="9">
        <f>IF(85&lt;=核心参数输入!$B$9*4,CK151+CK152,0)</f>
        <v>0</v>
      </c>
      <c r="CL156" s="9">
        <f>IF(86&lt;=核心参数输入!$B$9*4,CL151+CL152,0)</f>
        <v>0</v>
      </c>
      <c r="CM156" s="9">
        <f>IF(87&lt;=核心参数输入!$B$9*4,CM151+CM152,0)</f>
        <v>0</v>
      </c>
      <c r="CN156" s="9">
        <f>IF(88&lt;=核心参数输入!$B$9*4,CN151+CN152,0)</f>
        <v>0</v>
      </c>
      <c r="CO156" s="9">
        <f>IF(89&lt;=核心参数输入!$B$9*4,CO151+CO152,0)</f>
        <v>0</v>
      </c>
      <c r="CP156" s="9">
        <f>IF(90&lt;=核心参数输入!$B$9*4,CP151+CP152,0)</f>
        <v>0</v>
      </c>
      <c r="CQ156" s="9">
        <f>IF(91&lt;=核心参数输入!$B$9*4,CQ151+CQ152,0)</f>
        <v>0</v>
      </c>
      <c r="CR156" s="9">
        <f>IF(92&lt;=核心参数输入!$B$9*4,CR151+CR152,0)</f>
        <v>0</v>
      </c>
      <c r="CS156" s="9">
        <f>IF(93&lt;=核心参数输入!$B$9*4,CS151+CS152,0)</f>
        <v>0</v>
      </c>
      <c r="CT156" s="9">
        <f>IF(94&lt;=核心参数输入!$B$9*4,CT151+CT152,0)</f>
        <v>0</v>
      </c>
      <c r="CU156" s="9">
        <f>IF(95&lt;=核心参数输入!$B$9*4,CU151+CU152,0)</f>
        <v>0</v>
      </c>
      <c r="CV156" s="9">
        <f>IF(96&lt;=核心参数输入!$B$9*4,CV151+CV152,0)</f>
        <v>0</v>
      </c>
      <c r="CW156" s="9">
        <f>IF(97&lt;=核心参数输入!$B$9*4,CW151+CW152,0)</f>
        <v>0</v>
      </c>
      <c r="CX156" s="9">
        <f>IF(98&lt;=核心参数输入!$B$9*4,CX151+CX152,0)</f>
        <v>0</v>
      </c>
      <c r="CY156" s="9">
        <f>IF(99&lt;=核心参数输入!$B$9*4,CY151+CY152,0)</f>
        <v>0</v>
      </c>
      <c r="CZ156" s="9">
        <f>IF(100&lt;=核心参数输入!$B$9*4,CZ151+CZ152,0)</f>
        <v>0</v>
      </c>
      <c r="DA156" s="9">
        <f>IF(101&lt;=核心参数输入!$B$9*4,DA151+DA152,0)</f>
        <v>0</v>
      </c>
      <c r="DB156" s="9">
        <f>IF(102&lt;=核心参数输入!$B$9*4,DB151+DB152,0)</f>
        <v>0</v>
      </c>
      <c r="DC156" s="9">
        <f>IF(103&lt;=核心参数输入!$B$9*4,DC151+DC152,0)</f>
        <v>0</v>
      </c>
      <c r="DD156" s="9">
        <f>IF(104&lt;=核心参数输入!$B$9*4,DD151+DD152,0)</f>
        <v>0</v>
      </c>
      <c r="DE156" s="9">
        <f>IF(105&lt;=核心参数输入!$B$9*4,DE151+DE152,0)</f>
        <v>0</v>
      </c>
      <c r="DF156" s="9">
        <f>IF(106&lt;=核心参数输入!$B$9*4,DF151+DF152,0)</f>
        <v>0</v>
      </c>
      <c r="DG156" s="9">
        <f>IF(107&lt;=核心参数输入!$B$9*4,DG151+DG152,0)</f>
        <v>0</v>
      </c>
      <c r="DH156" s="9">
        <f>IF(108&lt;=核心参数输入!$B$9*4,DH151+DH152,0)</f>
        <v>0</v>
      </c>
      <c r="DI156" s="9">
        <f>IF(109&lt;=核心参数输入!$B$9*4,DI151+DI152,0)</f>
        <v>0</v>
      </c>
      <c r="DJ156" s="9">
        <f>IF(110&lt;=核心参数输入!$B$9*4,DJ151+DJ152,0)</f>
        <v>0</v>
      </c>
      <c r="DK156" s="9">
        <f>IF(111&lt;=核心参数输入!$B$9*4,DK151+DK152,0)</f>
        <v>0</v>
      </c>
      <c r="DL156" s="9">
        <f>IF(112&lt;=核心参数输入!$B$9*4,DL151+DL152,0)</f>
        <v>0</v>
      </c>
      <c r="DM156" s="9">
        <f>IF(113&lt;=核心参数输入!$B$9*4,DM151+DM152,0)</f>
        <v>0</v>
      </c>
      <c r="DN156" s="9">
        <f>IF(114&lt;=核心参数输入!$B$9*4,DN151+DN152,0)</f>
        <v>0</v>
      </c>
      <c r="DO156" s="9">
        <f>IF(115&lt;=核心参数输入!$B$9*4,DO151+DO152,0)</f>
        <v>0</v>
      </c>
      <c r="DP156" s="9">
        <f>IF(116&lt;=核心参数输入!$B$9*4,DP151+DP152,0)</f>
        <v>0</v>
      </c>
      <c r="DQ156" s="9">
        <f>IF(117&lt;=核心参数输入!$B$9*4,DQ151+DQ152,0)</f>
        <v>0</v>
      </c>
      <c r="DR156" s="9">
        <f>IF(118&lt;=核心参数输入!$B$9*4,DR151+DR152,0)</f>
        <v>0</v>
      </c>
      <c r="DS156" s="9">
        <f>IF(119&lt;=核心参数输入!$B$9*4,DS151+DS152,0)</f>
        <v>0</v>
      </c>
      <c r="DT156" s="9">
        <f>IF(120&lt;=核心参数输入!$B$9*4,DT151+DT152,0)</f>
        <v>0</v>
      </c>
    </row>
    <row r="157" spans="1:124" ht="21" customHeight="1">
      <c r="A157" s="8" t="s">
        <v>438</v>
      </c>
      <c r="B157" s="8" t="s">
        <v>39</v>
      </c>
      <c r="C157" s="8"/>
      <c r="D157" s="9">
        <f>IF(0&lt;=核心参数输入!$B$9*4,SUM($D146:D146)+SUM($D147:D147),0)</f>
        <v>8000</v>
      </c>
      <c r="E157" s="9">
        <f>IF(1&lt;=核心参数输入!$B$9*4,SUM($D146:E146)+SUM($D147:E147),0)</f>
        <v>12365.9</v>
      </c>
      <c r="F157" s="9">
        <f>IF(2&lt;=核心参数输入!$B$9*4,SUM($D146:F146)+SUM($D147:F147),0)</f>
        <v>16731.8</v>
      </c>
      <c r="G157" s="9">
        <f>IF(3&lt;=核心参数输入!$B$9*4,SUM($D146:G146)+SUM($D147:G147),0)</f>
        <v>21097.699999999997</v>
      </c>
      <c r="H157" s="9">
        <f>IF(4&lt;=核心参数输入!$B$9*4,SUM($D146:H146)+SUM($D147:H147),0)</f>
        <v>25463.599999999999</v>
      </c>
      <c r="I157" s="9">
        <f>IF(5&lt;=核心参数输入!$B$9*4,SUM($D146:I146)+SUM($D147:I147),0)</f>
        <v>31284.799999999999</v>
      </c>
      <c r="J157" s="9">
        <f>IF(6&lt;=核心参数输入!$B$9*4,SUM($D146:J146)+SUM($D147:J147),0)</f>
        <v>37106</v>
      </c>
      <c r="K157" s="9">
        <f>IF(7&lt;=核心参数输入!$B$9*4,SUM($D146:K146)+SUM($D147:K147),0)</f>
        <v>42927.199999999997</v>
      </c>
      <c r="L157" s="9">
        <f>IF(8&lt;=核心参数输入!$B$9*4,SUM($D146:L146)+SUM($D147:L147),0)</f>
        <v>48748.399999999994</v>
      </c>
      <c r="M157" s="9">
        <f>IF(9&lt;=核心参数输入!$B$9*4,SUM($D146:M146)+SUM($D147:M147),0)</f>
        <v>53114.299999999996</v>
      </c>
      <c r="N157" s="9">
        <f>IF(10&lt;=核心参数输入!$B$9*4,SUM($D146:N146)+SUM($D147:N147),0)</f>
        <v>57480.2</v>
      </c>
      <c r="O157" s="9">
        <f>IF(11&lt;=核心参数输入!$B$9*4,SUM($D146:O146)+SUM($D147:O147),0)</f>
        <v>61846.1</v>
      </c>
      <c r="P157" s="9">
        <f>IF(12&lt;=核心参数输入!$B$9*4,SUM($D146:P146)+SUM($D147:P147),0)</f>
        <v>66212</v>
      </c>
      <c r="Q157" s="9">
        <f>IF(13&lt;=核心参数输入!$B$9*4,SUM($D146:Q146)+SUM($D147:Q147),0)</f>
        <v>66212</v>
      </c>
      <c r="R157" s="9">
        <f>IF(14&lt;=核心参数输入!$B$9*4,SUM($D146:R146)+SUM($D147:R147),0)</f>
        <v>66212</v>
      </c>
      <c r="S157" s="9">
        <f>IF(15&lt;=核心参数输入!$B$9*4,SUM($D146:S146)+SUM($D147:S147),0)</f>
        <v>66212</v>
      </c>
      <c r="T157" s="9">
        <f>IF(16&lt;=核心参数输入!$B$9*4,SUM($D146:T146)+SUM($D147:T147),0)</f>
        <v>66212</v>
      </c>
      <c r="U157" s="9">
        <f>IF(17&lt;=核心参数输入!$B$9*4,SUM($D146:U146)+SUM($D147:U147),0)</f>
        <v>66212</v>
      </c>
      <c r="V157" s="9">
        <f>IF(18&lt;=核心参数输入!$B$9*4,SUM($D146:V146)+SUM($D147:V147),0)</f>
        <v>66212</v>
      </c>
      <c r="W157" s="9">
        <f>IF(19&lt;=核心参数输入!$B$9*4,SUM($D146:W146)+SUM($D147:W147),0)</f>
        <v>66212</v>
      </c>
      <c r="X157" s="9">
        <f>IF(20&lt;=核心参数输入!$B$9*4,SUM($D146:X146)+SUM($D147:X147),0)</f>
        <v>66212</v>
      </c>
      <c r="Y157" s="9">
        <f>IF(21&lt;=核心参数输入!$B$9*4,SUM($D146:Y146)+SUM($D147:Y147),0)</f>
        <v>66212</v>
      </c>
      <c r="Z157" s="9">
        <f>IF(22&lt;=核心参数输入!$B$9*4,SUM($D146:Z146)+SUM($D147:Z147),0)</f>
        <v>66212</v>
      </c>
      <c r="AA157" s="9">
        <f>IF(23&lt;=核心参数输入!$B$9*4,SUM($D146:AA146)+SUM($D147:AA147),0)</f>
        <v>66212</v>
      </c>
      <c r="AB157" s="9">
        <f>IF(24&lt;=核心参数输入!$B$9*4,SUM($D146:AB146)+SUM($D147:AB147),0)</f>
        <v>66212</v>
      </c>
      <c r="AC157" s="9">
        <f>IF(25&lt;=核心参数输入!$B$9*4,SUM($D146:AC146)+SUM($D147:AC147),0)</f>
        <v>66212</v>
      </c>
      <c r="AD157" s="9">
        <f>IF(26&lt;=核心参数输入!$B$9*4,SUM($D146:AD146)+SUM($D147:AD147),0)</f>
        <v>66212</v>
      </c>
      <c r="AE157" s="9">
        <f>IF(27&lt;=核心参数输入!$B$9*4,SUM($D146:AE146)+SUM($D147:AE147),0)</f>
        <v>66212</v>
      </c>
      <c r="AF157" s="9">
        <f>IF(28&lt;=核心参数输入!$B$9*4,SUM($D146:AF146)+SUM($D147:AF147),0)</f>
        <v>66212</v>
      </c>
      <c r="AG157" s="9">
        <f>IF(29&lt;=核心参数输入!$B$9*4,SUM($D146:AG146)+SUM($D147:AG147),0)</f>
        <v>66212</v>
      </c>
      <c r="AH157" s="9">
        <f>IF(30&lt;=核心参数输入!$B$9*4,SUM($D146:AH146)+SUM($D147:AH147),0)</f>
        <v>66212</v>
      </c>
      <c r="AI157" s="9">
        <f>IF(31&lt;=核心参数输入!$B$9*4,SUM($D146:AI146)+SUM($D147:AI147),0)</f>
        <v>66212</v>
      </c>
      <c r="AJ157" s="9">
        <f>IF(32&lt;=核心参数输入!$B$9*4,SUM($D146:AJ146)+SUM($D147:AJ147),0)</f>
        <v>66212</v>
      </c>
      <c r="AK157" s="9">
        <f>IF(33&lt;=核心参数输入!$B$9*4,SUM($D146:AK146)+SUM($D147:AK147),0)</f>
        <v>66212</v>
      </c>
      <c r="AL157" s="9">
        <f>IF(34&lt;=核心参数输入!$B$9*4,SUM($D146:AL146)+SUM($D147:AL147),0)</f>
        <v>66212</v>
      </c>
      <c r="AM157" s="9">
        <f>IF(35&lt;=核心参数输入!$B$9*4,SUM($D146:AM146)+SUM($D147:AM147),0)</f>
        <v>66212</v>
      </c>
      <c r="AN157" s="9">
        <f>IF(36&lt;=核心参数输入!$B$9*4,SUM($D146:AN146)+SUM($D147:AN147),0)</f>
        <v>66212</v>
      </c>
      <c r="AO157" s="9">
        <f>IF(37&lt;=核心参数输入!$B$9*4,SUM($D146:AO146)+SUM($D147:AO147),0)</f>
        <v>66212</v>
      </c>
      <c r="AP157" s="9">
        <f>IF(38&lt;=核心参数输入!$B$9*4,SUM($D146:AP146)+SUM($D147:AP147),0)</f>
        <v>66212</v>
      </c>
      <c r="AQ157" s="9">
        <f>IF(39&lt;=核心参数输入!$B$9*4,SUM($D146:AQ146)+SUM($D147:AQ147),0)</f>
        <v>66212</v>
      </c>
      <c r="AR157" s="9">
        <f>IF(40&lt;=核心参数输入!$B$9*4,SUM($D146:AR146)+SUM($D147:AR147),0)</f>
        <v>66212</v>
      </c>
      <c r="AS157" s="9">
        <f>IF(41&lt;=核心参数输入!$B$9*4,SUM($D146:AS146)+SUM($D147:AS147),0)</f>
        <v>66212</v>
      </c>
      <c r="AT157" s="9">
        <f>IF(42&lt;=核心参数输入!$B$9*4,SUM($D146:AT146)+SUM($D147:AT147),0)</f>
        <v>66212</v>
      </c>
      <c r="AU157" s="9">
        <f>IF(43&lt;=核心参数输入!$B$9*4,SUM($D146:AU146)+SUM($D147:AU147),0)</f>
        <v>66212</v>
      </c>
      <c r="AV157" s="9">
        <f>IF(44&lt;=核心参数输入!$B$9*4,SUM($D146:AV146)+SUM($D147:AV147),0)</f>
        <v>66212</v>
      </c>
      <c r="AW157" s="9">
        <f>IF(45&lt;=核心参数输入!$B$9*4,SUM($D146:AW146)+SUM($D147:AW147),0)</f>
        <v>66212</v>
      </c>
      <c r="AX157" s="9">
        <f>IF(46&lt;=核心参数输入!$B$9*4,SUM($D146:AX146)+SUM($D147:AX147),0)</f>
        <v>66212</v>
      </c>
      <c r="AY157" s="9">
        <f>IF(47&lt;=核心参数输入!$B$9*4,SUM($D146:AY146)+SUM($D147:AY147),0)</f>
        <v>66212</v>
      </c>
      <c r="AZ157" s="9">
        <f>IF(48&lt;=核心参数输入!$B$9*4,SUM($D146:AZ146)+SUM($D147:AZ147),0)</f>
        <v>66212</v>
      </c>
      <c r="BA157" s="9">
        <f>IF(49&lt;=核心参数输入!$B$9*4,SUM($D146:BA146)+SUM($D147:BA147),0)</f>
        <v>66212</v>
      </c>
      <c r="BB157" s="9">
        <f>IF(50&lt;=核心参数输入!$B$9*4,SUM($D146:BB146)+SUM($D147:BB147),0)</f>
        <v>66212</v>
      </c>
      <c r="BC157" s="9">
        <f>IF(51&lt;=核心参数输入!$B$9*4,SUM($D146:BC146)+SUM($D147:BC147),0)</f>
        <v>66212</v>
      </c>
      <c r="BD157" s="9">
        <f>IF(52&lt;=核心参数输入!$B$9*4,SUM($D146:BD146)+SUM($D147:BD147),0)</f>
        <v>66212</v>
      </c>
      <c r="BE157" s="9">
        <f>IF(53&lt;=核心参数输入!$B$9*4,SUM($D146:BE146)+SUM($D147:BE147),0)</f>
        <v>66212</v>
      </c>
      <c r="BF157" s="9">
        <f>IF(54&lt;=核心参数输入!$B$9*4,SUM($D146:BF146)+SUM($D147:BF147),0)</f>
        <v>66212</v>
      </c>
      <c r="BG157" s="9">
        <f>IF(55&lt;=核心参数输入!$B$9*4,SUM($D146:BG146)+SUM($D147:BG147),0)</f>
        <v>66212</v>
      </c>
      <c r="BH157" s="9">
        <f>IF(56&lt;=核心参数输入!$B$9*4,SUM($D146:BH146)+SUM($D147:BH147),0)</f>
        <v>66212</v>
      </c>
      <c r="BI157" s="9">
        <f>IF(57&lt;=核心参数输入!$B$9*4,SUM($D146:BI146)+SUM($D147:BI147),0)</f>
        <v>66212</v>
      </c>
      <c r="BJ157" s="9">
        <f>IF(58&lt;=核心参数输入!$B$9*4,SUM($D146:BJ146)+SUM($D147:BJ147),0)</f>
        <v>66212</v>
      </c>
      <c r="BK157" s="9">
        <f>IF(59&lt;=核心参数输入!$B$9*4,SUM($D146:BK146)+SUM($D147:BK147),0)</f>
        <v>66212</v>
      </c>
      <c r="BL157" s="9">
        <f>IF(60&lt;=核心参数输入!$B$9*4,SUM($D146:BL146)+SUM($D147:BL147),0)</f>
        <v>66212</v>
      </c>
      <c r="BM157" s="9">
        <f>IF(61&lt;=核心参数输入!$B$9*4,SUM($D146:BM146)+SUM($D147:BM147),0)</f>
        <v>66212</v>
      </c>
      <c r="BN157" s="9">
        <f>IF(62&lt;=核心参数输入!$B$9*4,SUM($D146:BN146)+SUM($D147:BN147),0)</f>
        <v>66212</v>
      </c>
      <c r="BO157" s="9">
        <f>IF(63&lt;=核心参数输入!$B$9*4,SUM($D146:BO146)+SUM($D147:BO147),0)</f>
        <v>66212</v>
      </c>
      <c r="BP157" s="9">
        <f>IF(64&lt;=核心参数输入!$B$9*4,SUM($D146:BP146)+SUM($D147:BP147),0)</f>
        <v>66212</v>
      </c>
      <c r="BQ157" s="9">
        <f>IF(65&lt;=核心参数输入!$B$9*4,SUM($D146:BQ146)+SUM($D147:BQ147),0)</f>
        <v>66212</v>
      </c>
      <c r="BR157" s="9">
        <f>IF(66&lt;=核心参数输入!$B$9*4,SUM($D146:BR146)+SUM($D147:BR147),0)</f>
        <v>66212</v>
      </c>
      <c r="BS157" s="9">
        <f>IF(67&lt;=核心参数输入!$B$9*4,SUM($D146:BS146)+SUM($D147:BS147),0)</f>
        <v>66212</v>
      </c>
      <c r="BT157" s="9">
        <f>IF(68&lt;=核心参数输入!$B$9*4,SUM($D146:BT146)+SUM($D147:BT147),0)</f>
        <v>66212</v>
      </c>
      <c r="BU157" s="9">
        <f>IF(69&lt;=核心参数输入!$B$9*4,SUM($D146:BU146)+SUM($D147:BU147),0)</f>
        <v>66212</v>
      </c>
      <c r="BV157" s="9">
        <f>IF(70&lt;=核心参数输入!$B$9*4,SUM($D146:BV146)+SUM($D147:BV147),0)</f>
        <v>66212</v>
      </c>
      <c r="BW157" s="9">
        <f>IF(71&lt;=核心参数输入!$B$9*4,SUM($D146:BW146)+SUM($D147:BW147),0)</f>
        <v>66212</v>
      </c>
      <c r="BX157" s="9">
        <f>IF(72&lt;=核心参数输入!$B$9*4,SUM($D146:BX146)+SUM($D147:BX147),0)</f>
        <v>66212</v>
      </c>
      <c r="BY157" s="9">
        <f>IF(73&lt;=核心参数输入!$B$9*4,SUM($D146:BY146)+SUM($D147:BY147),0)</f>
        <v>66212</v>
      </c>
      <c r="BZ157" s="9">
        <f>IF(74&lt;=核心参数输入!$B$9*4,SUM($D146:BZ146)+SUM($D147:BZ147),0)</f>
        <v>66212</v>
      </c>
      <c r="CA157" s="9">
        <f>IF(75&lt;=核心参数输入!$B$9*4,SUM($D146:CA146)+SUM($D147:CA147),0)</f>
        <v>66212</v>
      </c>
      <c r="CB157" s="9">
        <f>IF(76&lt;=核心参数输入!$B$9*4,SUM($D146:CB146)+SUM($D147:CB147),0)</f>
        <v>66212</v>
      </c>
      <c r="CC157" s="9">
        <f>IF(77&lt;=核心参数输入!$B$9*4,SUM($D146:CC146)+SUM($D147:CC147),0)</f>
        <v>66212</v>
      </c>
      <c r="CD157" s="9">
        <f>IF(78&lt;=核心参数输入!$B$9*4,SUM($D146:CD146)+SUM($D147:CD147),0)</f>
        <v>66212</v>
      </c>
      <c r="CE157" s="9">
        <f>IF(79&lt;=核心参数输入!$B$9*4,SUM($D146:CE146)+SUM($D147:CE147),0)</f>
        <v>66212</v>
      </c>
      <c r="CF157" s="9">
        <f>IF(80&lt;=核心参数输入!$B$9*4,SUM($D146:CF146)+SUM($D147:CF147),0)</f>
        <v>66212</v>
      </c>
      <c r="CG157" s="9">
        <f>IF(81&lt;=核心参数输入!$B$9*4,SUM($D146:CG146)+SUM($D147:CG147),0)</f>
        <v>0</v>
      </c>
      <c r="CH157" s="9">
        <f>IF(82&lt;=核心参数输入!$B$9*4,SUM($D146:CH146)+SUM($D147:CH147),0)</f>
        <v>0</v>
      </c>
      <c r="CI157" s="9">
        <f>IF(83&lt;=核心参数输入!$B$9*4,SUM($D146:CI146)+SUM($D147:CI147),0)</f>
        <v>0</v>
      </c>
      <c r="CJ157" s="9">
        <f>IF(84&lt;=核心参数输入!$B$9*4,SUM($D146:CJ146)+SUM($D147:CJ147),0)</f>
        <v>0</v>
      </c>
      <c r="CK157" s="9">
        <f>IF(85&lt;=核心参数输入!$B$9*4,SUM($D146:CK146)+SUM($D147:CK147),0)</f>
        <v>0</v>
      </c>
      <c r="CL157" s="9">
        <f>IF(86&lt;=核心参数输入!$B$9*4,SUM($D146:CL146)+SUM($D147:CL147),0)</f>
        <v>0</v>
      </c>
      <c r="CM157" s="9">
        <f>IF(87&lt;=核心参数输入!$B$9*4,SUM($D146:CM146)+SUM($D147:CM147),0)</f>
        <v>0</v>
      </c>
      <c r="CN157" s="9">
        <f>IF(88&lt;=核心参数输入!$B$9*4,SUM($D146:CN146)+SUM($D147:CN147),0)</f>
        <v>0</v>
      </c>
      <c r="CO157" s="9">
        <f>IF(89&lt;=核心参数输入!$B$9*4,SUM($D146:CO146)+SUM($D147:CO147),0)</f>
        <v>0</v>
      </c>
      <c r="CP157" s="9">
        <f>IF(90&lt;=核心参数输入!$B$9*4,SUM($D146:CP146)+SUM($D147:CP147),0)</f>
        <v>0</v>
      </c>
      <c r="CQ157" s="9">
        <f>IF(91&lt;=核心参数输入!$B$9*4,SUM($D146:CQ146)+SUM($D147:CQ147),0)</f>
        <v>0</v>
      </c>
      <c r="CR157" s="9">
        <f>IF(92&lt;=核心参数输入!$B$9*4,SUM($D146:CR146)+SUM($D147:CR147),0)</f>
        <v>0</v>
      </c>
      <c r="CS157" s="9">
        <f>IF(93&lt;=核心参数输入!$B$9*4,SUM($D146:CS146)+SUM($D147:CS147),0)</f>
        <v>0</v>
      </c>
      <c r="CT157" s="9">
        <f>IF(94&lt;=核心参数输入!$B$9*4,SUM($D146:CT146)+SUM($D147:CT147),0)</f>
        <v>0</v>
      </c>
      <c r="CU157" s="9">
        <f>IF(95&lt;=核心参数输入!$B$9*4,SUM($D146:CU146)+SUM($D147:CU147),0)</f>
        <v>0</v>
      </c>
      <c r="CV157" s="9">
        <f>IF(96&lt;=核心参数输入!$B$9*4,SUM($D146:CV146)+SUM($D147:CV147),0)</f>
        <v>0</v>
      </c>
      <c r="CW157" s="9">
        <f>IF(97&lt;=核心参数输入!$B$9*4,SUM($D146:CW146)+SUM($D147:CW147),0)</f>
        <v>0</v>
      </c>
      <c r="CX157" s="9">
        <f>IF(98&lt;=核心参数输入!$B$9*4,SUM($D146:CX146)+SUM($D147:CX147),0)</f>
        <v>0</v>
      </c>
      <c r="CY157" s="9">
        <f>IF(99&lt;=核心参数输入!$B$9*4,SUM($D146:CY146)+SUM($D147:CY147),0)</f>
        <v>0</v>
      </c>
      <c r="CZ157" s="9">
        <f>IF(100&lt;=核心参数输入!$B$9*4,SUM($D146:CZ146)+SUM($D147:CZ147),0)</f>
        <v>0</v>
      </c>
      <c r="DA157" s="9">
        <f>IF(101&lt;=核心参数输入!$B$9*4,SUM($D146:DA146)+SUM($D147:DA147),0)</f>
        <v>0</v>
      </c>
      <c r="DB157" s="9">
        <f>IF(102&lt;=核心参数输入!$B$9*4,SUM($D146:DB146)+SUM($D147:DB147),0)</f>
        <v>0</v>
      </c>
      <c r="DC157" s="9">
        <f>IF(103&lt;=核心参数输入!$B$9*4,SUM($D146:DC146)+SUM($D147:DC147),0)</f>
        <v>0</v>
      </c>
      <c r="DD157" s="9">
        <f>IF(104&lt;=核心参数输入!$B$9*4,SUM($D146:DD146)+SUM($D147:DD147),0)</f>
        <v>0</v>
      </c>
      <c r="DE157" s="9">
        <f>IF(105&lt;=核心参数输入!$B$9*4,SUM($D146:DE146)+SUM($D147:DE147),0)</f>
        <v>0</v>
      </c>
      <c r="DF157" s="9">
        <f>IF(106&lt;=核心参数输入!$B$9*4,SUM($D146:DF146)+SUM($D147:DF147),0)</f>
        <v>0</v>
      </c>
      <c r="DG157" s="9">
        <f>IF(107&lt;=核心参数输入!$B$9*4,SUM($D146:DG146)+SUM($D147:DG147),0)</f>
        <v>0</v>
      </c>
      <c r="DH157" s="9">
        <f>IF(108&lt;=核心参数输入!$B$9*4,SUM($D146:DH146)+SUM($D147:DH147),0)</f>
        <v>0</v>
      </c>
      <c r="DI157" s="9">
        <f>IF(109&lt;=核心参数输入!$B$9*4,SUM($D146:DI146)+SUM($D147:DI147),0)</f>
        <v>0</v>
      </c>
      <c r="DJ157" s="9">
        <f>IF(110&lt;=核心参数输入!$B$9*4,SUM($D146:DJ146)+SUM($D147:DJ147),0)</f>
        <v>0</v>
      </c>
      <c r="DK157" s="9">
        <f>IF(111&lt;=核心参数输入!$B$9*4,SUM($D146:DK146)+SUM($D147:DK147),0)</f>
        <v>0</v>
      </c>
      <c r="DL157" s="9">
        <f>IF(112&lt;=核心参数输入!$B$9*4,SUM($D146:DL146)+SUM($D147:DL147),0)</f>
        <v>0</v>
      </c>
      <c r="DM157" s="9">
        <f>IF(113&lt;=核心参数输入!$B$9*4,SUM($D146:DM146)+SUM($D147:DM147),0)</f>
        <v>0</v>
      </c>
      <c r="DN157" s="9">
        <f>IF(114&lt;=核心参数输入!$B$9*4,SUM($D146:DN146)+SUM($D147:DN147),0)</f>
        <v>0</v>
      </c>
      <c r="DO157" s="9">
        <f>IF(115&lt;=核心参数输入!$B$9*4,SUM($D146:DO146)+SUM($D147:DO147),0)</f>
        <v>0</v>
      </c>
      <c r="DP157" s="9">
        <f>IF(116&lt;=核心参数输入!$B$9*4,SUM($D146:DP146)+SUM($D147:DP147),0)</f>
        <v>0</v>
      </c>
      <c r="DQ157" s="9">
        <f>IF(117&lt;=核心参数输入!$B$9*4,SUM($D146:DQ146)+SUM($D147:DQ147),0)</f>
        <v>0</v>
      </c>
      <c r="DR157" s="9">
        <f>IF(118&lt;=核心参数输入!$B$9*4,SUM($D146:DR146)+SUM($D147:DR147),0)</f>
        <v>0</v>
      </c>
      <c r="DS157" s="9">
        <f>IF(119&lt;=核心参数输入!$B$9*4,SUM($D146:DS146)+SUM($D147:DS147),0)</f>
        <v>0</v>
      </c>
      <c r="DT157" s="9">
        <f>IF(120&lt;=核心参数输入!$B$9*4,SUM($D146:DT146)+SUM($D147:DT147),0)</f>
        <v>0</v>
      </c>
    </row>
    <row r="158" spans="1:124" ht="21" customHeight="1">
      <c r="A158" s="8" t="s">
        <v>439</v>
      </c>
      <c r="B158" s="8" t="s">
        <v>39</v>
      </c>
      <c r="C158" s="8"/>
      <c r="D158" s="9">
        <f>IF(0&lt;=核心参数输入!$B$9*4,SUM(D146:D148)+D154+D159,0)</f>
        <v>8000</v>
      </c>
      <c r="E158" s="9">
        <f>IF(1&lt;=核心参数输入!$B$9*4,SUM(E146:E148)+E154+E159,0)</f>
        <v>4377.7124999999996</v>
      </c>
      <c r="F158" s="9">
        <f>IF(2&lt;=核心参数输入!$B$9*4,SUM(F146:F148)+F154+F159,0)</f>
        <v>4401.3374999999996</v>
      </c>
      <c r="G158" s="9">
        <f>IF(3&lt;=核心参数输入!$B$9*4,SUM(G146:G148)+G154+G159,0)</f>
        <v>4424.9624999999996</v>
      </c>
      <c r="H158" s="9">
        <f>IF(4&lt;=核心参数输入!$B$9*4,SUM(H146:H148)+H154+H159,0)</f>
        <v>4448.5874999999996</v>
      </c>
      <c r="I158" s="9">
        <f>IF(5&lt;=核心参数输入!$B$9*4,SUM(I146:I148)+I154+I159,0)</f>
        <v>5931.4500000000007</v>
      </c>
      <c r="J158" s="9">
        <f>IF(6&lt;=核心参数输入!$B$9*4,SUM(J146:J148)+J154+J159,0)</f>
        <v>5962.9500000000007</v>
      </c>
      <c r="K158" s="9">
        <f>IF(7&lt;=核心参数输入!$B$9*4,SUM(K146:K148)+K154+K159,0)</f>
        <v>5994.4500000000007</v>
      </c>
      <c r="L158" s="9">
        <f>IF(8&lt;=核心参数输入!$B$9*4,SUM(L146:L148)+L154+L159,0)</f>
        <v>6025.9500000000007</v>
      </c>
      <c r="M158" s="9">
        <f>IF(9&lt;=核心参数输入!$B$9*4,SUM(M146:M148)+M154+M159,0)</f>
        <v>4598.2124999999996</v>
      </c>
      <c r="N158" s="9">
        <f>IF(10&lt;=核心参数输入!$B$9*4,SUM(N146:N148)+N154+N159,0)</f>
        <v>4621.8374999999996</v>
      </c>
      <c r="O158" s="9">
        <f>IF(11&lt;=核心参数输入!$B$9*4,SUM(O146:O148)+O154+O159,0)</f>
        <v>4645.4624999999996</v>
      </c>
      <c r="P158" s="9">
        <f>IF(12&lt;=核心参数输入!$B$9*4,SUM(P146:P148)+P154+P159,0)</f>
        <v>4669.0874999999996</v>
      </c>
      <c r="Q158" s="9">
        <f>IF(13&lt;=核心参数输入!$B$9*4,SUM(Q146:Q148)+Q154+Q159,0)</f>
        <v>500</v>
      </c>
      <c r="R158" s="9">
        <f>IF(14&lt;=核心参数输入!$B$9*4,SUM(R146:R148)+R154+R159,0)</f>
        <v>0</v>
      </c>
      <c r="S158" s="9">
        <f>IF(15&lt;=核心参数输入!$B$9*4,SUM(S146:S148)+S154+S159,0)</f>
        <v>0</v>
      </c>
      <c r="T158" s="9">
        <f>IF(16&lt;=核心参数输入!$B$9*4,SUM(T146:T148)+T154+T159,0)</f>
        <v>0</v>
      </c>
      <c r="U158" s="9">
        <f>IF(17&lt;=核心参数输入!$B$9*4,SUM(U146:U148)+U154+U159,0)</f>
        <v>0</v>
      </c>
      <c r="V158" s="9">
        <f>IF(18&lt;=核心参数输入!$B$9*4,SUM(V146:V148)+V154+V159,0)</f>
        <v>0</v>
      </c>
      <c r="W158" s="9">
        <f>IF(19&lt;=核心参数输入!$B$9*4,SUM(W146:W148)+W154+W159,0)</f>
        <v>0</v>
      </c>
      <c r="X158" s="9">
        <f>IF(20&lt;=核心参数输入!$B$9*4,SUM(X146:X148)+X154+X159,0)</f>
        <v>0</v>
      </c>
      <c r="Y158" s="9">
        <f>IF(21&lt;=核心参数输入!$B$9*4,SUM(Y146:Y148)+Y154+Y159,0)</f>
        <v>0</v>
      </c>
      <c r="Z158" s="9">
        <f>IF(22&lt;=核心参数输入!$B$9*4,SUM(Z146:Z148)+Z154+Z159,0)</f>
        <v>0</v>
      </c>
      <c r="AA158" s="9">
        <f>IF(23&lt;=核心参数输入!$B$9*4,SUM(AA146:AA148)+AA154+AA159,0)</f>
        <v>0</v>
      </c>
      <c r="AB158" s="9">
        <f>IF(24&lt;=核心参数输入!$B$9*4,SUM(AB146:AB148)+AB154+AB159,0)</f>
        <v>0</v>
      </c>
      <c r="AC158" s="9">
        <f>IF(25&lt;=核心参数输入!$B$9*4,SUM(AC146:AC148)+AC154+AC159,0)</f>
        <v>0</v>
      </c>
      <c r="AD158" s="9">
        <f>IF(26&lt;=核心参数输入!$B$9*4,SUM(AD146:AD148)+AD154+AD159,0)</f>
        <v>0</v>
      </c>
      <c r="AE158" s="9">
        <f>IF(27&lt;=核心参数输入!$B$9*4,SUM(AE146:AE148)+AE154+AE159,0)</f>
        <v>0</v>
      </c>
      <c r="AF158" s="9">
        <f>IF(28&lt;=核心参数输入!$B$9*4,SUM(AF146:AF148)+AF154+AF159,0)</f>
        <v>0</v>
      </c>
      <c r="AG158" s="9">
        <f>IF(29&lt;=核心参数输入!$B$9*4,SUM(AG146:AG148)+AG154+AG159,0)</f>
        <v>0</v>
      </c>
      <c r="AH158" s="9">
        <f>IF(30&lt;=核心参数输入!$B$9*4,SUM(AH146:AH148)+AH154+AH159,0)</f>
        <v>0</v>
      </c>
      <c r="AI158" s="9">
        <f>IF(31&lt;=核心参数输入!$B$9*4,SUM(AI146:AI148)+AI154+AI159,0)</f>
        <v>0</v>
      </c>
      <c r="AJ158" s="9">
        <f>IF(32&lt;=核心参数输入!$B$9*4,SUM(AJ146:AJ148)+AJ154+AJ159,0)</f>
        <v>0</v>
      </c>
      <c r="AK158" s="9">
        <f>IF(33&lt;=核心参数输入!$B$9*4,SUM(AK146:AK148)+AK154+AK159,0)</f>
        <v>0</v>
      </c>
      <c r="AL158" s="9">
        <f>IF(34&lt;=核心参数输入!$B$9*4,SUM(AL146:AL148)+AL154+AL159,0)</f>
        <v>0</v>
      </c>
      <c r="AM158" s="9">
        <f>IF(35&lt;=核心参数输入!$B$9*4,SUM(AM146:AM148)+AM154+AM159,0)</f>
        <v>0</v>
      </c>
      <c r="AN158" s="9">
        <f>IF(36&lt;=核心参数输入!$B$9*4,SUM(AN146:AN148)+AN154+AN159,0)</f>
        <v>0</v>
      </c>
      <c r="AO158" s="9">
        <f>IF(37&lt;=核心参数输入!$B$9*4,SUM(AO146:AO148)+AO154+AO159,0)</f>
        <v>0</v>
      </c>
      <c r="AP158" s="9">
        <f>IF(38&lt;=核心参数输入!$B$9*4,SUM(AP146:AP148)+AP154+AP159,0)</f>
        <v>0</v>
      </c>
      <c r="AQ158" s="9">
        <f>IF(39&lt;=核心参数输入!$B$9*4,SUM(AQ146:AQ148)+AQ154+AQ159,0)</f>
        <v>0</v>
      </c>
      <c r="AR158" s="9">
        <f>IF(40&lt;=核心参数输入!$B$9*4,SUM(AR146:AR148)+AR154+AR159,0)</f>
        <v>0</v>
      </c>
      <c r="AS158" s="9">
        <f>IF(41&lt;=核心参数输入!$B$9*4,SUM(AS146:AS148)+AS154+AS159,0)</f>
        <v>0</v>
      </c>
      <c r="AT158" s="9">
        <f>IF(42&lt;=核心参数输入!$B$9*4,SUM(AT146:AT148)+AT154+AT159,0)</f>
        <v>0</v>
      </c>
      <c r="AU158" s="9">
        <f>IF(43&lt;=核心参数输入!$B$9*4,SUM(AU146:AU148)+AU154+AU159,0)</f>
        <v>0</v>
      </c>
      <c r="AV158" s="9">
        <f>IF(44&lt;=核心参数输入!$B$9*4,SUM(AV146:AV148)+AV154+AV159,0)</f>
        <v>0</v>
      </c>
      <c r="AW158" s="9">
        <f>IF(45&lt;=核心参数输入!$B$9*4,SUM(AW146:AW148)+AW154+AW159,0)</f>
        <v>0</v>
      </c>
      <c r="AX158" s="9">
        <f>IF(46&lt;=核心参数输入!$B$9*4,SUM(AX146:AX148)+AX154+AX159,0)</f>
        <v>0</v>
      </c>
      <c r="AY158" s="9">
        <f>IF(47&lt;=核心参数输入!$B$9*4,SUM(AY146:AY148)+AY154+AY159,0)</f>
        <v>0</v>
      </c>
      <c r="AZ158" s="9">
        <f>IF(48&lt;=核心参数输入!$B$9*4,SUM(AZ146:AZ148)+AZ154+AZ159,0)</f>
        <v>0</v>
      </c>
      <c r="BA158" s="9">
        <f>IF(49&lt;=核心参数输入!$B$9*4,SUM(BA146:BA148)+BA154+BA159,0)</f>
        <v>0</v>
      </c>
      <c r="BB158" s="9">
        <f>IF(50&lt;=核心参数输入!$B$9*4,SUM(BB146:BB148)+BB154+BB159,0)</f>
        <v>0</v>
      </c>
      <c r="BC158" s="9">
        <f>IF(51&lt;=核心参数输入!$B$9*4,SUM(BC146:BC148)+BC154+BC159,0)</f>
        <v>0</v>
      </c>
      <c r="BD158" s="9">
        <f>IF(52&lt;=核心参数输入!$B$9*4,SUM(BD146:BD148)+BD154+BD159,0)</f>
        <v>0</v>
      </c>
      <c r="BE158" s="9">
        <f>IF(53&lt;=核心参数输入!$B$9*4,SUM(BE146:BE148)+BE154+BE159,0)</f>
        <v>0</v>
      </c>
      <c r="BF158" s="9">
        <f>IF(54&lt;=核心参数输入!$B$9*4,SUM(BF146:BF148)+BF154+BF159,0)</f>
        <v>0</v>
      </c>
      <c r="BG158" s="9">
        <f>IF(55&lt;=核心参数输入!$B$9*4,SUM(BG146:BG148)+BG154+BG159,0)</f>
        <v>0</v>
      </c>
      <c r="BH158" s="9">
        <f>IF(56&lt;=核心参数输入!$B$9*4,SUM(BH146:BH148)+BH154+BH159,0)</f>
        <v>0</v>
      </c>
      <c r="BI158" s="9">
        <f>IF(57&lt;=核心参数输入!$B$9*4,SUM(BI146:BI148)+BI154+BI159,0)</f>
        <v>0</v>
      </c>
      <c r="BJ158" s="9">
        <f>IF(58&lt;=核心参数输入!$B$9*4,SUM(BJ146:BJ148)+BJ154+BJ159,0)</f>
        <v>0</v>
      </c>
      <c r="BK158" s="9">
        <f>IF(59&lt;=核心参数输入!$B$9*4,SUM(BK146:BK148)+BK154+BK159,0)</f>
        <v>0</v>
      </c>
      <c r="BL158" s="9">
        <f>IF(60&lt;=核心参数输入!$B$9*4,SUM(BL146:BL148)+BL154+BL159,0)</f>
        <v>0</v>
      </c>
      <c r="BM158" s="9">
        <f>IF(61&lt;=核心参数输入!$B$9*4,SUM(BM146:BM148)+BM154+BM159,0)</f>
        <v>0</v>
      </c>
      <c r="BN158" s="9">
        <f>IF(62&lt;=核心参数输入!$B$9*4,SUM(BN146:BN148)+BN154+BN159,0)</f>
        <v>0</v>
      </c>
      <c r="BO158" s="9">
        <f>IF(63&lt;=核心参数输入!$B$9*4,SUM(BO146:BO148)+BO154+BO159,0)</f>
        <v>0</v>
      </c>
      <c r="BP158" s="9">
        <f>IF(64&lt;=核心参数输入!$B$9*4,SUM(BP146:BP148)+BP154+BP159,0)</f>
        <v>0</v>
      </c>
      <c r="BQ158" s="9">
        <f>IF(65&lt;=核心参数输入!$B$9*4,SUM(BQ146:BQ148)+BQ154+BQ159,0)</f>
        <v>0</v>
      </c>
      <c r="BR158" s="9">
        <f>IF(66&lt;=核心参数输入!$B$9*4,SUM(BR146:BR148)+BR154+BR159,0)</f>
        <v>0</v>
      </c>
      <c r="BS158" s="9">
        <f>IF(67&lt;=核心参数输入!$B$9*4,SUM(BS146:BS148)+BS154+BS159,0)</f>
        <v>0</v>
      </c>
      <c r="BT158" s="9">
        <f>IF(68&lt;=核心参数输入!$B$9*4,SUM(BT146:BT148)+BT154+BT159,0)</f>
        <v>0</v>
      </c>
      <c r="BU158" s="9">
        <f>IF(69&lt;=核心参数输入!$B$9*4,SUM(BU146:BU148)+BU154+BU159,0)</f>
        <v>0</v>
      </c>
      <c r="BV158" s="9">
        <f>IF(70&lt;=核心参数输入!$B$9*4,SUM(BV146:BV148)+BV154+BV159,0)</f>
        <v>0</v>
      </c>
      <c r="BW158" s="9">
        <f>IF(71&lt;=核心参数输入!$B$9*4,SUM(BW146:BW148)+BW154+BW159,0)</f>
        <v>0</v>
      </c>
      <c r="BX158" s="9">
        <f>IF(72&lt;=核心参数输入!$B$9*4,SUM(BX146:BX148)+BX154+BX159,0)</f>
        <v>0</v>
      </c>
      <c r="BY158" s="9">
        <f>IF(73&lt;=核心参数输入!$B$9*4,SUM(BY146:BY148)+BY154+BY159,0)</f>
        <v>0</v>
      </c>
      <c r="BZ158" s="9">
        <f>IF(74&lt;=核心参数输入!$B$9*4,SUM(BZ146:BZ148)+BZ154+BZ159,0)</f>
        <v>0</v>
      </c>
      <c r="CA158" s="9">
        <f>IF(75&lt;=核心参数输入!$B$9*4,SUM(CA146:CA148)+CA154+CA159,0)</f>
        <v>0</v>
      </c>
      <c r="CB158" s="9">
        <f>IF(76&lt;=核心参数输入!$B$9*4,SUM(CB146:CB148)+CB154+CB159,0)</f>
        <v>0</v>
      </c>
      <c r="CC158" s="9">
        <f>IF(77&lt;=核心参数输入!$B$9*4,SUM(CC146:CC148)+CC154+CC159,0)</f>
        <v>0</v>
      </c>
      <c r="CD158" s="9">
        <f>IF(78&lt;=核心参数输入!$B$9*4,SUM(CD146:CD148)+CD154+CD159,0)</f>
        <v>0</v>
      </c>
      <c r="CE158" s="9">
        <f>IF(79&lt;=核心参数输入!$B$9*4,SUM(CE146:CE148)+CE154+CE159,0)</f>
        <v>0</v>
      </c>
      <c r="CF158" s="9">
        <f>IF(80&lt;=核心参数输入!$B$9*4,SUM(CF146:CF148)+CF154+CF159,0)</f>
        <v>0</v>
      </c>
      <c r="CG158" s="9">
        <f>IF(81&lt;=核心参数输入!$B$9*4,SUM(CG146:CG148)+CG154+CG159,0)</f>
        <v>0</v>
      </c>
      <c r="CH158" s="9">
        <f>IF(82&lt;=核心参数输入!$B$9*4,SUM(CH146:CH148)+CH154+CH159,0)</f>
        <v>0</v>
      </c>
      <c r="CI158" s="9">
        <f>IF(83&lt;=核心参数输入!$B$9*4,SUM(CI146:CI148)+CI154+CI159,0)</f>
        <v>0</v>
      </c>
      <c r="CJ158" s="9">
        <f>IF(84&lt;=核心参数输入!$B$9*4,SUM(CJ146:CJ148)+CJ154+CJ159,0)</f>
        <v>0</v>
      </c>
      <c r="CK158" s="9">
        <f>IF(85&lt;=核心参数输入!$B$9*4,SUM(CK146:CK148)+CK154+CK159,0)</f>
        <v>0</v>
      </c>
      <c r="CL158" s="9">
        <f>IF(86&lt;=核心参数输入!$B$9*4,SUM(CL146:CL148)+CL154+CL159,0)</f>
        <v>0</v>
      </c>
      <c r="CM158" s="9">
        <f>IF(87&lt;=核心参数输入!$B$9*4,SUM(CM146:CM148)+CM154+CM159,0)</f>
        <v>0</v>
      </c>
      <c r="CN158" s="9">
        <f>IF(88&lt;=核心参数输入!$B$9*4,SUM(CN146:CN148)+CN154+CN159,0)</f>
        <v>0</v>
      </c>
      <c r="CO158" s="9">
        <f>IF(89&lt;=核心参数输入!$B$9*4,SUM(CO146:CO148)+CO154+CO159,0)</f>
        <v>0</v>
      </c>
      <c r="CP158" s="9">
        <f>IF(90&lt;=核心参数输入!$B$9*4,SUM(CP146:CP148)+CP154+CP159,0)</f>
        <v>0</v>
      </c>
      <c r="CQ158" s="9">
        <f>IF(91&lt;=核心参数输入!$B$9*4,SUM(CQ146:CQ148)+CQ154+CQ159,0)</f>
        <v>0</v>
      </c>
      <c r="CR158" s="9">
        <f>IF(92&lt;=核心参数输入!$B$9*4,SUM(CR146:CR148)+CR154+CR159,0)</f>
        <v>0</v>
      </c>
      <c r="CS158" s="9">
        <f>IF(93&lt;=核心参数输入!$B$9*4,SUM(CS146:CS148)+CS154+CS159,0)</f>
        <v>0</v>
      </c>
      <c r="CT158" s="9">
        <f>IF(94&lt;=核心参数输入!$B$9*4,SUM(CT146:CT148)+CT154+CT159,0)</f>
        <v>0</v>
      </c>
      <c r="CU158" s="9">
        <f>IF(95&lt;=核心参数输入!$B$9*4,SUM(CU146:CU148)+CU154+CU159,0)</f>
        <v>0</v>
      </c>
      <c r="CV158" s="9">
        <f>IF(96&lt;=核心参数输入!$B$9*4,SUM(CV146:CV148)+CV154+CV159,0)</f>
        <v>0</v>
      </c>
      <c r="CW158" s="9">
        <f>IF(97&lt;=核心参数输入!$B$9*4,SUM(CW146:CW148)+CW154+CW159,0)</f>
        <v>0</v>
      </c>
      <c r="CX158" s="9">
        <f>IF(98&lt;=核心参数输入!$B$9*4,SUM(CX146:CX148)+CX154+CX159,0)</f>
        <v>0</v>
      </c>
      <c r="CY158" s="9">
        <f>IF(99&lt;=核心参数输入!$B$9*4,SUM(CY146:CY148)+CY154+CY159,0)</f>
        <v>0</v>
      </c>
      <c r="CZ158" s="9">
        <f>IF(100&lt;=核心参数输入!$B$9*4,SUM(CZ146:CZ148)+CZ154+CZ159,0)</f>
        <v>0</v>
      </c>
      <c r="DA158" s="9">
        <f>IF(101&lt;=核心参数输入!$B$9*4,SUM(DA146:DA148)+DA154+DA159,0)</f>
        <v>0</v>
      </c>
      <c r="DB158" s="9">
        <f>IF(102&lt;=核心参数输入!$B$9*4,SUM(DB146:DB148)+DB154+DB159,0)</f>
        <v>0</v>
      </c>
      <c r="DC158" s="9">
        <f>IF(103&lt;=核心参数输入!$B$9*4,SUM(DC146:DC148)+DC154+DC159,0)</f>
        <v>0</v>
      </c>
      <c r="DD158" s="9">
        <f>IF(104&lt;=核心参数输入!$B$9*4,SUM(DD146:DD148)+DD154+DD159,0)</f>
        <v>0</v>
      </c>
      <c r="DE158" s="9">
        <f>IF(105&lt;=核心参数输入!$B$9*4,SUM(DE146:DE148)+DE154+DE159,0)</f>
        <v>0</v>
      </c>
      <c r="DF158" s="9">
        <f>IF(106&lt;=核心参数输入!$B$9*4,SUM(DF146:DF148)+DF154+DF159,0)</f>
        <v>0</v>
      </c>
      <c r="DG158" s="9">
        <f>IF(107&lt;=核心参数输入!$B$9*4,SUM(DG146:DG148)+DG154+DG159,0)</f>
        <v>0</v>
      </c>
      <c r="DH158" s="9">
        <f>IF(108&lt;=核心参数输入!$B$9*4,SUM(DH146:DH148)+DH154+DH159,0)</f>
        <v>0</v>
      </c>
      <c r="DI158" s="9">
        <f>IF(109&lt;=核心参数输入!$B$9*4,SUM(DI146:DI148)+DI154+DI159,0)</f>
        <v>0</v>
      </c>
      <c r="DJ158" s="9">
        <f>IF(110&lt;=核心参数输入!$B$9*4,SUM(DJ146:DJ148)+DJ154+DJ159,0)</f>
        <v>0</v>
      </c>
      <c r="DK158" s="9">
        <f>IF(111&lt;=核心参数输入!$B$9*4,SUM(DK146:DK148)+DK154+DK159,0)</f>
        <v>0</v>
      </c>
      <c r="DL158" s="9">
        <f>IF(112&lt;=核心参数输入!$B$9*4,SUM(DL146:DL148)+DL154+DL159,0)</f>
        <v>0</v>
      </c>
      <c r="DM158" s="9">
        <f>IF(113&lt;=核心参数输入!$B$9*4,SUM(DM146:DM148)+DM154+DM159,0)</f>
        <v>0</v>
      </c>
      <c r="DN158" s="9">
        <f>IF(114&lt;=核心参数输入!$B$9*4,SUM(DN146:DN148)+DN154+DN159,0)</f>
        <v>0</v>
      </c>
      <c r="DO158" s="9">
        <f>IF(115&lt;=核心参数输入!$B$9*4,SUM(DO146:DO148)+DO154+DO159,0)</f>
        <v>0</v>
      </c>
      <c r="DP158" s="9">
        <f>IF(116&lt;=核心参数输入!$B$9*4,SUM(DP146:DP148)+DP154+DP159,0)</f>
        <v>0</v>
      </c>
      <c r="DQ158" s="9">
        <f>IF(117&lt;=核心参数输入!$B$9*4,SUM(DQ146:DQ148)+DQ154+DQ159,0)</f>
        <v>0</v>
      </c>
      <c r="DR158" s="9">
        <f>IF(118&lt;=核心参数输入!$B$9*4,SUM(DR146:DR148)+DR154+DR159,0)</f>
        <v>0</v>
      </c>
      <c r="DS158" s="9">
        <f>IF(119&lt;=核心参数输入!$B$9*4,SUM(DS146:DS148)+DS154+DS159,0)</f>
        <v>0</v>
      </c>
      <c r="DT158" s="9">
        <f>IF(120&lt;=核心参数输入!$B$9*4,SUM(DT146:DT148)+DT154+DT159,0)</f>
        <v>0</v>
      </c>
    </row>
    <row r="159" spans="1:124" ht="21" customHeight="1">
      <c r="A159" s="8" t="s">
        <v>440</v>
      </c>
      <c r="B159" s="8" t="s">
        <v>39</v>
      </c>
      <c r="C159" s="8"/>
      <c r="D159" s="9">
        <f>IF(0&lt;=核心参数输入!$B$9*4,IF(AND(核心参数输入!$B$57&gt;0,0=季度投融资!$E$28),季度投融资!$E$19,0),0)</f>
        <v>0</v>
      </c>
      <c r="E159" s="9">
        <f>IF(1&lt;=核心参数输入!$B$9*4,IF(AND(核心参数输入!$B$57&gt;0,1=季度投融资!$E$28),季度投融资!$E$19,0),0)</f>
        <v>0</v>
      </c>
      <c r="F159" s="9">
        <f>IF(2&lt;=核心参数输入!$B$9*4,IF(AND(核心参数输入!$B$57&gt;0,2=季度投融资!$E$28),季度投融资!$E$19,0),0)</f>
        <v>0</v>
      </c>
      <c r="G159" s="9">
        <f>IF(3&lt;=核心参数输入!$B$9*4,IF(AND(核心参数输入!$B$57&gt;0,3=季度投融资!$E$28),季度投融资!$E$19,0),0)</f>
        <v>0</v>
      </c>
      <c r="H159" s="9">
        <f>IF(4&lt;=核心参数输入!$B$9*4,IF(AND(核心参数输入!$B$57&gt;0,4=季度投融资!$E$28),季度投融资!$E$19,0),0)</f>
        <v>0</v>
      </c>
      <c r="I159" s="9">
        <f>IF(5&lt;=核心参数输入!$B$9*4,IF(AND(核心参数输入!$B$57&gt;0,5=季度投融资!$E$28),季度投融资!$E$19,0),0)</f>
        <v>0</v>
      </c>
      <c r="J159" s="9">
        <f>IF(6&lt;=核心参数输入!$B$9*4,IF(AND(核心参数输入!$B$57&gt;0,6=季度投融资!$E$28),季度投融资!$E$19,0),0)</f>
        <v>0</v>
      </c>
      <c r="K159" s="9">
        <f>IF(7&lt;=核心参数输入!$B$9*4,IF(AND(核心参数输入!$B$57&gt;0,7=季度投融资!$E$28),季度投融资!$E$19,0),0)</f>
        <v>0</v>
      </c>
      <c r="L159" s="9">
        <f>IF(8&lt;=核心参数输入!$B$9*4,IF(AND(核心参数输入!$B$57&gt;0,8=季度投融资!$E$28),季度投融资!$E$19,0),0)</f>
        <v>0</v>
      </c>
      <c r="M159" s="9">
        <f>IF(9&lt;=核心参数输入!$B$9*4,IF(AND(核心参数输入!$B$57&gt;0,9=季度投融资!$E$28),季度投融资!$E$19,0),0)</f>
        <v>0</v>
      </c>
      <c r="N159" s="9">
        <f>IF(10&lt;=核心参数输入!$B$9*4,IF(AND(核心参数输入!$B$57&gt;0,10=季度投融资!$E$28),季度投融资!$E$19,0),0)</f>
        <v>0</v>
      </c>
      <c r="O159" s="9">
        <f>IF(11&lt;=核心参数输入!$B$9*4,IF(AND(核心参数输入!$B$57&gt;0,11=季度投融资!$E$28),季度投融资!$E$19,0),0)</f>
        <v>0</v>
      </c>
      <c r="P159" s="9">
        <f>IF(12&lt;=核心参数输入!$B$9*4,IF(AND(核心参数输入!$B$57&gt;0,12=季度投融资!$E$28),季度投融资!$E$19,0),0)</f>
        <v>0</v>
      </c>
      <c r="Q159" s="9">
        <f>IF(13&lt;=核心参数输入!$B$9*4,IF(AND(核心参数输入!$B$57&gt;0,13=季度投融资!$E$28),季度投融资!$E$19,0),0)</f>
        <v>0</v>
      </c>
      <c r="R159" s="9">
        <f>IF(14&lt;=核心参数输入!$B$9*4,IF(AND(核心参数输入!$B$57&gt;0,14=季度投融资!$E$28),季度投融资!$E$19,0),0)</f>
        <v>0</v>
      </c>
      <c r="S159" s="9">
        <f>IF(15&lt;=核心参数输入!$B$9*4,IF(AND(核心参数输入!$B$57&gt;0,15=季度投融资!$E$28),季度投融资!$E$19,0),0)</f>
        <v>0</v>
      </c>
      <c r="T159" s="9">
        <f>IF(16&lt;=核心参数输入!$B$9*4,IF(AND(核心参数输入!$B$57&gt;0,16=季度投融资!$E$28),季度投融资!$E$19,0),0)</f>
        <v>0</v>
      </c>
      <c r="U159" s="9">
        <f>IF(17&lt;=核心参数输入!$B$9*4,IF(AND(核心参数输入!$B$57&gt;0,17=季度投融资!$E$28),季度投融资!$E$19,0),0)</f>
        <v>0</v>
      </c>
      <c r="V159" s="9">
        <f>IF(18&lt;=核心参数输入!$B$9*4,IF(AND(核心参数输入!$B$57&gt;0,18=季度投融资!$E$28),季度投融资!$E$19,0),0)</f>
        <v>0</v>
      </c>
      <c r="W159" s="9">
        <f>IF(19&lt;=核心参数输入!$B$9*4,IF(AND(核心参数输入!$B$57&gt;0,19=季度投融资!$E$28),季度投融资!$E$19,0),0)</f>
        <v>0</v>
      </c>
      <c r="X159" s="9">
        <f>IF(20&lt;=核心参数输入!$B$9*4,IF(AND(核心参数输入!$B$57&gt;0,20=季度投融资!$E$28),季度投融资!$E$19,0),0)</f>
        <v>0</v>
      </c>
      <c r="Y159" s="9">
        <f>IF(21&lt;=核心参数输入!$B$9*4,IF(AND(核心参数输入!$B$57&gt;0,21=季度投融资!$E$28),季度投融资!$E$19,0),0)</f>
        <v>0</v>
      </c>
      <c r="Z159" s="9">
        <f>IF(22&lt;=核心参数输入!$B$9*4,IF(AND(核心参数输入!$B$57&gt;0,22=季度投融资!$E$28),季度投融资!$E$19,0),0)</f>
        <v>0</v>
      </c>
      <c r="AA159" s="9">
        <f>IF(23&lt;=核心参数输入!$B$9*4,IF(AND(核心参数输入!$B$57&gt;0,23=季度投融资!$E$28),季度投融资!$E$19,0),0)</f>
        <v>0</v>
      </c>
      <c r="AB159" s="9">
        <f>IF(24&lt;=核心参数输入!$B$9*4,IF(AND(核心参数输入!$B$57&gt;0,24=季度投融资!$E$28),季度投融资!$E$19,0),0)</f>
        <v>0</v>
      </c>
      <c r="AC159" s="9">
        <f>IF(25&lt;=核心参数输入!$B$9*4,IF(AND(核心参数输入!$B$57&gt;0,25=季度投融资!$E$28),季度投融资!$E$19,0),0)</f>
        <v>0</v>
      </c>
      <c r="AD159" s="9">
        <f>IF(26&lt;=核心参数输入!$B$9*4,IF(AND(核心参数输入!$B$57&gt;0,26=季度投融资!$E$28),季度投融资!$E$19,0),0)</f>
        <v>0</v>
      </c>
      <c r="AE159" s="9">
        <f>IF(27&lt;=核心参数输入!$B$9*4,IF(AND(核心参数输入!$B$57&gt;0,27=季度投融资!$E$28),季度投融资!$E$19,0),0)</f>
        <v>0</v>
      </c>
      <c r="AF159" s="9">
        <f>IF(28&lt;=核心参数输入!$B$9*4,IF(AND(核心参数输入!$B$57&gt;0,28=季度投融资!$E$28),季度投融资!$E$19,0),0)</f>
        <v>0</v>
      </c>
      <c r="AG159" s="9">
        <f>IF(29&lt;=核心参数输入!$B$9*4,IF(AND(核心参数输入!$B$57&gt;0,29=季度投融资!$E$28),季度投融资!$E$19,0),0)</f>
        <v>0</v>
      </c>
      <c r="AH159" s="9">
        <f>IF(30&lt;=核心参数输入!$B$9*4,IF(AND(核心参数输入!$B$57&gt;0,30=季度投融资!$E$28),季度投融资!$E$19,0),0)</f>
        <v>0</v>
      </c>
      <c r="AI159" s="9">
        <f>IF(31&lt;=核心参数输入!$B$9*4,IF(AND(核心参数输入!$B$57&gt;0,31=季度投融资!$E$28),季度投融资!$E$19,0),0)</f>
        <v>0</v>
      </c>
      <c r="AJ159" s="9">
        <f>IF(32&lt;=核心参数输入!$B$9*4,IF(AND(核心参数输入!$B$57&gt;0,32=季度投融资!$E$28),季度投融资!$E$19,0),0)</f>
        <v>0</v>
      </c>
      <c r="AK159" s="9">
        <f>IF(33&lt;=核心参数输入!$B$9*4,IF(AND(核心参数输入!$B$57&gt;0,33=季度投融资!$E$28),季度投融资!$E$19,0),0)</f>
        <v>0</v>
      </c>
      <c r="AL159" s="9">
        <f>IF(34&lt;=核心参数输入!$B$9*4,IF(AND(核心参数输入!$B$57&gt;0,34=季度投融资!$E$28),季度投融资!$E$19,0),0)</f>
        <v>0</v>
      </c>
      <c r="AM159" s="9">
        <f>IF(35&lt;=核心参数输入!$B$9*4,IF(AND(核心参数输入!$B$57&gt;0,35=季度投融资!$E$28),季度投融资!$E$19,0),0)</f>
        <v>0</v>
      </c>
      <c r="AN159" s="9">
        <f>IF(36&lt;=核心参数输入!$B$9*4,IF(AND(核心参数输入!$B$57&gt;0,36=季度投融资!$E$28),季度投融资!$E$19,0),0)</f>
        <v>0</v>
      </c>
      <c r="AO159" s="9">
        <f>IF(37&lt;=核心参数输入!$B$9*4,IF(AND(核心参数输入!$B$57&gt;0,37=季度投融资!$E$28),季度投融资!$E$19,0),0)</f>
        <v>0</v>
      </c>
      <c r="AP159" s="9">
        <f>IF(38&lt;=核心参数输入!$B$9*4,IF(AND(核心参数输入!$B$57&gt;0,38=季度投融资!$E$28),季度投融资!$E$19,0),0)</f>
        <v>0</v>
      </c>
      <c r="AQ159" s="9">
        <f>IF(39&lt;=核心参数输入!$B$9*4,IF(AND(核心参数输入!$B$57&gt;0,39=季度投融资!$E$28),季度投融资!$E$19,0),0)</f>
        <v>0</v>
      </c>
      <c r="AR159" s="9">
        <f>IF(40&lt;=核心参数输入!$B$9*4,IF(AND(核心参数输入!$B$57&gt;0,40=季度投融资!$E$28),季度投融资!$E$19,0),0)</f>
        <v>0</v>
      </c>
      <c r="AS159" s="9">
        <f>IF(41&lt;=核心参数输入!$B$9*4,IF(AND(核心参数输入!$B$57&gt;0,41=季度投融资!$E$28),季度投融资!$E$19,0),0)</f>
        <v>0</v>
      </c>
      <c r="AT159" s="9">
        <f>IF(42&lt;=核心参数输入!$B$9*4,IF(AND(核心参数输入!$B$57&gt;0,42=季度投融资!$E$28),季度投融资!$E$19,0),0)</f>
        <v>0</v>
      </c>
      <c r="AU159" s="9">
        <f>IF(43&lt;=核心参数输入!$B$9*4,IF(AND(核心参数输入!$B$57&gt;0,43=季度投融资!$E$28),季度投融资!$E$19,0),0)</f>
        <v>0</v>
      </c>
      <c r="AV159" s="9">
        <f>IF(44&lt;=核心参数输入!$B$9*4,IF(AND(核心参数输入!$B$57&gt;0,44=季度投融资!$E$28),季度投融资!$E$19,0),0)</f>
        <v>0</v>
      </c>
      <c r="AW159" s="9">
        <f>IF(45&lt;=核心参数输入!$B$9*4,IF(AND(核心参数输入!$B$57&gt;0,45=季度投融资!$E$28),季度投融资!$E$19,0),0)</f>
        <v>0</v>
      </c>
      <c r="AX159" s="9">
        <f>IF(46&lt;=核心参数输入!$B$9*4,IF(AND(核心参数输入!$B$57&gt;0,46=季度投融资!$E$28),季度投融资!$E$19,0),0)</f>
        <v>0</v>
      </c>
      <c r="AY159" s="9">
        <f>IF(47&lt;=核心参数输入!$B$9*4,IF(AND(核心参数输入!$B$57&gt;0,47=季度投融资!$E$28),季度投融资!$E$19,0),0)</f>
        <v>0</v>
      </c>
      <c r="AZ159" s="9">
        <f>IF(48&lt;=核心参数输入!$B$9*4,IF(AND(核心参数输入!$B$57&gt;0,48=季度投融资!$E$28),季度投融资!$E$19,0),0)</f>
        <v>0</v>
      </c>
      <c r="BA159" s="9">
        <f>IF(49&lt;=核心参数输入!$B$9*4,IF(AND(核心参数输入!$B$57&gt;0,49=季度投融资!$E$28),季度投融资!$E$19,0),0)</f>
        <v>0</v>
      </c>
      <c r="BB159" s="9">
        <f>IF(50&lt;=核心参数输入!$B$9*4,IF(AND(核心参数输入!$B$57&gt;0,50=季度投融资!$E$28),季度投融资!$E$19,0),0)</f>
        <v>0</v>
      </c>
      <c r="BC159" s="9">
        <f>IF(51&lt;=核心参数输入!$B$9*4,IF(AND(核心参数输入!$B$57&gt;0,51=季度投融资!$E$28),季度投融资!$E$19,0),0)</f>
        <v>0</v>
      </c>
      <c r="BD159" s="9">
        <f>IF(52&lt;=核心参数输入!$B$9*4,IF(AND(核心参数输入!$B$57&gt;0,52=季度投融资!$E$28),季度投融资!$E$19,0),0)</f>
        <v>0</v>
      </c>
      <c r="BE159" s="9">
        <f>IF(53&lt;=核心参数输入!$B$9*4,IF(AND(核心参数输入!$B$57&gt;0,53=季度投融资!$E$28),季度投融资!$E$19,0),0)</f>
        <v>0</v>
      </c>
      <c r="BF159" s="9">
        <f>IF(54&lt;=核心参数输入!$B$9*4,IF(AND(核心参数输入!$B$57&gt;0,54=季度投融资!$E$28),季度投融资!$E$19,0),0)</f>
        <v>0</v>
      </c>
      <c r="BG159" s="9">
        <f>IF(55&lt;=核心参数输入!$B$9*4,IF(AND(核心参数输入!$B$57&gt;0,55=季度投融资!$E$28),季度投融资!$E$19,0),0)</f>
        <v>0</v>
      </c>
      <c r="BH159" s="9">
        <f>IF(56&lt;=核心参数输入!$B$9*4,IF(AND(核心参数输入!$B$57&gt;0,56=季度投融资!$E$28),季度投融资!$E$19,0),0)</f>
        <v>0</v>
      </c>
      <c r="BI159" s="9">
        <f>IF(57&lt;=核心参数输入!$B$9*4,IF(AND(核心参数输入!$B$57&gt;0,57=季度投融资!$E$28),季度投融资!$E$19,0),0)</f>
        <v>0</v>
      </c>
      <c r="BJ159" s="9">
        <f>IF(58&lt;=核心参数输入!$B$9*4,IF(AND(核心参数输入!$B$57&gt;0,58=季度投融资!$E$28),季度投融资!$E$19,0),0)</f>
        <v>0</v>
      </c>
      <c r="BK159" s="9">
        <f>IF(59&lt;=核心参数输入!$B$9*4,IF(AND(核心参数输入!$B$57&gt;0,59=季度投融资!$E$28),季度投融资!$E$19,0),0)</f>
        <v>0</v>
      </c>
      <c r="BL159" s="9">
        <f>IF(60&lt;=核心参数输入!$B$9*4,IF(AND(核心参数输入!$B$57&gt;0,60=季度投融资!$E$28),季度投融资!$E$19,0),0)</f>
        <v>0</v>
      </c>
      <c r="BM159" s="9">
        <f>IF(61&lt;=核心参数输入!$B$9*4,IF(AND(核心参数输入!$B$57&gt;0,61=季度投融资!$E$28),季度投融资!$E$19,0),0)</f>
        <v>0</v>
      </c>
      <c r="BN159" s="9">
        <f>IF(62&lt;=核心参数输入!$B$9*4,IF(AND(核心参数输入!$B$57&gt;0,62=季度投融资!$E$28),季度投融资!$E$19,0),0)</f>
        <v>0</v>
      </c>
      <c r="BO159" s="9">
        <f>IF(63&lt;=核心参数输入!$B$9*4,IF(AND(核心参数输入!$B$57&gt;0,63=季度投融资!$E$28),季度投融资!$E$19,0),0)</f>
        <v>0</v>
      </c>
      <c r="BP159" s="9">
        <f>IF(64&lt;=核心参数输入!$B$9*4,IF(AND(核心参数输入!$B$57&gt;0,64=季度投融资!$E$28),季度投融资!$E$19,0),0)</f>
        <v>0</v>
      </c>
      <c r="BQ159" s="9">
        <f>IF(65&lt;=核心参数输入!$B$9*4,IF(AND(核心参数输入!$B$57&gt;0,65=季度投融资!$E$28),季度投融资!$E$19,0),0)</f>
        <v>0</v>
      </c>
      <c r="BR159" s="9">
        <f>IF(66&lt;=核心参数输入!$B$9*4,IF(AND(核心参数输入!$B$57&gt;0,66=季度投融资!$E$28),季度投融资!$E$19,0),0)</f>
        <v>0</v>
      </c>
      <c r="BS159" s="9">
        <f>IF(67&lt;=核心参数输入!$B$9*4,IF(AND(核心参数输入!$B$57&gt;0,67=季度投融资!$E$28),季度投融资!$E$19,0),0)</f>
        <v>0</v>
      </c>
      <c r="BT159" s="9">
        <f>IF(68&lt;=核心参数输入!$B$9*4,IF(AND(核心参数输入!$B$57&gt;0,68=季度投融资!$E$28),季度投融资!$E$19,0),0)</f>
        <v>0</v>
      </c>
      <c r="BU159" s="9">
        <f>IF(69&lt;=核心参数输入!$B$9*4,IF(AND(核心参数输入!$B$57&gt;0,69=季度投融资!$E$28),季度投融资!$E$19,0),0)</f>
        <v>0</v>
      </c>
      <c r="BV159" s="9">
        <f>IF(70&lt;=核心参数输入!$B$9*4,IF(AND(核心参数输入!$B$57&gt;0,70=季度投融资!$E$28),季度投融资!$E$19,0),0)</f>
        <v>0</v>
      </c>
      <c r="BW159" s="9">
        <f>IF(71&lt;=核心参数输入!$B$9*4,IF(AND(核心参数输入!$B$57&gt;0,71=季度投融资!$E$28),季度投融资!$E$19,0),0)</f>
        <v>0</v>
      </c>
      <c r="BX159" s="9">
        <f>IF(72&lt;=核心参数输入!$B$9*4,IF(AND(核心参数输入!$B$57&gt;0,72=季度投融资!$E$28),季度投融资!$E$19,0),0)</f>
        <v>0</v>
      </c>
      <c r="BY159" s="9">
        <f>IF(73&lt;=核心参数输入!$B$9*4,IF(AND(核心参数输入!$B$57&gt;0,73=季度投融资!$E$28),季度投融资!$E$19,0),0)</f>
        <v>0</v>
      </c>
      <c r="BZ159" s="9">
        <f>IF(74&lt;=核心参数输入!$B$9*4,IF(AND(核心参数输入!$B$57&gt;0,74=季度投融资!$E$28),季度投融资!$E$19,0),0)</f>
        <v>0</v>
      </c>
      <c r="CA159" s="9">
        <f>IF(75&lt;=核心参数输入!$B$9*4,IF(AND(核心参数输入!$B$57&gt;0,75=季度投融资!$E$28),季度投融资!$E$19,0),0)</f>
        <v>0</v>
      </c>
      <c r="CB159" s="9">
        <f>IF(76&lt;=核心参数输入!$B$9*4,IF(AND(核心参数输入!$B$57&gt;0,76=季度投融资!$E$28),季度投融资!$E$19,0),0)</f>
        <v>0</v>
      </c>
      <c r="CC159" s="9">
        <f>IF(77&lt;=核心参数输入!$B$9*4,IF(AND(核心参数输入!$B$57&gt;0,77=季度投融资!$E$28),季度投融资!$E$19,0),0)</f>
        <v>0</v>
      </c>
      <c r="CD159" s="9">
        <f>IF(78&lt;=核心参数输入!$B$9*4,IF(AND(核心参数输入!$B$57&gt;0,78=季度投融资!$E$28),季度投融资!$E$19,0),0)</f>
        <v>0</v>
      </c>
      <c r="CE159" s="9">
        <f>IF(79&lt;=核心参数输入!$B$9*4,IF(AND(核心参数输入!$B$57&gt;0,79=季度投融资!$E$28),季度投融资!$E$19,0),0)</f>
        <v>0</v>
      </c>
      <c r="CF159" s="9">
        <f>IF(80&lt;=核心参数输入!$B$9*4,IF(AND(核心参数输入!$B$57&gt;0,80=季度投融资!$E$28),季度投融资!$E$19,0),0)</f>
        <v>0</v>
      </c>
      <c r="CG159" s="9">
        <f>IF(81&lt;=核心参数输入!$B$9*4,IF(AND(核心参数输入!$B$57&gt;0,81=季度投融资!$E$28),季度投融资!$E$19,0),0)</f>
        <v>0</v>
      </c>
      <c r="CH159" s="9">
        <f>IF(82&lt;=核心参数输入!$B$9*4,IF(AND(核心参数输入!$B$57&gt;0,82=季度投融资!$E$28),季度投融资!$E$19,0),0)</f>
        <v>0</v>
      </c>
      <c r="CI159" s="9">
        <f>IF(83&lt;=核心参数输入!$B$9*4,IF(AND(核心参数输入!$B$57&gt;0,83=季度投融资!$E$28),季度投融资!$E$19,0),0)</f>
        <v>0</v>
      </c>
      <c r="CJ159" s="9">
        <f>IF(84&lt;=核心参数输入!$B$9*4,IF(AND(核心参数输入!$B$57&gt;0,84=季度投融资!$E$28),季度投融资!$E$19,0),0)</f>
        <v>0</v>
      </c>
      <c r="CK159" s="9">
        <f>IF(85&lt;=核心参数输入!$B$9*4,IF(AND(核心参数输入!$B$57&gt;0,85=季度投融资!$E$28),季度投融资!$E$19,0),0)</f>
        <v>0</v>
      </c>
      <c r="CL159" s="9">
        <f>IF(86&lt;=核心参数输入!$B$9*4,IF(AND(核心参数输入!$B$57&gt;0,86=季度投融资!$E$28),季度投融资!$E$19,0),0)</f>
        <v>0</v>
      </c>
      <c r="CM159" s="9">
        <f>IF(87&lt;=核心参数输入!$B$9*4,IF(AND(核心参数输入!$B$57&gt;0,87=季度投融资!$E$28),季度投融资!$E$19,0),0)</f>
        <v>0</v>
      </c>
      <c r="CN159" s="9">
        <f>IF(88&lt;=核心参数输入!$B$9*4,IF(AND(核心参数输入!$B$57&gt;0,88=季度投融资!$E$28),季度投融资!$E$19,0),0)</f>
        <v>0</v>
      </c>
      <c r="CO159" s="9">
        <f>IF(89&lt;=核心参数输入!$B$9*4,IF(AND(核心参数输入!$B$57&gt;0,89=季度投融资!$E$28),季度投融资!$E$19,0),0)</f>
        <v>0</v>
      </c>
      <c r="CP159" s="9">
        <f>IF(90&lt;=核心参数输入!$B$9*4,IF(AND(核心参数输入!$B$57&gt;0,90=季度投融资!$E$28),季度投融资!$E$19,0),0)</f>
        <v>0</v>
      </c>
      <c r="CQ159" s="9">
        <f>IF(91&lt;=核心参数输入!$B$9*4,IF(AND(核心参数输入!$B$57&gt;0,91=季度投融资!$E$28),季度投融资!$E$19,0),0)</f>
        <v>0</v>
      </c>
      <c r="CR159" s="9">
        <f>IF(92&lt;=核心参数输入!$B$9*4,IF(AND(核心参数输入!$B$57&gt;0,92=季度投融资!$E$28),季度投融资!$E$19,0),0)</f>
        <v>0</v>
      </c>
      <c r="CS159" s="9">
        <f>IF(93&lt;=核心参数输入!$B$9*4,IF(AND(核心参数输入!$B$57&gt;0,93=季度投融资!$E$28),季度投融资!$E$19,0),0)</f>
        <v>0</v>
      </c>
      <c r="CT159" s="9">
        <f>IF(94&lt;=核心参数输入!$B$9*4,IF(AND(核心参数输入!$B$57&gt;0,94=季度投融资!$E$28),季度投融资!$E$19,0),0)</f>
        <v>0</v>
      </c>
      <c r="CU159" s="9">
        <f>IF(95&lt;=核心参数输入!$B$9*4,IF(AND(核心参数输入!$B$57&gt;0,95=季度投融资!$E$28),季度投融资!$E$19,0),0)</f>
        <v>0</v>
      </c>
      <c r="CV159" s="9">
        <f>IF(96&lt;=核心参数输入!$B$9*4,IF(AND(核心参数输入!$B$57&gt;0,96=季度投融资!$E$28),季度投融资!$E$19,0),0)</f>
        <v>0</v>
      </c>
      <c r="CW159" s="9">
        <f>IF(97&lt;=核心参数输入!$B$9*4,IF(AND(核心参数输入!$B$57&gt;0,97=季度投融资!$E$28),季度投融资!$E$19,0),0)</f>
        <v>0</v>
      </c>
      <c r="CX159" s="9">
        <f>IF(98&lt;=核心参数输入!$B$9*4,IF(AND(核心参数输入!$B$57&gt;0,98=季度投融资!$E$28),季度投融资!$E$19,0),0)</f>
        <v>0</v>
      </c>
      <c r="CY159" s="9">
        <f>IF(99&lt;=核心参数输入!$B$9*4,IF(AND(核心参数输入!$B$57&gt;0,99=季度投融资!$E$28),季度投融资!$E$19,0),0)</f>
        <v>0</v>
      </c>
      <c r="CZ159" s="9">
        <f>IF(100&lt;=核心参数输入!$B$9*4,IF(AND(核心参数输入!$B$57&gt;0,100=季度投融资!$E$28),季度投融资!$E$19,0),0)</f>
        <v>0</v>
      </c>
      <c r="DA159" s="9">
        <f>IF(101&lt;=核心参数输入!$B$9*4,IF(AND(核心参数输入!$B$57&gt;0,101=季度投融资!$E$28),季度投融资!$E$19,0),0)</f>
        <v>0</v>
      </c>
      <c r="DB159" s="9">
        <f>IF(102&lt;=核心参数输入!$B$9*4,IF(AND(核心参数输入!$B$57&gt;0,102=季度投融资!$E$28),季度投融资!$E$19,0),0)</f>
        <v>0</v>
      </c>
      <c r="DC159" s="9">
        <f>IF(103&lt;=核心参数输入!$B$9*4,IF(AND(核心参数输入!$B$57&gt;0,103=季度投融资!$E$28),季度投融资!$E$19,0),0)</f>
        <v>0</v>
      </c>
      <c r="DD159" s="9">
        <f>IF(104&lt;=核心参数输入!$B$9*4,IF(AND(核心参数输入!$B$57&gt;0,104=季度投融资!$E$28),季度投融资!$E$19,0),0)</f>
        <v>0</v>
      </c>
      <c r="DE159" s="9">
        <f>IF(105&lt;=核心参数输入!$B$9*4,IF(AND(核心参数输入!$B$57&gt;0,105=季度投融资!$E$28),季度投融资!$E$19,0),0)</f>
        <v>0</v>
      </c>
      <c r="DF159" s="9">
        <f>IF(106&lt;=核心参数输入!$B$9*4,IF(AND(核心参数输入!$B$57&gt;0,106=季度投融资!$E$28),季度投融资!$E$19,0),0)</f>
        <v>0</v>
      </c>
      <c r="DG159" s="9">
        <f>IF(107&lt;=核心参数输入!$B$9*4,IF(AND(核心参数输入!$B$57&gt;0,107=季度投融资!$E$28),季度投融资!$E$19,0),0)</f>
        <v>0</v>
      </c>
      <c r="DH159" s="9">
        <f>IF(108&lt;=核心参数输入!$B$9*4,IF(AND(核心参数输入!$B$57&gt;0,108=季度投融资!$E$28),季度投融资!$E$19,0),0)</f>
        <v>0</v>
      </c>
      <c r="DI159" s="9">
        <f>IF(109&lt;=核心参数输入!$B$9*4,IF(AND(核心参数输入!$B$57&gt;0,109=季度投融资!$E$28),季度投融资!$E$19,0),0)</f>
        <v>0</v>
      </c>
      <c r="DJ159" s="9">
        <f>IF(110&lt;=核心参数输入!$B$9*4,IF(AND(核心参数输入!$B$57&gt;0,110=季度投融资!$E$28),季度投融资!$E$19,0),0)</f>
        <v>0</v>
      </c>
      <c r="DK159" s="9">
        <f>IF(111&lt;=核心参数输入!$B$9*4,IF(AND(核心参数输入!$B$57&gt;0,111=季度投融资!$E$28),季度投融资!$E$19,0),0)</f>
        <v>0</v>
      </c>
      <c r="DL159" s="9">
        <f>IF(112&lt;=核心参数输入!$B$9*4,IF(AND(核心参数输入!$B$57&gt;0,112=季度投融资!$E$28),季度投融资!$E$19,0),0)</f>
        <v>0</v>
      </c>
      <c r="DM159" s="9">
        <f>IF(113&lt;=核心参数输入!$B$9*4,IF(AND(核心参数输入!$B$57&gt;0,113=季度投融资!$E$28),季度投融资!$E$19,0),0)</f>
        <v>0</v>
      </c>
      <c r="DN159" s="9">
        <f>IF(114&lt;=核心参数输入!$B$9*4,IF(AND(核心参数输入!$B$57&gt;0,114=季度投融资!$E$28),季度投融资!$E$19,0),0)</f>
        <v>0</v>
      </c>
      <c r="DO159" s="9">
        <f>IF(115&lt;=核心参数输入!$B$9*4,IF(AND(核心参数输入!$B$57&gt;0,115=季度投融资!$E$28),季度投融资!$E$19,0),0)</f>
        <v>0</v>
      </c>
      <c r="DP159" s="9">
        <f>IF(116&lt;=核心参数输入!$B$9*4,IF(AND(核心参数输入!$B$57&gt;0,116=季度投融资!$E$28),季度投融资!$E$19,0),0)</f>
        <v>0</v>
      </c>
      <c r="DQ159" s="9">
        <f>IF(117&lt;=核心参数输入!$B$9*4,IF(AND(核心参数输入!$B$57&gt;0,117=季度投融资!$E$28),季度投融资!$E$19,0),0)</f>
        <v>0</v>
      </c>
      <c r="DR159" s="9">
        <f>IF(118&lt;=核心参数输入!$B$9*4,IF(AND(核心参数输入!$B$57&gt;0,118=季度投融资!$E$28),季度投融资!$E$19,0),0)</f>
        <v>0</v>
      </c>
      <c r="DS159" s="9">
        <f>IF(119&lt;=核心参数输入!$B$9*4,IF(AND(核心参数输入!$B$57&gt;0,119=季度投融资!$E$28),季度投融资!$E$19,0),0)</f>
        <v>0</v>
      </c>
      <c r="DT159" s="9">
        <f>IF(120&lt;=核心参数输入!$B$9*4,IF(AND(核心参数输入!$B$57&gt;0,120=季度投融资!$E$28),季度投融资!$E$19,0),0)</f>
        <v>0</v>
      </c>
    </row>
    <row r="160" spans="1:124" ht="21" customHeight="1">
      <c r="A160" s="8" t="s">
        <v>31</v>
      </c>
      <c r="B160" s="8" t="s">
        <v>39</v>
      </c>
      <c r="C160" s="8"/>
      <c r="D160" s="9">
        <f>IF(0&lt;=核心参数输入!$B$9*4,IF(AND(核心参数输入!$B$57&gt;0,0=季度投融资!$E$29),D153,0),0)</f>
        <v>0</v>
      </c>
      <c r="E160" s="9">
        <f>IF(1&lt;=核心参数输入!$B$9*4,IF(AND(核心参数输入!$B$57&gt;0,1=季度投融资!$E$29),E153,0),0)</f>
        <v>0</v>
      </c>
      <c r="F160" s="9">
        <f>IF(2&lt;=核心参数输入!$B$9*4,IF(AND(核心参数输入!$B$57&gt;0,2=季度投融资!$E$29),F153,0),0)</f>
        <v>0</v>
      </c>
      <c r="G160" s="9">
        <f>IF(3&lt;=核心参数输入!$B$9*4,IF(AND(核心参数输入!$B$57&gt;0,3=季度投融资!$E$29),G153,0),0)</f>
        <v>0</v>
      </c>
      <c r="H160" s="9">
        <f>IF(4&lt;=核心参数输入!$B$9*4,IF(AND(核心参数输入!$B$57&gt;0,4=季度投融资!$E$29),H153,0),0)</f>
        <v>0</v>
      </c>
      <c r="I160" s="9">
        <f>IF(5&lt;=核心参数输入!$B$9*4,IF(AND(核心参数输入!$B$57&gt;0,5=季度投融资!$E$29),I153,0),0)</f>
        <v>0</v>
      </c>
      <c r="J160" s="9">
        <f>IF(6&lt;=核心参数输入!$B$9*4,IF(AND(核心参数输入!$B$57&gt;0,6=季度投融资!$E$29),J153,0),0)</f>
        <v>0</v>
      </c>
      <c r="K160" s="9">
        <f>IF(7&lt;=核心参数输入!$B$9*4,IF(AND(核心参数输入!$B$57&gt;0,7=季度投融资!$E$29),K153,0),0)</f>
        <v>0</v>
      </c>
      <c r="L160" s="9">
        <f>IF(8&lt;=核心参数输入!$B$9*4,IF(AND(核心参数输入!$B$57&gt;0,8=季度投融资!$E$29),L153,0),0)</f>
        <v>0</v>
      </c>
      <c r="M160" s="9">
        <f>IF(9&lt;=核心参数输入!$B$9*4,IF(AND(核心参数输入!$B$57&gt;0,9=季度投融资!$E$29),M153,0),0)</f>
        <v>0</v>
      </c>
      <c r="N160" s="9">
        <f>IF(10&lt;=核心参数输入!$B$9*4,IF(AND(核心参数输入!$B$57&gt;0,10=季度投融资!$E$29),N153,0),0)</f>
        <v>0</v>
      </c>
      <c r="O160" s="9">
        <f>IF(11&lt;=核心参数输入!$B$9*4,IF(AND(核心参数输入!$B$57&gt;0,11=季度投融资!$E$29),O153,0),0)</f>
        <v>0</v>
      </c>
      <c r="P160" s="9">
        <f>IF(12&lt;=核心参数输入!$B$9*4,IF(AND(核心参数输入!$B$57&gt;0,12=季度投融资!$E$29),P153,0),0)</f>
        <v>0</v>
      </c>
      <c r="Q160" s="9">
        <f>IF(13&lt;=核心参数输入!$B$9*4,IF(AND(核心参数输入!$B$57&gt;0,13=季度投融资!$E$29),Q153,0),0)</f>
        <v>0</v>
      </c>
      <c r="R160" s="9">
        <f>IF(14&lt;=核心参数输入!$B$9*4,IF(AND(核心参数输入!$B$57&gt;0,14=季度投融资!$E$29),R153,0),0)</f>
        <v>0</v>
      </c>
      <c r="S160" s="9">
        <f>IF(15&lt;=核心参数输入!$B$9*4,IF(AND(核心参数输入!$B$57&gt;0,15=季度投融资!$E$29),S153,0),0)</f>
        <v>0</v>
      </c>
      <c r="T160" s="9">
        <f>IF(16&lt;=核心参数输入!$B$9*4,IF(AND(核心参数输入!$B$57&gt;0,16=季度投融资!$E$29),T153,0),0)</f>
        <v>0</v>
      </c>
      <c r="U160" s="9">
        <f>IF(17&lt;=核心参数输入!$B$9*4,IF(AND(核心参数输入!$B$57&gt;0,17=季度投融资!$E$29),U153,0),0)</f>
        <v>0</v>
      </c>
      <c r="V160" s="9">
        <f>IF(18&lt;=核心参数输入!$B$9*4,IF(AND(核心参数输入!$B$57&gt;0,18=季度投融资!$E$29),V153,0),0)</f>
        <v>0</v>
      </c>
      <c r="W160" s="9">
        <f>IF(19&lt;=核心参数输入!$B$9*4,IF(AND(核心参数输入!$B$57&gt;0,19=季度投融资!$E$29),W153,0),0)</f>
        <v>0</v>
      </c>
      <c r="X160" s="9">
        <f>IF(20&lt;=核心参数输入!$B$9*4,IF(AND(核心参数输入!$B$57&gt;0,20=季度投融资!$E$29),X153,0),0)</f>
        <v>0</v>
      </c>
      <c r="Y160" s="9">
        <f>IF(21&lt;=核心参数输入!$B$9*4,IF(AND(核心参数输入!$B$57&gt;0,21=季度投融资!$E$29),Y153,0),0)</f>
        <v>0</v>
      </c>
      <c r="Z160" s="9">
        <f>IF(22&lt;=核心参数输入!$B$9*4,IF(AND(核心参数输入!$B$57&gt;0,22=季度投融资!$E$29),Z153,0),0)</f>
        <v>0</v>
      </c>
      <c r="AA160" s="9">
        <f>IF(23&lt;=核心参数输入!$B$9*4,IF(AND(核心参数输入!$B$57&gt;0,23=季度投融资!$E$29),AA153,0),0)</f>
        <v>0</v>
      </c>
      <c r="AB160" s="9">
        <f>IF(24&lt;=核心参数输入!$B$9*4,IF(AND(核心参数输入!$B$57&gt;0,24=季度投融资!$E$29),AB153,0),0)</f>
        <v>0</v>
      </c>
      <c r="AC160" s="9">
        <f>IF(25&lt;=核心参数输入!$B$9*4,IF(AND(核心参数输入!$B$57&gt;0,25=季度投融资!$E$29),AC153,0),0)</f>
        <v>0</v>
      </c>
      <c r="AD160" s="9">
        <f>IF(26&lt;=核心参数输入!$B$9*4,IF(AND(核心参数输入!$B$57&gt;0,26=季度投融资!$E$29),AD153,0),0)</f>
        <v>0</v>
      </c>
      <c r="AE160" s="9">
        <f>IF(27&lt;=核心参数输入!$B$9*4,IF(AND(核心参数输入!$B$57&gt;0,27=季度投融资!$E$29),AE153,0),0)</f>
        <v>0</v>
      </c>
      <c r="AF160" s="9">
        <f>IF(28&lt;=核心参数输入!$B$9*4,IF(AND(核心参数输入!$B$57&gt;0,28=季度投融资!$E$29),AF153,0),0)</f>
        <v>0</v>
      </c>
      <c r="AG160" s="9">
        <f>IF(29&lt;=核心参数输入!$B$9*4,IF(AND(核心参数输入!$B$57&gt;0,29=季度投融资!$E$29),AG153,0),0)</f>
        <v>0</v>
      </c>
      <c r="AH160" s="9">
        <f>IF(30&lt;=核心参数输入!$B$9*4,IF(AND(核心参数输入!$B$57&gt;0,30=季度投融资!$E$29),AH153,0),0)</f>
        <v>0</v>
      </c>
      <c r="AI160" s="9">
        <f>IF(31&lt;=核心参数输入!$B$9*4,IF(AND(核心参数输入!$B$57&gt;0,31=季度投融资!$E$29),AI153,0),0)</f>
        <v>0</v>
      </c>
      <c r="AJ160" s="9">
        <f>IF(32&lt;=核心参数输入!$B$9*4,IF(AND(核心参数输入!$B$57&gt;0,32=季度投融资!$E$29),AJ153,0),0)</f>
        <v>0</v>
      </c>
      <c r="AK160" s="9">
        <f>IF(33&lt;=核心参数输入!$B$9*4,IF(AND(核心参数输入!$B$57&gt;0,33=季度投融资!$E$29),AK153,0),0)</f>
        <v>0</v>
      </c>
      <c r="AL160" s="9">
        <f>IF(34&lt;=核心参数输入!$B$9*4,IF(AND(核心参数输入!$B$57&gt;0,34=季度投融资!$E$29),AL153,0),0)</f>
        <v>0</v>
      </c>
      <c r="AM160" s="9">
        <f>IF(35&lt;=核心参数输入!$B$9*4,IF(AND(核心参数输入!$B$57&gt;0,35=季度投融资!$E$29),AM153,0),0)</f>
        <v>0</v>
      </c>
      <c r="AN160" s="9">
        <f>IF(36&lt;=核心参数输入!$B$9*4,IF(AND(核心参数输入!$B$57&gt;0,36=季度投融资!$E$29),AN153,0),0)</f>
        <v>0</v>
      </c>
      <c r="AO160" s="9">
        <f>IF(37&lt;=核心参数输入!$B$9*4,IF(AND(核心参数输入!$B$57&gt;0,37=季度投融资!$E$29),AO153,0),0)</f>
        <v>0</v>
      </c>
      <c r="AP160" s="9">
        <f>IF(38&lt;=核心参数输入!$B$9*4,IF(AND(核心参数输入!$B$57&gt;0,38=季度投融资!$E$29),AP153,0),0)</f>
        <v>0</v>
      </c>
      <c r="AQ160" s="9">
        <f>IF(39&lt;=核心参数输入!$B$9*4,IF(AND(核心参数输入!$B$57&gt;0,39=季度投融资!$E$29),AQ153,0),0)</f>
        <v>0</v>
      </c>
      <c r="AR160" s="9">
        <f>IF(40&lt;=核心参数输入!$B$9*4,IF(AND(核心参数输入!$B$57&gt;0,40=季度投融资!$E$29),AR153,0),0)</f>
        <v>0</v>
      </c>
      <c r="AS160" s="9">
        <f>IF(41&lt;=核心参数输入!$B$9*4,IF(AND(核心参数输入!$B$57&gt;0,41=季度投融资!$E$29),AS153,0),0)</f>
        <v>0</v>
      </c>
      <c r="AT160" s="9">
        <f>IF(42&lt;=核心参数输入!$B$9*4,IF(AND(核心参数输入!$B$57&gt;0,42=季度投融资!$E$29),AT153,0),0)</f>
        <v>0</v>
      </c>
      <c r="AU160" s="9">
        <f>IF(43&lt;=核心参数输入!$B$9*4,IF(AND(核心参数输入!$B$57&gt;0,43=季度投融资!$E$29),AU153,0),0)</f>
        <v>0</v>
      </c>
      <c r="AV160" s="9">
        <f>IF(44&lt;=核心参数输入!$B$9*4,IF(AND(核心参数输入!$B$57&gt;0,44=季度投融资!$E$29),AV153,0),0)</f>
        <v>0</v>
      </c>
      <c r="AW160" s="9">
        <f>IF(45&lt;=核心参数输入!$B$9*4,IF(AND(核心参数输入!$B$57&gt;0,45=季度投融资!$E$29),AW153,0),0)</f>
        <v>0</v>
      </c>
      <c r="AX160" s="9">
        <f>IF(46&lt;=核心参数输入!$B$9*4,IF(AND(核心参数输入!$B$57&gt;0,46=季度投融资!$E$29),AX153,0),0)</f>
        <v>0</v>
      </c>
      <c r="AY160" s="9">
        <f>IF(47&lt;=核心参数输入!$B$9*4,IF(AND(核心参数输入!$B$57&gt;0,47=季度投融资!$E$29),AY153,0),0)</f>
        <v>0</v>
      </c>
      <c r="AZ160" s="9">
        <f>IF(48&lt;=核心参数输入!$B$9*4,IF(AND(核心参数输入!$B$57&gt;0,48=季度投融资!$E$29),AZ153,0),0)</f>
        <v>0</v>
      </c>
      <c r="BA160" s="9">
        <f>IF(49&lt;=核心参数输入!$B$9*4,IF(AND(核心参数输入!$B$57&gt;0,49=季度投融资!$E$29),BA153,0),0)</f>
        <v>0</v>
      </c>
      <c r="BB160" s="9">
        <f>IF(50&lt;=核心参数输入!$B$9*4,IF(AND(核心参数输入!$B$57&gt;0,50=季度投融资!$E$29),BB153,0),0)</f>
        <v>0</v>
      </c>
      <c r="BC160" s="9">
        <f>IF(51&lt;=核心参数输入!$B$9*4,IF(AND(核心参数输入!$B$57&gt;0,51=季度投融资!$E$29),BC153,0),0)</f>
        <v>0</v>
      </c>
      <c r="BD160" s="9">
        <f>IF(52&lt;=核心参数输入!$B$9*4,IF(AND(核心参数输入!$B$57&gt;0,52=季度投融资!$E$29),BD153,0),0)</f>
        <v>0</v>
      </c>
      <c r="BE160" s="9">
        <f>IF(53&lt;=核心参数输入!$B$9*4,IF(AND(核心参数输入!$B$57&gt;0,53=季度投融资!$E$29),BE153,0),0)</f>
        <v>0</v>
      </c>
      <c r="BF160" s="9">
        <f>IF(54&lt;=核心参数输入!$B$9*4,IF(AND(核心参数输入!$B$57&gt;0,54=季度投融资!$E$29),BF153,0),0)</f>
        <v>0</v>
      </c>
      <c r="BG160" s="9">
        <f>IF(55&lt;=核心参数输入!$B$9*4,IF(AND(核心参数输入!$B$57&gt;0,55=季度投融资!$E$29),BG153,0),0)</f>
        <v>0</v>
      </c>
      <c r="BH160" s="9">
        <f>IF(56&lt;=核心参数输入!$B$9*4,IF(AND(核心参数输入!$B$57&gt;0,56=季度投融资!$E$29),BH153,0),0)</f>
        <v>0</v>
      </c>
      <c r="BI160" s="9">
        <f>IF(57&lt;=核心参数输入!$B$9*4,IF(AND(核心参数输入!$B$57&gt;0,57=季度投融资!$E$29),BI153,0),0)</f>
        <v>0</v>
      </c>
      <c r="BJ160" s="9">
        <f>IF(58&lt;=核心参数输入!$B$9*4,IF(AND(核心参数输入!$B$57&gt;0,58=季度投融资!$E$29),BJ153,0),0)</f>
        <v>0</v>
      </c>
      <c r="BK160" s="9">
        <f>IF(59&lt;=核心参数输入!$B$9*4,IF(AND(核心参数输入!$B$57&gt;0,59=季度投融资!$E$29),BK153,0),0)</f>
        <v>0</v>
      </c>
      <c r="BL160" s="9">
        <f>IF(60&lt;=核心参数输入!$B$9*4,IF(AND(核心参数输入!$B$57&gt;0,60=季度投融资!$E$29),BL153,0),0)</f>
        <v>0</v>
      </c>
      <c r="BM160" s="9">
        <f>IF(61&lt;=核心参数输入!$B$9*4,IF(AND(核心参数输入!$B$57&gt;0,61=季度投融资!$E$29),BM153,0),0)</f>
        <v>0</v>
      </c>
      <c r="BN160" s="9">
        <f>IF(62&lt;=核心参数输入!$B$9*4,IF(AND(核心参数输入!$B$57&gt;0,62=季度投融资!$E$29),BN153,0),0)</f>
        <v>0</v>
      </c>
      <c r="BO160" s="9">
        <f>IF(63&lt;=核心参数输入!$B$9*4,IF(AND(核心参数输入!$B$57&gt;0,63=季度投融资!$E$29),BO153,0),0)</f>
        <v>0</v>
      </c>
      <c r="BP160" s="9">
        <f>IF(64&lt;=核心参数输入!$B$9*4,IF(AND(核心参数输入!$B$57&gt;0,64=季度投融资!$E$29),BP153,0),0)</f>
        <v>0</v>
      </c>
      <c r="BQ160" s="9">
        <f>IF(65&lt;=核心参数输入!$B$9*4,IF(AND(核心参数输入!$B$57&gt;0,65=季度投融资!$E$29),BQ153,0),0)</f>
        <v>0</v>
      </c>
      <c r="BR160" s="9">
        <f>IF(66&lt;=核心参数输入!$B$9*4,IF(AND(核心参数输入!$B$57&gt;0,66=季度投融资!$E$29),BR153,0),0)</f>
        <v>0</v>
      </c>
      <c r="BS160" s="9">
        <f>IF(67&lt;=核心参数输入!$B$9*4,IF(AND(核心参数输入!$B$57&gt;0,67=季度投融资!$E$29),BS153,0),0)</f>
        <v>0</v>
      </c>
      <c r="BT160" s="9">
        <f>IF(68&lt;=核心参数输入!$B$9*4,IF(AND(核心参数输入!$B$57&gt;0,68=季度投融资!$E$29),BT153,0),0)</f>
        <v>0</v>
      </c>
      <c r="BU160" s="9">
        <f>IF(69&lt;=核心参数输入!$B$9*4,IF(AND(核心参数输入!$B$57&gt;0,69=季度投融资!$E$29),BU153,0),0)</f>
        <v>0</v>
      </c>
      <c r="BV160" s="9">
        <f>IF(70&lt;=核心参数输入!$B$9*4,IF(AND(核心参数输入!$B$57&gt;0,70=季度投融资!$E$29),BV153,0),0)</f>
        <v>0</v>
      </c>
      <c r="BW160" s="9">
        <f>IF(71&lt;=核心参数输入!$B$9*4,IF(AND(核心参数输入!$B$57&gt;0,71=季度投融资!$E$29),BW153,0),0)</f>
        <v>0</v>
      </c>
      <c r="BX160" s="9">
        <f>IF(72&lt;=核心参数输入!$B$9*4,IF(AND(核心参数输入!$B$57&gt;0,72=季度投融资!$E$29),BX153,0),0)</f>
        <v>0</v>
      </c>
      <c r="BY160" s="9">
        <f>IF(73&lt;=核心参数输入!$B$9*4,IF(AND(核心参数输入!$B$57&gt;0,73=季度投融资!$E$29),BY153,0),0)</f>
        <v>0</v>
      </c>
      <c r="BZ160" s="9">
        <f>IF(74&lt;=核心参数输入!$B$9*4,IF(AND(核心参数输入!$B$57&gt;0,74=季度投融资!$E$29),BZ153,0),0)</f>
        <v>0</v>
      </c>
      <c r="CA160" s="9">
        <f>IF(75&lt;=核心参数输入!$B$9*4,IF(AND(核心参数输入!$B$57&gt;0,75=季度投融资!$E$29),CA153,0),0)</f>
        <v>0</v>
      </c>
      <c r="CB160" s="9">
        <f>IF(76&lt;=核心参数输入!$B$9*4,IF(AND(核心参数输入!$B$57&gt;0,76=季度投融资!$E$29),CB153,0),0)</f>
        <v>0</v>
      </c>
      <c r="CC160" s="9">
        <f>IF(77&lt;=核心参数输入!$B$9*4,IF(AND(核心参数输入!$B$57&gt;0,77=季度投融资!$E$29),CC153,0),0)</f>
        <v>0</v>
      </c>
      <c r="CD160" s="9">
        <f>IF(78&lt;=核心参数输入!$B$9*4,IF(AND(核心参数输入!$B$57&gt;0,78=季度投融资!$E$29),CD153,0),0)</f>
        <v>0</v>
      </c>
      <c r="CE160" s="9">
        <f>IF(79&lt;=核心参数输入!$B$9*4,IF(AND(核心参数输入!$B$57&gt;0,79=季度投融资!$E$29),CE153,0),0)</f>
        <v>0</v>
      </c>
      <c r="CF160" s="9">
        <f>IF(80&lt;=核心参数输入!$B$9*4,IF(AND(核心参数输入!$B$57&gt;0,80=季度投融资!$E$29),CF153,0),0)</f>
        <v>0</v>
      </c>
      <c r="CG160" s="9">
        <f>IF(81&lt;=核心参数输入!$B$9*4,IF(AND(核心参数输入!$B$57&gt;0,81=季度投融资!$E$29),CG153,0),0)</f>
        <v>0</v>
      </c>
      <c r="CH160" s="9">
        <f>IF(82&lt;=核心参数输入!$B$9*4,IF(AND(核心参数输入!$B$57&gt;0,82=季度投融资!$E$29),CH153,0),0)</f>
        <v>0</v>
      </c>
      <c r="CI160" s="9">
        <f>IF(83&lt;=核心参数输入!$B$9*4,IF(AND(核心参数输入!$B$57&gt;0,83=季度投融资!$E$29),CI153,0),0)</f>
        <v>0</v>
      </c>
      <c r="CJ160" s="9">
        <f>IF(84&lt;=核心参数输入!$B$9*4,IF(AND(核心参数输入!$B$57&gt;0,84=季度投融资!$E$29),CJ153,0),0)</f>
        <v>0</v>
      </c>
      <c r="CK160" s="9">
        <f>IF(85&lt;=核心参数输入!$B$9*4,IF(AND(核心参数输入!$B$57&gt;0,85=季度投融资!$E$29),CK153,0),0)</f>
        <v>0</v>
      </c>
      <c r="CL160" s="9">
        <f>IF(86&lt;=核心参数输入!$B$9*4,IF(AND(核心参数输入!$B$57&gt;0,86=季度投融资!$E$29),CL153,0),0)</f>
        <v>0</v>
      </c>
      <c r="CM160" s="9">
        <f>IF(87&lt;=核心参数输入!$B$9*4,IF(AND(核心参数输入!$B$57&gt;0,87=季度投融资!$E$29),CM153,0),0)</f>
        <v>0</v>
      </c>
      <c r="CN160" s="9">
        <f>IF(88&lt;=核心参数输入!$B$9*4,IF(AND(核心参数输入!$B$57&gt;0,88=季度投融资!$E$29),CN153,0),0)</f>
        <v>0</v>
      </c>
      <c r="CO160" s="9">
        <f>IF(89&lt;=核心参数输入!$B$9*4,IF(AND(核心参数输入!$B$57&gt;0,89=季度投融资!$E$29),CO153,0),0)</f>
        <v>0</v>
      </c>
      <c r="CP160" s="9">
        <f>IF(90&lt;=核心参数输入!$B$9*4,IF(AND(核心参数输入!$B$57&gt;0,90=季度投融资!$E$29),CP153,0),0)</f>
        <v>0</v>
      </c>
      <c r="CQ160" s="9">
        <f>IF(91&lt;=核心参数输入!$B$9*4,IF(AND(核心参数输入!$B$57&gt;0,91=季度投融资!$E$29),CQ153,0),0)</f>
        <v>0</v>
      </c>
      <c r="CR160" s="9">
        <f>IF(92&lt;=核心参数输入!$B$9*4,IF(AND(核心参数输入!$B$57&gt;0,92=季度投融资!$E$29),CR153,0),0)</f>
        <v>0</v>
      </c>
      <c r="CS160" s="9">
        <f>IF(93&lt;=核心参数输入!$B$9*4,IF(AND(核心参数输入!$B$57&gt;0,93=季度投融资!$E$29),CS153,0),0)</f>
        <v>0</v>
      </c>
      <c r="CT160" s="9">
        <f>IF(94&lt;=核心参数输入!$B$9*4,IF(AND(核心参数输入!$B$57&gt;0,94=季度投融资!$E$29),CT153,0),0)</f>
        <v>0</v>
      </c>
      <c r="CU160" s="9">
        <f>IF(95&lt;=核心参数输入!$B$9*4,IF(AND(核心参数输入!$B$57&gt;0,95=季度投融资!$E$29),CU153,0),0)</f>
        <v>0</v>
      </c>
      <c r="CV160" s="9">
        <f>IF(96&lt;=核心参数输入!$B$9*4,IF(AND(核心参数输入!$B$57&gt;0,96=季度投融资!$E$29),CV153,0),0)</f>
        <v>0</v>
      </c>
      <c r="CW160" s="9">
        <f>IF(97&lt;=核心参数输入!$B$9*4,IF(AND(核心参数输入!$B$57&gt;0,97=季度投融资!$E$29),CW153,0),0)</f>
        <v>0</v>
      </c>
      <c r="CX160" s="9">
        <f>IF(98&lt;=核心参数输入!$B$9*4,IF(AND(核心参数输入!$B$57&gt;0,98=季度投融资!$E$29),CX153,0),0)</f>
        <v>0</v>
      </c>
      <c r="CY160" s="9">
        <f>IF(99&lt;=核心参数输入!$B$9*4,IF(AND(核心参数输入!$B$57&gt;0,99=季度投融资!$E$29),CY153,0),0)</f>
        <v>0</v>
      </c>
      <c r="CZ160" s="9">
        <f>IF(100&lt;=核心参数输入!$B$9*4,IF(AND(核心参数输入!$B$57&gt;0,100=季度投融资!$E$29),CZ153,0),0)</f>
        <v>0</v>
      </c>
      <c r="DA160" s="9">
        <f>IF(101&lt;=核心参数输入!$B$9*4,IF(AND(核心参数输入!$B$57&gt;0,101=季度投融资!$E$29),DA153,0),0)</f>
        <v>0</v>
      </c>
      <c r="DB160" s="9">
        <f>IF(102&lt;=核心参数输入!$B$9*4,IF(AND(核心参数输入!$B$57&gt;0,102=季度投融资!$E$29),DB153,0),0)</f>
        <v>0</v>
      </c>
      <c r="DC160" s="9">
        <f>IF(103&lt;=核心参数输入!$B$9*4,IF(AND(核心参数输入!$B$57&gt;0,103=季度投融资!$E$29),DC153,0),0)</f>
        <v>0</v>
      </c>
      <c r="DD160" s="9">
        <f>IF(104&lt;=核心参数输入!$B$9*4,IF(AND(核心参数输入!$B$57&gt;0,104=季度投融资!$E$29),DD153,0),0)</f>
        <v>0</v>
      </c>
      <c r="DE160" s="9">
        <f>IF(105&lt;=核心参数输入!$B$9*4,IF(AND(核心参数输入!$B$57&gt;0,105=季度投融资!$E$29),DE153,0),0)</f>
        <v>0</v>
      </c>
      <c r="DF160" s="9">
        <f>IF(106&lt;=核心参数输入!$B$9*4,IF(AND(核心参数输入!$B$57&gt;0,106=季度投融资!$E$29),DF153,0),0)</f>
        <v>0</v>
      </c>
      <c r="DG160" s="9">
        <f>IF(107&lt;=核心参数输入!$B$9*4,IF(AND(核心参数输入!$B$57&gt;0,107=季度投融资!$E$29),DG153,0),0)</f>
        <v>0</v>
      </c>
      <c r="DH160" s="9">
        <f>IF(108&lt;=核心参数输入!$B$9*4,IF(AND(核心参数输入!$B$57&gt;0,108=季度投融资!$E$29),DH153,0),0)</f>
        <v>0</v>
      </c>
      <c r="DI160" s="9">
        <f>IF(109&lt;=核心参数输入!$B$9*4,IF(AND(核心参数输入!$B$57&gt;0,109=季度投融资!$E$29),DI153,0),0)</f>
        <v>0</v>
      </c>
      <c r="DJ160" s="9">
        <f>IF(110&lt;=核心参数输入!$B$9*4,IF(AND(核心参数输入!$B$57&gt;0,110=季度投融资!$E$29),DJ153,0),0)</f>
        <v>0</v>
      </c>
      <c r="DK160" s="9">
        <f>IF(111&lt;=核心参数输入!$B$9*4,IF(AND(核心参数输入!$B$57&gt;0,111=季度投融资!$E$29),DK153,0),0)</f>
        <v>0</v>
      </c>
      <c r="DL160" s="9">
        <f>IF(112&lt;=核心参数输入!$B$9*4,IF(AND(核心参数输入!$B$57&gt;0,112=季度投融资!$E$29),DL153,0),0)</f>
        <v>0</v>
      </c>
      <c r="DM160" s="9">
        <f>IF(113&lt;=核心参数输入!$B$9*4,IF(AND(核心参数输入!$B$57&gt;0,113=季度投融资!$E$29),DM153,0),0)</f>
        <v>0</v>
      </c>
      <c r="DN160" s="9">
        <f>IF(114&lt;=核心参数输入!$B$9*4,IF(AND(核心参数输入!$B$57&gt;0,114=季度投融资!$E$29),DN153,0),0)</f>
        <v>0</v>
      </c>
      <c r="DO160" s="9">
        <f>IF(115&lt;=核心参数输入!$B$9*4,IF(AND(核心参数输入!$B$57&gt;0,115=季度投融资!$E$29),DO153,0),0)</f>
        <v>0</v>
      </c>
      <c r="DP160" s="9">
        <f>IF(116&lt;=核心参数输入!$B$9*4,IF(AND(核心参数输入!$B$57&gt;0,116=季度投融资!$E$29),DP153,0),0)</f>
        <v>0</v>
      </c>
      <c r="DQ160" s="9">
        <f>IF(117&lt;=核心参数输入!$B$9*4,IF(AND(核心参数输入!$B$57&gt;0,117=季度投融资!$E$29),DQ153,0),0)</f>
        <v>0</v>
      </c>
      <c r="DR160" s="9">
        <f>IF(118&lt;=核心参数输入!$B$9*4,IF(AND(核心参数输入!$B$57&gt;0,118=季度投融资!$E$29),DR153,0),0)</f>
        <v>0</v>
      </c>
      <c r="DS160" s="9">
        <f>IF(119&lt;=核心参数输入!$B$9*4,IF(AND(核心参数输入!$B$57&gt;0,119=季度投融资!$E$29),DS153,0),0)</f>
        <v>0</v>
      </c>
      <c r="DT160" s="9">
        <f>IF(120&lt;=核心参数输入!$B$9*4,IF(AND(核心参数输入!$B$57&gt;0,120=季度投融资!$E$29),DT153,0),0)</f>
        <v>0</v>
      </c>
    </row>
    <row r="161" spans="1:124" ht="21" customHeight="1">
      <c r="A161" s="8" t="s">
        <v>441</v>
      </c>
      <c r="B161" s="8" t="s">
        <v>39</v>
      </c>
      <c r="C161" s="8"/>
      <c r="D161" s="9">
        <f>IF(0&lt;=核心参数输入!$B$9*4,SUM(D146:D148),0)</f>
        <v>8000</v>
      </c>
      <c r="E161" s="9">
        <f>IF(1&lt;=核心参数输入!$B$9*4,SUM(E146:E148),0)</f>
        <v>4365.8999999999996</v>
      </c>
      <c r="F161" s="9">
        <f>IF(2&lt;=核心参数输入!$B$9*4,SUM(F146:F148),0)</f>
        <v>4365.8999999999996</v>
      </c>
      <c r="G161" s="9">
        <f>IF(3&lt;=核心参数输入!$B$9*4,SUM(G146:G148),0)</f>
        <v>4365.8999999999996</v>
      </c>
      <c r="H161" s="9">
        <f>IF(4&lt;=核心参数输入!$B$9*4,SUM(H146:H148),0)</f>
        <v>4365.8999999999996</v>
      </c>
      <c r="I161" s="9">
        <f>IF(5&lt;=核心参数输入!$B$9*4,SUM(I146:I148),0)</f>
        <v>5821.2000000000007</v>
      </c>
      <c r="J161" s="9">
        <f>IF(6&lt;=核心参数输入!$B$9*4,SUM(J146:J148),0)</f>
        <v>5821.2000000000007</v>
      </c>
      <c r="K161" s="9">
        <f>IF(7&lt;=核心参数输入!$B$9*4,SUM(K146:K148),0)</f>
        <v>5821.2000000000007</v>
      </c>
      <c r="L161" s="9">
        <f>IF(8&lt;=核心参数输入!$B$9*4,SUM(L146:L148),0)</f>
        <v>5821.2000000000007</v>
      </c>
      <c r="M161" s="9">
        <f>IF(9&lt;=核心参数输入!$B$9*4,SUM(M146:M148),0)</f>
        <v>4365.8999999999996</v>
      </c>
      <c r="N161" s="9">
        <f>IF(10&lt;=核心参数输入!$B$9*4,SUM(N146:N148),0)</f>
        <v>4365.8999999999996</v>
      </c>
      <c r="O161" s="9">
        <f>IF(11&lt;=核心参数输入!$B$9*4,SUM(O146:O148),0)</f>
        <v>4365.8999999999996</v>
      </c>
      <c r="P161" s="9">
        <f>IF(12&lt;=核心参数输入!$B$9*4,SUM(P146:P148),0)</f>
        <v>4365.8999999999996</v>
      </c>
      <c r="Q161" s="9">
        <f>IF(13&lt;=核心参数输入!$B$9*4,SUM(Q146:Q148),0)</f>
        <v>500</v>
      </c>
      <c r="R161" s="9">
        <f>IF(14&lt;=核心参数输入!$B$9*4,SUM(R146:R148),0)</f>
        <v>0</v>
      </c>
      <c r="S161" s="9">
        <f>IF(15&lt;=核心参数输入!$B$9*4,SUM(S146:S148),0)</f>
        <v>0</v>
      </c>
      <c r="T161" s="9">
        <f>IF(16&lt;=核心参数输入!$B$9*4,SUM(T146:T148),0)</f>
        <v>0</v>
      </c>
      <c r="U161" s="9">
        <f>IF(17&lt;=核心参数输入!$B$9*4,SUM(U146:U148),0)</f>
        <v>0</v>
      </c>
      <c r="V161" s="9">
        <f>IF(18&lt;=核心参数输入!$B$9*4,SUM(V146:V148),0)</f>
        <v>0</v>
      </c>
      <c r="W161" s="9">
        <f>IF(19&lt;=核心参数输入!$B$9*4,SUM(W146:W148),0)</f>
        <v>0</v>
      </c>
      <c r="X161" s="9">
        <f>IF(20&lt;=核心参数输入!$B$9*4,SUM(X146:X148),0)</f>
        <v>0</v>
      </c>
      <c r="Y161" s="9">
        <f>IF(21&lt;=核心参数输入!$B$9*4,SUM(Y146:Y148),0)</f>
        <v>0</v>
      </c>
      <c r="Z161" s="9">
        <f>IF(22&lt;=核心参数输入!$B$9*4,SUM(Z146:Z148),0)</f>
        <v>0</v>
      </c>
      <c r="AA161" s="9">
        <f>IF(23&lt;=核心参数输入!$B$9*4,SUM(AA146:AA148),0)</f>
        <v>0</v>
      </c>
      <c r="AB161" s="9">
        <f>IF(24&lt;=核心参数输入!$B$9*4,SUM(AB146:AB148),0)</f>
        <v>0</v>
      </c>
      <c r="AC161" s="9">
        <f>IF(25&lt;=核心参数输入!$B$9*4,SUM(AC146:AC148),0)</f>
        <v>0</v>
      </c>
      <c r="AD161" s="9">
        <f>IF(26&lt;=核心参数输入!$B$9*4,SUM(AD146:AD148),0)</f>
        <v>0</v>
      </c>
      <c r="AE161" s="9">
        <f>IF(27&lt;=核心参数输入!$B$9*4,SUM(AE146:AE148),0)</f>
        <v>0</v>
      </c>
      <c r="AF161" s="9">
        <f>IF(28&lt;=核心参数输入!$B$9*4,SUM(AF146:AF148),0)</f>
        <v>0</v>
      </c>
      <c r="AG161" s="9">
        <f>IF(29&lt;=核心参数输入!$B$9*4,SUM(AG146:AG148),0)</f>
        <v>0</v>
      </c>
      <c r="AH161" s="9">
        <f>IF(30&lt;=核心参数输入!$B$9*4,SUM(AH146:AH148),0)</f>
        <v>0</v>
      </c>
      <c r="AI161" s="9">
        <f>IF(31&lt;=核心参数输入!$B$9*4,SUM(AI146:AI148),0)</f>
        <v>0</v>
      </c>
      <c r="AJ161" s="9">
        <f>IF(32&lt;=核心参数输入!$B$9*4,SUM(AJ146:AJ148),0)</f>
        <v>0</v>
      </c>
      <c r="AK161" s="9">
        <f>IF(33&lt;=核心参数输入!$B$9*4,SUM(AK146:AK148),0)</f>
        <v>0</v>
      </c>
      <c r="AL161" s="9">
        <f>IF(34&lt;=核心参数输入!$B$9*4,SUM(AL146:AL148),0)</f>
        <v>0</v>
      </c>
      <c r="AM161" s="9">
        <f>IF(35&lt;=核心参数输入!$B$9*4,SUM(AM146:AM148),0)</f>
        <v>0</v>
      </c>
      <c r="AN161" s="9">
        <f>IF(36&lt;=核心参数输入!$B$9*4,SUM(AN146:AN148),0)</f>
        <v>0</v>
      </c>
      <c r="AO161" s="9">
        <f>IF(37&lt;=核心参数输入!$B$9*4,SUM(AO146:AO148),0)</f>
        <v>0</v>
      </c>
      <c r="AP161" s="9">
        <f>IF(38&lt;=核心参数输入!$B$9*4,SUM(AP146:AP148),0)</f>
        <v>0</v>
      </c>
      <c r="AQ161" s="9">
        <f>IF(39&lt;=核心参数输入!$B$9*4,SUM(AQ146:AQ148),0)</f>
        <v>0</v>
      </c>
      <c r="AR161" s="9">
        <f>IF(40&lt;=核心参数输入!$B$9*4,SUM(AR146:AR148),0)</f>
        <v>0</v>
      </c>
      <c r="AS161" s="9">
        <f>IF(41&lt;=核心参数输入!$B$9*4,SUM(AS146:AS148),0)</f>
        <v>0</v>
      </c>
      <c r="AT161" s="9">
        <f>IF(42&lt;=核心参数输入!$B$9*4,SUM(AT146:AT148),0)</f>
        <v>0</v>
      </c>
      <c r="AU161" s="9">
        <f>IF(43&lt;=核心参数输入!$B$9*4,SUM(AU146:AU148),0)</f>
        <v>0</v>
      </c>
      <c r="AV161" s="9">
        <f>IF(44&lt;=核心参数输入!$B$9*4,SUM(AV146:AV148),0)</f>
        <v>0</v>
      </c>
      <c r="AW161" s="9">
        <f>IF(45&lt;=核心参数输入!$B$9*4,SUM(AW146:AW148),0)</f>
        <v>0</v>
      </c>
      <c r="AX161" s="9">
        <f>IF(46&lt;=核心参数输入!$B$9*4,SUM(AX146:AX148),0)</f>
        <v>0</v>
      </c>
      <c r="AY161" s="9">
        <f>IF(47&lt;=核心参数输入!$B$9*4,SUM(AY146:AY148),0)</f>
        <v>0</v>
      </c>
      <c r="AZ161" s="9">
        <f>IF(48&lt;=核心参数输入!$B$9*4,SUM(AZ146:AZ148),0)</f>
        <v>0</v>
      </c>
      <c r="BA161" s="9">
        <f>IF(49&lt;=核心参数输入!$B$9*4,SUM(BA146:BA148),0)</f>
        <v>0</v>
      </c>
      <c r="BB161" s="9">
        <f>IF(50&lt;=核心参数输入!$B$9*4,SUM(BB146:BB148),0)</f>
        <v>0</v>
      </c>
      <c r="BC161" s="9">
        <f>IF(51&lt;=核心参数输入!$B$9*4,SUM(BC146:BC148),0)</f>
        <v>0</v>
      </c>
      <c r="BD161" s="9">
        <f>IF(52&lt;=核心参数输入!$B$9*4,SUM(BD146:BD148),0)</f>
        <v>0</v>
      </c>
      <c r="BE161" s="9">
        <f>IF(53&lt;=核心参数输入!$B$9*4,SUM(BE146:BE148),0)</f>
        <v>0</v>
      </c>
      <c r="BF161" s="9">
        <f>IF(54&lt;=核心参数输入!$B$9*4,SUM(BF146:BF148),0)</f>
        <v>0</v>
      </c>
      <c r="BG161" s="9">
        <f>IF(55&lt;=核心参数输入!$B$9*4,SUM(BG146:BG148),0)</f>
        <v>0</v>
      </c>
      <c r="BH161" s="9">
        <f>IF(56&lt;=核心参数输入!$B$9*4,SUM(BH146:BH148),0)</f>
        <v>0</v>
      </c>
      <c r="BI161" s="9">
        <f>IF(57&lt;=核心参数输入!$B$9*4,SUM(BI146:BI148),0)</f>
        <v>0</v>
      </c>
      <c r="BJ161" s="9">
        <f>IF(58&lt;=核心参数输入!$B$9*4,SUM(BJ146:BJ148),0)</f>
        <v>0</v>
      </c>
      <c r="BK161" s="9">
        <f>IF(59&lt;=核心参数输入!$B$9*4,SUM(BK146:BK148),0)</f>
        <v>0</v>
      </c>
      <c r="BL161" s="9">
        <f>IF(60&lt;=核心参数输入!$B$9*4,SUM(BL146:BL148),0)</f>
        <v>0</v>
      </c>
      <c r="BM161" s="9">
        <f>IF(61&lt;=核心参数输入!$B$9*4,SUM(BM146:BM148),0)</f>
        <v>0</v>
      </c>
      <c r="BN161" s="9">
        <f>IF(62&lt;=核心参数输入!$B$9*4,SUM(BN146:BN148),0)</f>
        <v>0</v>
      </c>
      <c r="BO161" s="9">
        <f>IF(63&lt;=核心参数输入!$B$9*4,SUM(BO146:BO148),0)</f>
        <v>0</v>
      </c>
      <c r="BP161" s="9">
        <f>IF(64&lt;=核心参数输入!$B$9*4,SUM(BP146:BP148),0)</f>
        <v>0</v>
      </c>
      <c r="BQ161" s="9">
        <f>IF(65&lt;=核心参数输入!$B$9*4,SUM(BQ146:BQ148),0)</f>
        <v>0</v>
      </c>
      <c r="BR161" s="9">
        <f>IF(66&lt;=核心参数输入!$B$9*4,SUM(BR146:BR148),0)</f>
        <v>0</v>
      </c>
      <c r="BS161" s="9">
        <f>IF(67&lt;=核心参数输入!$B$9*4,SUM(BS146:BS148),0)</f>
        <v>0</v>
      </c>
      <c r="BT161" s="9">
        <f>IF(68&lt;=核心参数输入!$B$9*4,SUM(BT146:BT148),0)</f>
        <v>0</v>
      </c>
      <c r="BU161" s="9">
        <f>IF(69&lt;=核心参数输入!$B$9*4,SUM(BU146:BU148),0)</f>
        <v>0</v>
      </c>
      <c r="BV161" s="9">
        <f>IF(70&lt;=核心参数输入!$B$9*4,SUM(BV146:BV148),0)</f>
        <v>0</v>
      </c>
      <c r="BW161" s="9">
        <f>IF(71&lt;=核心参数输入!$B$9*4,SUM(BW146:BW148),0)</f>
        <v>0</v>
      </c>
      <c r="BX161" s="9">
        <f>IF(72&lt;=核心参数输入!$B$9*4,SUM(BX146:BX148),0)</f>
        <v>0</v>
      </c>
      <c r="BY161" s="9">
        <f>IF(73&lt;=核心参数输入!$B$9*4,SUM(BY146:BY148),0)</f>
        <v>0</v>
      </c>
      <c r="BZ161" s="9">
        <f>IF(74&lt;=核心参数输入!$B$9*4,SUM(BZ146:BZ148),0)</f>
        <v>0</v>
      </c>
      <c r="CA161" s="9">
        <f>IF(75&lt;=核心参数输入!$B$9*4,SUM(CA146:CA148),0)</f>
        <v>0</v>
      </c>
      <c r="CB161" s="9">
        <f>IF(76&lt;=核心参数输入!$B$9*4,SUM(CB146:CB148),0)</f>
        <v>0</v>
      </c>
      <c r="CC161" s="9">
        <f>IF(77&lt;=核心参数输入!$B$9*4,SUM(CC146:CC148),0)</f>
        <v>0</v>
      </c>
      <c r="CD161" s="9">
        <f>IF(78&lt;=核心参数输入!$B$9*4,SUM(CD146:CD148),0)</f>
        <v>0</v>
      </c>
      <c r="CE161" s="9">
        <f>IF(79&lt;=核心参数输入!$B$9*4,SUM(CE146:CE148),0)</f>
        <v>0</v>
      </c>
      <c r="CF161" s="9">
        <f>IF(80&lt;=核心参数输入!$B$9*4,SUM(CF146:CF148),0)</f>
        <v>0</v>
      </c>
      <c r="CG161" s="9">
        <f>IF(81&lt;=核心参数输入!$B$9*4,SUM(CG146:CG148),0)</f>
        <v>0</v>
      </c>
      <c r="CH161" s="9">
        <f>IF(82&lt;=核心参数输入!$B$9*4,SUM(CH146:CH148),0)</f>
        <v>0</v>
      </c>
      <c r="CI161" s="9">
        <f>IF(83&lt;=核心参数输入!$B$9*4,SUM(CI146:CI148),0)</f>
        <v>0</v>
      </c>
      <c r="CJ161" s="9">
        <f>IF(84&lt;=核心参数输入!$B$9*4,SUM(CJ146:CJ148),0)</f>
        <v>0</v>
      </c>
      <c r="CK161" s="9">
        <f>IF(85&lt;=核心参数输入!$B$9*4,SUM(CK146:CK148),0)</f>
        <v>0</v>
      </c>
      <c r="CL161" s="9">
        <f>IF(86&lt;=核心参数输入!$B$9*4,SUM(CL146:CL148),0)</f>
        <v>0</v>
      </c>
      <c r="CM161" s="9">
        <f>IF(87&lt;=核心参数输入!$B$9*4,SUM(CM146:CM148),0)</f>
        <v>0</v>
      </c>
      <c r="CN161" s="9">
        <f>IF(88&lt;=核心参数输入!$B$9*4,SUM(CN146:CN148),0)</f>
        <v>0</v>
      </c>
      <c r="CO161" s="9">
        <f>IF(89&lt;=核心参数输入!$B$9*4,SUM(CO146:CO148),0)</f>
        <v>0</v>
      </c>
      <c r="CP161" s="9">
        <f>IF(90&lt;=核心参数输入!$B$9*4,SUM(CP146:CP148),0)</f>
        <v>0</v>
      </c>
      <c r="CQ161" s="9">
        <f>IF(91&lt;=核心参数输入!$B$9*4,SUM(CQ146:CQ148),0)</f>
        <v>0</v>
      </c>
      <c r="CR161" s="9">
        <f>IF(92&lt;=核心参数输入!$B$9*4,SUM(CR146:CR148),0)</f>
        <v>0</v>
      </c>
      <c r="CS161" s="9">
        <f>IF(93&lt;=核心参数输入!$B$9*4,SUM(CS146:CS148),0)</f>
        <v>0</v>
      </c>
      <c r="CT161" s="9">
        <f>IF(94&lt;=核心参数输入!$B$9*4,SUM(CT146:CT148),0)</f>
        <v>0</v>
      </c>
      <c r="CU161" s="9">
        <f>IF(95&lt;=核心参数输入!$B$9*4,SUM(CU146:CU148),0)</f>
        <v>0</v>
      </c>
      <c r="CV161" s="9">
        <f>IF(96&lt;=核心参数输入!$B$9*4,SUM(CV146:CV148),0)</f>
        <v>0</v>
      </c>
      <c r="CW161" s="9">
        <f>IF(97&lt;=核心参数输入!$B$9*4,SUM(CW146:CW148),0)</f>
        <v>0</v>
      </c>
      <c r="CX161" s="9">
        <f>IF(98&lt;=核心参数输入!$B$9*4,SUM(CX146:CX148),0)</f>
        <v>0</v>
      </c>
      <c r="CY161" s="9">
        <f>IF(99&lt;=核心参数输入!$B$9*4,SUM(CY146:CY148),0)</f>
        <v>0</v>
      </c>
      <c r="CZ161" s="9">
        <f>IF(100&lt;=核心参数输入!$B$9*4,SUM(CZ146:CZ148),0)</f>
        <v>0</v>
      </c>
      <c r="DA161" s="9">
        <f>IF(101&lt;=核心参数输入!$B$9*4,SUM(DA146:DA148),0)</f>
        <v>0</v>
      </c>
      <c r="DB161" s="9">
        <f>IF(102&lt;=核心参数输入!$B$9*4,SUM(DB146:DB148),0)</f>
        <v>0</v>
      </c>
      <c r="DC161" s="9">
        <f>IF(103&lt;=核心参数输入!$B$9*4,SUM(DC146:DC148),0)</f>
        <v>0</v>
      </c>
      <c r="DD161" s="9">
        <f>IF(104&lt;=核心参数输入!$B$9*4,SUM(DD146:DD148),0)</f>
        <v>0</v>
      </c>
      <c r="DE161" s="9">
        <f>IF(105&lt;=核心参数输入!$B$9*4,SUM(DE146:DE148),0)</f>
        <v>0</v>
      </c>
      <c r="DF161" s="9">
        <f>IF(106&lt;=核心参数输入!$B$9*4,SUM(DF146:DF148),0)</f>
        <v>0</v>
      </c>
      <c r="DG161" s="9">
        <f>IF(107&lt;=核心参数输入!$B$9*4,SUM(DG146:DG148),0)</f>
        <v>0</v>
      </c>
      <c r="DH161" s="9">
        <f>IF(108&lt;=核心参数输入!$B$9*4,SUM(DH146:DH148),0)</f>
        <v>0</v>
      </c>
      <c r="DI161" s="9">
        <f>IF(109&lt;=核心参数输入!$B$9*4,SUM(DI146:DI148),0)</f>
        <v>0</v>
      </c>
      <c r="DJ161" s="9">
        <f>IF(110&lt;=核心参数输入!$B$9*4,SUM(DJ146:DJ148),0)</f>
        <v>0</v>
      </c>
      <c r="DK161" s="9">
        <f>IF(111&lt;=核心参数输入!$B$9*4,SUM(DK146:DK148),0)</f>
        <v>0</v>
      </c>
      <c r="DL161" s="9">
        <f>IF(112&lt;=核心参数输入!$B$9*4,SUM(DL146:DL148),0)</f>
        <v>0</v>
      </c>
      <c r="DM161" s="9">
        <f>IF(113&lt;=核心参数输入!$B$9*4,SUM(DM146:DM148),0)</f>
        <v>0</v>
      </c>
      <c r="DN161" s="9">
        <f>IF(114&lt;=核心参数输入!$B$9*4,SUM(DN146:DN148),0)</f>
        <v>0</v>
      </c>
      <c r="DO161" s="9">
        <f>IF(115&lt;=核心参数输入!$B$9*4,SUM(DO146:DO148),0)</f>
        <v>0</v>
      </c>
      <c r="DP161" s="9">
        <f>IF(116&lt;=核心参数输入!$B$9*4,SUM(DP146:DP148),0)</f>
        <v>0</v>
      </c>
      <c r="DQ161" s="9">
        <f>IF(117&lt;=核心参数输入!$B$9*4,SUM(DQ146:DQ148),0)</f>
        <v>0</v>
      </c>
      <c r="DR161" s="9">
        <f>IF(118&lt;=核心参数输入!$B$9*4,SUM(DR146:DR148),0)</f>
        <v>0</v>
      </c>
      <c r="DS161" s="9">
        <f>IF(119&lt;=核心参数输入!$B$9*4,SUM(DS146:DS148),0)</f>
        <v>0</v>
      </c>
      <c r="DT161" s="9">
        <f>IF(120&lt;=核心参数输入!$B$9*4,SUM(DT146:DT148),0)</f>
        <v>0</v>
      </c>
    </row>
    <row r="162" spans="1:124" ht="21" customHeight="1">
      <c r="A162" s="8" t="s">
        <v>442</v>
      </c>
      <c r="B162" s="8" t="s">
        <v>39</v>
      </c>
      <c r="C162" s="8"/>
      <c r="D162" s="9">
        <f>IF(0&lt;=核心参数输入!$B$9*4,SUM($D146:D146)+SUM($D145:D145),0)</f>
        <v>8000</v>
      </c>
      <c r="E162" s="9">
        <f>IF(1&lt;=核心参数输入!$B$9*4,SUM($D146:E146)+SUM($D145:E145),0)</f>
        <v>12365.9</v>
      </c>
      <c r="F162" s="9">
        <f>IF(2&lt;=核心参数输入!$B$9*4,SUM($D146:F146)+SUM($D145:F145),0)</f>
        <v>16731.8</v>
      </c>
      <c r="G162" s="9">
        <f>IF(3&lt;=核心参数输入!$B$9*4,SUM($D146:G146)+SUM($D145:G145),0)</f>
        <v>21097.699999999997</v>
      </c>
      <c r="H162" s="9">
        <f>IF(4&lt;=核心参数输入!$B$9*4,SUM($D146:H146)+SUM($D145:H145),0)</f>
        <v>25463.599999999999</v>
      </c>
      <c r="I162" s="9">
        <f>IF(5&lt;=核心参数输入!$B$9*4,SUM($D146:I146)+SUM($D145:I145),0)</f>
        <v>31284.799999999999</v>
      </c>
      <c r="J162" s="9">
        <f>IF(6&lt;=核心参数输入!$B$9*4,SUM($D146:J146)+SUM($D145:J145),0)</f>
        <v>37106</v>
      </c>
      <c r="K162" s="9">
        <f>IF(7&lt;=核心参数输入!$B$9*4,SUM($D146:K146)+SUM($D145:K145),0)</f>
        <v>42927.199999999997</v>
      </c>
      <c r="L162" s="9">
        <f>IF(8&lt;=核心参数输入!$B$9*4,SUM($D146:L146)+SUM($D145:L145),0)</f>
        <v>48748.399999999994</v>
      </c>
      <c r="M162" s="9">
        <f>IF(9&lt;=核心参数输入!$B$9*4,SUM($D146:M146)+SUM($D145:M145),0)</f>
        <v>53114.299999999996</v>
      </c>
      <c r="N162" s="9">
        <f>IF(10&lt;=核心参数输入!$B$9*4,SUM($D146:N146)+SUM($D145:N145),0)</f>
        <v>57480.2</v>
      </c>
      <c r="O162" s="9">
        <f>IF(11&lt;=核心参数输入!$B$9*4,SUM($D146:O146)+SUM($D145:O145),0)</f>
        <v>61846.1</v>
      </c>
      <c r="P162" s="9">
        <f>IF(12&lt;=核心参数输入!$B$9*4,SUM($D146:P146)+SUM($D145:P145),0)</f>
        <v>66212</v>
      </c>
      <c r="Q162" s="9">
        <f>IF(13&lt;=核心参数输入!$B$9*4,SUM($D146:Q146)+SUM($D145:Q145),0)</f>
        <v>66212</v>
      </c>
      <c r="R162" s="9">
        <f>IF(14&lt;=核心参数输入!$B$9*4,SUM($D146:R146)+SUM($D145:R145),0)</f>
        <v>66212</v>
      </c>
      <c r="S162" s="9">
        <f>IF(15&lt;=核心参数输入!$B$9*4,SUM($D146:S146)+SUM($D145:S145),0)</f>
        <v>66212</v>
      </c>
      <c r="T162" s="9">
        <f>IF(16&lt;=核心参数输入!$B$9*4,SUM($D146:T146)+SUM($D145:T145),0)</f>
        <v>66212</v>
      </c>
      <c r="U162" s="9">
        <f>IF(17&lt;=核心参数输入!$B$9*4,SUM($D146:U146)+SUM($D145:U145),0)</f>
        <v>66212</v>
      </c>
      <c r="V162" s="9">
        <f>IF(18&lt;=核心参数输入!$B$9*4,SUM($D146:V146)+SUM($D145:V145),0)</f>
        <v>66212</v>
      </c>
      <c r="W162" s="9">
        <f>IF(19&lt;=核心参数输入!$B$9*4,SUM($D146:W146)+SUM($D145:W145),0)</f>
        <v>66212</v>
      </c>
      <c r="X162" s="9">
        <f>IF(20&lt;=核心参数输入!$B$9*4,SUM($D146:X146)+SUM($D145:X145),0)</f>
        <v>66212</v>
      </c>
      <c r="Y162" s="9">
        <f>IF(21&lt;=核心参数输入!$B$9*4,SUM($D146:Y146)+SUM($D145:Y145),0)</f>
        <v>66212</v>
      </c>
      <c r="Z162" s="9">
        <f>IF(22&lt;=核心参数输入!$B$9*4,SUM($D146:Z146)+SUM($D145:Z145),0)</f>
        <v>66212</v>
      </c>
      <c r="AA162" s="9">
        <f>IF(23&lt;=核心参数输入!$B$9*4,SUM($D146:AA146)+SUM($D145:AA145),0)</f>
        <v>66212</v>
      </c>
      <c r="AB162" s="9">
        <f>IF(24&lt;=核心参数输入!$B$9*4,SUM($D146:AB146)+SUM($D145:AB145),0)</f>
        <v>66212</v>
      </c>
      <c r="AC162" s="9">
        <f>IF(25&lt;=核心参数输入!$B$9*4,SUM($D146:AC146)+SUM($D145:AC145),0)</f>
        <v>66212</v>
      </c>
      <c r="AD162" s="9">
        <f>IF(26&lt;=核心参数输入!$B$9*4,SUM($D146:AD146)+SUM($D145:AD145),0)</f>
        <v>66212</v>
      </c>
      <c r="AE162" s="9">
        <f>IF(27&lt;=核心参数输入!$B$9*4,SUM($D146:AE146)+SUM($D145:AE145),0)</f>
        <v>66212</v>
      </c>
      <c r="AF162" s="9">
        <f>IF(28&lt;=核心参数输入!$B$9*4,SUM($D146:AF146)+SUM($D145:AF145),0)</f>
        <v>66212</v>
      </c>
      <c r="AG162" s="9">
        <f>IF(29&lt;=核心参数输入!$B$9*4,SUM($D146:AG146)+SUM($D145:AG145),0)</f>
        <v>66212</v>
      </c>
      <c r="AH162" s="9">
        <f>IF(30&lt;=核心参数输入!$B$9*4,SUM($D146:AH146)+SUM($D145:AH145),0)</f>
        <v>66212</v>
      </c>
      <c r="AI162" s="9">
        <f>IF(31&lt;=核心参数输入!$B$9*4,SUM($D146:AI146)+SUM($D145:AI145),0)</f>
        <v>66212</v>
      </c>
      <c r="AJ162" s="9">
        <f>IF(32&lt;=核心参数输入!$B$9*4,SUM($D146:AJ146)+SUM($D145:AJ145),0)</f>
        <v>66212</v>
      </c>
      <c r="AK162" s="9">
        <f>IF(33&lt;=核心参数输入!$B$9*4,SUM($D146:AK146)+SUM($D145:AK145),0)</f>
        <v>66212</v>
      </c>
      <c r="AL162" s="9">
        <f>IF(34&lt;=核心参数输入!$B$9*4,SUM($D146:AL146)+SUM($D145:AL145),0)</f>
        <v>66212</v>
      </c>
      <c r="AM162" s="9">
        <f>IF(35&lt;=核心参数输入!$B$9*4,SUM($D146:AM146)+SUM($D145:AM145),0)</f>
        <v>66212</v>
      </c>
      <c r="AN162" s="9">
        <f>IF(36&lt;=核心参数输入!$B$9*4,SUM($D146:AN146)+SUM($D145:AN145),0)</f>
        <v>66212</v>
      </c>
      <c r="AO162" s="9">
        <f>IF(37&lt;=核心参数输入!$B$9*4,SUM($D146:AO146)+SUM($D145:AO145),0)</f>
        <v>66212</v>
      </c>
      <c r="AP162" s="9">
        <f>IF(38&lt;=核心参数输入!$B$9*4,SUM($D146:AP146)+SUM($D145:AP145),0)</f>
        <v>66212</v>
      </c>
      <c r="AQ162" s="9">
        <f>IF(39&lt;=核心参数输入!$B$9*4,SUM($D146:AQ146)+SUM($D145:AQ145),0)</f>
        <v>66212</v>
      </c>
      <c r="AR162" s="9">
        <f>IF(40&lt;=核心参数输入!$B$9*4,SUM($D146:AR146)+SUM($D145:AR145),0)</f>
        <v>66212</v>
      </c>
      <c r="AS162" s="9">
        <f>IF(41&lt;=核心参数输入!$B$9*4,SUM($D146:AS146)+SUM($D145:AS145),0)</f>
        <v>66212</v>
      </c>
      <c r="AT162" s="9">
        <f>IF(42&lt;=核心参数输入!$B$9*4,SUM($D146:AT146)+SUM($D145:AT145),0)</f>
        <v>66212</v>
      </c>
      <c r="AU162" s="9">
        <f>IF(43&lt;=核心参数输入!$B$9*4,SUM($D146:AU146)+SUM($D145:AU145),0)</f>
        <v>66212</v>
      </c>
      <c r="AV162" s="9">
        <f>IF(44&lt;=核心参数输入!$B$9*4,SUM($D146:AV146)+SUM($D145:AV145),0)</f>
        <v>66212</v>
      </c>
      <c r="AW162" s="9">
        <f>IF(45&lt;=核心参数输入!$B$9*4,SUM($D146:AW146)+SUM($D145:AW145),0)</f>
        <v>66212</v>
      </c>
      <c r="AX162" s="9">
        <f>IF(46&lt;=核心参数输入!$B$9*4,SUM($D146:AX146)+SUM($D145:AX145),0)</f>
        <v>66212</v>
      </c>
      <c r="AY162" s="9">
        <f>IF(47&lt;=核心参数输入!$B$9*4,SUM($D146:AY146)+SUM($D145:AY145),0)</f>
        <v>66212</v>
      </c>
      <c r="AZ162" s="9">
        <f>IF(48&lt;=核心参数输入!$B$9*4,SUM($D146:AZ146)+SUM($D145:AZ145),0)</f>
        <v>66212</v>
      </c>
      <c r="BA162" s="9">
        <f>IF(49&lt;=核心参数输入!$B$9*4,SUM($D146:BA146)+SUM($D145:BA145),0)</f>
        <v>66212</v>
      </c>
      <c r="BB162" s="9">
        <f>IF(50&lt;=核心参数输入!$B$9*4,SUM($D146:BB146)+SUM($D145:BB145),0)</f>
        <v>66212</v>
      </c>
      <c r="BC162" s="9">
        <f>IF(51&lt;=核心参数输入!$B$9*4,SUM($D146:BC146)+SUM($D145:BC145),0)</f>
        <v>66212</v>
      </c>
      <c r="BD162" s="9">
        <f>IF(52&lt;=核心参数输入!$B$9*4,SUM($D146:BD146)+SUM($D145:BD145),0)</f>
        <v>66212</v>
      </c>
      <c r="BE162" s="9">
        <f>IF(53&lt;=核心参数输入!$B$9*4,SUM($D146:BE146)+SUM($D145:BE145),0)</f>
        <v>66212</v>
      </c>
      <c r="BF162" s="9">
        <f>IF(54&lt;=核心参数输入!$B$9*4,SUM($D146:BF146)+SUM($D145:BF145),0)</f>
        <v>66212</v>
      </c>
      <c r="BG162" s="9">
        <f>IF(55&lt;=核心参数输入!$B$9*4,SUM($D146:BG146)+SUM($D145:BG145),0)</f>
        <v>66212</v>
      </c>
      <c r="BH162" s="9">
        <f>IF(56&lt;=核心参数输入!$B$9*4,SUM($D146:BH146)+SUM($D145:BH145),0)</f>
        <v>66212</v>
      </c>
      <c r="BI162" s="9">
        <f>IF(57&lt;=核心参数输入!$B$9*4,SUM($D146:BI146)+SUM($D145:BI145),0)</f>
        <v>66212</v>
      </c>
      <c r="BJ162" s="9">
        <f>IF(58&lt;=核心参数输入!$B$9*4,SUM($D146:BJ146)+SUM($D145:BJ145),0)</f>
        <v>66212</v>
      </c>
      <c r="BK162" s="9">
        <f>IF(59&lt;=核心参数输入!$B$9*4,SUM($D146:BK146)+SUM($D145:BK145),0)</f>
        <v>66212</v>
      </c>
      <c r="BL162" s="9">
        <f>IF(60&lt;=核心参数输入!$B$9*4,SUM($D146:BL146)+SUM($D145:BL145),0)</f>
        <v>66212</v>
      </c>
      <c r="BM162" s="9">
        <f>IF(61&lt;=核心参数输入!$B$9*4,SUM($D146:BM146)+SUM($D145:BM145),0)</f>
        <v>66212</v>
      </c>
      <c r="BN162" s="9">
        <f>IF(62&lt;=核心参数输入!$B$9*4,SUM($D146:BN146)+SUM($D145:BN145),0)</f>
        <v>66212</v>
      </c>
      <c r="BO162" s="9">
        <f>IF(63&lt;=核心参数输入!$B$9*4,SUM($D146:BO146)+SUM($D145:BO145),0)</f>
        <v>66212</v>
      </c>
      <c r="BP162" s="9">
        <f>IF(64&lt;=核心参数输入!$B$9*4,SUM($D146:BP146)+SUM($D145:BP145),0)</f>
        <v>66212</v>
      </c>
      <c r="BQ162" s="9">
        <f>IF(65&lt;=核心参数输入!$B$9*4,SUM($D146:BQ146)+SUM($D145:BQ145),0)</f>
        <v>66212</v>
      </c>
      <c r="BR162" s="9">
        <f>IF(66&lt;=核心参数输入!$B$9*4,SUM($D146:BR146)+SUM($D145:BR145),0)</f>
        <v>66212</v>
      </c>
      <c r="BS162" s="9">
        <f>IF(67&lt;=核心参数输入!$B$9*4,SUM($D146:BS146)+SUM($D145:BS145),0)</f>
        <v>66212</v>
      </c>
      <c r="BT162" s="9">
        <f>IF(68&lt;=核心参数输入!$B$9*4,SUM($D146:BT146)+SUM($D145:BT145),0)</f>
        <v>66212</v>
      </c>
      <c r="BU162" s="9">
        <f>IF(69&lt;=核心参数输入!$B$9*4,SUM($D146:BU146)+SUM($D145:BU145),0)</f>
        <v>66212</v>
      </c>
      <c r="BV162" s="9">
        <f>IF(70&lt;=核心参数输入!$B$9*4,SUM($D146:BV146)+SUM($D145:BV145),0)</f>
        <v>66212</v>
      </c>
      <c r="BW162" s="9">
        <f>IF(71&lt;=核心参数输入!$B$9*4,SUM($D146:BW146)+SUM($D145:BW145),0)</f>
        <v>66212</v>
      </c>
      <c r="BX162" s="9">
        <f>IF(72&lt;=核心参数输入!$B$9*4,SUM($D146:BX146)+SUM($D145:BX145),0)</f>
        <v>66212</v>
      </c>
      <c r="BY162" s="9">
        <f>IF(73&lt;=核心参数输入!$B$9*4,SUM($D146:BY146)+SUM($D145:BY145),0)</f>
        <v>66212</v>
      </c>
      <c r="BZ162" s="9">
        <f>IF(74&lt;=核心参数输入!$B$9*4,SUM($D146:BZ146)+SUM($D145:BZ145),0)</f>
        <v>66212</v>
      </c>
      <c r="CA162" s="9">
        <f>IF(75&lt;=核心参数输入!$B$9*4,SUM($D146:CA146)+SUM($D145:CA145),0)</f>
        <v>66212</v>
      </c>
      <c r="CB162" s="9">
        <f>IF(76&lt;=核心参数输入!$B$9*4,SUM($D146:CB146)+SUM($D145:CB145),0)</f>
        <v>66212</v>
      </c>
      <c r="CC162" s="9">
        <f>IF(77&lt;=核心参数输入!$B$9*4,SUM($D146:CC146)+SUM($D145:CC145),0)</f>
        <v>66212</v>
      </c>
      <c r="CD162" s="9">
        <f>IF(78&lt;=核心参数输入!$B$9*4,SUM($D146:CD146)+SUM($D145:CD145),0)</f>
        <v>66212</v>
      </c>
      <c r="CE162" s="9">
        <f>IF(79&lt;=核心参数输入!$B$9*4,SUM($D146:CE146)+SUM($D145:CE145),0)</f>
        <v>66212</v>
      </c>
      <c r="CF162" s="9">
        <f>IF(80&lt;=核心参数输入!$B$9*4,SUM($D146:CF146)+SUM($D145:CF145),0)</f>
        <v>66212</v>
      </c>
      <c r="CG162" s="9">
        <f>IF(81&lt;=核心参数输入!$B$9*4,SUM($D146:CG146)+SUM($D145:CG145),0)</f>
        <v>0</v>
      </c>
      <c r="CH162" s="9">
        <f>IF(82&lt;=核心参数输入!$B$9*4,SUM($D146:CH146)+SUM($D145:CH145),0)</f>
        <v>0</v>
      </c>
      <c r="CI162" s="9">
        <f>IF(83&lt;=核心参数输入!$B$9*4,SUM($D146:CI146)+SUM($D145:CI145),0)</f>
        <v>0</v>
      </c>
      <c r="CJ162" s="9">
        <f>IF(84&lt;=核心参数输入!$B$9*4,SUM($D146:CJ146)+SUM($D145:CJ145),0)</f>
        <v>0</v>
      </c>
      <c r="CK162" s="9">
        <f>IF(85&lt;=核心参数输入!$B$9*4,SUM($D146:CK146)+SUM($D145:CK145),0)</f>
        <v>0</v>
      </c>
      <c r="CL162" s="9">
        <f>IF(86&lt;=核心参数输入!$B$9*4,SUM($D146:CL146)+SUM($D145:CL145),0)</f>
        <v>0</v>
      </c>
      <c r="CM162" s="9">
        <f>IF(87&lt;=核心参数输入!$B$9*4,SUM($D146:CM146)+SUM($D145:CM145),0)</f>
        <v>0</v>
      </c>
      <c r="CN162" s="9">
        <f>IF(88&lt;=核心参数输入!$B$9*4,SUM($D146:CN146)+SUM($D145:CN145),0)</f>
        <v>0</v>
      </c>
      <c r="CO162" s="9">
        <f>IF(89&lt;=核心参数输入!$B$9*4,SUM($D146:CO146)+SUM($D145:CO145),0)</f>
        <v>0</v>
      </c>
      <c r="CP162" s="9">
        <f>IF(90&lt;=核心参数输入!$B$9*4,SUM($D146:CP146)+SUM($D145:CP145),0)</f>
        <v>0</v>
      </c>
      <c r="CQ162" s="9">
        <f>IF(91&lt;=核心参数输入!$B$9*4,SUM($D146:CQ146)+SUM($D145:CQ145),0)</f>
        <v>0</v>
      </c>
      <c r="CR162" s="9">
        <f>IF(92&lt;=核心参数输入!$B$9*4,SUM($D146:CR146)+SUM($D145:CR145),0)</f>
        <v>0</v>
      </c>
      <c r="CS162" s="9">
        <f>IF(93&lt;=核心参数输入!$B$9*4,SUM($D146:CS146)+SUM($D145:CS145),0)</f>
        <v>0</v>
      </c>
      <c r="CT162" s="9">
        <f>IF(94&lt;=核心参数输入!$B$9*4,SUM($D146:CT146)+SUM($D145:CT145),0)</f>
        <v>0</v>
      </c>
      <c r="CU162" s="9">
        <f>IF(95&lt;=核心参数输入!$B$9*4,SUM($D146:CU146)+SUM($D145:CU145),0)</f>
        <v>0</v>
      </c>
      <c r="CV162" s="9">
        <f>IF(96&lt;=核心参数输入!$B$9*4,SUM($D146:CV146)+SUM($D145:CV145),0)</f>
        <v>0</v>
      </c>
      <c r="CW162" s="9">
        <f>IF(97&lt;=核心参数输入!$B$9*4,SUM($D146:CW146)+SUM($D145:CW145),0)</f>
        <v>0</v>
      </c>
      <c r="CX162" s="9">
        <f>IF(98&lt;=核心参数输入!$B$9*4,SUM($D146:CX146)+SUM($D145:CX145),0)</f>
        <v>0</v>
      </c>
      <c r="CY162" s="9">
        <f>IF(99&lt;=核心参数输入!$B$9*4,SUM($D146:CY146)+SUM($D145:CY145),0)</f>
        <v>0</v>
      </c>
      <c r="CZ162" s="9">
        <f>IF(100&lt;=核心参数输入!$B$9*4,SUM($D146:CZ146)+SUM($D145:CZ145),0)</f>
        <v>0</v>
      </c>
      <c r="DA162" s="9">
        <f>IF(101&lt;=核心参数输入!$B$9*4,SUM($D146:DA146)+SUM($D145:DA145),0)</f>
        <v>0</v>
      </c>
      <c r="DB162" s="9">
        <f>IF(102&lt;=核心参数输入!$B$9*4,SUM($D146:DB146)+SUM($D145:DB145),0)</f>
        <v>0</v>
      </c>
      <c r="DC162" s="9">
        <f>IF(103&lt;=核心参数输入!$B$9*4,SUM($D146:DC146)+SUM($D145:DC145),0)</f>
        <v>0</v>
      </c>
      <c r="DD162" s="9">
        <f>IF(104&lt;=核心参数输入!$B$9*4,SUM($D146:DD146)+SUM($D145:DD145),0)</f>
        <v>0</v>
      </c>
      <c r="DE162" s="9">
        <f>IF(105&lt;=核心参数输入!$B$9*4,SUM($D146:DE146)+SUM($D145:DE145),0)</f>
        <v>0</v>
      </c>
      <c r="DF162" s="9">
        <f>IF(106&lt;=核心参数输入!$B$9*4,SUM($D146:DF146)+SUM($D145:DF145),0)</f>
        <v>0</v>
      </c>
      <c r="DG162" s="9">
        <f>IF(107&lt;=核心参数输入!$B$9*4,SUM($D146:DG146)+SUM($D145:DG145),0)</f>
        <v>0</v>
      </c>
      <c r="DH162" s="9">
        <f>IF(108&lt;=核心参数输入!$B$9*4,SUM($D146:DH146)+SUM($D145:DH145),0)</f>
        <v>0</v>
      </c>
      <c r="DI162" s="9">
        <f>IF(109&lt;=核心参数输入!$B$9*4,SUM($D146:DI146)+SUM($D145:DI145),0)</f>
        <v>0</v>
      </c>
      <c r="DJ162" s="9">
        <f>IF(110&lt;=核心参数输入!$B$9*4,SUM($D146:DJ146)+SUM($D145:DJ145),0)</f>
        <v>0</v>
      </c>
      <c r="DK162" s="9">
        <f>IF(111&lt;=核心参数输入!$B$9*4,SUM($D146:DK146)+SUM($D145:DK145),0)</f>
        <v>0</v>
      </c>
      <c r="DL162" s="9">
        <f>IF(112&lt;=核心参数输入!$B$9*4,SUM($D146:DL146)+SUM($D145:DL145),0)</f>
        <v>0</v>
      </c>
      <c r="DM162" s="9">
        <f>IF(113&lt;=核心参数输入!$B$9*4,SUM($D146:DM146)+SUM($D145:DM145),0)</f>
        <v>0</v>
      </c>
      <c r="DN162" s="9">
        <f>IF(114&lt;=核心参数输入!$B$9*4,SUM($D146:DN146)+SUM($D145:DN145),0)</f>
        <v>0</v>
      </c>
      <c r="DO162" s="9">
        <f>IF(115&lt;=核心参数输入!$B$9*4,SUM($D146:DO146)+SUM($D145:DO145),0)</f>
        <v>0</v>
      </c>
      <c r="DP162" s="9">
        <f>IF(116&lt;=核心参数输入!$B$9*4,SUM($D146:DP146)+SUM($D145:DP145),0)</f>
        <v>0</v>
      </c>
      <c r="DQ162" s="9">
        <f>IF(117&lt;=核心参数输入!$B$9*4,SUM($D146:DQ146)+SUM($D145:DQ145),0)</f>
        <v>0</v>
      </c>
      <c r="DR162" s="9">
        <f>IF(118&lt;=核心参数输入!$B$9*4,SUM($D146:DR146)+SUM($D145:DR145),0)</f>
        <v>0</v>
      </c>
      <c r="DS162" s="9">
        <f>IF(119&lt;=核心参数输入!$B$9*4,SUM($D146:DS146)+SUM($D145:DS145),0)</f>
        <v>0</v>
      </c>
      <c r="DT162" s="9">
        <f>IF(120&lt;=核心参数输入!$B$9*4,SUM($D146:DT146)+SUM($D145:DT145),0)</f>
        <v>0</v>
      </c>
    </row>
    <row r="163" spans="1:124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</row>
    <row r="164" spans="1:124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</row>
    <row r="165" spans="1:124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</row>
    <row r="166" spans="1:124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</row>
    <row r="167" spans="1:124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</row>
    <row r="168" spans="1:124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</row>
    <row r="169" spans="1:124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</row>
    <row r="170" spans="1:124" ht="21" customHeight="1">
      <c r="A170" s="8" t="s">
        <v>443</v>
      </c>
      <c r="B170" s="8" t="s">
        <v>39</v>
      </c>
      <c r="C170" s="8"/>
      <c r="D170" s="9">
        <f>IF(0&lt;=核心参数输入!$B$9*4,IF(D149&gt;0.000001,1,0),0)</f>
        <v>0</v>
      </c>
      <c r="E170" s="9">
        <f>IF(1&lt;=核心参数输入!$B$9*4,IF(E149&gt;0.000001,1,0),0)</f>
        <v>1</v>
      </c>
      <c r="F170" s="9">
        <f>IF(2&lt;=核心参数输入!$B$9*4,IF(F149&gt;0.000001,1,0),0)</f>
        <v>1</v>
      </c>
      <c r="G170" s="9">
        <f>IF(3&lt;=核心参数输入!$B$9*4,IF(G149&gt;0.000001,1,0),0)</f>
        <v>1</v>
      </c>
      <c r="H170" s="9">
        <f>IF(4&lt;=核心参数输入!$B$9*4,IF(H149&gt;0.000001,1,0),0)</f>
        <v>1</v>
      </c>
      <c r="I170" s="9">
        <f>IF(5&lt;=核心参数输入!$B$9*4,IF(I149&gt;0.000001,1,0),0)</f>
        <v>1</v>
      </c>
      <c r="J170" s="9">
        <f>IF(6&lt;=核心参数输入!$B$9*4,IF(J149&gt;0.000001,1,0),0)</f>
        <v>1</v>
      </c>
      <c r="K170" s="9">
        <f>IF(7&lt;=核心参数输入!$B$9*4,IF(K149&gt;0.000001,1,0),0)</f>
        <v>1</v>
      </c>
      <c r="L170" s="9">
        <f>IF(8&lt;=核心参数输入!$B$9*4,IF(L149&gt;0.000001,1,0),0)</f>
        <v>1</v>
      </c>
      <c r="M170" s="9">
        <f>IF(9&lt;=核心参数输入!$B$9*4,IF(M149&gt;0.000001,1,0),0)</f>
        <v>1</v>
      </c>
      <c r="N170" s="9">
        <f>IF(10&lt;=核心参数输入!$B$9*4,IF(N149&gt;0.000001,1,0),0)</f>
        <v>1</v>
      </c>
      <c r="O170" s="9">
        <f>IF(11&lt;=核心参数输入!$B$9*4,IF(O149&gt;0.000001,1,0),0)</f>
        <v>1</v>
      </c>
      <c r="P170" s="9">
        <f>IF(12&lt;=核心参数输入!$B$9*4,IF(P149&gt;0.000001,1,0),0)</f>
        <v>1</v>
      </c>
      <c r="Q170" s="9">
        <f>IF(13&lt;=核心参数输入!$B$9*4,IF(Q149&gt;0.000001,1,0),0)</f>
        <v>0</v>
      </c>
      <c r="R170" s="9">
        <f>IF(14&lt;=核心参数输入!$B$9*4,IF(R149&gt;0.000001,1,0),0)</f>
        <v>0</v>
      </c>
      <c r="S170" s="9">
        <f>IF(15&lt;=核心参数输入!$B$9*4,IF(S149&gt;0.000001,1,0),0)</f>
        <v>0</v>
      </c>
      <c r="T170" s="9">
        <f>IF(16&lt;=核心参数输入!$B$9*4,IF(T149&gt;0.000001,1,0),0)</f>
        <v>0</v>
      </c>
      <c r="U170" s="9">
        <f>IF(17&lt;=核心参数输入!$B$9*4,IF(U149&gt;0.000001,1,0),0)</f>
        <v>0</v>
      </c>
      <c r="V170" s="9">
        <f>IF(18&lt;=核心参数输入!$B$9*4,IF(V149&gt;0.000001,1,0),0)</f>
        <v>0</v>
      </c>
      <c r="W170" s="9">
        <f>IF(19&lt;=核心参数输入!$B$9*4,IF(W149&gt;0.000001,1,0),0)</f>
        <v>0</v>
      </c>
      <c r="X170" s="9">
        <f>IF(20&lt;=核心参数输入!$B$9*4,IF(X149&gt;0.000001,1,0),0)</f>
        <v>0</v>
      </c>
      <c r="Y170" s="9">
        <f>IF(21&lt;=核心参数输入!$B$9*4,IF(Y149&gt;0.000001,1,0),0)</f>
        <v>0</v>
      </c>
      <c r="Z170" s="9">
        <f>IF(22&lt;=核心参数输入!$B$9*4,IF(Z149&gt;0.000001,1,0),0)</f>
        <v>0</v>
      </c>
      <c r="AA170" s="9">
        <f>IF(23&lt;=核心参数输入!$B$9*4,IF(AA149&gt;0.000001,1,0),0)</f>
        <v>0</v>
      </c>
      <c r="AB170" s="9">
        <f>IF(24&lt;=核心参数输入!$B$9*4,IF(AB149&gt;0.000001,1,0),0)</f>
        <v>0</v>
      </c>
      <c r="AC170" s="9">
        <f>IF(25&lt;=核心参数输入!$B$9*4,IF(AC149&gt;0.000001,1,0),0)</f>
        <v>0</v>
      </c>
      <c r="AD170" s="9">
        <f>IF(26&lt;=核心参数输入!$B$9*4,IF(AD149&gt;0.000001,1,0),0)</f>
        <v>0</v>
      </c>
      <c r="AE170" s="9">
        <f>IF(27&lt;=核心参数输入!$B$9*4,IF(AE149&gt;0.000001,1,0),0)</f>
        <v>0</v>
      </c>
      <c r="AF170" s="9">
        <f>IF(28&lt;=核心参数输入!$B$9*4,IF(AF149&gt;0.000001,1,0),0)</f>
        <v>0</v>
      </c>
      <c r="AG170" s="9">
        <f>IF(29&lt;=核心参数输入!$B$9*4,IF(AG149&gt;0.000001,1,0),0)</f>
        <v>0</v>
      </c>
      <c r="AH170" s="9">
        <f>IF(30&lt;=核心参数输入!$B$9*4,IF(AH149&gt;0.000001,1,0),0)</f>
        <v>0</v>
      </c>
      <c r="AI170" s="9">
        <f>IF(31&lt;=核心参数输入!$B$9*4,IF(AI149&gt;0.000001,1,0),0)</f>
        <v>0</v>
      </c>
      <c r="AJ170" s="9">
        <f>IF(32&lt;=核心参数输入!$B$9*4,IF(AJ149&gt;0.000001,1,0),0)</f>
        <v>0</v>
      </c>
      <c r="AK170" s="9">
        <f>IF(33&lt;=核心参数输入!$B$9*4,IF(AK149&gt;0.000001,1,0),0)</f>
        <v>0</v>
      </c>
      <c r="AL170" s="9">
        <f>IF(34&lt;=核心参数输入!$B$9*4,IF(AL149&gt;0.000001,1,0),0)</f>
        <v>0</v>
      </c>
      <c r="AM170" s="9">
        <f>IF(35&lt;=核心参数输入!$B$9*4,IF(AM149&gt;0.000001,1,0),0)</f>
        <v>0</v>
      </c>
      <c r="AN170" s="9">
        <f>IF(36&lt;=核心参数输入!$B$9*4,IF(AN149&gt;0.000001,1,0),0)</f>
        <v>0</v>
      </c>
      <c r="AO170" s="9">
        <f>IF(37&lt;=核心参数输入!$B$9*4,IF(AO149&gt;0.000001,1,0),0)</f>
        <v>0</v>
      </c>
      <c r="AP170" s="9">
        <f>IF(38&lt;=核心参数输入!$B$9*4,IF(AP149&gt;0.000001,1,0),0)</f>
        <v>0</v>
      </c>
      <c r="AQ170" s="9">
        <f>IF(39&lt;=核心参数输入!$B$9*4,IF(AQ149&gt;0.000001,1,0),0)</f>
        <v>0</v>
      </c>
      <c r="AR170" s="9">
        <f>IF(40&lt;=核心参数输入!$B$9*4,IF(AR149&gt;0.000001,1,0),0)</f>
        <v>0</v>
      </c>
      <c r="AS170" s="9">
        <f>IF(41&lt;=核心参数输入!$B$9*4,IF(AS149&gt;0.000001,1,0),0)</f>
        <v>0</v>
      </c>
      <c r="AT170" s="9">
        <f>IF(42&lt;=核心参数输入!$B$9*4,IF(AT149&gt;0.000001,1,0),0)</f>
        <v>0</v>
      </c>
      <c r="AU170" s="9">
        <f>IF(43&lt;=核心参数输入!$B$9*4,IF(AU149&gt;0.000001,1,0),0)</f>
        <v>0</v>
      </c>
      <c r="AV170" s="9">
        <f>IF(44&lt;=核心参数输入!$B$9*4,IF(AV149&gt;0.000001,1,0),0)</f>
        <v>0</v>
      </c>
      <c r="AW170" s="9">
        <f>IF(45&lt;=核心参数输入!$B$9*4,IF(AW149&gt;0.000001,1,0),0)</f>
        <v>0</v>
      </c>
      <c r="AX170" s="9">
        <f>IF(46&lt;=核心参数输入!$B$9*4,IF(AX149&gt;0.000001,1,0),0)</f>
        <v>0</v>
      </c>
      <c r="AY170" s="9">
        <f>IF(47&lt;=核心参数输入!$B$9*4,IF(AY149&gt;0.000001,1,0),0)</f>
        <v>0</v>
      </c>
      <c r="AZ170" s="9">
        <f>IF(48&lt;=核心参数输入!$B$9*4,IF(AZ149&gt;0.000001,1,0),0)</f>
        <v>0</v>
      </c>
      <c r="BA170" s="9">
        <f>IF(49&lt;=核心参数输入!$B$9*4,IF(BA149&gt;0.000001,1,0),0)</f>
        <v>0</v>
      </c>
      <c r="BB170" s="9">
        <f>IF(50&lt;=核心参数输入!$B$9*4,IF(BB149&gt;0.000001,1,0),0)</f>
        <v>0</v>
      </c>
      <c r="BC170" s="9">
        <f>IF(51&lt;=核心参数输入!$B$9*4,IF(BC149&gt;0.000001,1,0),0)</f>
        <v>0</v>
      </c>
      <c r="BD170" s="9">
        <f>IF(52&lt;=核心参数输入!$B$9*4,IF(BD149&gt;0.000001,1,0),0)</f>
        <v>0</v>
      </c>
      <c r="BE170" s="9">
        <f>IF(53&lt;=核心参数输入!$B$9*4,IF(BE149&gt;0.000001,1,0),0)</f>
        <v>0</v>
      </c>
      <c r="BF170" s="9">
        <f>IF(54&lt;=核心参数输入!$B$9*4,IF(BF149&gt;0.000001,1,0),0)</f>
        <v>0</v>
      </c>
      <c r="BG170" s="9">
        <f>IF(55&lt;=核心参数输入!$B$9*4,IF(BG149&gt;0.000001,1,0),0)</f>
        <v>0</v>
      </c>
      <c r="BH170" s="9">
        <f>IF(56&lt;=核心参数输入!$B$9*4,IF(BH149&gt;0.000001,1,0),0)</f>
        <v>0</v>
      </c>
      <c r="BI170" s="9">
        <f>IF(57&lt;=核心参数输入!$B$9*4,IF(BI149&gt;0.000001,1,0),0)</f>
        <v>0</v>
      </c>
      <c r="BJ170" s="9">
        <f>IF(58&lt;=核心参数输入!$B$9*4,IF(BJ149&gt;0.000001,1,0),0)</f>
        <v>0</v>
      </c>
      <c r="BK170" s="9">
        <f>IF(59&lt;=核心参数输入!$B$9*4,IF(BK149&gt;0.000001,1,0),0)</f>
        <v>0</v>
      </c>
      <c r="BL170" s="9">
        <f>IF(60&lt;=核心参数输入!$B$9*4,IF(BL149&gt;0.000001,1,0),0)</f>
        <v>0</v>
      </c>
      <c r="BM170" s="9">
        <f>IF(61&lt;=核心参数输入!$B$9*4,IF(BM149&gt;0.000001,1,0),0)</f>
        <v>0</v>
      </c>
      <c r="BN170" s="9">
        <f>IF(62&lt;=核心参数输入!$B$9*4,IF(BN149&gt;0.000001,1,0),0)</f>
        <v>0</v>
      </c>
      <c r="BO170" s="9">
        <f>IF(63&lt;=核心参数输入!$B$9*4,IF(BO149&gt;0.000001,1,0),0)</f>
        <v>0</v>
      </c>
      <c r="BP170" s="9">
        <f>IF(64&lt;=核心参数输入!$B$9*4,IF(BP149&gt;0.000001,1,0),0)</f>
        <v>0</v>
      </c>
      <c r="BQ170" s="9">
        <f>IF(65&lt;=核心参数输入!$B$9*4,IF(BQ149&gt;0.000001,1,0),0)</f>
        <v>0</v>
      </c>
      <c r="BR170" s="9">
        <f>IF(66&lt;=核心参数输入!$B$9*4,IF(BR149&gt;0.000001,1,0),0)</f>
        <v>0</v>
      </c>
      <c r="BS170" s="9">
        <f>IF(67&lt;=核心参数输入!$B$9*4,IF(BS149&gt;0.000001,1,0),0)</f>
        <v>0</v>
      </c>
      <c r="BT170" s="9">
        <f>IF(68&lt;=核心参数输入!$B$9*4,IF(BT149&gt;0.000001,1,0),0)</f>
        <v>0</v>
      </c>
      <c r="BU170" s="9">
        <f>IF(69&lt;=核心参数输入!$B$9*4,IF(BU149&gt;0.000001,1,0),0)</f>
        <v>0</v>
      </c>
      <c r="BV170" s="9">
        <f>IF(70&lt;=核心参数输入!$B$9*4,IF(BV149&gt;0.000001,1,0),0)</f>
        <v>0</v>
      </c>
      <c r="BW170" s="9">
        <f>IF(71&lt;=核心参数输入!$B$9*4,IF(BW149&gt;0.000001,1,0),0)</f>
        <v>0</v>
      </c>
      <c r="BX170" s="9">
        <f>IF(72&lt;=核心参数输入!$B$9*4,IF(BX149&gt;0.000001,1,0),0)</f>
        <v>0</v>
      </c>
      <c r="BY170" s="9">
        <f>IF(73&lt;=核心参数输入!$B$9*4,IF(BY149&gt;0.000001,1,0),0)</f>
        <v>0</v>
      </c>
      <c r="BZ170" s="9">
        <f>IF(74&lt;=核心参数输入!$B$9*4,IF(BZ149&gt;0.000001,1,0),0)</f>
        <v>0</v>
      </c>
      <c r="CA170" s="9">
        <f>IF(75&lt;=核心参数输入!$B$9*4,IF(CA149&gt;0.000001,1,0),0)</f>
        <v>0</v>
      </c>
      <c r="CB170" s="9">
        <f>IF(76&lt;=核心参数输入!$B$9*4,IF(CB149&gt;0.000001,1,0),0)</f>
        <v>0</v>
      </c>
      <c r="CC170" s="9">
        <f>IF(77&lt;=核心参数输入!$B$9*4,IF(CC149&gt;0.000001,1,0),0)</f>
        <v>0</v>
      </c>
      <c r="CD170" s="9">
        <f>IF(78&lt;=核心参数输入!$B$9*4,IF(CD149&gt;0.000001,1,0),0)</f>
        <v>0</v>
      </c>
      <c r="CE170" s="9">
        <f>IF(79&lt;=核心参数输入!$B$9*4,IF(CE149&gt;0.000001,1,0),0)</f>
        <v>0</v>
      </c>
      <c r="CF170" s="9">
        <f>IF(80&lt;=核心参数输入!$B$9*4,IF(CF149&gt;0.000001,1,0),0)</f>
        <v>0</v>
      </c>
      <c r="CG170" s="9">
        <f>IF(81&lt;=核心参数输入!$B$9*4,IF(CG149&gt;0.000001,1,0),0)</f>
        <v>0</v>
      </c>
      <c r="CH170" s="9">
        <f>IF(82&lt;=核心参数输入!$B$9*4,IF(CH149&gt;0.000001,1,0),0)</f>
        <v>0</v>
      </c>
      <c r="CI170" s="9">
        <f>IF(83&lt;=核心参数输入!$B$9*4,IF(CI149&gt;0.000001,1,0),0)</f>
        <v>0</v>
      </c>
      <c r="CJ170" s="9">
        <f>IF(84&lt;=核心参数输入!$B$9*4,IF(CJ149&gt;0.000001,1,0),0)</f>
        <v>0</v>
      </c>
      <c r="CK170" s="9">
        <f>IF(85&lt;=核心参数输入!$B$9*4,IF(CK149&gt;0.000001,1,0),0)</f>
        <v>0</v>
      </c>
      <c r="CL170" s="9">
        <f>IF(86&lt;=核心参数输入!$B$9*4,IF(CL149&gt;0.000001,1,0),0)</f>
        <v>0</v>
      </c>
      <c r="CM170" s="9">
        <f>IF(87&lt;=核心参数输入!$B$9*4,IF(CM149&gt;0.000001,1,0),0)</f>
        <v>0</v>
      </c>
      <c r="CN170" s="9">
        <f>IF(88&lt;=核心参数输入!$B$9*4,IF(CN149&gt;0.000001,1,0),0)</f>
        <v>0</v>
      </c>
      <c r="CO170" s="9">
        <f>IF(89&lt;=核心参数输入!$B$9*4,IF(CO149&gt;0.000001,1,0),0)</f>
        <v>0</v>
      </c>
      <c r="CP170" s="9">
        <f>IF(90&lt;=核心参数输入!$B$9*4,IF(CP149&gt;0.000001,1,0),0)</f>
        <v>0</v>
      </c>
      <c r="CQ170" s="9">
        <f>IF(91&lt;=核心参数输入!$B$9*4,IF(CQ149&gt;0.000001,1,0),0)</f>
        <v>0</v>
      </c>
      <c r="CR170" s="9">
        <f>IF(92&lt;=核心参数输入!$B$9*4,IF(CR149&gt;0.000001,1,0),0)</f>
        <v>0</v>
      </c>
      <c r="CS170" s="9">
        <f>IF(93&lt;=核心参数输入!$B$9*4,IF(CS149&gt;0.000001,1,0),0)</f>
        <v>0</v>
      </c>
      <c r="CT170" s="9">
        <f>IF(94&lt;=核心参数输入!$B$9*4,IF(CT149&gt;0.000001,1,0),0)</f>
        <v>0</v>
      </c>
      <c r="CU170" s="9">
        <f>IF(95&lt;=核心参数输入!$B$9*4,IF(CU149&gt;0.000001,1,0),0)</f>
        <v>0</v>
      </c>
      <c r="CV170" s="9">
        <f>IF(96&lt;=核心参数输入!$B$9*4,IF(CV149&gt;0.000001,1,0),0)</f>
        <v>0</v>
      </c>
      <c r="CW170" s="9">
        <f>IF(97&lt;=核心参数输入!$B$9*4,IF(CW149&gt;0.000001,1,0),0)</f>
        <v>0</v>
      </c>
      <c r="CX170" s="9">
        <f>IF(98&lt;=核心参数输入!$B$9*4,IF(CX149&gt;0.000001,1,0),0)</f>
        <v>0</v>
      </c>
      <c r="CY170" s="9">
        <f>IF(99&lt;=核心参数输入!$B$9*4,IF(CY149&gt;0.000001,1,0),0)</f>
        <v>0</v>
      </c>
      <c r="CZ170" s="9">
        <f>IF(100&lt;=核心参数输入!$B$9*4,IF(CZ149&gt;0.000001,1,0),0)</f>
        <v>0</v>
      </c>
      <c r="DA170" s="9">
        <f>IF(101&lt;=核心参数输入!$B$9*4,IF(DA149&gt;0.000001,1,0),0)</f>
        <v>0</v>
      </c>
      <c r="DB170" s="9">
        <f>IF(102&lt;=核心参数输入!$B$9*4,IF(DB149&gt;0.000001,1,0),0)</f>
        <v>0</v>
      </c>
      <c r="DC170" s="9">
        <f>IF(103&lt;=核心参数输入!$B$9*4,IF(DC149&gt;0.000001,1,0),0)</f>
        <v>0</v>
      </c>
      <c r="DD170" s="9">
        <f>IF(104&lt;=核心参数输入!$B$9*4,IF(DD149&gt;0.000001,1,0),0)</f>
        <v>0</v>
      </c>
      <c r="DE170" s="9">
        <f>IF(105&lt;=核心参数输入!$B$9*4,IF(DE149&gt;0.000001,1,0),0)</f>
        <v>0</v>
      </c>
      <c r="DF170" s="9">
        <f>IF(106&lt;=核心参数输入!$B$9*4,IF(DF149&gt;0.000001,1,0),0)</f>
        <v>0</v>
      </c>
      <c r="DG170" s="9">
        <f>IF(107&lt;=核心参数输入!$B$9*4,IF(DG149&gt;0.000001,1,0),0)</f>
        <v>0</v>
      </c>
      <c r="DH170" s="9">
        <f>IF(108&lt;=核心参数输入!$B$9*4,IF(DH149&gt;0.000001,1,0),0)</f>
        <v>0</v>
      </c>
      <c r="DI170" s="9">
        <f>IF(109&lt;=核心参数输入!$B$9*4,IF(DI149&gt;0.000001,1,0),0)</f>
        <v>0</v>
      </c>
      <c r="DJ170" s="9">
        <f>IF(110&lt;=核心参数输入!$B$9*4,IF(DJ149&gt;0.000001,1,0),0)</f>
        <v>0</v>
      </c>
      <c r="DK170" s="9">
        <f>IF(111&lt;=核心参数输入!$B$9*4,IF(DK149&gt;0.000001,1,0),0)</f>
        <v>0</v>
      </c>
      <c r="DL170" s="9">
        <f>IF(112&lt;=核心参数输入!$B$9*4,IF(DL149&gt;0.000001,1,0),0)</f>
        <v>0</v>
      </c>
      <c r="DM170" s="9">
        <f>IF(113&lt;=核心参数输入!$B$9*4,IF(DM149&gt;0.000001,1,0),0)</f>
        <v>0</v>
      </c>
      <c r="DN170" s="9">
        <f>IF(114&lt;=核心参数输入!$B$9*4,IF(DN149&gt;0.000001,1,0),0)</f>
        <v>0</v>
      </c>
      <c r="DO170" s="9">
        <f>IF(115&lt;=核心参数输入!$B$9*4,IF(DO149&gt;0.000001,1,0),0)</f>
        <v>0</v>
      </c>
      <c r="DP170" s="9">
        <f>IF(116&lt;=核心参数输入!$B$9*4,IF(DP149&gt;0.000001,1,0),0)</f>
        <v>0</v>
      </c>
      <c r="DQ170" s="9">
        <f>IF(117&lt;=核心参数输入!$B$9*4,IF(DQ149&gt;0.000001,1,0),0)</f>
        <v>0</v>
      </c>
      <c r="DR170" s="9">
        <f>IF(118&lt;=核心参数输入!$B$9*4,IF(DR149&gt;0.000001,1,0),0)</f>
        <v>0</v>
      </c>
      <c r="DS170" s="9">
        <f>IF(119&lt;=核心参数输入!$B$9*4,IF(DS149&gt;0.000001,1,0),0)</f>
        <v>0</v>
      </c>
      <c r="DT170" s="9">
        <f>IF(120&lt;=核心参数输入!$B$9*4,IF(DT149&gt;0.000001,1,0),0)</f>
        <v>0</v>
      </c>
    </row>
    <row r="171" spans="1:124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</row>
    <row r="172" spans="1:124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</row>
    <row r="173" spans="1:124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</row>
    <row r="174" spans="1:124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</row>
    <row r="175" spans="1:124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</row>
    <row r="176" spans="1:124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</row>
    <row r="177" spans="1:124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</row>
    <row r="178" spans="1:124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</row>
    <row r="179" spans="1:124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</row>
    <row r="180" spans="1:124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</row>
    <row r="181" spans="1:124" ht="21" customHeight="1">
      <c r="A181" s="8"/>
      <c r="B181" s="8"/>
      <c r="C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</row>
    <row r="182" spans="1:124" ht="21" customHeight="1">
      <c r="A182" s="8"/>
      <c r="B182" s="8"/>
      <c r="C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</row>
    <row r="183" spans="1:124" ht="21" customHeight="1">
      <c r="A183" s="8"/>
      <c r="B183" s="8"/>
      <c r="C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</row>
    <row r="184" spans="1:124" ht="21" customHeight="1">
      <c r="A184" s="8"/>
      <c r="B184" s="8"/>
      <c r="C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</row>
    <row r="185" spans="1:124" ht="21" customHeight="1">
      <c r="A185" s="8"/>
      <c r="B185" s="8"/>
      <c r="C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</row>
    <row r="186" spans="1:124" ht="21" customHeight="1">
      <c r="A186" s="8"/>
      <c r="B186" s="8"/>
      <c r="C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</row>
    <row r="187" spans="1:124" ht="21" customHeight="1">
      <c r="A187" s="8"/>
      <c r="B187" s="8"/>
      <c r="C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</row>
    <row r="188" spans="1:124" ht="21" customHeight="1">
      <c r="A188" s="8"/>
      <c r="B188" s="8"/>
      <c r="C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</row>
    <row r="189" spans="1:124" ht="21" customHeight="1">
      <c r="A189" s="8"/>
      <c r="B189" s="8"/>
      <c r="C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</row>
    <row r="190" spans="1:124" ht="21" customHeight="1">
      <c r="A190" s="8"/>
      <c r="B190" s="8"/>
      <c r="C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</row>
    <row r="191" spans="1:124" ht="21" customHeight="1">
      <c r="A191" s="8"/>
      <c r="B191" s="8"/>
      <c r="C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</row>
    <row r="192" spans="1:124" ht="21" customHeight="1">
      <c r="A192" s="8"/>
      <c r="B192" s="8"/>
      <c r="C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</row>
    <row r="193" spans="1:124" ht="21" customHeight="1">
      <c r="A193" s="8"/>
      <c r="B193" s="8"/>
      <c r="C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</row>
    <row r="194" spans="1:124" ht="21" customHeight="1">
      <c r="A194" s="8"/>
      <c r="B194" s="8"/>
      <c r="C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</row>
    <row r="195" spans="1:124" ht="21" customHeight="1">
      <c r="A195" s="8"/>
      <c r="B195" s="8"/>
      <c r="C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</row>
    <row r="196" spans="1:124" ht="21" customHeight="1">
      <c r="A196" s="8"/>
      <c r="B196" s="8"/>
      <c r="C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</row>
    <row r="197" spans="1:124" ht="21" customHeight="1">
      <c r="A197" s="8"/>
      <c r="B197" s="8"/>
      <c r="C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</row>
    <row r="198" spans="1:124" ht="21" customHeight="1">
      <c r="A198" s="8"/>
      <c r="B198" s="8"/>
      <c r="C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</row>
    <row r="199" spans="1:124" ht="21" customHeight="1">
      <c r="A199" s="8"/>
      <c r="B199" s="8"/>
      <c r="C199" s="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</row>
    <row r="200" spans="1:124" ht="21" customHeight="1">
      <c r="A200" s="8"/>
      <c r="B200" s="8"/>
      <c r="C200" s="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</row>
    <row r="201" spans="1:124" ht="21" customHeight="1">
      <c r="A201" s="8"/>
      <c r="B201" s="8"/>
      <c r="C201" s="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</row>
    <row r="202" spans="1:124" ht="21" customHeight="1">
      <c r="A202" s="8"/>
      <c r="B202" s="8"/>
      <c r="C202" s="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</row>
    <row r="203" spans="1:124" ht="21" customHeight="1">
      <c r="A203" s="8"/>
      <c r="B203" s="8"/>
      <c r="C203" s="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</row>
    <row r="204" spans="1:124" ht="21" customHeight="1">
      <c r="A204" s="8"/>
      <c r="B204" s="8"/>
      <c r="C204" s="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</row>
    <row r="205" spans="1:124" ht="21" customHeight="1">
      <c r="A205" s="8"/>
      <c r="B205" s="8"/>
      <c r="C205" s="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</row>
  </sheetData>
  <sheetProtection sheet="1" objects="1" scenarios="1"/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T20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10" customWidth="1"/>
    <col min="2" max="2" width="18" style="10" customWidth="1"/>
    <col min="3" max="3" width="3" style="10" customWidth="1"/>
    <col min="4" max="124" width="16" style="10" customWidth="1"/>
    <col min="125" max="16384" width="9" style="10"/>
  </cols>
  <sheetData>
    <row r="1" spans="1:124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</row>
    <row r="2" spans="1:124" ht="30" customHeight="1">
      <c r="A2" s="11" t="s">
        <v>445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</row>
    <row r="3" spans="1:124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</row>
    <row r="4" spans="1:124" ht="21" customHeight="1">
      <c r="A4" s="8" t="s">
        <v>397</v>
      </c>
      <c r="B4" s="8"/>
      <c r="C4" s="8"/>
      <c r="D4" s="31">
        <f>季度计划!D4</f>
        <v>0</v>
      </c>
      <c r="E4" s="31">
        <f>季度计划!E4</f>
        <v>1</v>
      </c>
      <c r="F4" s="31">
        <f>季度计划!F4</f>
        <v>2</v>
      </c>
      <c r="G4" s="31">
        <f>季度计划!G4</f>
        <v>3</v>
      </c>
      <c r="H4" s="31">
        <f>季度计划!H4</f>
        <v>4</v>
      </c>
      <c r="I4" s="31">
        <f>季度计划!I4</f>
        <v>5</v>
      </c>
      <c r="J4" s="31">
        <f>季度计划!J4</f>
        <v>6</v>
      </c>
      <c r="K4" s="31">
        <f>季度计划!K4</f>
        <v>7</v>
      </c>
      <c r="L4" s="31">
        <f>季度计划!L4</f>
        <v>8</v>
      </c>
      <c r="M4" s="31">
        <f>季度计划!M4</f>
        <v>9</v>
      </c>
      <c r="N4" s="31">
        <f>季度计划!N4</f>
        <v>10</v>
      </c>
      <c r="O4" s="31">
        <f>季度计划!O4</f>
        <v>11</v>
      </c>
      <c r="P4" s="31">
        <f>季度计划!P4</f>
        <v>12</v>
      </c>
      <c r="Q4" s="31">
        <f>季度计划!Q4</f>
        <v>13</v>
      </c>
      <c r="R4" s="31">
        <f>季度计划!R4</f>
        <v>14</v>
      </c>
      <c r="S4" s="31">
        <f>季度计划!S4</f>
        <v>15</v>
      </c>
      <c r="T4" s="31">
        <f>季度计划!T4</f>
        <v>16</v>
      </c>
      <c r="U4" s="31">
        <f>季度计划!U4</f>
        <v>17</v>
      </c>
      <c r="V4" s="31">
        <f>季度计划!V4</f>
        <v>18</v>
      </c>
      <c r="W4" s="31">
        <f>季度计划!W4</f>
        <v>19</v>
      </c>
      <c r="X4" s="31">
        <f>季度计划!X4</f>
        <v>20</v>
      </c>
      <c r="Y4" s="31">
        <f>季度计划!Y4</f>
        <v>21</v>
      </c>
      <c r="Z4" s="31">
        <f>季度计划!Z4</f>
        <v>22</v>
      </c>
      <c r="AA4" s="31">
        <f>季度计划!AA4</f>
        <v>23</v>
      </c>
      <c r="AB4" s="31">
        <f>季度计划!AB4</f>
        <v>24</v>
      </c>
      <c r="AC4" s="31">
        <f>季度计划!AC4</f>
        <v>25</v>
      </c>
      <c r="AD4" s="31">
        <f>季度计划!AD4</f>
        <v>26</v>
      </c>
      <c r="AE4" s="31">
        <f>季度计划!AE4</f>
        <v>27</v>
      </c>
      <c r="AF4" s="31">
        <f>季度计划!AF4</f>
        <v>28</v>
      </c>
      <c r="AG4" s="31">
        <f>季度计划!AG4</f>
        <v>29</v>
      </c>
      <c r="AH4" s="31">
        <f>季度计划!AH4</f>
        <v>30</v>
      </c>
      <c r="AI4" s="31">
        <f>季度计划!AI4</f>
        <v>31</v>
      </c>
      <c r="AJ4" s="31">
        <f>季度计划!AJ4</f>
        <v>32</v>
      </c>
      <c r="AK4" s="31">
        <f>季度计划!AK4</f>
        <v>33</v>
      </c>
      <c r="AL4" s="31">
        <f>季度计划!AL4</f>
        <v>34</v>
      </c>
      <c r="AM4" s="31">
        <f>季度计划!AM4</f>
        <v>35</v>
      </c>
      <c r="AN4" s="31">
        <f>季度计划!AN4</f>
        <v>36</v>
      </c>
      <c r="AO4" s="31">
        <f>季度计划!AO4</f>
        <v>37</v>
      </c>
      <c r="AP4" s="31">
        <f>季度计划!AP4</f>
        <v>38</v>
      </c>
      <c r="AQ4" s="31">
        <f>季度计划!AQ4</f>
        <v>39</v>
      </c>
      <c r="AR4" s="31">
        <f>季度计划!AR4</f>
        <v>40</v>
      </c>
      <c r="AS4" s="31">
        <f>季度计划!AS4</f>
        <v>41</v>
      </c>
      <c r="AT4" s="31">
        <f>季度计划!AT4</f>
        <v>42</v>
      </c>
      <c r="AU4" s="31">
        <f>季度计划!AU4</f>
        <v>43</v>
      </c>
      <c r="AV4" s="31">
        <f>季度计划!AV4</f>
        <v>44</v>
      </c>
      <c r="AW4" s="31">
        <f>季度计划!AW4</f>
        <v>45</v>
      </c>
      <c r="AX4" s="31">
        <f>季度计划!AX4</f>
        <v>46</v>
      </c>
      <c r="AY4" s="31">
        <f>季度计划!AY4</f>
        <v>47</v>
      </c>
      <c r="AZ4" s="31">
        <f>季度计划!AZ4</f>
        <v>48</v>
      </c>
      <c r="BA4" s="31">
        <f>季度计划!BA4</f>
        <v>49</v>
      </c>
      <c r="BB4" s="31">
        <f>季度计划!BB4</f>
        <v>50</v>
      </c>
      <c r="BC4" s="31">
        <f>季度计划!BC4</f>
        <v>51</v>
      </c>
      <c r="BD4" s="31">
        <f>季度计划!BD4</f>
        <v>52</v>
      </c>
      <c r="BE4" s="31">
        <f>季度计划!BE4</f>
        <v>53</v>
      </c>
      <c r="BF4" s="31">
        <f>季度计划!BF4</f>
        <v>54</v>
      </c>
      <c r="BG4" s="31">
        <f>季度计划!BG4</f>
        <v>55</v>
      </c>
      <c r="BH4" s="31">
        <f>季度计划!BH4</f>
        <v>56</v>
      </c>
      <c r="BI4" s="31">
        <f>季度计划!BI4</f>
        <v>57</v>
      </c>
      <c r="BJ4" s="31">
        <f>季度计划!BJ4</f>
        <v>58</v>
      </c>
      <c r="BK4" s="31">
        <f>季度计划!BK4</f>
        <v>59</v>
      </c>
      <c r="BL4" s="31">
        <f>季度计划!BL4</f>
        <v>60</v>
      </c>
      <c r="BM4" s="31">
        <f>季度计划!BM4</f>
        <v>61</v>
      </c>
      <c r="BN4" s="31">
        <f>季度计划!BN4</f>
        <v>62</v>
      </c>
      <c r="BO4" s="31">
        <f>季度计划!BO4</f>
        <v>63</v>
      </c>
      <c r="BP4" s="31">
        <f>季度计划!BP4</f>
        <v>64</v>
      </c>
      <c r="BQ4" s="31">
        <f>季度计划!BQ4</f>
        <v>65</v>
      </c>
      <c r="BR4" s="31">
        <f>季度计划!BR4</f>
        <v>66</v>
      </c>
      <c r="BS4" s="31">
        <f>季度计划!BS4</f>
        <v>67</v>
      </c>
      <c r="BT4" s="31">
        <f>季度计划!BT4</f>
        <v>68</v>
      </c>
      <c r="BU4" s="31">
        <f>季度计划!BU4</f>
        <v>69</v>
      </c>
      <c r="BV4" s="31">
        <f>季度计划!BV4</f>
        <v>70</v>
      </c>
      <c r="BW4" s="31">
        <f>季度计划!BW4</f>
        <v>71</v>
      </c>
      <c r="BX4" s="31">
        <f>季度计划!BX4</f>
        <v>72</v>
      </c>
      <c r="BY4" s="31">
        <f>季度计划!BY4</f>
        <v>73</v>
      </c>
      <c r="BZ4" s="31">
        <f>季度计划!BZ4</f>
        <v>74</v>
      </c>
      <c r="CA4" s="31">
        <f>季度计划!CA4</f>
        <v>75</v>
      </c>
      <c r="CB4" s="31">
        <f>季度计划!CB4</f>
        <v>76</v>
      </c>
      <c r="CC4" s="31">
        <f>季度计划!CC4</f>
        <v>77</v>
      </c>
      <c r="CD4" s="31">
        <f>季度计划!CD4</f>
        <v>78</v>
      </c>
      <c r="CE4" s="31">
        <f>季度计划!CE4</f>
        <v>79</v>
      </c>
      <c r="CF4" s="31">
        <f>季度计划!CF4</f>
        <v>80</v>
      </c>
      <c r="CG4" s="31">
        <f>季度计划!CG4</f>
        <v>81</v>
      </c>
      <c r="CH4" s="31">
        <f>季度计划!CH4</f>
        <v>82</v>
      </c>
      <c r="CI4" s="31">
        <f>季度计划!CI4</f>
        <v>83</v>
      </c>
      <c r="CJ4" s="31">
        <f>季度计划!CJ4</f>
        <v>84</v>
      </c>
      <c r="CK4" s="31">
        <f>季度计划!CK4</f>
        <v>85</v>
      </c>
      <c r="CL4" s="31">
        <f>季度计划!CL4</f>
        <v>86</v>
      </c>
      <c r="CM4" s="31">
        <f>季度计划!CM4</f>
        <v>87</v>
      </c>
      <c r="CN4" s="31">
        <f>季度计划!CN4</f>
        <v>88</v>
      </c>
      <c r="CO4" s="31">
        <f>季度计划!CO4</f>
        <v>89</v>
      </c>
      <c r="CP4" s="31">
        <f>季度计划!CP4</f>
        <v>90</v>
      </c>
      <c r="CQ4" s="31">
        <f>季度计划!CQ4</f>
        <v>91</v>
      </c>
      <c r="CR4" s="31">
        <f>季度计划!CR4</f>
        <v>92</v>
      </c>
      <c r="CS4" s="31">
        <f>季度计划!CS4</f>
        <v>93</v>
      </c>
      <c r="CT4" s="31">
        <f>季度计划!CT4</f>
        <v>94</v>
      </c>
      <c r="CU4" s="31">
        <f>季度计划!CU4</f>
        <v>95</v>
      </c>
      <c r="CV4" s="31">
        <f>季度计划!CV4</f>
        <v>96</v>
      </c>
      <c r="CW4" s="31">
        <f>季度计划!CW4</f>
        <v>97</v>
      </c>
      <c r="CX4" s="31">
        <f>季度计划!CX4</f>
        <v>98</v>
      </c>
      <c r="CY4" s="31">
        <f>季度计划!CY4</f>
        <v>99</v>
      </c>
      <c r="CZ4" s="31">
        <f>季度计划!CZ4</f>
        <v>100</v>
      </c>
      <c r="DA4" s="31">
        <f>季度计划!DA4</f>
        <v>101</v>
      </c>
      <c r="DB4" s="31">
        <f>季度计划!DB4</f>
        <v>102</v>
      </c>
      <c r="DC4" s="31">
        <f>季度计划!DC4</f>
        <v>103</v>
      </c>
      <c r="DD4" s="31">
        <f>季度计划!DD4</f>
        <v>104</v>
      </c>
      <c r="DE4" s="31">
        <f>季度计划!DE4</f>
        <v>105</v>
      </c>
      <c r="DF4" s="31">
        <f>季度计划!DF4</f>
        <v>106</v>
      </c>
      <c r="DG4" s="31">
        <f>季度计划!DG4</f>
        <v>107</v>
      </c>
      <c r="DH4" s="31">
        <f>季度计划!DH4</f>
        <v>108</v>
      </c>
      <c r="DI4" s="31">
        <f>季度计划!DI4</f>
        <v>109</v>
      </c>
      <c r="DJ4" s="31">
        <f>季度计划!DJ4</f>
        <v>110</v>
      </c>
      <c r="DK4" s="31">
        <f>季度计划!DK4</f>
        <v>111</v>
      </c>
      <c r="DL4" s="31">
        <f>季度计划!DL4</f>
        <v>112</v>
      </c>
      <c r="DM4" s="31">
        <f>季度计划!DM4</f>
        <v>113</v>
      </c>
      <c r="DN4" s="31">
        <f>季度计划!DN4</f>
        <v>114</v>
      </c>
      <c r="DO4" s="31">
        <f>季度计划!DO4</f>
        <v>115</v>
      </c>
      <c r="DP4" s="31">
        <f>季度计划!DP4</f>
        <v>116</v>
      </c>
      <c r="DQ4" s="31">
        <f>季度计划!DQ4</f>
        <v>117</v>
      </c>
      <c r="DR4" s="31">
        <f>季度计划!DR4</f>
        <v>118</v>
      </c>
      <c r="DS4" s="31">
        <f>季度计划!DS4</f>
        <v>119</v>
      </c>
      <c r="DT4" s="31">
        <f>季度计划!DT4</f>
        <v>120</v>
      </c>
    </row>
    <row r="5" spans="1:124" ht="21" customHeight="1">
      <c r="A5" s="8" t="s">
        <v>398</v>
      </c>
      <c r="B5" s="8"/>
      <c r="C5" s="8"/>
      <c r="D5" s="21" t="str">
        <f>季度计划!D5</f>
        <v>2026年末 / 第0年</v>
      </c>
      <c r="E5" s="21" t="str">
        <f>季度计划!E5</f>
        <v>2027Q1</v>
      </c>
      <c r="F5" s="21" t="str">
        <f>季度计划!F5</f>
        <v>2027Q2</v>
      </c>
      <c r="G5" s="21" t="str">
        <f>季度计划!G5</f>
        <v>2027Q3</v>
      </c>
      <c r="H5" s="21" t="str">
        <f>季度计划!H5</f>
        <v>2027Q4</v>
      </c>
      <c r="I5" s="21" t="str">
        <f>季度计划!I5</f>
        <v>2028Q1</v>
      </c>
      <c r="J5" s="21" t="str">
        <f>季度计划!J5</f>
        <v>2028Q2</v>
      </c>
      <c r="K5" s="21" t="str">
        <f>季度计划!K5</f>
        <v>2028Q3</v>
      </c>
      <c r="L5" s="21" t="str">
        <f>季度计划!L5</f>
        <v>2028Q4</v>
      </c>
      <c r="M5" s="21" t="str">
        <f>季度计划!M5</f>
        <v>2029Q1</v>
      </c>
      <c r="N5" s="21" t="str">
        <f>季度计划!N5</f>
        <v>2029Q2</v>
      </c>
      <c r="O5" s="21" t="str">
        <f>季度计划!O5</f>
        <v>2029Q3</v>
      </c>
      <c r="P5" s="21" t="str">
        <f>季度计划!P5</f>
        <v>2029Q4</v>
      </c>
      <c r="Q5" s="21" t="str">
        <f>季度计划!Q5</f>
        <v>2030Q1</v>
      </c>
      <c r="R5" s="21" t="str">
        <f>季度计划!R5</f>
        <v>2030Q2</v>
      </c>
      <c r="S5" s="21" t="str">
        <f>季度计划!S5</f>
        <v>2030Q3</v>
      </c>
      <c r="T5" s="21" t="str">
        <f>季度计划!T5</f>
        <v>2030Q4</v>
      </c>
      <c r="U5" s="21" t="str">
        <f>季度计划!U5</f>
        <v>2031Q1</v>
      </c>
      <c r="V5" s="21" t="str">
        <f>季度计划!V5</f>
        <v>2031Q2</v>
      </c>
      <c r="W5" s="21" t="str">
        <f>季度计划!W5</f>
        <v>2031Q3</v>
      </c>
      <c r="X5" s="21" t="str">
        <f>季度计划!X5</f>
        <v>2031Q4</v>
      </c>
      <c r="Y5" s="21" t="str">
        <f>季度计划!Y5</f>
        <v>2032Q1</v>
      </c>
      <c r="Z5" s="21" t="str">
        <f>季度计划!Z5</f>
        <v>2032Q2</v>
      </c>
      <c r="AA5" s="21" t="str">
        <f>季度计划!AA5</f>
        <v>2032Q3</v>
      </c>
      <c r="AB5" s="21" t="str">
        <f>季度计划!AB5</f>
        <v>2032Q4</v>
      </c>
      <c r="AC5" s="21" t="str">
        <f>季度计划!AC5</f>
        <v>2033Q1</v>
      </c>
      <c r="AD5" s="21" t="str">
        <f>季度计划!AD5</f>
        <v>2033Q2</v>
      </c>
      <c r="AE5" s="21" t="str">
        <f>季度计划!AE5</f>
        <v>2033Q3</v>
      </c>
      <c r="AF5" s="21" t="str">
        <f>季度计划!AF5</f>
        <v>2033Q4</v>
      </c>
      <c r="AG5" s="21" t="str">
        <f>季度计划!AG5</f>
        <v>2034Q1</v>
      </c>
      <c r="AH5" s="21" t="str">
        <f>季度计划!AH5</f>
        <v>2034Q2</v>
      </c>
      <c r="AI5" s="21" t="str">
        <f>季度计划!AI5</f>
        <v>2034Q3</v>
      </c>
      <c r="AJ5" s="21" t="str">
        <f>季度计划!AJ5</f>
        <v>2034Q4</v>
      </c>
      <c r="AK5" s="21" t="str">
        <f>季度计划!AK5</f>
        <v>2035Q1</v>
      </c>
      <c r="AL5" s="21" t="str">
        <f>季度计划!AL5</f>
        <v>2035Q2</v>
      </c>
      <c r="AM5" s="21" t="str">
        <f>季度计划!AM5</f>
        <v>2035Q3</v>
      </c>
      <c r="AN5" s="21" t="str">
        <f>季度计划!AN5</f>
        <v>2035Q4</v>
      </c>
      <c r="AO5" s="21" t="str">
        <f>季度计划!AO5</f>
        <v>2036Q1</v>
      </c>
      <c r="AP5" s="21" t="str">
        <f>季度计划!AP5</f>
        <v>2036Q2</v>
      </c>
      <c r="AQ5" s="21" t="str">
        <f>季度计划!AQ5</f>
        <v>2036Q3</v>
      </c>
      <c r="AR5" s="21" t="str">
        <f>季度计划!AR5</f>
        <v>2036Q4</v>
      </c>
      <c r="AS5" s="21" t="str">
        <f>季度计划!AS5</f>
        <v>2037Q1</v>
      </c>
      <c r="AT5" s="21" t="str">
        <f>季度计划!AT5</f>
        <v>2037Q2</v>
      </c>
      <c r="AU5" s="21" t="str">
        <f>季度计划!AU5</f>
        <v>2037Q3</v>
      </c>
      <c r="AV5" s="21" t="str">
        <f>季度计划!AV5</f>
        <v>2037Q4</v>
      </c>
      <c r="AW5" s="21" t="str">
        <f>季度计划!AW5</f>
        <v>2038Q1</v>
      </c>
      <c r="AX5" s="21" t="str">
        <f>季度计划!AX5</f>
        <v>2038Q2</v>
      </c>
      <c r="AY5" s="21" t="str">
        <f>季度计划!AY5</f>
        <v>2038Q3</v>
      </c>
      <c r="AZ5" s="21" t="str">
        <f>季度计划!AZ5</f>
        <v>2038Q4</v>
      </c>
      <c r="BA5" s="21" t="str">
        <f>季度计划!BA5</f>
        <v>2039Q1</v>
      </c>
      <c r="BB5" s="21" t="str">
        <f>季度计划!BB5</f>
        <v>2039Q2</v>
      </c>
      <c r="BC5" s="21" t="str">
        <f>季度计划!BC5</f>
        <v>2039Q3</v>
      </c>
      <c r="BD5" s="21" t="str">
        <f>季度计划!BD5</f>
        <v>2039Q4</v>
      </c>
      <c r="BE5" s="21" t="str">
        <f>季度计划!BE5</f>
        <v>2040Q1</v>
      </c>
      <c r="BF5" s="21" t="str">
        <f>季度计划!BF5</f>
        <v>2040Q2</v>
      </c>
      <c r="BG5" s="21" t="str">
        <f>季度计划!BG5</f>
        <v>2040Q3</v>
      </c>
      <c r="BH5" s="21" t="str">
        <f>季度计划!BH5</f>
        <v>2040Q4</v>
      </c>
      <c r="BI5" s="21" t="str">
        <f>季度计划!BI5</f>
        <v>2041Q1</v>
      </c>
      <c r="BJ5" s="21" t="str">
        <f>季度计划!BJ5</f>
        <v>2041Q2</v>
      </c>
      <c r="BK5" s="21" t="str">
        <f>季度计划!BK5</f>
        <v>2041Q3</v>
      </c>
      <c r="BL5" s="21" t="str">
        <f>季度计划!BL5</f>
        <v>2041Q4</v>
      </c>
      <c r="BM5" s="21" t="str">
        <f>季度计划!BM5</f>
        <v>2042Q1</v>
      </c>
      <c r="BN5" s="21" t="str">
        <f>季度计划!BN5</f>
        <v>2042Q2</v>
      </c>
      <c r="BO5" s="21" t="str">
        <f>季度计划!BO5</f>
        <v>2042Q3</v>
      </c>
      <c r="BP5" s="21" t="str">
        <f>季度计划!BP5</f>
        <v>2042Q4</v>
      </c>
      <c r="BQ5" s="21" t="str">
        <f>季度计划!BQ5</f>
        <v>2043Q1</v>
      </c>
      <c r="BR5" s="21" t="str">
        <f>季度计划!BR5</f>
        <v>2043Q2</v>
      </c>
      <c r="BS5" s="21" t="str">
        <f>季度计划!BS5</f>
        <v>2043Q3</v>
      </c>
      <c r="BT5" s="21" t="str">
        <f>季度计划!BT5</f>
        <v>2043Q4</v>
      </c>
      <c r="BU5" s="21" t="str">
        <f>季度计划!BU5</f>
        <v>2044Q1</v>
      </c>
      <c r="BV5" s="21" t="str">
        <f>季度计划!BV5</f>
        <v>2044Q2</v>
      </c>
      <c r="BW5" s="21" t="str">
        <f>季度计划!BW5</f>
        <v>2044Q3</v>
      </c>
      <c r="BX5" s="21" t="str">
        <f>季度计划!BX5</f>
        <v>2044Q4</v>
      </c>
      <c r="BY5" s="21" t="str">
        <f>季度计划!BY5</f>
        <v>2045Q1</v>
      </c>
      <c r="BZ5" s="21" t="str">
        <f>季度计划!BZ5</f>
        <v>2045Q2</v>
      </c>
      <c r="CA5" s="21" t="str">
        <f>季度计划!CA5</f>
        <v>2045Q3</v>
      </c>
      <c r="CB5" s="21" t="str">
        <f>季度计划!CB5</f>
        <v>2045Q4</v>
      </c>
      <c r="CC5" s="21" t="str">
        <f>季度计划!CC5</f>
        <v>2046Q1</v>
      </c>
      <c r="CD5" s="21" t="str">
        <f>季度计划!CD5</f>
        <v>2046Q2</v>
      </c>
      <c r="CE5" s="21" t="str">
        <f>季度计划!CE5</f>
        <v>2046Q3</v>
      </c>
      <c r="CF5" s="21" t="str">
        <f>季度计划!CF5</f>
        <v>2046Q4</v>
      </c>
      <c r="CG5" s="21" t="str">
        <f>季度计划!CG5</f>
        <v>2047Q1</v>
      </c>
      <c r="CH5" s="21" t="str">
        <f>季度计划!CH5</f>
        <v>2047Q2</v>
      </c>
      <c r="CI5" s="21" t="str">
        <f>季度计划!CI5</f>
        <v>2047Q3</v>
      </c>
      <c r="CJ5" s="21" t="str">
        <f>季度计划!CJ5</f>
        <v>2047Q4</v>
      </c>
      <c r="CK5" s="21" t="str">
        <f>季度计划!CK5</f>
        <v>2048Q1</v>
      </c>
      <c r="CL5" s="21" t="str">
        <f>季度计划!CL5</f>
        <v>2048Q2</v>
      </c>
      <c r="CM5" s="21" t="str">
        <f>季度计划!CM5</f>
        <v>2048Q3</v>
      </c>
      <c r="CN5" s="21" t="str">
        <f>季度计划!CN5</f>
        <v>2048Q4</v>
      </c>
      <c r="CO5" s="21" t="str">
        <f>季度计划!CO5</f>
        <v>2049Q1</v>
      </c>
      <c r="CP5" s="21" t="str">
        <f>季度计划!CP5</f>
        <v>2049Q2</v>
      </c>
      <c r="CQ5" s="21" t="str">
        <f>季度计划!CQ5</f>
        <v>2049Q3</v>
      </c>
      <c r="CR5" s="21" t="str">
        <f>季度计划!CR5</f>
        <v>2049Q4</v>
      </c>
      <c r="CS5" s="21" t="str">
        <f>季度计划!CS5</f>
        <v>2050Q1</v>
      </c>
      <c r="CT5" s="21" t="str">
        <f>季度计划!CT5</f>
        <v>2050Q2</v>
      </c>
      <c r="CU5" s="21" t="str">
        <f>季度计划!CU5</f>
        <v>2050Q3</v>
      </c>
      <c r="CV5" s="21" t="str">
        <f>季度计划!CV5</f>
        <v>2050Q4</v>
      </c>
      <c r="CW5" s="21" t="str">
        <f>季度计划!CW5</f>
        <v>2051Q1</v>
      </c>
      <c r="CX5" s="21" t="str">
        <f>季度计划!CX5</f>
        <v>2051Q2</v>
      </c>
      <c r="CY5" s="21" t="str">
        <f>季度计划!CY5</f>
        <v>2051Q3</v>
      </c>
      <c r="CZ5" s="21" t="str">
        <f>季度计划!CZ5</f>
        <v>2051Q4</v>
      </c>
      <c r="DA5" s="21" t="str">
        <f>季度计划!DA5</f>
        <v>2052Q1</v>
      </c>
      <c r="DB5" s="21" t="str">
        <f>季度计划!DB5</f>
        <v>2052Q2</v>
      </c>
      <c r="DC5" s="21" t="str">
        <f>季度计划!DC5</f>
        <v>2052Q3</v>
      </c>
      <c r="DD5" s="21" t="str">
        <f>季度计划!DD5</f>
        <v>2052Q4</v>
      </c>
      <c r="DE5" s="21" t="str">
        <f>季度计划!DE5</f>
        <v>2053Q1</v>
      </c>
      <c r="DF5" s="21" t="str">
        <f>季度计划!DF5</f>
        <v>2053Q2</v>
      </c>
      <c r="DG5" s="21" t="str">
        <f>季度计划!DG5</f>
        <v>2053Q3</v>
      </c>
      <c r="DH5" s="21" t="str">
        <f>季度计划!DH5</f>
        <v>2053Q4</v>
      </c>
      <c r="DI5" s="21" t="str">
        <f>季度计划!DI5</f>
        <v>2054Q1</v>
      </c>
      <c r="DJ5" s="21" t="str">
        <f>季度计划!DJ5</f>
        <v>2054Q2</v>
      </c>
      <c r="DK5" s="21" t="str">
        <f>季度计划!DK5</f>
        <v>2054Q3</v>
      </c>
      <c r="DL5" s="21" t="str">
        <f>季度计划!DL5</f>
        <v>2054Q4</v>
      </c>
      <c r="DM5" s="21" t="str">
        <f>季度计划!DM5</f>
        <v>2055Q1</v>
      </c>
      <c r="DN5" s="21" t="str">
        <f>季度计划!DN5</f>
        <v>2055Q2</v>
      </c>
      <c r="DO5" s="21" t="str">
        <f>季度计划!DO5</f>
        <v>2055Q3</v>
      </c>
      <c r="DP5" s="21" t="str">
        <f>季度计划!DP5</f>
        <v>2055Q4</v>
      </c>
      <c r="DQ5" s="21" t="str">
        <f>季度计划!DQ5</f>
        <v>2056Q1</v>
      </c>
      <c r="DR5" s="21" t="str">
        <f>季度计划!DR5</f>
        <v>2056Q2</v>
      </c>
      <c r="DS5" s="21" t="str">
        <f>季度计划!DS5</f>
        <v>2056Q3</v>
      </c>
      <c r="DT5" s="21" t="str">
        <f>季度计划!DT5</f>
        <v>2056Q4</v>
      </c>
    </row>
    <row r="6" spans="1:124" ht="21" customHeight="1">
      <c r="A6" s="8" t="s">
        <v>360</v>
      </c>
      <c r="B6" s="8"/>
      <c r="C6" s="8"/>
      <c r="D6" s="31">
        <f>季度计划!D6</f>
        <v>0</v>
      </c>
      <c r="E6" s="31">
        <f>季度计划!E6</f>
        <v>1</v>
      </c>
      <c r="F6" s="31">
        <f>季度计划!F6</f>
        <v>1</v>
      </c>
      <c r="G6" s="31">
        <f>季度计划!G6</f>
        <v>1</v>
      </c>
      <c r="H6" s="31">
        <f>季度计划!H6</f>
        <v>1</v>
      </c>
      <c r="I6" s="31">
        <f>季度计划!I6</f>
        <v>2</v>
      </c>
      <c r="J6" s="31">
        <f>季度计划!J6</f>
        <v>2</v>
      </c>
      <c r="K6" s="31">
        <f>季度计划!K6</f>
        <v>2</v>
      </c>
      <c r="L6" s="31">
        <f>季度计划!L6</f>
        <v>2</v>
      </c>
      <c r="M6" s="31">
        <f>季度计划!M6</f>
        <v>3</v>
      </c>
      <c r="N6" s="31">
        <f>季度计划!N6</f>
        <v>3</v>
      </c>
      <c r="O6" s="31">
        <f>季度计划!O6</f>
        <v>3</v>
      </c>
      <c r="P6" s="31">
        <f>季度计划!P6</f>
        <v>3</v>
      </c>
      <c r="Q6" s="31">
        <f>季度计划!Q6</f>
        <v>4</v>
      </c>
      <c r="R6" s="31">
        <f>季度计划!R6</f>
        <v>4</v>
      </c>
      <c r="S6" s="31">
        <f>季度计划!S6</f>
        <v>4</v>
      </c>
      <c r="T6" s="31">
        <f>季度计划!T6</f>
        <v>4</v>
      </c>
      <c r="U6" s="31">
        <f>季度计划!U6</f>
        <v>5</v>
      </c>
      <c r="V6" s="31">
        <f>季度计划!V6</f>
        <v>5</v>
      </c>
      <c r="W6" s="31">
        <f>季度计划!W6</f>
        <v>5</v>
      </c>
      <c r="X6" s="31">
        <f>季度计划!X6</f>
        <v>5</v>
      </c>
      <c r="Y6" s="31">
        <f>季度计划!Y6</f>
        <v>6</v>
      </c>
      <c r="Z6" s="31">
        <f>季度计划!Z6</f>
        <v>6</v>
      </c>
      <c r="AA6" s="31">
        <f>季度计划!AA6</f>
        <v>6</v>
      </c>
      <c r="AB6" s="31">
        <f>季度计划!AB6</f>
        <v>6</v>
      </c>
      <c r="AC6" s="31">
        <f>季度计划!AC6</f>
        <v>7</v>
      </c>
      <c r="AD6" s="31">
        <f>季度计划!AD6</f>
        <v>7</v>
      </c>
      <c r="AE6" s="31">
        <f>季度计划!AE6</f>
        <v>7</v>
      </c>
      <c r="AF6" s="31">
        <f>季度计划!AF6</f>
        <v>7</v>
      </c>
      <c r="AG6" s="31">
        <f>季度计划!AG6</f>
        <v>8</v>
      </c>
      <c r="AH6" s="31">
        <f>季度计划!AH6</f>
        <v>8</v>
      </c>
      <c r="AI6" s="31">
        <f>季度计划!AI6</f>
        <v>8</v>
      </c>
      <c r="AJ6" s="31">
        <f>季度计划!AJ6</f>
        <v>8</v>
      </c>
      <c r="AK6" s="31">
        <f>季度计划!AK6</f>
        <v>9</v>
      </c>
      <c r="AL6" s="31">
        <f>季度计划!AL6</f>
        <v>9</v>
      </c>
      <c r="AM6" s="31">
        <f>季度计划!AM6</f>
        <v>9</v>
      </c>
      <c r="AN6" s="31">
        <f>季度计划!AN6</f>
        <v>9</v>
      </c>
      <c r="AO6" s="31">
        <f>季度计划!AO6</f>
        <v>10</v>
      </c>
      <c r="AP6" s="31">
        <f>季度计划!AP6</f>
        <v>10</v>
      </c>
      <c r="AQ6" s="31">
        <f>季度计划!AQ6</f>
        <v>10</v>
      </c>
      <c r="AR6" s="31">
        <f>季度计划!AR6</f>
        <v>10</v>
      </c>
      <c r="AS6" s="31">
        <f>季度计划!AS6</f>
        <v>11</v>
      </c>
      <c r="AT6" s="31">
        <f>季度计划!AT6</f>
        <v>11</v>
      </c>
      <c r="AU6" s="31">
        <f>季度计划!AU6</f>
        <v>11</v>
      </c>
      <c r="AV6" s="31">
        <f>季度计划!AV6</f>
        <v>11</v>
      </c>
      <c r="AW6" s="31">
        <f>季度计划!AW6</f>
        <v>12</v>
      </c>
      <c r="AX6" s="31">
        <f>季度计划!AX6</f>
        <v>12</v>
      </c>
      <c r="AY6" s="31">
        <f>季度计划!AY6</f>
        <v>12</v>
      </c>
      <c r="AZ6" s="31">
        <f>季度计划!AZ6</f>
        <v>12</v>
      </c>
      <c r="BA6" s="31">
        <f>季度计划!BA6</f>
        <v>13</v>
      </c>
      <c r="BB6" s="31">
        <f>季度计划!BB6</f>
        <v>13</v>
      </c>
      <c r="BC6" s="31">
        <f>季度计划!BC6</f>
        <v>13</v>
      </c>
      <c r="BD6" s="31">
        <f>季度计划!BD6</f>
        <v>13</v>
      </c>
      <c r="BE6" s="31">
        <f>季度计划!BE6</f>
        <v>14</v>
      </c>
      <c r="BF6" s="31">
        <f>季度计划!BF6</f>
        <v>14</v>
      </c>
      <c r="BG6" s="31">
        <f>季度计划!BG6</f>
        <v>14</v>
      </c>
      <c r="BH6" s="31">
        <f>季度计划!BH6</f>
        <v>14</v>
      </c>
      <c r="BI6" s="31">
        <f>季度计划!BI6</f>
        <v>15</v>
      </c>
      <c r="BJ6" s="31">
        <f>季度计划!BJ6</f>
        <v>15</v>
      </c>
      <c r="BK6" s="31">
        <f>季度计划!BK6</f>
        <v>15</v>
      </c>
      <c r="BL6" s="31">
        <f>季度计划!BL6</f>
        <v>15</v>
      </c>
      <c r="BM6" s="31">
        <f>季度计划!BM6</f>
        <v>16</v>
      </c>
      <c r="BN6" s="31">
        <f>季度计划!BN6</f>
        <v>16</v>
      </c>
      <c r="BO6" s="31">
        <f>季度计划!BO6</f>
        <v>16</v>
      </c>
      <c r="BP6" s="31">
        <f>季度计划!BP6</f>
        <v>16</v>
      </c>
      <c r="BQ6" s="31">
        <f>季度计划!BQ6</f>
        <v>17</v>
      </c>
      <c r="BR6" s="31">
        <f>季度计划!BR6</f>
        <v>17</v>
      </c>
      <c r="BS6" s="31">
        <f>季度计划!BS6</f>
        <v>17</v>
      </c>
      <c r="BT6" s="31">
        <f>季度计划!BT6</f>
        <v>17</v>
      </c>
      <c r="BU6" s="31">
        <f>季度计划!BU6</f>
        <v>18</v>
      </c>
      <c r="BV6" s="31">
        <f>季度计划!BV6</f>
        <v>18</v>
      </c>
      <c r="BW6" s="31">
        <f>季度计划!BW6</f>
        <v>18</v>
      </c>
      <c r="BX6" s="31">
        <f>季度计划!BX6</f>
        <v>18</v>
      </c>
      <c r="BY6" s="31">
        <f>季度计划!BY6</f>
        <v>19</v>
      </c>
      <c r="BZ6" s="31">
        <f>季度计划!BZ6</f>
        <v>19</v>
      </c>
      <c r="CA6" s="31">
        <f>季度计划!CA6</f>
        <v>19</v>
      </c>
      <c r="CB6" s="31">
        <f>季度计划!CB6</f>
        <v>19</v>
      </c>
      <c r="CC6" s="31">
        <f>季度计划!CC6</f>
        <v>20</v>
      </c>
      <c r="CD6" s="31">
        <f>季度计划!CD6</f>
        <v>20</v>
      </c>
      <c r="CE6" s="31">
        <f>季度计划!CE6</f>
        <v>20</v>
      </c>
      <c r="CF6" s="31">
        <f>季度计划!CF6</f>
        <v>20</v>
      </c>
      <c r="CG6" s="31">
        <f>季度计划!CG6</f>
        <v>21</v>
      </c>
      <c r="CH6" s="31">
        <f>季度计划!CH6</f>
        <v>21</v>
      </c>
      <c r="CI6" s="31">
        <f>季度计划!CI6</f>
        <v>21</v>
      </c>
      <c r="CJ6" s="31">
        <f>季度计划!CJ6</f>
        <v>21</v>
      </c>
      <c r="CK6" s="31">
        <f>季度计划!CK6</f>
        <v>22</v>
      </c>
      <c r="CL6" s="31">
        <f>季度计划!CL6</f>
        <v>22</v>
      </c>
      <c r="CM6" s="31">
        <f>季度计划!CM6</f>
        <v>22</v>
      </c>
      <c r="CN6" s="31">
        <f>季度计划!CN6</f>
        <v>22</v>
      </c>
      <c r="CO6" s="31">
        <f>季度计划!CO6</f>
        <v>23</v>
      </c>
      <c r="CP6" s="31">
        <f>季度计划!CP6</f>
        <v>23</v>
      </c>
      <c r="CQ6" s="31">
        <f>季度计划!CQ6</f>
        <v>23</v>
      </c>
      <c r="CR6" s="31">
        <f>季度计划!CR6</f>
        <v>23</v>
      </c>
      <c r="CS6" s="31">
        <f>季度计划!CS6</f>
        <v>24</v>
      </c>
      <c r="CT6" s="31">
        <f>季度计划!CT6</f>
        <v>24</v>
      </c>
      <c r="CU6" s="31">
        <f>季度计划!CU6</f>
        <v>24</v>
      </c>
      <c r="CV6" s="31">
        <f>季度计划!CV6</f>
        <v>24</v>
      </c>
      <c r="CW6" s="31">
        <f>季度计划!CW6</f>
        <v>25</v>
      </c>
      <c r="CX6" s="31">
        <f>季度计划!CX6</f>
        <v>25</v>
      </c>
      <c r="CY6" s="31">
        <f>季度计划!CY6</f>
        <v>25</v>
      </c>
      <c r="CZ6" s="31">
        <f>季度计划!CZ6</f>
        <v>25</v>
      </c>
      <c r="DA6" s="31">
        <f>季度计划!DA6</f>
        <v>26</v>
      </c>
      <c r="DB6" s="31">
        <f>季度计划!DB6</f>
        <v>26</v>
      </c>
      <c r="DC6" s="31">
        <f>季度计划!DC6</f>
        <v>26</v>
      </c>
      <c r="DD6" s="31">
        <f>季度计划!DD6</f>
        <v>26</v>
      </c>
      <c r="DE6" s="31">
        <f>季度计划!DE6</f>
        <v>27</v>
      </c>
      <c r="DF6" s="31">
        <f>季度计划!DF6</f>
        <v>27</v>
      </c>
      <c r="DG6" s="31">
        <f>季度计划!DG6</f>
        <v>27</v>
      </c>
      <c r="DH6" s="31">
        <f>季度计划!DH6</f>
        <v>27</v>
      </c>
      <c r="DI6" s="31">
        <f>季度计划!DI6</f>
        <v>28</v>
      </c>
      <c r="DJ6" s="31">
        <f>季度计划!DJ6</f>
        <v>28</v>
      </c>
      <c r="DK6" s="31">
        <f>季度计划!DK6</f>
        <v>28</v>
      </c>
      <c r="DL6" s="31">
        <f>季度计划!DL6</f>
        <v>28</v>
      </c>
      <c r="DM6" s="31">
        <f>季度计划!DM6</f>
        <v>29</v>
      </c>
      <c r="DN6" s="31">
        <f>季度计划!DN6</f>
        <v>29</v>
      </c>
      <c r="DO6" s="31">
        <f>季度计划!DO6</f>
        <v>29</v>
      </c>
      <c r="DP6" s="31">
        <f>季度计划!DP6</f>
        <v>29</v>
      </c>
      <c r="DQ6" s="31">
        <f>季度计划!DQ6</f>
        <v>30</v>
      </c>
      <c r="DR6" s="31">
        <f>季度计划!DR6</f>
        <v>30</v>
      </c>
      <c r="DS6" s="31">
        <f>季度计划!DS6</f>
        <v>30</v>
      </c>
      <c r="DT6" s="31">
        <f>季度计划!DT6</f>
        <v>30</v>
      </c>
    </row>
    <row r="7" spans="1:124" ht="21" customHeight="1">
      <c r="A7" s="8"/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</row>
    <row r="8" spans="1:124" ht="24" customHeight="1">
      <c r="A8" s="23" t="s">
        <v>446</v>
      </c>
      <c r="B8" s="23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</row>
    <row r="9" spans="1:124" ht="21" customHeight="1">
      <c r="A9" s="8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</row>
    <row r="10" spans="1:124" ht="21" customHeight="1">
      <c r="A10" s="8" t="s">
        <v>447</v>
      </c>
      <c r="B10" s="8" t="s">
        <v>39</v>
      </c>
      <c r="C10" s="8"/>
      <c r="D10" s="9">
        <f>IF(0&lt;=核心参数输入!$B$9*4,(核心参数输入!$B$10*核心参数输入!$B$11*核心参数输入!$B$12*核心参数输入!$B$142)*季度计划!D15,0)</f>
        <v>0</v>
      </c>
      <c r="E10" s="9">
        <f>IF(1&lt;=核心参数输入!$B$9*4,(核心参数输入!$B$10*核心参数输入!$B$11*核心参数输入!$B$12*核心参数输入!$B$142)*季度计划!E15,0)</f>
        <v>0</v>
      </c>
      <c r="F10" s="9">
        <f>IF(2&lt;=核心参数输入!$B$9*4,(核心参数输入!$B$10*核心参数输入!$B$11*核心参数输入!$B$12*核心参数输入!$B$142)*季度计划!F15,0)</f>
        <v>0</v>
      </c>
      <c r="G10" s="9">
        <f>IF(3&lt;=核心参数输入!$B$9*4,(核心参数输入!$B$10*核心参数输入!$B$11*核心参数输入!$B$12*核心参数输入!$B$142)*季度计划!G15,0)</f>
        <v>0</v>
      </c>
      <c r="H10" s="9">
        <f>IF(4&lt;=核心参数输入!$B$9*4,(核心参数输入!$B$10*核心参数输入!$B$11*核心参数输入!$B$12*核心参数输入!$B$142)*季度计划!H15,0)</f>
        <v>0</v>
      </c>
      <c r="I10" s="9">
        <f>IF(5&lt;=核心参数输入!$B$9*4,(核心参数输入!$B$10*核心参数输入!$B$11*核心参数输入!$B$12*核心参数输入!$B$142)*季度计划!I15,0)</f>
        <v>0</v>
      </c>
      <c r="J10" s="9">
        <f>IF(6&lt;=核心参数输入!$B$9*4,(核心参数输入!$B$10*核心参数输入!$B$11*核心参数输入!$B$12*核心参数输入!$B$142)*季度计划!J15,0)</f>
        <v>0</v>
      </c>
      <c r="K10" s="9">
        <f>IF(7&lt;=核心参数输入!$B$9*4,(核心参数输入!$B$10*核心参数输入!$B$11*核心参数输入!$B$12*核心参数输入!$B$142)*季度计划!K15,0)</f>
        <v>0</v>
      </c>
      <c r="L10" s="9">
        <f>IF(8&lt;=核心参数输入!$B$9*4,(核心参数输入!$B$10*核心参数输入!$B$11*核心参数输入!$B$12*核心参数输入!$B$142)*季度计划!L15,0)</f>
        <v>0</v>
      </c>
      <c r="M10" s="9">
        <f>IF(9&lt;=核心参数输入!$B$9*4,(核心参数输入!$B$10*核心参数输入!$B$11*核心参数输入!$B$12*核心参数输入!$B$142)*季度计划!M15,0)</f>
        <v>0</v>
      </c>
      <c r="N10" s="9">
        <f>IF(10&lt;=核心参数输入!$B$9*4,(核心参数输入!$B$10*核心参数输入!$B$11*核心参数输入!$B$12*核心参数输入!$B$142)*季度计划!N15,0)</f>
        <v>0</v>
      </c>
      <c r="O10" s="9">
        <f>IF(11&lt;=核心参数输入!$B$9*4,(核心参数输入!$B$10*核心参数输入!$B$11*核心参数输入!$B$12*核心参数输入!$B$142)*季度计划!O15,0)</f>
        <v>0</v>
      </c>
      <c r="P10" s="9">
        <f>IF(12&lt;=核心参数输入!$B$9*4,(核心参数输入!$B$10*核心参数输入!$B$11*核心参数输入!$B$12*核心参数输入!$B$142)*季度计划!P15,0)</f>
        <v>0</v>
      </c>
      <c r="Q10" s="9">
        <f>IF(13&lt;=核心参数输入!$B$9*4,(核心参数输入!$B$10*核心参数输入!$B$11*核心参数输入!$B$12*核心参数输入!$B$142)*季度计划!Q15,0)</f>
        <v>5568.75</v>
      </c>
      <c r="R10" s="9">
        <f>IF(14&lt;=核心参数输入!$B$9*4,(核心参数输入!$B$10*核心参数输入!$B$11*核心参数输入!$B$12*核心参数输入!$B$142)*季度计划!R15,0)</f>
        <v>5568.75</v>
      </c>
      <c r="S10" s="9">
        <f>IF(15&lt;=核心参数输入!$B$9*4,(核心参数输入!$B$10*核心参数输入!$B$11*核心参数输入!$B$12*核心参数输入!$B$142)*季度计划!S15,0)</f>
        <v>5568.75</v>
      </c>
      <c r="T10" s="9">
        <f>IF(16&lt;=核心参数输入!$B$9*4,(核心参数输入!$B$10*核心参数输入!$B$11*核心参数输入!$B$12*核心参数输入!$B$142)*季度计划!T15,0)</f>
        <v>5568.75</v>
      </c>
      <c r="U10" s="9">
        <f>IF(17&lt;=核心参数输入!$B$9*4,(核心参数输入!$B$10*核心参数输入!$B$11*核心参数输入!$B$12*核心参数输入!$B$142)*季度计划!U15,0)</f>
        <v>7425</v>
      </c>
      <c r="V10" s="9">
        <f>IF(18&lt;=核心参数输入!$B$9*4,(核心参数输入!$B$10*核心参数输入!$B$11*核心参数输入!$B$12*核心参数输入!$B$142)*季度计划!V15,0)</f>
        <v>7425</v>
      </c>
      <c r="W10" s="9">
        <f>IF(19&lt;=核心参数输入!$B$9*4,(核心参数输入!$B$10*核心参数输入!$B$11*核心参数输入!$B$12*核心参数输入!$B$142)*季度计划!W15,0)</f>
        <v>7425</v>
      </c>
      <c r="X10" s="9">
        <f>IF(20&lt;=核心参数输入!$B$9*4,(核心参数输入!$B$10*核心参数输入!$B$11*核心参数输入!$B$12*核心参数输入!$B$142)*季度计划!X15,0)</f>
        <v>7425</v>
      </c>
      <c r="Y10" s="9">
        <f>IF(21&lt;=核心参数输入!$B$9*4,(核心参数输入!$B$10*核心参数输入!$B$11*核心参数输入!$B$12*核心参数输入!$B$142)*季度计划!Y15,0)</f>
        <v>5568.75</v>
      </c>
      <c r="Z10" s="9">
        <f>IF(22&lt;=核心参数输入!$B$9*4,(核心参数输入!$B$10*核心参数输入!$B$11*核心参数输入!$B$12*核心参数输入!$B$142)*季度计划!Z15,0)</f>
        <v>5568.75</v>
      </c>
      <c r="AA10" s="9">
        <f>IF(23&lt;=核心参数输入!$B$9*4,(核心参数输入!$B$10*核心参数输入!$B$11*核心参数输入!$B$12*核心参数输入!$B$142)*季度计划!AA15,0)</f>
        <v>5568.75</v>
      </c>
      <c r="AB10" s="9">
        <f>IF(24&lt;=核心参数输入!$B$9*4,(核心参数输入!$B$10*核心参数输入!$B$11*核心参数输入!$B$12*核心参数输入!$B$142)*季度计划!AB15,0)</f>
        <v>5568.75</v>
      </c>
      <c r="AC10" s="9">
        <f>IF(25&lt;=核心参数输入!$B$9*4,(核心参数输入!$B$10*核心参数输入!$B$11*核心参数输入!$B$12*核心参数输入!$B$142)*季度计划!AC15,0)</f>
        <v>0</v>
      </c>
      <c r="AD10" s="9">
        <f>IF(26&lt;=核心参数输入!$B$9*4,(核心参数输入!$B$10*核心参数输入!$B$11*核心参数输入!$B$12*核心参数输入!$B$142)*季度计划!AD15,0)</f>
        <v>0</v>
      </c>
      <c r="AE10" s="9">
        <f>IF(27&lt;=核心参数输入!$B$9*4,(核心参数输入!$B$10*核心参数输入!$B$11*核心参数输入!$B$12*核心参数输入!$B$142)*季度计划!AE15,0)</f>
        <v>0</v>
      </c>
      <c r="AF10" s="9">
        <f>IF(28&lt;=核心参数输入!$B$9*4,(核心参数输入!$B$10*核心参数输入!$B$11*核心参数输入!$B$12*核心参数输入!$B$142)*季度计划!AF15,0)</f>
        <v>0</v>
      </c>
      <c r="AG10" s="9">
        <f>IF(29&lt;=核心参数输入!$B$9*4,(核心参数输入!$B$10*核心参数输入!$B$11*核心参数输入!$B$12*核心参数输入!$B$142)*季度计划!AG15,0)</f>
        <v>0</v>
      </c>
      <c r="AH10" s="9">
        <f>IF(30&lt;=核心参数输入!$B$9*4,(核心参数输入!$B$10*核心参数输入!$B$11*核心参数输入!$B$12*核心参数输入!$B$142)*季度计划!AH15,0)</f>
        <v>0</v>
      </c>
      <c r="AI10" s="9">
        <f>IF(31&lt;=核心参数输入!$B$9*4,(核心参数输入!$B$10*核心参数输入!$B$11*核心参数输入!$B$12*核心参数输入!$B$142)*季度计划!AI15,0)</f>
        <v>0</v>
      </c>
      <c r="AJ10" s="9">
        <f>IF(32&lt;=核心参数输入!$B$9*4,(核心参数输入!$B$10*核心参数输入!$B$11*核心参数输入!$B$12*核心参数输入!$B$142)*季度计划!AJ15,0)</f>
        <v>0</v>
      </c>
      <c r="AK10" s="9">
        <f>IF(33&lt;=核心参数输入!$B$9*4,(核心参数输入!$B$10*核心参数输入!$B$11*核心参数输入!$B$12*核心参数输入!$B$142)*季度计划!AK15,0)</f>
        <v>0</v>
      </c>
      <c r="AL10" s="9">
        <f>IF(34&lt;=核心参数输入!$B$9*4,(核心参数输入!$B$10*核心参数输入!$B$11*核心参数输入!$B$12*核心参数输入!$B$142)*季度计划!AL15,0)</f>
        <v>0</v>
      </c>
      <c r="AM10" s="9">
        <f>IF(35&lt;=核心参数输入!$B$9*4,(核心参数输入!$B$10*核心参数输入!$B$11*核心参数输入!$B$12*核心参数输入!$B$142)*季度计划!AM15,0)</f>
        <v>0</v>
      </c>
      <c r="AN10" s="9">
        <f>IF(36&lt;=核心参数输入!$B$9*4,(核心参数输入!$B$10*核心参数输入!$B$11*核心参数输入!$B$12*核心参数输入!$B$142)*季度计划!AN15,0)</f>
        <v>0</v>
      </c>
      <c r="AO10" s="9">
        <f>IF(37&lt;=核心参数输入!$B$9*4,(核心参数输入!$B$10*核心参数输入!$B$11*核心参数输入!$B$12*核心参数输入!$B$142)*季度计划!AO15,0)</f>
        <v>0</v>
      </c>
      <c r="AP10" s="9">
        <f>IF(38&lt;=核心参数输入!$B$9*4,(核心参数输入!$B$10*核心参数输入!$B$11*核心参数输入!$B$12*核心参数输入!$B$142)*季度计划!AP15,0)</f>
        <v>0</v>
      </c>
      <c r="AQ10" s="9">
        <f>IF(39&lt;=核心参数输入!$B$9*4,(核心参数输入!$B$10*核心参数输入!$B$11*核心参数输入!$B$12*核心参数输入!$B$142)*季度计划!AQ15,0)</f>
        <v>0</v>
      </c>
      <c r="AR10" s="9">
        <f>IF(40&lt;=核心参数输入!$B$9*4,(核心参数输入!$B$10*核心参数输入!$B$11*核心参数输入!$B$12*核心参数输入!$B$142)*季度计划!AR15,0)</f>
        <v>0</v>
      </c>
      <c r="AS10" s="9">
        <f>IF(41&lt;=核心参数输入!$B$9*4,(核心参数输入!$B$10*核心参数输入!$B$11*核心参数输入!$B$12*核心参数输入!$B$142)*季度计划!AS15,0)</f>
        <v>0</v>
      </c>
      <c r="AT10" s="9">
        <f>IF(42&lt;=核心参数输入!$B$9*4,(核心参数输入!$B$10*核心参数输入!$B$11*核心参数输入!$B$12*核心参数输入!$B$142)*季度计划!AT15,0)</f>
        <v>0</v>
      </c>
      <c r="AU10" s="9">
        <f>IF(43&lt;=核心参数输入!$B$9*4,(核心参数输入!$B$10*核心参数输入!$B$11*核心参数输入!$B$12*核心参数输入!$B$142)*季度计划!AU15,0)</f>
        <v>0</v>
      </c>
      <c r="AV10" s="9">
        <f>IF(44&lt;=核心参数输入!$B$9*4,(核心参数输入!$B$10*核心参数输入!$B$11*核心参数输入!$B$12*核心参数输入!$B$142)*季度计划!AV15,0)</f>
        <v>0</v>
      </c>
      <c r="AW10" s="9">
        <f>IF(45&lt;=核心参数输入!$B$9*4,(核心参数输入!$B$10*核心参数输入!$B$11*核心参数输入!$B$12*核心参数输入!$B$142)*季度计划!AW15,0)</f>
        <v>0</v>
      </c>
      <c r="AX10" s="9">
        <f>IF(46&lt;=核心参数输入!$B$9*4,(核心参数输入!$B$10*核心参数输入!$B$11*核心参数输入!$B$12*核心参数输入!$B$142)*季度计划!AX15,0)</f>
        <v>0</v>
      </c>
      <c r="AY10" s="9">
        <f>IF(47&lt;=核心参数输入!$B$9*4,(核心参数输入!$B$10*核心参数输入!$B$11*核心参数输入!$B$12*核心参数输入!$B$142)*季度计划!AY15,0)</f>
        <v>0</v>
      </c>
      <c r="AZ10" s="9">
        <f>IF(48&lt;=核心参数输入!$B$9*4,(核心参数输入!$B$10*核心参数输入!$B$11*核心参数输入!$B$12*核心参数输入!$B$142)*季度计划!AZ15,0)</f>
        <v>0</v>
      </c>
      <c r="BA10" s="9">
        <f>IF(49&lt;=核心参数输入!$B$9*4,(核心参数输入!$B$10*核心参数输入!$B$11*核心参数输入!$B$12*核心参数输入!$B$142)*季度计划!BA15,0)</f>
        <v>0</v>
      </c>
      <c r="BB10" s="9">
        <f>IF(50&lt;=核心参数输入!$B$9*4,(核心参数输入!$B$10*核心参数输入!$B$11*核心参数输入!$B$12*核心参数输入!$B$142)*季度计划!BB15,0)</f>
        <v>0</v>
      </c>
      <c r="BC10" s="9">
        <f>IF(51&lt;=核心参数输入!$B$9*4,(核心参数输入!$B$10*核心参数输入!$B$11*核心参数输入!$B$12*核心参数输入!$B$142)*季度计划!BC15,0)</f>
        <v>0</v>
      </c>
      <c r="BD10" s="9">
        <f>IF(52&lt;=核心参数输入!$B$9*4,(核心参数输入!$B$10*核心参数输入!$B$11*核心参数输入!$B$12*核心参数输入!$B$142)*季度计划!BD15,0)</f>
        <v>0</v>
      </c>
      <c r="BE10" s="9">
        <f>IF(53&lt;=核心参数输入!$B$9*4,(核心参数输入!$B$10*核心参数输入!$B$11*核心参数输入!$B$12*核心参数输入!$B$142)*季度计划!BE15,0)</f>
        <v>0</v>
      </c>
      <c r="BF10" s="9">
        <f>IF(54&lt;=核心参数输入!$B$9*4,(核心参数输入!$B$10*核心参数输入!$B$11*核心参数输入!$B$12*核心参数输入!$B$142)*季度计划!BF15,0)</f>
        <v>0</v>
      </c>
      <c r="BG10" s="9">
        <f>IF(55&lt;=核心参数输入!$B$9*4,(核心参数输入!$B$10*核心参数输入!$B$11*核心参数输入!$B$12*核心参数输入!$B$142)*季度计划!BG15,0)</f>
        <v>0</v>
      </c>
      <c r="BH10" s="9">
        <f>IF(56&lt;=核心参数输入!$B$9*4,(核心参数输入!$B$10*核心参数输入!$B$11*核心参数输入!$B$12*核心参数输入!$B$142)*季度计划!BH15,0)</f>
        <v>0</v>
      </c>
      <c r="BI10" s="9">
        <f>IF(57&lt;=核心参数输入!$B$9*4,(核心参数输入!$B$10*核心参数输入!$B$11*核心参数输入!$B$12*核心参数输入!$B$142)*季度计划!BI15,0)</f>
        <v>0</v>
      </c>
      <c r="BJ10" s="9">
        <f>IF(58&lt;=核心参数输入!$B$9*4,(核心参数输入!$B$10*核心参数输入!$B$11*核心参数输入!$B$12*核心参数输入!$B$142)*季度计划!BJ15,0)</f>
        <v>0</v>
      </c>
      <c r="BK10" s="9">
        <f>IF(59&lt;=核心参数输入!$B$9*4,(核心参数输入!$B$10*核心参数输入!$B$11*核心参数输入!$B$12*核心参数输入!$B$142)*季度计划!BK15,0)</f>
        <v>0</v>
      </c>
      <c r="BL10" s="9">
        <f>IF(60&lt;=核心参数输入!$B$9*4,(核心参数输入!$B$10*核心参数输入!$B$11*核心参数输入!$B$12*核心参数输入!$B$142)*季度计划!BL15,0)</f>
        <v>0</v>
      </c>
      <c r="BM10" s="9">
        <f>IF(61&lt;=核心参数输入!$B$9*4,(核心参数输入!$B$10*核心参数输入!$B$11*核心参数输入!$B$12*核心参数输入!$B$142)*季度计划!BM15,0)</f>
        <v>0</v>
      </c>
      <c r="BN10" s="9">
        <f>IF(62&lt;=核心参数输入!$B$9*4,(核心参数输入!$B$10*核心参数输入!$B$11*核心参数输入!$B$12*核心参数输入!$B$142)*季度计划!BN15,0)</f>
        <v>0</v>
      </c>
      <c r="BO10" s="9">
        <f>IF(63&lt;=核心参数输入!$B$9*4,(核心参数输入!$B$10*核心参数输入!$B$11*核心参数输入!$B$12*核心参数输入!$B$142)*季度计划!BO15,0)</f>
        <v>0</v>
      </c>
      <c r="BP10" s="9">
        <f>IF(64&lt;=核心参数输入!$B$9*4,(核心参数输入!$B$10*核心参数输入!$B$11*核心参数输入!$B$12*核心参数输入!$B$142)*季度计划!BP15,0)</f>
        <v>0</v>
      </c>
      <c r="BQ10" s="9">
        <f>IF(65&lt;=核心参数输入!$B$9*4,(核心参数输入!$B$10*核心参数输入!$B$11*核心参数输入!$B$12*核心参数输入!$B$142)*季度计划!BQ15,0)</f>
        <v>0</v>
      </c>
      <c r="BR10" s="9">
        <f>IF(66&lt;=核心参数输入!$B$9*4,(核心参数输入!$B$10*核心参数输入!$B$11*核心参数输入!$B$12*核心参数输入!$B$142)*季度计划!BR15,0)</f>
        <v>0</v>
      </c>
      <c r="BS10" s="9">
        <f>IF(67&lt;=核心参数输入!$B$9*4,(核心参数输入!$B$10*核心参数输入!$B$11*核心参数输入!$B$12*核心参数输入!$B$142)*季度计划!BS15,0)</f>
        <v>0</v>
      </c>
      <c r="BT10" s="9">
        <f>IF(68&lt;=核心参数输入!$B$9*4,(核心参数输入!$B$10*核心参数输入!$B$11*核心参数输入!$B$12*核心参数输入!$B$142)*季度计划!BT15,0)</f>
        <v>0</v>
      </c>
      <c r="BU10" s="9">
        <f>IF(69&lt;=核心参数输入!$B$9*4,(核心参数输入!$B$10*核心参数输入!$B$11*核心参数输入!$B$12*核心参数输入!$B$142)*季度计划!BU15,0)</f>
        <v>0</v>
      </c>
      <c r="BV10" s="9">
        <f>IF(70&lt;=核心参数输入!$B$9*4,(核心参数输入!$B$10*核心参数输入!$B$11*核心参数输入!$B$12*核心参数输入!$B$142)*季度计划!BV15,0)</f>
        <v>0</v>
      </c>
      <c r="BW10" s="9">
        <f>IF(71&lt;=核心参数输入!$B$9*4,(核心参数输入!$B$10*核心参数输入!$B$11*核心参数输入!$B$12*核心参数输入!$B$142)*季度计划!BW15,0)</f>
        <v>0</v>
      </c>
      <c r="BX10" s="9">
        <f>IF(72&lt;=核心参数输入!$B$9*4,(核心参数输入!$B$10*核心参数输入!$B$11*核心参数输入!$B$12*核心参数输入!$B$142)*季度计划!BX15,0)</f>
        <v>0</v>
      </c>
      <c r="BY10" s="9">
        <f>IF(73&lt;=核心参数输入!$B$9*4,(核心参数输入!$B$10*核心参数输入!$B$11*核心参数输入!$B$12*核心参数输入!$B$142)*季度计划!BY15,0)</f>
        <v>0</v>
      </c>
      <c r="BZ10" s="9">
        <f>IF(74&lt;=核心参数输入!$B$9*4,(核心参数输入!$B$10*核心参数输入!$B$11*核心参数输入!$B$12*核心参数输入!$B$142)*季度计划!BZ15,0)</f>
        <v>0</v>
      </c>
      <c r="CA10" s="9">
        <f>IF(75&lt;=核心参数输入!$B$9*4,(核心参数输入!$B$10*核心参数输入!$B$11*核心参数输入!$B$12*核心参数输入!$B$142)*季度计划!CA15,0)</f>
        <v>0</v>
      </c>
      <c r="CB10" s="9">
        <f>IF(76&lt;=核心参数输入!$B$9*4,(核心参数输入!$B$10*核心参数输入!$B$11*核心参数输入!$B$12*核心参数输入!$B$142)*季度计划!CB15,0)</f>
        <v>0</v>
      </c>
      <c r="CC10" s="9">
        <f>IF(77&lt;=核心参数输入!$B$9*4,(核心参数输入!$B$10*核心参数输入!$B$11*核心参数输入!$B$12*核心参数输入!$B$142)*季度计划!CC15,0)</f>
        <v>0</v>
      </c>
      <c r="CD10" s="9">
        <f>IF(78&lt;=核心参数输入!$B$9*4,(核心参数输入!$B$10*核心参数输入!$B$11*核心参数输入!$B$12*核心参数输入!$B$142)*季度计划!CD15,0)</f>
        <v>0</v>
      </c>
      <c r="CE10" s="9">
        <f>IF(79&lt;=核心参数输入!$B$9*4,(核心参数输入!$B$10*核心参数输入!$B$11*核心参数输入!$B$12*核心参数输入!$B$142)*季度计划!CE15,0)</f>
        <v>0</v>
      </c>
      <c r="CF10" s="9">
        <f>IF(80&lt;=核心参数输入!$B$9*4,(核心参数输入!$B$10*核心参数输入!$B$11*核心参数输入!$B$12*核心参数输入!$B$142)*季度计划!CF15,0)</f>
        <v>0</v>
      </c>
      <c r="CG10" s="9">
        <f>IF(81&lt;=核心参数输入!$B$9*4,(核心参数输入!$B$10*核心参数输入!$B$11*核心参数输入!$B$12*核心参数输入!$B$142)*季度计划!CG15,0)</f>
        <v>0</v>
      </c>
      <c r="CH10" s="9">
        <f>IF(82&lt;=核心参数输入!$B$9*4,(核心参数输入!$B$10*核心参数输入!$B$11*核心参数输入!$B$12*核心参数输入!$B$142)*季度计划!CH15,0)</f>
        <v>0</v>
      </c>
      <c r="CI10" s="9">
        <f>IF(83&lt;=核心参数输入!$B$9*4,(核心参数输入!$B$10*核心参数输入!$B$11*核心参数输入!$B$12*核心参数输入!$B$142)*季度计划!CI15,0)</f>
        <v>0</v>
      </c>
      <c r="CJ10" s="9">
        <f>IF(84&lt;=核心参数输入!$B$9*4,(核心参数输入!$B$10*核心参数输入!$B$11*核心参数输入!$B$12*核心参数输入!$B$142)*季度计划!CJ15,0)</f>
        <v>0</v>
      </c>
      <c r="CK10" s="9">
        <f>IF(85&lt;=核心参数输入!$B$9*4,(核心参数输入!$B$10*核心参数输入!$B$11*核心参数输入!$B$12*核心参数输入!$B$142)*季度计划!CK15,0)</f>
        <v>0</v>
      </c>
      <c r="CL10" s="9">
        <f>IF(86&lt;=核心参数输入!$B$9*4,(核心参数输入!$B$10*核心参数输入!$B$11*核心参数输入!$B$12*核心参数输入!$B$142)*季度计划!CL15,0)</f>
        <v>0</v>
      </c>
      <c r="CM10" s="9">
        <f>IF(87&lt;=核心参数输入!$B$9*4,(核心参数输入!$B$10*核心参数输入!$B$11*核心参数输入!$B$12*核心参数输入!$B$142)*季度计划!CM15,0)</f>
        <v>0</v>
      </c>
      <c r="CN10" s="9">
        <f>IF(88&lt;=核心参数输入!$B$9*4,(核心参数输入!$B$10*核心参数输入!$B$11*核心参数输入!$B$12*核心参数输入!$B$142)*季度计划!CN15,0)</f>
        <v>0</v>
      </c>
      <c r="CO10" s="9">
        <f>IF(89&lt;=核心参数输入!$B$9*4,(核心参数输入!$B$10*核心参数输入!$B$11*核心参数输入!$B$12*核心参数输入!$B$142)*季度计划!CO15,0)</f>
        <v>0</v>
      </c>
      <c r="CP10" s="9">
        <f>IF(90&lt;=核心参数输入!$B$9*4,(核心参数输入!$B$10*核心参数输入!$B$11*核心参数输入!$B$12*核心参数输入!$B$142)*季度计划!CP15,0)</f>
        <v>0</v>
      </c>
      <c r="CQ10" s="9">
        <f>IF(91&lt;=核心参数输入!$B$9*4,(核心参数输入!$B$10*核心参数输入!$B$11*核心参数输入!$B$12*核心参数输入!$B$142)*季度计划!CQ15,0)</f>
        <v>0</v>
      </c>
      <c r="CR10" s="9">
        <f>IF(92&lt;=核心参数输入!$B$9*4,(核心参数输入!$B$10*核心参数输入!$B$11*核心参数输入!$B$12*核心参数输入!$B$142)*季度计划!CR15,0)</f>
        <v>0</v>
      </c>
      <c r="CS10" s="9">
        <f>IF(93&lt;=核心参数输入!$B$9*4,(核心参数输入!$B$10*核心参数输入!$B$11*核心参数输入!$B$12*核心参数输入!$B$142)*季度计划!CS15,0)</f>
        <v>0</v>
      </c>
      <c r="CT10" s="9">
        <f>IF(94&lt;=核心参数输入!$B$9*4,(核心参数输入!$B$10*核心参数输入!$B$11*核心参数输入!$B$12*核心参数输入!$B$142)*季度计划!CT15,0)</f>
        <v>0</v>
      </c>
      <c r="CU10" s="9">
        <f>IF(95&lt;=核心参数输入!$B$9*4,(核心参数输入!$B$10*核心参数输入!$B$11*核心参数输入!$B$12*核心参数输入!$B$142)*季度计划!CU15,0)</f>
        <v>0</v>
      </c>
      <c r="CV10" s="9">
        <f>IF(96&lt;=核心参数输入!$B$9*4,(核心参数输入!$B$10*核心参数输入!$B$11*核心参数输入!$B$12*核心参数输入!$B$142)*季度计划!CV15,0)</f>
        <v>0</v>
      </c>
      <c r="CW10" s="9">
        <f>IF(97&lt;=核心参数输入!$B$9*4,(核心参数输入!$B$10*核心参数输入!$B$11*核心参数输入!$B$12*核心参数输入!$B$142)*季度计划!CW15,0)</f>
        <v>0</v>
      </c>
      <c r="CX10" s="9">
        <f>IF(98&lt;=核心参数输入!$B$9*4,(核心参数输入!$B$10*核心参数输入!$B$11*核心参数输入!$B$12*核心参数输入!$B$142)*季度计划!CX15,0)</f>
        <v>0</v>
      </c>
      <c r="CY10" s="9">
        <f>IF(99&lt;=核心参数输入!$B$9*4,(核心参数输入!$B$10*核心参数输入!$B$11*核心参数输入!$B$12*核心参数输入!$B$142)*季度计划!CY15,0)</f>
        <v>0</v>
      </c>
      <c r="CZ10" s="9">
        <f>IF(100&lt;=核心参数输入!$B$9*4,(核心参数输入!$B$10*核心参数输入!$B$11*核心参数输入!$B$12*核心参数输入!$B$142)*季度计划!CZ15,0)</f>
        <v>0</v>
      </c>
      <c r="DA10" s="9">
        <f>IF(101&lt;=核心参数输入!$B$9*4,(核心参数输入!$B$10*核心参数输入!$B$11*核心参数输入!$B$12*核心参数输入!$B$142)*季度计划!DA15,0)</f>
        <v>0</v>
      </c>
      <c r="DB10" s="9">
        <f>IF(102&lt;=核心参数输入!$B$9*4,(核心参数输入!$B$10*核心参数输入!$B$11*核心参数输入!$B$12*核心参数输入!$B$142)*季度计划!DB15,0)</f>
        <v>0</v>
      </c>
      <c r="DC10" s="9">
        <f>IF(103&lt;=核心参数输入!$B$9*4,(核心参数输入!$B$10*核心参数输入!$B$11*核心参数输入!$B$12*核心参数输入!$B$142)*季度计划!DC15,0)</f>
        <v>0</v>
      </c>
      <c r="DD10" s="9">
        <f>IF(104&lt;=核心参数输入!$B$9*4,(核心参数输入!$B$10*核心参数输入!$B$11*核心参数输入!$B$12*核心参数输入!$B$142)*季度计划!DD15,0)</f>
        <v>0</v>
      </c>
      <c r="DE10" s="9">
        <f>IF(105&lt;=核心参数输入!$B$9*4,(核心参数输入!$B$10*核心参数输入!$B$11*核心参数输入!$B$12*核心参数输入!$B$142)*季度计划!DE15,0)</f>
        <v>0</v>
      </c>
      <c r="DF10" s="9">
        <f>IF(106&lt;=核心参数输入!$B$9*4,(核心参数输入!$B$10*核心参数输入!$B$11*核心参数输入!$B$12*核心参数输入!$B$142)*季度计划!DF15,0)</f>
        <v>0</v>
      </c>
      <c r="DG10" s="9">
        <f>IF(107&lt;=核心参数输入!$B$9*4,(核心参数输入!$B$10*核心参数输入!$B$11*核心参数输入!$B$12*核心参数输入!$B$142)*季度计划!DG15,0)</f>
        <v>0</v>
      </c>
      <c r="DH10" s="9">
        <f>IF(108&lt;=核心参数输入!$B$9*4,(核心参数输入!$B$10*核心参数输入!$B$11*核心参数输入!$B$12*核心参数输入!$B$142)*季度计划!DH15,0)</f>
        <v>0</v>
      </c>
      <c r="DI10" s="9">
        <f>IF(109&lt;=核心参数输入!$B$9*4,(核心参数输入!$B$10*核心参数输入!$B$11*核心参数输入!$B$12*核心参数输入!$B$142)*季度计划!DI15,0)</f>
        <v>0</v>
      </c>
      <c r="DJ10" s="9">
        <f>IF(110&lt;=核心参数输入!$B$9*4,(核心参数输入!$B$10*核心参数输入!$B$11*核心参数输入!$B$12*核心参数输入!$B$142)*季度计划!DJ15,0)</f>
        <v>0</v>
      </c>
      <c r="DK10" s="9">
        <f>IF(111&lt;=核心参数输入!$B$9*4,(核心参数输入!$B$10*核心参数输入!$B$11*核心参数输入!$B$12*核心参数输入!$B$142)*季度计划!DK15,0)</f>
        <v>0</v>
      </c>
      <c r="DL10" s="9">
        <f>IF(112&lt;=核心参数输入!$B$9*4,(核心参数输入!$B$10*核心参数输入!$B$11*核心参数输入!$B$12*核心参数输入!$B$142)*季度计划!DL15,0)</f>
        <v>0</v>
      </c>
      <c r="DM10" s="9">
        <f>IF(113&lt;=核心参数输入!$B$9*4,(核心参数输入!$B$10*核心参数输入!$B$11*核心参数输入!$B$12*核心参数输入!$B$142)*季度计划!DM15,0)</f>
        <v>0</v>
      </c>
      <c r="DN10" s="9">
        <f>IF(114&lt;=核心参数输入!$B$9*4,(核心参数输入!$B$10*核心参数输入!$B$11*核心参数输入!$B$12*核心参数输入!$B$142)*季度计划!DN15,0)</f>
        <v>0</v>
      </c>
      <c r="DO10" s="9">
        <f>IF(115&lt;=核心参数输入!$B$9*4,(核心参数输入!$B$10*核心参数输入!$B$11*核心参数输入!$B$12*核心参数输入!$B$142)*季度计划!DO15,0)</f>
        <v>0</v>
      </c>
      <c r="DP10" s="9">
        <f>IF(116&lt;=核心参数输入!$B$9*4,(核心参数输入!$B$10*核心参数输入!$B$11*核心参数输入!$B$12*核心参数输入!$B$142)*季度计划!DP15,0)</f>
        <v>0</v>
      </c>
      <c r="DQ10" s="9">
        <f>IF(117&lt;=核心参数输入!$B$9*4,(核心参数输入!$B$10*核心参数输入!$B$11*核心参数输入!$B$12*核心参数输入!$B$142)*季度计划!DQ15,0)</f>
        <v>0</v>
      </c>
      <c r="DR10" s="9">
        <f>IF(118&lt;=核心参数输入!$B$9*4,(核心参数输入!$B$10*核心参数输入!$B$11*核心参数输入!$B$12*核心参数输入!$B$142)*季度计划!DR15,0)</f>
        <v>0</v>
      </c>
      <c r="DS10" s="9">
        <f>IF(119&lt;=核心参数输入!$B$9*4,(核心参数输入!$B$10*核心参数输入!$B$11*核心参数输入!$B$12*核心参数输入!$B$142)*季度计划!DS15,0)</f>
        <v>0</v>
      </c>
      <c r="DT10" s="9">
        <f>IF(120&lt;=核心参数输入!$B$9*4,(核心参数输入!$B$10*核心参数输入!$B$11*核心参数输入!$B$12*核心参数输入!$B$142)*季度计划!DT15,0)</f>
        <v>0</v>
      </c>
    </row>
    <row r="11" spans="1:124" ht="21" customHeight="1">
      <c r="A11" s="8" t="s">
        <v>448</v>
      </c>
      <c r="B11" s="8" t="s">
        <v>39</v>
      </c>
      <c r="C11" s="8"/>
      <c r="D11" s="9">
        <f>IF(0&lt;=核心参数输入!$B$9*4,D10*核心参数输入!$B$145/10000,0)</f>
        <v>0</v>
      </c>
      <c r="E11" s="9">
        <f>IF(1&lt;=核心参数输入!$B$9*4,E10*核心参数输入!$B$145/10000,0)</f>
        <v>0</v>
      </c>
      <c r="F11" s="9">
        <f>IF(2&lt;=核心参数输入!$B$9*4,F10*核心参数输入!$B$145/10000,0)</f>
        <v>0</v>
      </c>
      <c r="G11" s="9">
        <f>IF(3&lt;=核心参数输入!$B$9*4,G10*核心参数输入!$B$145/10000,0)</f>
        <v>0</v>
      </c>
      <c r="H11" s="9">
        <f>IF(4&lt;=核心参数输入!$B$9*4,H10*核心参数输入!$B$145/10000,0)</f>
        <v>0</v>
      </c>
      <c r="I11" s="9">
        <f>IF(5&lt;=核心参数输入!$B$9*4,I10*核心参数输入!$B$145/10000,0)</f>
        <v>0</v>
      </c>
      <c r="J11" s="9">
        <f>IF(6&lt;=核心参数输入!$B$9*4,J10*核心参数输入!$B$145/10000,0)</f>
        <v>0</v>
      </c>
      <c r="K11" s="9">
        <f>IF(7&lt;=核心参数输入!$B$9*4,K10*核心参数输入!$B$145/10000,0)</f>
        <v>0</v>
      </c>
      <c r="L11" s="9">
        <f>IF(8&lt;=核心参数输入!$B$9*4,L10*核心参数输入!$B$145/10000,0)</f>
        <v>0</v>
      </c>
      <c r="M11" s="9">
        <f>IF(9&lt;=核心参数输入!$B$9*4,M10*核心参数输入!$B$145/10000,0)</f>
        <v>0</v>
      </c>
      <c r="N11" s="9">
        <f>IF(10&lt;=核心参数输入!$B$9*4,N10*核心参数输入!$B$145/10000,0)</f>
        <v>0</v>
      </c>
      <c r="O11" s="9">
        <f>IF(11&lt;=核心参数输入!$B$9*4,O10*核心参数输入!$B$145/10000,0)</f>
        <v>0</v>
      </c>
      <c r="P11" s="9">
        <f>IF(12&lt;=核心参数输入!$B$9*4,P10*核心参数输入!$B$145/10000,0)</f>
        <v>0</v>
      </c>
      <c r="Q11" s="9">
        <f>IF(13&lt;=核心参数输入!$B$9*4,Q10*核心参数输入!$B$145/10000,0)</f>
        <v>3619.6875</v>
      </c>
      <c r="R11" s="9">
        <f>IF(14&lt;=核心参数输入!$B$9*4,R10*核心参数输入!$B$145/10000,0)</f>
        <v>3619.6875</v>
      </c>
      <c r="S11" s="9">
        <f>IF(15&lt;=核心参数输入!$B$9*4,S10*核心参数输入!$B$145/10000,0)</f>
        <v>3619.6875</v>
      </c>
      <c r="T11" s="9">
        <f>IF(16&lt;=核心参数输入!$B$9*4,T10*核心参数输入!$B$145/10000,0)</f>
        <v>3619.6875</v>
      </c>
      <c r="U11" s="9">
        <f>IF(17&lt;=核心参数输入!$B$9*4,U10*核心参数输入!$B$145/10000,0)</f>
        <v>4826.25</v>
      </c>
      <c r="V11" s="9">
        <f>IF(18&lt;=核心参数输入!$B$9*4,V10*核心参数输入!$B$145/10000,0)</f>
        <v>4826.25</v>
      </c>
      <c r="W11" s="9">
        <f>IF(19&lt;=核心参数输入!$B$9*4,W10*核心参数输入!$B$145/10000,0)</f>
        <v>4826.25</v>
      </c>
      <c r="X11" s="9">
        <f>IF(20&lt;=核心参数输入!$B$9*4,X10*核心参数输入!$B$145/10000,0)</f>
        <v>4826.25</v>
      </c>
      <c r="Y11" s="9">
        <f>IF(21&lt;=核心参数输入!$B$9*4,Y10*核心参数输入!$B$145/10000,0)</f>
        <v>3619.6875</v>
      </c>
      <c r="Z11" s="9">
        <f>IF(22&lt;=核心参数输入!$B$9*4,Z10*核心参数输入!$B$145/10000,0)</f>
        <v>3619.6875</v>
      </c>
      <c r="AA11" s="9">
        <f>IF(23&lt;=核心参数输入!$B$9*4,AA10*核心参数输入!$B$145/10000,0)</f>
        <v>3619.6875</v>
      </c>
      <c r="AB11" s="9">
        <f>IF(24&lt;=核心参数输入!$B$9*4,AB10*核心参数输入!$B$145/10000,0)</f>
        <v>3619.6875</v>
      </c>
      <c r="AC11" s="9">
        <f>IF(25&lt;=核心参数输入!$B$9*4,AC10*核心参数输入!$B$145/10000,0)</f>
        <v>0</v>
      </c>
      <c r="AD11" s="9">
        <f>IF(26&lt;=核心参数输入!$B$9*4,AD10*核心参数输入!$B$145/10000,0)</f>
        <v>0</v>
      </c>
      <c r="AE11" s="9">
        <f>IF(27&lt;=核心参数输入!$B$9*4,AE10*核心参数输入!$B$145/10000,0)</f>
        <v>0</v>
      </c>
      <c r="AF11" s="9">
        <f>IF(28&lt;=核心参数输入!$B$9*4,AF10*核心参数输入!$B$145/10000,0)</f>
        <v>0</v>
      </c>
      <c r="AG11" s="9">
        <f>IF(29&lt;=核心参数输入!$B$9*4,AG10*核心参数输入!$B$145/10000,0)</f>
        <v>0</v>
      </c>
      <c r="AH11" s="9">
        <f>IF(30&lt;=核心参数输入!$B$9*4,AH10*核心参数输入!$B$145/10000,0)</f>
        <v>0</v>
      </c>
      <c r="AI11" s="9">
        <f>IF(31&lt;=核心参数输入!$B$9*4,AI10*核心参数输入!$B$145/10000,0)</f>
        <v>0</v>
      </c>
      <c r="AJ11" s="9">
        <f>IF(32&lt;=核心参数输入!$B$9*4,AJ10*核心参数输入!$B$145/10000,0)</f>
        <v>0</v>
      </c>
      <c r="AK11" s="9">
        <f>IF(33&lt;=核心参数输入!$B$9*4,AK10*核心参数输入!$B$145/10000,0)</f>
        <v>0</v>
      </c>
      <c r="AL11" s="9">
        <f>IF(34&lt;=核心参数输入!$B$9*4,AL10*核心参数输入!$B$145/10000,0)</f>
        <v>0</v>
      </c>
      <c r="AM11" s="9">
        <f>IF(35&lt;=核心参数输入!$B$9*4,AM10*核心参数输入!$B$145/10000,0)</f>
        <v>0</v>
      </c>
      <c r="AN11" s="9">
        <f>IF(36&lt;=核心参数输入!$B$9*4,AN10*核心参数输入!$B$145/10000,0)</f>
        <v>0</v>
      </c>
      <c r="AO11" s="9">
        <f>IF(37&lt;=核心参数输入!$B$9*4,AO10*核心参数输入!$B$145/10000,0)</f>
        <v>0</v>
      </c>
      <c r="AP11" s="9">
        <f>IF(38&lt;=核心参数输入!$B$9*4,AP10*核心参数输入!$B$145/10000,0)</f>
        <v>0</v>
      </c>
      <c r="AQ11" s="9">
        <f>IF(39&lt;=核心参数输入!$B$9*4,AQ10*核心参数输入!$B$145/10000,0)</f>
        <v>0</v>
      </c>
      <c r="AR11" s="9">
        <f>IF(40&lt;=核心参数输入!$B$9*4,AR10*核心参数输入!$B$145/10000,0)</f>
        <v>0</v>
      </c>
      <c r="AS11" s="9">
        <f>IF(41&lt;=核心参数输入!$B$9*4,AS10*核心参数输入!$B$145/10000,0)</f>
        <v>0</v>
      </c>
      <c r="AT11" s="9">
        <f>IF(42&lt;=核心参数输入!$B$9*4,AT10*核心参数输入!$B$145/10000,0)</f>
        <v>0</v>
      </c>
      <c r="AU11" s="9">
        <f>IF(43&lt;=核心参数输入!$B$9*4,AU10*核心参数输入!$B$145/10000,0)</f>
        <v>0</v>
      </c>
      <c r="AV11" s="9">
        <f>IF(44&lt;=核心参数输入!$B$9*4,AV10*核心参数输入!$B$145/10000,0)</f>
        <v>0</v>
      </c>
      <c r="AW11" s="9">
        <f>IF(45&lt;=核心参数输入!$B$9*4,AW10*核心参数输入!$B$145/10000,0)</f>
        <v>0</v>
      </c>
      <c r="AX11" s="9">
        <f>IF(46&lt;=核心参数输入!$B$9*4,AX10*核心参数输入!$B$145/10000,0)</f>
        <v>0</v>
      </c>
      <c r="AY11" s="9">
        <f>IF(47&lt;=核心参数输入!$B$9*4,AY10*核心参数输入!$B$145/10000,0)</f>
        <v>0</v>
      </c>
      <c r="AZ11" s="9">
        <f>IF(48&lt;=核心参数输入!$B$9*4,AZ10*核心参数输入!$B$145/10000,0)</f>
        <v>0</v>
      </c>
      <c r="BA11" s="9">
        <f>IF(49&lt;=核心参数输入!$B$9*4,BA10*核心参数输入!$B$145/10000,0)</f>
        <v>0</v>
      </c>
      <c r="BB11" s="9">
        <f>IF(50&lt;=核心参数输入!$B$9*4,BB10*核心参数输入!$B$145/10000,0)</f>
        <v>0</v>
      </c>
      <c r="BC11" s="9">
        <f>IF(51&lt;=核心参数输入!$B$9*4,BC10*核心参数输入!$B$145/10000,0)</f>
        <v>0</v>
      </c>
      <c r="BD11" s="9">
        <f>IF(52&lt;=核心参数输入!$B$9*4,BD10*核心参数输入!$B$145/10000,0)</f>
        <v>0</v>
      </c>
      <c r="BE11" s="9">
        <f>IF(53&lt;=核心参数输入!$B$9*4,BE10*核心参数输入!$B$145/10000,0)</f>
        <v>0</v>
      </c>
      <c r="BF11" s="9">
        <f>IF(54&lt;=核心参数输入!$B$9*4,BF10*核心参数输入!$B$145/10000,0)</f>
        <v>0</v>
      </c>
      <c r="BG11" s="9">
        <f>IF(55&lt;=核心参数输入!$B$9*4,BG10*核心参数输入!$B$145/10000,0)</f>
        <v>0</v>
      </c>
      <c r="BH11" s="9">
        <f>IF(56&lt;=核心参数输入!$B$9*4,BH10*核心参数输入!$B$145/10000,0)</f>
        <v>0</v>
      </c>
      <c r="BI11" s="9">
        <f>IF(57&lt;=核心参数输入!$B$9*4,BI10*核心参数输入!$B$145/10000,0)</f>
        <v>0</v>
      </c>
      <c r="BJ11" s="9">
        <f>IF(58&lt;=核心参数输入!$B$9*4,BJ10*核心参数输入!$B$145/10000,0)</f>
        <v>0</v>
      </c>
      <c r="BK11" s="9">
        <f>IF(59&lt;=核心参数输入!$B$9*4,BK10*核心参数输入!$B$145/10000,0)</f>
        <v>0</v>
      </c>
      <c r="BL11" s="9">
        <f>IF(60&lt;=核心参数输入!$B$9*4,BL10*核心参数输入!$B$145/10000,0)</f>
        <v>0</v>
      </c>
      <c r="BM11" s="9">
        <f>IF(61&lt;=核心参数输入!$B$9*4,BM10*核心参数输入!$B$145/10000,0)</f>
        <v>0</v>
      </c>
      <c r="BN11" s="9">
        <f>IF(62&lt;=核心参数输入!$B$9*4,BN10*核心参数输入!$B$145/10000,0)</f>
        <v>0</v>
      </c>
      <c r="BO11" s="9">
        <f>IF(63&lt;=核心参数输入!$B$9*4,BO10*核心参数输入!$B$145/10000,0)</f>
        <v>0</v>
      </c>
      <c r="BP11" s="9">
        <f>IF(64&lt;=核心参数输入!$B$9*4,BP10*核心参数输入!$B$145/10000,0)</f>
        <v>0</v>
      </c>
      <c r="BQ11" s="9">
        <f>IF(65&lt;=核心参数输入!$B$9*4,BQ10*核心参数输入!$B$145/10000,0)</f>
        <v>0</v>
      </c>
      <c r="BR11" s="9">
        <f>IF(66&lt;=核心参数输入!$B$9*4,BR10*核心参数输入!$B$145/10000,0)</f>
        <v>0</v>
      </c>
      <c r="BS11" s="9">
        <f>IF(67&lt;=核心参数输入!$B$9*4,BS10*核心参数输入!$B$145/10000,0)</f>
        <v>0</v>
      </c>
      <c r="BT11" s="9">
        <f>IF(68&lt;=核心参数输入!$B$9*4,BT10*核心参数输入!$B$145/10000,0)</f>
        <v>0</v>
      </c>
      <c r="BU11" s="9">
        <f>IF(69&lt;=核心参数输入!$B$9*4,BU10*核心参数输入!$B$145/10000,0)</f>
        <v>0</v>
      </c>
      <c r="BV11" s="9">
        <f>IF(70&lt;=核心参数输入!$B$9*4,BV10*核心参数输入!$B$145/10000,0)</f>
        <v>0</v>
      </c>
      <c r="BW11" s="9">
        <f>IF(71&lt;=核心参数输入!$B$9*4,BW10*核心参数输入!$B$145/10000,0)</f>
        <v>0</v>
      </c>
      <c r="BX11" s="9">
        <f>IF(72&lt;=核心参数输入!$B$9*4,BX10*核心参数输入!$B$145/10000,0)</f>
        <v>0</v>
      </c>
      <c r="BY11" s="9">
        <f>IF(73&lt;=核心参数输入!$B$9*4,BY10*核心参数输入!$B$145/10000,0)</f>
        <v>0</v>
      </c>
      <c r="BZ11" s="9">
        <f>IF(74&lt;=核心参数输入!$B$9*4,BZ10*核心参数输入!$B$145/10000,0)</f>
        <v>0</v>
      </c>
      <c r="CA11" s="9">
        <f>IF(75&lt;=核心参数输入!$B$9*4,CA10*核心参数输入!$B$145/10000,0)</f>
        <v>0</v>
      </c>
      <c r="CB11" s="9">
        <f>IF(76&lt;=核心参数输入!$B$9*4,CB10*核心参数输入!$B$145/10000,0)</f>
        <v>0</v>
      </c>
      <c r="CC11" s="9">
        <f>IF(77&lt;=核心参数输入!$B$9*4,CC10*核心参数输入!$B$145/10000,0)</f>
        <v>0</v>
      </c>
      <c r="CD11" s="9">
        <f>IF(78&lt;=核心参数输入!$B$9*4,CD10*核心参数输入!$B$145/10000,0)</f>
        <v>0</v>
      </c>
      <c r="CE11" s="9">
        <f>IF(79&lt;=核心参数输入!$B$9*4,CE10*核心参数输入!$B$145/10000,0)</f>
        <v>0</v>
      </c>
      <c r="CF11" s="9">
        <f>IF(80&lt;=核心参数输入!$B$9*4,CF10*核心参数输入!$B$145/10000,0)</f>
        <v>0</v>
      </c>
      <c r="CG11" s="9">
        <f>IF(81&lt;=核心参数输入!$B$9*4,CG10*核心参数输入!$B$145/10000,0)</f>
        <v>0</v>
      </c>
      <c r="CH11" s="9">
        <f>IF(82&lt;=核心参数输入!$B$9*4,CH10*核心参数输入!$B$145/10000,0)</f>
        <v>0</v>
      </c>
      <c r="CI11" s="9">
        <f>IF(83&lt;=核心参数输入!$B$9*4,CI10*核心参数输入!$B$145/10000,0)</f>
        <v>0</v>
      </c>
      <c r="CJ11" s="9">
        <f>IF(84&lt;=核心参数输入!$B$9*4,CJ10*核心参数输入!$B$145/10000,0)</f>
        <v>0</v>
      </c>
      <c r="CK11" s="9">
        <f>IF(85&lt;=核心参数输入!$B$9*4,CK10*核心参数输入!$B$145/10000,0)</f>
        <v>0</v>
      </c>
      <c r="CL11" s="9">
        <f>IF(86&lt;=核心参数输入!$B$9*4,CL10*核心参数输入!$B$145/10000,0)</f>
        <v>0</v>
      </c>
      <c r="CM11" s="9">
        <f>IF(87&lt;=核心参数输入!$B$9*4,CM10*核心参数输入!$B$145/10000,0)</f>
        <v>0</v>
      </c>
      <c r="CN11" s="9">
        <f>IF(88&lt;=核心参数输入!$B$9*4,CN10*核心参数输入!$B$145/10000,0)</f>
        <v>0</v>
      </c>
      <c r="CO11" s="9">
        <f>IF(89&lt;=核心参数输入!$B$9*4,CO10*核心参数输入!$B$145/10000,0)</f>
        <v>0</v>
      </c>
      <c r="CP11" s="9">
        <f>IF(90&lt;=核心参数输入!$B$9*4,CP10*核心参数输入!$B$145/10000,0)</f>
        <v>0</v>
      </c>
      <c r="CQ11" s="9">
        <f>IF(91&lt;=核心参数输入!$B$9*4,CQ10*核心参数输入!$B$145/10000,0)</f>
        <v>0</v>
      </c>
      <c r="CR11" s="9">
        <f>IF(92&lt;=核心参数输入!$B$9*4,CR10*核心参数输入!$B$145/10000,0)</f>
        <v>0</v>
      </c>
      <c r="CS11" s="9">
        <f>IF(93&lt;=核心参数输入!$B$9*4,CS10*核心参数输入!$B$145/10000,0)</f>
        <v>0</v>
      </c>
      <c r="CT11" s="9">
        <f>IF(94&lt;=核心参数输入!$B$9*4,CT10*核心参数输入!$B$145/10000,0)</f>
        <v>0</v>
      </c>
      <c r="CU11" s="9">
        <f>IF(95&lt;=核心参数输入!$B$9*4,CU10*核心参数输入!$B$145/10000,0)</f>
        <v>0</v>
      </c>
      <c r="CV11" s="9">
        <f>IF(96&lt;=核心参数输入!$B$9*4,CV10*核心参数输入!$B$145/10000,0)</f>
        <v>0</v>
      </c>
      <c r="CW11" s="9">
        <f>IF(97&lt;=核心参数输入!$B$9*4,CW10*核心参数输入!$B$145/10000,0)</f>
        <v>0</v>
      </c>
      <c r="CX11" s="9">
        <f>IF(98&lt;=核心参数输入!$B$9*4,CX10*核心参数输入!$B$145/10000,0)</f>
        <v>0</v>
      </c>
      <c r="CY11" s="9">
        <f>IF(99&lt;=核心参数输入!$B$9*4,CY10*核心参数输入!$B$145/10000,0)</f>
        <v>0</v>
      </c>
      <c r="CZ11" s="9">
        <f>IF(100&lt;=核心参数输入!$B$9*4,CZ10*核心参数输入!$B$145/10000,0)</f>
        <v>0</v>
      </c>
      <c r="DA11" s="9">
        <f>IF(101&lt;=核心参数输入!$B$9*4,DA10*核心参数输入!$B$145/10000,0)</f>
        <v>0</v>
      </c>
      <c r="DB11" s="9">
        <f>IF(102&lt;=核心参数输入!$B$9*4,DB10*核心参数输入!$B$145/10000,0)</f>
        <v>0</v>
      </c>
      <c r="DC11" s="9">
        <f>IF(103&lt;=核心参数输入!$B$9*4,DC10*核心参数输入!$B$145/10000,0)</f>
        <v>0</v>
      </c>
      <c r="DD11" s="9">
        <f>IF(104&lt;=核心参数输入!$B$9*4,DD10*核心参数输入!$B$145/10000,0)</f>
        <v>0</v>
      </c>
      <c r="DE11" s="9">
        <f>IF(105&lt;=核心参数输入!$B$9*4,DE10*核心参数输入!$B$145/10000,0)</f>
        <v>0</v>
      </c>
      <c r="DF11" s="9">
        <f>IF(106&lt;=核心参数输入!$B$9*4,DF10*核心参数输入!$B$145/10000,0)</f>
        <v>0</v>
      </c>
      <c r="DG11" s="9">
        <f>IF(107&lt;=核心参数输入!$B$9*4,DG10*核心参数输入!$B$145/10000,0)</f>
        <v>0</v>
      </c>
      <c r="DH11" s="9">
        <f>IF(108&lt;=核心参数输入!$B$9*4,DH10*核心参数输入!$B$145/10000,0)</f>
        <v>0</v>
      </c>
      <c r="DI11" s="9">
        <f>IF(109&lt;=核心参数输入!$B$9*4,DI10*核心参数输入!$B$145/10000,0)</f>
        <v>0</v>
      </c>
      <c r="DJ11" s="9">
        <f>IF(110&lt;=核心参数输入!$B$9*4,DJ10*核心参数输入!$B$145/10000,0)</f>
        <v>0</v>
      </c>
      <c r="DK11" s="9">
        <f>IF(111&lt;=核心参数输入!$B$9*4,DK10*核心参数输入!$B$145/10000,0)</f>
        <v>0</v>
      </c>
      <c r="DL11" s="9">
        <f>IF(112&lt;=核心参数输入!$B$9*4,DL10*核心参数输入!$B$145/10000,0)</f>
        <v>0</v>
      </c>
      <c r="DM11" s="9">
        <f>IF(113&lt;=核心参数输入!$B$9*4,DM10*核心参数输入!$B$145/10000,0)</f>
        <v>0</v>
      </c>
      <c r="DN11" s="9">
        <f>IF(114&lt;=核心参数输入!$B$9*4,DN10*核心参数输入!$B$145/10000,0)</f>
        <v>0</v>
      </c>
      <c r="DO11" s="9">
        <f>IF(115&lt;=核心参数输入!$B$9*4,DO10*核心参数输入!$B$145/10000,0)</f>
        <v>0</v>
      </c>
      <c r="DP11" s="9">
        <f>IF(116&lt;=核心参数输入!$B$9*4,DP10*核心参数输入!$B$145/10000,0)</f>
        <v>0</v>
      </c>
      <c r="DQ11" s="9">
        <f>IF(117&lt;=核心参数输入!$B$9*4,DQ10*核心参数输入!$B$145/10000,0)</f>
        <v>0</v>
      </c>
      <c r="DR11" s="9">
        <f>IF(118&lt;=核心参数输入!$B$9*4,DR10*核心参数输入!$B$145/10000,0)</f>
        <v>0</v>
      </c>
      <c r="DS11" s="9">
        <f>IF(119&lt;=核心参数输入!$B$9*4,DS10*核心参数输入!$B$145/10000,0)</f>
        <v>0</v>
      </c>
      <c r="DT11" s="9">
        <f>IF(120&lt;=核心参数输入!$B$9*4,DT10*核心参数输入!$B$145/10000,0)</f>
        <v>0</v>
      </c>
    </row>
    <row r="12" spans="1:124" ht="21" customHeight="1">
      <c r="A12" s="8" t="s">
        <v>365</v>
      </c>
      <c r="B12" s="8" t="s">
        <v>39</v>
      </c>
      <c r="C12" s="8"/>
      <c r="D12" s="9">
        <f>IF(0&lt;=核心参数输入!$B$9*4,D11*核心参数输入!$B$102+(IF(AND(0-核心参数输入!$B$103&gt;=0,0-核心参数输入!$B$103&lt;=120),INDEX(季度经营税费!$D$11:$DT$11,1,MAX(1,MIN(121,0-核心参数输入!$B$103+1))),0))*(1-核心参数输入!$B$102),0)</f>
        <v>0</v>
      </c>
      <c r="E12" s="9">
        <f>IF(1&lt;=核心参数输入!$B$9*4,E11*核心参数输入!$B$102+(IF(AND(1-核心参数输入!$B$103&gt;=0,1-核心参数输入!$B$103&lt;=120),INDEX(季度经营税费!$D$11:$DT$11,1,MAX(1,MIN(121,1-核心参数输入!$B$103+1))),0))*(1-核心参数输入!$B$102),0)</f>
        <v>0</v>
      </c>
      <c r="F12" s="9">
        <f>IF(2&lt;=核心参数输入!$B$9*4,F11*核心参数输入!$B$102+(IF(AND(2-核心参数输入!$B$103&gt;=0,2-核心参数输入!$B$103&lt;=120),INDEX(季度经营税费!$D$11:$DT$11,1,MAX(1,MIN(121,2-核心参数输入!$B$103+1))),0))*(1-核心参数输入!$B$102),0)</f>
        <v>0</v>
      </c>
      <c r="G12" s="9">
        <f>IF(3&lt;=核心参数输入!$B$9*4,G11*核心参数输入!$B$102+(IF(AND(3-核心参数输入!$B$103&gt;=0,3-核心参数输入!$B$103&lt;=120),INDEX(季度经营税费!$D$11:$DT$11,1,MAX(1,MIN(121,3-核心参数输入!$B$103+1))),0))*(1-核心参数输入!$B$102),0)</f>
        <v>0</v>
      </c>
      <c r="H12" s="9">
        <f>IF(4&lt;=核心参数输入!$B$9*4,H11*核心参数输入!$B$102+(IF(AND(4-核心参数输入!$B$103&gt;=0,4-核心参数输入!$B$103&lt;=120),INDEX(季度经营税费!$D$11:$DT$11,1,MAX(1,MIN(121,4-核心参数输入!$B$103+1))),0))*(1-核心参数输入!$B$102),0)</f>
        <v>0</v>
      </c>
      <c r="I12" s="9">
        <f>IF(5&lt;=核心参数输入!$B$9*4,I11*核心参数输入!$B$102+(IF(AND(5-核心参数输入!$B$103&gt;=0,5-核心参数输入!$B$103&lt;=120),INDEX(季度经营税费!$D$11:$DT$11,1,MAX(1,MIN(121,5-核心参数输入!$B$103+1))),0))*(1-核心参数输入!$B$102),0)</f>
        <v>0</v>
      </c>
      <c r="J12" s="9">
        <f>IF(6&lt;=核心参数输入!$B$9*4,J11*核心参数输入!$B$102+(IF(AND(6-核心参数输入!$B$103&gt;=0,6-核心参数输入!$B$103&lt;=120),INDEX(季度经营税费!$D$11:$DT$11,1,MAX(1,MIN(121,6-核心参数输入!$B$103+1))),0))*(1-核心参数输入!$B$102),0)</f>
        <v>0</v>
      </c>
      <c r="K12" s="9">
        <f>IF(7&lt;=核心参数输入!$B$9*4,K11*核心参数输入!$B$102+(IF(AND(7-核心参数输入!$B$103&gt;=0,7-核心参数输入!$B$103&lt;=120),INDEX(季度经营税费!$D$11:$DT$11,1,MAX(1,MIN(121,7-核心参数输入!$B$103+1))),0))*(1-核心参数输入!$B$102),0)</f>
        <v>0</v>
      </c>
      <c r="L12" s="9">
        <f>IF(8&lt;=核心参数输入!$B$9*4,L11*核心参数输入!$B$102+(IF(AND(8-核心参数输入!$B$103&gt;=0,8-核心参数输入!$B$103&lt;=120),INDEX(季度经营税费!$D$11:$DT$11,1,MAX(1,MIN(121,8-核心参数输入!$B$103+1))),0))*(1-核心参数输入!$B$102),0)</f>
        <v>0</v>
      </c>
      <c r="M12" s="9">
        <f>IF(9&lt;=核心参数输入!$B$9*4,M11*核心参数输入!$B$102+(IF(AND(9-核心参数输入!$B$103&gt;=0,9-核心参数输入!$B$103&lt;=120),INDEX(季度经营税费!$D$11:$DT$11,1,MAX(1,MIN(121,9-核心参数输入!$B$103+1))),0))*(1-核心参数输入!$B$102),0)</f>
        <v>0</v>
      </c>
      <c r="N12" s="9">
        <f>IF(10&lt;=核心参数输入!$B$9*4,N11*核心参数输入!$B$102+(IF(AND(10-核心参数输入!$B$103&gt;=0,10-核心参数输入!$B$103&lt;=120),INDEX(季度经营税费!$D$11:$DT$11,1,MAX(1,MIN(121,10-核心参数输入!$B$103+1))),0))*(1-核心参数输入!$B$102),0)</f>
        <v>0</v>
      </c>
      <c r="O12" s="9">
        <f>IF(11&lt;=核心参数输入!$B$9*4,O11*核心参数输入!$B$102+(IF(AND(11-核心参数输入!$B$103&gt;=0,11-核心参数输入!$B$103&lt;=120),INDEX(季度经营税费!$D$11:$DT$11,1,MAX(1,MIN(121,11-核心参数输入!$B$103+1))),0))*(1-核心参数输入!$B$102),0)</f>
        <v>0</v>
      </c>
      <c r="P12" s="9">
        <f>IF(12&lt;=核心参数输入!$B$9*4,P11*核心参数输入!$B$102+(IF(AND(12-核心参数输入!$B$103&gt;=0,12-核心参数输入!$B$103&lt;=120),INDEX(季度经营税费!$D$11:$DT$11,1,MAX(1,MIN(121,12-核心参数输入!$B$103+1))),0))*(1-核心参数输入!$B$102),0)</f>
        <v>0</v>
      </c>
      <c r="Q12" s="9">
        <f>IF(13&lt;=核心参数输入!$B$9*4,Q11*核心参数输入!$B$102+(IF(AND(13-核心参数输入!$B$103&gt;=0,13-核心参数输入!$B$103&lt;=120),INDEX(季度经营税费!$D$11:$DT$11,1,MAX(1,MIN(121,13-核心参数输入!$B$103+1))),0))*(1-核心参数输入!$B$102),0)</f>
        <v>2533.78125</v>
      </c>
      <c r="R12" s="9">
        <f>IF(14&lt;=核心参数输入!$B$9*4,R11*核心参数输入!$B$102+(IF(AND(14-核心参数输入!$B$103&gt;=0,14-核心参数输入!$B$103&lt;=120),INDEX(季度经营税费!$D$11:$DT$11,1,MAX(1,MIN(121,14-核心参数输入!$B$103+1))),0))*(1-核心参数输入!$B$102),0)</f>
        <v>3619.6875</v>
      </c>
      <c r="S12" s="9">
        <f>IF(15&lt;=核心参数输入!$B$9*4,S11*核心参数输入!$B$102+(IF(AND(15-核心参数输入!$B$103&gt;=0,15-核心参数输入!$B$103&lt;=120),INDEX(季度经营税费!$D$11:$DT$11,1,MAX(1,MIN(121,15-核心参数输入!$B$103+1))),0))*(1-核心参数输入!$B$102),0)</f>
        <v>3619.6875</v>
      </c>
      <c r="T12" s="9">
        <f>IF(16&lt;=核心参数输入!$B$9*4,T11*核心参数输入!$B$102+(IF(AND(16-核心参数输入!$B$103&gt;=0,16-核心参数输入!$B$103&lt;=120),INDEX(季度经营税费!$D$11:$DT$11,1,MAX(1,MIN(121,16-核心参数输入!$B$103+1))),0))*(1-核心参数输入!$B$102),0)</f>
        <v>3619.6875</v>
      </c>
      <c r="U12" s="9">
        <f>IF(17&lt;=核心参数输入!$B$9*4,U11*核心参数输入!$B$102+(IF(AND(17-核心参数输入!$B$103&gt;=0,17-核心参数输入!$B$103&lt;=120),INDEX(季度经营税费!$D$11:$DT$11,1,MAX(1,MIN(121,17-核心参数输入!$B$103+1))),0))*(1-核心参数输入!$B$102),0)</f>
        <v>4464.28125</v>
      </c>
      <c r="V12" s="9">
        <f>IF(18&lt;=核心参数输入!$B$9*4,V11*核心参数输入!$B$102+(IF(AND(18-核心参数输入!$B$103&gt;=0,18-核心参数输入!$B$103&lt;=120),INDEX(季度经营税费!$D$11:$DT$11,1,MAX(1,MIN(121,18-核心参数输入!$B$103+1))),0))*(1-核心参数输入!$B$102),0)</f>
        <v>4826.25</v>
      </c>
      <c r="W12" s="9">
        <f>IF(19&lt;=核心参数输入!$B$9*4,W11*核心参数输入!$B$102+(IF(AND(19-核心参数输入!$B$103&gt;=0,19-核心参数输入!$B$103&lt;=120),INDEX(季度经营税费!$D$11:$DT$11,1,MAX(1,MIN(121,19-核心参数输入!$B$103+1))),0))*(1-核心参数输入!$B$102),0)</f>
        <v>4826.25</v>
      </c>
      <c r="X12" s="9">
        <f>IF(20&lt;=核心参数输入!$B$9*4,X11*核心参数输入!$B$102+(IF(AND(20-核心参数输入!$B$103&gt;=0,20-核心参数输入!$B$103&lt;=120),INDEX(季度经营税费!$D$11:$DT$11,1,MAX(1,MIN(121,20-核心参数输入!$B$103+1))),0))*(1-核心参数输入!$B$102),0)</f>
        <v>4826.25</v>
      </c>
      <c r="Y12" s="9">
        <f>IF(21&lt;=核心参数输入!$B$9*4,Y11*核心参数输入!$B$102+(IF(AND(21-核心参数输入!$B$103&gt;=0,21-核心参数输入!$B$103&lt;=120),INDEX(季度经营税费!$D$11:$DT$11,1,MAX(1,MIN(121,21-核心参数输入!$B$103+1))),0))*(1-核心参数输入!$B$102),0)</f>
        <v>3981.65625</v>
      </c>
      <c r="Z12" s="9">
        <f>IF(22&lt;=核心参数输入!$B$9*4,Z11*核心参数输入!$B$102+(IF(AND(22-核心参数输入!$B$103&gt;=0,22-核心参数输入!$B$103&lt;=120),INDEX(季度经营税费!$D$11:$DT$11,1,MAX(1,MIN(121,22-核心参数输入!$B$103+1))),0))*(1-核心参数输入!$B$102),0)</f>
        <v>3619.6875</v>
      </c>
      <c r="AA12" s="9">
        <f>IF(23&lt;=核心参数输入!$B$9*4,AA11*核心参数输入!$B$102+(IF(AND(23-核心参数输入!$B$103&gt;=0,23-核心参数输入!$B$103&lt;=120),INDEX(季度经营税费!$D$11:$DT$11,1,MAX(1,MIN(121,23-核心参数输入!$B$103+1))),0))*(1-核心参数输入!$B$102),0)</f>
        <v>3619.6875</v>
      </c>
      <c r="AB12" s="9">
        <f>IF(24&lt;=核心参数输入!$B$9*4,AB11*核心参数输入!$B$102+(IF(AND(24-核心参数输入!$B$103&gt;=0,24-核心参数输入!$B$103&lt;=120),INDEX(季度经营税费!$D$11:$DT$11,1,MAX(1,MIN(121,24-核心参数输入!$B$103+1))),0))*(1-核心参数输入!$B$102),0)</f>
        <v>3619.6875</v>
      </c>
      <c r="AC12" s="9">
        <f>IF(25&lt;=核心参数输入!$B$9*4,AC11*核心参数输入!$B$102+(IF(AND(25-核心参数输入!$B$103&gt;=0,25-核心参数输入!$B$103&lt;=120),INDEX(季度经营税费!$D$11:$DT$11,1,MAX(1,MIN(121,25-核心参数输入!$B$103+1))),0))*(1-核心参数输入!$B$102),0)</f>
        <v>1085.9062500000002</v>
      </c>
      <c r="AD12" s="9">
        <f>IF(26&lt;=核心参数输入!$B$9*4,AD11*核心参数输入!$B$102+(IF(AND(26-核心参数输入!$B$103&gt;=0,26-核心参数输入!$B$103&lt;=120),INDEX(季度经营税费!$D$11:$DT$11,1,MAX(1,MIN(121,26-核心参数输入!$B$103+1))),0))*(1-核心参数输入!$B$102),0)</f>
        <v>0</v>
      </c>
      <c r="AE12" s="9">
        <f>IF(27&lt;=核心参数输入!$B$9*4,AE11*核心参数输入!$B$102+(IF(AND(27-核心参数输入!$B$103&gt;=0,27-核心参数输入!$B$103&lt;=120),INDEX(季度经营税费!$D$11:$DT$11,1,MAX(1,MIN(121,27-核心参数输入!$B$103+1))),0))*(1-核心参数输入!$B$102),0)</f>
        <v>0</v>
      </c>
      <c r="AF12" s="9">
        <f>IF(28&lt;=核心参数输入!$B$9*4,AF11*核心参数输入!$B$102+(IF(AND(28-核心参数输入!$B$103&gt;=0,28-核心参数输入!$B$103&lt;=120),INDEX(季度经营税费!$D$11:$DT$11,1,MAX(1,MIN(121,28-核心参数输入!$B$103+1))),0))*(1-核心参数输入!$B$102),0)</f>
        <v>0</v>
      </c>
      <c r="AG12" s="9">
        <f>IF(29&lt;=核心参数输入!$B$9*4,AG11*核心参数输入!$B$102+(IF(AND(29-核心参数输入!$B$103&gt;=0,29-核心参数输入!$B$103&lt;=120),INDEX(季度经营税费!$D$11:$DT$11,1,MAX(1,MIN(121,29-核心参数输入!$B$103+1))),0))*(1-核心参数输入!$B$102),0)</f>
        <v>0</v>
      </c>
      <c r="AH12" s="9">
        <f>IF(30&lt;=核心参数输入!$B$9*4,AH11*核心参数输入!$B$102+(IF(AND(30-核心参数输入!$B$103&gt;=0,30-核心参数输入!$B$103&lt;=120),INDEX(季度经营税费!$D$11:$DT$11,1,MAX(1,MIN(121,30-核心参数输入!$B$103+1))),0))*(1-核心参数输入!$B$102),0)</f>
        <v>0</v>
      </c>
      <c r="AI12" s="9">
        <f>IF(31&lt;=核心参数输入!$B$9*4,AI11*核心参数输入!$B$102+(IF(AND(31-核心参数输入!$B$103&gt;=0,31-核心参数输入!$B$103&lt;=120),INDEX(季度经营税费!$D$11:$DT$11,1,MAX(1,MIN(121,31-核心参数输入!$B$103+1))),0))*(1-核心参数输入!$B$102),0)</f>
        <v>0</v>
      </c>
      <c r="AJ12" s="9">
        <f>IF(32&lt;=核心参数输入!$B$9*4,AJ11*核心参数输入!$B$102+(IF(AND(32-核心参数输入!$B$103&gt;=0,32-核心参数输入!$B$103&lt;=120),INDEX(季度经营税费!$D$11:$DT$11,1,MAX(1,MIN(121,32-核心参数输入!$B$103+1))),0))*(1-核心参数输入!$B$102),0)</f>
        <v>0</v>
      </c>
      <c r="AK12" s="9">
        <f>IF(33&lt;=核心参数输入!$B$9*4,AK11*核心参数输入!$B$102+(IF(AND(33-核心参数输入!$B$103&gt;=0,33-核心参数输入!$B$103&lt;=120),INDEX(季度经营税费!$D$11:$DT$11,1,MAX(1,MIN(121,33-核心参数输入!$B$103+1))),0))*(1-核心参数输入!$B$102),0)</f>
        <v>0</v>
      </c>
      <c r="AL12" s="9">
        <f>IF(34&lt;=核心参数输入!$B$9*4,AL11*核心参数输入!$B$102+(IF(AND(34-核心参数输入!$B$103&gt;=0,34-核心参数输入!$B$103&lt;=120),INDEX(季度经营税费!$D$11:$DT$11,1,MAX(1,MIN(121,34-核心参数输入!$B$103+1))),0))*(1-核心参数输入!$B$102),0)</f>
        <v>0</v>
      </c>
      <c r="AM12" s="9">
        <f>IF(35&lt;=核心参数输入!$B$9*4,AM11*核心参数输入!$B$102+(IF(AND(35-核心参数输入!$B$103&gt;=0,35-核心参数输入!$B$103&lt;=120),INDEX(季度经营税费!$D$11:$DT$11,1,MAX(1,MIN(121,35-核心参数输入!$B$103+1))),0))*(1-核心参数输入!$B$102),0)</f>
        <v>0</v>
      </c>
      <c r="AN12" s="9">
        <f>IF(36&lt;=核心参数输入!$B$9*4,AN11*核心参数输入!$B$102+(IF(AND(36-核心参数输入!$B$103&gt;=0,36-核心参数输入!$B$103&lt;=120),INDEX(季度经营税费!$D$11:$DT$11,1,MAX(1,MIN(121,36-核心参数输入!$B$103+1))),0))*(1-核心参数输入!$B$102),0)</f>
        <v>0</v>
      </c>
      <c r="AO12" s="9">
        <f>IF(37&lt;=核心参数输入!$B$9*4,AO11*核心参数输入!$B$102+(IF(AND(37-核心参数输入!$B$103&gt;=0,37-核心参数输入!$B$103&lt;=120),INDEX(季度经营税费!$D$11:$DT$11,1,MAX(1,MIN(121,37-核心参数输入!$B$103+1))),0))*(1-核心参数输入!$B$102),0)</f>
        <v>0</v>
      </c>
      <c r="AP12" s="9">
        <f>IF(38&lt;=核心参数输入!$B$9*4,AP11*核心参数输入!$B$102+(IF(AND(38-核心参数输入!$B$103&gt;=0,38-核心参数输入!$B$103&lt;=120),INDEX(季度经营税费!$D$11:$DT$11,1,MAX(1,MIN(121,38-核心参数输入!$B$103+1))),0))*(1-核心参数输入!$B$102),0)</f>
        <v>0</v>
      </c>
      <c r="AQ12" s="9">
        <f>IF(39&lt;=核心参数输入!$B$9*4,AQ11*核心参数输入!$B$102+(IF(AND(39-核心参数输入!$B$103&gt;=0,39-核心参数输入!$B$103&lt;=120),INDEX(季度经营税费!$D$11:$DT$11,1,MAX(1,MIN(121,39-核心参数输入!$B$103+1))),0))*(1-核心参数输入!$B$102),0)</f>
        <v>0</v>
      </c>
      <c r="AR12" s="9">
        <f>IF(40&lt;=核心参数输入!$B$9*4,AR11*核心参数输入!$B$102+(IF(AND(40-核心参数输入!$B$103&gt;=0,40-核心参数输入!$B$103&lt;=120),INDEX(季度经营税费!$D$11:$DT$11,1,MAX(1,MIN(121,40-核心参数输入!$B$103+1))),0))*(1-核心参数输入!$B$102),0)</f>
        <v>0</v>
      </c>
      <c r="AS12" s="9">
        <f>IF(41&lt;=核心参数输入!$B$9*4,AS11*核心参数输入!$B$102+(IF(AND(41-核心参数输入!$B$103&gt;=0,41-核心参数输入!$B$103&lt;=120),INDEX(季度经营税费!$D$11:$DT$11,1,MAX(1,MIN(121,41-核心参数输入!$B$103+1))),0))*(1-核心参数输入!$B$102),0)</f>
        <v>0</v>
      </c>
      <c r="AT12" s="9">
        <f>IF(42&lt;=核心参数输入!$B$9*4,AT11*核心参数输入!$B$102+(IF(AND(42-核心参数输入!$B$103&gt;=0,42-核心参数输入!$B$103&lt;=120),INDEX(季度经营税费!$D$11:$DT$11,1,MAX(1,MIN(121,42-核心参数输入!$B$103+1))),0))*(1-核心参数输入!$B$102),0)</f>
        <v>0</v>
      </c>
      <c r="AU12" s="9">
        <f>IF(43&lt;=核心参数输入!$B$9*4,AU11*核心参数输入!$B$102+(IF(AND(43-核心参数输入!$B$103&gt;=0,43-核心参数输入!$B$103&lt;=120),INDEX(季度经营税费!$D$11:$DT$11,1,MAX(1,MIN(121,43-核心参数输入!$B$103+1))),0))*(1-核心参数输入!$B$102),0)</f>
        <v>0</v>
      </c>
      <c r="AV12" s="9">
        <f>IF(44&lt;=核心参数输入!$B$9*4,AV11*核心参数输入!$B$102+(IF(AND(44-核心参数输入!$B$103&gt;=0,44-核心参数输入!$B$103&lt;=120),INDEX(季度经营税费!$D$11:$DT$11,1,MAX(1,MIN(121,44-核心参数输入!$B$103+1))),0))*(1-核心参数输入!$B$102),0)</f>
        <v>0</v>
      </c>
      <c r="AW12" s="9">
        <f>IF(45&lt;=核心参数输入!$B$9*4,AW11*核心参数输入!$B$102+(IF(AND(45-核心参数输入!$B$103&gt;=0,45-核心参数输入!$B$103&lt;=120),INDEX(季度经营税费!$D$11:$DT$11,1,MAX(1,MIN(121,45-核心参数输入!$B$103+1))),0))*(1-核心参数输入!$B$102),0)</f>
        <v>0</v>
      </c>
      <c r="AX12" s="9">
        <f>IF(46&lt;=核心参数输入!$B$9*4,AX11*核心参数输入!$B$102+(IF(AND(46-核心参数输入!$B$103&gt;=0,46-核心参数输入!$B$103&lt;=120),INDEX(季度经营税费!$D$11:$DT$11,1,MAX(1,MIN(121,46-核心参数输入!$B$103+1))),0))*(1-核心参数输入!$B$102),0)</f>
        <v>0</v>
      </c>
      <c r="AY12" s="9">
        <f>IF(47&lt;=核心参数输入!$B$9*4,AY11*核心参数输入!$B$102+(IF(AND(47-核心参数输入!$B$103&gt;=0,47-核心参数输入!$B$103&lt;=120),INDEX(季度经营税费!$D$11:$DT$11,1,MAX(1,MIN(121,47-核心参数输入!$B$103+1))),0))*(1-核心参数输入!$B$102),0)</f>
        <v>0</v>
      </c>
      <c r="AZ12" s="9">
        <f>IF(48&lt;=核心参数输入!$B$9*4,AZ11*核心参数输入!$B$102+(IF(AND(48-核心参数输入!$B$103&gt;=0,48-核心参数输入!$B$103&lt;=120),INDEX(季度经营税费!$D$11:$DT$11,1,MAX(1,MIN(121,48-核心参数输入!$B$103+1))),0))*(1-核心参数输入!$B$102),0)</f>
        <v>0</v>
      </c>
      <c r="BA12" s="9">
        <f>IF(49&lt;=核心参数输入!$B$9*4,BA11*核心参数输入!$B$102+(IF(AND(49-核心参数输入!$B$103&gt;=0,49-核心参数输入!$B$103&lt;=120),INDEX(季度经营税费!$D$11:$DT$11,1,MAX(1,MIN(121,49-核心参数输入!$B$103+1))),0))*(1-核心参数输入!$B$102),0)</f>
        <v>0</v>
      </c>
      <c r="BB12" s="9">
        <f>IF(50&lt;=核心参数输入!$B$9*4,BB11*核心参数输入!$B$102+(IF(AND(50-核心参数输入!$B$103&gt;=0,50-核心参数输入!$B$103&lt;=120),INDEX(季度经营税费!$D$11:$DT$11,1,MAX(1,MIN(121,50-核心参数输入!$B$103+1))),0))*(1-核心参数输入!$B$102),0)</f>
        <v>0</v>
      </c>
      <c r="BC12" s="9">
        <f>IF(51&lt;=核心参数输入!$B$9*4,BC11*核心参数输入!$B$102+(IF(AND(51-核心参数输入!$B$103&gt;=0,51-核心参数输入!$B$103&lt;=120),INDEX(季度经营税费!$D$11:$DT$11,1,MAX(1,MIN(121,51-核心参数输入!$B$103+1))),0))*(1-核心参数输入!$B$102),0)</f>
        <v>0</v>
      </c>
      <c r="BD12" s="9">
        <f>IF(52&lt;=核心参数输入!$B$9*4,BD11*核心参数输入!$B$102+(IF(AND(52-核心参数输入!$B$103&gt;=0,52-核心参数输入!$B$103&lt;=120),INDEX(季度经营税费!$D$11:$DT$11,1,MAX(1,MIN(121,52-核心参数输入!$B$103+1))),0))*(1-核心参数输入!$B$102),0)</f>
        <v>0</v>
      </c>
      <c r="BE12" s="9">
        <f>IF(53&lt;=核心参数输入!$B$9*4,BE11*核心参数输入!$B$102+(IF(AND(53-核心参数输入!$B$103&gt;=0,53-核心参数输入!$B$103&lt;=120),INDEX(季度经营税费!$D$11:$DT$11,1,MAX(1,MIN(121,53-核心参数输入!$B$103+1))),0))*(1-核心参数输入!$B$102),0)</f>
        <v>0</v>
      </c>
      <c r="BF12" s="9">
        <f>IF(54&lt;=核心参数输入!$B$9*4,BF11*核心参数输入!$B$102+(IF(AND(54-核心参数输入!$B$103&gt;=0,54-核心参数输入!$B$103&lt;=120),INDEX(季度经营税费!$D$11:$DT$11,1,MAX(1,MIN(121,54-核心参数输入!$B$103+1))),0))*(1-核心参数输入!$B$102),0)</f>
        <v>0</v>
      </c>
      <c r="BG12" s="9">
        <f>IF(55&lt;=核心参数输入!$B$9*4,BG11*核心参数输入!$B$102+(IF(AND(55-核心参数输入!$B$103&gt;=0,55-核心参数输入!$B$103&lt;=120),INDEX(季度经营税费!$D$11:$DT$11,1,MAX(1,MIN(121,55-核心参数输入!$B$103+1))),0))*(1-核心参数输入!$B$102),0)</f>
        <v>0</v>
      </c>
      <c r="BH12" s="9">
        <f>IF(56&lt;=核心参数输入!$B$9*4,BH11*核心参数输入!$B$102+(IF(AND(56-核心参数输入!$B$103&gt;=0,56-核心参数输入!$B$103&lt;=120),INDEX(季度经营税费!$D$11:$DT$11,1,MAX(1,MIN(121,56-核心参数输入!$B$103+1))),0))*(1-核心参数输入!$B$102),0)</f>
        <v>0</v>
      </c>
      <c r="BI12" s="9">
        <f>IF(57&lt;=核心参数输入!$B$9*4,BI11*核心参数输入!$B$102+(IF(AND(57-核心参数输入!$B$103&gt;=0,57-核心参数输入!$B$103&lt;=120),INDEX(季度经营税费!$D$11:$DT$11,1,MAX(1,MIN(121,57-核心参数输入!$B$103+1))),0))*(1-核心参数输入!$B$102),0)</f>
        <v>0</v>
      </c>
      <c r="BJ12" s="9">
        <f>IF(58&lt;=核心参数输入!$B$9*4,BJ11*核心参数输入!$B$102+(IF(AND(58-核心参数输入!$B$103&gt;=0,58-核心参数输入!$B$103&lt;=120),INDEX(季度经营税费!$D$11:$DT$11,1,MAX(1,MIN(121,58-核心参数输入!$B$103+1))),0))*(1-核心参数输入!$B$102),0)</f>
        <v>0</v>
      </c>
      <c r="BK12" s="9">
        <f>IF(59&lt;=核心参数输入!$B$9*4,BK11*核心参数输入!$B$102+(IF(AND(59-核心参数输入!$B$103&gt;=0,59-核心参数输入!$B$103&lt;=120),INDEX(季度经营税费!$D$11:$DT$11,1,MAX(1,MIN(121,59-核心参数输入!$B$103+1))),0))*(1-核心参数输入!$B$102),0)</f>
        <v>0</v>
      </c>
      <c r="BL12" s="9">
        <f>IF(60&lt;=核心参数输入!$B$9*4,BL11*核心参数输入!$B$102+(IF(AND(60-核心参数输入!$B$103&gt;=0,60-核心参数输入!$B$103&lt;=120),INDEX(季度经营税费!$D$11:$DT$11,1,MAX(1,MIN(121,60-核心参数输入!$B$103+1))),0))*(1-核心参数输入!$B$102),0)</f>
        <v>0</v>
      </c>
      <c r="BM12" s="9">
        <f>IF(61&lt;=核心参数输入!$B$9*4,BM11*核心参数输入!$B$102+(IF(AND(61-核心参数输入!$B$103&gt;=0,61-核心参数输入!$B$103&lt;=120),INDEX(季度经营税费!$D$11:$DT$11,1,MAX(1,MIN(121,61-核心参数输入!$B$103+1))),0))*(1-核心参数输入!$B$102),0)</f>
        <v>0</v>
      </c>
      <c r="BN12" s="9">
        <f>IF(62&lt;=核心参数输入!$B$9*4,BN11*核心参数输入!$B$102+(IF(AND(62-核心参数输入!$B$103&gt;=0,62-核心参数输入!$B$103&lt;=120),INDEX(季度经营税费!$D$11:$DT$11,1,MAX(1,MIN(121,62-核心参数输入!$B$103+1))),0))*(1-核心参数输入!$B$102),0)</f>
        <v>0</v>
      </c>
      <c r="BO12" s="9">
        <f>IF(63&lt;=核心参数输入!$B$9*4,BO11*核心参数输入!$B$102+(IF(AND(63-核心参数输入!$B$103&gt;=0,63-核心参数输入!$B$103&lt;=120),INDEX(季度经营税费!$D$11:$DT$11,1,MAX(1,MIN(121,63-核心参数输入!$B$103+1))),0))*(1-核心参数输入!$B$102),0)</f>
        <v>0</v>
      </c>
      <c r="BP12" s="9">
        <f>IF(64&lt;=核心参数输入!$B$9*4,BP11*核心参数输入!$B$102+(IF(AND(64-核心参数输入!$B$103&gt;=0,64-核心参数输入!$B$103&lt;=120),INDEX(季度经营税费!$D$11:$DT$11,1,MAX(1,MIN(121,64-核心参数输入!$B$103+1))),0))*(1-核心参数输入!$B$102),0)</f>
        <v>0</v>
      </c>
      <c r="BQ12" s="9">
        <f>IF(65&lt;=核心参数输入!$B$9*4,BQ11*核心参数输入!$B$102+(IF(AND(65-核心参数输入!$B$103&gt;=0,65-核心参数输入!$B$103&lt;=120),INDEX(季度经营税费!$D$11:$DT$11,1,MAX(1,MIN(121,65-核心参数输入!$B$103+1))),0))*(1-核心参数输入!$B$102),0)</f>
        <v>0</v>
      </c>
      <c r="BR12" s="9">
        <f>IF(66&lt;=核心参数输入!$B$9*4,BR11*核心参数输入!$B$102+(IF(AND(66-核心参数输入!$B$103&gt;=0,66-核心参数输入!$B$103&lt;=120),INDEX(季度经营税费!$D$11:$DT$11,1,MAX(1,MIN(121,66-核心参数输入!$B$103+1))),0))*(1-核心参数输入!$B$102),0)</f>
        <v>0</v>
      </c>
      <c r="BS12" s="9">
        <f>IF(67&lt;=核心参数输入!$B$9*4,BS11*核心参数输入!$B$102+(IF(AND(67-核心参数输入!$B$103&gt;=0,67-核心参数输入!$B$103&lt;=120),INDEX(季度经营税费!$D$11:$DT$11,1,MAX(1,MIN(121,67-核心参数输入!$B$103+1))),0))*(1-核心参数输入!$B$102),0)</f>
        <v>0</v>
      </c>
      <c r="BT12" s="9">
        <f>IF(68&lt;=核心参数输入!$B$9*4,BT11*核心参数输入!$B$102+(IF(AND(68-核心参数输入!$B$103&gt;=0,68-核心参数输入!$B$103&lt;=120),INDEX(季度经营税费!$D$11:$DT$11,1,MAX(1,MIN(121,68-核心参数输入!$B$103+1))),0))*(1-核心参数输入!$B$102),0)</f>
        <v>0</v>
      </c>
      <c r="BU12" s="9">
        <f>IF(69&lt;=核心参数输入!$B$9*4,BU11*核心参数输入!$B$102+(IF(AND(69-核心参数输入!$B$103&gt;=0,69-核心参数输入!$B$103&lt;=120),INDEX(季度经营税费!$D$11:$DT$11,1,MAX(1,MIN(121,69-核心参数输入!$B$103+1))),0))*(1-核心参数输入!$B$102),0)</f>
        <v>0</v>
      </c>
      <c r="BV12" s="9">
        <f>IF(70&lt;=核心参数输入!$B$9*4,BV11*核心参数输入!$B$102+(IF(AND(70-核心参数输入!$B$103&gt;=0,70-核心参数输入!$B$103&lt;=120),INDEX(季度经营税费!$D$11:$DT$11,1,MAX(1,MIN(121,70-核心参数输入!$B$103+1))),0))*(1-核心参数输入!$B$102),0)</f>
        <v>0</v>
      </c>
      <c r="BW12" s="9">
        <f>IF(71&lt;=核心参数输入!$B$9*4,BW11*核心参数输入!$B$102+(IF(AND(71-核心参数输入!$B$103&gt;=0,71-核心参数输入!$B$103&lt;=120),INDEX(季度经营税费!$D$11:$DT$11,1,MAX(1,MIN(121,71-核心参数输入!$B$103+1))),0))*(1-核心参数输入!$B$102),0)</f>
        <v>0</v>
      </c>
      <c r="BX12" s="9">
        <f>IF(72&lt;=核心参数输入!$B$9*4,BX11*核心参数输入!$B$102+(IF(AND(72-核心参数输入!$B$103&gt;=0,72-核心参数输入!$B$103&lt;=120),INDEX(季度经营税费!$D$11:$DT$11,1,MAX(1,MIN(121,72-核心参数输入!$B$103+1))),0))*(1-核心参数输入!$B$102),0)</f>
        <v>0</v>
      </c>
      <c r="BY12" s="9">
        <f>IF(73&lt;=核心参数输入!$B$9*4,BY11*核心参数输入!$B$102+(IF(AND(73-核心参数输入!$B$103&gt;=0,73-核心参数输入!$B$103&lt;=120),INDEX(季度经营税费!$D$11:$DT$11,1,MAX(1,MIN(121,73-核心参数输入!$B$103+1))),0))*(1-核心参数输入!$B$102),0)</f>
        <v>0</v>
      </c>
      <c r="BZ12" s="9">
        <f>IF(74&lt;=核心参数输入!$B$9*4,BZ11*核心参数输入!$B$102+(IF(AND(74-核心参数输入!$B$103&gt;=0,74-核心参数输入!$B$103&lt;=120),INDEX(季度经营税费!$D$11:$DT$11,1,MAX(1,MIN(121,74-核心参数输入!$B$103+1))),0))*(1-核心参数输入!$B$102),0)</f>
        <v>0</v>
      </c>
      <c r="CA12" s="9">
        <f>IF(75&lt;=核心参数输入!$B$9*4,CA11*核心参数输入!$B$102+(IF(AND(75-核心参数输入!$B$103&gt;=0,75-核心参数输入!$B$103&lt;=120),INDEX(季度经营税费!$D$11:$DT$11,1,MAX(1,MIN(121,75-核心参数输入!$B$103+1))),0))*(1-核心参数输入!$B$102),0)</f>
        <v>0</v>
      </c>
      <c r="CB12" s="9">
        <f>IF(76&lt;=核心参数输入!$B$9*4,CB11*核心参数输入!$B$102+(IF(AND(76-核心参数输入!$B$103&gt;=0,76-核心参数输入!$B$103&lt;=120),INDEX(季度经营税费!$D$11:$DT$11,1,MAX(1,MIN(121,76-核心参数输入!$B$103+1))),0))*(1-核心参数输入!$B$102),0)</f>
        <v>0</v>
      </c>
      <c r="CC12" s="9">
        <f>IF(77&lt;=核心参数输入!$B$9*4,CC11*核心参数输入!$B$102+(IF(AND(77-核心参数输入!$B$103&gt;=0,77-核心参数输入!$B$103&lt;=120),INDEX(季度经营税费!$D$11:$DT$11,1,MAX(1,MIN(121,77-核心参数输入!$B$103+1))),0))*(1-核心参数输入!$B$102),0)</f>
        <v>0</v>
      </c>
      <c r="CD12" s="9">
        <f>IF(78&lt;=核心参数输入!$B$9*4,CD11*核心参数输入!$B$102+(IF(AND(78-核心参数输入!$B$103&gt;=0,78-核心参数输入!$B$103&lt;=120),INDEX(季度经营税费!$D$11:$DT$11,1,MAX(1,MIN(121,78-核心参数输入!$B$103+1))),0))*(1-核心参数输入!$B$102),0)</f>
        <v>0</v>
      </c>
      <c r="CE12" s="9">
        <f>IF(79&lt;=核心参数输入!$B$9*4,CE11*核心参数输入!$B$102+(IF(AND(79-核心参数输入!$B$103&gt;=0,79-核心参数输入!$B$103&lt;=120),INDEX(季度经营税费!$D$11:$DT$11,1,MAX(1,MIN(121,79-核心参数输入!$B$103+1))),0))*(1-核心参数输入!$B$102),0)</f>
        <v>0</v>
      </c>
      <c r="CF12" s="9">
        <f>IF(80&lt;=核心参数输入!$B$9*4,CF11*核心参数输入!$B$102+(IF(AND(80-核心参数输入!$B$103&gt;=0,80-核心参数输入!$B$103&lt;=120),INDEX(季度经营税费!$D$11:$DT$11,1,MAX(1,MIN(121,80-核心参数输入!$B$103+1))),0))*(1-核心参数输入!$B$102),0)</f>
        <v>0</v>
      </c>
      <c r="CG12" s="9">
        <f>IF(81&lt;=核心参数输入!$B$9*4,CG11*核心参数输入!$B$102+(IF(AND(81-核心参数输入!$B$103&gt;=0,81-核心参数输入!$B$103&lt;=120),INDEX(季度经营税费!$D$11:$DT$11,1,MAX(1,MIN(121,81-核心参数输入!$B$103+1))),0))*(1-核心参数输入!$B$102),0)</f>
        <v>0</v>
      </c>
      <c r="CH12" s="9">
        <f>IF(82&lt;=核心参数输入!$B$9*4,CH11*核心参数输入!$B$102+(IF(AND(82-核心参数输入!$B$103&gt;=0,82-核心参数输入!$B$103&lt;=120),INDEX(季度经营税费!$D$11:$DT$11,1,MAX(1,MIN(121,82-核心参数输入!$B$103+1))),0))*(1-核心参数输入!$B$102),0)</f>
        <v>0</v>
      </c>
      <c r="CI12" s="9">
        <f>IF(83&lt;=核心参数输入!$B$9*4,CI11*核心参数输入!$B$102+(IF(AND(83-核心参数输入!$B$103&gt;=0,83-核心参数输入!$B$103&lt;=120),INDEX(季度经营税费!$D$11:$DT$11,1,MAX(1,MIN(121,83-核心参数输入!$B$103+1))),0))*(1-核心参数输入!$B$102),0)</f>
        <v>0</v>
      </c>
      <c r="CJ12" s="9">
        <f>IF(84&lt;=核心参数输入!$B$9*4,CJ11*核心参数输入!$B$102+(IF(AND(84-核心参数输入!$B$103&gt;=0,84-核心参数输入!$B$103&lt;=120),INDEX(季度经营税费!$D$11:$DT$11,1,MAX(1,MIN(121,84-核心参数输入!$B$103+1))),0))*(1-核心参数输入!$B$102),0)</f>
        <v>0</v>
      </c>
      <c r="CK12" s="9">
        <f>IF(85&lt;=核心参数输入!$B$9*4,CK11*核心参数输入!$B$102+(IF(AND(85-核心参数输入!$B$103&gt;=0,85-核心参数输入!$B$103&lt;=120),INDEX(季度经营税费!$D$11:$DT$11,1,MAX(1,MIN(121,85-核心参数输入!$B$103+1))),0))*(1-核心参数输入!$B$102),0)</f>
        <v>0</v>
      </c>
      <c r="CL12" s="9">
        <f>IF(86&lt;=核心参数输入!$B$9*4,CL11*核心参数输入!$B$102+(IF(AND(86-核心参数输入!$B$103&gt;=0,86-核心参数输入!$B$103&lt;=120),INDEX(季度经营税费!$D$11:$DT$11,1,MAX(1,MIN(121,86-核心参数输入!$B$103+1))),0))*(1-核心参数输入!$B$102),0)</f>
        <v>0</v>
      </c>
      <c r="CM12" s="9">
        <f>IF(87&lt;=核心参数输入!$B$9*4,CM11*核心参数输入!$B$102+(IF(AND(87-核心参数输入!$B$103&gt;=0,87-核心参数输入!$B$103&lt;=120),INDEX(季度经营税费!$D$11:$DT$11,1,MAX(1,MIN(121,87-核心参数输入!$B$103+1))),0))*(1-核心参数输入!$B$102),0)</f>
        <v>0</v>
      </c>
      <c r="CN12" s="9">
        <f>IF(88&lt;=核心参数输入!$B$9*4,CN11*核心参数输入!$B$102+(IF(AND(88-核心参数输入!$B$103&gt;=0,88-核心参数输入!$B$103&lt;=120),INDEX(季度经营税费!$D$11:$DT$11,1,MAX(1,MIN(121,88-核心参数输入!$B$103+1))),0))*(1-核心参数输入!$B$102),0)</f>
        <v>0</v>
      </c>
      <c r="CO12" s="9">
        <f>IF(89&lt;=核心参数输入!$B$9*4,CO11*核心参数输入!$B$102+(IF(AND(89-核心参数输入!$B$103&gt;=0,89-核心参数输入!$B$103&lt;=120),INDEX(季度经营税费!$D$11:$DT$11,1,MAX(1,MIN(121,89-核心参数输入!$B$103+1))),0))*(1-核心参数输入!$B$102),0)</f>
        <v>0</v>
      </c>
      <c r="CP12" s="9">
        <f>IF(90&lt;=核心参数输入!$B$9*4,CP11*核心参数输入!$B$102+(IF(AND(90-核心参数输入!$B$103&gt;=0,90-核心参数输入!$B$103&lt;=120),INDEX(季度经营税费!$D$11:$DT$11,1,MAX(1,MIN(121,90-核心参数输入!$B$103+1))),0))*(1-核心参数输入!$B$102),0)</f>
        <v>0</v>
      </c>
      <c r="CQ12" s="9">
        <f>IF(91&lt;=核心参数输入!$B$9*4,CQ11*核心参数输入!$B$102+(IF(AND(91-核心参数输入!$B$103&gt;=0,91-核心参数输入!$B$103&lt;=120),INDEX(季度经营税费!$D$11:$DT$11,1,MAX(1,MIN(121,91-核心参数输入!$B$103+1))),0))*(1-核心参数输入!$B$102),0)</f>
        <v>0</v>
      </c>
      <c r="CR12" s="9">
        <f>IF(92&lt;=核心参数输入!$B$9*4,CR11*核心参数输入!$B$102+(IF(AND(92-核心参数输入!$B$103&gt;=0,92-核心参数输入!$B$103&lt;=120),INDEX(季度经营税费!$D$11:$DT$11,1,MAX(1,MIN(121,92-核心参数输入!$B$103+1))),0))*(1-核心参数输入!$B$102),0)</f>
        <v>0</v>
      </c>
      <c r="CS12" s="9">
        <f>IF(93&lt;=核心参数输入!$B$9*4,CS11*核心参数输入!$B$102+(IF(AND(93-核心参数输入!$B$103&gt;=0,93-核心参数输入!$B$103&lt;=120),INDEX(季度经营税费!$D$11:$DT$11,1,MAX(1,MIN(121,93-核心参数输入!$B$103+1))),0))*(1-核心参数输入!$B$102),0)</f>
        <v>0</v>
      </c>
      <c r="CT12" s="9">
        <f>IF(94&lt;=核心参数输入!$B$9*4,CT11*核心参数输入!$B$102+(IF(AND(94-核心参数输入!$B$103&gt;=0,94-核心参数输入!$B$103&lt;=120),INDEX(季度经营税费!$D$11:$DT$11,1,MAX(1,MIN(121,94-核心参数输入!$B$103+1))),0))*(1-核心参数输入!$B$102),0)</f>
        <v>0</v>
      </c>
      <c r="CU12" s="9">
        <f>IF(95&lt;=核心参数输入!$B$9*4,CU11*核心参数输入!$B$102+(IF(AND(95-核心参数输入!$B$103&gt;=0,95-核心参数输入!$B$103&lt;=120),INDEX(季度经营税费!$D$11:$DT$11,1,MAX(1,MIN(121,95-核心参数输入!$B$103+1))),0))*(1-核心参数输入!$B$102),0)</f>
        <v>0</v>
      </c>
      <c r="CV12" s="9">
        <f>IF(96&lt;=核心参数输入!$B$9*4,CV11*核心参数输入!$B$102+(IF(AND(96-核心参数输入!$B$103&gt;=0,96-核心参数输入!$B$103&lt;=120),INDEX(季度经营税费!$D$11:$DT$11,1,MAX(1,MIN(121,96-核心参数输入!$B$103+1))),0))*(1-核心参数输入!$B$102),0)</f>
        <v>0</v>
      </c>
      <c r="CW12" s="9">
        <f>IF(97&lt;=核心参数输入!$B$9*4,CW11*核心参数输入!$B$102+(IF(AND(97-核心参数输入!$B$103&gt;=0,97-核心参数输入!$B$103&lt;=120),INDEX(季度经营税费!$D$11:$DT$11,1,MAX(1,MIN(121,97-核心参数输入!$B$103+1))),0))*(1-核心参数输入!$B$102),0)</f>
        <v>0</v>
      </c>
      <c r="CX12" s="9">
        <f>IF(98&lt;=核心参数输入!$B$9*4,CX11*核心参数输入!$B$102+(IF(AND(98-核心参数输入!$B$103&gt;=0,98-核心参数输入!$B$103&lt;=120),INDEX(季度经营税费!$D$11:$DT$11,1,MAX(1,MIN(121,98-核心参数输入!$B$103+1))),0))*(1-核心参数输入!$B$102),0)</f>
        <v>0</v>
      </c>
      <c r="CY12" s="9">
        <f>IF(99&lt;=核心参数输入!$B$9*4,CY11*核心参数输入!$B$102+(IF(AND(99-核心参数输入!$B$103&gt;=0,99-核心参数输入!$B$103&lt;=120),INDEX(季度经营税费!$D$11:$DT$11,1,MAX(1,MIN(121,99-核心参数输入!$B$103+1))),0))*(1-核心参数输入!$B$102),0)</f>
        <v>0</v>
      </c>
      <c r="CZ12" s="9">
        <f>IF(100&lt;=核心参数输入!$B$9*4,CZ11*核心参数输入!$B$102+(IF(AND(100-核心参数输入!$B$103&gt;=0,100-核心参数输入!$B$103&lt;=120),INDEX(季度经营税费!$D$11:$DT$11,1,MAX(1,MIN(121,100-核心参数输入!$B$103+1))),0))*(1-核心参数输入!$B$102),0)</f>
        <v>0</v>
      </c>
      <c r="DA12" s="9">
        <f>IF(101&lt;=核心参数输入!$B$9*4,DA11*核心参数输入!$B$102+(IF(AND(101-核心参数输入!$B$103&gt;=0,101-核心参数输入!$B$103&lt;=120),INDEX(季度经营税费!$D$11:$DT$11,1,MAX(1,MIN(121,101-核心参数输入!$B$103+1))),0))*(1-核心参数输入!$B$102),0)</f>
        <v>0</v>
      </c>
      <c r="DB12" s="9">
        <f>IF(102&lt;=核心参数输入!$B$9*4,DB11*核心参数输入!$B$102+(IF(AND(102-核心参数输入!$B$103&gt;=0,102-核心参数输入!$B$103&lt;=120),INDEX(季度经营税费!$D$11:$DT$11,1,MAX(1,MIN(121,102-核心参数输入!$B$103+1))),0))*(1-核心参数输入!$B$102),0)</f>
        <v>0</v>
      </c>
      <c r="DC12" s="9">
        <f>IF(103&lt;=核心参数输入!$B$9*4,DC11*核心参数输入!$B$102+(IF(AND(103-核心参数输入!$B$103&gt;=0,103-核心参数输入!$B$103&lt;=120),INDEX(季度经营税费!$D$11:$DT$11,1,MAX(1,MIN(121,103-核心参数输入!$B$103+1))),0))*(1-核心参数输入!$B$102),0)</f>
        <v>0</v>
      </c>
      <c r="DD12" s="9">
        <f>IF(104&lt;=核心参数输入!$B$9*4,DD11*核心参数输入!$B$102+(IF(AND(104-核心参数输入!$B$103&gt;=0,104-核心参数输入!$B$103&lt;=120),INDEX(季度经营税费!$D$11:$DT$11,1,MAX(1,MIN(121,104-核心参数输入!$B$103+1))),0))*(1-核心参数输入!$B$102),0)</f>
        <v>0</v>
      </c>
      <c r="DE12" s="9">
        <f>IF(105&lt;=核心参数输入!$B$9*4,DE11*核心参数输入!$B$102+(IF(AND(105-核心参数输入!$B$103&gt;=0,105-核心参数输入!$B$103&lt;=120),INDEX(季度经营税费!$D$11:$DT$11,1,MAX(1,MIN(121,105-核心参数输入!$B$103+1))),0))*(1-核心参数输入!$B$102),0)</f>
        <v>0</v>
      </c>
      <c r="DF12" s="9">
        <f>IF(106&lt;=核心参数输入!$B$9*4,DF11*核心参数输入!$B$102+(IF(AND(106-核心参数输入!$B$103&gt;=0,106-核心参数输入!$B$103&lt;=120),INDEX(季度经营税费!$D$11:$DT$11,1,MAX(1,MIN(121,106-核心参数输入!$B$103+1))),0))*(1-核心参数输入!$B$102),0)</f>
        <v>0</v>
      </c>
      <c r="DG12" s="9">
        <f>IF(107&lt;=核心参数输入!$B$9*4,DG11*核心参数输入!$B$102+(IF(AND(107-核心参数输入!$B$103&gt;=0,107-核心参数输入!$B$103&lt;=120),INDEX(季度经营税费!$D$11:$DT$11,1,MAX(1,MIN(121,107-核心参数输入!$B$103+1))),0))*(1-核心参数输入!$B$102),0)</f>
        <v>0</v>
      </c>
      <c r="DH12" s="9">
        <f>IF(108&lt;=核心参数输入!$B$9*4,DH11*核心参数输入!$B$102+(IF(AND(108-核心参数输入!$B$103&gt;=0,108-核心参数输入!$B$103&lt;=120),INDEX(季度经营税费!$D$11:$DT$11,1,MAX(1,MIN(121,108-核心参数输入!$B$103+1))),0))*(1-核心参数输入!$B$102),0)</f>
        <v>0</v>
      </c>
      <c r="DI12" s="9">
        <f>IF(109&lt;=核心参数输入!$B$9*4,DI11*核心参数输入!$B$102+(IF(AND(109-核心参数输入!$B$103&gt;=0,109-核心参数输入!$B$103&lt;=120),INDEX(季度经营税费!$D$11:$DT$11,1,MAX(1,MIN(121,109-核心参数输入!$B$103+1))),0))*(1-核心参数输入!$B$102),0)</f>
        <v>0</v>
      </c>
      <c r="DJ12" s="9">
        <f>IF(110&lt;=核心参数输入!$B$9*4,DJ11*核心参数输入!$B$102+(IF(AND(110-核心参数输入!$B$103&gt;=0,110-核心参数输入!$B$103&lt;=120),INDEX(季度经营税费!$D$11:$DT$11,1,MAX(1,MIN(121,110-核心参数输入!$B$103+1))),0))*(1-核心参数输入!$B$102),0)</f>
        <v>0</v>
      </c>
      <c r="DK12" s="9">
        <f>IF(111&lt;=核心参数输入!$B$9*4,DK11*核心参数输入!$B$102+(IF(AND(111-核心参数输入!$B$103&gt;=0,111-核心参数输入!$B$103&lt;=120),INDEX(季度经营税费!$D$11:$DT$11,1,MAX(1,MIN(121,111-核心参数输入!$B$103+1))),0))*(1-核心参数输入!$B$102),0)</f>
        <v>0</v>
      </c>
      <c r="DL12" s="9">
        <f>IF(112&lt;=核心参数输入!$B$9*4,DL11*核心参数输入!$B$102+(IF(AND(112-核心参数输入!$B$103&gt;=0,112-核心参数输入!$B$103&lt;=120),INDEX(季度经营税费!$D$11:$DT$11,1,MAX(1,MIN(121,112-核心参数输入!$B$103+1))),0))*(1-核心参数输入!$B$102),0)</f>
        <v>0</v>
      </c>
      <c r="DM12" s="9">
        <f>IF(113&lt;=核心参数输入!$B$9*4,DM11*核心参数输入!$B$102+(IF(AND(113-核心参数输入!$B$103&gt;=0,113-核心参数输入!$B$103&lt;=120),INDEX(季度经营税费!$D$11:$DT$11,1,MAX(1,MIN(121,113-核心参数输入!$B$103+1))),0))*(1-核心参数输入!$B$102),0)</f>
        <v>0</v>
      </c>
      <c r="DN12" s="9">
        <f>IF(114&lt;=核心参数输入!$B$9*4,DN11*核心参数输入!$B$102+(IF(AND(114-核心参数输入!$B$103&gt;=0,114-核心参数输入!$B$103&lt;=120),INDEX(季度经营税费!$D$11:$DT$11,1,MAX(1,MIN(121,114-核心参数输入!$B$103+1))),0))*(1-核心参数输入!$B$102),0)</f>
        <v>0</v>
      </c>
      <c r="DO12" s="9">
        <f>IF(115&lt;=核心参数输入!$B$9*4,DO11*核心参数输入!$B$102+(IF(AND(115-核心参数输入!$B$103&gt;=0,115-核心参数输入!$B$103&lt;=120),INDEX(季度经营税费!$D$11:$DT$11,1,MAX(1,MIN(121,115-核心参数输入!$B$103+1))),0))*(1-核心参数输入!$B$102),0)</f>
        <v>0</v>
      </c>
      <c r="DP12" s="9">
        <f>IF(116&lt;=核心参数输入!$B$9*4,DP11*核心参数输入!$B$102+(IF(AND(116-核心参数输入!$B$103&gt;=0,116-核心参数输入!$B$103&lt;=120),INDEX(季度经营税费!$D$11:$DT$11,1,MAX(1,MIN(121,116-核心参数输入!$B$103+1))),0))*(1-核心参数输入!$B$102),0)</f>
        <v>0</v>
      </c>
      <c r="DQ12" s="9">
        <f>IF(117&lt;=核心参数输入!$B$9*4,DQ11*核心参数输入!$B$102+(IF(AND(117-核心参数输入!$B$103&gt;=0,117-核心参数输入!$B$103&lt;=120),INDEX(季度经营税费!$D$11:$DT$11,1,MAX(1,MIN(121,117-核心参数输入!$B$103+1))),0))*(1-核心参数输入!$B$102),0)</f>
        <v>0</v>
      </c>
      <c r="DR12" s="9">
        <f>IF(118&lt;=核心参数输入!$B$9*4,DR11*核心参数输入!$B$102+(IF(AND(118-核心参数输入!$B$103&gt;=0,118-核心参数输入!$B$103&lt;=120),INDEX(季度经营税费!$D$11:$DT$11,1,MAX(1,MIN(121,118-核心参数输入!$B$103+1))),0))*(1-核心参数输入!$B$102),0)</f>
        <v>0</v>
      </c>
      <c r="DS12" s="9">
        <f>IF(119&lt;=核心参数输入!$B$9*4,DS11*核心参数输入!$B$102+(IF(AND(119-核心参数输入!$B$103&gt;=0,119-核心参数输入!$B$103&lt;=120),INDEX(季度经营税费!$D$11:$DT$11,1,MAX(1,MIN(121,119-核心参数输入!$B$103+1))),0))*(1-核心参数输入!$B$102),0)</f>
        <v>0</v>
      </c>
      <c r="DT12" s="9">
        <f>IF(120&lt;=核心参数输入!$B$9*4,DT11*核心参数输入!$B$102+(IF(AND(120-核心参数输入!$B$103&gt;=0,120-核心参数输入!$B$103&lt;=120),INDEX(季度经营税费!$D$11:$DT$11,1,MAX(1,MIN(121,120-核心参数输入!$B$103+1))),0))*(1-核心参数输入!$B$102),0)</f>
        <v>0</v>
      </c>
    </row>
    <row r="13" spans="1:124" ht="21" customHeight="1">
      <c r="A13" s="8" t="s">
        <v>449</v>
      </c>
      <c r="B13" s="8" t="s">
        <v>39</v>
      </c>
      <c r="C13" s="8"/>
      <c r="D13" s="9">
        <f>IF(0&lt;=核心参数输入!$B$9*4,SUM($D11:D11)-SUM($D12:D12),0)</f>
        <v>0</v>
      </c>
      <c r="E13" s="9">
        <f>IF(1&lt;=核心参数输入!$B$9*4,SUM($D11:E11)-SUM($D12:E12),0)</f>
        <v>0</v>
      </c>
      <c r="F13" s="9">
        <f>IF(2&lt;=核心参数输入!$B$9*4,SUM($D11:F11)-SUM($D12:F12),0)</f>
        <v>0</v>
      </c>
      <c r="G13" s="9">
        <f>IF(3&lt;=核心参数输入!$B$9*4,SUM($D11:G11)-SUM($D12:G12),0)</f>
        <v>0</v>
      </c>
      <c r="H13" s="9">
        <f>IF(4&lt;=核心参数输入!$B$9*4,SUM($D11:H11)-SUM($D12:H12),0)</f>
        <v>0</v>
      </c>
      <c r="I13" s="9">
        <f>IF(5&lt;=核心参数输入!$B$9*4,SUM($D11:I11)-SUM($D12:I12),0)</f>
        <v>0</v>
      </c>
      <c r="J13" s="9">
        <f>IF(6&lt;=核心参数输入!$B$9*4,SUM($D11:J11)-SUM($D12:J12),0)</f>
        <v>0</v>
      </c>
      <c r="K13" s="9">
        <f>IF(7&lt;=核心参数输入!$B$9*4,SUM($D11:K11)-SUM($D12:K12),0)</f>
        <v>0</v>
      </c>
      <c r="L13" s="9">
        <f>IF(8&lt;=核心参数输入!$B$9*4,SUM($D11:L11)-SUM($D12:L12),0)</f>
        <v>0</v>
      </c>
      <c r="M13" s="9">
        <f>IF(9&lt;=核心参数输入!$B$9*4,SUM($D11:M11)-SUM($D12:M12),0)</f>
        <v>0</v>
      </c>
      <c r="N13" s="9">
        <f>IF(10&lt;=核心参数输入!$B$9*4,SUM($D11:N11)-SUM($D12:N12),0)</f>
        <v>0</v>
      </c>
      <c r="O13" s="9">
        <f>IF(11&lt;=核心参数输入!$B$9*4,SUM($D11:O11)-SUM($D12:O12),0)</f>
        <v>0</v>
      </c>
      <c r="P13" s="9">
        <f>IF(12&lt;=核心参数输入!$B$9*4,SUM($D11:P11)-SUM($D12:P12),0)</f>
        <v>0</v>
      </c>
      <c r="Q13" s="9">
        <f>IF(13&lt;=核心参数输入!$B$9*4,SUM($D11:Q11)-SUM($D12:Q12),0)</f>
        <v>1085.90625</v>
      </c>
      <c r="R13" s="9">
        <f>IF(14&lt;=核心参数输入!$B$9*4,SUM($D11:R11)-SUM($D12:R12),0)</f>
        <v>1085.90625</v>
      </c>
      <c r="S13" s="9">
        <f>IF(15&lt;=核心参数输入!$B$9*4,SUM($D11:S11)-SUM($D12:S12),0)</f>
        <v>1085.90625</v>
      </c>
      <c r="T13" s="9">
        <f>IF(16&lt;=核心参数输入!$B$9*4,SUM($D11:T11)-SUM($D12:T12),0)</f>
        <v>1085.90625</v>
      </c>
      <c r="U13" s="9">
        <f>IF(17&lt;=核心参数输入!$B$9*4,SUM($D11:U11)-SUM($D12:U12),0)</f>
        <v>1447.875</v>
      </c>
      <c r="V13" s="9">
        <f>IF(18&lt;=核心参数输入!$B$9*4,SUM($D11:V11)-SUM($D12:V12),0)</f>
        <v>1447.875</v>
      </c>
      <c r="W13" s="9">
        <f>IF(19&lt;=核心参数输入!$B$9*4,SUM($D11:W11)-SUM($D12:W12),0)</f>
        <v>1447.875</v>
      </c>
      <c r="X13" s="9">
        <f>IF(20&lt;=核心参数输入!$B$9*4,SUM($D11:X11)-SUM($D12:X12),0)</f>
        <v>1447.875</v>
      </c>
      <c r="Y13" s="9">
        <f>IF(21&lt;=核心参数输入!$B$9*4,SUM($D11:Y11)-SUM($D12:Y12),0)</f>
        <v>1085.90625</v>
      </c>
      <c r="Z13" s="9">
        <f>IF(22&lt;=核心参数输入!$B$9*4,SUM($D11:Z11)-SUM($D12:Z12),0)</f>
        <v>1085.90625</v>
      </c>
      <c r="AA13" s="9">
        <f>IF(23&lt;=核心参数输入!$B$9*4,SUM($D11:AA11)-SUM($D12:AA12),0)</f>
        <v>1085.90625</v>
      </c>
      <c r="AB13" s="9">
        <f>IF(24&lt;=核心参数输入!$B$9*4,SUM($D11:AB11)-SUM($D12:AB12),0)</f>
        <v>1085.90625</v>
      </c>
      <c r="AC13" s="9">
        <f>IF(25&lt;=核心参数输入!$B$9*4,SUM($D11:AC11)-SUM($D12:AC12),0)</f>
        <v>0</v>
      </c>
      <c r="AD13" s="9">
        <f>IF(26&lt;=核心参数输入!$B$9*4,SUM($D11:AD11)-SUM($D12:AD12),0)</f>
        <v>0</v>
      </c>
      <c r="AE13" s="9">
        <f>IF(27&lt;=核心参数输入!$B$9*4,SUM($D11:AE11)-SUM($D12:AE12),0)</f>
        <v>0</v>
      </c>
      <c r="AF13" s="9">
        <f>IF(28&lt;=核心参数输入!$B$9*4,SUM($D11:AF11)-SUM($D12:AF12),0)</f>
        <v>0</v>
      </c>
      <c r="AG13" s="9">
        <f>IF(29&lt;=核心参数输入!$B$9*4,SUM($D11:AG11)-SUM($D12:AG12),0)</f>
        <v>0</v>
      </c>
      <c r="AH13" s="9">
        <f>IF(30&lt;=核心参数输入!$B$9*4,SUM($D11:AH11)-SUM($D12:AH12),0)</f>
        <v>0</v>
      </c>
      <c r="AI13" s="9">
        <f>IF(31&lt;=核心参数输入!$B$9*4,SUM($D11:AI11)-SUM($D12:AI12),0)</f>
        <v>0</v>
      </c>
      <c r="AJ13" s="9">
        <f>IF(32&lt;=核心参数输入!$B$9*4,SUM($D11:AJ11)-SUM($D12:AJ12),0)</f>
        <v>0</v>
      </c>
      <c r="AK13" s="9">
        <f>IF(33&lt;=核心参数输入!$B$9*4,SUM($D11:AK11)-SUM($D12:AK12),0)</f>
        <v>0</v>
      </c>
      <c r="AL13" s="9">
        <f>IF(34&lt;=核心参数输入!$B$9*4,SUM($D11:AL11)-SUM($D12:AL12),0)</f>
        <v>0</v>
      </c>
      <c r="AM13" s="9">
        <f>IF(35&lt;=核心参数输入!$B$9*4,SUM($D11:AM11)-SUM($D12:AM12),0)</f>
        <v>0</v>
      </c>
      <c r="AN13" s="9">
        <f>IF(36&lt;=核心参数输入!$B$9*4,SUM($D11:AN11)-SUM($D12:AN12),0)</f>
        <v>0</v>
      </c>
      <c r="AO13" s="9">
        <f>IF(37&lt;=核心参数输入!$B$9*4,SUM($D11:AO11)-SUM($D12:AO12),0)</f>
        <v>0</v>
      </c>
      <c r="AP13" s="9">
        <f>IF(38&lt;=核心参数输入!$B$9*4,SUM($D11:AP11)-SUM($D12:AP12),0)</f>
        <v>0</v>
      </c>
      <c r="AQ13" s="9">
        <f>IF(39&lt;=核心参数输入!$B$9*4,SUM($D11:AQ11)-SUM($D12:AQ12),0)</f>
        <v>0</v>
      </c>
      <c r="AR13" s="9">
        <f>IF(40&lt;=核心参数输入!$B$9*4,SUM($D11:AR11)-SUM($D12:AR12),0)</f>
        <v>0</v>
      </c>
      <c r="AS13" s="9">
        <f>IF(41&lt;=核心参数输入!$B$9*4,SUM($D11:AS11)-SUM($D12:AS12),0)</f>
        <v>0</v>
      </c>
      <c r="AT13" s="9">
        <f>IF(42&lt;=核心参数输入!$B$9*4,SUM($D11:AT11)-SUM($D12:AT12),0)</f>
        <v>0</v>
      </c>
      <c r="AU13" s="9">
        <f>IF(43&lt;=核心参数输入!$B$9*4,SUM($D11:AU11)-SUM($D12:AU12),0)</f>
        <v>0</v>
      </c>
      <c r="AV13" s="9">
        <f>IF(44&lt;=核心参数输入!$B$9*4,SUM($D11:AV11)-SUM($D12:AV12),0)</f>
        <v>0</v>
      </c>
      <c r="AW13" s="9">
        <f>IF(45&lt;=核心参数输入!$B$9*4,SUM($D11:AW11)-SUM($D12:AW12),0)</f>
        <v>0</v>
      </c>
      <c r="AX13" s="9">
        <f>IF(46&lt;=核心参数输入!$B$9*4,SUM($D11:AX11)-SUM($D12:AX12),0)</f>
        <v>0</v>
      </c>
      <c r="AY13" s="9">
        <f>IF(47&lt;=核心参数输入!$B$9*4,SUM($D11:AY11)-SUM($D12:AY12),0)</f>
        <v>0</v>
      </c>
      <c r="AZ13" s="9">
        <f>IF(48&lt;=核心参数输入!$B$9*4,SUM($D11:AZ11)-SUM($D12:AZ12),0)</f>
        <v>0</v>
      </c>
      <c r="BA13" s="9">
        <f>IF(49&lt;=核心参数输入!$B$9*4,SUM($D11:BA11)-SUM($D12:BA12),0)</f>
        <v>0</v>
      </c>
      <c r="BB13" s="9">
        <f>IF(50&lt;=核心参数输入!$B$9*4,SUM($D11:BB11)-SUM($D12:BB12),0)</f>
        <v>0</v>
      </c>
      <c r="BC13" s="9">
        <f>IF(51&lt;=核心参数输入!$B$9*4,SUM($D11:BC11)-SUM($D12:BC12),0)</f>
        <v>0</v>
      </c>
      <c r="BD13" s="9">
        <f>IF(52&lt;=核心参数输入!$B$9*4,SUM($D11:BD11)-SUM($D12:BD12),0)</f>
        <v>0</v>
      </c>
      <c r="BE13" s="9">
        <f>IF(53&lt;=核心参数输入!$B$9*4,SUM($D11:BE11)-SUM($D12:BE12),0)</f>
        <v>0</v>
      </c>
      <c r="BF13" s="9">
        <f>IF(54&lt;=核心参数输入!$B$9*4,SUM($D11:BF11)-SUM($D12:BF12),0)</f>
        <v>0</v>
      </c>
      <c r="BG13" s="9">
        <f>IF(55&lt;=核心参数输入!$B$9*4,SUM($D11:BG11)-SUM($D12:BG12),0)</f>
        <v>0</v>
      </c>
      <c r="BH13" s="9">
        <f>IF(56&lt;=核心参数输入!$B$9*4,SUM($D11:BH11)-SUM($D12:BH12),0)</f>
        <v>0</v>
      </c>
      <c r="BI13" s="9">
        <f>IF(57&lt;=核心参数输入!$B$9*4,SUM($D11:BI11)-SUM($D12:BI12),0)</f>
        <v>0</v>
      </c>
      <c r="BJ13" s="9">
        <f>IF(58&lt;=核心参数输入!$B$9*4,SUM($D11:BJ11)-SUM($D12:BJ12),0)</f>
        <v>0</v>
      </c>
      <c r="BK13" s="9">
        <f>IF(59&lt;=核心参数输入!$B$9*4,SUM($D11:BK11)-SUM($D12:BK12),0)</f>
        <v>0</v>
      </c>
      <c r="BL13" s="9">
        <f>IF(60&lt;=核心参数输入!$B$9*4,SUM($D11:BL11)-SUM($D12:BL12),0)</f>
        <v>0</v>
      </c>
      <c r="BM13" s="9">
        <f>IF(61&lt;=核心参数输入!$B$9*4,SUM($D11:BM11)-SUM($D12:BM12),0)</f>
        <v>0</v>
      </c>
      <c r="BN13" s="9">
        <f>IF(62&lt;=核心参数输入!$B$9*4,SUM($D11:BN11)-SUM($D12:BN12),0)</f>
        <v>0</v>
      </c>
      <c r="BO13" s="9">
        <f>IF(63&lt;=核心参数输入!$B$9*4,SUM($D11:BO11)-SUM($D12:BO12),0)</f>
        <v>0</v>
      </c>
      <c r="BP13" s="9">
        <f>IF(64&lt;=核心参数输入!$B$9*4,SUM($D11:BP11)-SUM($D12:BP12),0)</f>
        <v>0</v>
      </c>
      <c r="BQ13" s="9">
        <f>IF(65&lt;=核心参数输入!$B$9*4,SUM($D11:BQ11)-SUM($D12:BQ12),0)</f>
        <v>0</v>
      </c>
      <c r="BR13" s="9">
        <f>IF(66&lt;=核心参数输入!$B$9*4,SUM($D11:BR11)-SUM($D12:BR12),0)</f>
        <v>0</v>
      </c>
      <c r="BS13" s="9">
        <f>IF(67&lt;=核心参数输入!$B$9*4,SUM($D11:BS11)-SUM($D12:BS12),0)</f>
        <v>0</v>
      </c>
      <c r="BT13" s="9">
        <f>IF(68&lt;=核心参数输入!$B$9*4,SUM($D11:BT11)-SUM($D12:BT12),0)</f>
        <v>0</v>
      </c>
      <c r="BU13" s="9">
        <f>IF(69&lt;=核心参数输入!$B$9*4,SUM($D11:BU11)-SUM($D12:BU12),0)</f>
        <v>0</v>
      </c>
      <c r="BV13" s="9">
        <f>IF(70&lt;=核心参数输入!$B$9*4,SUM($D11:BV11)-SUM($D12:BV12),0)</f>
        <v>0</v>
      </c>
      <c r="BW13" s="9">
        <f>IF(71&lt;=核心参数输入!$B$9*4,SUM($D11:BW11)-SUM($D12:BW12),0)</f>
        <v>0</v>
      </c>
      <c r="BX13" s="9">
        <f>IF(72&lt;=核心参数输入!$B$9*4,SUM($D11:BX11)-SUM($D12:BX12),0)</f>
        <v>0</v>
      </c>
      <c r="BY13" s="9">
        <f>IF(73&lt;=核心参数输入!$B$9*4,SUM($D11:BY11)-SUM($D12:BY12),0)</f>
        <v>0</v>
      </c>
      <c r="BZ13" s="9">
        <f>IF(74&lt;=核心参数输入!$B$9*4,SUM($D11:BZ11)-SUM($D12:BZ12),0)</f>
        <v>0</v>
      </c>
      <c r="CA13" s="9">
        <f>IF(75&lt;=核心参数输入!$B$9*4,SUM($D11:CA11)-SUM($D12:CA12),0)</f>
        <v>0</v>
      </c>
      <c r="CB13" s="9">
        <f>IF(76&lt;=核心参数输入!$B$9*4,SUM($D11:CB11)-SUM($D12:CB12),0)</f>
        <v>0</v>
      </c>
      <c r="CC13" s="9">
        <f>IF(77&lt;=核心参数输入!$B$9*4,SUM($D11:CC11)-SUM($D12:CC12),0)</f>
        <v>0</v>
      </c>
      <c r="CD13" s="9">
        <f>IF(78&lt;=核心参数输入!$B$9*4,SUM($D11:CD11)-SUM($D12:CD12),0)</f>
        <v>0</v>
      </c>
      <c r="CE13" s="9">
        <f>IF(79&lt;=核心参数输入!$B$9*4,SUM($D11:CE11)-SUM($D12:CE12),0)</f>
        <v>0</v>
      </c>
      <c r="CF13" s="9">
        <f>IF(80&lt;=核心参数输入!$B$9*4,SUM($D11:CF11)-SUM($D12:CF12),0)</f>
        <v>0</v>
      </c>
      <c r="CG13" s="9">
        <f>IF(81&lt;=核心参数输入!$B$9*4,SUM($D11:CG11)-SUM($D12:CG12),0)</f>
        <v>0</v>
      </c>
      <c r="CH13" s="9">
        <f>IF(82&lt;=核心参数输入!$B$9*4,SUM($D11:CH11)-SUM($D12:CH12),0)</f>
        <v>0</v>
      </c>
      <c r="CI13" s="9">
        <f>IF(83&lt;=核心参数输入!$B$9*4,SUM($D11:CI11)-SUM($D12:CI12),0)</f>
        <v>0</v>
      </c>
      <c r="CJ13" s="9">
        <f>IF(84&lt;=核心参数输入!$B$9*4,SUM($D11:CJ11)-SUM($D12:CJ12),0)</f>
        <v>0</v>
      </c>
      <c r="CK13" s="9">
        <f>IF(85&lt;=核心参数输入!$B$9*4,SUM($D11:CK11)-SUM($D12:CK12),0)</f>
        <v>0</v>
      </c>
      <c r="CL13" s="9">
        <f>IF(86&lt;=核心参数输入!$B$9*4,SUM($D11:CL11)-SUM($D12:CL12),0)</f>
        <v>0</v>
      </c>
      <c r="CM13" s="9">
        <f>IF(87&lt;=核心参数输入!$B$9*4,SUM($D11:CM11)-SUM($D12:CM12),0)</f>
        <v>0</v>
      </c>
      <c r="CN13" s="9">
        <f>IF(88&lt;=核心参数输入!$B$9*4,SUM($D11:CN11)-SUM($D12:CN12),0)</f>
        <v>0</v>
      </c>
      <c r="CO13" s="9">
        <f>IF(89&lt;=核心参数输入!$B$9*4,SUM($D11:CO11)-SUM($D12:CO12),0)</f>
        <v>0</v>
      </c>
      <c r="CP13" s="9">
        <f>IF(90&lt;=核心参数输入!$B$9*4,SUM($D11:CP11)-SUM($D12:CP12),0)</f>
        <v>0</v>
      </c>
      <c r="CQ13" s="9">
        <f>IF(91&lt;=核心参数输入!$B$9*4,SUM($D11:CQ11)-SUM($D12:CQ12),0)</f>
        <v>0</v>
      </c>
      <c r="CR13" s="9">
        <f>IF(92&lt;=核心参数输入!$B$9*4,SUM($D11:CR11)-SUM($D12:CR12),0)</f>
        <v>0</v>
      </c>
      <c r="CS13" s="9">
        <f>IF(93&lt;=核心参数输入!$B$9*4,SUM($D11:CS11)-SUM($D12:CS12),0)</f>
        <v>0</v>
      </c>
      <c r="CT13" s="9">
        <f>IF(94&lt;=核心参数输入!$B$9*4,SUM($D11:CT11)-SUM($D12:CT12),0)</f>
        <v>0</v>
      </c>
      <c r="CU13" s="9">
        <f>IF(95&lt;=核心参数输入!$B$9*4,SUM($D11:CU11)-SUM($D12:CU12),0)</f>
        <v>0</v>
      </c>
      <c r="CV13" s="9">
        <f>IF(96&lt;=核心参数输入!$B$9*4,SUM($D11:CV11)-SUM($D12:CV12),0)</f>
        <v>0</v>
      </c>
      <c r="CW13" s="9">
        <f>IF(97&lt;=核心参数输入!$B$9*4,SUM($D11:CW11)-SUM($D12:CW12),0)</f>
        <v>0</v>
      </c>
      <c r="CX13" s="9">
        <f>IF(98&lt;=核心参数输入!$B$9*4,SUM($D11:CX11)-SUM($D12:CX12),0)</f>
        <v>0</v>
      </c>
      <c r="CY13" s="9">
        <f>IF(99&lt;=核心参数输入!$B$9*4,SUM($D11:CY11)-SUM($D12:CY12),0)</f>
        <v>0</v>
      </c>
      <c r="CZ13" s="9">
        <f>IF(100&lt;=核心参数输入!$B$9*4,SUM($D11:CZ11)-SUM($D12:CZ12),0)</f>
        <v>0</v>
      </c>
      <c r="DA13" s="9">
        <f>IF(101&lt;=核心参数输入!$B$9*4,SUM($D11:DA11)-SUM($D12:DA12),0)</f>
        <v>0</v>
      </c>
      <c r="DB13" s="9">
        <f>IF(102&lt;=核心参数输入!$B$9*4,SUM($D11:DB11)-SUM($D12:DB12),0)</f>
        <v>0</v>
      </c>
      <c r="DC13" s="9">
        <f>IF(103&lt;=核心参数输入!$B$9*4,SUM($D11:DC11)-SUM($D12:DC12),0)</f>
        <v>0</v>
      </c>
      <c r="DD13" s="9">
        <f>IF(104&lt;=核心参数输入!$B$9*4,SUM($D11:DD11)-SUM($D12:DD12),0)</f>
        <v>0</v>
      </c>
      <c r="DE13" s="9">
        <f>IF(105&lt;=核心参数输入!$B$9*4,SUM($D11:DE11)-SUM($D12:DE12),0)</f>
        <v>0</v>
      </c>
      <c r="DF13" s="9">
        <f>IF(106&lt;=核心参数输入!$B$9*4,SUM($D11:DF11)-SUM($D12:DF12),0)</f>
        <v>0</v>
      </c>
      <c r="DG13" s="9">
        <f>IF(107&lt;=核心参数输入!$B$9*4,SUM($D11:DG11)-SUM($D12:DG12),0)</f>
        <v>0</v>
      </c>
      <c r="DH13" s="9">
        <f>IF(108&lt;=核心参数输入!$B$9*4,SUM($D11:DH11)-SUM($D12:DH12),0)</f>
        <v>0</v>
      </c>
      <c r="DI13" s="9">
        <f>IF(109&lt;=核心参数输入!$B$9*4,SUM($D11:DI11)-SUM($D12:DI12),0)</f>
        <v>0</v>
      </c>
      <c r="DJ13" s="9">
        <f>IF(110&lt;=核心参数输入!$B$9*4,SUM($D11:DJ11)-SUM($D12:DJ12),0)</f>
        <v>0</v>
      </c>
      <c r="DK13" s="9">
        <f>IF(111&lt;=核心参数输入!$B$9*4,SUM($D11:DK11)-SUM($D12:DK12),0)</f>
        <v>0</v>
      </c>
      <c r="DL13" s="9">
        <f>IF(112&lt;=核心参数输入!$B$9*4,SUM($D11:DL11)-SUM($D12:DL12),0)</f>
        <v>0</v>
      </c>
      <c r="DM13" s="9">
        <f>IF(113&lt;=核心参数输入!$B$9*4,SUM($D11:DM11)-SUM($D12:DM12),0)</f>
        <v>0</v>
      </c>
      <c r="DN13" s="9">
        <f>IF(114&lt;=核心参数输入!$B$9*4,SUM($D11:DN11)-SUM($D12:DN12),0)</f>
        <v>0</v>
      </c>
      <c r="DO13" s="9">
        <f>IF(115&lt;=核心参数输入!$B$9*4,SUM($D11:DO11)-SUM($D12:DO12),0)</f>
        <v>0</v>
      </c>
      <c r="DP13" s="9">
        <f>IF(116&lt;=核心参数输入!$B$9*4,SUM($D11:DP11)-SUM($D12:DP12),0)</f>
        <v>0</v>
      </c>
      <c r="DQ13" s="9">
        <f>IF(117&lt;=核心参数输入!$B$9*4,SUM($D11:DQ11)-SUM($D12:DQ12),0)</f>
        <v>0</v>
      </c>
      <c r="DR13" s="9">
        <f>IF(118&lt;=核心参数输入!$B$9*4,SUM($D11:DR11)-SUM($D12:DR12),0)</f>
        <v>0</v>
      </c>
      <c r="DS13" s="9">
        <f>IF(119&lt;=核心参数输入!$B$9*4,SUM($D11:DS11)-SUM($D12:DS12),0)</f>
        <v>0</v>
      </c>
      <c r="DT13" s="9">
        <f>IF(120&lt;=核心参数输入!$B$9*4,SUM($D11:DT11)-SUM($D12:DT12),0)</f>
        <v>0</v>
      </c>
    </row>
    <row r="14" spans="1:124" ht="21" customHeight="1">
      <c r="A14" s="8" t="s">
        <v>450</v>
      </c>
      <c r="B14" s="8" t="s">
        <v>39</v>
      </c>
      <c r="C14" s="8"/>
      <c r="D14" s="22">
        <f>IF(0&lt;=核心参数输入!$B$9*4,IF(0&lt;((核心参数输入!$B$18-1)*4+(核心参数输入!$B$148)+1),0,IF(INT((0-((核心参数输入!$B$18-1)*4+(核心参数输入!$B$148)+1))/4)=0,核心参数输入!$B$38,IF(INT((0-((核心参数输入!$B$18-1)*4+(核心参数输入!$B$148)+1))/4)=1,核心参数输入!$B$39,IF(INT((0-((核心参数输入!$B$18-1)*4+(核心参数输入!$B$148)+1))/4)=2,核心参数输入!$B$40,核心参数输入!$B$41)))),0)</f>
        <v>0</v>
      </c>
      <c r="E14" s="22">
        <f>IF(1&lt;=核心参数输入!$B$9*4,IF(1&lt;((核心参数输入!$B$18-1)*4+(核心参数输入!$B$148)+1),0,IF(INT((1-((核心参数输入!$B$18-1)*4+(核心参数输入!$B$148)+1))/4)=0,核心参数输入!$B$38,IF(INT((1-((核心参数输入!$B$18-1)*4+(核心参数输入!$B$148)+1))/4)=1,核心参数输入!$B$39,IF(INT((1-((核心参数输入!$B$18-1)*4+(核心参数输入!$B$148)+1))/4)=2,核心参数输入!$B$40,核心参数输入!$B$41)))),0)</f>
        <v>0</v>
      </c>
      <c r="F14" s="22">
        <f>IF(2&lt;=核心参数输入!$B$9*4,IF(2&lt;((核心参数输入!$B$18-1)*4+(核心参数输入!$B$148)+1),0,IF(INT((2-((核心参数输入!$B$18-1)*4+(核心参数输入!$B$148)+1))/4)=0,核心参数输入!$B$38,IF(INT((2-((核心参数输入!$B$18-1)*4+(核心参数输入!$B$148)+1))/4)=1,核心参数输入!$B$39,IF(INT((2-((核心参数输入!$B$18-1)*4+(核心参数输入!$B$148)+1))/4)=2,核心参数输入!$B$40,核心参数输入!$B$41)))),0)</f>
        <v>0</v>
      </c>
      <c r="G14" s="22">
        <f>IF(3&lt;=核心参数输入!$B$9*4,IF(3&lt;((核心参数输入!$B$18-1)*4+(核心参数输入!$B$148)+1),0,IF(INT((3-((核心参数输入!$B$18-1)*4+(核心参数输入!$B$148)+1))/4)=0,核心参数输入!$B$38,IF(INT((3-((核心参数输入!$B$18-1)*4+(核心参数输入!$B$148)+1))/4)=1,核心参数输入!$B$39,IF(INT((3-((核心参数输入!$B$18-1)*4+(核心参数输入!$B$148)+1))/4)=2,核心参数输入!$B$40,核心参数输入!$B$41)))),0)</f>
        <v>0</v>
      </c>
      <c r="H14" s="22">
        <f>IF(4&lt;=核心参数输入!$B$9*4,IF(4&lt;((核心参数输入!$B$18-1)*4+(核心参数输入!$B$148)+1),0,IF(INT((4-((核心参数输入!$B$18-1)*4+(核心参数输入!$B$148)+1))/4)=0,核心参数输入!$B$38,IF(INT((4-((核心参数输入!$B$18-1)*4+(核心参数输入!$B$148)+1))/4)=1,核心参数输入!$B$39,IF(INT((4-((核心参数输入!$B$18-1)*4+(核心参数输入!$B$148)+1))/4)=2,核心参数输入!$B$40,核心参数输入!$B$41)))),0)</f>
        <v>0</v>
      </c>
      <c r="I14" s="22">
        <f>IF(5&lt;=核心参数输入!$B$9*4,IF(5&lt;((核心参数输入!$B$18-1)*4+(核心参数输入!$B$148)+1),0,IF(INT((5-((核心参数输入!$B$18-1)*4+(核心参数输入!$B$148)+1))/4)=0,核心参数输入!$B$38,IF(INT((5-((核心参数输入!$B$18-1)*4+(核心参数输入!$B$148)+1))/4)=1,核心参数输入!$B$39,IF(INT((5-((核心参数输入!$B$18-1)*4+(核心参数输入!$B$148)+1))/4)=2,核心参数输入!$B$40,核心参数输入!$B$41)))),0)</f>
        <v>0</v>
      </c>
      <c r="J14" s="22">
        <f>IF(6&lt;=核心参数输入!$B$9*4,IF(6&lt;((核心参数输入!$B$18-1)*4+(核心参数输入!$B$148)+1),0,IF(INT((6-((核心参数输入!$B$18-1)*4+(核心参数输入!$B$148)+1))/4)=0,核心参数输入!$B$38,IF(INT((6-((核心参数输入!$B$18-1)*4+(核心参数输入!$B$148)+1))/4)=1,核心参数输入!$B$39,IF(INT((6-((核心参数输入!$B$18-1)*4+(核心参数输入!$B$148)+1))/4)=2,核心参数输入!$B$40,核心参数输入!$B$41)))),0)</f>
        <v>0</v>
      </c>
      <c r="K14" s="22">
        <f>IF(7&lt;=核心参数输入!$B$9*4,IF(7&lt;((核心参数输入!$B$18-1)*4+(核心参数输入!$B$148)+1),0,IF(INT((7-((核心参数输入!$B$18-1)*4+(核心参数输入!$B$148)+1))/4)=0,核心参数输入!$B$38,IF(INT((7-((核心参数输入!$B$18-1)*4+(核心参数输入!$B$148)+1))/4)=1,核心参数输入!$B$39,IF(INT((7-((核心参数输入!$B$18-1)*4+(核心参数输入!$B$148)+1))/4)=2,核心参数输入!$B$40,核心参数输入!$B$41)))),0)</f>
        <v>0</v>
      </c>
      <c r="L14" s="22">
        <f>IF(8&lt;=核心参数输入!$B$9*4,IF(8&lt;((核心参数输入!$B$18-1)*4+(核心参数输入!$B$148)+1),0,IF(INT((8-((核心参数输入!$B$18-1)*4+(核心参数输入!$B$148)+1))/4)=0,核心参数输入!$B$38,IF(INT((8-((核心参数输入!$B$18-1)*4+(核心参数输入!$B$148)+1))/4)=1,核心参数输入!$B$39,IF(INT((8-((核心参数输入!$B$18-1)*4+(核心参数输入!$B$148)+1))/4)=2,核心参数输入!$B$40,核心参数输入!$B$41)))),0)</f>
        <v>0</v>
      </c>
      <c r="M14" s="22">
        <f>IF(9&lt;=核心参数输入!$B$9*4,IF(9&lt;((核心参数输入!$B$18-1)*4+(核心参数输入!$B$148)+1),0,IF(INT((9-((核心参数输入!$B$18-1)*4+(核心参数输入!$B$148)+1))/4)=0,核心参数输入!$B$38,IF(INT((9-((核心参数输入!$B$18-1)*4+(核心参数输入!$B$148)+1))/4)=1,核心参数输入!$B$39,IF(INT((9-((核心参数输入!$B$18-1)*4+(核心参数输入!$B$148)+1))/4)=2,核心参数输入!$B$40,核心参数输入!$B$41)))),0)</f>
        <v>0</v>
      </c>
      <c r="N14" s="22">
        <f>IF(10&lt;=核心参数输入!$B$9*4,IF(10&lt;((核心参数输入!$B$18-1)*4+(核心参数输入!$B$148)+1),0,IF(INT((10-((核心参数输入!$B$18-1)*4+(核心参数输入!$B$148)+1))/4)=0,核心参数输入!$B$38,IF(INT((10-((核心参数输入!$B$18-1)*4+(核心参数输入!$B$148)+1))/4)=1,核心参数输入!$B$39,IF(INT((10-((核心参数输入!$B$18-1)*4+(核心参数输入!$B$148)+1))/4)=2,核心参数输入!$B$40,核心参数输入!$B$41)))),0)</f>
        <v>0</v>
      </c>
      <c r="O14" s="22">
        <f>IF(11&lt;=核心参数输入!$B$9*4,IF(11&lt;((核心参数输入!$B$18-1)*4+(核心参数输入!$B$148)+1),0,IF(INT((11-((核心参数输入!$B$18-1)*4+(核心参数输入!$B$148)+1))/4)=0,核心参数输入!$B$38,IF(INT((11-((核心参数输入!$B$18-1)*4+(核心参数输入!$B$148)+1))/4)=1,核心参数输入!$B$39,IF(INT((11-((核心参数输入!$B$18-1)*4+(核心参数输入!$B$148)+1))/4)=2,核心参数输入!$B$40,核心参数输入!$B$41)))),0)</f>
        <v>0</v>
      </c>
      <c r="P14" s="22">
        <f>IF(12&lt;=核心参数输入!$B$9*4,IF(12&lt;((核心参数输入!$B$18-1)*4+(核心参数输入!$B$148)+1),0,IF(INT((12-((核心参数输入!$B$18-1)*4+(核心参数输入!$B$148)+1))/4)=0,核心参数输入!$B$38,IF(INT((12-((核心参数输入!$B$18-1)*4+(核心参数输入!$B$148)+1))/4)=1,核心参数输入!$B$39,IF(INT((12-((核心参数输入!$B$18-1)*4+(核心参数输入!$B$148)+1))/4)=2,核心参数输入!$B$40,核心参数输入!$B$41)))),0)</f>
        <v>0</v>
      </c>
      <c r="Q14" s="22">
        <f>IF(13&lt;=核心参数输入!$B$9*4,IF(13&lt;((核心参数输入!$B$18-1)*4+(核心参数输入!$B$148)+1),0,IF(INT((13-((核心参数输入!$B$18-1)*4+(核心参数输入!$B$148)+1))/4)=0,核心参数输入!$B$38,IF(INT((13-((核心参数输入!$B$18-1)*4+(核心参数输入!$B$148)+1))/4)=1,核心参数输入!$B$39,IF(INT((13-((核心参数输入!$B$18-1)*4+(核心参数输入!$B$148)+1))/4)=2,核心参数输入!$B$40,核心参数输入!$B$41)))),0)</f>
        <v>0.5</v>
      </c>
      <c r="R14" s="22">
        <f>IF(14&lt;=核心参数输入!$B$9*4,IF(14&lt;((核心参数输入!$B$18-1)*4+(核心参数输入!$B$148)+1),0,IF(INT((14-((核心参数输入!$B$18-1)*4+(核心参数输入!$B$148)+1))/4)=0,核心参数输入!$B$38,IF(INT((14-((核心参数输入!$B$18-1)*4+(核心参数输入!$B$148)+1))/4)=1,核心参数输入!$B$39,IF(INT((14-((核心参数输入!$B$18-1)*4+(核心参数输入!$B$148)+1))/4)=2,核心参数输入!$B$40,核心参数输入!$B$41)))),0)</f>
        <v>0.5</v>
      </c>
      <c r="S14" s="22">
        <f>IF(15&lt;=核心参数输入!$B$9*4,IF(15&lt;((核心参数输入!$B$18-1)*4+(核心参数输入!$B$148)+1),0,IF(INT((15-((核心参数输入!$B$18-1)*4+(核心参数输入!$B$148)+1))/4)=0,核心参数输入!$B$38,IF(INT((15-((核心参数输入!$B$18-1)*4+(核心参数输入!$B$148)+1))/4)=1,核心参数输入!$B$39,IF(INT((15-((核心参数输入!$B$18-1)*4+(核心参数输入!$B$148)+1))/4)=2,核心参数输入!$B$40,核心参数输入!$B$41)))),0)</f>
        <v>0.5</v>
      </c>
      <c r="T14" s="22">
        <f>IF(16&lt;=核心参数输入!$B$9*4,IF(16&lt;((核心参数输入!$B$18-1)*4+(核心参数输入!$B$148)+1),0,IF(INT((16-((核心参数输入!$B$18-1)*4+(核心参数输入!$B$148)+1))/4)=0,核心参数输入!$B$38,IF(INT((16-((核心参数输入!$B$18-1)*4+(核心参数输入!$B$148)+1))/4)=1,核心参数输入!$B$39,IF(INT((16-((核心参数输入!$B$18-1)*4+(核心参数输入!$B$148)+1))/4)=2,核心参数输入!$B$40,核心参数输入!$B$41)))),0)</f>
        <v>0.5</v>
      </c>
      <c r="U14" s="22">
        <f>IF(17&lt;=核心参数输入!$B$9*4,IF(17&lt;((核心参数输入!$B$18-1)*4+(核心参数输入!$B$148)+1),0,IF(INT((17-((核心参数输入!$B$18-1)*4+(核心参数输入!$B$148)+1))/4)=0,核心参数输入!$B$38,IF(INT((17-((核心参数输入!$B$18-1)*4+(核心参数输入!$B$148)+1))/4)=1,核心参数输入!$B$39,IF(INT((17-((核心参数输入!$B$18-1)*4+(核心参数输入!$B$148)+1))/4)=2,核心参数输入!$B$40,核心参数输入!$B$41)))),0)</f>
        <v>0.7</v>
      </c>
      <c r="V14" s="22">
        <f>IF(18&lt;=核心参数输入!$B$9*4,IF(18&lt;((核心参数输入!$B$18-1)*4+(核心参数输入!$B$148)+1),0,IF(INT((18-((核心参数输入!$B$18-1)*4+(核心参数输入!$B$148)+1))/4)=0,核心参数输入!$B$38,IF(INT((18-((核心参数输入!$B$18-1)*4+(核心参数输入!$B$148)+1))/4)=1,核心参数输入!$B$39,IF(INT((18-((核心参数输入!$B$18-1)*4+(核心参数输入!$B$148)+1))/4)=2,核心参数输入!$B$40,核心参数输入!$B$41)))),0)</f>
        <v>0.7</v>
      </c>
      <c r="W14" s="22">
        <f>IF(19&lt;=核心参数输入!$B$9*4,IF(19&lt;((核心参数输入!$B$18-1)*4+(核心参数输入!$B$148)+1),0,IF(INT((19-((核心参数输入!$B$18-1)*4+(核心参数输入!$B$148)+1))/4)=0,核心参数输入!$B$38,IF(INT((19-((核心参数输入!$B$18-1)*4+(核心参数输入!$B$148)+1))/4)=1,核心参数输入!$B$39,IF(INT((19-((核心参数输入!$B$18-1)*4+(核心参数输入!$B$148)+1))/4)=2,核心参数输入!$B$40,核心参数输入!$B$41)))),0)</f>
        <v>0.7</v>
      </c>
      <c r="X14" s="22">
        <f>IF(20&lt;=核心参数输入!$B$9*4,IF(20&lt;((核心参数输入!$B$18-1)*4+(核心参数输入!$B$148)+1),0,IF(INT((20-((核心参数输入!$B$18-1)*4+(核心参数输入!$B$148)+1))/4)=0,核心参数输入!$B$38,IF(INT((20-((核心参数输入!$B$18-1)*4+(核心参数输入!$B$148)+1))/4)=1,核心参数输入!$B$39,IF(INT((20-((核心参数输入!$B$18-1)*4+(核心参数输入!$B$148)+1))/4)=2,核心参数输入!$B$40,核心参数输入!$B$41)))),0)</f>
        <v>0.7</v>
      </c>
      <c r="Y14" s="22">
        <f>IF(21&lt;=核心参数输入!$B$9*4,IF(21&lt;((核心参数输入!$B$18-1)*4+(核心参数输入!$B$148)+1),0,IF(INT((21-((核心参数输入!$B$18-1)*4+(核心参数输入!$B$148)+1))/4)=0,核心参数输入!$B$38,IF(INT((21-((核心参数输入!$B$18-1)*4+(核心参数输入!$B$148)+1))/4)=1,核心参数输入!$B$39,IF(INT((21-((核心参数输入!$B$18-1)*4+(核心参数输入!$B$148)+1))/4)=2,核心参数输入!$B$40,核心参数输入!$B$41)))),0)</f>
        <v>0.85</v>
      </c>
      <c r="Z14" s="22">
        <f>IF(22&lt;=核心参数输入!$B$9*4,IF(22&lt;((核心参数输入!$B$18-1)*4+(核心参数输入!$B$148)+1),0,IF(INT((22-((核心参数输入!$B$18-1)*4+(核心参数输入!$B$148)+1))/4)=0,核心参数输入!$B$38,IF(INT((22-((核心参数输入!$B$18-1)*4+(核心参数输入!$B$148)+1))/4)=1,核心参数输入!$B$39,IF(INT((22-((核心参数输入!$B$18-1)*4+(核心参数输入!$B$148)+1))/4)=2,核心参数输入!$B$40,核心参数输入!$B$41)))),0)</f>
        <v>0.85</v>
      </c>
      <c r="AA14" s="22">
        <f>IF(23&lt;=核心参数输入!$B$9*4,IF(23&lt;((核心参数输入!$B$18-1)*4+(核心参数输入!$B$148)+1),0,IF(INT((23-((核心参数输入!$B$18-1)*4+(核心参数输入!$B$148)+1))/4)=0,核心参数输入!$B$38,IF(INT((23-((核心参数输入!$B$18-1)*4+(核心参数输入!$B$148)+1))/4)=1,核心参数输入!$B$39,IF(INT((23-((核心参数输入!$B$18-1)*4+(核心参数输入!$B$148)+1))/4)=2,核心参数输入!$B$40,核心参数输入!$B$41)))),0)</f>
        <v>0.85</v>
      </c>
      <c r="AB14" s="22">
        <f>IF(24&lt;=核心参数输入!$B$9*4,IF(24&lt;((核心参数输入!$B$18-1)*4+(核心参数输入!$B$148)+1),0,IF(INT((24-((核心参数输入!$B$18-1)*4+(核心参数输入!$B$148)+1))/4)=0,核心参数输入!$B$38,IF(INT((24-((核心参数输入!$B$18-1)*4+(核心参数输入!$B$148)+1))/4)=1,核心参数输入!$B$39,IF(INT((24-((核心参数输入!$B$18-1)*4+(核心参数输入!$B$148)+1))/4)=2,核心参数输入!$B$40,核心参数输入!$B$41)))),0)</f>
        <v>0.85</v>
      </c>
      <c r="AC14" s="22">
        <f>IF(25&lt;=核心参数输入!$B$9*4,IF(25&lt;((核心参数输入!$B$18-1)*4+(核心参数输入!$B$148)+1),0,IF(INT((25-((核心参数输入!$B$18-1)*4+(核心参数输入!$B$148)+1))/4)=0,核心参数输入!$B$38,IF(INT((25-((核心参数输入!$B$18-1)*4+(核心参数输入!$B$148)+1))/4)=1,核心参数输入!$B$39,IF(INT((25-((核心参数输入!$B$18-1)*4+(核心参数输入!$B$148)+1))/4)=2,核心参数输入!$B$40,核心参数输入!$B$41)))),0)</f>
        <v>0.9</v>
      </c>
      <c r="AD14" s="22">
        <f>IF(26&lt;=核心参数输入!$B$9*4,IF(26&lt;((核心参数输入!$B$18-1)*4+(核心参数输入!$B$148)+1),0,IF(INT((26-((核心参数输入!$B$18-1)*4+(核心参数输入!$B$148)+1))/4)=0,核心参数输入!$B$38,IF(INT((26-((核心参数输入!$B$18-1)*4+(核心参数输入!$B$148)+1))/4)=1,核心参数输入!$B$39,IF(INT((26-((核心参数输入!$B$18-1)*4+(核心参数输入!$B$148)+1))/4)=2,核心参数输入!$B$40,核心参数输入!$B$41)))),0)</f>
        <v>0.9</v>
      </c>
      <c r="AE14" s="22">
        <f>IF(27&lt;=核心参数输入!$B$9*4,IF(27&lt;((核心参数输入!$B$18-1)*4+(核心参数输入!$B$148)+1),0,IF(INT((27-((核心参数输入!$B$18-1)*4+(核心参数输入!$B$148)+1))/4)=0,核心参数输入!$B$38,IF(INT((27-((核心参数输入!$B$18-1)*4+(核心参数输入!$B$148)+1))/4)=1,核心参数输入!$B$39,IF(INT((27-((核心参数输入!$B$18-1)*4+(核心参数输入!$B$148)+1))/4)=2,核心参数输入!$B$40,核心参数输入!$B$41)))),0)</f>
        <v>0.9</v>
      </c>
      <c r="AF14" s="22">
        <f>IF(28&lt;=核心参数输入!$B$9*4,IF(28&lt;((核心参数输入!$B$18-1)*4+(核心参数输入!$B$148)+1),0,IF(INT((28-((核心参数输入!$B$18-1)*4+(核心参数输入!$B$148)+1))/4)=0,核心参数输入!$B$38,IF(INT((28-((核心参数输入!$B$18-1)*4+(核心参数输入!$B$148)+1))/4)=1,核心参数输入!$B$39,IF(INT((28-((核心参数输入!$B$18-1)*4+(核心参数输入!$B$148)+1))/4)=2,核心参数输入!$B$40,核心参数输入!$B$41)))),0)</f>
        <v>0.9</v>
      </c>
      <c r="AG14" s="22">
        <f>IF(29&lt;=核心参数输入!$B$9*4,IF(29&lt;((核心参数输入!$B$18-1)*4+(核心参数输入!$B$148)+1),0,IF(INT((29-((核心参数输入!$B$18-1)*4+(核心参数输入!$B$148)+1))/4)=0,核心参数输入!$B$38,IF(INT((29-((核心参数输入!$B$18-1)*4+(核心参数输入!$B$148)+1))/4)=1,核心参数输入!$B$39,IF(INT((29-((核心参数输入!$B$18-1)*4+(核心参数输入!$B$148)+1))/4)=2,核心参数输入!$B$40,核心参数输入!$B$41)))),0)</f>
        <v>0.9</v>
      </c>
      <c r="AH14" s="22">
        <f>IF(30&lt;=核心参数输入!$B$9*4,IF(30&lt;((核心参数输入!$B$18-1)*4+(核心参数输入!$B$148)+1),0,IF(INT((30-((核心参数输入!$B$18-1)*4+(核心参数输入!$B$148)+1))/4)=0,核心参数输入!$B$38,IF(INT((30-((核心参数输入!$B$18-1)*4+(核心参数输入!$B$148)+1))/4)=1,核心参数输入!$B$39,IF(INT((30-((核心参数输入!$B$18-1)*4+(核心参数输入!$B$148)+1))/4)=2,核心参数输入!$B$40,核心参数输入!$B$41)))),0)</f>
        <v>0.9</v>
      </c>
      <c r="AI14" s="22">
        <f>IF(31&lt;=核心参数输入!$B$9*4,IF(31&lt;((核心参数输入!$B$18-1)*4+(核心参数输入!$B$148)+1),0,IF(INT((31-((核心参数输入!$B$18-1)*4+(核心参数输入!$B$148)+1))/4)=0,核心参数输入!$B$38,IF(INT((31-((核心参数输入!$B$18-1)*4+(核心参数输入!$B$148)+1))/4)=1,核心参数输入!$B$39,IF(INT((31-((核心参数输入!$B$18-1)*4+(核心参数输入!$B$148)+1))/4)=2,核心参数输入!$B$40,核心参数输入!$B$41)))),0)</f>
        <v>0.9</v>
      </c>
      <c r="AJ14" s="22">
        <f>IF(32&lt;=核心参数输入!$B$9*4,IF(32&lt;((核心参数输入!$B$18-1)*4+(核心参数输入!$B$148)+1),0,IF(INT((32-((核心参数输入!$B$18-1)*4+(核心参数输入!$B$148)+1))/4)=0,核心参数输入!$B$38,IF(INT((32-((核心参数输入!$B$18-1)*4+(核心参数输入!$B$148)+1))/4)=1,核心参数输入!$B$39,IF(INT((32-((核心参数输入!$B$18-1)*4+(核心参数输入!$B$148)+1))/4)=2,核心参数输入!$B$40,核心参数输入!$B$41)))),0)</f>
        <v>0.9</v>
      </c>
      <c r="AK14" s="22">
        <f>IF(33&lt;=核心参数输入!$B$9*4,IF(33&lt;((核心参数输入!$B$18-1)*4+(核心参数输入!$B$148)+1),0,IF(INT((33-((核心参数输入!$B$18-1)*4+(核心参数输入!$B$148)+1))/4)=0,核心参数输入!$B$38,IF(INT((33-((核心参数输入!$B$18-1)*4+(核心参数输入!$B$148)+1))/4)=1,核心参数输入!$B$39,IF(INT((33-((核心参数输入!$B$18-1)*4+(核心参数输入!$B$148)+1))/4)=2,核心参数输入!$B$40,核心参数输入!$B$41)))),0)</f>
        <v>0.9</v>
      </c>
      <c r="AL14" s="22">
        <f>IF(34&lt;=核心参数输入!$B$9*4,IF(34&lt;((核心参数输入!$B$18-1)*4+(核心参数输入!$B$148)+1),0,IF(INT((34-((核心参数输入!$B$18-1)*4+(核心参数输入!$B$148)+1))/4)=0,核心参数输入!$B$38,IF(INT((34-((核心参数输入!$B$18-1)*4+(核心参数输入!$B$148)+1))/4)=1,核心参数输入!$B$39,IF(INT((34-((核心参数输入!$B$18-1)*4+(核心参数输入!$B$148)+1))/4)=2,核心参数输入!$B$40,核心参数输入!$B$41)))),0)</f>
        <v>0.9</v>
      </c>
      <c r="AM14" s="22">
        <f>IF(35&lt;=核心参数输入!$B$9*4,IF(35&lt;((核心参数输入!$B$18-1)*4+(核心参数输入!$B$148)+1),0,IF(INT((35-((核心参数输入!$B$18-1)*4+(核心参数输入!$B$148)+1))/4)=0,核心参数输入!$B$38,IF(INT((35-((核心参数输入!$B$18-1)*4+(核心参数输入!$B$148)+1))/4)=1,核心参数输入!$B$39,IF(INT((35-((核心参数输入!$B$18-1)*4+(核心参数输入!$B$148)+1))/4)=2,核心参数输入!$B$40,核心参数输入!$B$41)))),0)</f>
        <v>0.9</v>
      </c>
      <c r="AN14" s="22">
        <f>IF(36&lt;=核心参数输入!$B$9*4,IF(36&lt;((核心参数输入!$B$18-1)*4+(核心参数输入!$B$148)+1),0,IF(INT((36-((核心参数输入!$B$18-1)*4+(核心参数输入!$B$148)+1))/4)=0,核心参数输入!$B$38,IF(INT((36-((核心参数输入!$B$18-1)*4+(核心参数输入!$B$148)+1))/4)=1,核心参数输入!$B$39,IF(INT((36-((核心参数输入!$B$18-1)*4+(核心参数输入!$B$148)+1))/4)=2,核心参数输入!$B$40,核心参数输入!$B$41)))),0)</f>
        <v>0.9</v>
      </c>
      <c r="AO14" s="22">
        <f>IF(37&lt;=核心参数输入!$B$9*4,IF(37&lt;((核心参数输入!$B$18-1)*4+(核心参数输入!$B$148)+1),0,IF(INT((37-((核心参数输入!$B$18-1)*4+(核心参数输入!$B$148)+1))/4)=0,核心参数输入!$B$38,IF(INT((37-((核心参数输入!$B$18-1)*4+(核心参数输入!$B$148)+1))/4)=1,核心参数输入!$B$39,IF(INT((37-((核心参数输入!$B$18-1)*4+(核心参数输入!$B$148)+1))/4)=2,核心参数输入!$B$40,核心参数输入!$B$41)))),0)</f>
        <v>0.9</v>
      </c>
      <c r="AP14" s="22">
        <f>IF(38&lt;=核心参数输入!$B$9*4,IF(38&lt;((核心参数输入!$B$18-1)*4+(核心参数输入!$B$148)+1),0,IF(INT((38-((核心参数输入!$B$18-1)*4+(核心参数输入!$B$148)+1))/4)=0,核心参数输入!$B$38,IF(INT((38-((核心参数输入!$B$18-1)*4+(核心参数输入!$B$148)+1))/4)=1,核心参数输入!$B$39,IF(INT((38-((核心参数输入!$B$18-1)*4+(核心参数输入!$B$148)+1))/4)=2,核心参数输入!$B$40,核心参数输入!$B$41)))),0)</f>
        <v>0.9</v>
      </c>
      <c r="AQ14" s="22">
        <f>IF(39&lt;=核心参数输入!$B$9*4,IF(39&lt;((核心参数输入!$B$18-1)*4+(核心参数输入!$B$148)+1),0,IF(INT((39-((核心参数输入!$B$18-1)*4+(核心参数输入!$B$148)+1))/4)=0,核心参数输入!$B$38,IF(INT((39-((核心参数输入!$B$18-1)*4+(核心参数输入!$B$148)+1))/4)=1,核心参数输入!$B$39,IF(INT((39-((核心参数输入!$B$18-1)*4+(核心参数输入!$B$148)+1))/4)=2,核心参数输入!$B$40,核心参数输入!$B$41)))),0)</f>
        <v>0.9</v>
      </c>
      <c r="AR14" s="22">
        <f>IF(40&lt;=核心参数输入!$B$9*4,IF(40&lt;((核心参数输入!$B$18-1)*4+(核心参数输入!$B$148)+1),0,IF(INT((40-((核心参数输入!$B$18-1)*4+(核心参数输入!$B$148)+1))/4)=0,核心参数输入!$B$38,IF(INT((40-((核心参数输入!$B$18-1)*4+(核心参数输入!$B$148)+1))/4)=1,核心参数输入!$B$39,IF(INT((40-((核心参数输入!$B$18-1)*4+(核心参数输入!$B$148)+1))/4)=2,核心参数输入!$B$40,核心参数输入!$B$41)))),0)</f>
        <v>0.9</v>
      </c>
      <c r="AS14" s="22">
        <f>IF(41&lt;=核心参数输入!$B$9*4,IF(41&lt;((核心参数输入!$B$18-1)*4+(核心参数输入!$B$148)+1),0,IF(INT((41-((核心参数输入!$B$18-1)*4+(核心参数输入!$B$148)+1))/4)=0,核心参数输入!$B$38,IF(INT((41-((核心参数输入!$B$18-1)*4+(核心参数输入!$B$148)+1))/4)=1,核心参数输入!$B$39,IF(INT((41-((核心参数输入!$B$18-1)*4+(核心参数输入!$B$148)+1))/4)=2,核心参数输入!$B$40,核心参数输入!$B$41)))),0)</f>
        <v>0.9</v>
      </c>
      <c r="AT14" s="22">
        <f>IF(42&lt;=核心参数输入!$B$9*4,IF(42&lt;((核心参数输入!$B$18-1)*4+(核心参数输入!$B$148)+1),0,IF(INT((42-((核心参数输入!$B$18-1)*4+(核心参数输入!$B$148)+1))/4)=0,核心参数输入!$B$38,IF(INT((42-((核心参数输入!$B$18-1)*4+(核心参数输入!$B$148)+1))/4)=1,核心参数输入!$B$39,IF(INT((42-((核心参数输入!$B$18-1)*4+(核心参数输入!$B$148)+1))/4)=2,核心参数输入!$B$40,核心参数输入!$B$41)))),0)</f>
        <v>0.9</v>
      </c>
      <c r="AU14" s="22">
        <f>IF(43&lt;=核心参数输入!$B$9*4,IF(43&lt;((核心参数输入!$B$18-1)*4+(核心参数输入!$B$148)+1),0,IF(INT((43-((核心参数输入!$B$18-1)*4+(核心参数输入!$B$148)+1))/4)=0,核心参数输入!$B$38,IF(INT((43-((核心参数输入!$B$18-1)*4+(核心参数输入!$B$148)+1))/4)=1,核心参数输入!$B$39,IF(INT((43-((核心参数输入!$B$18-1)*4+(核心参数输入!$B$148)+1))/4)=2,核心参数输入!$B$40,核心参数输入!$B$41)))),0)</f>
        <v>0.9</v>
      </c>
      <c r="AV14" s="22">
        <f>IF(44&lt;=核心参数输入!$B$9*4,IF(44&lt;((核心参数输入!$B$18-1)*4+(核心参数输入!$B$148)+1),0,IF(INT((44-((核心参数输入!$B$18-1)*4+(核心参数输入!$B$148)+1))/4)=0,核心参数输入!$B$38,IF(INT((44-((核心参数输入!$B$18-1)*4+(核心参数输入!$B$148)+1))/4)=1,核心参数输入!$B$39,IF(INT((44-((核心参数输入!$B$18-1)*4+(核心参数输入!$B$148)+1))/4)=2,核心参数输入!$B$40,核心参数输入!$B$41)))),0)</f>
        <v>0.9</v>
      </c>
      <c r="AW14" s="22">
        <f>IF(45&lt;=核心参数输入!$B$9*4,IF(45&lt;((核心参数输入!$B$18-1)*4+(核心参数输入!$B$148)+1),0,IF(INT((45-((核心参数输入!$B$18-1)*4+(核心参数输入!$B$148)+1))/4)=0,核心参数输入!$B$38,IF(INT((45-((核心参数输入!$B$18-1)*4+(核心参数输入!$B$148)+1))/4)=1,核心参数输入!$B$39,IF(INT((45-((核心参数输入!$B$18-1)*4+(核心参数输入!$B$148)+1))/4)=2,核心参数输入!$B$40,核心参数输入!$B$41)))),0)</f>
        <v>0.9</v>
      </c>
      <c r="AX14" s="22">
        <f>IF(46&lt;=核心参数输入!$B$9*4,IF(46&lt;((核心参数输入!$B$18-1)*4+(核心参数输入!$B$148)+1),0,IF(INT((46-((核心参数输入!$B$18-1)*4+(核心参数输入!$B$148)+1))/4)=0,核心参数输入!$B$38,IF(INT((46-((核心参数输入!$B$18-1)*4+(核心参数输入!$B$148)+1))/4)=1,核心参数输入!$B$39,IF(INT((46-((核心参数输入!$B$18-1)*4+(核心参数输入!$B$148)+1))/4)=2,核心参数输入!$B$40,核心参数输入!$B$41)))),0)</f>
        <v>0.9</v>
      </c>
      <c r="AY14" s="22">
        <f>IF(47&lt;=核心参数输入!$B$9*4,IF(47&lt;((核心参数输入!$B$18-1)*4+(核心参数输入!$B$148)+1),0,IF(INT((47-((核心参数输入!$B$18-1)*4+(核心参数输入!$B$148)+1))/4)=0,核心参数输入!$B$38,IF(INT((47-((核心参数输入!$B$18-1)*4+(核心参数输入!$B$148)+1))/4)=1,核心参数输入!$B$39,IF(INT((47-((核心参数输入!$B$18-1)*4+(核心参数输入!$B$148)+1))/4)=2,核心参数输入!$B$40,核心参数输入!$B$41)))),0)</f>
        <v>0.9</v>
      </c>
      <c r="AZ14" s="22">
        <f>IF(48&lt;=核心参数输入!$B$9*4,IF(48&lt;((核心参数输入!$B$18-1)*4+(核心参数输入!$B$148)+1),0,IF(INT((48-((核心参数输入!$B$18-1)*4+(核心参数输入!$B$148)+1))/4)=0,核心参数输入!$B$38,IF(INT((48-((核心参数输入!$B$18-1)*4+(核心参数输入!$B$148)+1))/4)=1,核心参数输入!$B$39,IF(INT((48-((核心参数输入!$B$18-1)*4+(核心参数输入!$B$148)+1))/4)=2,核心参数输入!$B$40,核心参数输入!$B$41)))),0)</f>
        <v>0.9</v>
      </c>
      <c r="BA14" s="22">
        <f>IF(49&lt;=核心参数输入!$B$9*4,IF(49&lt;((核心参数输入!$B$18-1)*4+(核心参数输入!$B$148)+1),0,IF(INT((49-((核心参数输入!$B$18-1)*4+(核心参数输入!$B$148)+1))/4)=0,核心参数输入!$B$38,IF(INT((49-((核心参数输入!$B$18-1)*4+(核心参数输入!$B$148)+1))/4)=1,核心参数输入!$B$39,IF(INT((49-((核心参数输入!$B$18-1)*4+(核心参数输入!$B$148)+1))/4)=2,核心参数输入!$B$40,核心参数输入!$B$41)))),0)</f>
        <v>0.9</v>
      </c>
      <c r="BB14" s="22">
        <f>IF(50&lt;=核心参数输入!$B$9*4,IF(50&lt;((核心参数输入!$B$18-1)*4+(核心参数输入!$B$148)+1),0,IF(INT((50-((核心参数输入!$B$18-1)*4+(核心参数输入!$B$148)+1))/4)=0,核心参数输入!$B$38,IF(INT((50-((核心参数输入!$B$18-1)*4+(核心参数输入!$B$148)+1))/4)=1,核心参数输入!$B$39,IF(INT((50-((核心参数输入!$B$18-1)*4+(核心参数输入!$B$148)+1))/4)=2,核心参数输入!$B$40,核心参数输入!$B$41)))),0)</f>
        <v>0.9</v>
      </c>
      <c r="BC14" s="22">
        <f>IF(51&lt;=核心参数输入!$B$9*4,IF(51&lt;((核心参数输入!$B$18-1)*4+(核心参数输入!$B$148)+1),0,IF(INT((51-((核心参数输入!$B$18-1)*4+(核心参数输入!$B$148)+1))/4)=0,核心参数输入!$B$38,IF(INT((51-((核心参数输入!$B$18-1)*4+(核心参数输入!$B$148)+1))/4)=1,核心参数输入!$B$39,IF(INT((51-((核心参数输入!$B$18-1)*4+(核心参数输入!$B$148)+1))/4)=2,核心参数输入!$B$40,核心参数输入!$B$41)))),0)</f>
        <v>0.9</v>
      </c>
      <c r="BD14" s="22">
        <f>IF(52&lt;=核心参数输入!$B$9*4,IF(52&lt;((核心参数输入!$B$18-1)*4+(核心参数输入!$B$148)+1),0,IF(INT((52-((核心参数输入!$B$18-1)*4+(核心参数输入!$B$148)+1))/4)=0,核心参数输入!$B$38,IF(INT((52-((核心参数输入!$B$18-1)*4+(核心参数输入!$B$148)+1))/4)=1,核心参数输入!$B$39,IF(INT((52-((核心参数输入!$B$18-1)*4+(核心参数输入!$B$148)+1))/4)=2,核心参数输入!$B$40,核心参数输入!$B$41)))),0)</f>
        <v>0.9</v>
      </c>
      <c r="BE14" s="22">
        <f>IF(53&lt;=核心参数输入!$B$9*4,IF(53&lt;((核心参数输入!$B$18-1)*4+(核心参数输入!$B$148)+1),0,IF(INT((53-((核心参数输入!$B$18-1)*4+(核心参数输入!$B$148)+1))/4)=0,核心参数输入!$B$38,IF(INT((53-((核心参数输入!$B$18-1)*4+(核心参数输入!$B$148)+1))/4)=1,核心参数输入!$B$39,IF(INT((53-((核心参数输入!$B$18-1)*4+(核心参数输入!$B$148)+1))/4)=2,核心参数输入!$B$40,核心参数输入!$B$41)))),0)</f>
        <v>0.9</v>
      </c>
      <c r="BF14" s="22">
        <f>IF(54&lt;=核心参数输入!$B$9*4,IF(54&lt;((核心参数输入!$B$18-1)*4+(核心参数输入!$B$148)+1),0,IF(INT((54-((核心参数输入!$B$18-1)*4+(核心参数输入!$B$148)+1))/4)=0,核心参数输入!$B$38,IF(INT((54-((核心参数输入!$B$18-1)*4+(核心参数输入!$B$148)+1))/4)=1,核心参数输入!$B$39,IF(INT((54-((核心参数输入!$B$18-1)*4+(核心参数输入!$B$148)+1))/4)=2,核心参数输入!$B$40,核心参数输入!$B$41)))),0)</f>
        <v>0.9</v>
      </c>
      <c r="BG14" s="22">
        <f>IF(55&lt;=核心参数输入!$B$9*4,IF(55&lt;((核心参数输入!$B$18-1)*4+(核心参数输入!$B$148)+1),0,IF(INT((55-((核心参数输入!$B$18-1)*4+(核心参数输入!$B$148)+1))/4)=0,核心参数输入!$B$38,IF(INT((55-((核心参数输入!$B$18-1)*4+(核心参数输入!$B$148)+1))/4)=1,核心参数输入!$B$39,IF(INT((55-((核心参数输入!$B$18-1)*4+(核心参数输入!$B$148)+1))/4)=2,核心参数输入!$B$40,核心参数输入!$B$41)))),0)</f>
        <v>0.9</v>
      </c>
      <c r="BH14" s="22">
        <f>IF(56&lt;=核心参数输入!$B$9*4,IF(56&lt;((核心参数输入!$B$18-1)*4+(核心参数输入!$B$148)+1),0,IF(INT((56-((核心参数输入!$B$18-1)*4+(核心参数输入!$B$148)+1))/4)=0,核心参数输入!$B$38,IF(INT((56-((核心参数输入!$B$18-1)*4+(核心参数输入!$B$148)+1))/4)=1,核心参数输入!$B$39,IF(INT((56-((核心参数输入!$B$18-1)*4+(核心参数输入!$B$148)+1))/4)=2,核心参数输入!$B$40,核心参数输入!$B$41)))),0)</f>
        <v>0.9</v>
      </c>
      <c r="BI14" s="22">
        <f>IF(57&lt;=核心参数输入!$B$9*4,IF(57&lt;((核心参数输入!$B$18-1)*4+(核心参数输入!$B$148)+1),0,IF(INT((57-((核心参数输入!$B$18-1)*4+(核心参数输入!$B$148)+1))/4)=0,核心参数输入!$B$38,IF(INT((57-((核心参数输入!$B$18-1)*4+(核心参数输入!$B$148)+1))/4)=1,核心参数输入!$B$39,IF(INT((57-((核心参数输入!$B$18-1)*4+(核心参数输入!$B$148)+1))/4)=2,核心参数输入!$B$40,核心参数输入!$B$41)))),0)</f>
        <v>0.9</v>
      </c>
      <c r="BJ14" s="22">
        <f>IF(58&lt;=核心参数输入!$B$9*4,IF(58&lt;((核心参数输入!$B$18-1)*4+(核心参数输入!$B$148)+1),0,IF(INT((58-((核心参数输入!$B$18-1)*4+(核心参数输入!$B$148)+1))/4)=0,核心参数输入!$B$38,IF(INT((58-((核心参数输入!$B$18-1)*4+(核心参数输入!$B$148)+1))/4)=1,核心参数输入!$B$39,IF(INT((58-((核心参数输入!$B$18-1)*4+(核心参数输入!$B$148)+1))/4)=2,核心参数输入!$B$40,核心参数输入!$B$41)))),0)</f>
        <v>0.9</v>
      </c>
      <c r="BK14" s="22">
        <f>IF(59&lt;=核心参数输入!$B$9*4,IF(59&lt;((核心参数输入!$B$18-1)*4+(核心参数输入!$B$148)+1),0,IF(INT((59-((核心参数输入!$B$18-1)*4+(核心参数输入!$B$148)+1))/4)=0,核心参数输入!$B$38,IF(INT((59-((核心参数输入!$B$18-1)*4+(核心参数输入!$B$148)+1))/4)=1,核心参数输入!$B$39,IF(INT((59-((核心参数输入!$B$18-1)*4+(核心参数输入!$B$148)+1))/4)=2,核心参数输入!$B$40,核心参数输入!$B$41)))),0)</f>
        <v>0.9</v>
      </c>
      <c r="BL14" s="22">
        <f>IF(60&lt;=核心参数输入!$B$9*4,IF(60&lt;((核心参数输入!$B$18-1)*4+(核心参数输入!$B$148)+1),0,IF(INT((60-((核心参数输入!$B$18-1)*4+(核心参数输入!$B$148)+1))/4)=0,核心参数输入!$B$38,IF(INT((60-((核心参数输入!$B$18-1)*4+(核心参数输入!$B$148)+1))/4)=1,核心参数输入!$B$39,IF(INT((60-((核心参数输入!$B$18-1)*4+(核心参数输入!$B$148)+1))/4)=2,核心参数输入!$B$40,核心参数输入!$B$41)))),0)</f>
        <v>0.9</v>
      </c>
      <c r="BM14" s="22">
        <f>IF(61&lt;=核心参数输入!$B$9*4,IF(61&lt;((核心参数输入!$B$18-1)*4+(核心参数输入!$B$148)+1),0,IF(INT((61-((核心参数输入!$B$18-1)*4+(核心参数输入!$B$148)+1))/4)=0,核心参数输入!$B$38,IF(INT((61-((核心参数输入!$B$18-1)*4+(核心参数输入!$B$148)+1))/4)=1,核心参数输入!$B$39,IF(INT((61-((核心参数输入!$B$18-1)*4+(核心参数输入!$B$148)+1))/4)=2,核心参数输入!$B$40,核心参数输入!$B$41)))),0)</f>
        <v>0.9</v>
      </c>
      <c r="BN14" s="22">
        <f>IF(62&lt;=核心参数输入!$B$9*4,IF(62&lt;((核心参数输入!$B$18-1)*4+(核心参数输入!$B$148)+1),0,IF(INT((62-((核心参数输入!$B$18-1)*4+(核心参数输入!$B$148)+1))/4)=0,核心参数输入!$B$38,IF(INT((62-((核心参数输入!$B$18-1)*4+(核心参数输入!$B$148)+1))/4)=1,核心参数输入!$B$39,IF(INT((62-((核心参数输入!$B$18-1)*4+(核心参数输入!$B$148)+1))/4)=2,核心参数输入!$B$40,核心参数输入!$B$41)))),0)</f>
        <v>0.9</v>
      </c>
      <c r="BO14" s="22">
        <f>IF(63&lt;=核心参数输入!$B$9*4,IF(63&lt;((核心参数输入!$B$18-1)*4+(核心参数输入!$B$148)+1),0,IF(INT((63-((核心参数输入!$B$18-1)*4+(核心参数输入!$B$148)+1))/4)=0,核心参数输入!$B$38,IF(INT((63-((核心参数输入!$B$18-1)*4+(核心参数输入!$B$148)+1))/4)=1,核心参数输入!$B$39,IF(INT((63-((核心参数输入!$B$18-1)*4+(核心参数输入!$B$148)+1))/4)=2,核心参数输入!$B$40,核心参数输入!$B$41)))),0)</f>
        <v>0.9</v>
      </c>
      <c r="BP14" s="22">
        <f>IF(64&lt;=核心参数输入!$B$9*4,IF(64&lt;((核心参数输入!$B$18-1)*4+(核心参数输入!$B$148)+1),0,IF(INT((64-((核心参数输入!$B$18-1)*4+(核心参数输入!$B$148)+1))/4)=0,核心参数输入!$B$38,IF(INT((64-((核心参数输入!$B$18-1)*4+(核心参数输入!$B$148)+1))/4)=1,核心参数输入!$B$39,IF(INT((64-((核心参数输入!$B$18-1)*4+(核心参数输入!$B$148)+1))/4)=2,核心参数输入!$B$40,核心参数输入!$B$41)))),0)</f>
        <v>0.9</v>
      </c>
      <c r="BQ14" s="22">
        <f>IF(65&lt;=核心参数输入!$B$9*4,IF(65&lt;((核心参数输入!$B$18-1)*4+(核心参数输入!$B$148)+1),0,IF(INT((65-((核心参数输入!$B$18-1)*4+(核心参数输入!$B$148)+1))/4)=0,核心参数输入!$B$38,IF(INT((65-((核心参数输入!$B$18-1)*4+(核心参数输入!$B$148)+1))/4)=1,核心参数输入!$B$39,IF(INT((65-((核心参数输入!$B$18-1)*4+(核心参数输入!$B$148)+1))/4)=2,核心参数输入!$B$40,核心参数输入!$B$41)))),0)</f>
        <v>0.9</v>
      </c>
      <c r="BR14" s="22">
        <f>IF(66&lt;=核心参数输入!$B$9*4,IF(66&lt;((核心参数输入!$B$18-1)*4+(核心参数输入!$B$148)+1),0,IF(INT((66-((核心参数输入!$B$18-1)*4+(核心参数输入!$B$148)+1))/4)=0,核心参数输入!$B$38,IF(INT((66-((核心参数输入!$B$18-1)*4+(核心参数输入!$B$148)+1))/4)=1,核心参数输入!$B$39,IF(INT((66-((核心参数输入!$B$18-1)*4+(核心参数输入!$B$148)+1))/4)=2,核心参数输入!$B$40,核心参数输入!$B$41)))),0)</f>
        <v>0.9</v>
      </c>
      <c r="BS14" s="22">
        <f>IF(67&lt;=核心参数输入!$B$9*4,IF(67&lt;((核心参数输入!$B$18-1)*4+(核心参数输入!$B$148)+1),0,IF(INT((67-((核心参数输入!$B$18-1)*4+(核心参数输入!$B$148)+1))/4)=0,核心参数输入!$B$38,IF(INT((67-((核心参数输入!$B$18-1)*4+(核心参数输入!$B$148)+1))/4)=1,核心参数输入!$B$39,IF(INT((67-((核心参数输入!$B$18-1)*4+(核心参数输入!$B$148)+1))/4)=2,核心参数输入!$B$40,核心参数输入!$B$41)))),0)</f>
        <v>0.9</v>
      </c>
      <c r="BT14" s="22">
        <f>IF(68&lt;=核心参数输入!$B$9*4,IF(68&lt;((核心参数输入!$B$18-1)*4+(核心参数输入!$B$148)+1),0,IF(INT((68-((核心参数输入!$B$18-1)*4+(核心参数输入!$B$148)+1))/4)=0,核心参数输入!$B$38,IF(INT((68-((核心参数输入!$B$18-1)*4+(核心参数输入!$B$148)+1))/4)=1,核心参数输入!$B$39,IF(INT((68-((核心参数输入!$B$18-1)*4+(核心参数输入!$B$148)+1))/4)=2,核心参数输入!$B$40,核心参数输入!$B$41)))),0)</f>
        <v>0.9</v>
      </c>
      <c r="BU14" s="22">
        <f>IF(69&lt;=核心参数输入!$B$9*4,IF(69&lt;((核心参数输入!$B$18-1)*4+(核心参数输入!$B$148)+1),0,IF(INT((69-((核心参数输入!$B$18-1)*4+(核心参数输入!$B$148)+1))/4)=0,核心参数输入!$B$38,IF(INT((69-((核心参数输入!$B$18-1)*4+(核心参数输入!$B$148)+1))/4)=1,核心参数输入!$B$39,IF(INT((69-((核心参数输入!$B$18-1)*4+(核心参数输入!$B$148)+1))/4)=2,核心参数输入!$B$40,核心参数输入!$B$41)))),0)</f>
        <v>0.9</v>
      </c>
      <c r="BV14" s="22">
        <f>IF(70&lt;=核心参数输入!$B$9*4,IF(70&lt;((核心参数输入!$B$18-1)*4+(核心参数输入!$B$148)+1),0,IF(INT((70-((核心参数输入!$B$18-1)*4+(核心参数输入!$B$148)+1))/4)=0,核心参数输入!$B$38,IF(INT((70-((核心参数输入!$B$18-1)*4+(核心参数输入!$B$148)+1))/4)=1,核心参数输入!$B$39,IF(INT((70-((核心参数输入!$B$18-1)*4+(核心参数输入!$B$148)+1))/4)=2,核心参数输入!$B$40,核心参数输入!$B$41)))),0)</f>
        <v>0.9</v>
      </c>
      <c r="BW14" s="22">
        <f>IF(71&lt;=核心参数输入!$B$9*4,IF(71&lt;((核心参数输入!$B$18-1)*4+(核心参数输入!$B$148)+1),0,IF(INT((71-((核心参数输入!$B$18-1)*4+(核心参数输入!$B$148)+1))/4)=0,核心参数输入!$B$38,IF(INT((71-((核心参数输入!$B$18-1)*4+(核心参数输入!$B$148)+1))/4)=1,核心参数输入!$B$39,IF(INT((71-((核心参数输入!$B$18-1)*4+(核心参数输入!$B$148)+1))/4)=2,核心参数输入!$B$40,核心参数输入!$B$41)))),0)</f>
        <v>0.9</v>
      </c>
      <c r="BX14" s="22">
        <f>IF(72&lt;=核心参数输入!$B$9*4,IF(72&lt;((核心参数输入!$B$18-1)*4+(核心参数输入!$B$148)+1),0,IF(INT((72-((核心参数输入!$B$18-1)*4+(核心参数输入!$B$148)+1))/4)=0,核心参数输入!$B$38,IF(INT((72-((核心参数输入!$B$18-1)*4+(核心参数输入!$B$148)+1))/4)=1,核心参数输入!$B$39,IF(INT((72-((核心参数输入!$B$18-1)*4+(核心参数输入!$B$148)+1))/4)=2,核心参数输入!$B$40,核心参数输入!$B$41)))),0)</f>
        <v>0.9</v>
      </c>
      <c r="BY14" s="22">
        <f>IF(73&lt;=核心参数输入!$B$9*4,IF(73&lt;((核心参数输入!$B$18-1)*4+(核心参数输入!$B$148)+1),0,IF(INT((73-((核心参数输入!$B$18-1)*4+(核心参数输入!$B$148)+1))/4)=0,核心参数输入!$B$38,IF(INT((73-((核心参数输入!$B$18-1)*4+(核心参数输入!$B$148)+1))/4)=1,核心参数输入!$B$39,IF(INT((73-((核心参数输入!$B$18-1)*4+(核心参数输入!$B$148)+1))/4)=2,核心参数输入!$B$40,核心参数输入!$B$41)))),0)</f>
        <v>0.9</v>
      </c>
      <c r="BZ14" s="22">
        <f>IF(74&lt;=核心参数输入!$B$9*4,IF(74&lt;((核心参数输入!$B$18-1)*4+(核心参数输入!$B$148)+1),0,IF(INT((74-((核心参数输入!$B$18-1)*4+(核心参数输入!$B$148)+1))/4)=0,核心参数输入!$B$38,IF(INT((74-((核心参数输入!$B$18-1)*4+(核心参数输入!$B$148)+1))/4)=1,核心参数输入!$B$39,IF(INT((74-((核心参数输入!$B$18-1)*4+(核心参数输入!$B$148)+1))/4)=2,核心参数输入!$B$40,核心参数输入!$B$41)))),0)</f>
        <v>0.9</v>
      </c>
      <c r="CA14" s="22">
        <f>IF(75&lt;=核心参数输入!$B$9*4,IF(75&lt;((核心参数输入!$B$18-1)*4+(核心参数输入!$B$148)+1),0,IF(INT((75-((核心参数输入!$B$18-1)*4+(核心参数输入!$B$148)+1))/4)=0,核心参数输入!$B$38,IF(INT((75-((核心参数输入!$B$18-1)*4+(核心参数输入!$B$148)+1))/4)=1,核心参数输入!$B$39,IF(INT((75-((核心参数输入!$B$18-1)*4+(核心参数输入!$B$148)+1))/4)=2,核心参数输入!$B$40,核心参数输入!$B$41)))),0)</f>
        <v>0.9</v>
      </c>
      <c r="CB14" s="22">
        <f>IF(76&lt;=核心参数输入!$B$9*4,IF(76&lt;((核心参数输入!$B$18-1)*4+(核心参数输入!$B$148)+1),0,IF(INT((76-((核心参数输入!$B$18-1)*4+(核心参数输入!$B$148)+1))/4)=0,核心参数输入!$B$38,IF(INT((76-((核心参数输入!$B$18-1)*4+(核心参数输入!$B$148)+1))/4)=1,核心参数输入!$B$39,IF(INT((76-((核心参数输入!$B$18-1)*4+(核心参数输入!$B$148)+1))/4)=2,核心参数输入!$B$40,核心参数输入!$B$41)))),0)</f>
        <v>0.9</v>
      </c>
      <c r="CC14" s="22">
        <f>IF(77&lt;=核心参数输入!$B$9*4,IF(77&lt;((核心参数输入!$B$18-1)*4+(核心参数输入!$B$148)+1),0,IF(INT((77-((核心参数输入!$B$18-1)*4+(核心参数输入!$B$148)+1))/4)=0,核心参数输入!$B$38,IF(INT((77-((核心参数输入!$B$18-1)*4+(核心参数输入!$B$148)+1))/4)=1,核心参数输入!$B$39,IF(INT((77-((核心参数输入!$B$18-1)*4+(核心参数输入!$B$148)+1))/4)=2,核心参数输入!$B$40,核心参数输入!$B$41)))),0)</f>
        <v>0.9</v>
      </c>
      <c r="CD14" s="22">
        <f>IF(78&lt;=核心参数输入!$B$9*4,IF(78&lt;((核心参数输入!$B$18-1)*4+(核心参数输入!$B$148)+1),0,IF(INT((78-((核心参数输入!$B$18-1)*4+(核心参数输入!$B$148)+1))/4)=0,核心参数输入!$B$38,IF(INT((78-((核心参数输入!$B$18-1)*4+(核心参数输入!$B$148)+1))/4)=1,核心参数输入!$B$39,IF(INT((78-((核心参数输入!$B$18-1)*4+(核心参数输入!$B$148)+1))/4)=2,核心参数输入!$B$40,核心参数输入!$B$41)))),0)</f>
        <v>0.9</v>
      </c>
      <c r="CE14" s="22">
        <f>IF(79&lt;=核心参数输入!$B$9*4,IF(79&lt;((核心参数输入!$B$18-1)*4+(核心参数输入!$B$148)+1),0,IF(INT((79-((核心参数输入!$B$18-1)*4+(核心参数输入!$B$148)+1))/4)=0,核心参数输入!$B$38,IF(INT((79-((核心参数输入!$B$18-1)*4+(核心参数输入!$B$148)+1))/4)=1,核心参数输入!$B$39,IF(INT((79-((核心参数输入!$B$18-1)*4+(核心参数输入!$B$148)+1))/4)=2,核心参数输入!$B$40,核心参数输入!$B$41)))),0)</f>
        <v>0.9</v>
      </c>
      <c r="CF14" s="22">
        <f>IF(80&lt;=核心参数输入!$B$9*4,IF(80&lt;((核心参数输入!$B$18-1)*4+(核心参数输入!$B$148)+1),0,IF(INT((80-((核心参数输入!$B$18-1)*4+(核心参数输入!$B$148)+1))/4)=0,核心参数输入!$B$38,IF(INT((80-((核心参数输入!$B$18-1)*4+(核心参数输入!$B$148)+1))/4)=1,核心参数输入!$B$39,IF(INT((80-((核心参数输入!$B$18-1)*4+(核心参数输入!$B$148)+1))/4)=2,核心参数输入!$B$40,核心参数输入!$B$41)))),0)</f>
        <v>0.9</v>
      </c>
      <c r="CG14" s="22">
        <f>IF(81&lt;=核心参数输入!$B$9*4,IF(81&lt;((核心参数输入!$B$18-1)*4+(核心参数输入!$B$148)+1),0,IF(INT((81-((核心参数输入!$B$18-1)*4+(核心参数输入!$B$148)+1))/4)=0,核心参数输入!$B$38,IF(INT((81-((核心参数输入!$B$18-1)*4+(核心参数输入!$B$148)+1))/4)=1,核心参数输入!$B$39,IF(INT((81-((核心参数输入!$B$18-1)*4+(核心参数输入!$B$148)+1))/4)=2,核心参数输入!$B$40,核心参数输入!$B$41)))),0)</f>
        <v>0</v>
      </c>
      <c r="CH14" s="22">
        <f>IF(82&lt;=核心参数输入!$B$9*4,IF(82&lt;((核心参数输入!$B$18-1)*4+(核心参数输入!$B$148)+1),0,IF(INT((82-((核心参数输入!$B$18-1)*4+(核心参数输入!$B$148)+1))/4)=0,核心参数输入!$B$38,IF(INT((82-((核心参数输入!$B$18-1)*4+(核心参数输入!$B$148)+1))/4)=1,核心参数输入!$B$39,IF(INT((82-((核心参数输入!$B$18-1)*4+(核心参数输入!$B$148)+1))/4)=2,核心参数输入!$B$40,核心参数输入!$B$41)))),0)</f>
        <v>0</v>
      </c>
      <c r="CI14" s="22">
        <f>IF(83&lt;=核心参数输入!$B$9*4,IF(83&lt;((核心参数输入!$B$18-1)*4+(核心参数输入!$B$148)+1),0,IF(INT((83-((核心参数输入!$B$18-1)*4+(核心参数输入!$B$148)+1))/4)=0,核心参数输入!$B$38,IF(INT((83-((核心参数输入!$B$18-1)*4+(核心参数输入!$B$148)+1))/4)=1,核心参数输入!$B$39,IF(INT((83-((核心参数输入!$B$18-1)*4+(核心参数输入!$B$148)+1))/4)=2,核心参数输入!$B$40,核心参数输入!$B$41)))),0)</f>
        <v>0</v>
      </c>
      <c r="CJ14" s="22">
        <f>IF(84&lt;=核心参数输入!$B$9*4,IF(84&lt;((核心参数输入!$B$18-1)*4+(核心参数输入!$B$148)+1),0,IF(INT((84-((核心参数输入!$B$18-1)*4+(核心参数输入!$B$148)+1))/4)=0,核心参数输入!$B$38,IF(INT((84-((核心参数输入!$B$18-1)*4+(核心参数输入!$B$148)+1))/4)=1,核心参数输入!$B$39,IF(INT((84-((核心参数输入!$B$18-1)*4+(核心参数输入!$B$148)+1))/4)=2,核心参数输入!$B$40,核心参数输入!$B$41)))),0)</f>
        <v>0</v>
      </c>
      <c r="CK14" s="22">
        <f>IF(85&lt;=核心参数输入!$B$9*4,IF(85&lt;((核心参数输入!$B$18-1)*4+(核心参数输入!$B$148)+1),0,IF(INT((85-((核心参数输入!$B$18-1)*4+(核心参数输入!$B$148)+1))/4)=0,核心参数输入!$B$38,IF(INT((85-((核心参数输入!$B$18-1)*4+(核心参数输入!$B$148)+1))/4)=1,核心参数输入!$B$39,IF(INT((85-((核心参数输入!$B$18-1)*4+(核心参数输入!$B$148)+1))/4)=2,核心参数输入!$B$40,核心参数输入!$B$41)))),0)</f>
        <v>0</v>
      </c>
      <c r="CL14" s="22">
        <f>IF(86&lt;=核心参数输入!$B$9*4,IF(86&lt;((核心参数输入!$B$18-1)*4+(核心参数输入!$B$148)+1),0,IF(INT((86-((核心参数输入!$B$18-1)*4+(核心参数输入!$B$148)+1))/4)=0,核心参数输入!$B$38,IF(INT((86-((核心参数输入!$B$18-1)*4+(核心参数输入!$B$148)+1))/4)=1,核心参数输入!$B$39,IF(INT((86-((核心参数输入!$B$18-1)*4+(核心参数输入!$B$148)+1))/4)=2,核心参数输入!$B$40,核心参数输入!$B$41)))),0)</f>
        <v>0</v>
      </c>
      <c r="CM14" s="22">
        <f>IF(87&lt;=核心参数输入!$B$9*4,IF(87&lt;((核心参数输入!$B$18-1)*4+(核心参数输入!$B$148)+1),0,IF(INT((87-((核心参数输入!$B$18-1)*4+(核心参数输入!$B$148)+1))/4)=0,核心参数输入!$B$38,IF(INT((87-((核心参数输入!$B$18-1)*4+(核心参数输入!$B$148)+1))/4)=1,核心参数输入!$B$39,IF(INT((87-((核心参数输入!$B$18-1)*4+(核心参数输入!$B$148)+1))/4)=2,核心参数输入!$B$40,核心参数输入!$B$41)))),0)</f>
        <v>0</v>
      </c>
      <c r="CN14" s="22">
        <f>IF(88&lt;=核心参数输入!$B$9*4,IF(88&lt;((核心参数输入!$B$18-1)*4+(核心参数输入!$B$148)+1),0,IF(INT((88-((核心参数输入!$B$18-1)*4+(核心参数输入!$B$148)+1))/4)=0,核心参数输入!$B$38,IF(INT((88-((核心参数输入!$B$18-1)*4+(核心参数输入!$B$148)+1))/4)=1,核心参数输入!$B$39,IF(INT((88-((核心参数输入!$B$18-1)*4+(核心参数输入!$B$148)+1))/4)=2,核心参数输入!$B$40,核心参数输入!$B$41)))),0)</f>
        <v>0</v>
      </c>
      <c r="CO14" s="22">
        <f>IF(89&lt;=核心参数输入!$B$9*4,IF(89&lt;((核心参数输入!$B$18-1)*4+(核心参数输入!$B$148)+1),0,IF(INT((89-((核心参数输入!$B$18-1)*4+(核心参数输入!$B$148)+1))/4)=0,核心参数输入!$B$38,IF(INT((89-((核心参数输入!$B$18-1)*4+(核心参数输入!$B$148)+1))/4)=1,核心参数输入!$B$39,IF(INT((89-((核心参数输入!$B$18-1)*4+(核心参数输入!$B$148)+1))/4)=2,核心参数输入!$B$40,核心参数输入!$B$41)))),0)</f>
        <v>0</v>
      </c>
      <c r="CP14" s="22">
        <f>IF(90&lt;=核心参数输入!$B$9*4,IF(90&lt;((核心参数输入!$B$18-1)*4+(核心参数输入!$B$148)+1),0,IF(INT((90-((核心参数输入!$B$18-1)*4+(核心参数输入!$B$148)+1))/4)=0,核心参数输入!$B$38,IF(INT((90-((核心参数输入!$B$18-1)*4+(核心参数输入!$B$148)+1))/4)=1,核心参数输入!$B$39,IF(INT((90-((核心参数输入!$B$18-1)*4+(核心参数输入!$B$148)+1))/4)=2,核心参数输入!$B$40,核心参数输入!$B$41)))),0)</f>
        <v>0</v>
      </c>
      <c r="CQ14" s="22">
        <f>IF(91&lt;=核心参数输入!$B$9*4,IF(91&lt;((核心参数输入!$B$18-1)*4+(核心参数输入!$B$148)+1),0,IF(INT((91-((核心参数输入!$B$18-1)*4+(核心参数输入!$B$148)+1))/4)=0,核心参数输入!$B$38,IF(INT((91-((核心参数输入!$B$18-1)*4+(核心参数输入!$B$148)+1))/4)=1,核心参数输入!$B$39,IF(INT((91-((核心参数输入!$B$18-1)*4+(核心参数输入!$B$148)+1))/4)=2,核心参数输入!$B$40,核心参数输入!$B$41)))),0)</f>
        <v>0</v>
      </c>
      <c r="CR14" s="22">
        <f>IF(92&lt;=核心参数输入!$B$9*4,IF(92&lt;((核心参数输入!$B$18-1)*4+(核心参数输入!$B$148)+1),0,IF(INT((92-((核心参数输入!$B$18-1)*4+(核心参数输入!$B$148)+1))/4)=0,核心参数输入!$B$38,IF(INT((92-((核心参数输入!$B$18-1)*4+(核心参数输入!$B$148)+1))/4)=1,核心参数输入!$B$39,IF(INT((92-((核心参数输入!$B$18-1)*4+(核心参数输入!$B$148)+1))/4)=2,核心参数输入!$B$40,核心参数输入!$B$41)))),0)</f>
        <v>0</v>
      </c>
      <c r="CS14" s="22">
        <f>IF(93&lt;=核心参数输入!$B$9*4,IF(93&lt;((核心参数输入!$B$18-1)*4+(核心参数输入!$B$148)+1),0,IF(INT((93-((核心参数输入!$B$18-1)*4+(核心参数输入!$B$148)+1))/4)=0,核心参数输入!$B$38,IF(INT((93-((核心参数输入!$B$18-1)*4+(核心参数输入!$B$148)+1))/4)=1,核心参数输入!$B$39,IF(INT((93-((核心参数输入!$B$18-1)*4+(核心参数输入!$B$148)+1))/4)=2,核心参数输入!$B$40,核心参数输入!$B$41)))),0)</f>
        <v>0</v>
      </c>
      <c r="CT14" s="22">
        <f>IF(94&lt;=核心参数输入!$B$9*4,IF(94&lt;((核心参数输入!$B$18-1)*4+(核心参数输入!$B$148)+1),0,IF(INT((94-((核心参数输入!$B$18-1)*4+(核心参数输入!$B$148)+1))/4)=0,核心参数输入!$B$38,IF(INT((94-((核心参数输入!$B$18-1)*4+(核心参数输入!$B$148)+1))/4)=1,核心参数输入!$B$39,IF(INT((94-((核心参数输入!$B$18-1)*4+(核心参数输入!$B$148)+1))/4)=2,核心参数输入!$B$40,核心参数输入!$B$41)))),0)</f>
        <v>0</v>
      </c>
      <c r="CU14" s="22">
        <f>IF(95&lt;=核心参数输入!$B$9*4,IF(95&lt;((核心参数输入!$B$18-1)*4+(核心参数输入!$B$148)+1),0,IF(INT((95-((核心参数输入!$B$18-1)*4+(核心参数输入!$B$148)+1))/4)=0,核心参数输入!$B$38,IF(INT((95-((核心参数输入!$B$18-1)*4+(核心参数输入!$B$148)+1))/4)=1,核心参数输入!$B$39,IF(INT((95-((核心参数输入!$B$18-1)*4+(核心参数输入!$B$148)+1))/4)=2,核心参数输入!$B$40,核心参数输入!$B$41)))),0)</f>
        <v>0</v>
      </c>
      <c r="CV14" s="22">
        <f>IF(96&lt;=核心参数输入!$B$9*4,IF(96&lt;((核心参数输入!$B$18-1)*4+(核心参数输入!$B$148)+1),0,IF(INT((96-((核心参数输入!$B$18-1)*4+(核心参数输入!$B$148)+1))/4)=0,核心参数输入!$B$38,IF(INT((96-((核心参数输入!$B$18-1)*4+(核心参数输入!$B$148)+1))/4)=1,核心参数输入!$B$39,IF(INT((96-((核心参数输入!$B$18-1)*4+(核心参数输入!$B$148)+1))/4)=2,核心参数输入!$B$40,核心参数输入!$B$41)))),0)</f>
        <v>0</v>
      </c>
      <c r="CW14" s="22">
        <f>IF(97&lt;=核心参数输入!$B$9*4,IF(97&lt;((核心参数输入!$B$18-1)*4+(核心参数输入!$B$148)+1),0,IF(INT((97-((核心参数输入!$B$18-1)*4+(核心参数输入!$B$148)+1))/4)=0,核心参数输入!$B$38,IF(INT((97-((核心参数输入!$B$18-1)*4+(核心参数输入!$B$148)+1))/4)=1,核心参数输入!$B$39,IF(INT((97-((核心参数输入!$B$18-1)*4+(核心参数输入!$B$148)+1))/4)=2,核心参数输入!$B$40,核心参数输入!$B$41)))),0)</f>
        <v>0</v>
      </c>
      <c r="CX14" s="22">
        <f>IF(98&lt;=核心参数输入!$B$9*4,IF(98&lt;((核心参数输入!$B$18-1)*4+(核心参数输入!$B$148)+1),0,IF(INT((98-((核心参数输入!$B$18-1)*4+(核心参数输入!$B$148)+1))/4)=0,核心参数输入!$B$38,IF(INT((98-((核心参数输入!$B$18-1)*4+(核心参数输入!$B$148)+1))/4)=1,核心参数输入!$B$39,IF(INT((98-((核心参数输入!$B$18-1)*4+(核心参数输入!$B$148)+1))/4)=2,核心参数输入!$B$40,核心参数输入!$B$41)))),0)</f>
        <v>0</v>
      </c>
      <c r="CY14" s="22">
        <f>IF(99&lt;=核心参数输入!$B$9*4,IF(99&lt;((核心参数输入!$B$18-1)*4+(核心参数输入!$B$148)+1),0,IF(INT((99-((核心参数输入!$B$18-1)*4+(核心参数输入!$B$148)+1))/4)=0,核心参数输入!$B$38,IF(INT((99-((核心参数输入!$B$18-1)*4+(核心参数输入!$B$148)+1))/4)=1,核心参数输入!$B$39,IF(INT((99-((核心参数输入!$B$18-1)*4+(核心参数输入!$B$148)+1))/4)=2,核心参数输入!$B$40,核心参数输入!$B$41)))),0)</f>
        <v>0</v>
      </c>
      <c r="CZ14" s="22">
        <f>IF(100&lt;=核心参数输入!$B$9*4,IF(100&lt;((核心参数输入!$B$18-1)*4+(核心参数输入!$B$148)+1),0,IF(INT((100-((核心参数输入!$B$18-1)*4+(核心参数输入!$B$148)+1))/4)=0,核心参数输入!$B$38,IF(INT((100-((核心参数输入!$B$18-1)*4+(核心参数输入!$B$148)+1))/4)=1,核心参数输入!$B$39,IF(INT((100-((核心参数输入!$B$18-1)*4+(核心参数输入!$B$148)+1))/4)=2,核心参数输入!$B$40,核心参数输入!$B$41)))),0)</f>
        <v>0</v>
      </c>
      <c r="DA14" s="22">
        <f>IF(101&lt;=核心参数输入!$B$9*4,IF(101&lt;((核心参数输入!$B$18-1)*4+(核心参数输入!$B$148)+1),0,IF(INT((101-((核心参数输入!$B$18-1)*4+(核心参数输入!$B$148)+1))/4)=0,核心参数输入!$B$38,IF(INT((101-((核心参数输入!$B$18-1)*4+(核心参数输入!$B$148)+1))/4)=1,核心参数输入!$B$39,IF(INT((101-((核心参数输入!$B$18-1)*4+(核心参数输入!$B$148)+1))/4)=2,核心参数输入!$B$40,核心参数输入!$B$41)))),0)</f>
        <v>0</v>
      </c>
      <c r="DB14" s="22">
        <f>IF(102&lt;=核心参数输入!$B$9*4,IF(102&lt;((核心参数输入!$B$18-1)*4+(核心参数输入!$B$148)+1),0,IF(INT((102-((核心参数输入!$B$18-1)*4+(核心参数输入!$B$148)+1))/4)=0,核心参数输入!$B$38,IF(INT((102-((核心参数输入!$B$18-1)*4+(核心参数输入!$B$148)+1))/4)=1,核心参数输入!$B$39,IF(INT((102-((核心参数输入!$B$18-1)*4+(核心参数输入!$B$148)+1))/4)=2,核心参数输入!$B$40,核心参数输入!$B$41)))),0)</f>
        <v>0</v>
      </c>
      <c r="DC14" s="22">
        <f>IF(103&lt;=核心参数输入!$B$9*4,IF(103&lt;((核心参数输入!$B$18-1)*4+(核心参数输入!$B$148)+1),0,IF(INT((103-((核心参数输入!$B$18-1)*4+(核心参数输入!$B$148)+1))/4)=0,核心参数输入!$B$38,IF(INT((103-((核心参数输入!$B$18-1)*4+(核心参数输入!$B$148)+1))/4)=1,核心参数输入!$B$39,IF(INT((103-((核心参数输入!$B$18-1)*4+(核心参数输入!$B$148)+1))/4)=2,核心参数输入!$B$40,核心参数输入!$B$41)))),0)</f>
        <v>0</v>
      </c>
      <c r="DD14" s="22">
        <f>IF(104&lt;=核心参数输入!$B$9*4,IF(104&lt;((核心参数输入!$B$18-1)*4+(核心参数输入!$B$148)+1),0,IF(INT((104-((核心参数输入!$B$18-1)*4+(核心参数输入!$B$148)+1))/4)=0,核心参数输入!$B$38,IF(INT((104-((核心参数输入!$B$18-1)*4+(核心参数输入!$B$148)+1))/4)=1,核心参数输入!$B$39,IF(INT((104-((核心参数输入!$B$18-1)*4+(核心参数输入!$B$148)+1))/4)=2,核心参数输入!$B$40,核心参数输入!$B$41)))),0)</f>
        <v>0</v>
      </c>
      <c r="DE14" s="22">
        <f>IF(105&lt;=核心参数输入!$B$9*4,IF(105&lt;((核心参数输入!$B$18-1)*4+(核心参数输入!$B$148)+1),0,IF(INT((105-((核心参数输入!$B$18-1)*4+(核心参数输入!$B$148)+1))/4)=0,核心参数输入!$B$38,IF(INT((105-((核心参数输入!$B$18-1)*4+(核心参数输入!$B$148)+1))/4)=1,核心参数输入!$B$39,IF(INT((105-((核心参数输入!$B$18-1)*4+(核心参数输入!$B$148)+1))/4)=2,核心参数输入!$B$40,核心参数输入!$B$41)))),0)</f>
        <v>0</v>
      </c>
      <c r="DF14" s="22">
        <f>IF(106&lt;=核心参数输入!$B$9*4,IF(106&lt;((核心参数输入!$B$18-1)*4+(核心参数输入!$B$148)+1),0,IF(INT((106-((核心参数输入!$B$18-1)*4+(核心参数输入!$B$148)+1))/4)=0,核心参数输入!$B$38,IF(INT((106-((核心参数输入!$B$18-1)*4+(核心参数输入!$B$148)+1))/4)=1,核心参数输入!$B$39,IF(INT((106-((核心参数输入!$B$18-1)*4+(核心参数输入!$B$148)+1))/4)=2,核心参数输入!$B$40,核心参数输入!$B$41)))),0)</f>
        <v>0</v>
      </c>
      <c r="DG14" s="22">
        <f>IF(107&lt;=核心参数输入!$B$9*4,IF(107&lt;((核心参数输入!$B$18-1)*4+(核心参数输入!$B$148)+1),0,IF(INT((107-((核心参数输入!$B$18-1)*4+(核心参数输入!$B$148)+1))/4)=0,核心参数输入!$B$38,IF(INT((107-((核心参数输入!$B$18-1)*4+(核心参数输入!$B$148)+1))/4)=1,核心参数输入!$B$39,IF(INT((107-((核心参数输入!$B$18-1)*4+(核心参数输入!$B$148)+1))/4)=2,核心参数输入!$B$40,核心参数输入!$B$41)))),0)</f>
        <v>0</v>
      </c>
      <c r="DH14" s="22">
        <f>IF(108&lt;=核心参数输入!$B$9*4,IF(108&lt;((核心参数输入!$B$18-1)*4+(核心参数输入!$B$148)+1),0,IF(INT((108-((核心参数输入!$B$18-1)*4+(核心参数输入!$B$148)+1))/4)=0,核心参数输入!$B$38,IF(INT((108-((核心参数输入!$B$18-1)*4+(核心参数输入!$B$148)+1))/4)=1,核心参数输入!$B$39,IF(INT((108-((核心参数输入!$B$18-1)*4+(核心参数输入!$B$148)+1))/4)=2,核心参数输入!$B$40,核心参数输入!$B$41)))),0)</f>
        <v>0</v>
      </c>
      <c r="DI14" s="22">
        <f>IF(109&lt;=核心参数输入!$B$9*4,IF(109&lt;((核心参数输入!$B$18-1)*4+(核心参数输入!$B$148)+1),0,IF(INT((109-((核心参数输入!$B$18-1)*4+(核心参数输入!$B$148)+1))/4)=0,核心参数输入!$B$38,IF(INT((109-((核心参数输入!$B$18-1)*4+(核心参数输入!$B$148)+1))/4)=1,核心参数输入!$B$39,IF(INT((109-((核心参数输入!$B$18-1)*4+(核心参数输入!$B$148)+1))/4)=2,核心参数输入!$B$40,核心参数输入!$B$41)))),0)</f>
        <v>0</v>
      </c>
      <c r="DJ14" s="22">
        <f>IF(110&lt;=核心参数输入!$B$9*4,IF(110&lt;((核心参数输入!$B$18-1)*4+(核心参数输入!$B$148)+1),0,IF(INT((110-((核心参数输入!$B$18-1)*4+(核心参数输入!$B$148)+1))/4)=0,核心参数输入!$B$38,IF(INT((110-((核心参数输入!$B$18-1)*4+(核心参数输入!$B$148)+1))/4)=1,核心参数输入!$B$39,IF(INT((110-((核心参数输入!$B$18-1)*4+(核心参数输入!$B$148)+1))/4)=2,核心参数输入!$B$40,核心参数输入!$B$41)))),0)</f>
        <v>0</v>
      </c>
      <c r="DK14" s="22">
        <f>IF(111&lt;=核心参数输入!$B$9*4,IF(111&lt;((核心参数输入!$B$18-1)*4+(核心参数输入!$B$148)+1),0,IF(INT((111-((核心参数输入!$B$18-1)*4+(核心参数输入!$B$148)+1))/4)=0,核心参数输入!$B$38,IF(INT((111-((核心参数输入!$B$18-1)*4+(核心参数输入!$B$148)+1))/4)=1,核心参数输入!$B$39,IF(INT((111-((核心参数输入!$B$18-1)*4+(核心参数输入!$B$148)+1))/4)=2,核心参数输入!$B$40,核心参数输入!$B$41)))),0)</f>
        <v>0</v>
      </c>
      <c r="DL14" s="22">
        <f>IF(112&lt;=核心参数输入!$B$9*4,IF(112&lt;((核心参数输入!$B$18-1)*4+(核心参数输入!$B$148)+1),0,IF(INT((112-((核心参数输入!$B$18-1)*4+(核心参数输入!$B$148)+1))/4)=0,核心参数输入!$B$38,IF(INT((112-((核心参数输入!$B$18-1)*4+(核心参数输入!$B$148)+1))/4)=1,核心参数输入!$B$39,IF(INT((112-((核心参数输入!$B$18-1)*4+(核心参数输入!$B$148)+1))/4)=2,核心参数输入!$B$40,核心参数输入!$B$41)))),0)</f>
        <v>0</v>
      </c>
      <c r="DM14" s="22">
        <f>IF(113&lt;=核心参数输入!$B$9*4,IF(113&lt;((核心参数输入!$B$18-1)*4+(核心参数输入!$B$148)+1),0,IF(INT((113-((核心参数输入!$B$18-1)*4+(核心参数输入!$B$148)+1))/4)=0,核心参数输入!$B$38,IF(INT((113-((核心参数输入!$B$18-1)*4+(核心参数输入!$B$148)+1))/4)=1,核心参数输入!$B$39,IF(INT((113-((核心参数输入!$B$18-1)*4+(核心参数输入!$B$148)+1))/4)=2,核心参数输入!$B$40,核心参数输入!$B$41)))),0)</f>
        <v>0</v>
      </c>
      <c r="DN14" s="22">
        <f>IF(114&lt;=核心参数输入!$B$9*4,IF(114&lt;((核心参数输入!$B$18-1)*4+(核心参数输入!$B$148)+1),0,IF(INT((114-((核心参数输入!$B$18-1)*4+(核心参数输入!$B$148)+1))/4)=0,核心参数输入!$B$38,IF(INT((114-((核心参数输入!$B$18-1)*4+(核心参数输入!$B$148)+1))/4)=1,核心参数输入!$B$39,IF(INT((114-((核心参数输入!$B$18-1)*4+(核心参数输入!$B$148)+1))/4)=2,核心参数输入!$B$40,核心参数输入!$B$41)))),0)</f>
        <v>0</v>
      </c>
      <c r="DO14" s="22">
        <f>IF(115&lt;=核心参数输入!$B$9*4,IF(115&lt;((核心参数输入!$B$18-1)*4+(核心参数输入!$B$148)+1),0,IF(INT((115-((核心参数输入!$B$18-1)*4+(核心参数输入!$B$148)+1))/4)=0,核心参数输入!$B$38,IF(INT((115-((核心参数输入!$B$18-1)*4+(核心参数输入!$B$148)+1))/4)=1,核心参数输入!$B$39,IF(INT((115-((核心参数输入!$B$18-1)*4+(核心参数输入!$B$148)+1))/4)=2,核心参数输入!$B$40,核心参数输入!$B$41)))),0)</f>
        <v>0</v>
      </c>
      <c r="DP14" s="22">
        <f>IF(116&lt;=核心参数输入!$B$9*4,IF(116&lt;((核心参数输入!$B$18-1)*4+(核心参数输入!$B$148)+1),0,IF(INT((116-((核心参数输入!$B$18-1)*4+(核心参数输入!$B$148)+1))/4)=0,核心参数输入!$B$38,IF(INT((116-((核心参数输入!$B$18-1)*4+(核心参数输入!$B$148)+1))/4)=1,核心参数输入!$B$39,IF(INT((116-((核心参数输入!$B$18-1)*4+(核心参数输入!$B$148)+1))/4)=2,核心参数输入!$B$40,核心参数输入!$B$41)))),0)</f>
        <v>0</v>
      </c>
      <c r="DQ14" s="22">
        <f>IF(117&lt;=核心参数输入!$B$9*4,IF(117&lt;((核心参数输入!$B$18-1)*4+(核心参数输入!$B$148)+1),0,IF(INT((117-((核心参数输入!$B$18-1)*4+(核心参数输入!$B$148)+1))/4)=0,核心参数输入!$B$38,IF(INT((117-((核心参数输入!$B$18-1)*4+(核心参数输入!$B$148)+1))/4)=1,核心参数输入!$B$39,IF(INT((117-((核心参数输入!$B$18-1)*4+(核心参数输入!$B$148)+1))/4)=2,核心参数输入!$B$40,核心参数输入!$B$41)))),0)</f>
        <v>0</v>
      </c>
      <c r="DR14" s="22">
        <f>IF(118&lt;=核心参数输入!$B$9*4,IF(118&lt;((核心参数输入!$B$18-1)*4+(核心参数输入!$B$148)+1),0,IF(INT((118-((核心参数输入!$B$18-1)*4+(核心参数输入!$B$148)+1))/4)=0,核心参数输入!$B$38,IF(INT((118-((核心参数输入!$B$18-1)*4+(核心参数输入!$B$148)+1))/4)=1,核心参数输入!$B$39,IF(INT((118-((核心参数输入!$B$18-1)*4+(核心参数输入!$B$148)+1))/4)=2,核心参数输入!$B$40,核心参数输入!$B$41)))),0)</f>
        <v>0</v>
      </c>
      <c r="DS14" s="22">
        <f>IF(119&lt;=核心参数输入!$B$9*4,IF(119&lt;((核心参数输入!$B$18-1)*4+(核心参数输入!$B$148)+1),0,IF(INT((119-((核心参数输入!$B$18-1)*4+(核心参数输入!$B$148)+1))/4)=0,核心参数输入!$B$38,IF(INT((119-((核心参数输入!$B$18-1)*4+(核心参数输入!$B$148)+1))/4)=1,核心参数输入!$B$39,IF(INT((119-((核心参数输入!$B$18-1)*4+(核心参数输入!$B$148)+1))/4)=2,核心参数输入!$B$40,核心参数输入!$B$41)))),0)</f>
        <v>0</v>
      </c>
      <c r="DT14" s="22">
        <f>IF(120&lt;=核心参数输入!$B$9*4,IF(120&lt;((核心参数输入!$B$18-1)*4+(核心参数输入!$B$148)+1),0,IF(INT((120-((核心参数输入!$B$18-1)*4+(核心参数输入!$B$148)+1))/4)=0,核心参数输入!$B$38,IF(INT((120-((核心参数输入!$B$18-1)*4+(核心参数输入!$B$148)+1))/4)=1,核心参数输入!$B$39,IF(INT((120-((核心参数输入!$B$18-1)*4+(核心参数输入!$B$148)+1))/4)=2,核心参数输入!$B$40,核心参数输入!$B$41)))),0)</f>
        <v>0</v>
      </c>
    </row>
    <row r="15" spans="1:124" ht="21" customHeight="1">
      <c r="A15" s="8" t="s">
        <v>451</v>
      </c>
      <c r="B15" s="8" t="s">
        <v>39</v>
      </c>
      <c r="C15" s="8"/>
      <c r="D15" s="22">
        <f>IF(0&lt;=核心参数输入!$B$9*4,IF(0&lt;((核心参数输入!$B$18-1)*4+(核心参数输入!$B$148)+1),0,MAX(0,IF(INT((0-((核心参数输入!$B$18-1)*4+(核心参数输入!$B$148)+1))/4)=0,0,IF(INT((0-((核心参数输入!$B$18-1)*4+(核心参数输入!$B$148)+1))/4)=1,核心参数输入!$B$38,IF(INT((0-((核心参数输入!$B$18-1)*4+(核心参数输入!$B$148)+1))/4)=2,核心参数输入!$B$39,IF(INT((0-((核心参数输入!$B$18-1)*4+(核心参数输入!$B$148)+1))/4)=3,核心参数输入!$B$40,核心参数输入!$B$41))))-0)+(MAX(0,D14-0)-MAX(0,IF(INT((0-((核心参数输入!$B$18-1)*4+(核心参数输入!$B$148)+1))/4)=0,0,IF(INT((0-((核心参数输入!$B$18-1)*4+(核心参数输入!$B$148)+1))/4)=1,核心参数输入!$B$38,IF(INT((0-((核心参数输入!$B$18-1)*4+(核心参数输入!$B$148)+1))/4)=2,核心参数输入!$B$39,IF(INT((0-((核心参数输入!$B$18-1)*4+(核心参数输入!$B$148)+1))/4)=3,核心参数输入!$B$40,核心参数输入!$B$41))))-0))*(MOD(0-((核心参数输入!$B$18-1)*4+(核心参数输入!$B$148)+1),4)+1)/4),0)</f>
        <v>0</v>
      </c>
      <c r="E15" s="22">
        <f>IF(1&lt;=核心参数输入!$B$9*4,IF(1&lt;((核心参数输入!$B$18-1)*4+(核心参数输入!$B$148)+1),0,MAX(0,IF(INT((1-((核心参数输入!$B$18-1)*4+(核心参数输入!$B$148)+1))/4)=0,0,IF(INT((1-((核心参数输入!$B$18-1)*4+(核心参数输入!$B$148)+1))/4)=1,核心参数输入!$B$38,IF(INT((1-((核心参数输入!$B$18-1)*4+(核心参数输入!$B$148)+1))/4)=2,核心参数输入!$B$39,IF(INT((1-((核心参数输入!$B$18-1)*4+(核心参数输入!$B$148)+1))/4)=3,核心参数输入!$B$40,核心参数输入!$B$41))))-0)+(MAX(0,E14-0)-MAX(0,IF(INT((1-((核心参数输入!$B$18-1)*4+(核心参数输入!$B$148)+1))/4)=0,0,IF(INT((1-((核心参数输入!$B$18-1)*4+(核心参数输入!$B$148)+1))/4)=1,核心参数输入!$B$38,IF(INT((1-((核心参数输入!$B$18-1)*4+(核心参数输入!$B$148)+1))/4)=2,核心参数输入!$B$39,IF(INT((1-((核心参数输入!$B$18-1)*4+(核心参数输入!$B$148)+1))/4)=3,核心参数输入!$B$40,核心参数输入!$B$41))))-0))*(MOD(1-((核心参数输入!$B$18-1)*4+(核心参数输入!$B$148)+1),4)+1)/4),0)</f>
        <v>0</v>
      </c>
      <c r="F15" s="22">
        <f>IF(2&lt;=核心参数输入!$B$9*4,IF(2&lt;((核心参数输入!$B$18-1)*4+(核心参数输入!$B$148)+1),0,MAX(0,IF(INT((2-((核心参数输入!$B$18-1)*4+(核心参数输入!$B$148)+1))/4)=0,0,IF(INT((2-((核心参数输入!$B$18-1)*4+(核心参数输入!$B$148)+1))/4)=1,核心参数输入!$B$38,IF(INT((2-((核心参数输入!$B$18-1)*4+(核心参数输入!$B$148)+1))/4)=2,核心参数输入!$B$39,IF(INT((2-((核心参数输入!$B$18-1)*4+(核心参数输入!$B$148)+1))/4)=3,核心参数输入!$B$40,核心参数输入!$B$41))))-0)+(MAX(0,F14-0)-MAX(0,IF(INT((2-((核心参数输入!$B$18-1)*4+(核心参数输入!$B$148)+1))/4)=0,0,IF(INT((2-((核心参数输入!$B$18-1)*4+(核心参数输入!$B$148)+1))/4)=1,核心参数输入!$B$38,IF(INT((2-((核心参数输入!$B$18-1)*4+(核心参数输入!$B$148)+1))/4)=2,核心参数输入!$B$39,IF(INT((2-((核心参数输入!$B$18-1)*4+(核心参数输入!$B$148)+1))/4)=3,核心参数输入!$B$40,核心参数输入!$B$41))))-0))*(MOD(2-((核心参数输入!$B$18-1)*4+(核心参数输入!$B$148)+1),4)+1)/4),0)</f>
        <v>0</v>
      </c>
      <c r="G15" s="22">
        <f>IF(3&lt;=核心参数输入!$B$9*4,IF(3&lt;((核心参数输入!$B$18-1)*4+(核心参数输入!$B$148)+1),0,MAX(0,IF(INT((3-((核心参数输入!$B$18-1)*4+(核心参数输入!$B$148)+1))/4)=0,0,IF(INT((3-((核心参数输入!$B$18-1)*4+(核心参数输入!$B$148)+1))/4)=1,核心参数输入!$B$38,IF(INT((3-((核心参数输入!$B$18-1)*4+(核心参数输入!$B$148)+1))/4)=2,核心参数输入!$B$39,IF(INT((3-((核心参数输入!$B$18-1)*4+(核心参数输入!$B$148)+1))/4)=3,核心参数输入!$B$40,核心参数输入!$B$41))))-0)+(MAX(0,G14-0)-MAX(0,IF(INT((3-((核心参数输入!$B$18-1)*4+(核心参数输入!$B$148)+1))/4)=0,0,IF(INT((3-((核心参数输入!$B$18-1)*4+(核心参数输入!$B$148)+1))/4)=1,核心参数输入!$B$38,IF(INT((3-((核心参数输入!$B$18-1)*4+(核心参数输入!$B$148)+1))/4)=2,核心参数输入!$B$39,IF(INT((3-((核心参数输入!$B$18-1)*4+(核心参数输入!$B$148)+1))/4)=3,核心参数输入!$B$40,核心参数输入!$B$41))))-0))*(MOD(3-((核心参数输入!$B$18-1)*4+(核心参数输入!$B$148)+1),4)+1)/4),0)</f>
        <v>0</v>
      </c>
      <c r="H15" s="22">
        <f>IF(4&lt;=核心参数输入!$B$9*4,IF(4&lt;((核心参数输入!$B$18-1)*4+(核心参数输入!$B$148)+1),0,MAX(0,IF(INT((4-((核心参数输入!$B$18-1)*4+(核心参数输入!$B$148)+1))/4)=0,0,IF(INT((4-((核心参数输入!$B$18-1)*4+(核心参数输入!$B$148)+1))/4)=1,核心参数输入!$B$38,IF(INT((4-((核心参数输入!$B$18-1)*4+(核心参数输入!$B$148)+1))/4)=2,核心参数输入!$B$39,IF(INT((4-((核心参数输入!$B$18-1)*4+(核心参数输入!$B$148)+1))/4)=3,核心参数输入!$B$40,核心参数输入!$B$41))))-0)+(MAX(0,H14-0)-MAX(0,IF(INT((4-((核心参数输入!$B$18-1)*4+(核心参数输入!$B$148)+1))/4)=0,0,IF(INT((4-((核心参数输入!$B$18-1)*4+(核心参数输入!$B$148)+1))/4)=1,核心参数输入!$B$38,IF(INT((4-((核心参数输入!$B$18-1)*4+(核心参数输入!$B$148)+1))/4)=2,核心参数输入!$B$39,IF(INT((4-((核心参数输入!$B$18-1)*4+(核心参数输入!$B$148)+1))/4)=3,核心参数输入!$B$40,核心参数输入!$B$41))))-0))*(MOD(4-((核心参数输入!$B$18-1)*4+(核心参数输入!$B$148)+1),4)+1)/4),0)</f>
        <v>0</v>
      </c>
      <c r="I15" s="22">
        <f>IF(5&lt;=核心参数输入!$B$9*4,IF(5&lt;((核心参数输入!$B$18-1)*4+(核心参数输入!$B$148)+1),0,MAX(0,IF(INT((5-((核心参数输入!$B$18-1)*4+(核心参数输入!$B$148)+1))/4)=0,0,IF(INT((5-((核心参数输入!$B$18-1)*4+(核心参数输入!$B$148)+1))/4)=1,核心参数输入!$B$38,IF(INT((5-((核心参数输入!$B$18-1)*4+(核心参数输入!$B$148)+1))/4)=2,核心参数输入!$B$39,IF(INT((5-((核心参数输入!$B$18-1)*4+(核心参数输入!$B$148)+1))/4)=3,核心参数输入!$B$40,核心参数输入!$B$41))))-0)+(MAX(0,I14-0)-MAX(0,IF(INT((5-((核心参数输入!$B$18-1)*4+(核心参数输入!$B$148)+1))/4)=0,0,IF(INT((5-((核心参数输入!$B$18-1)*4+(核心参数输入!$B$148)+1))/4)=1,核心参数输入!$B$38,IF(INT((5-((核心参数输入!$B$18-1)*4+(核心参数输入!$B$148)+1))/4)=2,核心参数输入!$B$39,IF(INT((5-((核心参数输入!$B$18-1)*4+(核心参数输入!$B$148)+1))/4)=3,核心参数输入!$B$40,核心参数输入!$B$41))))-0))*(MOD(5-((核心参数输入!$B$18-1)*4+(核心参数输入!$B$148)+1),4)+1)/4),0)</f>
        <v>0</v>
      </c>
      <c r="J15" s="22">
        <f>IF(6&lt;=核心参数输入!$B$9*4,IF(6&lt;((核心参数输入!$B$18-1)*4+(核心参数输入!$B$148)+1),0,MAX(0,IF(INT((6-((核心参数输入!$B$18-1)*4+(核心参数输入!$B$148)+1))/4)=0,0,IF(INT((6-((核心参数输入!$B$18-1)*4+(核心参数输入!$B$148)+1))/4)=1,核心参数输入!$B$38,IF(INT((6-((核心参数输入!$B$18-1)*4+(核心参数输入!$B$148)+1))/4)=2,核心参数输入!$B$39,IF(INT((6-((核心参数输入!$B$18-1)*4+(核心参数输入!$B$148)+1))/4)=3,核心参数输入!$B$40,核心参数输入!$B$41))))-0)+(MAX(0,J14-0)-MAX(0,IF(INT((6-((核心参数输入!$B$18-1)*4+(核心参数输入!$B$148)+1))/4)=0,0,IF(INT((6-((核心参数输入!$B$18-1)*4+(核心参数输入!$B$148)+1))/4)=1,核心参数输入!$B$38,IF(INT((6-((核心参数输入!$B$18-1)*4+(核心参数输入!$B$148)+1))/4)=2,核心参数输入!$B$39,IF(INT((6-((核心参数输入!$B$18-1)*4+(核心参数输入!$B$148)+1))/4)=3,核心参数输入!$B$40,核心参数输入!$B$41))))-0))*(MOD(6-((核心参数输入!$B$18-1)*4+(核心参数输入!$B$148)+1),4)+1)/4),0)</f>
        <v>0</v>
      </c>
      <c r="K15" s="22">
        <f>IF(7&lt;=核心参数输入!$B$9*4,IF(7&lt;((核心参数输入!$B$18-1)*4+(核心参数输入!$B$148)+1),0,MAX(0,IF(INT((7-((核心参数输入!$B$18-1)*4+(核心参数输入!$B$148)+1))/4)=0,0,IF(INT((7-((核心参数输入!$B$18-1)*4+(核心参数输入!$B$148)+1))/4)=1,核心参数输入!$B$38,IF(INT((7-((核心参数输入!$B$18-1)*4+(核心参数输入!$B$148)+1))/4)=2,核心参数输入!$B$39,IF(INT((7-((核心参数输入!$B$18-1)*4+(核心参数输入!$B$148)+1))/4)=3,核心参数输入!$B$40,核心参数输入!$B$41))))-0)+(MAX(0,K14-0)-MAX(0,IF(INT((7-((核心参数输入!$B$18-1)*4+(核心参数输入!$B$148)+1))/4)=0,0,IF(INT((7-((核心参数输入!$B$18-1)*4+(核心参数输入!$B$148)+1))/4)=1,核心参数输入!$B$38,IF(INT((7-((核心参数输入!$B$18-1)*4+(核心参数输入!$B$148)+1))/4)=2,核心参数输入!$B$39,IF(INT((7-((核心参数输入!$B$18-1)*4+(核心参数输入!$B$148)+1))/4)=3,核心参数输入!$B$40,核心参数输入!$B$41))))-0))*(MOD(7-((核心参数输入!$B$18-1)*4+(核心参数输入!$B$148)+1),4)+1)/4),0)</f>
        <v>0</v>
      </c>
      <c r="L15" s="22">
        <f>IF(8&lt;=核心参数输入!$B$9*4,IF(8&lt;((核心参数输入!$B$18-1)*4+(核心参数输入!$B$148)+1),0,MAX(0,IF(INT((8-((核心参数输入!$B$18-1)*4+(核心参数输入!$B$148)+1))/4)=0,0,IF(INT((8-((核心参数输入!$B$18-1)*4+(核心参数输入!$B$148)+1))/4)=1,核心参数输入!$B$38,IF(INT((8-((核心参数输入!$B$18-1)*4+(核心参数输入!$B$148)+1))/4)=2,核心参数输入!$B$39,IF(INT((8-((核心参数输入!$B$18-1)*4+(核心参数输入!$B$148)+1))/4)=3,核心参数输入!$B$40,核心参数输入!$B$41))))-0)+(MAX(0,L14-0)-MAX(0,IF(INT((8-((核心参数输入!$B$18-1)*4+(核心参数输入!$B$148)+1))/4)=0,0,IF(INT((8-((核心参数输入!$B$18-1)*4+(核心参数输入!$B$148)+1))/4)=1,核心参数输入!$B$38,IF(INT((8-((核心参数输入!$B$18-1)*4+(核心参数输入!$B$148)+1))/4)=2,核心参数输入!$B$39,IF(INT((8-((核心参数输入!$B$18-1)*4+(核心参数输入!$B$148)+1))/4)=3,核心参数输入!$B$40,核心参数输入!$B$41))))-0))*(MOD(8-((核心参数输入!$B$18-1)*4+(核心参数输入!$B$148)+1),4)+1)/4),0)</f>
        <v>0</v>
      </c>
      <c r="M15" s="22">
        <f>IF(9&lt;=核心参数输入!$B$9*4,IF(9&lt;((核心参数输入!$B$18-1)*4+(核心参数输入!$B$148)+1),0,MAX(0,IF(INT((9-((核心参数输入!$B$18-1)*4+(核心参数输入!$B$148)+1))/4)=0,0,IF(INT((9-((核心参数输入!$B$18-1)*4+(核心参数输入!$B$148)+1))/4)=1,核心参数输入!$B$38,IF(INT((9-((核心参数输入!$B$18-1)*4+(核心参数输入!$B$148)+1))/4)=2,核心参数输入!$B$39,IF(INT((9-((核心参数输入!$B$18-1)*4+(核心参数输入!$B$148)+1))/4)=3,核心参数输入!$B$40,核心参数输入!$B$41))))-0)+(MAX(0,M14-0)-MAX(0,IF(INT((9-((核心参数输入!$B$18-1)*4+(核心参数输入!$B$148)+1))/4)=0,0,IF(INT((9-((核心参数输入!$B$18-1)*4+(核心参数输入!$B$148)+1))/4)=1,核心参数输入!$B$38,IF(INT((9-((核心参数输入!$B$18-1)*4+(核心参数输入!$B$148)+1))/4)=2,核心参数输入!$B$39,IF(INT((9-((核心参数输入!$B$18-1)*4+(核心参数输入!$B$148)+1))/4)=3,核心参数输入!$B$40,核心参数输入!$B$41))))-0))*(MOD(9-((核心参数输入!$B$18-1)*4+(核心参数输入!$B$148)+1),4)+1)/4),0)</f>
        <v>0</v>
      </c>
      <c r="N15" s="22">
        <f>IF(10&lt;=核心参数输入!$B$9*4,IF(10&lt;((核心参数输入!$B$18-1)*4+(核心参数输入!$B$148)+1),0,MAX(0,IF(INT((10-((核心参数输入!$B$18-1)*4+(核心参数输入!$B$148)+1))/4)=0,0,IF(INT((10-((核心参数输入!$B$18-1)*4+(核心参数输入!$B$148)+1))/4)=1,核心参数输入!$B$38,IF(INT((10-((核心参数输入!$B$18-1)*4+(核心参数输入!$B$148)+1))/4)=2,核心参数输入!$B$39,IF(INT((10-((核心参数输入!$B$18-1)*4+(核心参数输入!$B$148)+1))/4)=3,核心参数输入!$B$40,核心参数输入!$B$41))))-0)+(MAX(0,N14-0)-MAX(0,IF(INT((10-((核心参数输入!$B$18-1)*4+(核心参数输入!$B$148)+1))/4)=0,0,IF(INT((10-((核心参数输入!$B$18-1)*4+(核心参数输入!$B$148)+1))/4)=1,核心参数输入!$B$38,IF(INT((10-((核心参数输入!$B$18-1)*4+(核心参数输入!$B$148)+1))/4)=2,核心参数输入!$B$39,IF(INT((10-((核心参数输入!$B$18-1)*4+(核心参数输入!$B$148)+1))/4)=3,核心参数输入!$B$40,核心参数输入!$B$41))))-0))*(MOD(10-((核心参数输入!$B$18-1)*4+(核心参数输入!$B$148)+1),4)+1)/4),0)</f>
        <v>0</v>
      </c>
      <c r="O15" s="22">
        <f>IF(11&lt;=核心参数输入!$B$9*4,IF(11&lt;((核心参数输入!$B$18-1)*4+(核心参数输入!$B$148)+1),0,MAX(0,IF(INT((11-((核心参数输入!$B$18-1)*4+(核心参数输入!$B$148)+1))/4)=0,0,IF(INT((11-((核心参数输入!$B$18-1)*4+(核心参数输入!$B$148)+1))/4)=1,核心参数输入!$B$38,IF(INT((11-((核心参数输入!$B$18-1)*4+(核心参数输入!$B$148)+1))/4)=2,核心参数输入!$B$39,IF(INT((11-((核心参数输入!$B$18-1)*4+(核心参数输入!$B$148)+1))/4)=3,核心参数输入!$B$40,核心参数输入!$B$41))))-0)+(MAX(0,O14-0)-MAX(0,IF(INT((11-((核心参数输入!$B$18-1)*4+(核心参数输入!$B$148)+1))/4)=0,0,IF(INT((11-((核心参数输入!$B$18-1)*4+(核心参数输入!$B$148)+1))/4)=1,核心参数输入!$B$38,IF(INT((11-((核心参数输入!$B$18-1)*4+(核心参数输入!$B$148)+1))/4)=2,核心参数输入!$B$39,IF(INT((11-((核心参数输入!$B$18-1)*4+(核心参数输入!$B$148)+1))/4)=3,核心参数输入!$B$40,核心参数输入!$B$41))))-0))*(MOD(11-((核心参数输入!$B$18-1)*4+(核心参数输入!$B$148)+1),4)+1)/4),0)</f>
        <v>0</v>
      </c>
      <c r="P15" s="22">
        <f>IF(12&lt;=核心参数输入!$B$9*4,IF(12&lt;((核心参数输入!$B$18-1)*4+(核心参数输入!$B$148)+1),0,MAX(0,IF(INT((12-((核心参数输入!$B$18-1)*4+(核心参数输入!$B$148)+1))/4)=0,0,IF(INT((12-((核心参数输入!$B$18-1)*4+(核心参数输入!$B$148)+1))/4)=1,核心参数输入!$B$38,IF(INT((12-((核心参数输入!$B$18-1)*4+(核心参数输入!$B$148)+1))/4)=2,核心参数输入!$B$39,IF(INT((12-((核心参数输入!$B$18-1)*4+(核心参数输入!$B$148)+1))/4)=3,核心参数输入!$B$40,核心参数输入!$B$41))))-0)+(MAX(0,P14-0)-MAX(0,IF(INT((12-((核心参数输入!$B$18-1)*4+(核心参数输入!$B$148)+1))/4)=0,0,IF(INT((12-((核心参数输入!$B$18-1)*4+(核心参数输入!$B$148)+1))/4)=1,核心参数输入!$B$38,IF(INT((12-((核心参数输入!$B$18-1)*4+(核心参数输入!$B$148)+1))/4)=2,核心参数输入!$B$39,IF(INT((12-((核心参数输入!$B$18-1)*4+(核心参数输入!$B$148)+1))/4)=3,核心参数输入!$B$40,核心参数输入!$B$41))))-0))*(MOD(12-((核心参数输入!$B$18-1)*4+(核心参数输入!$B$148)+1),4)+1)/4),0)</f>
        <v>0</v>
      </c>
      <c r="Q15" s="22">
        <f>IF(13&lt;=核心参数输入!$B$9*4,IF(13&lt;((核心参数输入!$B$18-1)*4+(核心参数输入!$B$148)+1),0,MAX(0,IF(INT((13-((核心参数输入!$B$18-1)*4+(核心参数输入!$B$148)+1))/4)=0,0,IF(INT((13-((核心参数输入!$B$18-1)*4+(核心参数输入!$B$148)+1))/4)=1,核心参数输入!$B$38,IF(INT((13-((核心参数输入!$B$18-1)*4+(核心参数输入!$B$148)+1))/4)=2,核心参数输入!$B$39,IF(INT((13-((核心参数输入!$B$18-1)*4+(核心参数输入!$B$148)+1))/4)=3,核心参数输入!$B$40,核心参数输入!$B$41))))-0)+(MAX(0,Q14-0)-MAX(0,IF(INT((13-((核心参数输入!$B$18-1)*4+(核心参数输入!$B$148)+1))/4)=0,0,IF(INT((13-((核心参数输入!$B$18-1)*4+(核心参数输入!$B$148)+1))/4)=1,核心参数输入!$B$38,IF(INT((13-((核心参数输入!$B$18-1)*4+(核心参数输入!$B$148)+1))/4)=2,核心参数输入!$B$39,IF(INT((13-((核心参数输入!$B$18-1)*4+(核心参数输入!$B$148)+1))/4)=3,核心参数输入!$B$40,核心参数输入!$B$41))))-0))*(MOD(13-((核心参数输入!$B$18-1)*4+(核心参数输入!$B$148)+1),4)+1)/4),0)</f>
        <v>0.125</v>
      </c>
      <c r="R15" s="22">
        <f>IF(14&lt;=核心参数输入!$B$9*4,IF(14&lt;((核心参数输入!$B$18-1)*4+(核心参数输入!$B$148)+1),0,MAX(0,IF(INT((14-((核心参数输入!$B$18-1)*4+(核心参数输入!$B$148)+1))/4)=0,0,IF(INT((14-((核心参数输入!$B$18-1)*4+(核心参数输入!$B$148)+1))/4)=1,核心参数输入!$B$38,IF(INT((14-((核心参数输入!$B$18-1)*4+(核心参数输入!$B$148)+1))/4)=2,核心参数输入!$B$39,IF(INT((14-((核心参数输入!$B$18-1)*4+(核心参数输入!$B$148)+1))/4)=3,核心参数输入!$B$40,核心参数输入!$B$41))))-0)+(MAX(0,R14-0)-MAX(0,IF(INT((14-((核心参数输入!$B$18-1)*4+(核心参数输入!$B$148)+1))/4)=0,0,IF(INT((14-((核心参数输入!$B$18-1)*4+(核心参数输入!$B$148)+1))/4)=1,核心参数输入!$B$38,IF(INT((14-((核心参数输入!$B$18-1)*4+(核心参数输入!$B$148)+1))/4)=2,核心参数输入!$B$39,IF(INT((14-((核心参数输入!$B$18-1)*4+(核心参数输入!$B$148)+1))/4)=3,核心参数输入!$B$40,核心参数输入!$B$41))))-0))*(MOD(14-((核心参数输入!$B$18-1)*4+(核心参数输入!$B$148)+1),4)+1)/4),0)</f>
        <v>0.25</v>
      </c>
      <c r="S15" s="22">
        <f>IF(15&lt;=核心参数输入!$B$9*4,IF(15&lt;((核心参数输入!$B$18-1)*4+(核心参数输入!$B$148)+1),0,MAX(0,IF(INT((15-((核心参数输入!$B$18-1)*4+(核心参数输入!$B$148)+1))/4)=0,0,IF(INT((15-((核心参数输入!$B$18-1)*4+(核心参数输入!$B$148)+1))/4)=1,核心参数输入!$B$38,IF(INT((15-((核心参数输入!$B$18-1)*4+(核心参数输入!$B$148)+1))/4)=2,核心参数输入!$B$39,IF(INT((15-((核心参数输入!$B$18-1)*4+(核心参数输入!$B$148)+1))/4)=3,核心参数输入!$B$40,核心参数输入!$B$41))))-0)+(MAX(0,S14-0)-MAX(0,IF(INT((15-((核心参数输入!$B$18-1)*4+(核心参数输入!$B$148)+1))/4)=0,0,IF(INT((15-((核心参数输入!$B$18-1)*4+(核心参数输入!$B$148)+1))/4)=1,核心参数输入!$B$38,IF(INT((15-((核心参数输入!$B$18-1)*4+(核心参数输入!$B$148)+1))/4)=2,核心参数输入!$B$39,IF(INT((15-((核心参数输入!$B$18-1)*4+(核心参数输入!$B$148)+1))/4)=3,核心参数输入!$B$40,核心参数输入!$B$41))))-0))*(MOD(15-((核心参数输入!$B$18-1)*4+(核心参数输入!$B$148)+1),4)+1)/4),0)</f>
        <v>0.375</v>
      </c>
      <c r="T15" s="22">
        <f>IF(16&lt;=核心参数输入!$B$9*4,IF(16&lt;((核心参数输入!$B$18-1)*4+(核心参数输入!$B$148)+1),0,MAX(0,IF(INT((16-((核心参数输入!$B$18-1)*4+(核心参数输入!$B$148)+1))/4)=0,0,IF(INT((16-((核心参数输入!$B$18-1)*4+(核心参数输入!$B$148)+1))/4)=1,核心参数输入!$B$38,IF(INT((16-((核心参数输入!$B$18-1)*4+(核心参数输入!$B$148)+1))/4)=2,核心参数输入!$B$39,IF(INT((16-((核心参数输入!$B$18-1)*4+(核心参数输入!$B$148)+1))/4)=3,核心参数输入!$B$40,核心参数输入!$B$41))))-0)+(MAX(0,T14-0)-MAX(0,IF(INT((16-((核心参数输入!$B$18-1)*4+(核心参数输入!$B$148)+1))/4)=0,0,IF(INT((16-((核心参数输入!$B$18-1)*4+(核心参数输入!$B$148)+1))/4)=1,核心参数输入!$B$38,IF(INT((16-((核心参数输入!$B$18-1)*4+(核心参数输入!$B$148)+1))/4)=2,核心参数输入!$B$39,IF(INT((16-((核心参数输入!$B$18-1)*4+(核心参数输入!$B$148)+1))/4)=3,核心参数输入!$B$40,核心参数输入!$B$41))))-0))*(MOD(16-((核心参数输入!$B$18-1)*4+(核心参数输入!$B$148)+1),4)+1)/4),0)</f>
        <v>0.5</v>
      </c>
      <c r="U15" s="22">
        <f>IF(17&lt;=核心参数输入!$B$9*4,IF(17&lt;((核心参数输入!$B$18-1)*4+(核心参数输入!$B$148)+1),0,MAX(0,IF(INT((17-((核心参数输入!$B$18-1)*4+(核心参数输入!$B$148)+1))/4)=0,0,IF(INT((17-((核心参数输入!$B$18-1)*4+(核心参数输入!$B$148)+1))/4)=1,核心参数输入!$B$38,IF(INT((17-((核心参数输入!$B$18-1)*4+(核心参数输入!$B$148)+1))/4)=2,核心参数输入!$B$39,IF(INT((17-((核心参数输入!$B$18-1)*4+(核心参数输入!$B$148)+1))/4)=3,核心参数输入!$B$40,核心参数输入!$B$41))))-0)+(MAX(0,U14-0)-MAX(0,IF(INT((17-((核心参数输入!$B$18-1)*4+(核心参数输入!$B$148)+1))/4)=0,0,IF(INT((17-((核心参数输入!$B$18-1)*4+(核心参数输入!$B$148)+1))/4)=1,核心参数输入!$B$38,IF(INT((17-((核心参数输入!$B$18-1)*4+(核心参数输入!$B$148)+1))/4)=2,核心参数输入!$B$39,IF(INT((17-((核心参数输入!$B$18-1)*4+(核心参数输入!$B$148)+1))/4)=3,核心参数输入!$B$40,核心参数输入!$B$41))))-0))*(MOD(17-((核心参数输入!$B$18-1)*4+(核心参数输入!$B$148)+1),4)+1)/4),0)</f>
        <v>0.55000000000000004</v>
      </c>
      <c r="V15" s="22">
        <f>IF(18&lt;=核心参数输入!$B$9*4,IF(18&lt;((核心参数输入!$B$18-1)*4+(核心参数输入!$B$148)+1),0,MAX(0,IF(INT((18-((核心参数输入!$B$18-1)*4+(核心参数输入!$B$148)+1))/4)=0,0,IF(INT((18-((核心参数输入!$B$18-1)*4+(核心参数输入!$B$148)+1))/4)=1,核心参数输入!$B$38,IF(INT((18-((核心参数输入!$B$18-1)*4+(核心参数输入!$B$148)+1))/4)=2,核心参数输入!$B$39,IF(INT((18-((核心参数输入!$B$18-1)*4+(核心参数输入!$B$148)+1))/4)=3,核心参数输入!$B$40,核心参数输入!$B$41))))-0)+(MAX(0,V14-0)-MAX(0,IF(INT((18-((核心参数输入!$B$18-1)*4+(核心参数输入!$B$148)+1))/4)=0,0,IF(INT((18-((核心参数输入!$B$18-1)*4+(核心参数输入!$B$148)+1))/4)=1,核心参数输入!$B$38,IF(INT((18-((核心参数输入!$B$18-1)*4+(核心参数输入!$B$148)+1))/4)=2,核心参数输入!$B$39,IF(INT((18-((核心参数输入!$B$18-1)*4+(核心参数输入!$B$148)+1))/4)=3,核心参数输入!$B$40,核心参数输入!$B$41))))-0))*(MOD(18-((核心参数输入!$B$18-1)*4+(核心参数输入!$B$148)+1),4)+1)/4),0)</f>
        <v>0.6</v>
      </c>
      <c r="W15" s="22">
        <f>IF(19&lt;=核心参数输入!$B$9*4,IF(19&lt;((核心参数输入!$B$18-1)*4+(核心参数输入!$B$148)+1),0,MAX(0,IF(INT((19-((核心参数输入!$B$18-1)*4+(核心参数输入!$B$148)+1))/4)=0,0,IF(INT((19-((核心参数输入!$B$18-1)*4+(核心参数输入!$B$148)+1))/4)=1,核心参数输入!$B$38,IF(INT((19-((核心参数输入!$B$18-1)*4+(核心参数输入!$B$148)+1))/4)=2,核心参数输入!$B$39,IF(INT((19-((核心参数输入!$B$18-1)*4+(核心参数输入!$B$148)+1))/4)=3,核心参数输入!$B$40,核心参数输入!$B$41))))-0)+(MAX(0,W14-0)-MAX(0,IF(INT((19-((核心参数输入!$B$18-1)*4+(核心参数输入!$B$148)+1))/4)=0,0,IF(INT((19-((核心参数输入!$B$18-1)*4+(核心参数输入!$B$148)+1))/4)=1,核心参数输入!$B$38,IF(INT((19-((核心参数输入!$B$18-1)*4+(核心参数输入!$B$148)+1))/4)=2,核心参数输入!$B$39,IF(INT((19-((核心参数输入!$B$18-1)*4+(核心参数输入!$B$148)+1))/4)=3,核心参数输入!$B$40,核心参数输入!$B$41))))-0))*(MOD(19-((核心参数输入!$B$18-1)*4+(核心参数输入!$B$148)+1),4)+1)/4),0)</f>
        <v>0.64999999999999991</v>
      </c>
      <c r="X15" s="22">
        <f>IF(20&lt;=核心参数输入!$B$9*4,IF(20&lt;((核心参数输入!$B$18-1)*4+(核心参数输入!$B$148)+1),0,MAX(0,IF(INT((20-((核心参数输入!$B$18-1)*4+(核心参数输入!$B$148)+1))/4)=0,0,IF(INT((20-((核心参数输入!$B$18-1)*4+(核心参数输入!$B$148)+1))/4)=1,核心参数输入!$B$38,IF(INT((20-((核心参数输入!$B$18-1)*4+(核心参数输入!$B$148)+1))/4)=2,核心参数输入!$B$39,IF(INT((20-((核心参数输入!$B$18-1)*4+(核心参数输入!$B$148)+1))/4)=3,核心参数输入!$B$40,核心参数输入!$B$41))))-0)+(MAX(0,X14-0)-MAX(0,IF(INT((20-((核心参数输入!$B$18-1)*4+(核心参数输入!$B$148)+1))/4)=0,0,IF(INT((20-((核心参数输入!$B$18-1)*4+(核心参数输入!$B$148)+1))/4)=1,核心参数输入!$B$38,IF(INT((20-((核心参数输入!$B$18-1)*4+(核心参数输入!$B$148)+1))/4)=2,核心参数输入!$B$39,IF(INT((20-((核心参数输入!$B$18-1)*4+(核心参数输入!$B$148)+1))/4)=3,核心参数输入!$B$40,核心参数输入!$B$41))))-0))*(MOD(20-((核心参数输入!$B$18-1)*4+(核心参数输入!$B$148)+1),4)+1)/4),0)</f>
        <v>0.7</v>
      </c>
      <c r="Y15" s="22">
        <f>IF(21&lt;=核心参数输入!$B$9*4,IF(21&lt;((核心参数输入!$B$18-1)*4+(核心参数输入!$B$148)+1),0,MAX(0,IF(INT((21-((核心参数输入!$B$18-1)*4+(核心参数输入!$B$148)+1))/4)=0,0,IF(INT((21-((核心参数输入!$B$18-1)*4+(核心参数输入!$B$148)+1))/4)=1,核心参数输入!$B$38,IF(INT((21-((核心参数输入!$B$18-1)*4+(核心参数输入!$B$148)+1))/4)=2,核心参数输入!$B$39,IF(INT((21-((核心参数输入!$B$18-1)*4+(核心参数输入!$B$148)+1))/4)=3,核心参数输入!$B$40,核心参数输入!$B$41))))-0)+(MAX(0,Y14-0)-MAX(0,IF(INT((21-((核心参数输入!$B$18-1)*4+(核心参数输入!$B$148)+1))/4)=0,0,IF(INT((21-((核心参数输入!$B$18-1)*4+(核心参数输入!$B$148)+1))/4)=1,核心参数输入!$B$38,IF(INT((21-((核心参数输入!$B$18-1)*4+(核心参数输入!$B$148)+1))/4)=2,核心参数输入!$B$39,IF(INT((21-((核心参数输入!$B$18-1)*4+(核心参数输入!$B$148)+1))/4)=3,核心参数输入!$B$40,核心参数输入!$B$41))))-0))*(MOD(21-((核心参数输入!$B$18-1)*4+(核心参数输入!$B$148)+1),4)+1)/4),0)</f>
        <v>0.73749999999999993</v>
      </c>
      <c r="Z15" s="22">
        <f>IF(22&lt;=核心参数输入!$B$9*4,IF(22&lt;((核心参数输入!$B$18-1)*4+(核心参数输入!$B$148)+1),0,MAX(0,IF(INT((22-((核心参数输入!$B$18-1)*4+(核心参数输入!$B$148)+1))/4)=0,0,IF(INT((22-((核心参数输入!$B$18-1)*4+(核心参数输入!$B$148)+1))/4)=1,核心参数输入!$B$38,IF(INT((22-((核心参数输入!$B$18-1)*4+(核心参数输入!$B$148)+1))/4)=2,核心参数输入!$B$39,IF(INT((22-((核心参数输入!$B$18-1)*4+(核心参数输入!$B$148)+1))/4)=3,核心参数输入!$B$40,核心参数输入!$B$41))))-0)+(MAX(0,Z14-0)-MAX(0,IF(INT((22-((核心参数输入!$B$18-1)*4+(核心参数输入!$B$148)+1))/4)=0,0,IF(INT((22-((核心参数输入!$B$18-1)*4+(核心参数输入!$B$148)+1))/4)=1,核心参数输入!$B$38,IF(INT((22-((核心参数输入!$B$18-1)*4+(核心参数输入!$B$148)+1))/4)=2,核心参数输入!$B$39,IF(INT((22-((核心参数输入!$B$18-1)*4+(核心参数输入!$B$148)+1))/4)=3,核心参数输入!$B$40,核心参数输入!$B$41))))-0))*(MOD(22-((核心参数输入!$B$18-1)*4+(核心参数输入!$B$148)+1),4)+1)/4),0)</f>
        <v>0.77499999999999991</v>
      </c>
      <c r="AA15" s="22">
        <f>IF(23&lt;=核心参数输入!$B$9*4,IF(23&lt;((核心参数输入!$B$18-1)*4+(核心参数输入!$B$148)+1),0,MAX(0,IF(INT((23-((核心参数输入!$B$18-1)*4+(核心参数输入!$B$148)+1))/4)=0,0,IF(INT((23-((核心参数输入!$B$18-1)*4+(核心参数输入!$B$148)+1))/4)=1,核心参数输入!$B$38,IF(INT((23-((核心参数输入!$B$18-1)*4+(核心参数输入!$B$148)+1))/4)=2,核心参数输入!$B$39,IF(INT((23-((核心参数输入!$B$18-1)*4+(核心参数输入!$B$148)+1))/4)=3,核心参数输入!$B$40,核心参数输入!$B$41))))-0)+(MAX(0,AA14-0)-MAX(0,IF(INT((23-((核心参数输入!$B$18-1)*4+(核心参数输入!$B$148)+1))/4)=0,0,IF(INT((23-((核心参数输入!$B$18-1)*4+(核心参数输入!$B$148)+1))/4)=1,核心参数输入!$B$38,IF(INT((23-((核心参数输入!$B$18-1)*4+(核心参数输入!$B$148)+1))/4)=2,核心参数输入!$B$39,IF(INT((23-((核心参数输入!$B$18-1)*4+(核心参数输入!$B$148)+1))/4)=3,核心参数输入!$B$40,核心参数输入!$B$41))))-0))*(MOD(23-((核心参数输入!$B$18-1)*4+(核心参数输入!$B$148)+1),4)+1)/4),0)</f>
        <v>0.8125</v>
      </c>
      <c r="AB15" s="22">
        <f>IF(24&lt;=核心参数输入!$B$9*4,IF(24&lt;((核心参数输入!$B$18-1)*4+(核心参数输入!$B$148)+1),0,MAX(0,IF(INT((24-((核心参数输入!$B$18-1)*4+(核心参数输入!$B$148)+1))/4)=0,0,IF(INT((24-((核心参数输入!$B$18-1)*4+(核心参数输入!$B$148)+1))/4)=1,核心参数输入!$B$38,IF(INT((24-((核心参数输入!$B$18-1)*4+(核心参数输入!$B$148)+1))/4)=2,核心参数输入!$B$39,IF(INT((24-((核心参数输入!$B$18-1)*4+(核心参数输入!$B$148)+1))/4)=3,核心参数输入!$B$40,核心参数输入!$B$41))))-0)+(MAX(0,AB14-0)-MAX(0,IF(INT((24-((核心参数输入!$B$18-1)*4+(核心参数输入!$B$148)+1))/4)=0,0,IF(INT((24-((核心参数输入!$B$18-1)*4+(核心参数输入!$B$148)+1))/4)=1,核心参数输入!$B$38,IF(INT((24-((核心参数输入!$B$18-1)*4+(核心参数输入!$B$148)+1))/4)=2,核心参数输入!$B$39,IF(INT((24-((核心参数输入!$B$18-1)*4+(核心参数输入!$B$148)+1))/4)=3,核心参数输入!$B$40,核心参数输入!$B$41))))-0))*(MOD(24-((核心参数输入!$B$18-1)*4+(核心参数输入!$B$148)+1),4)+1)/4),0)</f>
        <v>0.85</v>
      </c>
      <c r="AC15" s="22">
        <f>IF(25&lt;=核心参数输入!$B$9*4,IF(25&lt;((核心参数输入!$B$18-1)*4+(核心参数输入!$B$148)+1),0,MAX(0,IF(INT((25-((核心参数输入!$B$18-1)*4+(核心参数输入!$B$148)+1))/4)=0,0,IF(INT((25-((核心参数输入!$B$18-1)*4+(核心参数输入!$B$148)+1))/4)=1,核心参数输入!$B$38,IF(INT((25-((核心参数输入!$B$18-1)*4+(核心参数输入!$B$148)+1))/4)=2,核心参数输入!$B$39,IF(INT((25-((核心参数输入!$B$18-1)*4+(核心参数输入!$B$148)+1))/4)=3,核心参数输入!$B$40,核心参数输入!$B$41))))-0)+(MAX(0,AC14-0)-MAX(0,IF(INT((25-((核心参数输入!$B$18-1)*4+(核心参数输入!$B$148)+1))/4)=0,0,IF(INT((25-((核心参数输入!$B$18-1)*4+(核心参数输入!$B$148)+1))/4)=1,核心参数输入!$B$38,IF(INT((25-((核心参数输入!$B$18-1)*4+(核心参数输入!$B$148)+1))/4)=2,核心参数输入!$B$39,IF(INT((25-((核心参数输入!$B$18-1)*4+(核心参数输入!$B$148)+1))/4)=3,核心参数输入!$B$40,核心参数输入!$B$41))))-0))*(MOD(25-((核心参数输入!$B$18-1)*4+(核心参数输入!$B$148)+1),4)+1)/4),0)</f>
        <v>0.86250000000000004</v>
      </c>
      <c r="AD15" s="22">
        <f>IF(26&lt;=核心参数输入!$B$9*4,IF(26&lt;((核心参数输入!$B$18-1)*4+(核心参数输入!$B$148)+1),0,MAX(0,IF(INT((26-((核心参数输入!$B$18-1)*4+(核心参数输入!$B$148)+1))/4)=0,0,IF(INT((26-((核心参数输入!$B$18-1)*4+(核心参数输入!$B$148)+1))/4)=1,核心参数输入!$B$38,IF(INT((26-((核心参数输入!$B$18-1)*4+(核心参数输入!$B$148)+1))/4)=2,核心参数输入!$B$39,IF(INT((26-((核心参数输入!$B$18-1)*4+(核心参数输入!$B$148)+1))/4)=3,核心参数输入!$B$40,核心参数输入!$B$41))))-0)+(MAX(0,AD14-0)-MAX(0,IF(INT((26-((核心参数输入!$B$18-1)*4+(核心参数输入!$B$148)+1))/4)=0,0,IF(INT((26-((核心参数输入!$B$18-1)*4+(核心参数输入!$B$148)+1))/4)=1,核心参数输入!$B$38,IF(INT((26-((核心参数输入!$B$18-1)*4+(核心参数输入!$B$148)+1))/4)=2,核心参数输入!$B$39,IF(INT((26-((核心参数输入!$B$18-1)*4+(核心参数输入!$B$148)+1))/4)=3,核心参数输入!$B$40,核心参数输入!$B$41))))-0))*(MOD(26-((核心参数输入!$B$18-1)*4+(核心参数输入!$B$148)+1),4)+1)/4),0)</f>
        <v>0.875</v>
      </c>
      <c r="AE15" s="22">
        <f>IF(27&lt;=核心参数输入!$B$9*4,IF(27&lt;((核心参数输入!$B$18-1)*4+(核心参数输入!$B$148)+1),0,MAX(0,IF(INT((27-((核心参数输入!$B$18-1)*4+(核心参数输入!$B$148)+1))/4)=0,0,IF(INT((27-((核心参数输入!$B$18-1)*4+(核心参数输入!$B$148)+1))/4)=1,核心参数输入!$B$38,IF(INT((27-((核心参数输入!$B$18-1)*4+(核心参数输入!$B$148)+1))/4)=2,核心参数输入!$B$39,IF(INT((27-((核心参数输入!$B$18-1)*4+(核心参数输入!$B$148)+1))/4)=3,核心参数输入!$B$40,核心参数输入!$B$41))))-0)+(MAX(0,AE14-0)-MAX(0,IF(INT((27-((核心参数输入!$B$18-1)*4+(核心参数输入!$B$148)+1))/4)=0,0,IF(INT((27-((核心参数输入!$B$18-1)*4+(核心参数输入!$B$148)+1))/4)=1,核心参数输入!$B$38,IF(INT((27-((核心参数输入!$B$18-1)*4+(核心参数输入!$B$148)+1))/4)=2,核心参数输入!$B$39,IF(INT((27-((核心参数输入!$B$18-1)*4+(核心参数输入!$B$148)+1))/4)=3,核心参数输入!$B$40,核心参数输入!$B$41))))-0))*(MOD(27-((核心参数输入!$B$18-1)*4+(核心参数输入!$B$148)+1),4)+1)/4),0)</f>
        <v>0.88749999999999996</v>
      </c>
      <c r="AF15" s="22">
        <f>IF(28&lt;=核心参数输入!$B$9*4,IF(28&lt;((核心参数输入!$B$18-1)*4+(核心参数输入!$B$148)+1),0,MAX(0,IF(INT((28-((核心参数输入!$B$18-1)*4+(核心参数输入!$B$148)+1))/4)=0,0,IF(INT((28-((核心参数输入!$B$18-1)*4+(核心参数输入!$B$148)+1))/4)=1,核心参数输入!$B$38,IF(INT((28-((核心参数输入!$B$18-1)*4+(核心参数输入!$B$148)+1))/4)=2,核心参数输入!$B$39,IF(INT((28-((核心参数输入!$B$18-1)*4+(核心参数输入!$B$148)+1))/4)=3,核心参数输入!$B$40,核心参数输入!$B$41))))-0)+(MAX(0,AF14-0)-MAX(0,IF(INT((28-((核心参数输入!$B$18-1)*4+(核心参数输入!$B$148)+1))/4)=0,0,IF(INT((28-((核心参数输入!$B$18-1)*4+(核心参数输入!$B$148)+1))/4)=1,核心参数输入!$B$38,IF(INT((28-((核心参数输入!$B$18-1)*4+(核心参数输入!$B$148)+1))/4)=2,核心参数输入!$B$39,IF(INT((28-((核心参数输入!$B$18-1)*4+(核心参数输入!$B$148)+1))/4)=3,核心参数输入!$B$40,核心参数输入!$B$41))))-0))*(MOD(28-((核心参数输入!$B$18-1)*4+(核心参数输入!$B$148)+1),4)+1)/4),0)</f>
        <v>0.9</v>
      </c>
      <c r="AG15" s="22">
        <f>IF(29&lt;=核心参数输入!$B$9*4,IF(29&lt;((核心参数输入!$B$18-1)*4+(核心参数输入!$B$148)+1),0,MAX(0,IF(INT((29-((核心参数输入!$B$18-1)*4+(核心参数输入!$B$148)+1))/4)=0,0,IF(INT((29-((核心参数输入!$B$18-1)*4+(核心参数输入!$B$148)+1))/4)=1,核心参数输入!$B$38,IF(INT((29-((核心参数输入!$B$18-1)*4+(核心参数输入!$B$148)+1))/4)=2,核心参数输入!$B$39,IF(INT((29-((核心参数输入!$B$18-1)*4+(核心参数输入!$B$148)+1))/4)=3,核心参数输入!$B$40,核心参数输入!$B$41))))-0)+(MAX(0,AG14-0)-MAX(0,IF(INT((29-((核心参数输入!$B$18-1)*4+(核心参数输入!$B$148)+1))/4)=0,0,IF(INT((29-((核心参数输入!$B$18-1)*4+(核心参数输入!$B$148)+1))/4)=1,核心参数输入!$B$38,IF(INT((29-((核心参数输入!$B$18-1)*4+(核心参数输入!$B$148)+1))/4)=2,核心参数输入!$B$39,IF(INT((29-((核心参数输入!$B$18-1)*4+(核心参数输入!$B$148)+1))/4)=3,核心参数输入!$B$40,核心参数输入!$B$41))))-0))*(MOD(29-((核心参数输入!$B$18-1)*4+(核心参数输入!$B$148)+1),4)+1)/4),0)</f>
        <v>0.9</v>
      </c>
      <c r="AH15" s="22">
        <f>IF(30&lt;=核心参数输入!$B$9*4,IF(30&lt;((核心参数输入!$B$18-1)*4+(核心参数输入!$B$148)+1),0,MAX(0,IF(INT((30-((核心参数输入!$B$18-1)*4+(核心参数输入!$B$148)+1))/4)=0,0,IF(INT((30-((核心参数输入!$B$18-1)*4+(核心参数输入!$B$148)+1))/4)=1,核心参数输入!$B$38,IF(INT((30-((核心参数输入!$B$18-1)*4+(核心参数输入!$B$148)+1))/4)=2,核心参数输入!$B$39,IF(INT((30-((核心参数输入!$B$18-1)*4+(核心参数输入!$B$148)+1))/4)=3,核心参数输入!$B$40,核心参数输入!$B$41))))-0)+(MAX(0,AH14-0)-MAX(0,IF(INT((30-((核心参数输入!$B$18-1)*4+(核心参数输入!$B$148)+1))/4)=0,0,IF(INT((30-((核心参数输入!$B$18-1)*4+(核心参数输入!$B$148)+1))/4)=1,核心参数输入!$B$38,IF(INT((30-((核心参数输入!$B$18-1)*4+(核心参数输入!$B$148)+1))/4)=2,核心参数输入!$B$39,IF(INT((30-((核心参数输入!$B$18-1)*4+(核心参数输入!$B$148)+1))/4)=3,核心参数输入!$B$40,核心参数输入!$B$41))))-0))*(MOD(30-((核心参数输入!$B$18-1)*4+(核心参数输入!$B$148)+1),4)+1)/4),0)</f>
        <v>0.9</v>
      </c>
      <c r="AI15" s="22">
        <f>IF(31&lt;=核心参数输入!$B$9*4,IF(31&lt;((核心参数输入!$B$18-1)*4+(核心参数输入!$B$148)+1),0,MAX(0,IF(INT((31-((核心参数输入!$B$18-1)*4+(核心参数输入!$B$148)+1))/4)=0,0,IF(INT((31-((核心参数输入!$B$18-1)*4+(核心参数输入!$B$148)+1))/4)=1,核心参数输入!$B$38,IF(INT((31-((核心参数输入!$B$18-1)*4+(核心参数输入!$B$148)+1))/4)=2,核心参数输入!$B$39,IF(INT((31-((核心参数输入!$B$18-1)*4+(核心参数输入!$B$148)+1))/4)=3,核心参数输入!$B$40,核心参数输入!$B$41))))-0)+(MAX(0,AI14-0)-MAX(0,IF(INT((31-((核心参数输入!$B$18-1)*4+(核心参数输入!$B$148)+1))/4)=0,0,IF(INT((31-((核心参数输入!$B$18-1)*4+(核心参数输入!$B$148)+1))/4)=1,核心参数输入!$B$38,IF(INT((31-((核心参数输入!$B$18-1)*4+(核心参数输入!$B$148)+1))/4)=2,核心参数输入!$B$39,IF(INT((31-((核心参数输入!$B$18-1)*4+(核心参数输入!$B$148)+1))/4)=3,核心参数输入!$B$40,核心参数输入!$B$41))))-0))*(MOD(31-((核心参数输入!$B$18-1)*4+(核心参数输入!$B$148)+1),4)+1)/4),0)</f>
        <v>0.9</v>
      </c>
      <c r="AJ15" s="22">
        <f>IF(32&lt;=核心参数输入!$B$9*4,IF(32&lt;((核心参数输入!$B$18-1)*4+(核心参数输入!$B$148)+1),0,MAX(0,IF(INT((32-((核心参数输入!$B$18-1)*4+(核心参数输入!$B$148)+1))/4)=0,0,IF(INT((32-((核心参数输入!$B$18-1)*4+(核心参数输入!$B$148)+1))/4)=1,核心参数输入!$B$38,IF(INT((32-((核心参数输入!$B$18-1)*4+(核心参数输入!$B$148)+1))/4)=2,核心参数输入!$B$39,IF(INT((32-((核心参数输入!$B$18-1)*4+(核心参数输入!$B$148)+1))/4)=3,核心参数输入!$B$40,核心参数输入!$B$41))))-0)+(MAX(0,AJ14-0)-MAX(0,IF(INT((32-((核心参数输入!$B$18-1)*4+(核心参数输入!$B$148)+1))/4)=0,0,IF(INT((32-((核心参数输入!$B$18-1)*4+(核心参数输入!$B$148)+1))/4)=1,核心参数输入!$B$38,IF(INT((32-((核心参数输入!$B$18-1)*4+(核心参数输入!$B$148)+1))/4)=2,核心参数输入!$B$39,IF(INT((32-((核心参数输入!$B$18-1)*4+(核心参数输入!$B$148)+1))/4)=3,核心参数输入!$B$40,核心参数输入!$B$41))))-0))*(MOD(32-((核心参数输入!$B$18-1)*4+(核心参数输入!$B$148)+1),4)+1)/4),0)</f>
        <v>0.9</v>
      </c>
      <c r="AK15" s="22">
        <f>IF(33&lt;=核心参数输入!$B$9*4,IF(33&lt;((核心参数输入!$B$18-1)*4+(核心参数输入!$B$148)+1),0,MAX(0,IF(INT((33-((核心参数输入!$B$18-1)*4+(核心参数输入!$B$148)+1))/4)=0,0,IF(INT((33-((核心参数输入!$B$18-1)*4+(核心参数输入!$B$148)+1))/4)=1,核心参数输入!$B$38,IF(INT((33-((核心参数输入!$B$18-1)*4+(核心参数输入!$B$148)+1))/4)=2,核心参数输入!$B$39,IF(INT((33-((核心参数输入!$B$18-1)*4+(核心参数输入!$B$148)+1))/4)=3,核心参数输入!$B$40,核心参数输入!$B$41))))-0)+(MAX(0,AK14-0)-MAX(0,IF(INT((33-((核心参数输入!$B$18-1)*4+(核心参数输入!$B$148)+1))/4)=0,0,IF(INT((33-((核心参数输入!$B$18-1)*4+(核心参数输入!$B$148)+1))/4)=1,核心参数输入!$B$38,IF(INT((33-((核心参数输入!$B$18-1)*4+(核心参数输入!$B$148)+1))/4)=2,核心参数输入!$B$39,IF(INT((33-((核心参数输入!$B$18-1)*4+(核心参数输入!$B$148)+1))/4)=3,核心参数输入!$B$40,核心参数输入!$B$41))))-0))*(MOD(33-((核心参数输入!$B$18-1)*4+(核心参数输入!$B$148)+1),4)+1)/4),0)</f>
        <v>0.9</v>
      </c>
      <c r="AL15" s="22">
        <f>IF(34&lt;=核心参数输入!$B$9*4,IF(34&lt;((核心参数输入!$B$18-1)*4+(核心参数输入!$B$148)+1),0,MAX(0,IF(INT((34-((核心参数输入!$B$18-1)*4+(核心参数输入!$B$148)+1))/4)=0,0,IF(INT((34-((核心参数输入!$B$18-1)*4+(核心参数输入!$B$148)+1))/4)=1,核心参数输入!$B$38,IF(INT((34-((核心参数输入!$B$18-1)*4+(核心参数输入!$B$148)+1))/4)=2,核心参数输入!$B$39,IF(INT((34-((核心参数输入!$B$18-1)*4+(核心参数输入!$B$148)+1))/4)=3,核心参数输入!$B$40,核心参数输入!$B$41))))-0)+(MAX(0,AL14-0)-MAX(0,IF(INT((34-((核心参数输入!$B$18-1)*4+(核心参数输入!$B$148)+1))/4)=0,0,IF(INT((34-((核心参数输入!$B$18-1)*4+(核心参数输入!$B$148)+1))/4)=1,核心参数输入!$B$38,IF(INT((34-((核心参数输入!$B$18-1)*4+(核心参数输入!$B$148)+1))/4)=2,核心参数输入!$B$39,IF(INT((34-((核心参数输入!$B$18-1)*4+(核心参数输入!$B$148)+1))/4)=3,核心参数输入!$B$40,核心参数输入!$B$41))))-0))*(MOD(34-((核心参数输入!$B$18-1)*4+(核心参数输入!$B$148)+1),4)+1)/4),0)</f>
        <v>0.9</v>
      </c>
      <c r="AM15" s="22">
        <f>IF(35&lt;=核心参数输入!$B$9*4,IF(35&lt;((核心参数输入!$B$18-1)*4+(核心参数输入!$B$148)+1),0,MAX(0,IF(INT((35-((核心参数输入!$B$18-1)*4+(核心参数输入!$B$148)+1))/4)=0,0,IF(INT((35-((核心参数输入!$B$18-1)*4+(核心参数输入!$B$148)+1))/4)=1,核心参数输入!$B$38,IF(INT((35-((核心参数输入!$B$18-1)*4+(核心参数输入!$B$148)+1))/4)=2,核心参数输入!$B$39,IF(INT((35-((核心参数输入!$B$18-1)*4+(核心参数输入!$B$148)+1))/4)=3,核心参数输入!$B$40,核心参数输入!$B$41))))-0)+(MAX(0,AM14-0)-MAX(0,IF(INT((35-((核心参数输入!$B$18-1)*4+(核心参数输入!$B$148)+1))/4)=0,0,IF(INT((35-((核心参数输入!$B$18-1)*4+(核心参数输入!$B$148)+1))/4)=1,核心参数输入!$B$38,IF(INT((35-((核心参数输入!$B$18-1)*4+(核心参数输入!$B$148)+1))/4)=2,核心参数输入!$B$39,IF(INT((35-((核心参数输入!$B$18-1)*4+(核心参数输入!$B$148)+1))/4)=3,核心参数输入!$B$40,核心参数输入!$B$41))))-0))*(MOD(35-((核心参数输入!$B$18-1)*4+(核心参数输入!$B$148)+1),4)+1)/4),0)</f>
        <v>0.9</v>
      </c>
      <c r="AN15" s="22">
        <f>IF(36&lt;=核心参数输入!$B$9*4,IF(36&lt;((核心参数输入!$B$18-1)*4+(核心参数输入!$B$148)+1),0,MAX(0,IF(INT((36-((核心参数输入!$B$18-1)*4+(核心参数输入!$B$148)+1))/4)=0,0,IF(INT((36-((核心参数输入!$B$18-1)*4+(核心参数输入!$B$148)+1))/4)=1,核心参数输入!$B$38,IF(INT((36-((核心参数输入!$B$18-1)*4+(核心参数输入!$B$148)+1))/4)=2,核心参数输入!$B$39,IF(INT((36-((核心参数输入!$B$18-1)*4+(核心参数输入!$B$148)+1))/4)=3,核心参数输入!$B$40,核心参数输入!$B$41))))-0)+(MAX(0,AN14-0)-MAX(0,IF(INT((36-((核心参数输入!$B$18-1)*4+(核心参数输入!$B$148)+1))/4)=0,0,IF(INT((36-((核心参数输入!$B$18-1)*4+(核心参数输入!$B$148)+1))/4)=1,核心参数输入!$B$38,IF(INT((36-((核心参数输入!$B$18-1)*4+(核心参数输入!$B$148)+1))/4)=2,核心参数输入!$B$39,IF(INT((36-((核心参数输入!$B$18-1)*4+(核心参数输入!$B$148)+1))/4)=3,核心参数输入!$B$40,核心参数输入!$B$41))))-0))*(MOD(36-((核心参数输入!$B$18-1)*4+(核心参数输入!$B$148)+1),4)+1)/4),0)</f>
        <v>0.9</v>
      </c>
      <c r="AO15" s="22">
        <f>IF(37&lt;=核心参数输入!$B$9*4,IF(37&lt;((核心参数输入!$B$18-1)*4+(核心参数输入!$B$148)+1),0,MAX(0,IF(INT((37-((核心参数输入!$B$18-1)*4+(核心参数输入!$B$148)+1))/4)=0,0,IF(INT((37-((核心参数输入!$B$18-1)*4+(核心参数输入!$B$148)+1))/4)=1,核心参数输入!$B$38,IF(INT((37-((核心参数输入!$B$18-1)*4+(核心参数输入!$B$148)+1))/4)=2,核心参数输入!$B$39,IF(INT((37-((核心参数输入!$B$18-1)*4+(核心参数输入!$B$148)+1))/4)=3,核心参数输入!$B$40,核心参数输入!$B$41))))-0)+(MAX(0,AO14-0)-MAX(0,IF(INT((37-((核心参数输入!$B$18-1)*4+(核心参数输入!$B$148)+1))/4)=0,0,IF(INT((37-((核心参数输入!$B$18-1)*4+(核心参数输入!$B$148)+1))/4)=1,核心参数输入!$B$38,IF(INT((37-((核心参数输入!$B$18-1)*4+(核心参数输入!$B$148)+1))/4)=2,核心参数输入!$B$39,IF(INT((37-((核心参数输入!$B$18-1)*4+(核心参数输入!$B$148)+1))/4)=3,核心参数输入!$B$40,核心参数输入!$B$41))))-0))*(MOD(37-((核心参数输入!$B$18-1)*4+(核心参数输入!$B$148)+1),4)+1)/4),0)</f>
        <v>0.9</v>
      </c>
      <c r="AP15" s="22">
        <f>IF(38&lt;=核心参数输入!$B$9*4,IF(38&lt;((核心参数输入!$B$18-1)*4+(核心参数输入!$B$148)+1),0,MAX(0,IF(INT((38-((核心参数输入!$B$18-1)*4+(核心参数输入!$B$148)+1))/4)=0,0,IF(INT((38-((核心参数输入!$B$18-1)*4+(核心参数输入!$B$148)+1))/4)=1,核心参数输入!$B$38,IF(INT((38-((核心参数输入!$B$18-1)*4+(核心参数输入!$B$148)+1))/4)=2,核心参数输入!$B$39,IF(INT((38-((核心参数输入!$B$18-1)*4+(核心参数输入!$B$148)+1))/4)=3,核心参数输入!$B$40,核心参数输入!$B$41))))-0)+(MAX(0,AP14-0)-MAX(0,IF(INT((38-((核心参数输入!$B$18-1)*4+(核心参数输入!$B$148)+1))/4)=0,0,IF(INT((38-((核心参数输入!$B$18-1)*4+(核心参数输入!$B$148)+1))/4)=1,核心参数输入!$B$38,IF(INT((38-((核心参数输入!$B$18-1)*4+(核心参数输入!$B$148)+1))/4)=2,核心参数输入!$B$39,IF(INT((38-((核心参数输入!$B$18-1)*4+(核心参数输入!$B$148)+1))/4)=3,核心参数输入!$B$40,核心参数输入!$B$41))))-0))*(MOD(38-((核心参数输入!$B$18-1)*4+(核心参数输入!$B$148)+1),4)+1)/4),0)</f>
        <v>0.9</v>
      </c>
      <c r="AQ15" s="22">
        <f>IF(39&lt;=核心参数输入!$B$9*4,IF(39&lt;((核心参数输入!$B$18-1)*4+(核心参数输入!$B$148)+1),0,MAX(0,IF(INT((39-((核心参数输入!$B$18-1)*4+(核心参数输入!$B$148)+1))/4)=0,0,IF(INT((39-((核心参数输入!$B$18-1)*4+(核心参数输入!$B$148)+1))/4)=1,核心参数输入!$B$38,IF(INT((39-((核心参数输入!$B$18-1)*4+(核心参数输入!$B$148)+1))/4)=2,核心参数输入!$B$39,IF(INT((39-((核心参数输入!$B$18-1)*4+(核心参数输入!$B$148)+1))/4)=3,核心参数输入!$B$40,核心参数输入!$B$41))))-0)+(MAX(0,AQ14-0)-MAX(0,IF(INT((39-((核心参数输入!$B$18-1)*4+(核心参数输入!$B$148)+1))/4)=0,0,IF(INT((39-((核心参数输入!$B$18-1)*4+(核心参数输入!$B$148)+1))/4)=1,核心参数输入!$B$38,IF(INT((39-((核心参数输入!$B$18-1)*4+(核心参数输入!$B$148)+1))/4)=2,核心参数输入!$B$39,IF(INT((39-((核心参数输入!$B$18-1)*4+(核心参数输入!$B$148)+1))/4)=3,核心参数输入!$B$40,核心参数输入!$B$41))))-0))*(MOD(39-((核心参数输入!$B$18-1)*4+(核心参数输入!$B$148)+1),4)+1)/4),0)</f>
        <v>0.9</v>
      </c>
      <c r="AR15" s="22">
        <f>IF(40&lt;=核心参数输入!$B$9*4,IF(40&lt;((核心参数输入!$B$18-1)*4+(核心参数输入!$B$148)+1),0,MAX(0,IF(INT((40-((核心参数输入!$B$18-1)*4+(核心参数输入!$B$148)+1))/4)=0,0,IF(INT((40-((核心参数输入!$B$18-1)*4+(核心参数输入!$B$148)+1))/4)=1,核心参数输入!$B$38,IF(INT((40-((核心参数输入!$B$18-1)*4+(核心参数输入!$B$148)+1))/4)=2,核心参数输入!$B$39,IF(INT((40-((核心参数输入!$B$18-1)*4+(核心参数输入!$B$148)+1))/4)=3,核心参数输入!$B$40,核心参数输入!$B$41))))-0)+(MAX(0,AR14-0)-MAX(0,IF(INT((40-((核心参数输入!$B$18-1)*4+(核心参数输入!$B$148)+1))/4)=0,0,IF(INT((40-((核心参数输入!$B$18-1)*4+(核心参数输入!$B$148)+1))/4)=1,核心参数输入!$B$38,IF(INT((40-((核心参数输入!$B$18-1)*4+(核心参数输入!$B$148)+1))/4)=2,核心参数输入!$B$39,IF(INT((40-((核心参数输入!$B$18-1)*4+(核心参数输入!$B$148)+1))/4)=3,核心参数输入!$B$40,核心参数输入!$B$41))))-0))*(MOD(40-((核心参数输入!$B$18-1)*4+(核心参数输入!$B$148)+1),4)+1)/4),0)</f>
        <v>0.9</v>
      </c>
      <c r="AS15" s="22">
        <f>IF(41&lt;=核心参数输入!$B$9*4,IF(41&lt;((核心参数输入!$B$18-1)*4+(核心参数输入!$B$148)+1),0,MAX(0,IF(INT((41-((核心参数输入!$B$18-1)*4+(核心参数输入!$B$148)+1))/4)=0,0,IF(INT((41-((核心参数输入!$B$18-1)*4+(核心参数输入!$B$148)+1))/4)=1,核心参数输入!$B$38,IF(INT((41-((核心参数输入!$B$18-1)*4+(核心参数输入!$B$148)+1))/4)=2,核心参数输入!$B$39,IF(INT((41-((核心参数输入!$B$18-1)*4+(核心参数输入!$B$148)+1))/4)=3,核心参数输入!$B$40,核心参数输入!$B$41))))-0)+(MAX(0,AS14-0)-MAX(0,IF(INT((41-((核心参数输入!$B$18-1)*4+(核心参数输入!$B$148)+1))/4)=0,0,IF(INT((41-((核心参数输入!$B$18-1)*4+(核心参数输入!$B$148)+1))/4)=1,核心参数输入!$B$38,IF(INT((41-((核心参数输入!$B$18-1)*4+(核心参数输入!$B$148)+1))/4)=2,核心参数输入!$B$39,IF(INT((41-((核心参数输入!$B$18-1)*4+(核心参数输入!$B$148)+1))/4)=3,核心参数输入!$B$40,核心参数输入!$B$41))))-0))*(MOD(41-((核心参数输入!$B$18-1)*4+(核心参数输入!$B$148)+1),4)+1)/4),0)</f>
        <v>0.9</v>
      </c>
      <c r="AT15" s="22">
        <f>IF(42&lt;=核心参数输入!$B$9*4,IF(42&lt;((核心参数输入!$B$18-1)*4+(核心参数输入!$B$148)+1),0,MAX(0,IF(INT((42-((核心参数输入!$B$18-1)*4+(核心参数输入!$B$148)+1))/4)=0,0,IF(INT((42-((核心参数输入!$B$18-1)*4+(核心参数输入!$B$148)+1))/4)=1,核心参数输入!$B$38,IF(INT((42-((核心参数输入!$B$18-1)*4+(核心参数输入!$B$148)+1))/4)=2,核心参数输入!$B$39,IF(INT((42-((核心参数输入!$B$18-1)*4+(核心参数输入!$B$148)+1))/4)=3,核心参数输入!$B$40,核心参数输入!$B$41))))-0)+(MAX(0,AT14-0)-MAX(0,IF(INT((42-((核心参数输入!$B$18-1)*4+(核心参数输入!$B$148)+1))/4)=0,0,IF(INT((42-((核心参数输入!$B$18-1)*4+(核心参数输入!$B$148)+1))/4)=1,核心参数输入!$B$38,IF(INT((42-((核心参数输入!$B$18-1)*4+(核心参数输入!$B$148)+1))/4)=2,核心参数输入!$B$39,IF(INT((42-((核心参数输入!$B$18-1)*4+(核心参数输入!$B$148)+1))/4)=3,核心参数输入!$B$40,核心参数输入!$B$41))))-0))*(MOD(42-((核心参数输入!$B$18-1)*4+(核心参数输入!$B$148)+1),4)+1)/4),0)</f>
        <v>0.9</v>
      </c>
      <c r="AU15" s="22">
        <f>IF(43&lt;=核心参数输入!$B$9*4,IF(43&lt;((核心参数输入!$B$18-1)*4+(核心参数输入!$B$148)+1),0,MAX(0,IF(INT((43-((核心参数输入!$B$18-1)*4+(核心参数输入!$B$148)+1))/4)=0,0,IF(INT((43-((核心参数输入!$B$18-1)*4+(核心参数输入!$B$148)+1))/4)=1,核心参数输入!$B$38,IF(INT((43-((核心参数输入!$B$18-1)*4+(核心参数输入!$B$148)+1))/4)=2,核心参数输入!$B$39,IF(INT((43-((核心参数输入!$B$18-1)*4+(核心参数输入!$B$148)+1))/4)=3,核心参数输入!$B$40,核心参数输入!$B$41))))-0)+(MAX(0,AU14-0)-MAX(0,IF(INT((43-((核心参数输入!$B$18-1)*4+(核心参数输入!$B$148)+1))/4)=0,0,IF(INT((43-((核心参数输入!$B$18-1)*4+(核心参数输入!$B$148)+1))/4)=1,核心参数输入!$B$38,IF(INT((43-((核心参数输入!$B$18-1)*4+(核心参数输入!$B$148)+1))/4)=2,核心参数输入!$B$39,IF(INT((43-((核心参数输入!$B$18-1)*4+(核心参数输入!$B$148)+1))/4)=3,核心参数输入!$B$40,核心参数输入!$B$41))))-0))*(MOD(43-((核心参数输入!$B$18-1)*4+(核心参数输入!$B$148)+1),4)+1)/4),0)</f>
        <v>0.9</v>
      </c>
      <c r="AV15" s="22">
        <f>IF(44&lt;=核心参数输入!$B$9*4,IF(44&lt;((核心参数输入!$B$18-1)*4+(核心参数输入!$B$148)+1),0,MAX(0,IF(INT((44-((核心参数输入!$B$18-1)*4+(核心参数输入!$B$148)+1))/4)=0,0,IF(INT((44-((核心参数输入!$B$18-1)*4+(核心参数输入!$B$148)+1))/4)=1,核心参数输入!$B$38,IF(INT((44-((核心参数输入!$B$18-1)*4+(核心参数输入!$B$148)+1))/4)=2,核心参数输入!$B$39,IF(INT((44-((核心参数输入!$B$18-1)*4+(核心参数输入!$B$148)+1))/4)=3,核心参数输入!$B$40,核心参数输入!$B$41))))-0)+(MAX(0,AV14-0)-MAX(0,IF(INT((44-((核心参数输入!$B$18-1)*4+(核心参数输入!$B$148)+1))/4)=0,0,IF(INT((44-((核心参数输入!$B$18-1)*4+(核心参数输入!$B$148)+1))/4)=1,核心参数输入!$B$38,IF(INT((44-((核心参数输入!$B$18-1)*4+(核心参数输入!$B$148)+1))/4)=2,核心参数输入!$B$39,IF(INT((44-((核心参数输入!$B$18-1)*4+(核心参数输入!$B$148)+1))/4)=3,核心参数输入!$B$40,核心参数输入!$B$41))))-0))*(MOD(44-((核心参数输入!$B$18-1)*4+(核心参数输入!$B$148)+1),4)+1)/4),0)</f>
        <v>0.9</v>
      </c>
      <c r="AW15" s="22">
        <f>IF(45&lt;=核心参数输入!$B$9*4,IF(45&lt;((核心参数输入!$B$18-1)*4+(核心参数输入!$B$148)+1),0,MAX(0,IF(INT((45-((核心参数输入!$B$18-1)*4+(核心参数输入!$B$148)+1))/4)=0,0,IF(INT((45-((核心参数输入!$B$18-1)*4+(核心参数输入!$B$148)+1))/4)=1,核心参数输入!$B$38,IF(INT((45-((核心参数输入!$B$18-1)*4+(核心参数输入!$B$148)+1))/4)=2,核心参数输入!$B$39,IF(INT((45-((核心参数输入!$B$18-1)*4+(核心参数输入!$B$148)+1))/4)=3,核心参数输入!$B$40,核心参数输入!$B$41))))-0)+(MAX(0,AW14-0)-MAX(0,IF(INT((45-((核心参数输入!$B$18-1)*4+(核心参数输入!$B$148)+1))/4)=0,0,IF(INT((45-((核心参数输入!$B$18-1)*4+(核心参数输入!$B$148)+1))/4)=1,核心参数输入!$B$38,IF(INT((45-((核心参数输入!$B$18-1)*4+(核心参数输入!$B$148)+1))/4)=2,核心参数输入!$B$39,IF(INT((45-((核心参数输入!$B$18-1)*4+(核心参数输入!$B$148)+1))/4)=3,核心参数输入!$B$40,核心参数输入!$B$41))))-0))*(MOD(45-((核心参数输入!$B$18-1)*4+(核心参数输入!$B$148)+1),4)+1)/4),0)</f>
        <v>0.9</v>
      </c>
      <c r="AX15" s="22">
        <f>IF(46&lt;=核心参数输入!$B$9*4,IF(46&lt;((核心参数输入!$B$18-1)*4+(核心参数输入!$B$148)+1),0,MAX(0,IF(INT((46-((核心参数输入!$B$18-1)*4+(核心参数输入!$B$148)+1))/4)=0,0,IF(INT((46-((核心参数输入!$B$18-1)*4+(核心参数输入!$B$148)+1))/4)=1,核心参数输入!$B$38,IF(INT((46-((核心参数输入!$B$18-1)*4+(核心参数输入!$B$148)+1))/4)=2,核心参数输入!$B$39,IF(INT((46-((核心参数输入!$B$18-1)*4+(核心参数输入!$B$148)+1))/4)=3,核心参数输入!$B$40,核心参数输入!$B$41))))-0)+(MAX(0,AX14-0)-MAX(0,IF(INT((46-((核心参数输入!$B$18-1)*4+(核心参数输入!$B$148)+1))/4)=0,0,IF(INT((46-((核心参数输入!$B$18-1)*4+(核心参数输入!$B$148)+1))/4)=1,核心参数输入!$B$38,IF(INT((46-((核心参数输入!$B$18-1)*4+(核心参数输入!$B$148)+1))/4)=2,核心参数输入!$B$39,IF(INT((46-((核心参数输入!$B$18-1)*4+(核心参数输入!$B$148)+1))/4)=3,核心参数输入!$B$40,核心参数输入!$B$41))))-0))*(MOD(46-((核心参数输入!$B$18-1)*4+(核心参数输入!$B$148)+1),4)+1)/4),0)</f>
        <v>0.9</v>
      </c>
      <c r="AY15" s="22">
        <f>IF(47&lt;=核心参数输入!$B$9*4,IF(47&lt;((核心参数输入!$B$18-1)*4+(核心参数输入!$B$148)+1),0,MAX(0,IF(INT((47-((核心参数输入!$B$18-1)*4+(核心参数输入!$B$148)+1))/4)=0,0,IF(INT((47-((核心参数输入!$B$18-1)*4+(核心参数输入!$B$148)+1))/4)=1,核心参数输入!$B$38,IF(INT((47-((核心参数输入!$B$18-1)*4+(核心参数输入!$B$148)+1))/4)=2,核心参数输入!$B$39,IF(INT((47-((核心参数输入!$B$18-1)*4+(核心参数输入!$B$148)+1))/4)=3,核心参数输入!$B$40,核心参数输入!$B$41))))-0)+(MAX(0,AY14-0)-MAX(0,IF(INT((47-((核心参数输入!$B$18-1)*4+(核心参数输入!$B$148)+1))/4)=0,0,IF(INT((47-((核心参数输入!$B$18-1)*4+(核心参数输入!$B$148)+1))/4)=1,核心参数输入!$B$38,IF(INT((47-((核心参数输入!$B$18-1)*4+(核心参数输入!$B$148)+1))/4)=2,核心参数输入!$B$39,IF(INT((47-((核心参数输入!$B$18-1)*4+(核心参数输入!$B$148)+1))/4)=3,核心参数输入!$B$40,核心参数输入!$B$41))))-0))*(MOD(47-((核心参数输入!$B$18-1)*4+(核心参数输入!$B$148)+1),4)+1)/4),0)</f>
        <v>0.9</v>
      </c>
      <c r="AZ15" s="22">
        <f>IF(48&lt;=核心参数输入!$B$9*4,IF(48&lt;((核心参数输入!$B$18-1)*4+(核心参数输入!$B$148)+1),0,MAX(0,IF(INT((48-((核心参数输入!$B$18-1)*4+(核心参数输入!$B$148)+1))/4)=0,0,IF(INT((48-((核心参数输入!$B$18-1)*4+(核心参数输入!$B$148)+1))/4)=1,核心参数输入!$B$38,IF(INT((48-((核心参数输入!$B$18-1)*4+(核心参数输入!$B$148)+1))/4)=2,核心参数输入!$B$39,IF(INT((48-((核心参数输入!$B$18-1)*4+(核心参数输入!$B$148)+1))/4)=3,核心参数输入!$B$40,核心参数输入!$B$41))))-0)+(MAX(0,AZ14-0)-MAX(0,IF(INT((48-((核心参数输入!$B$18-1)*4+(核心参数输入!$B$148)+1))/4)=0,0,IF(INT((48-((核心参数输入!$B$18-1)*4+(核心参数输入!$B$148)+1))/4)=1,核心参数输入!$B$38,IF(INT((48-((核心参数输入!$B$18-1)*4+(核心参数输入!$B$148)+1))/4)=2,核心参数输入!$B$39,IF(INT((48-((核心参数输入!$B$18-1)*4+(核心参数输入!$B$148)+1))/4)=3,核心参数输入!$B$40,核心参数输入!$B$41))))-0))*(MOD(48-((核心参数输入!$B$18-1)*4+(核心参数输入!$B$148)+1),4)+1)/4),0)</f>
        <v>0.9</v>
      </c>
      <c r="BA15" s="22">
        <f>IF(49&lt;=核心参数输入!$B$9*4,IF(49&lt;((核心参数输入!$B$18-1)*4+(核心参数输入!$B$148)+1),0,MAX(0,IF(INT((49-((核心参数输入!$B$18-1)*4+(核心参数输入!$B$148)+1))/4)=0,0,IF(INT((49-((核心参数输入!$B$18-1)*4+(核心参数输入!$B$148)+1))/4)=1,核心参数输入!$B$38,IF(INT((49-((核心参数输入!$B$18-1)*4+(核心参数输入!$B$148)+1))/4)=2,核心参数输入!$B$39,IF(INT((49-((核心参数输入!$B$18-1)*4+(核心参数输入!$B$148)+1))/4)=3,核心参数输入!$B$40,核心参数输入!$B$41))))-0)+(MAX(0,BA14-0)-MAX(0,IF(INT((49-((核心参数输入!$B$18-1)*4+(核心参数输入!$B$148)+1))/4)=0,0,IF(INT((49-((核心参数输入!$B$18-1)*4+(核心参数输入!$B$148)+1))/4)=1,核心参数输入!$B$38,IF(INT((49-((核心参数输入!$B$18-1)*4+(核心参数输入!$B$148)+1))/4)=2,核心参数输入!$B$39,IF(INT((49-((核心参数输入!$B$18-1)*4+(核心参数输入!$B$148)+1))/4)=3,核心参数输入!$B$40,核心参数输入!$B$41))))-0))*(MOD(49-((核心参数输入!$B$18-1)*4+(核心参数输入!$B$148)+1),4)+1)/4),0)</f>
        <v>0.9</v>
      </c>
      <c r="BB15" s="22">
        <f>IF(50&lt;=核心参数输入!$B$9*4,IF(50&lt;((核心参数输入!$B$18-1)*4+(核心参数输入!$B$148)+1),0,MAX(0,IF(INT((50-((核心参数输入!$B$18-1)*4+(核心参数输入!$B$148)+1))/4)=0,0,IF(INT((50-((核心参数输入!$B$18-1)*4+(核心参数输入!$B$148)+1))/4)=1,核心参数输入!$B$38,IF(INT((50-((核心参数输入!$B$18-1)*4+(核心参数输入!$B$148)+1))/4)=2,核心参数输入!$B$39,IF(INT((50-((核心参数输入!$B$18-1)*4+(核心参数输入!$B$148)+1))/4)=3,核心参数输入!$B$40,核心参数输入!$B$41))))-0)+(MAX(0,BB14-0)-MAX(0,IF(INT((50-((核心参数输入!$B$18-1)*4+(核心参数输入!$B$148)+1))/4)=0,0,IF(INT((50-((核心参数输入!$B$18-1)*4+(核心参数输入!$B$148)+1))/4)=1,核心参数输入!$B$38,IF(INT((50-((核心参数输入!$B$18-1)*4+(核心参数输入!$B$148)+1))/4)=2,核心参数输入!$B$39,IF(INT((50-((核心参数输入!$B$18-1)*4+(核心参数输入!$B$148)+1))/4)=3,核心参数输入!$B$40,核心参数输入!$B$41))))-0))*(MOD(50-((核心参数输入!$B$18-1)*4+(核心参数输入!$B$148)+1),4)+1)/4),0)</f>
        <v>0.9</v>
      </c>
      <c r="BC15" s="22">
        <f>IF(51&lt;=核心参数输入!$B$9*4,IF(51&lt;((核心参数输入!$B$18-1)*4+(核心参数输入!$B$148)+1),0,MAX(0,IF(INT((51-((核心参数输入!$B$18-1)*4+(核心参数输入!$B$148)+1))/4)=0,0,IF(INT((51-((核心参数输入!$B$18-1)*4+(核心参数输入!$B$148)+1))/4)=1,核心参数输入!$B$38,IF(INT((51-((核心参数输入!$B$18-1)*4+(核心参数输入!$B$148)+1))/4)=2,核心参数输入!$B$39,IF(INT((51-((核心参数输入!$B$18-1)*4+(核心参数输入!$B$148)+1))/4)=3,核心参数输入!$B$40,核心参数输入!$B$41))))-0)+(MAX(0,BC14-0)-MAX(0,IF(INT((51-((核心参数输入!$B$18-1)*4+(核心参数输入!$B$148)+1))/4)=0,0,IF(INT((51-((核心参数输入!$B$18-1)*4+(核心参数输入!$B$148)+1))/4)=1,核心参数输入!$B$38,IF(INT((51-((核心参数输入!$B$18-1)*4+(核心参数输入!$B$148)+1))/4)=2,核心参数输入!$B$39,IF(INT((51-((核心参数输入!$B$18-1)*4+(核心参数输入!$B$148)+1))/4)=3,核心参数输入!$B$40,核心参数输入!$B$41))))-0))*(MOD(51-((核心参数输入!$B$18-1)*4+(核心参数输入!$B$148)+1),4)+1)/4),0)</f>
        <v>0.9</v>
      </c>
      <c r="BD15" s="22">
        <f>IF(52&lt;=核心参数输入!$B$9*4,IF(52&lt;((核心参数输入!$B$18-1)*4+(核心参数输入!$B$148)+1),0,MAX(0,IF(INT((52-((核心参数输入!$B$18-1)*4+(核心参数输入!$B$148)+1))/4)=0,0,IF(INT((52-((核心参数输入!$B$18-1)*4+(核心参数输入!$B$148)+1))/4)=1,核心参数输入!$B$38,IF(INT((52-((核心参数输入!$B$18-1)*4+(核心参数输入!$B$148)+1))/4)=2,核心参数输入!$B$39,IF(INT((52-((核心参数输入!$B$18-1)*4+(核心参数输入!$B$148)+1))/4)=3,核心参数输入!$B$40,核心参数输入!$B$41))))-0)+(MAX(0,BD14-0)-MAX(0,IF(INT((52-((核心参数输入!$B$18-1)*4+(核心参数输入!$B$148)+1))/4)=0,0,IF(INT((52-((核心参数输入!$B$18-1)*4+(核心参数输入!$B$148)+1))/4)=1,核心参数输入!$B$38,IF(INT((52-((核心参数输入!$B$18-1)*4+(核心参数输入!$B$148)+1))/4)=2,核心参数输入!$B$39,IF(INT((52-((核心参数输入!$B$18-1)*4+(核心参数输入!$B$148)+1))/4)=3,核心参数输入!$B$40,核心参数输入!$B$41))))-0))*(MOD(52-((核心参数输入!$B$18-1)*4+(核心参数输入!$B$148)+1),4)+1)/4),0)</f>
        <v>0.9</v>
      </c>
      <c r="BE15" s="22">
        <f>IF(53&lt;=核心参数输入!$B$9*4,IF(53&lt;((核心参数输入!$B$18-1)*4+(核心参数输入!$B$148)+1),0,MAX(0,IF(INT((53-((核心参数输入!$B$18-1)*4+(核心参数输入!$B$148)+1))/4)=0,0,IF(INT((53-((核心参数输入!$B$18-1)*4+(核心参数输入!$B$148)+1))/4)=1,核心参数输入!$B$38,IF(INT((53-((核心参数输入!$B$18-1)*4+(核心参数输入!$B$148)+1))/4)=2,核心参数输入!$B$39,IF(INT((53-((核心参数输入!$B$18-1)*4+(核心参数输入!$B$148)+1))/4)=3,核心参数输入!$B$40,核心参数输入!$B$41))))-0)+(MAX(0,BE14-0)-MAX(0,IF(INT((53-((核心参数输入!$B$18-1)*4+(核心参数输入!$B$148)+1))/4)=0,0,IF(INT((53-((核心参数输入!$B$18-1)*4+(核心参数输入!$B$148)+1))/4)=1,核心参数输入!$B$38,IF(INT((53-((核心参数输入!$B$18-1)*4+(核心参数输入!$B$148)+1))/4)=2,核心参数输入!$B$39,IF(INT((53-((核心参数输入!$B$18-1)*4+(核心参数输入!$B$148)+1))/4)=3,核心参数输入!$B$40,核心参数输入!$B$41))))-0))*(MOD(53-((核心参数输入!$B$18-1)*4+(核心参数输入!$B$148)+1),4)+1)/4),0)</f>
        <v>0.9</v>
      </c>
      <c r="BF15" s="22">
        <f>IF(54&lt;=核心参数输入!$B$9*4,IF(54&lt;((核心参数输入!$B$18-1)*4+(核心参数输入!$B$148)+1),0,MAX(0,IF(INT((54-((核心参数输入!$B$18-1)*4+(核心参数输入!$B$148)+1))/4)=0,0,IF(INT((54-((核心参数输入!$B$18-1)*4+(核心参数输入!$B$148)+1))/4)=1,核心参数输入!$B$38,IF(INT((54-((核心参数输入!$B$18-1)*4+(核心参数输入!$B$148)+1))/4)=2,核心参数输入!$B$39,IF(INT((54-((核心参数输入!$B$18-1)*4+(核心参数输入!$B$148)+1))/4)=3,核心参数输入!$B$40,核心参数输入!$B$41))))-0)+(MAX(0,BF14-0)-MAX(0,IF(INT((54-((核心参数输入!$B$18-1)*4+(核心参数输入!$B$148)+1))/4)=0,0,IF(INT((54-((核心参数输入!$B$18-1)*4+(核心参数输入!$B$148)+1))/4)=1,核心参数输入!$B$38,IF(INT((54-((核心参数输入!$B$18-1)*4+(核心参数输入!$B$148)+1))/4)=2,核心参数输入!$B$39,IF(INT((54-((核心参数输入!$B$18-1)*4+(核心参数输入!$B$148)+1))/4)=3,核心参数输入!$B$40,核心参数输入!$B$41))))-0))*(MOD(54-((核心参数输入!$B$18-1)*4+(核心参数输入!$B$148)+1),4)+1)/4),0)</f>
        <v>0.9</v>
      </c>
      <c r="BG15" s="22">
        <f>IF(55&lt;=核心参数输入!$B$9*4,IF(55&lt;((核心参数输入!$B$18-1)*4+(核心参数输入!$B$148)+1),0,MAX(0,IF(INT((55-((核心参数输入!$B$18-1)*4+(核心参数输入!$B$148)+1))/4)=0,0,IF(INT((55-((核心参数输入!$B$18-1)*4+(核心参数输入!$B$148)+1))/4)=1,核心参数输入!$B$38,IF(INT((55-((核心参数输入!$B$18-1)*4+(核心参数输入!$B$148)+1))/4)=2,核心参数输入!$B$39,IF(INT((55-((核心参数输入!$B$18-1)*4+(核心参数输入!$B$148)+1))/4)=3,核心参数输入!$B$40,核心参数输入!$B$41))))-0)+(MAX(0,BG14-0)-MAX(0,IF(INT((55-((核心参数输入!$B$18-1)*4+(核心参数输入!$B$148)+1))/4)=0,0,IF(INT((55-((核心参数输入!$B$18-1)*4+(核心参数输入!$B$148)+1))/4)=1,核心参数输入!$B$38,IF(INT((55-((核心参数输入!$B$18-1)*4+(核心参数输入!$B$148)+1))/4)=2,核心参数输入!$B$39,IF(INT((55-((核心参数输入!$B$18-1)*4+(核心参数输入!$B$148)+1))/4)=3,核心参数输入!$B$40,核心参数输入!$B$41))))-0))*(MOD(55-((核心参数输入!$B$18-1)*4+(核心参数输入!$B$148)+1),4)+1)/4),0)</f>
        <v>0.9</v>
      </c>
      <c r="BH15" s="22">
        <f>IF(56&lt;=核心参数输入!$B$9*4,IF(56&lt;((核心参数输入!$B$18-1)*4+(核心参数输入!$B$148)+1),0,MAX(0,IF(INT((56-((核心参数输入!$B$18-1)*4+(核心参数输入!$B$148)+1))/4)=0,0,IF(INT((56-((核心参数输入!$B$18-1)*4+(核心参数输入!$B$148)+1))/4)=1,核心参数输入!$B$38,IF(INT((56-((核心参数输入!$B$18-1)*4+(核心参数输入!$B$148)+1))/4)=2,核心参数输入!$B$39,IF(INT((56-((核心参数输入!$B$18-1)*4+(核心参数输入!$B$148)+1))/4)=3,核心参数输入!$B$40,核心参数输入!$B$41))))-0)+(MAX(0,BH14-0)-MAX(0,IF(INT((56-((核心参数输入!$B$18-1)*4+(核心参数输入!$B$148)+1))/4)=0,0,IF(INT((56-((核心参数输入!$B$18-1)*4+(核心参数输入!$B$148)+1))/4)=1,核心参数输入!$B$38,IF(INT((56-((核心参数输入!$B$18-1)*4+(核心参数输入!$B$148)+1))/4)=2,核心参数输入!$B$39,IF(INT((56-((核心参数输入!$B$18-1)*4+(核心参数输入!$B$148)+1))/4)=3,核心参数输入!$B$40,核心参数输入!$B$41))))-0))*(MOD(56-((核心参数输入!$B$18-1)*4+(核心参数输入!$B$148)+1),4)+1)/4),0)</f>
        <v>0.9</v>
      </c>
      <c r="BI15" s="22">
        <f>IF(57&lt;=核心参数输入!$B$9*4,IF(57&lt;((核心参数输入!$B$18-1)*4+(核心参数输入!$B$148)+1),0,MAX(0,IF(INT((57-((核心参数输入!$B$18-1)*4+(核心参数输入!$B$148)+1))/4)=0,0,IF(INT((57-((核心参数输入!$B$18-1)*4+(核心参数输入!$B$148)+1))/4)=1,核心参数输入!$B$38,IF(INT((57-((核心参数输入!$B$18-1)*4+(核心参数输入!$B$148)+1))/4)=2,核心参数输入!$B$39,IF(INT((57-((核心参数输入!$B$18-1)*4+(核心参数输入!$B$148)+1))/4)=3,核心参数输入!$B$40,核心参数输入!$B$41))))-0)+(MAX(0,BI14-0)-MAX(0,IF(INT((57-((核心参数输入!$B$18-1)*4+(核心参数输入!$B$148)+1))/4)=0,0,IF(INT((57-((核心参数输入!$B$18-1)*4+(核心参数输入!$B$148)+1))/4)=1,核心参数输入!$B$38,IF(INT((57-((核心参数输入!$B$18-1)*4+(核心参数输入!$B$148)+1))/4)=2,核心参数输入!$B$39,IF(INT((57-((核心参数输入!$B$18-1)*4+(核心参数输入!$B$148)+1))/4)=3,核心参数输入!$B$40,核心参数输入!$B$41))))-0))*(MOD(57-((核心参数输入!$B$18-1)*4+(核心参数输入!$B$148)+1),4)+1)/4),0)</f>
        <v>0.9</v>
      </c>
      <c r="BJ15" s="22">
        <f>IF(58&lt;=核心参数输入!$B$9*4,IF(58&lt;((核心参数输入!$B$18-1)*4+(核心参数输入!$B$148)+1),0,MAX(0,IF(INT((58-((核心参数输入!$B$18-1)*4+(核心参数输入!$B$148)+1))/4)=0,0,IF(INT((58-((核心参数输入!$B$18-1)*4+(核心参数输入!$B$148)+1))/4)=1,核心参数输入!$B$38,IF(INT((58-((核心参数输入!$B$18-1)*4+(核心参数输入!$B$148)+1))/4)=2,核心参数输入!$B$39,IF(INT((58-((核心参数输入!$B$18-1)*4+(核心参数输入!$B$148)+1))/4)=3,核心参数输入!$B$40,核心参数输入!$B$41))))-0)+(MAX(0,BJ14-0)-MAX(0,IF(INT((58-((核心参数输入!$B$18-1)*4+(核心参数输入!$B$148)+1))/4)=0,0,IF(INT((58-((核心参数输入!$B$18-1)*4+(核心参数输入!$B$148)+1))/4)=1,核心参数输入!$B$38,IF(INT((58-((核心参数输入!$B$18-1)*4+(核心参数输入!$B$148)+1))/4)=2,核心参数输入!$B$39,IF(INT((58-((核心参数输入!$B$18-1)*4+(核心参数输入!$B$148)+1))/4)=3,核心参数输入!$B$40,核心参数输入!$B$41))))-0))*(MOD(58-((核心参数输入!$B$18-1)*4+(核心参数输入!$B$148)+1),4)+1)/4),0)</f>
        <v>0.9</v>
      </c>
      <c r="BK15" s="22">
        <f>IF(59&lt;=核心参数输入!$B$9*4,IF(59&lt;((核心参数输入!$B$18-1)*4+(核心参数输入!$B$148)+1),0,MAX(0,IF(INT((59-((核心参数输入!$B$18-1)*4+(核心参数输入!$B$148)+1))/4)=0,0,IF(INT((59-((核心参数输入!$B$18-1)*4+(核心参数输入!$B$148)+1))/4)=1,核心参数输入!$B$38,IF(INT((59-((核心参数输入!$B$18-1)*4+(核心参数输入!$B$148)+1))/4)=2,核心参数输入!$B$39,IF(INT((59-((核心参数输入!$B$18-1)*4+(核心参数输入!$B$148)+1))/4)=3,核心参数输入!$B$40,核心参数输入!$B$41))))-0)+(MAX(0,BK14-0)-MAX(0,IF(INT((59-((核心参数输入!$B$18-1)*4+(核心参数输入!$B$148)+1))/4)=0,0,IF(INT((59-((核心参数输入!$B$18-1)*4+(核心参数输入!$B$148)+1))/4)=1,核心参数输入!$B$38,IF(INT((59-((核心参数输入!$B$18-1)*4+(核心参数输入!$B$148)+1))/4)=2,核心参数输入!$B$39,IF(INT((59-((核心参数输入!$B$18-1)*4+(核心参数输入!$B$148)+1))/4)=3,核心参数输入!$B$40,核心参数输入!$B$41))))-0))*(MOD(59-((核心参数输入!$B$18-1)*4+(核心参数输入!$B$148)+1),4)+1)/4),0)</f>
        <v>0.9</v>
      </c>
      <c r="BL15" s="22">
        <f>IF(60&lt;=核心参数输入!$B$9*4,IF(60&lt;((核心参数输入!$B$18-1)*4+(核心参数输入!$B$148)+1),0,MAX(0,IF(INT((60-((核心参数输入!$B$18-1)*4+(核心参数输入!$B$148)+1))/4)=0,0,IF(INT((60-((核心参数输入!$B$18-1)*4+(核心参数输入!$B$148)+1))/4)=1,核心参数输入!$B$38,IF(INT((60-((核心参数输入!$B$18-1)*4+(核心参数输入!$B$148)+1))/4)=2,核心参数输入!$B$39,IF(INT((60-((核心参数输入!$B$18-1)*4+(核心参数输入!$B$148)+1))/4)=3,核心参数输入!$B$40,核心参数输入!$B$41))))-0)+(MAX(0,BL14-0)-MAX(0,IF(INT((60-((核心参数输入!$B$18-1)*4+(核心参数输入!$B$148)+1))/4)=0,0,IF(INT((60-((核心参数输入!$B$18-1)*4+(核心参数输入!$B$148)+1))/4)=1,核心参数输入!$B$38,IF(INT((60-((核心参数输入!$B$18-1)*4+(核心参数输入!$B$148)+1))/4)=2,核心参数输入!$B$39,IF(INT((60-((核心参数输入!$B$18-1)*4+(核心参数输入!$B$148)+1))/4)=3,核心参数输入!$B$40,核心参数输入!$B$41))))-0))*(MOD(60-((核心参数输入!$B$18-1)*4+(核心参数输入!$B$148)+1),4)+1)/4),0)</f>
        <v>0.9</v>
      </c>
      <c r="BM15" s="22">
        <f>IF(61&lt;=核心参数输入!$B$9*4,IF(61&lt;((核心参数输入!$B$18-1)*4+(核心参数输入!$B$148)+1),0,MAX(0,IF(INT((61-((核心参数输入!$B$18-1)*4+(核心参数输入!$B$148)+1))/4)=0,0,IF(INT((61-((核心参数输入!$B$18-1)*4+(核心参数输入!$B$148)+1))/4)=1,核心参数输入!$B$38,IF(INT((61-((核心参数输入!$B$18-1)*4+(核心参数输入!$B$148)+1))/4)=2,核心参数输入!$B$39,IF(INT((61-((核心参数输入!$B$18-1)*4+(核心参数输入!$B$148)+1))/4)=3,核心参数输入!$B$40,核心参数输入!$B$41))))-0)+(MAX(0,BM14-0)-MAX(0,IF(INT((61-((核心参数输入!$B$18-1)*4+(核心参数输入!$B$148)+1))/4)=0,0,IF(INT((61-((核心参数输入!$B$18-1)*4+(核心参数输入!$B$148)+1))/4)=1,核心参数输入!$B$38,IF(INT((61-((核心参数输入!$B$18-1)*4+(核心参数输入!$B$148)+1))/4)=2,核心参数输入!$B$39,IF(INT((61-((核心参数输入!$B$18-1)*4+(核心参数输入!$B$148)+1))/4)=3,核心参数输入!$B$40,核心参数输入!$B$41))))-0))*(MOD(61-((核心参数输入!$B$18-1)*4+(核心参数输入!$B$148)+1),4)+1)/4),0)</f>
        <v>0.9</v>
      </c>
      <c r="BN15" s="22">
        <f>IF(62&lt;=核心参数输入!$B$9*4,IF(62&lt;((核心参数输入!$B$18-1)*4+(核心参数输入!$B$148)+1),0,MAX(0,IF(INT((62-((核心参数输入!$B$18-1)*4+(核心参数输入!$B$148)+1))/4)=0,0,IF(INT((62-((核心参数输入!$B$18-1)*4+(核心参数输入!$B$148)+1))/4)=1,核心参数输入!$B$38,IF(INT((62-((核心参数输入!$B$18-1)*4+(核心参数输入!$B$148)+1))/4)=2,核心参数输入!$B$39,IF(INT((62-((核心参数输入!$B$18-1)*4+(核心参数输入!$B$148)+1))/4)=3,核心参数输入!$B$40,核心参数输入!$B$41))))-0)+(MAX(0,BN14-0)-MAX(0,IF(INT((62-((核心参数输入!$B$18-1)*4+(核心参数输入!$B$148)+1))/4)=0,0,IF(INT((62-((核心参数输入!$B$18-1)*4+(核心参数输入!$B$148)+1))/4)=1,核心参数输入!$B$38,IF(INT((62-((核心参数输入!$B$18-1)*4+(核心参数输入!$B$148)+1))/4)=2,核心参数输入!$B$39,IF(INT((62-((核心参数输入!$B$18-1)*4+(核心参数输入!$B$148)+1))/4)=3,核心参数输入!$B$40,核心参数输入!$B$41))))-0))*(MOD(62-((核心参数输入!$B$18-1)*4+(核心参数输入!$B$148)+1),4)+1)/4),0)</f>
        <v>0.9</v>
      </c>
      <c r="BO15" s="22">
        <f>IF(63&lt;=核心参数输入!$B$9*4,IF(63&lt;((核心参数输入!$B$18-1)*4+(核心参数输入!$B$148)+1),0,MAX(0,IF(INT((63-((核心参数输入!$B$18-1)*4+(核心参数输入!$B$148)+1))/4)=0,0,IF(INT((63-((核心参数输入!$B$18-1)*4+(核心参数输入!$B$148)+1))/4)=1,核心参数输入!$B$38,IF(INT((63-((核心参数输入!$B$18-1)*4+(核心参数输入!$B$148)+1))/4)=2,核心参数输入!$B$39,IF(INT((63-((核心参数输入!$B$18-1)*4+(核心参数输入!$B$148)+1))/4)=3,核心参数输入!$B$40,核心参数输入!$B$41))))-0)+(MAX(0,BO14-0)-MAX(0,IF(INT((63-((核心参数输入!$B$18-1)*4+(核心参数输入!$B$148)+1))/4)=0,0,IF(INT((63-((核心参数输入!$B$18-1)*4+(核心参数输入!$B$148)+1))/4)=1,核心参数输入!$B$38,IF(INT((63-((核心参数输入!$B$18-1)*4+(核心参数输入!$B$148)+1))/4)=2,核心参数输入!$B$39,IF(INT((63-((核心参数输入!$B$18-1)*4+(核心参数输入!$B$148)+1))/4)=3,核心参数输入!$B$40,核心参数输入!$B$41))))-0))*(MOD(63-((核心参数输入!$B$18-1)*4+(核心参数输入!$B$148)+1),4)+1)/4),0)</f>
        <v>0.9</v>
      </c>
      <c r="BP15" s="22">
        <f>IF(64&lt;=核心参数输入!$B$9*4,IF(64&lt;((核心参数输入!$B$18-1)*4+(核心参数输入!$B$148)+1),0,MAX(0,IF(INT((64-((核心参数输入!$B$18-1)*4+(核心参数输入!$B$148)+1))/4)=0,0,IF(INT((64-((核心参数输入!$B$18-1)*4+(核心参数输入!$B$148)+1))/4)=1,核心参数输入!$B$38,IF(INT((64-((核心参数输入!$B$18-1)*4+(核心参数输入!$B$148)+1))/4)=2,核心参数输入!$B$39,IF(INT((64-((核心参数输入!$B$18-1)*4+(核心参数输入!$B$148)+1))/4)=3,核心参数输入!$B$40,核心参数输入!$B$41))))-0)+(MAX(0,BP14-0)-MAX(0,IF(INT((64-((核心参数输入!$B$18-1)*4+(核心参数输入!$B$148)+1))/4)=0,0,IF(INT((64-((核心参数输入!$B$18-1)*4+(核心参数输入!$B$148)+1))/4)=1,核心参数输入!$B$38,IF(INT((64-((核心参数输入!$B$18-1)*4+(核心参数输入!$B$148)+1))/4)=2,核心参数输入!$B$39,IF(INT((64-((核心参数输入!$B$18-1)*4+(核心参数输入!$B$148)+1))/4)=3,核心参数输入!$B$40,核心参数输入!$B$41))))-0))*(MOD(64-((核心参数输入!$B$18-1)*4+(核心参数输入!$B$148)+1),4)+1)/4),0)</f>
        <v>0.9</v>
      </c>
      <c r="BQ15" s="22">
        <f>IF(65&lt;=核心参数输入!$B$9*4,IF(65&lt;((核心参数输入!$B$18-1)*4+(核心参数输入!$B$148)+1),0,MAX(0,IF(INT((65-((核心参数输入!$B$18-1)*4+(核心参数输入!$B$148)+1))/4)=0,0,IF(INT((65-((核心参数输入!$B$18-1)*4+(核心参数输入!$B$148)+1))/4)=1,核心参数输入!$B$38,IF(INT((65-((核心参数输入!$B$18-1)*4+(核心参数输入!$B$148)+1))/4)=2,核心参数输入!$B$39,IF(INT((65-((核心参数输入!$B$18-1)*4+(核心参数输入!$B$148)+1))/4)=3,核心参数输入!$B$40,核心参数输入!$B$41))))-0)+(MAX(0,BQ14-0)-MAX(0,IF(INT((65-((核心参数输入!$B$18-1)*4+(核心参数输入!$B$148)+1))/4)=0,0,IF(INT((65-((核心参数输入!$B$18-1)*4+(核心参数输入!$B$148)+1))/4)=1,核心参数输入!$B$38,IF(INT((65-((核心参数输入!$B$18-1)*4+(核心参数输入!$B$148)+1))/4)=2,核心参数输入!$B$39,IF(INT((65-((核心参数输入!$B$18-1)*4+(核心参数输入!$B$148)+1))/4)=3,核心参数输入!$B$40,核心参数输入!$B$41))))-0))*(MOD(65-((核心参数输入!$B$18-1)*4+(核心参数输入!$B$148)+1),4)+1)/4),0)</f>
        <v>0.9</v>
      </c>
      <c r="BR15" s="22">
        <f>IF(66&lt;=核心参数输入!$B$9*4,IF(66&lt;((核心参数输入!$B$18-1)*4+(核心参数输入!$B$148)+1),0,MAX(0,IF(INT((66-((核心参数输入!$B$18-1)*4+(核心参数输入!$B$148)+1))/4)=0,0,IF(INT((66-((核心参数输入!$B$18-1)*4+(核心参数输入!$B$148)+1))/4)=1,核心参数输入!$B$38,IF(INT((66-((核心参数输入!$B$18-1)*4+(核心参数输入!$B$148)+1))/4)=2,核心参数输入!$B$39,IF(INT((66-((核心参数输入!$B$18-1)*4+(核心参数输入!$B$148)+1))/4)=3,核心参数输入!$B$40,核心参数输入!$B$41))))-0)+(MAX(0,BR14-0)-MAX(0,IF(INT((66-((核心参数输入!$B$18-1)*4+(核心参数输入!$B$148)+1))/4)=0,0,IF(INT((66-((核心参数输入!$B$18-1)*4+(核心参数输入!$B$148)+1))/4)=1,核心参数输入!$B$38,IF(INT((66-((核心参数输入!$B$18-1)*4+(核心参数输入!$B$148)+1))/4)=2,核心参数输入!$B$39,IF(INT((66-((核心参数输入!$B$18-1)*4+(核心参数输入!$B$148)+1))/4)=3,核心参数输入!$B$40,核心参数输入!$B$41))))-0))*(MOD(66-((核心参数输入!$B$18-1)*4+(核心参数输入!$B$148)+1),4)+1)/4),0)</f>
        <v>0.9</v>
      </c>
      <c r="BS15" s="22">
        <f>IF(67&lt;=核心参数输入!$B$9*4,IF(67&lt;((核心参数输入!$B$18-1)*4+(核心参数输入!$B$148)+1),0,MAX(0,IF(INT((67-((核心参数输入!$B$18-1)*4+(核心参数输入!$B$148)+1))/4)=0,0,IF(INT((67-((核心参数输入!$B$18-1)*4+(核心参数输入!$B$148)+1))/4)=1,核心参数输入!$B$38,IF(INT((67-((核心参数输入!$B$18-1)*4+(核心参数输入!$B$148)+1))/4)=2,核心参数输入!$B$39,IF(INT((67-((核心参数输入!$B$18-1)*4+(核心参数输入!$B$148)+1))/4)=3,核心参数输入!$B$40,核心参数输入!$B$41))))-0)+(MAX(0,BS14-0)-MAX(0,IF(INT((67-((核心参数输入!$B$18-1)*4+(核心参数输入!$B$148)+1))/4)=0,0,IF(INT((67-((核心参数输入!$B$18-1)*4+(核心参数输入!$B$148)+1))/4)=1,核心参数输入!$B$38,IF(INT((67-((核心参数输入!$B$18-1)*4+(核心参数输入!$B$148)+1))/4)=2,核心参数输入!$B$39,IF(INT((67-((核心参数输入!$B$18-1)*4+(核心参数输入!$B$148)+1))/4)=3,核心参数输入!$B$40,核心参数输入!$B$41))))-0))*(MOD(67-((核心参数输入!$B$18-1)*4+(核心参数输入!$B$148)+1),4)+1)/4),0)</f>
        <v>0.9</v>
      </c>
      <c r="BT15" s="22">
        <f>IF(68&lt;=核心参数输入!$B$9*4,IF(68&lt;((核心参数输入!$B$18-1)*4+(核心参数输入!$B$148)+1),0,MAX(0,IF(INT((68-((核心参数输入!$B$18-1)*4+(核心参数输入!$B$148)+1))/4)=0,0,IF(INT((68-((核心参数输入!$B$18-1)*4+(核心参数输入!$B$148)+1))/4)=1,核心参数输入!$B$38,IF(INT((68-((核心参数输入!$B$18-1)*4+(核心参数输入!$B$148)+1))/4)=2,核心参数输入!$B$39,IF(INT((68-((核心参数输入!$B$18-1)*4+(核心参数输入!$B$148)+1))/4)=3,核心参数输入!$B$40,核心参数输入!$B$41))))-0)+(MAX(0,BT14-0)-MAX(0,IF(INT((68-((核心参数输入!$B$18-1)*4+(核心参数输入!$B$148)+1))/4)=0,0,IF(INT((68-((核心参数输入!$B$18-1)*4+(核心参数输入!$B$148)+1))/4)=1,核心参数输入!$B$38,IF(INT((68-((核心参数输入!$B$18-1)*4+(核心参数输入!$B$148)+1))/4)=2,核心参数输入!$B$39,IF(INT((68-((核心参数输入!$B$18-1)*4+(核心参数输入!$B$148)+1))/4)=3,核心参数输入!$B$40,核心参数输入!$B$41))))-0))*(MOD(68-((核心参数输入!$B$18-1)*4+(核心参数输入!$B$148)+1),4)+1)/4),0)</f>
        <v>0.9</v>
      </c>
      <c r="BU15" s="22">
        <f>IF(69&lt;=核心参数输入!$B$9*4,IF(69&lt;((核心参数输入!$B$18-1)*4+(核心参数输入!$B$148)+1),0,MAX(0,IF(INT((69-((核心参数输入!$B$18-1)*4+(核心参数输入!$B$148)+1))/4)=0,0,IF(INT((69-((核心参数输入!$B$18-1)*4+(核心参数输入!$B$148)+1))/4)=1,核心参数输入!$B$38,IF(INT((69-((核心参数输入!$B$18-1)*4+(核心参数输入!$B$148)+1))/4)=2,核心参数输入!$B$39,IF(INT((69-((核心参数输入!$B$18-1)*4+(核心参数输入!$B$148)+1))/4)=3,核心参数输入!$B$40,核心参数输入!$B$41))))-0)+(MAX(0,BU14-0)-MAX(0,IF(INT((69-((核心参数输入!$B$18-1)*4+(核心参数输入!$B$148)+1))/4)=0,0,IF(INT((69-((核心参数输入!$B$18-1)*4+(核心参数输入!$B$148)+1))/4)=1,核心参数输入!$B$38,IF(INT((69-((核心参数输入!$B$18-1)*4+(核心参数输入!$B$148)+1))/4)=2,核心参数输入!$B$39,IF(INT((69-((核心参数输入!$B$18-1)*4+(核心参数输入!$B$148)+1))/4)=3,核心参数输入!$B$40,核心参数输入!$B$41))))-0))*(MOD(69-((核心参数输入!$B$18-1)*4+(核心参数输入!$B$148)+1),4)+1)/4),0)</f>
        <v>0.9</v>
      </c>
      <c r="BV15" s="22">
        <f>IF(70&lt;=核心参数输入!$B$9*4,IF(70&lt;((核心参数输入!$B$18-1)*4+(核心参数输入!$B$148)+1),0,MAX(0,IF(INT((70-((核心参数输入!$B$18-1)*4+(核心参数输入!$B$148)+1))/4)=0,0,IF(INT((70-((核心参数输入!$B$18-1)*4+(核心参数输入!$B$148)+1))/4)=1,核心参数输入!$B$38,IF(INT((70-((核心参数输入!$B$18-1)*4+(核心参数输入!$B$148)+1))/4)=2,核心参数输入!$B$39,IF(INT((70-((核心参数输入!$B$18-1)*4+(核心参数输入!$B$148)+1))/4)=3,核心参数输入!$B$40,核心参数输入!$B$41))))-0)+(MAX(0,BV14-0)-MAX(0,IF(INT((70-((核心参数输入!$B$18-1)*4+(核心参数输入!$B$148)+1))/4)=0,0,IF(INT((70-((核心参数输入!$B$18-1)*4+(核心参数输入!$B$148)+1))/4)=1,核心参数输入!$B$38,IF(INT((70-((核心参数输入!$B$18-1)*4+(核心参数输入!$B$148)+1))/4)=2,核心参数输入!$B$39,IF(INT((70-((核心参数输入!$B$18-1)*4+(核心参数输入!$B$148)+1))/4)=3,核心参数输入!$B$40,核心参数输入!$B$41))))-0))*(MOD(70-((核心参数输入!$B$18-1)*4+(核心参数输入!$B$148)+1),4)+1)/4),0)</f>
        <v>0.9</v>
      </c>
      <c r="BW15" s="22">
        <f>IF(71&lt;=核心参数输入!$B$9*4,IF(71&lt;((核心参数输入!$B$18-1)*4+(核心参数输入!$B$148)+1),0,MAX(0,IF(INT((71-((核心参数输入!$B$18-1)*4+(核心参数输入!$B$148)+1))/4)=0,0,IF(INT((71-((核心参数输入!$B$18-1)*4+(核心参数输入!$B$148)+1))/4)=1,核心参数输入!$B$38,IF(INT((71-((核心参数输入!$B$18-1)*4+(核心参数输入!$B$148)+1))/4)=2,核心参数输入!$B$39,IF(INT((71-((核心参数输入!$B$18-1)*4+(核心参数输入!$B$148)+1))/4)=3,核心参数输入!$B$40,核心参数输入!$B$41))))-0)+(MAX(0,BW14-0)-MAX(0,IF(INT((71-((核心参数输入!$B$18-1)*4+(核心参数输入!$B$148)+1))/4)=0,0,IF(INT((71-((核心参数输入!$B$18-1)*4+(核心参数输入!$B$148)+1))/4)=1,核心参数输入!$B$38,IF(INT((71-((核心参数输入!$B$18-1)*4+(核心参数输入!$B$148)+1))/4)=2,核心参数输入!$B$39,IF(INT((71-((核心参数输入!$B$18-1)*4+(核心参数输入!$B$148)+1))/4)=3,核心参数输入!$B$40,核心参数输入!$B$41))))-0))*(MOD(71-((核心参数输入!$B$18-1)*4+(核心参数输入!$B$148)+1),4)+1)/4),0)</f>
        <v>0.9</v>
      </c>
      <c r="BX15" s="22">
        <f>IF(72&lt;=核心参数输入!$B$9*4,IF(72&lt;((核心参数输入!$B$18-1)*4+(核心参数输入!$B$148)+1),0,MAX(0,IF(INT((72-((核心参数输入!$B$18-1)*4+(核心参数输入!$B$148)+1))/4)=0,0,IF(INT((72-((核心参数输入!$B$18-1)*4+(核心参数输入!$B$148)+1))/4)=1,核心参数输入!$B$38,IF(INT((72-((核心参数输入!$B$18-1)*4+(核心参数输入!$B$148)+1))/4)=2,核心参数输入!$B$39,IF(INT((72-((核心参数输入!$B$18-1)*4+(核心参数输入!$B$148)+1))/4)=3,核心参数输入!$B$40,核心参数输入!$B$41))))-0)+(MAX(0,BX14-0)-MAX(0,IF(INT((72-((核心参数输入!$B$18-1)*4+(核心参数输入!$B$148)+1))/4)=0,0,IF(INT((72-((核心参数输入!$B$18-1)*4+(核心参数输入!$B$148)+1))/4)=1,核心参数输入!$B$38,IF(INT((72-((核心参数输入!$B$18-1)*4+(核心参数输入!$B$148)+1))/4)=2,核心参数输入!$B$39,IF(INT((72-((核心参数输入!$B$18-1)*4+(核心参数输入!$B$148)+1))/4)=3,核心参数输入!$B$40,核心参数输入!$B$41))))-0))*(MOD(72-((核心参数输入!$B$18-1)*4+(核心参数输入!$B$148)+1),4)+1)/4),0)</f>
        <v>0.9</v>
      </c>
      <c r="BY15" s="22">
        <f>IF(73&lt;=核心参数输入!$B$9*4,IF(73&lt;((核心参数输入!$B$18-1)*4+(核心参数输入!$B$148)+1),0,MAX(0,IF(INT((73-((核心参数输入!$B$18-1)*4+(核心参数输入!$B$148)+1))/4)=0,0,IF(INT((73-((核心参数输入!$B$18-1)*4+(核心参数输入!$B$148)+1))/4)=1,核心参数输入!$B$38,IF(INT((73-((核心参数输入!$B$18-1)*4+(核心参数输入!$B$148)+1))/4)=2,核心参数输入!$B$39,IF(INT((73-((核心参数输入!$B$18-1)*4+(核心参数输入!$B$148)+1))/4)=3,核心参数输入!$B$40,核心参数输入!$B$41))))-0)+(MAX(0,BY14-0)-MAX(0,IF(INT((73-((核心参数输入!$B$18-1)*4+(核心参数输入!$B$148)+1))/4)=0,0,IF(INT((73-((核心参数输入!$B$18-1)*4+(核心参数输入!$B$148)+1))/4)=1,核心参数输入!$B$38,IF(INT((73-((核心参数输入!$B$18-1)*4+(核心参数输入!$B$148)+1))/4)=2,核心参数输入!$B$39,IF(INT((73-((核心参数输入!$B$18-1)*4+(核心参数输入!$B$148)+1))/4)=3,核心参数输入!$B$40,核心参数输入!$B$41))))-0))*(MOD(73-((核心参数输入!$B$18-1)*4+(核心参数输入!$B$148)+1),4)+1)/4),0)</f>
        <v>0.9</v>
      </c>
      <c r="BZ15" s="22">
        <f>IF(74&lt;=核心参数输入!$B$9*4,IF(74&lt;((核心参数输入!$B$18-1)*4+(核心参数输入!$B$148)+1),0,MAX(0,IF(INT((74-((核心参数输入!$B$18-1)*4+(核心参数输入!$B$148)+1))/4)=0,0,IF(INT((74-((核心参数输入!$B$18-1)*4+(核心参数输入!$B$148)+1))/4)=1,核心参数输入!$B$38,IF(INT((74-((核心参数输入!$B$18-1)*4+(核心参数输入!$B$148)+1))/4)=2,核心参数输入!$B$39,IF(INT((74-((核心参数输入!$B$18-1)*4+(核心参数输入!$B$148)+1))/4)=3,核心参数输入!$B$40,核心参数输入!$B$41))))-0)+(MAX(0,BZ14-0)-MAX(0,IF(INT((74-((核心参数输入!$B$18-1)*4+(核心参数输入!$B$148)+1))/4)=0,0,IF(INT((74-((核心参数输入!$B$18-1)*4+(核心参数输入!$B$148)+1))/4)=1,核心参数输入!$B$38,IF(INT((74-((核心参数输入!$B$18-1)*4+(核心参数输入!$B$148)+1))/4)=2,核心参数输入!$B$39,IF(INT((74-((核心参数输入!$B$18-1)*4+(核心参数输入!$B$148)+1))/4)=3,核心参数输入!$B$40,核心参数输入!$B$41))))-0))*(MOD(74-((核心参数输入!$B$18-1)*4+(核心参数输入!$B$148)+1),4)+1)/4),0)</f>
        <v>0.9</v>
      </c>
      <c r="CA15" s="22">
        <f>IF(75&lt;=核心参数输入!$B$9*4,IF(75&lt;((核心参数输入!$B$18-1)*4+(核心参数输入!$B$148)+1),0,MAX(0,IF(INT((75-((核心参数输入!$B$18-1)*4+(核心参数输入!$B$148)+1))/4)=0,0,IF(INT((75-((核心参数输入!$B$18-1)*4+(核心参数输入!$B$148)+1))/4)=1,核心参数输入!$B$38,IF(INT((75-((核心参数输入!$B$18-1)*4+(核心参数输入!$B$148)+1))/4)=2,核心参数输入!$B$39,IF(INT((75-((核心参数输入!$B$18-1)*4+(核心参数输入!$B$148)+1))/4)=3,核心参数输入!$B$40,核心参数输入!$B$41))))-0)+(MAX(0,CA14-0)-MAX(0,IF(INT((75-((核心参数输入!$B$18-1)*4+(核心参数输入!$B$148)+1))/4)=0,0,IF(INT((75-((核心参数输入!$B$18-1)*4+(核心参数输入!$B$148)+1))/4)=1,核心参数输入!$B$38,IF(INT((75-((核心参数输入!$B$18-1)*4+(核心参数输入!$B$148)+1))/4)=2,核心参数输入!$B$39,IF(INT((75-((核心参数输入!$B$18-1)*4+(核心参数输入!$B$148)+1))/4)=3,核心参数输入!$B$40,核心参数输入!$B$41))))-0))*(MOD(75-((核心参数输入!$B$18-1)*4+(核心参数输入!$B$148)+1),4)+1)/4),0)</f>
        <v>0.9</v>
      </c>
      <c r="CB15" s="22">
        <f>IF(76&lt;=核心参数输入!$B$9*4,IF(76&lt;((核心参数输入!$B$18-1)*4+(核心参数输入!$B$148)+1),0,MAX(0,IF(INT((76-((核心参数输入!$B$18-1)*4+(核心参数输入!$B$148)+1))/4)=0,0,IF(INT((76-((核心参数输入!$B$18-1)*4+(核心参数输入!$B$148)+1))/4)=1,核心参数输入!$B$38,IF(INT((76-((核心参数输入!$B$18-1)*4+(核心参数输入!$B$148)+1))/4)=2,核心参数输入!$B$39,IF(INT((76-((核心参数输入!$B$18-1)*4+(核心参数输入!$B$148)+1))/4)=3,核心参数输入!$B$40,核心参数输入!$B$41))))-0)+(MAX(0,CB14-0)-MAX(0,IF(INT((76-((核心参数输入!$B$18-1)*4+(核心参数输入!$B$148)+1))/4)=0,0,IF(INT((76-((核心参数输入!$B$18-1)*4+(核心参数输入!$B$148)+1))/4)=1,核心参数输入!$B$38,IF(INT((76-((核心参数输入!$B$18-1)*4+(核心参数输入!$B$148)+1))/4)=2,核心参数输入!$B$39,IF(INT((76-((核心参数输入!$B$18-1)*4+(核心参数输入!$B$148)+1))/4)=3,核心参数输入!$B$40,核心参数输入!$B$41))))-0))*(MOD(76-((核心参数输入!$B$18-1)*4+(核心参数输入!$B$148)+1),4)+1)/4),0)</f>
        <v>0.9</v>
      </c>
      <c r="CC15" s="22">
        <f>IF(77&lt;=核心参数输入!$B$9*4,IF(77&lt;((核心参数输入!$B$18-1)*4+(核心参数输入!$B$148)+1),0,MAX(0,IF(INT((77-((核心参数输入!$B$18-1)*4+(核心参数输入!$B$148)+1))/4)=0,0,IF(INT((77-((核心参数输入!$B$18-1)*4+(核心参数输入!$B$148)+1))/4)=1,核心参数输入!$B$38,IF(INT((77-((核心参数输入!$B$18-1)*4+(核心参数输入!$B$148)+1))/4)=2,核心参数输入!$B$39,IF(INT((77-((核心参数输入!$B$18-1)*4+(核心参数输入!$B$148)+1))/4)=3,核心参数输入!$B$40,核心参数输入!$B$41))))-0)+(MAX(0,CC14-0)-MAX(0,IF(INT((77-((核心参数输入!$B$18-1)*4+(核心参数输入!$B$148)+1))/4)=0,0,IF(INT((77-((核心参数输入!$B$18-1)*4+(核心参数输入!$B$148)+1))/4)=1,核心参数输入!$B$38,IF(INT((77-((核心参数输入!$B$18-1)*4+(核心参数输入!$B$148)+1))/4)=2,核心参数输入!$B$39,IF(INT((77-((核心参数输入!$B$18-1)*4+(核心参数输入!$B$148)+1))/4)=3,核心参数输入!$B$40,核心参数输入!$B$41))))-0))*(MOD(77-((核心参数输入!$B$18-1)*4+(核心参数输入!$B$148)+1),4)+1)/4),0)</f>
        <v>0.9</v>
      </c>
      <c r="CD15" s="22">
        <f>IF(78&lt;=核心参数输入!$B$9*4,IF(78&lt;((核心参数输入!$B$18-1)*4+(核心参数输入!$B$148)+1),0,MAX(0,IF(INT((78-((核心参数输入!$B$18-1)*4+(核心参数输入!$B$148)+1))/4)=0,0,IF(INT((78-((核心参数输入!$B$18-1)*4+(核心参数输入!$B$148)+1))/4)=1,核心参数输入!$B$38,IF(INT((78-((核心参数输入!$B$18-1)*4+(核心参数输入!$B$148)+1))/4)=2,核心参数输入!$B$39,IF(INT((78-((核心参数输入!$B$18-1)*4+(核心参数输入!$B$148)+1))/4)=3,核心参数输入!$B$40,核心参数输入!$B$41))))-0)+(MAX(0,CD14-0)-MAX(0,IF(INT((78-((核心参数输入!$B$18-1)*4+(核心参数输入!$B$148)+1))/4)=0,0,IF(INT((78-((核心参数输入!$B$18-1)*4+(核心参数输入!$B$148)+1))/4)=1,核心参数输入!$B$38,IF(INT((78-((核心参数输入!$B$18-1)*4+(核心参数输入!$B$148)+1))/4)=2,核心参数输入!$B$39,IF(INT((78-((核心参数输入!$B$18-1)*4+(核心参数输入!$B$148)+1))/4)=3,核心参数输入!$B$40,核心参数输入!$B$41))))-0))*(MOD(78-((核心参数输入!$B$18-1)*4+(核心参数输入!$B$148)+1),4)+1)/4),0)</f>
        <v>0.9</v>
      </c>
      <c r="CE15" s="22">
        <f>IF(79&lt;=核心参数输入!$B$9*4,IF(79&lt;((核心参数输入!$B$18-1)*4+(核心参数输入!$B$148)+1),0,MAX(0,IF(INT((79-((核心参数输入!$B$18-1)*4+(核心参数输入!$B$148)+1))/4)=0,0,IF(INT((79-((核心参数输入!$B$18-1)*4+(核心参数输入!$B$148)+1))/4)=1,核心参数输入!$B$38,IF(INT((79-((核心参数输入!$B$18-1)*4+(核心参数输入!$B$148)+1))/4)=2,核心参数输入!$B$39,IF(INT((79-((核心参数输入!$B$18-1)*4+(核心参数输入!$B$148)+1))/4)=3,核心参数输入!$B$40,核心参数输入!$B$41))))-0)+(MAX(0,CE14-0)-MAX(0,IF(INT((79-((核心参数输入!$B$18-1)*4+(核心参数输入!$B$148)+1))/4)=0,0,IF(INT((79-((核心参数输入!$B$18-1)*4+(核心参数输入!$B$148)+1))/4)=1,核心参数输入!$B$38,IF(INT((79-((核心参数输入!$B$18-1)*4+(核心参数输入!$B$148)+1))/4)=2,核心参数输入!$B$39,IF(INT((79-((核心参数输入!$B$18-1)*4+(核心参数输入!$B$148)+1))/4)=3,核心参数输入!$B$40,核心参数输入!$B$41))))-0))*(MOD(79-((核心参数输入!$B$18-1)*4+(核心参数输入!$B$148)+1),4)+1)/4),0)</f>
        <v>0.9</v>
      </c>
      <c r="CF15" s="22">
        <f>IF(80&lt;=核心参数输入!$B$9*4,IF(80&lt;((核心参数输入!$B$18-1)*4+(核心参数输入!$B$148)+1),0,MAX(0,IF(INT((80-((核心参数输入!$B$18-1)*4+(核心参数输入!$B$148)+1))/4)=0,0,IF(INT((80-((核心参数输入!$B$18-1)*4+(核心参数输入!$B$148)+1))/4)=1,核心参数输入!$B$38,IF(INT((80-((核心参数输入!$B$18-1)*4+(核心参数输入!$B$148)+1))/4)=2,核心参数输入!$B$39,IF(INT((80-((核心参数输入!$B$18-1)*4+(核心参数输入!$B$148)+1))/4)=3,核心参数输入!$B$40,核心参数输入!$B$41))))-0)+(MAX(0,CF14-0)-MAX(0,IF(INT((80-((核心参数输入!$B$18-1)*4+(核心参数输入!$B$148)+1))/4)=0,0,IF(INT((80-((核心参数输入!$B$18-1)*4+(核心参数输入!$B$148)+1))/4)=1,核心参数输入!$B$38,IF(INT((80-((核心参数输入!$B$18-1)*4+(核心参数输入!$B$148)+1))/4)=2,核心参数输入!$B$39,IF(INT((80-((核心参数输入!$B$18-1)*4+(核心参数输入!$B$148)+1))/4)=3,核心参数输入!$B$40,核心参数输入!$B$41))))-0))*(MOD(80-((核心参数输入!$B$18-1)*4+(核心参数输入!$B$148)+1),4)+1)/4),0)</f>
        <v>0.9</v>
      </c>
      <c r="CG15" s="22">
        <f>IF(81&lt;=核心参数输入!$B$9*4,IF(81&lt;((核心参数输入!$B$18-1)*4+(核心参数输入!$B$148)+1),0,MAX(0,IF(INT((81-((核心参数输入!$B$18-1)*4+(核心参数输入!$B$148)+1))/4)=0,0,IF(INT((81-((核心参数输入!$B$18-1)*4+(核心参数输入!$B$148)+1))/4)=1,核心参数输入!$B$38,IF(INT((81-((核心参数输入!$B$18-1)*4+(核心参数输入!$B$148)+1))/4)=2,核心参数输入!$B$39,IF(INT((81-((核心参数输入!$B$18-1)*4+(核心参数输入!$B$148)+1))/4)=3,核心参数输入!$B$40,核心参数输入!$B$41))))-0)+(MAX(0,CG14-0)-MAX(0,IF(INT((81-((核心参数输入!$B$18-1)*4+(核心参数输入!$B$148)+1))/4)=0,0,IF(INT((81-((核心参数输入!$B$18-1)*4+(核心参数输入!$B$148)+1))/4)=1,核心参数输入!$B$38,IF(INT((81-((核心参数输入!$B$18-1)*4+(核心参数输入!$B$148)+1))/4)=2,核心参数输入!$B$39,IF(INT((81-((核心参数输入!$B$18-1)*4+(核心参数输入!$B$148)+1))/4)=3,核心参数输入!$B$40,核心参数输入!$B$41))))-0))*(MOD(81-((核心参数输入!$B$18-1)*4+(核心参数输入!$B$148)+1),4)+1)/4),0)</f>
        <v>0</v>
      </c>
      <c r="CH15" s="22">
        <f>IF(82&lt;=核心参数输入!$B$9*4,IF(82&lt;((核心参数输入!$B$18-1)*4+(核心参数输入!$B$148)+1),0,MAX(0,IF(INT((82-((核心参数输入!$B$18-1)*4+(核心参数输入!$B$148)+1))/4)=0,0,IF(INT((82-((核心参数输入!$B$18-1)*4+(核心参数输入!$B$148)+1))/4)=1,核心参数输入!$B$38,IF(INT((82-((核心参数输入!$B$18-1)*4+(核心参数输入!$B$148)+1))/4)=2,核心参数输入!$B$39,IF(INT((82-((核心参数输入!$B$18-1)*4+(核心参数输入!$B$148)+1))/4)=3,核心参数输入!$B$40,核心参数输入!$B$41))))-0)+(MAX(0,CH14-0)-MAX(0,IF(INT((82-((核心参数输入!$B$18-1)*4+(核心参数输入!$B$148)+1))/4)=0,0,IF(INT((82-((核心参数输入!$B$18-1)*4+(核心参数输入!$B$148)+1))/4)=1,核心参数输入!$B$38,IF(INT((82-((核心参数输入!$B$18-1)*4+(核心参数输入!$B$148)+1))/4)=2,核心参数输入!$B$39,IF(INT((82-((核心参数输入!$B$18-1)*4+(核心参数输入!$B$148)+1))/4)=3,核心参数输入!$B$40,核心参数输入!$B$41))))-0))*(MOD(82-((核心参数输入!$B$18-1)*4+(核心参数输入!$B$148)+1),4)+1)/4),0)</f>
        <v>0</v>
      </c>
      <c r="CI15" s="22">
        <f>IF(83&lt;=核心参数输入!$B$9*4,IF(83&lt;((核心参数输入!$B$18-1)*4+(核心参数输入!$B$148)+1),0,MAX(0,IF(INT((83-((核心参数输入!$B$18-1)*4+(核心参数输入!$B$148)+1))/4)=0,0,IF(INT((83-((核心参数输入!$B$18-1)*4+(核心参数输入!$B$148)+1))/4)=1,核心参数输入!$B$38,IF(INT((83-((核心参数输入!$B$18-1)*4+(核心参数输入!$B$148)+1))/4)=2,核心参数输入!$B$39,IF(INT((83-((核心参数输入!$B$18-1)*4+(核心参数输入!$B$148)+1))/4)=3,核心参数输入!$B$40,核心参数输入!$B$41))))-0)+(MAX(0,CI14-0)-MAX(0,IF(INT((83-((核心参数输入!$B$18-1)*4+(核心参数输入!$B$148)+1))/4)=0,0,IF(INT((83-((核心参数输入!$B$18-1)*4+(核心参数输入!$B$148)+1))/4)=1,核心参数输入!$B$38,IF(INT((83-((核心参数输入!$B$18-1)*4+(核心参数输入!$B$148)+1))/4)=2,核心参数输入!$B$39,IF(INT((83-((核心参数输入!$B$18-1)*4+(核心参数输入!$B$148)+1))/4)=3,核心参数输入!$B$40,核心参数输入!$B$41))))-0))*(MOD(83-((核心参数输入!$B$18-1)*4+(核心参数输入!$B$148)+1),4)+1)/4),0)</f>
        <v>0</v>
      </c>
      <c r="CJ15" s="22">
        <f>IF(84&lt;=核心参数输入!$B$9*4,IF(84&lt;((核心参数输入!$B$18-1)*4+(核心参数输入!$B$148)+1),0,MAX(0,IF(INT((84-((核心参数输入!$B$18-1)*4+(核心参数输入!$B$148)+1))/4)=0,0,IF(INT((84-((核心参数输入!$B$18-1)*4+(核心参数输入!$B$148)+1))/4)=1,核心参数输入!$B$38,IF(INT((84-((核心参数输入!$B$18-1)*4+(核心参数输入!$B$148)+1))/4)=2,核心参数输入!$B$39,IF(INT((84-((核心参数输入!$B$18-1)*4+(核心参数输入!$B$148)+1))/4)=3,核心参数输入!$B$40,核心参数输入!$B$41))))-0)+(MAX(0,CJ14-0)-MAX(0,IF(INT((84-((核心参数输入!$B$18-1)*4+(核心参数输入!$B$148)+1))/4)=0,0,IF(INT((84-((核心参数输入!$B$18-1)*4+(核心参数输入!$B$148)+1))/4)=1,核心参数输入!$B$38,IF(INT((84-((核心参数输入!$B$18-1)*4+(核心参数输入!$B$148)+1))/4)=2,核心参数输入!$B$39,IF(INT((84-((核心参数输入!$B$18-1)*4+(核心参数输入!$B$148)+1))/4)=3,核心参数输入!$B$40,核心参数输入!$B$41))))-0))*(MOD(84-((核心参数输入!$B$18-1)*4+(核心参数输入!$B$148)+1),4)+1)/4),0)</f>
        <v>0</v>
      </c>
      <c r="CK15" s="22">
        <f>IF(85&lt;=核心参数输入!$B$9*4,IF(85&lt;((核心参数输入!$B$18-1)*4+(核心参数输入!$B$148)+1),0,MAX(0,IF(INT((85-((核心参数输入!$B$18-1)*4+(核心参数输入!$B$148)+1))/4)=0,0,IF(INT((85-((核心参数输入!$B$18-1)*4+(核心参数输入!$B$148)+1))/4)=1,核心参数输入!$B$38,IF(INT((85-((核心参数输入!$B$18-1)*4+(核心参数输入!$B$148)+1))/4)=2,核心参数输入!$B$39,IF(INT((85-((核心参数输入!$B$18-1)*4+(核心参数输入!$B$148)+1))/4)=3,核心参数输入!$B$40,核心参数输入!$B$41))))-0)+(MAX(0,CK14-0)-MAX(0,IF(INT((85-((核心参数输入!$B$18-1)*4+(核心参数输入!$B$148)+1))/4)=0,0,IF(INT((85-((核心参数输入!$B$18-1)*4+(核心参数输入!$B$148)+1))/4)=1,核心参数输入!$B$38,IF(INT((85-((核心参数输入!$B$18-1)*4+(核心参数输入!$B$148)+1))/4)=2,核心参数输入!$B$39,IF(INT((85-((核心参数输入!$B$18-1)*4+(核心参数输入!$B$148)+1))/4)=3,核心参数输入!$B$40,核心参数输入!$B$41))))-0))*(MOD(85-((核心参数输入!$B$18-1)*4+(核心参数输入!$B$148)+1),4)+1)/4),0)</f>
        <v>0</v>
      </c>
      <c r="CL15" s="22">
        <f>IF(86&lt;=核心参数输入!$B$9*4,IF(86&lt;((核心参数输入!$B$18-1)*4+(核心参数输入!$B$148)+1),0,MAX(0,IF(INT((86-((核心参数输入!$B$18-1)*4+(核心参数输入!$B$148)+1))/4)=0,0,IF(INT((86-((核心参数输入!$B$18-1)*4+(核心参数输入!$B$148)+1))/4)=1,核心参数输入!$B$38,IF(INT((86-((核心参数输入!$B$18-1)*4+(核心参数输入!$B$148)+1))/4)=2,核心参数输入!$B$39,IF(INT((86-((核心参数输入!$B$18-1)*4+(核心参数输入!$B$148)+1))/4)=3,核心参数输入!$B$40,核心参数输入!$B$41))))-0)+(MAX(0,CL14-0)-MAX(0,IF(INT((86-((核心参数输入!$B$18-1)*4+(核心参数输入!$B$148)+1))/4)=0,0,IF(INT((86-((核心参数输入!$B$18-1)*4+(核心参数输入!$B$148)+1))/4)=1,核心参数输入!$B$38,IF(INT((86-((核心参数输入!$B$18-1)*4+(核心参数输入!$B$148)+1))/4)=2,核心参数输入!$B$39,IF(INT((86-((核心参数输入!$B$18-1)*4+(核心参数输入!$B$148)+1))/4)=3,核心参数输入!$B$40,核心参数输入!$B$41))))-0))*(MOD(86-((核心参数输入!$B$18-1)*4+(核心参数输入!$B$148)+1),4)+1)/4),0)</f>
        <v>0</v>
      </c>
      <c r="CM15" s="22">
        <f>IF(87&lt;=核心参数输入!$B$9*4,IF(87&lt;((核心参数输入!$B$18-1)*4+(核心参数输入!$B$148)+1),0,MAX(0,IF(INT((87-((核心参数输入!$B$18-1)*4+(核心参数输入!$B$148)+1))/4)=0,0,IF(INT((87-((核心参数输入!$B$18-1)*4+(核心参数输入!$B$148)+1))/4)=1,核心参数输入!$B$38,IF(INT((87-((核心参数输入!$B$18-1)*4+(核心参数输入!$B$148)+1))/4)=2,核心参数输入!$B$39,IF(INT((87-((核心参数输入!$B$18-1)*4+(核心参数输入!$B$148)+1))/4)=3,核心参数输入!$B$40,核心参数输入!$B$41))))-0)+(MAX(0,CM14-0)-MAX(0,IF(INT((87-((核心参数输入!$B$18-1)*4+(核心参数输入!$B$148)+1))/4)=0,0,IF(INT((87-((核心参数输入!$B$18-1)*4+(核心参数输入!$B$148)+1))/4)=1,核心参数输入!$B$38,IF(INT((87-((核心参数输入!$B$18-1)*4+(核心参数输入!$B$148)+1))/4)=2,核心参数输入!$B$39,IF(INT((87-((核心参数输入!$B$18-1)*4+(核心参数输入!$B$148)+1))/4)=3,核心参数输入!$B$40,核心参数输入!$B$41))))-0))*(MOD(87-((核心参数输入!$B$18-1)*4+(核心参数输入!$B$148)+1),4)+1)/4),0)</f>
        <v>0</v>
      </c>
      <c r="CN15" s="22">
        <f>IF(88&lt;=核心参数输入!$B$9*4,IF(88&lt;((核心参数输入!$B$18-1)*4+(核心参数输入!$B$148)+1),0,MAX(0,IF(INT((88-((核心参数输入!$B$18-1)*4+(核心参数输入!$B$148)+1))/4)=0,0,IF(INT((88-((核心参数输入!$B$18-1)*4+(核心参数输入!$B$148)+1))/4)=1,核心参数输入!$B$38,IF(INT((88-((核心参数输入!$B$18-1)*4+(核心参数输入!$B$148)+1))/4)=2,核心参数输入!$B$39,IF(INT((88-((核心参数输入!$B$18-1)*4+(核心参数输入!$B$148)+1))/4)=3,核心参数输入!$B$40,核心参数输入!$B$41))))-0)+(MAX(0,CN14-0)-MAX(0,IF(INT((88-((核心参数输入!$B$18-1)*4+(核心参数输入!$B$148)+1))/4)=0,0,IF(INT((88-((核心参数输入!$B$18-1)*4+(核心参数输入!$B$148)+1))/4)=1,核心参数输入!$B$38,IF(INT((88-((核心参数输入!$B$18-1)*4+(核心参数输入!$B$148)+1))/4)=2,核心参数输入!$B$39,IF(INT((88-((核心参数输入!$B$18-1)*4+(核心参数输入!$B$148)+1))/4)=3,核心参数输入!$B$40,核心参数输入!$B$41))))-0))*(MOD(88-((核心参数输入!$B$18-1)*4+(核心参数输入!$B$148)+1),4)+1)/4),0)</f>
        <v>0</v>
      </c>
      <c r="CO15" s="22">
        <f>IF(89&lt;=核心参数输入!$B$9*4,IF(89&lt;((核心参数输入!$B$18-1)*4+(核心参数输入!$B$148)+1),0,MAX(0,IF(INT((89-((核心参数输入!$B$18-1)*4+(核心参数输入!$B$148)+1))/4)=0,0,IF(INT((89-((核心参数输入!$B$18-1)*4+(核心参数输入!$B$148)+1))/4)=1,核心参数输入!$B$38,IF(INT((89-((核心参数输入!$B$18-1)*4+(核心参数输入!$B$148)+1))/4)=2,核心参数输入!$B$39,IF(INT((89-((核心参数输入!$B$18-1)*4+(核心参数输入!$B$148)+1))/4)=3,核心参数输入!$B$40,核心参数输入!$B$41))))-0)+(MAX(0,CO14-0)-MAX(0,IF(INT((89-((核心参数输入!$B$18-1)*4+(核心参数输入!$B$148)+1))/4)=0,0,IF(INT((89-((核心参数输入!$B$18-1)*4+(核心参数输入!$B$148)+1))/4)=1,核心参数输入!$B$38,IF(INT((89-((核心参数输入!$B$18-1)*4+(核心参数输入!$B$148)+1))/4)=2,核心参数输入!$B$39,IF(INT((89-((核心参数输入!$B$18-1)*4+(核心参数输入!$B$148)+1))/4)=3,核心参数输入!$B$40,核心参数输入!$B$41))))-0))*(MOD(89-((核心参数输入!$B$18-1)*4+(核心参数输入!$B$148)+1),4)+1)/4),0)</f>
        <v>0</v>
      </c>
      <c r="CP15" s="22">
        <f>IF(90&lt;=核心参数输入!$B$9*4,IF(90&lt;((核心参数输入!$B$18-1)*4+(核心参数输入!$B$148)+1),0,MAX(0,IF(INT((90-((核心参数输入!$B$18-1)*4+(核心参数输入!$B$148)+1))/4)=0,0,IF(INT((90-((核心参数输入!$B$18-1)*4+(核心参数输入!$B$148)+1))/4)=1,核心参数输入!$B$38,IF(INT((90-((核心参数输入!$B$18-1)*4+(核心参数输入!$B$148)+1))/4)=2,核心参数输入!$B$39,IF(INT((90-((核心参数输入!$B$18-1)*4+(核心参数输入!$B$148)+1))/4)=3,核心参数输入!$B$40,核心参数输入!$B$41))))-0)+(MAX(0,CP14-0)-MAX(0,IF(INT((90-((核心参数输入!$B$18-1)*4+(核心参数输入!$B$148)+1))/4)=0,0,IF(INT((90-((核心参数输入!$B$18-1)*4+(核心参数输入!$B$148)+1))/4)=1,核心参数输入!$B$38,IF(INT((90-((核心参数输入!$B$18-1)*4+(核心参数输入!$B$148)+1))/4)=2,核心参数输入!$B$39,IF(INT((90-((核心参数输入!$B$18-1)*4+(核心参数输入!$B$148)+1))/4)=3,核心参数输入!$B$40,核心参数输入!$B$41))))-0))*(MOD(90-((核心参数输入!$B$18-1)*4+(核心参数输入!$B$148)+1),4)+1)/4),0)</f>
        <v>0</v>
      </c>
      <c r="CQ15" s="22">
        <f>IF(91&lt;=核心参数输入!$B$9*4,IF(91&lt;((核心参数输入!$B$18-1)*4+(核心参数输入!$B$148)+1),0,MAX(0,IF(INT((91-((核心参数输入!$B$18-1)*4+(核心参数输入!$B$148)+1))/4)=0,0,IF(INT((91-((核心参数输入!$B$18-1)*4+(核心参数输入!$B$148)+1))/4)=1,核心参数输入!$B$38,IF(INT((91-((核心参数输入!$B$18-1)*4+(核心参数输入!$B$148)+1))/4)=2,核心参数输入!$B$39,IF(INT((91-((核心参数输入!$B$18-1)*4+(核心参数输入!$B$148)+1))/4)=3,核心参数输入!$B$40,核心参数输入!$B$41))))-0)+(MAX(0,CQ14-0)-MAX(0,IF(INT((91-((核心参数输入!$B$18-1)*4+(核心参数输入!$B$148)+1))/4)=0,0,IF(INT((91-((核心参数输入!$B$18-1)*4+(核心参数输入!$B$148)+1))/4)=1,核心参数输入!$B$38,IF(INT((91-((核心参数输入!$B$18-1)*4+(核心参数输入!$B$148)+1))/4)=2,核心参数输入!$B$39,IF(INT((91-((核心参数输入!$B$18-1)*4+(核心参数输入!$B$148)+1))/4)=3,核心参数输入!$B$40,核心参数输入!$B$41))))-0))*(MOD(91-((核心参数输入!$B$18-1)*4+(核心参数输入!$B$148)+1),4)+1)/4),0)</f>
        <v>0</v>
      </c>
      <c r="CR15" s="22">
        <f>IF(92&lt;=核心参数输入!$B$9*4,IF(92&lt;((核心参数输入!$B$18-1)*4+(核心参数输入!$B$148)+1),0,MAX(0,IF(INT((92-((核心参数输入!$B$18-1)*4+(核心参数输入!$B$148)+1))/4)=0,0,IF(INT((92-((核心参数输入!$B$18-1)*4+(核心参数输入!$B$148)+1))/4)=1,核心参数输入!$B$38,IF(INT((92-((核心参数输入!$B$18-1)*4+(核心参数输入!$B$148)+1))/4)=2,核心参数输入!$B$39,IF(INT((92-((核心参数输入!$B$18-1)*4+(核心参数输入!$B$148)+1))/4)=3,核心参数输入!$B$40,核心参数输入!$B$41))))-0)+(MAX(0,CR14-0)-MAX(0,IF(INT((92-((核心参数输入!$B$18-1)*4+(核心参数输入!$B$148)+1))/4)=0,0,IF(INT((92-((核心参数输入!$B$18-1)*4+(核心参数输入!$B$148)+1))/4)=1,核心参数输入!$B$38,IF(INT((92-((核心参数输入!$B$18-1)*4+(核心参数输入!$B$148)+1))/4)=2,核心参数输入!$B$39,IF(INT((92-((核心参数输入!$B$18-1)*4+(核心参数输入!$B$148)+1))/4)=3,核心参数输入!$B$40,核心参数输入!$B$41))))-0))*(MOD(92-((核心参数输入!$B$18-1)*4+(核心参数输入!$B$148)+1),4)+1)/4),0)</f>
        <v>0</v>
      </c>
      <c r="CS15" s="22">
        <f>IF(93&lt;=核心参数输入!$B$9*4,IF(93&lt;((核心参数输入!$B$18-1)*4+(核心参数输入!$B$148)+1),0,MAX(0,IF(INT((93-((核心参数输入!$B$18-1)*4+(核心参数输入!$B$148)+1))/4)=0,0,IF(INT((93-((核心参数输入!$B$18-1)*4+(核心参数输入!$B$148)+1))/4)=1,核心参数输入!$B$38,IF(INT((93-((核心参数输入!$B$18-1)*4+(核心参数输入!$B$148)+1))/4)=2,核心参数输入!$B$39,IF(INT((93-((核心参数输入!$B$18-1)*4+(核心参数输入!$B$148)+1))/4)=3,核心参数输入!$B$40,核心参数输入!$B$41))))-0)+(MAX(0,CS14-0)-MAX(0,IF(INT((93-((核心参数输入!$B$18-1)*4+(核心参数输入!$B$148)+1))/4)=0,0,IF(INT((93-((核心参数输入!$B$18-1)*4+(核心参数输入!$B$148)+1))/4)=1,核心参数输入!$B$38,IF(INT((93-((核心参数输入!$B$18-1)*4+(核心参数输入!$B$148)+1))/4)=2,核心参数输入!$B$39,IF(INT((93-((核心参数输入!$B$18-1)*4+(核心参数输入!$B$148)+1))/4)=3,核心参数输入!$B$40,核心参数输入!$B$41))))-0))*(MOD(93-((核心参数输入!$B$18-1)*4+(核心参数输入!$B$148)+1),4)+1)/4),0)</f>
        <v>0</v>
      </c>
      <c r="CT15" s="22">
        <f>IF(94&lt;=核心参数输入!$B$9*4,IF(94&lt;((核心参数输入!$B$18-1)*4+(核心参数输入!$B$148)+1),0,MAX(0,IF(INT((94-((核心参数输入!$B$18-1)*4+(核心参数输入!$B$148)+1))/4)=0,0,IF(INT((94-((核心参数输入!$B$18-1)*4+(核心参数输入!$B$148)+1))/4)=1,核心参数输入!$B$38,IF(INT((94-((核心参数输入!$B$18-1)*4+(核心参数输入!$B$148)+1))/4)=2,核心参数输入!$B$39,IF(INT((94-((核心参数输入!$B$18-1)*4+(核心参数输入!$B$148)+1))/4)=3,核心参数输入!$B$40,核心参数输入!$B$41))))-0)+(MAX(0,CT14-0)-MAX(0,IF(INT((94-((核心参数输入!$B$18-1)*4+(核心参数输入!$B$148)+1))/4)=0,0,IF(INT((94-((核心参数输入!$B$18-1)*4+(核心参数输入!$B$148)+1))/4)=1,核心参数输入!$B$38,IF(INT((94-((核心参数输入!$B$18-1)*4+(核心参数输入!$B$148)+1))/4)=2,核心参数输入!$B$39,IF(INT((94-((核心参数输入!$B$18-1)*4+(核心参数输入!$B$148)+1))/4)=3,核心参数输入!$B$40,核心参数输入!$B$41))))-0))*(MOD(94-((核心参数输入!$B$18-1)*4+(核心参数输入!$B$148)+1),4)+1)/4),0)</f>
        <v>0</v>
      </c>
      <c r="CU15" s="22">
        <f>IF(95&lt;=核心参数输入!$B$9*4,IF(95&lt;((核心参数输入!$B$18-1)*4+(核心参数输入!$B$148)+1),0,MAX(0,IF(INT((95-((核心参数输入!$B$18-1)*4+(核心参数输入!$B$148)+1))/4)=0,0,IF(INT((95-((核心参数输入!$B$18-1)*4+(核心参数输入!$B$148)+1))/4)=1,核心参数输入!$B$38,IF(INT((95-((核心参数输入!$B$18-1)*4+(核心参数输入!$B$148)+1))/4)=2,核心参数输入!$B$39,IF(INT((95-((核心参数输入!$B$18-1)*4+(核心参数输入!$B$148)+1))/4)=3,核心参数输入!$B$40,核心参数输入!$B$41))))-0)+(MAX(0,CU14-0)-MAX(0,IF(INT((95-((核心参数输入!$B$18-1)*4+(核心参数输入!$B$148)+1))/4)=0,0,IF(INT((95-((核心参数输入!$B$18-1)*4+(核心参数输入!$B$148)+1))/4)=1,核心参数输入!$B$38,IF(INT((95-((核心参数输入!$B$18-1)*4+(核心参数输入!$B$148)+1))/4)=2,核心参数输入!$B$39,IF(INT((95-((核心参数输入!$B$18-1)*4+(核心参数输入!$B$148)+1))/4)=3,核心参数输入!$B$40,核心参数输入!$B$41))))-0))*(MOD(95-((核心参数输入!$B$18-1)*4+(核心参数输入!$B$148)+1),4)+1)/4),0)</f>
        <v>0</v>
      </c>
      <c r="CV15" s="22">
        <f>IF(96&lt;=核心参数输入!$B$9*4,IF(96&lt;((核心参数输入!$B$18-1)*4+(核心参数输入!$B$148)+1),0,MAX(0,IF(INT((96-((核心参数输入!$B$18-1)*4+(核心参数输入!$B$148)+1))/4)=0,0,IF(INT((96-((核心参数输入!$B$18-1)*4+(核心参数输入!$B$148)+1))/4)=1,核心参数输入!$B$38,IF(INT((96-((核心参数输入!$B$18-1)*4+(核心参数输入!$B$148)+1))/4)=2,核心参数输入!$B$39,IF(INT((96-((核心参数输入!$B$18-1)*4+(核心参数输入!$B$148)+1))/4)=3,核心参数输入!$B$40,核心参数输入!$B$41))))-0)+(MAX(0,CV14-0)-MAX(0,IF(INT((96-((核心参数输入!$B$18-1)*4+(核心参数输入!$B$148)+1))/4)=0,0,IF(INT((96-((核心参数输入!$B$18-1)*4+(核心参数输入!$B$148)+1))/4)=1,核心参数输入!$B$38,IF(INT((96-((核心参数输入!$B$18-1)*4+(核心参数输入!$B$148)+1))/4)=2,核心参数输入!$B$39,IF(INT((96-((核心参数输入!$B$18-1)*4+(核心参数输入!$B$148)+1))/4)=3,核心参数输入!$B$40,核心参数输入!$B$41))))-0))*(MOD(96-((核心参数输入!$B$18-1)*4+(核心参数输入!$B$148)+1),4)+1)/4),0)</f>
        <v>0</v>
      </c>
      <c r="CW15" s="22">
        <f>IF(97&lt;=核心参数输入!$B$9*4,IF(97&lt;((核心参数输入!$B$18-1)*4+(核心参数输入!$B$148)+1),0,MAX(0,IF(INT((97-((核心参数输入!$B$18-1)*4+(核心参数输入!$B$148)+1))/4)=0,0,IF(INT((97-((核心参数输入!$B$18-1)*4+(核心参数输入!$B$148)+1))/4)=1,核心参数输入!$B$38,IF(INT((97-((核心参数输入!$B$18-1)*4+(核心参数输入!$B$148)+1))/4)=2,核心参数输入!$B$39,IF(INT((97-((核心参数输入!$B$18-1)*4+(核心参数输入!$B$148)+1))/4)=3,核心参数输入!$B$40,核心参数输入!$B$41))))-0)+(MAX(0,CW14-0)-MAX(0,IF(INT((97-((核心参数输入!$B$18-1)*4+(核心参数输入!$B$148)+1))/4)=0,0,IF(INT((97-((核心参数输入!$B$18-1)*4+(核心参数输入!$B$148)+1))/4)=1,核心参数输入!$B$38,IF(INT((97-((核心参数输入!$B$18-1)*4+(核心参数输入!$B$148)+1))/4)=2,核心参数输入!$B$39,IF(INT((97-((核心参数输入!$B$18-1)*4+(核心参数输入!$B$148)+1))/4)=3,核心参数输入!$B$40,核心参数输入!$B$41))))-0))*(MOD(97-((核心参数输入!$B$18-1)*4+(核心参数输入!$B$148)+1),4)+1)/4),0)</f>
        <v>0</v>
      </c>
      <c r="CX15" s="22">
        <f>IF(98&lt;=核心参数输入!$B$9*4,IF(98&lt;((核心参数输入!$B$18-1)*4+(核心参数输入!$B$148)+1),0,MAX(0,IF(INT((98-((核心参数输入!$B$18-1)*4+(核心参数输入!$B$148)+1))/4)=0,0,IF(INT((98-((核心参数输入!$B$18-1)*4+(核心参数输入!$B$148)+1))/4)=1,核心参数输入!$B$38,IF(INT((98-((核心参数输入!$B$18-1)*4+(核心参数输入!$B$148)+1))/4)=2,核心参数输入!$B$39,IF(INT((98-((核心参数输入!$B$18-1)*4+(核心参数输入!$B$148)+1))/4)=3,核心参数输入!$B$40,核心参数输入!$B$41))))-0)+(MAX(0,CX14-0)-MAX(0,IF(INT((98-((核心参数输入!$B$18-1)*4+(核心参数输入!$B$148)+1))/4)=0,0,IF(INT((98-((核心参数输入!$B$18-1)*4+(核心参数输入!$B$148)+1))/4)=1,核心参数输入!$B$38,IF(INT((98-((核心参数输入!$B$18-1)*4+(核心参数输入!$B$148)+1))/4)=2,核心参数输入!$B$39,IF(INT((98-((核心参数输入!$B$18-1)*4+(核心参数输入!$B$148)+1))/4)=3,核心参数输入!$B$40,核心参数输入!$B$41))))-0))*(MOD(98-((核心参数输入!$B$18-1)*4+(核心参数输入!$B$148)+1),4)+1)/4),0)</f>
        <v>0</v>
      </c>
      <c r="CY15" s="22">
        <f>IF(99&lt;=核心参数输入!$B$9*4,IF(99&lt;((核心参数输入!$B$18-1)*4+(核心参数输入!$B$148)+1),0,MAX(0,IF(INT((99-((核心参数输入!$B$18-1)*4+(核心参数输入!$B$148)+1))/4)=0,0,IF(INT((99-((核心参数输入!$B$18-1)*4+(核心参数输入!$B$148)+1))/4)=1,核心参数输入!$B$38,IF(INT((99-((核心参数输入!$B$18-1)*4+(核心参数输入!$B$148)+1))/4)=2,核心参数输入!$B$39,IF(INT((99-((核心参数输入!$B$18-1)*4+(核心参数输入!$B$148)+1))/4)=3,核心参数输入!$B$40,核心参数输入!$B$41))))-0)+(MAX(0,CY14-0)-MAX(0,IF(INT((99-((核心参数输入!$B$18-1)*4+(核心参数输入!$B$148)+1))/4)=0,0,IF(INT((99-((核心参数输入!$B$18-1)*4+(核心参数输入!$B$148)+1))/4)=1,核心参数输入!$B$38,IF(INT((99-((核心参数输入!$B$18-1)*4+(核心参数输入!$B$148)+1))/4)=2,核心参数输入!$B$39,IF(INT((99-((核心参数输入!$B$18-1)*4+(核心参数输入!$B$148)+1))/4)=3,核心参数输入!$B$40,核心参数输入!$B$41))))-0))*(MOD(99-((核心参数输入!$B$18-1)*4+(核心参数输入!$B$148)+1),4)+1)/4),0)</f>
        <v>0</v>
      </c>
      <c r="CZ15" s="22">
        <f>IF(100&lt;=核心参数输入!$B$9*4,IF(100&lt;((核心参数输入!$B$18-1)*4+(核心参数输入!$B$148)+1),0,MAX(0,IF(INT((100-((核心参数输入!$B$18-1)*4+(核心参数输入!$B$148)+1))/4)=0,0,IF(INT((100-((核心参数输入!$B$18-1)*4+(核心参数输入!$B$148)+1))/4)=1,核心参数输入!$B$38,IF(INT((100-((核心参数输入!$B$18-1)*4+(核心参数输入!$B$148)+1))/4)=2,核心参数输入!$B$39,IF(INT((100-((核心参数输入!$B$18-1)*4+(核心参数输入!$B$148)+1))/4)=3,核心参数输入!$B$40,核心参数输入!$B$41))))-0)+(MAX(0,CZ14-0)-MAX(0,IF(INT((100-((核心参数输入!$B$18-1)*4+(核心参数输入!$B$148)+1))/4)=0,0,IF(INT((100-((核心参数输入!$B$18-1)*4+(核心参数输入!$B$148)+1))/4)=1,核心参数输入!$B$38,IF(INT((100-((核心参数输入!$B$18-1)*4+(核心参数输入!$B$148)+1))/4)=2,核心参数输入!$B$39,IF(INT((100-((核心参数输入!$B$18-1)*4+(核心参数输入!$B$148)+1))/4)=3,核心参数输入!$B$40,核心参数输入!$B$41))))-0))*(MOD(100-((核心参数输入!$B$18-1)*4+(核心参数输入!$B$148)+1),4)+1)/4),0)</f>
        <v>0</v>
      </c>
      <c r="DA15" s="22">
        <f>IF(101&lt;=核心参数输入!$B$9*4,IF(101&lt;((核心参数输入!$B$18-1)*4+(核心参数输入!$B$148)+1),0,MAX(0,IF(INT((101-((核心参数输入!$B$18-1)*4+(核心参数输入!$B$148)+1))/4)=0,0,IF(INT((101-((核心参数输入!$B$18-1)*4+(核心参数输入!$B$148)+1))/4)=1,核心参数输入!$B$38,IF(INT((101-((核心参数输入!$B$18-1)*4+(核心参数输入!$B$148)+1))/4)=2,核心参数输入!$B$39,IF(INT((101-((核心参数输入!$B$18-1)*4+(核心参数输入!$B$148)+1))/4)=3,核心参数输入!$B$40,核心参数输入!$B$41))))-0)+(MAX(0,DA14-0)-MAX(0,IF(INT((101-((核心参数输入!$B$18-1)*4+(核心参数输入!$B$148)+1))/4)=0,0,IF(INT((101-((核心参数输入!$B$18-1)*4+(核心参数输入!$B$148)+1))/4)=1,核心参数输入!$B$38,IF(INT((101-((核心参数输入!$B$18-1)*4+(核心参数输入!$B$148)+1))/4)=2,核心参数输入!$B$39,IF(INT((101-((核心参数输入!$B$18-1)*4+(核心参数输入!$B$148)+1))/4)=3,核心参数输入!$B$40,核心参数输入!$B$41))))-0))*(MOD(101-((核心参数输入!$B$18-1)*4+(核心参数输入!$B$148)+1),4)+1)/4),0)</f>
        <v>0</v>
      </c>
      <c r="DB15" s="22">
        <f>IF(102&lt;=核心参数输入!$B$9*4,IF(102&lt;((核心参数输入!$B$18-1)*4+(核心参数输入!$B$148)+1),0,MAX(0,IF(INT((102-((核心参数输入!$B$18-1)*4+(核心参数输入!$B$148)+1))/4)=0,0,IF(INT((102-((核心参数输入!$B$18-1)*4+(核心参数输入!$B$148)+1))/4)=1,核心参数输入!$B$38,IF(INT((102-((核心参数输入!$B$18-1)*4+(核心参数输入!$B$148)+1))/4)=2,核心参数输入!$B$39,IF(INT((102-((核心参数输入!$B$18-1)*4+(核心参数输入!$B$148)+1))/4)=3,核心参数输入!$B$40,核心参数输入!$B$41))))-0)+(MAX(0,DB14-0)-MAX(0,IF(INT((102-((核心参数输入!$B$18-1)*4+(核心参数输入!$B$148)+1))/4)=0,0,IF(INT((102-((核心参数输入!$B$18-1)*4+(核心参数输入!$B$148)+1))/4)=1,核心参数输入!$B$38,IF(INT((102-((核心参数输入!$B$18-1)*4+(核心参数输入!$B$148)+1))/4)=2,核心参数输入!$B$39,IF(INT((102-((核心参数输入!$B$18-1)*4+(核心参数输入!$B$148)+1))/4)=3,核心参数输入!$B$40,核心参数输入!$B$41))))-0))*(MOD(102-((核心参数输入!$B$18-1)*4+(核心参数输入!$B$148)+1),4)+1)/4),0)</f>
        <v>0</v>
      </c>
      <c r="DC15" s="22">
        <f>IF(103&lt;=核心参数输入!$B$9*4,IF(103&lt;((核心参数输入!$B$18-1)*4+(核心参数输入!$B$148)+1),0,MAX(0,IF(INT((103-((核心参数输入!$B$18-1)*4+(核心参数输入!$B$148)+1))/4)=0,0,IF(INT((103-((核心参数输入!$B$18-1)*4+(核心参数输入!$B$148)+1))/4)=1,核心参数输入!$B$38,IF(INT((103-((核心参数输入!$B$18-1)*4+(核心参数输入!$B$148)+1))/4)=2,核心参数输入!$B$39,IF(INT((103-((核心参数输入!$B$18-1)*4+(核心参数输入!$B$148)+1))/4)=3,核心参数输入!$B$40,核心参数输入!$B$41))))-0)+(MAX(0,DC14-0)-MAX(0,IF(INT((103-((核心参数输入!$B$18-1)*4+(核心参数输入!$B$148)+1))/4)=0,0,IF(INT((103-((核心参数输入!$B$18-1)*4+(核心参数输入!$B$148)+1))/4)=1,核心参数输入!$B$38,IF(INT((103-((核心参数输入!$B$18-1)*4+(核心参数输入!$B$148)+1))/4)=2,核心参数输入!$B$39,IF(INT((103-((核心参数输入!$B$18-1)*4+(核心参数输入!$B$148)+1))/4)=3,核心参数输入!$B$40,核心参数输入!$B$41))))-0))*(MOD(103-((核心参数输入!$B$18-1)*4+(核心参数输入!$B$148)+1),4)+1)/4),0)</f>
        <v>0</v>
      </c>
      <c r="DD15" s="22">
        <f>IF(104&lt;=核心参数输入!$B$9*4,IF(104&lt;((核心参数输入!$B$18-1)*4+(核心参数输入!$B$148)+1),0,MAX(0,IF(INT((104-((核心参数输入!$B$18-1)*4+(核心参数输入!$B$148)+1))/4)=0,0,IF(INT((104-((核心参数输入!$B$18-1)*4+(核心参数输入!$B$148)+1))/4)=1,核心参数输入!$B$38,IF(INT((104-((核心参数输入!$B$18-1)*4+(核心参数输入!$B$148)+1))/4)=2,核心参数输入!$B$39,IF(INT((104-((核心参数输入!$B$18-1)*4+(核心参数输入!$B$148)+1))/4)=3,核心参数输入!$B$40,核心参数输入!$B$41))))-0)+(MAX(0,DD14-0)-MAX(0,IF(INT((104-((核心参数输入!$B$18-1)*4+(核心参数输入!$B$148)+1))/4)=0,0,IF(INT((104-((核心参数输入!$B$18-1)*4+(核心参数输入!$B$148)+1))/4)=1,核心参数输入!$B$38,IF(INT((104-((核心参数输入!$B$18-1)*4+(核心参数输入!$B$148)+1))/4)=2,核心参数输入!$B$39,IF(INT((104-((核心参数输入!$B$18-1)*4+(核心参数输入!$B$148)+1))/4)=3,核心参数输入!$B$40,核心参数输入!$B$41))))-0))*(MOD(104-((核心参数输入!$B$18-1)*4+(核心参数输入!$B$148)+1),4)+1)/4),0)</f>
        <v>0</v>
      </c>
      <c r="DE15" s="22">
        <f>IF(105&lt;=核心参数输入!$B$9*4,IF(105&lt;((核心参数输入!$B$18-1)*4+(核心参数输入!$B$148)+1),0,MAX(0,IF(INT((105-((核心参数输入!$B$18-1)*4+(核心参数输入!$B$148)+1))/4)=0,0,IF(INT((105-((核心参数输入!$B$18-1)*4+(核心参数输入!$B$148)+1))/4)=1,核心参数输入!$B$38,IF(INT((105-((核心参数输入!$B$18-1)*4+(核心参数输入!$B$148)+1))/4)=2,核心参数输入!$B$39,IF(INT((105-((核心参数输入!$B$18-1)*4+(核心参数输入!$B$148)+1))/4)=3,核心参数输入!$B$40,核心参数输入!$B$41))))-0)+(MAX(0,DE14-0)-MAX(0,IF(INT((105-((核心参数输入!$B$18-1)*4+(核心参数输入!$B$148)+1))/4)=0,0,IF(INT((105-((核心参数输入!$B$18-1)*4+(核心参数输入!$B$148)+1))/4)=1,核心参数输入!$B$38,IF(INT((105-((核心参数输入!$B$18-1)*4+(核心参数输入!$B$148)+1))/4)=2,核心参数输入!$B$39,IF(INT((105-((核心参数输入!$B$18-1)*4+(核心参数输入!$B$148)+1))/4)=3,核心参数输入!$B$40,核心参数输入!$B$41))))-0))*(MOD(105-((核心参数输入!$B$18-1)*4+(核心参数输入!$B$148)+1),4)+1)/4),0)</f>
        <v>0</v>
      </c>
      <c r="DF15" s="22">
        <f>IF(106&lt;=核心参数输入!$B$9*4,IF(106&lt;((核心参数输入!$B$18-1)*4+(核心参数输入!$B$148)+1),0,MAX(0,IF(INT((106-((核心参数输入!$B$18-1)*4+(核心参数输入!$B$148)+1))/4)=0,0,IF(INT((106-((核心参数输入!$B$18-1)*4+(核心参数输入!$B$148)+1))/4)=1,核心参数输入!$B$38,IF(INT((106-((核心参数输入!$B$18-1)*4+(核心参数输入!$B$148)+1))/4)=2,核心参数输入!$B$39,IF(INT((106-((核心参数输入!$B$18-1)*4+(核心参数输入!$B$148)+1))/4)=3,核心参数输入!$B$40,核心参数输入!$B$41))))-0)+(MAX(0,DF14-0)-MAX(0,IF(INT((106-((核心参数输入!$B$18-1)*4+(核心参数输入!$B$148)+1))/4)=0,0,IF(INT((106-((核心参数输入!$B$18-1)*4+(核心参数输入!$B$148)+1))/4)=1,核心参数输入!$B$38,IF(INT((106-((核心参数输入!$B$18-1)*4+(核心参数输入!$B$148)+1))/4)=2,核心参数输入!$B$39,IF(INT((106-((核心参数输入!$B$18-1)*4+(核心参数输入!$B$148)+1))/4)=3,核心参数输入!$B$40,核心参数输入!$B$41))))-0))*(MOD(106-((核心参数输入!$B$18-1)*4+(核心参数输入!$B$148)+1),4)+1)/4),0)</f>
        <v>0</v>
      </c>
      <c r="DG15" s="22">
        <f>IF(107&lt;=核心参数输入!$B$9*4,IF(107&lt;((核心参数输入!$B$18-1)*4+(核心参数输入!$B$148)+1),0,MAX(0,IF(INT((107-((核心参数输入!$B$18-1)*4+(核心参数输入!$B$148)+1))/4)=0,0,IF(INT((107-((核心参数输入!$B$18-1)*4+(核心参数输入!$B$148)+1))/4)=1,核心参数输入!$B$38,IF(INT((107-((核心参数输入!$B$18-1)*4+(核心参数输入!$B$148)+1))/4)=2,核心参数输入!$B$39,IF(INT((107-((核心参数输入!$B$18-1)*4+(核心参数输入!$B$148)+1))/4)=3,核心参数输入!$B$40,核心参数输入!$B$41))))-0)+(MAX(0,DG14-0)-MAX(0,IF(INT((107-((核心参数输入!$B$18-1)*4+(核心参数输入!$B$148)+1))/4)=0,0,IF(INT((107-((核心参数输入!$B$18-1)*4+(核心参数输入!$B$148)+1))/4)=1,核心参数输入!$B$38,IF(INT((107-((核心参数输入!$B$18-1)*4+(核心参数输入!$B$148)+1))/4)=2,核心参数输入!$B$39,IF(INT((107-((核心参数输入!$B$18-1)*4+(核心参数输入!$B$148)+1))/4)=3,核心参数输入!$B$40,核心参数输入!$B$41))))-0))*(MOD(107-((核心参数输入!$B$18-1)*4+(核心参数输入!$B$148)+1),4)+1)/4),0)</f>
        <v>0</v>
      </c>
      <c r="DH15" s="22">
        <f>IF(108&lt;=核心参数输入!$B$9*4,IF(108&lt;((核心参数输入!$B$18-1)*4+(核心参数输入!$B$148)+1),0,MAX(0,IF(INT((108-((核心参数输入!$B$18-1)*4+(核心参数输入!$B$148)+1))/4)=0,0,IF(INT((108-((核心参数输入!$B$18-1)*4+(核心参数输入!$B$148)+1))/4)=1,核心参数输入!$B$38,IF(INT((108-((核心参数输入!$B$18-1)*4+(核心参数输入!$B$148)+1))/4)=2,核心参数输入!$B$39,IF(INT((108-((核心参数输入!$B$18-1)*4+(核心参数输入!$B$148)+1))/4)=3,核心参数输入!$B$40,核心参数输入!$B$41))))-0)+(MAX(0,DH14-0)-MAX(0,IF(INT((108-((核心参数输入!$B$18-1)*4+(核心参数输入!$B$148)+1))/4)=0,0,IF(INT((108-((核心参数输入!$B$18-1)*4+(核心参数输入!$B$148)+1))/4)=1,核心参数输入!$B$38,IF(INT((108-((核心参数输入!$B$18-1)*4+(核心参数输入!$B$148)+1))/4)=2,核心参数输入!$B$39,IF(INT((108-((核心参数输入!$B$18-1)*4+(核心参数输入!$B$148)+1))/4)=3,核心参数输入!$B$40,核心参数输入!$B$41))))-0))*(MOD(108-((核心参数输入!$B$18-1)*4+(核心参数输入!$B$148)+1),4)+1)/4),0)</f>
        <v>0</v>
      </c>
      <c r="DI15" s="22">
        <f>IF(109&lt;=核心参数输入!$B$9*4,IF(109&lt;((核心参数输入!$B$18-1)*4+(核心参数输入!$B$148)+1),0,MAX(0,IF(INT((109-((核心参数输入!$B$18-1)*4+(核心参数输入!$B$148)+1))/4)=0,0,IF(INT((109-((核心参数输入!$B$18-1)*4+(核心参数输入!$B$148)+1))/4)=1,核心参数输入!$B$38,IF(INT((109-((核心参数输入!$B$18-1)*4+(核心参数输入!$B$148)+1))/4)=2,核心参数输入!$B$39,IF(INT((109-((核心参数输入!$B$18-1)*4+(核心参数输入!$B$148)+1))/4)=3,核心参数输入!$B$40,核心参数输入!$B$41))))-0)+(MAX(0,DI14-0)-MAX(0,IF(INT((109-((核心参数输入!$B$18-1)*4+(核心参数输入!$B$148)+1))/4)=0,0,IF(INT((109-((核心参数输入!$B$18-1)*4+(核心参数输入!$B$148)+1))/4)=1,核心参数输入!$B$38,IF(INT((109-((核心参数输入!$B$18-1)*4+(核心参数输入!$B$148)+1))/4)=2,核心参数输入!$B$39,IF(INT((109-((核心参数输入!$B$18-1)*4+(核心参数输入!$B$148)+1))/4)=3,核心参数输入!$B$40,核心参数输入!$B$41))))-0))*(MOD(109-((核心参数输入!$B$18-1)*4+(核心参数输入!$B$148)+1),4)+1)/4),0)</f>
        <v>0</v>
      </c>
      <c r="DJ15" s="22">
        <f>IF(110&lt;=核心参数输入!$B$9*4,IF(110&lt;((核心参数输入!$B$18-1)*4+(核心参数输入!$B$148)+1),0,MAX(0,IF(INT((110-((核心参数输入!$B$18-1)*4+(核心参数输入!$B$148)+1))/4)=0,0,IF(INT((110-((核心参数输入!$B$18-1)*4+(核心参数输入!$B$148)+1))/4)=1,核心参数输入!$B$38,IF(INT((110-((核心参数输入!$B$18-1)*4+(核心参数输入!$B$148)+1))/4)=2,核心参数输入!$B$39,IF(INT((110-((核心参数输入!$B$18-1)*4+(核心参数输入!$B$148)+1))/4)=3,核心参数输入!$B$40,核心参数输入!$B$41))))-0)+(MAX(0,DJ14-0)-MAX(0,IF(INT((110-((核心参数输入!$B$18-1)*4+(核心参数输入!$B$148)+1))/4)=0,0,IF(INT((110-((核心参数输入!$B$18-1)*4+(核心参数输入!$B$148)+1))/4)=1,核心参数输入!$B$38,IF(INT((110-((核心参数输入!$B$18-1)*4+(核心参数输入!$B$148)+1))/4)=2,核心参数输入!$B$39,IF(INT((110-((核心参数输入!$B$18-1)*4+(核心参数输入!$B$148)+1))/4)=3,核心参数输入!$B$40,核心参数输入!$B$41))))-0))*(MOD(110-((核心参数输入!$B$18-1)*4+(核心参数输入!$B$148)+1),4)+1)/4),0)</f>
        <v>0</v>
      </c>
      <c r="DK15" s="22">
        <f>IF(111&lt;=核心参数输入!$B$9*4,IF(111&lt;((核心参数输入!$B$18-1)*4+(核心参数输入!$B$148)+1),0,MAX(0,IF(INT((111-((核心参数输入!$B$18-1)*4+(核心参数输入!$B$148)+1))/4)=0,0,IF(INT((111-((核心参数输入!$B$18-1)*4+(核心参数输入!$B$148)+1))/4)=1,核心参数输入!$B$38,IF(INT((111-((核心参数输入!$B$18-1)*4+(核心参数输入!$B$148)+1))/4)=2,核心参数输入!$B$39,IF(INT((111-((核心参数输入!$B$18-1)*4+(核心参数输入!$B$148)+1))/4)=3,核心参数输入!$B$40,核心参数输入!$B$41))))-0)+(MAX(0,DK14-0)-MAX(0,IF(INT((111-((核心参数输入!$B$18-1)*4+(核心参数输入!$B$148)+1))/4)=0,0,IF(INT((111-((核心参数输入!$B$18-1)*4+(核心参数输入!$B$148)+1))/4)=1,核心参数输入!$B$38,IF(INT((111-((核心参数输入!$B$18-1)*4+(核心参数输入!$B$148)+1))/4)=2,核心参数输入!$B$39,IF(INT((111-((核心参数输入!$B$18-1)*4+(核心参数输入!$B$148)+1))/4)=3,核心参数输入!$B$40,核心参数输入!$B$41))))-0))*(MOD(111-((核心参数输入!$B$18-1)*4+(核心参数输入!$B$148)+1),4)+1)/4),0)</f>
        <v>0</v>
      </c>
      <c r="DL15" s="22">
        <f>IF(112&lt;=核心参数输入!$B$9*4,IF(112&lt;((核心参数输入!$B$18-1)*4+(核心参数输入!$B$148)+1),0,MAX(0,IF(INT((112-((核心参数输入!$B$18-1)*4+(核心参数输入!$B$148)+1))/4)=0,0,IF(INT((112-((核心参数输入!$B$18-1)*4+(核心参数输入!$B$148)+1))/4)=1,核心参数输入!$B$38,IF(INT((112-((核心参数输入!$B$18-1)*4+(核心参数输入!$B$148)+1))/4)=2,核心参数输入!$B$39,IF(INT((112-((核心参数输入!$B$18-1)*4+(核心参数输入!$B$148)+1))/4)=3,核心参数输入!$B$40,核心参数输入!$B$41))))-0)+(MAX(0,DL14-0)-MAX(0,IF(INT((112-((核心参数输入!$B$18-1)*4+(核心参数输入!$B$148)+1))/4)=0,0,IF(INT((112-((核心参数输入!$B$18-1)*4+(核心参数输入!$B$148)+1))/4)=1,核心参数输入!$B$38,IF(INT((112-((核心参数输入!$B$18-1)*4+(核心参数输入!$B$148)+1))/4)=2,核心参数输入!$B$39,IF(INT((112-((核心参数输入!$B$18-1)*4+(核心参数输入!$B$148)+1))/4)=3,核心参数输入!$B$40,核心参数输入!$B$41))))-0))*(MOD(112-((核心参数输入!$B$18-1)*4+(核心参数输入!$B$148)+1),4)+1)/4),0)</f>
        <v>0</v>
      </c>
      <c r="DM15" s="22">
        <f>IF(113&lt;=核心参数输入!$B$9*4,IF(113&lt;((核心参数输入!$B$18-1)*4+(核心参数输入!$B$148)+1),0,MAX(0,IF(INT((113-((核心参数输入!$B$18-1)*4+(核心参数输入!$B$148)+1))/4)=0,0,IF(INT((113-((核心参数输入!$B$18-1)*4+(核心参数输入!$B$148)+1))/4)=1,核心参数输入!$B$38,IF(INT((113-((核心参数输入!$B$18-1)*4+(核心参数输入!$B$148)+1))/4)=2,核心参数输入!$B$39,IF(INT((113-((核心参数输入!$B$18-1)*4+(核心参数输入!$B$148)+1))/4)=3,核心参数输入!$B$40,核心参数输入!$B$41))))-0)+(MAX(0,DM14-0)-MAX(0,IF(INT((113-((核心参数输入!$B$18-1)*4+(核心参数输入!$B$148)+1))/4)=0,0,IF(INT((113-((核心参数输入!$B$18-1)*4+(核心参数输入!$B$148)+1))/4)=1,核心参数输入!$B$38,IF(INT((113-((核心参数输入!$B$18-1)*4+(核心参数输入!$B$148)+1))/4)=2,核心参数输入!$B$39,IF(INT((113-((核心参数输入!$B$18-1)*4+(核心参数输入!$B$148)+1))/4)=3,核心参数输入!$B$40,核心参数输入!$B$41))))-0))*(MOD(113-((核心参数输入!$B$18-1)*4+(核心参数输入!$B$148)+1),4)+1)/4),0)</f>
        <v>0</v>
      </c>
      <c r="DN15" s="22">
        <f>IF(114&lt;=核心参数输入!$B$9*4,IF(114&lt;((核心参数输入!$B$18-1)*4+(核心参数输入!$B$148)+1),0,MAX(0,IF(INT((114-((核心参数输入!$B$18-1)*4+(核心参数输入!$B$148)+1))/4)=0,0,IF(INT((114-((核心参数输入!$B$18-1)*4+(核心参数输入!$B$148)+1))/4)=1,核心参数输入!$B$38,IF(INT((114-((核心参数输入!$B$18-1)*4+(核心参数输入!$B$148)+1))/4)=2,核心参数输入!$B$39,IF(INT((114-((核心参数输入!$B$18-1)*4+(核心参数输入!$B$148)+1))/4)=3,核心参数输入!$B$40,核心参数输入!$B$41))))-0)+(MAX(0,DN14-0)-MAX(0,IF(INT((114-((核心参数输入!$B$18-1)*4+(核心参数输入!$B$148)+1))/4)=0,0,IF(INT((114-((核心参数输入!$B$18-1)*4+(核心参数输入!$B$148)+1))/4)=1,核心参数输入!$B$38,IF(INT((114-((核心参数输入!$B$18-1)*4+(核心参数输入!$B$148)+1))/4)=2,核心参数输入!$B$39,IF(INT((114-((核心参数输入!$B$18-1)*4+(核心参数输入!$B$148)+1))/4)=3,核心参数输入!$B$40,核心参数输入!$B$41))))-0))*(MOD(114-((核心参数输入!$B$18-1)*4+(核心参数输入!$B$148)+1),4)+1)/4),0)</f>
        <v>0</v>
      </c>
      <c r="DO15" s="22">
        <f>IF(115&lt;=核心参数输入!$B$9*4,IF(115&lt;((核心参数输入!$B$18-1)*4+(核心参数输入!$B$148)+1),0,MAX(0,IF(INT((115-((核心参数输入!$B$18-1)*4+(核心参数输入!$B$148)+1))/4)=0,0,IF(INT((115-((核心参数输入!$B$18-1)*4+(核心参数输入!$B$148)+1))/4)=1,核心参数输入!$B$38,IF(INT((115-((核心参数输入!$B$18-1)*4+(核心参数输入!$B$148)+1))/4)=2,核心参数输入!$B$39,IF(INT((115-((核心参数输入!$B$18-1)*4+(核心参数输入!$B$148)+1))/4)=3,核心参数输入!$B$40,核心参数输入!$B$41))))-0)+(MAX(0,DO14-0)-MAX(0,IF(INT((115-((核心参数输入!$B$18-1)*4+(核心参数输入!$B$148)+1))/4)=0,0,IF(INT((115-((核心参数输入!$B$18-1)*4+(核心参数输入!$B$148)+1))/4)=1,核心参数输入!$B$38,IF(INT((115-((核心参数输入!$B$18-1)*4+(核心参数输入!$B$148)+1))/4)=2,核心参数输入!$B$39,IF(INT((115-((核心参数输入!$B$18-1)*4+(核心参数输入!$B$148)+1))/4)=3,核心参数输入!$B$40,核心参数输入!$B$41))))-0))*(MOD(115-((核心参数输入!$B$18-1)*4+(核心参数输入!$B$148)+1),4)+1)/4),0)</f>
        <v>0</v>
      </c>
      <c r="DP15" s="22">
        <f>IF(116&lt;=核心参数输入!$B$9*4,IF(116&lt;((核心参数输入!$B$18-1)*4+(核心参数输入!$B$148)+1),0,MAX(0,IF(INT((116-((核心参数输入!$B$18-1)*4+(核心参数输入!$B$148)+1))/4)=0,0,IF(INT((116-((核心参数输入!$B$18-1)*4+(核心参数输入!$B$148)+1))/4)=1,核心参数输入!$B$38,IF(INT((116-((核心参数输入!$B$18-1)*4+(核心参数输入!$B$148)+1))/4)=2,核心参数输入!$B$39,IF(INT((116-((核心参数输入!$B$18-1)*4+(核心参数输入!$B$148)+1))/4)=3,核心参数输入!$B$40,核心参数输入!$B$41))))-0)+(MAX(0,DP14-0)-MAX(0,IF(INT((116-((核心参数输入!$B$18-1)*4+(核心参数输入!$B$148)+1))/4)=0,0,IF(INT((116-((核心参数输入!$B$18-1)*4+(核心参数输入!$B$148)+1))/4)=1,核心参数输入!$B$38,IF(INT((116-((核心参数输入!$B$18-1)*4+(核心参数输入!$B$148)+1))/4)=2,核心参数输入!$B$39,IF(INT((116-((核心参数输入!$B$18-1)*4+(核心参数输入!$B$148)+1))/4)=3,核心参数输入!$B$40,核心参数输入!$B$41))))-0))*(MOD(116-((核心参数输入!$B$18-1)*4+(核心参数输入!$B$148)+1),4)+1)/4),0)</f>
        <v>0</v>
      </c>
      <c r="DQ15" s="22">
        <f>IF(117&lt;=核心参数输入!$B$9*4,IF(117&lt;((核心参数输入!$B$18-1)*4+(核心参数输入!$B$148)+1),0,MAX(0,IF(INT((117-((核心参数输入!$B$18-1)*4+(核心参数输入!$B$148)+1))/4)=0,0,IF(INT((117-((核心参数输入!$B$18-1)*4+(核心参数输入!$B$148)+1))/4)=1,核心参数输入!$B$38,IF(INT((117-((核心参数输入!$B$18-1)*4+(核心参数输入!$B$148)+1))/4)=2,核心参数输入!$B$39,IF(INT((117-((核心参数输入!$B$18-1)*4+(核心参数输入!$B$148)+1))/4)=3,核心参数输入!$B$40,核心参数输入!$B$41))))-0)+(MAX(0,DQ14-0)-MAX(0,IF(INT((117-((核心参数输入!$B$18-1)*4+(核心参数输入!$B$148)+1))/4)=0,0,IF(INT((117-((核心参数输入!$B$18-1)*4+(核心参数输入!$B$148)+1))/4)=1,核心参数输入!$B$38,IF(INT((117-((核心参数输入!$B$18-1)*4+(核心参数输入!$B$148)+1))/4)=2,核心参数输入!$B$39,IF(INT((117-((核心参数输入!$B$18-1)*4+(核心参数输入!$B$148)+1))/4)=3,核心参数输入!$B$40,核心参数输入!$B$41))))-0))*(MOD(117-((核心参数输入!$B$18-1)*4+(核心参数输入!$B$148)+1),4)+1)/4),0)</f>
        <v>0</v>
      </c>
      <c r="DR15" s="22">
        <f>IF(118&lt;=核心参数输入!$B$9*4,IF(118&lt;((核心参数输入!$B$18-1)*4+(核心参数输入!$B$148)+1),0,MAX(0,IF(INT((118-((核心参数输入!$B$18-1)*4+(核心参数输入!$B$148)+1))/4)=0,0,IF(INT((118-((核心参数输入!$B$18-1)*4+(核心参数输入!$B$148)+1))/4)=1,核心参数输入!$B$38,IF(INT((118-((核心参数输入!$B$18-1)*4+(核心参数输入!$B$148)+1))/4)=2,核心参数输入!$B$39,IF(INT((118-((核心参数输入!$B$18-1)*4+(核心参数输入!$B$148)+1))/4)=3,核心参数输入!$B$40,核心参数输入!$B$41))))-0)+(MAX(0,DR14-0)-MAX(0,IF(INT((118-((核心参数输入!$B$18-1)*4+(核心参数输入!$B$148)+1))/4)=0,0,IF(INT((118-((核心参数输入!$B$18-1)*4+(核心参数输入!$B$148)+1))/4)=1,核心参数输入!$B$38,IF(INT((118-((核心参数输入!$B$18-1)*4+(核心参数输入!$B$148)+1))/4)=2,核心参数输入!$B$39,IF(INT((118-((核心参数输入!$B$18-1)*4+(核心参数输入!$B$148)+1))/4)=3,核心参数输入!$B$40,核心参数输入!$B$41))))-0))*(MOD(118-((核心参数输入!$B$18-1)*4+(核心参数输入!$B$148)+1),4)+1)/4),0)</f>
        <v>0</v>
      </c>
      <c r="DS15" s="22">
        <f>IF(119&lt;=核心参数输入!$B$9*4,IF(119&lt;((核心参数输入!$B$18-1)*4+(核心参数输入!$B$148)+1),0,MAX(0,IF(INT((119-((核心参数输入!$B$18-1)*4+(核心参数输入!$B$148)+1))/4)=0,0,IF(INT((119-((核心参数输入!$B$18-1)*4+(核心参数输入!$B$148)+1))/4)=1,核心参数输入!$B$38,IF(INT((119-((核心参数输入!$B$18-1)*4+(核心参数输入!$B$148)+1))/4)=2,核心参数输入!$B$39,IF(INT((119-((核心参数输入!$B$18-1)*4+(核心参数输入!$B$148)+1))/4)=3,核心参数输入!$B$40,核心参数输入!$B$41))))-0)+(MAX(0,DS14-0)-MAX(0,IF(INT((119-((核心参数输入!$B$18-1)*4+(核心参数输入!$B$148)+1))/4)=0,0,IF(INT((119-((核心参数输入!$B$18-1)*4+(核心参数输入!$B$148)+1))/4)=1,核心参数输入!$B$38,IF(INT((119-((核心参数输入!$B$18-1)*4+(核心参数输入!$B$148)+1))/4)=2,核心参数输入!$B$39,IF(INT((119-((核心参数输入!$B$18-1)*4+(核心参数输入!$B$148)+1))/4)=3,核心参数输入!$B$40,核心参数输入!$B$41))))-0))*(MOD(119-((核心参数输入!$B$18-1)*4+(核心参数输入!$B$148)+1),4)+1)/4),0)</f>
        <v>0</v>
      </c>
      <c r="DT15" s="22">
        <f>IF(120&lt;=核心参数输入!$B$9*4,IF(120&lt;((核心参数输入!$B$18-1)*4+(核心参数输入!$B$148)+1),0,MAX(0,IF(INT((120-((核心参数输入!$B$18-1)*4+(核心参数输入!$B$148)+1))/4)=0,0,IF(INT((120-((核心参数输入!$B$18-1)*4+(核心参数输入!$B$148)+1))/4)=1,核心参数输入!$B$38,IF(INT((120-((核心参数输入!$B$18-1)*4+(核心参数输入!$B$148)+1))/4)=2,核心参数输入!$B$39,IF(INT((120-((核心参数输入!$B$18-1)*4+(核心参数输入!$B$148)+1))/4)=3,核心参数输入!$B$40,核心参数输入!$B$41))))-0)+(MAX(0,DT14-0)-MAX(0,IF(INT((120-((核心参数输入!$B$18-1)*4+(核心参数输入!$B$148)+1))/4)=0,0,IF(INT((120-((核心参数输入!$B$18-1)*4+(核心参数输入!$B$148)+1))/4)=1,核心参数输入!$B$38,IF(INT((120-((核心参数输入!$B$18-1)*4+(核心参数输入!$B$148)+1))/4)=2,核心参数输入!$B$39,IF(INT((120-((核心参数输入!$B$18-1)*4+(核心参数输入!$B$148)+1))/4)=3,核心参数输入!$B$40,核心参数输入!$B$41))))-0))*(MOD(120-((核心参数输入!$B$18-1)*4+(核心参数输入!$B$148)+1),4)+1)/4),0)</f>
        <v>0</v>
      </c>
    </row>
    <row r="16" spans="1:124" ht="21" customHeight="1">
      <c r="A16" s="8" t="s">
        <v>452</v>
      </c>
      <c r="B16" s="8" t="s">
        <v>39</v>
      </c>
      <c r="C16" s="8"/>
      <c r="D16" s="9">
        <f>IF(0&lt;=核心参数输入!$B$9*4,0,0)</f>
        <v>0</v>
      </c>
      <c r="E16" s="9">
        <f>IF(1&lt;=核心参数输入!$B$9*4,季度经营税费!D17,0)</f>
        <v>0</v>
      </c>
      <c r="F16" s="9">
        <f>IF(2&lt;=核心参数输入!$B$9*4,季度经营税费!E17,0)</f>
        <v>0</v>
      </c>
      <c r="G16" s="9">
        <f>IF(3&lt;=核心参数输入!$B$9*4,季度经营税费!F17,0)</f>
        <v>0</v>
      </c>
      <c r="H16" s="9">
        <f>IF(4&lt;=核心参数输入!$B$9*4,季度经营税费!G17,0)</f>
        <v>0</v>
      </c>
      <c r="I16" s="9">
        <f>IF(5&lt;=核心参数输入!$B$9*4,季度经营税费!H17,0)</f>
        <v>0</v>
      </c>
      <c r="J16" s="9">
        <f>IF(6&lt;=核心参数输入!$B$9*4,季度经营税费!I17,0)</f>
        <v>0</v>
      </c>
      <c r="K16" s="9">
        <f>IF(7&lt;=核心参数输入!$B$9*4,季度经营税费!J17,0)</f>
        <v>0</v>
      </c>
      <c r="L16" s="9">
        <f>IF(8&lt;=核心参数输入!$B$9*4,季度经营税费!K17,0)</f>
        <v>0</v>
      </c>
      <c r="M16" s="9">
        <f>IF(9&lt;=核心参数输入!$B$9*4,季度经营税费!L17,0)</f>
        <v>0</v>
      </c>
      <c r="N16" s="9">
        <f>IF(10&lt;=核心参数输入!$B$9*4,季度经营税费!M17,0)</f>
        <v>0</v>
      </c>
      <c r="O16" s="9">
        <f>IF(11&lt;=核心参数输入!$B$9*4,季度经营税费!N17,0)</f>
        <v>0</v>
      </c>
      <c r="P16" s="9">
        <f>IF(12&lt;=核心参数输入!$B$9*4,季度经营税费!O17,0)</f>
        <v>0</v>
      </c>
      <c r="Q16" s="9">
        <f>IF(13&lt;=核心参数输入!$B$9*4,季度经营税费!P17,0)</f>
        <v>0</v>
      </c>
      <c r="R16" s="9">
        <f>IF(14&lt;=核心参数输入!$B$9*4,季度经营税费!Q17,0)</f>
        <v>7593.7499999999991</v>
      </c>
      <c r="S16" s="9">
        <f>IF(15&lt;=核心参数输入!$B$9*4,季度经营税费!R17,0)</f>
        <v>15187.499999999998</v>
      </c>
      <c r="T16" s="9">
        <f>IF(16&lt;=核心参数输入!$B$9*4,季度经营税费!S17,0)</f>
        <v>22781.249999999996</v>
      </c>
      <c r="U16" s="9">
        <f>IF(17&lt;=核心参数输入!$B$9*4,季度经营税费!T17,0)</f>
        <v>30374.999999999996</v>
      </c>
      <c r="V16" s="9">
        <f>IF(18&lt;=核心参数输入!$B$9*4,季度经营税费!U17,0)</f>
        <v>33412.5</v>
      </c>
      <c r="W16" s="9">
        <f>IF(19&lt;=核心参数输入!$B$9*4,季度经营税费!V17,0)</f>
        <v>36449.999999999993</v>
      </c>
      <c r="X16" s="9">
        <f>IF(20&lt;=核心参数输入!$B$9*4,季度经营税费!W17,0)</f>
        <v>39487.499999999993</v>
      </c>
      <c r="Y16" s="9">
        <f>IF(21&lt;=核心参数输入!$B$9*4,季度经营税费!X17,0)</f>
        <v>42524.999999999993</v>
      </c>
      <c r="Z16" s="9">
        <f>IF(22&lt;=核心参数输入!$B$9*4,季度经营税费!Y17,0)</f>
        <v>44803.124999999993</v>
      </c>
      <c r="AA16" s="9">
        <f>IF(23&lt;=核心参数输入!$B$9*4,季度经营税费!Z17,0)</f>
        <v>47081.249999999985</v>
      </c>
      <c r="AB16" s="9">
        <f>IF(24&lt;=核心参数输入!$B$9*4,季度经营税费!AA17,0)</f>
        <v>49359.374999999993</v>
      </c>
      <c r="AC16" s="9">
        <f>IF(25&lt;=核心参数输入!$B$9*4,季度经营税费!AB17,0)</f>
        <v>51637.499999999993</v>
      </c>
      <c r="AD16" s="9">
        <f>IF(26&lt;=核心参数输入!$B$9*4,季度经营税费!AC17,0)</f>
        <v>52396.875</v>
      </c>
      <c r="AE16" s="9">
        <f>IF(27&lt;=核心参数输入!$B$9*4,季度经营税费!AD17,0)</f>
        <v>53156.249999999993</v>
      </c>
      <c r="AF16" s="9">
        <f>IF(28&lt;=核心参数输入!$B$9*4,季度经营税费!AE17,0)</f>
        <v>53915.624999999993</v>
      </c>
      <c r="AG16" s="9">
        <f>IF(29&lt;=核心参数输入!$B$9*4,季度经营税费!AF17,0)</f>
        <v>54674.999999999993</v>
      </c>
      <c r="AH16" s="9">
        <f>IF(30&lt;=核心参数输入!$B$9*4,季度经营税费!AG17,0)</f>
        <v>54674.999999999993</v>
      </c>
      <c r="AI16" s="9">
        <f>IF(31&lt;=核心参数输入!$B$9*4,季度经营税费!AH17,0)</f>
        <v>54674.999999999993</v>
      </c>
      <c r="AJ16" s="9">
        <f>IF(32&lt;=核心参数输入!$B$9*4,季度经营税费!AI17,0)</f>
        <v>54674.999999999993</v>
      </c>
      <c r="AK16" s="9">
        <f>IF(33&lt;=核心参数输入!$B$9*4,季度经营税费!AJ17,0)</f>
        <v>54674.999999999993</v>
      </c>
      <c r="AL16" s="9">
        <f>IF(34&lt;=核心参数输入!$B$9*4,季度经营税费!AK17,0)</f>
        <v>54674.999999999993</v>
      </c>
      <c r="AM16" s="9">
        <f>IF(35&lt;=核心参数输入!$B$9*4,季度经营税费!AL17,0)</f>
        <v>54674.999999999993</v>
      </c>
      <c r="AN16" s="9">
        <f>IF(36&lt;=核心参数输入!$B$9*4,季度经营税费!AM17,0)</f>
        <v>54674.999999999993</v>
      </c>
      <c r="AO16" s="9">
        <f>IF(37&lt;=核心参数输入!$B$9*4,季度经营税费!AN17,0)</f>
        <v>54674.999999999993</v>
      </c>
      <c r="AP16" s="9">
        <f>IF(38&lt;=核心参数输入!$B$9*4,季度经营税费!AO17,0)</f>
        <v>54674.999999999993</v>
      </c>
      <c r="AQ16" s="9">
        <f>IF(39&lt;=核心参数输入!$B$9*4,季度经营税费!AP17,0)</f>
        <v>54674.999999999993</v>
      </c>
      <c r="AR16" s="9">
        <f>IF(40&lt;=核心参数输入!$B$9*4,季度经营税费!AQ17,0)</f>
        <v>54674.999999999993</v>
      </c>
      <c r="AS16" s="9">
        <f>IF(41&lt;=核心参数输入!$B$9*4,季度经营税费!AR17,0)</f>
        <v>54674.999999999993</v>
      </c>
      <c r="AT16" s="9">
        <f>IF(42&lt;=核心参数输入!$B$9*4,季度经营税费!AS17,0)</f>
        <v>54674.999999999993</v>
      </c>
      <c r="AU16" s="9">
        <f>IF(43&lt;=核心参数输入!$B$9*4,季度经营税费!AT17,0)</f>
        <v>54674.999999999993</v>
      </c>
      <c r="AV16" s="9">
        <f>IF(44&lt;=核心参数输入!$B$9*4,季度经营税费!AU17,0)</f>
        <v>54674.999999999993</v>
      </c>
      <c r="AW16" s="9">
        <f>IF(45&lt;=核心参数输入!$B$9*4,季度经营税费!AV17,0)</f>
        <v>54674.999999999993</v>
      </c>
      <c r="AX16" s="9">
        <f>IF(46&lt;=核心参数输入!$B$9*4,季度经营税费!AW17,0)</f>
        <v>54674.999999999993</v>
      </c>
      <c r="AY16" s="9">
        <f>IF(47&lt;=核心参数输入!$B$9*4,季度经营税费!AX17,0)</f>
        <v>54674.999999999993</v>
      </c>
      <c r="AZ16" s="9">
        <f>IF(48&lt;=核心参数输入!$B$9*4,季度经营税费!AY17,0)</f>
        <v>54674.999999999993</v>
      </c>
      <c r="BA16" s="9">
        <f>IF(49&lt;=核心参数输入!$B$9*4,季度经营税费!AZ17,0)</f>
        <v>54674.999999999993</v>
      </c>
      <c r="BB16" s="9">
        <f>IF(50&lt;=核心参数输入!$B$9*4,季度经营税费!BA17,0)</f>
        <v>54674.999999999993</v>
      </c>
      <c r="BC16" s="9">
        <f>IF(51&lt;=核心参数输入!$B$9*4,季度经营税费!BB17,0)</f>
        <v>54674.999999999993</v>
      </c>
      <c r="BD16" s="9">
        <f>IF(52&lt;=核心参数输入!$B$9*4,季度经营税费!BC17,0)</f>
        <v>54674.999999999993</v>
      </c>
      <c r="BE16" s="9">
        <f>IF(53&lt;=核心参数输入!$B$9*4,季度经营税费!BD17,0)</f>
        <v>54674.999999999993</v>
      </c>
      <c r="BF16" s="9">
        <f>IF(54&lt;=核心参数输入!$B$9*4,季度经营税费!BE17,0)</f>
        <v>54674.999999999993</v>
      </c>
      <c r="BG16" s="9">
        <f>IF(55&lt;=核心参数输入!$B$9*4,季度经营税费!BF17,0)</f>
        <v>54674.999999999993</v>
      </c>
      <c r="BH16" s="9">
        <f>IF(56&lt;=核心参数输入!$B$9*4,季度经营税费!BG17,0)</f>
        <v>54674.999999999993</v>
      </c>
      <c r="BI16" s="9">
        <f>IF(57&lt;=核心参数输入!$B$9*4,季度经营税费!BH17,0)</f>
        <v>54674.999999999993</v>
      </c>
      <c r="BJ16" s="9">
        <f>IF(58&lt;=核心参数输入!$B$9*4,季度经营税费!BI17,0)</f>
        <v>54674.999999999993</v>
      </c>
      <c r="BK16" s="9">
        <f>IF(59&lt;=核心参数输入!$B$9*4,季度经营税费!BJ17,0)</f>
        <v>54674.999999999993</v>
      </c>
      <c r="BL16" s="9">
        <f>IF(60&lt;=核心参数输入!$B$9*4,季度经营税费!BK17,0)</f>
        <v>54674.999999999993</v>
      </c>
      <c r="BM16" s="9">
        <f>IF(61&lt;=核心参数输入!$B$9*4,季度经营税费!BL17,0)</f>
        <v>54674.999999999993</v>
      </c>
      <c r="BN16" s="9">
        <f>IF(62&lt;=核心参数输入!$B$9*4,季度经营税费!BM17,0)</f>
        <v>54674.999999999993</v>
      </c>
      <c r="BO16" s="9">
        <f>IF(63&lt;=核心参数输入!$B$9*4,季度经营税费!BN17,0)</f>
        <v>54674.999999999993</v>
      </c>
      <c r="BP16" s="9">
        <f>IF(64&lt;=核心参数输入!$B$9*4,季度经营税费!BO17,0)</f>
        <v>54674.999999999993</v>
      </c>
      <c r="BQ16" s="9">
        <f>IF(65&lt;=核心参数输入!$B$9*4,季度经营税费!BP17,0)</f>
        <v>54674.999999999993</v>
      </c>
      <c r="BR16" s="9">
        <f>IF(66&lt;=核心参数输入!$B$9*4,季度经营税费!BQ17,0)</f>
        <v>54674.999999999993</v>
      </c>
      <c r="BS16" s="9">
        <f>IF(67&lt;=核心参数输入!$B$9*4,季度经营税费!BR17,0)</f>
        <v>54674.999999999993</v>
      </c>
      <c r="BT16" s="9">
        <f>IF(68&lt;=核心参数输入!$B$9*4,季度经营税费!BS17,0)</f>
        <v>54674.999999999993</v>
      </c>
      <c r="BU16" s="9">
        <f>IF(69&lt;=核心参数输入!$B$9*4,季度经营税费!BT17,0)</f>
        <v>54674.999999999993</v>
      </c>
      <c r="BV16" s="9">
        <f>IF(70&lt;=核心参数输入!$B$9*4,季度经营税费!BU17,0)</f>
        <v>54674.999999999993</v>
      </c>
      <c r="BW16" s="9">
        <f>IF(71&lt;=核心参数输入!$B$9*4,季度经营税费!BV17,0)</f>
        <v>54674.999999999993</v>
      </c>
      <c r="BX16" s="9">
        <f>IF(72&lt;=核心参数输入!$B$9*4,季度经营税费!BW17,0)</f>
        <v>54674.999999999993</v>
      </c>
      <c r="BY16" s="9">
        <f>IF(73&lt;=核心参数输入!$B$9*4,季度经营税费!BX17,0)</f>
        <v>54674.999999999993</v>
      </c>
      <c r="BZ16" s="9">
        <f>IF(74&lt;=核心参数输入!$B$9*4,季度经营税费!BY17,0)</f>
        <v>54674.999999999993</v>
      </c>
      <c r="CA16" s="9">
        <f>IF(75&lt;=核心参数输入!$B$9*4,季度经营税费!BZ17,0)</f>
        <v>54674.999999999993</v>
      </c>
      <c r="CB16" s="9">
        <f>IF(76&lt;=核心参数输入!$B$9*4,季度经营税费!CA17,0)</f>
        <v>54674.999999999993</v>
      </c>
      <c r="CC16" s="9">
        <f>IF(77&lt;=核心参数输入!$B$9*4,季度经营税费!CB17,0)</f>
        <v>54674.999999999993</v>
      </c>
      <c r="CD16" s="9">
        <f>IF(78&lt;=核心参数输入!$B$9*4,季度经营税费!CC17,0)</f>
        <v>54674.999999999993</v>
      </c>
      <c r="CE16" s="9">
        <f>IF(79&lt;=核心参数输入!$B$9*4,季度经营税费!CD17,0)</f>
        <v>54674.999999999993</v>
      </c>
      <c r="CF16" s="9">
        <f>IF(80&lt;=核心参数输入!$B$9*4,季度经营税费!CE17,0)</f>
        <v>54674.999999999993</v>
      </c>
      <c r="CG16" s="9">
        <f>IF(81&lt;=核心参数输入!$B$9*4,季度经营税费!CF17,0)</f>
        <v>0</v>
      </c>
      <c r="CH16" s="9">
        <f>IF(82&lt;=核心参数输入!$B$9*4,季度经营税费!CG17,0)</f>
        <v>0</v>
      </c>
      <c r="CI16" s="9">
        <f>IF(83&lt;=核心参数输入!$B$9*4,季度经营税费!CH17,0)</f>
        <v>0</v>
      </c>
      <c r="CJ16" s="9">
        <f>IF(84&lt;=核心参数输入!$B$9*4,季度经营税费!CI17,0)</f>
        <v>0</v>
      </c>
      <c r="CK16" s="9">
        <f>IF(85&lt;=核心参数输入!$B$9*4,季度经营税费!CJ17,0)</f>
        <v>0</v>
      </c>
      <c r="CL16" s="9">
        <f>IF(86&lt;=核心参数输入!$B$9*4,季度经营税费!CK17,0)</f>
        <v>0</v>
      </c>
      <c r="CM16" s="9">
        <f>IF(87&lt;=核心参数输入!$B$9*4,季度经营税费!CL17,0)</f>
        <v>0</v>
      </c>
      <c r="CN16" s="9">
        <f>IF(88&lt;=核心参数输入!$B$9*4,季度经营税费!CM17,0)</f>
        <v>0</v>
      </c>
      <c r="CO16" s="9">
        <f>IF(89&lt;=核心参数输入!$B$9*4,季度经营税费!CN17,0)</f>
        <v>0</v>
      </c>
      <c r="CP16" s="9">
        <f>IF(90&lt;=核心参数输入!$B$9*4,季度经营税费!CO17,0)</f>
        <v>0</v>
      </c>
      <c r="CQ16" s="9">
        <f>IF(91&lt;=核心参数输入!$B$9*4,季度经营税费!CP17,0)</f>
        <v>0</v>
      </c>
      <c r="CR16" s="9">
        <f>IF(92&lt;=核心参数输入!$B$9*4,季度经营税费!CQ17,0)</f>
        <v>0</v>
      </c>
      <c r="CS16" s="9">
        <f>IF(93&lt;=核心参数输入!$B$9*4,季度经营税费!CR17,0)</f>
        <v>0</v>
      </c>
      <c r="CT16" s="9">
        <f>IF(94&lt;=核心参数输入!$B$9*4,季度经营税费!CS17,0)</f>
        <v>0</v>
      </c>
      <c r="CU16" s="9">
        <f>IF(95&lt;=核心参数输入!$B$9*4,季度经营税费!CT17,0)</f>
        <v>0</v>
      </c>
      <c r="CV16" s="9">
        <f>IF(96&lt;=核心参数输入!$B$9*4,季度经营税费!CU17,0)</f>
        <v>0</v>
      </c>
      <c r="CW16" s="9">
        <f>IF(97&lt;=核心参数输入!$B$9*4,季度经营税费!CV17,0)</f>
        <v>0</v>
      </c>
      <c r="CX16" s="9">
        <f>IF(98&lt;=核心参数输入!$B$9*4,季度经营税费!CW17,0)</f>
        <v>0</v>
      </c>
      <c r="CY16" s="9">
        <f>IF(99&lt;=核心参数输入!$B$9*4,季度经营税费!CX17,0)</f>
        <v>0</v>
      </c>
      <c r="CZ16" s="9">
        <f>IF(100&lt;=核心参数输入!$B$9*4,季度经营税费!CY17,0)</f>
        <v>0</v>
      </c>
      <c r="DA16" s="9">
        <f>IF(101&lt;=核心参数输入!$B$9*4,季度经营税费!CZ17,0)</f>
        <v>0</v>
      </c>
      <c r="DB16" s="9">
        <f>IF(102&lt;=核心参数输入!$B$9*4,季度经营税费!DA17,0)</f>
        <v>0</v>
      </c>
      <c r="DC16" s="9">
        <f>IF(103&lt;=核心参数输入!$B$9*4,季度经营税费!DB17,0)</f>
        <v>0</v>
      </c>
      <c r="DD16" s="9">
        <f>IF(104&lt;=核心参数输入!$B$9*4,季度经营税费!DC17,0)</f>
        <v>0</v>
      </c>
      <c r="DE16" s="9">
        <f>IF(105&lt;=核心参数输入!$B$9*4,季度经营税费!DD17,0)</f>
        <v>0</v>
      </c>
      <c r="DF16" s="9">
        <f>IF(106&lt;=核心参数输入!$B$9*4,季度经营税费!DE17,0)</f>
        <v>0</v>
      </c>
      <c r="DG16" s="9">
        <f>IF(107&lt;=核心参数输入!$B$9*4,季度经营税费!DF17,0)</f>
        <v>0</v>
      </c>
      <c r="DH16" s="9">
        <f>IF(108&lt;=核心参数输入!$B$9*4,季度经营税费!DG17,0)</f>
        <v>0</v>
      </c>
      <c r="DI16" s="9">
        <f>IF(109&lt;=核心参数输入!$B$9*4,季度经营税费!DH17,0)</f>
        <v>0</v>
      </c>
      <c r="DJ16" s="9">
        <f>IF(110&lt;=核心参数输入!$B$9*4,季度经营税费!DI17,0)</f>
        <v>0</v>
      </c>
      <c r="DK16" s="9">
        <f>IF(111&lt;=核心参数输入!$B$9*4,季度经营税费!DJ17,0)</f>
        <v>0</v>
      </c>
      <c r="DL16" s="9">
        <f>IF(112&lt;=核心参数输入!$B$9*4,季度经营税费!DK17,0)</f>
        <v>0</v>
      </c>
      <c r="DM16" s="9">
        <f>IF(113&lt;=核心参数输入!$B$9*4,季度经营税费!DL17,0)</f>
        <v>0</v>
      </c>
      <c r="DN16" s="9">
        <f>IF(114&lt;=核心参数输入!$B$9*4,季度经营税费!DM17,0)</f>
        <v>0</v>
      </c>
      <c r="DO16" s="9">
        <f>IF(115&lt;=核心参数输入!$B$9*4,季度经营税费!DN17,0)</f>
        <v>0</v>
      </c>
      <c r="DP16" s="9">
        <f>IF(116&lt;=核心参数输入!$B$9*4,季度经营税费!DO17,0)</f>
        <v>0</v>
      </c>
      <c r="DQ16" s="9">
        <f>IF(117&lt;=核心参数输入!$B$9*4,季度经营税费!DP17,0)</f>
        <v>0</v>
      </c>
      <c r="DR16" s="9">
        <f>IF(118&lt;=核心参数输入!$B$9*4,季度经营税费!DQ17,0)</f>
        <v>0</v>
      </c>
      <c r="DS16" s="9">
        <f>IF(119&lt;=核心参数输入!$B$9*4,季度经营税费!DR17,0)</f>
        <v>0</v>
      </c>
      <c r="DT16" s="9">
        <f>IF(120&lt;=核心参数输入!$B$9*4,季度经营税费!DS17,0)</f>
        <v>0</v>
      </c>
    </row>
    <row r="17" spans="1:124" ht="21" customHeight="1">
      <c r="A17" s="8" t="s">
        <v>453</v>
      </c>
      <c r="B17" s="8" t="s">
        <v>39</v>
      </c>
      <c r="C17" s="8"/>
      <c r="D17" s="9">
        <f>IF(0&lt;=核心参数输入!$B$9*4,(核心参数输入!$B$10*核心参数输入!$B$11*核心参数输入!$B$12*核心参数输入!$B$143)*D15,0)</f>
        <v>0</v>
      </c>
      <c r="E17" s="9">
        <f>IF(1&lt;=核心参数输入!$B$9*4,(核心参数输入!$B$10*核心参数输入!$B$11*核心参数输入!$B$12*核心参数输入!$B$143)*E15,0)</f>
        <v>0</v>
      </c>
      <c r="F17" s="9">
        <f>IF(2&lt;=核心参数输入!$B$9*4,(核心参数输入!$B$10*核心参数输入!$B$11*核心参数输入!$B$12*核心参数输入!$B$143)*F15,0)</f>
        <v>0</v>
      </c>
      <c r="G17" s="9">
        <f>IF(3&lt;=核心参数输入!$B$9*4,(核心参数输入!$B$10*核心参数输入!$B$11*核心参数输入!$B$12*核心参数输入!$B$143)*G15,0)</f>
        <v>0</v>
      </c>
      <c r="H17" s="9">
        <f>IF(4&lt;=核心参数输入!$B$9*4,(核心参数输入!$B$10*核心参数输入!$B$11*核心参数输入!$B$12*核心参数输入!$B$143)*H15,0)</f>
        <v>0</v>
      </c>
      <c r="I17" s="9">
        <f>IF(5&lt;=核心参数输入!$B$9*4,(核心参数输入!$B$10*核心参数输入!$B$11*核心参数输入!$B$12*核心参数输入!$B$143)*I15,0)</f>
        <v>0</v>
      </c>
      <c r="J17" s="9">
        <f>IF(6&lt;=核心参数输入!$B$9*4,(核心参数输入!$B$10*核心参数输入!$B$11*核心参数输入!$B$12*核心参数输入!$B$143)*J15,0)</f>
        <v>0</v>
      </c>
      <c r="K17" s="9">
        <f>IF(7&lt;=核心参数输入!$B$9*4,(核心参数输入!$B$10*核心参数输入!$B$11*核心参数输入!$B$12*核心参数输入!$B$143)*K15,0)</f>
        <v>0</v>
      </c>
      <c r="L17" s="9">
        <f>IF(8&lt;=核心参数输入!$B$9*4,(核心参数输入!$B$10*核心参数输入!$B$11*核心参数输入!$B$12*核心参数输入!$B$143)*L15,0)</f>
        <v>0</v>
      </c>
      <c r="M17" s="9">
        <f>IF(9&lt;=核心参数输入!$B$9*4,(核心参数输入!$B$10*核心参数输入!$B$11*核心参数输入!$B$12*核心参数输入!$B$143)*M15,0)</f>
        <v>0</v>
      </c>
      <c r="N17" s="9">
        <f>IF(10&lt;=核心参数输入!$B$9*4,(核心参数输入!$B$10*核心参数输入!$B$11*核心参数输入!$B$12*核心参数输入!$B$143)*N15,0)</f>
        <v>0</v>
      </c>
      <c r="O17" s="9">
        <f>IF(11&lt;=核心参数输入!$B$9*4,(核心参数输入!$B$10*核心参数输入!$B$11*核心参数输入!$B$12*核心参数输入!$B$143)*O15,0)</f>
        <v>0</v>
      </c>
      <c r="P17" s="9">
        <f>IF(12&lt;=核心参数输入!$B$9*4,(核心参数输入!$B$10*核心参数输入!$B$11*核心参数输入!$B$12*核心参数输入!$B$143)*P15,0)</f>
        <v>0</v>
      </c>
      <c r="Q17" s="9">
        <f>IF(13&lt;=核心参数输入!$B$9*4,(核心参数输入!$B$10*核心参数输入!$B$11*核心参数输入!$B$12*核心参数输入!$B$143)*Q15,0)</f>
        <v>7593.7499999999991</v>
      </c>
      <c r="R17" s="9">
        <f>IF(14&lt;=核心参数输入!$B$9*4,(核心参数输入!$B$10*核心参数输入!$B$11*核心参数输入!$B$12*核心参数输入!$B$143)*R15,0)</f>
        <v>15187.499999999998</v>
      </c>
      <c r="S17" s="9">
        <f>IF(15&lt;=核心参数输入!$B$9*4,(核心参数输入!$B$10*核心参数输入!$B$11*核心参数输入!$B$12*核心参数输入!$B$143)*S15,0)</f>
        <v>22781.249999999996</v>
      </c>
      <c r="T17" s="9">
        <f>IF(16&lt;=核心参数输入!$B$9*4,(核心参数输入!$B$10*核心参数输入!$B$11*核心参数输入!$B$12*核心参数输入!$B$143)*T15,0)</f>
        <v>30374.999999999996</v>
      </c>
      <c r="U17" s="9">
        <f>IF(17&lt;=核心参数输入!$B$9*4,(核心参数输入!$B$10*核心参数输入!$B$11*核心参数输入!$B$12*核心参数输入!$B$143)*U15,0)</f>
        <v>33412.5</v>
      </c>
      <c r="V17" s="9">
        <f>IF(18&lt;=核心参数输入!$B$9*4,(核心参数输入!$B$10*核心参数输入!$B$11*核心参数输入!$B$12*核心参数输入!$B$143)*V15,0)</f>
        <v>36449.999999999993</v>
      </c>
      <c r="W17" s="9">
        <f>IF(19&lt;=核心参数输入!$B$9*4,(核心参数输入!$B$10*核心参数输入!$B$11*核心参数输入!$B$12*核心参数输入!$B$143)*W15,0)</f>
        <v>39487.499999999993</v>
      </c>
      <c r="X17" s="9">
        <f>IF(20&lt;=核心参数输入!$B$9*4,(核心参数输入!$B$10*核心参数输入!$B$11*核心参数输入!$B$12*核心参数输入!$B$143)*X15,0)</f>
        <v>42524.999999999993</v>
      </c>
      <c r="Y17" s="9">
        <f>IF(21&lt;=核心参数输入!$B$9*4,(核心参数输入!$B$10*核心参数输入!$B$11*核心参数输入!$B$12*核心参数输入!$B$143)*Y15,0)</f>
        <v>44803.124999999993</v>
      </c>
      <c r="Z17" s="9">
        <f>IF(22&lt;=核心参数输入!$B$9*4,(核心参数输入!$B$10*核心参数输入!$B$11*核心参数输入!$B$12*核心参数输入!$B$143)*Z15,0)</f>
        <v>47081.249999999985</v>
      </c>
      <c r="AA17" s="9">
        <f>IF(23&lt;=核心参数输入!$B$9*4,(核心参数输入!$B$10*核心参数输入!$B$11*核心参数输入!$B$12*核心参数输入!$B$143)*AA15,0)</f>
        <v>49359.374999999993</v>
      </c>
      <c r="AB17" s="9">
        <f>IF(24&lt;=核心参数输入!$B$9*4,(核心参数输入!$B$10*核心参数输入!$B$11*核心参数输入!$B$12*核心参数输入!$B$143)*AB15,0)</f>
        <v>51637.499999999993</v>
      </c>
      <c r="AC17" s="9">
        <f>IF(25&lt;=核心参数输入!$B$9*4,(核心参数输入!$B$10*核心参数输入!$B$11*核心参数输入!$B$12*核心参数输入!$B$143)*AC15,0)</f>
        <v>52396.875</v>
      </c>
      <c r="AD17" s="9">
        <f>IF(26&lt;=核心参数输入!$B$9*4,(核心参数输入!$B$10*核心参数输入!$B$11*核心参数输入!$B$12*核心参数输入!$B$143)*AD15,0)</f>
        <v>53156.249999999993</v>
      </c>
      <c r="AE17" s="9">
        <f>IF(27&lt;=核心参数输入!$B$9*4,(核心参数输入!$B$10*核心参数输入!$B$11*核心参数输入!$B$12*核心参数输入!$B$143)*AE15,0)</f>
        <v>53915.624999999993</v>
      </c>
      <c r="AF17" s="9">
        <f>IF(28&lt;=核心参数输入!$B$9*4,(核心参数输入!$B$10*核心参数输入!$B$11*核心参数输入!$B$12*核心参数输入!$B$143)*AF15,0)</f>
        <v>54674.999999999993</v>
      </c>
      <c r="AG17" s="9">
        <f>IF(29&lt;=核心参数输入!$B$9*4,(核心参数输入!$B$10*核心参数输入!$B$11*核心参数输入!$B$12*核心参数输入!$B$143)*AG15,0)</f>
        <v>54674.999999999993</v>
      </c>
      <c r="AH17" s="9">
        <f>IF(30&lt;=核心参数输入!$B$9*4,(核心参数输入!$B$10*核心参数输入!$B$11*核心参数输入!$B$12*核心参数输入!$B$143)*AH15,0)</f>
        <v>54674.999999999993</v>
      </c>
      <c r="AI17" s="9">
        <f>IF(31&lt;=核心参数输入!$B$9*4,(核心参数输入!$B$10*核心参数输入!$B$11*核心参数输入!$B$12*核心参数输入!$B$143)*AI15,0)</f>
        <v>54674.999999999993</v>
      </c>
      <c r="AJ17" s="9">
        <f>IF(32&lt;=核心参数输入!$B$9*4,(核心参数输入!$B$10*核心参数输入!$B$11*核心参数输入!$B$12*核心参数输入!$B$143)*AJ15,0)</f>
        <v>54674.999999999993</v>
      </c>
      <c r="AK17" s="9">
        <f>IF(33&lt;=核心参数输入!$B$9*4,(核心参数输入!$B$10*核心参数输入!$B$11*核心参数输入!$B$12*核心参数输入!$B$143)*AK15,0)</f>
        <v>54674.999999999993</v>
      </c>
      <c r="AL17" s="9">
        <f>IF(34&lt;=核心参数输入!$B$9*4,(核心参数输入!$B$10*核心参数输入!$B$11*核心参数输入!$B$12*核心参数输入!$B$143)*AL15,0)</f>
        <v>54674.999999999993</v>
      </c>
      <c r="AM17" s="9">
        <f>IF(35&lt;=核心参数输入!$B$9*4,(核心参数输入!$B$10*核心参数输入!$B$11*核心参数输入!$B$12*核心参数输入!$B$143)*AM15,0)</f>
        <v>54674.999999999993</v>
      </c>
      <c r="AN17" s="9">
        <f>IF(36&lt;=核心参数输入!$B$9*4,(核心参数输入!$B$10*核心参数输入!$B$11*核心参数输入!$B$12*核心参数输入!$B$143)*AN15,0)</f>
        <v>54674.999999999993</v>
      </c>
      <c r="AO17" s="9">
        <f>IF(37&lt;=核心参数输入!$B$9*4,(核心参数输入!$B$10*核心参数输入!$B$11*核心参数输入!$B$12*核心参数输入!$B$143)*AO15,0)</f>
        <v>54674.999999999993</v>
      </c>
      <c r="AP17" s="9">
        <f>IF(38&lt;=核心参数输入!$B$9*4,(核心参数输入!$B$10*核心参数输入!$B$11*核心参数输入!$B$12*核心参数输入!$B$143)*AP15,0)</f>
        <v>54674.999999999993</v>
      </c>
      <c r="AQ17" s="9">
        <f>IF(39&lt;=核心参数输入!$B$9*4,(核心参数输入!$B$10*核心参数输入!$B$11*核心参数输入!$B$12*核心参数输入!$B$143)*AQ15,0)</f>
        <v>54674.999999999993</v>
      </c>
      <c r="AR17" s="9">
        <f>IF(40&lt;=核心参数输入!$B$9*4,(核心参数输入!$B$10*核心参数输入!$B$11*核心参数输入!$B$12*核心参数输入!$B$143)*AR15,0)</f>
        <v>54674.999999999993</v>
      </c>
      <c r="AS17" s="9">
        <f>IF(41&lt;=核心参数输入!$B$9*4,(核心参数输入!$B$10*核心参数输入!$B$11*核心参数输入!$B$12*核心参数输入!$B$143)*AS15,0)</f>
        <v>54674.999999999993</v>
      </c>
      <c r="AT17" s="9">
        <f>IF(42&lt;=核心参数输入!$B$9*4,(核心参数输入!$B$10*核心参数输入!$B$11*核心参数输入!$B$12*核心参数输入!$B$143)*AT15,0)</f>
        <v>54674.999999999993</v>
      </c>
      <c r="AU17" s="9">
        <f>IF(43&lt;=核心参数输入!$B$9*4,(核心参数输入!$B$10*核心参数输入!$B$11*核心参数输入!$B$12*核心参数输入!$B$143)*AU15,0)</f>
        <v>54674.999999999993</v>
      </c>
      <c r="AV17" s="9">
        <f>IF(44&lt;=核心参数输入!$B$9*4,(核心参数输入!$B$10*核心参数输入!$B$11*核心参数输入!$B$12*核心参数输入!$B$143)*AV15,0)</f>
        <v>54674.999999999993</v>
      </c>
      <c r="AW17" s="9">
        <f>IF(45&lt;=核心参数输入!$B$9*4,(核心参数输入!$B$10*核心参数输入!$B$11*核心参数输入!$B$12*核心参数输入!$B$143)*AW15,0)</f>
        <v>54674.999999999993</v>
      </c>
      <c r="AX17" s="9">
        <f>IF(46&lt;=核心参数输入!$B$9*4,(核心参数输入!$B$10*核心参数输入!$B$11*核心参数输入!$B$12*核心参数输入!$B$143)*AX15,0)</f>
        <v>54674.999999999993</v>
      </c>
      <c r="AY17" s="9">
        <f>IF(47&lt;=核心参数输入!$B$9*4,(核心参数输入!$B$10*核心参数输入!$B$11*核心参数输入!$B$12*核心参数输入!$B$143)*AY15,0)</f>
        <v>54674.999999999993</v>
      </c>
      <c r="AZ17" s="9">
        <f>IF(48&lt;=核心参数输入!$B$9*4,(核心参数输入!$B$10*核心参数输入!$B$11*核心参数输入!$B$12*核心参数输入!$B$143)*AZ15,0)</f>
        <v>54674.999999999993</v>
      </c>
      <c r="BA17" s="9">
        <f>IF(49&lt;=核心参数输入!$B$9*4,(核心参数输入!$B$10*核心参数输入!$B$11*核心参数输入!$B$12*核心参数输入!$B$143)*BA15,0)</f>
        <v>54674.999999999993</v>
      </c>
      <c r="BB17" s="9">
        <f>IF(50&lt;=核心参数输入!$B$9*4,(核心参数输入!$B$10*核心参数输入!$B$11*核心参数输入!$B$12*核心参数输入!$B$143)*BB15,0)</f>
        <v>54674.999999999993</v>
      </c>
      <c r="BC17" s="9">
        <f>IF(51&lt;=核心参数输入!$B$9*4,(核心参数输入!$B$10*核心参数输入!$B$11*核心参数输入!$B$12*核心参数输入!$B$143)*BC15,0)</f>
        <v>54674.999999999993</v>
      </c>
      <c r="BD17" s="9">
        <f>IF(52&lt;=核心参数输入!$B$9*4,(核心参数输入!$B$10*核心参数输入!$B$11*核心参数输入!$B$12*核心参数输入!$B$143)*BD15,0)</f>
        <v>54674.999999999993</v>
      </c>
      <c r="BE17" s="9">
        <f>IF(53&lt;=核心参数输入!$B$9*4,(核心参数输入!$B$10*核心参数输入!$B$11*核心参数输入!$B$12*核心参数输入!$B$143)*BE15,0)</f>
        <v>54674.999999999993</v>
      </c>
      <c r="BF17" s="9">
        <f>IF(54&lt;=核心参数输入!$B$9*4,(核心参数输入!$B$10*核心参数输入!$B$11*核心参数输入!$B$12*核心参数输入!$B$143)*BF15,0)</f>
        <v>54674.999999999993</v>
      </c>
      <c r="BG17" s="9">
        <f>IF(55&lt;=核心参数输入!$B$9*4,(核心参数输入!$B$10*核心参数输入!$B$11*核心参数输入!$B$12*核心参数输入!$B$143)*BG15,0)</f>
        <v>54674.999999999993</v>
      </c>
      <c r="BH17" s="9">
        <f>IF(56&lt;=核心参数输入!$B$9*4,(核心参数输入!$B$10*核心参数输入!$B$11*核心参数输入!$B$12*核心参数输入!$B$143)*BH15,0)</f>
        <v>54674.999999999993</v>
      </c>
      <c r="BI17" s="9">
        <f>IF(57&lt;=核心参数输入!$B$9*4,(核心参数输入!$B$10*核心参数输入!$B$11*核心参数输入!$B$12*核心参数输入!$B$143)*BI15,0)</f>
        <v>54674.999999999993</v>
      </c>
      <c r="BJ17" s="9">
        <f>IF(58&lt;=核心参数输入!$B$9*4,(核心参数输入!$B$10*核心参数输入!$B$11*核心参数输入!$B$12*核心参数输入!$B$143)*BJ15,0)</f>
        <v>54674.999999999993</v>
      </c>
      <c r="BK17" s="9">
        <f>IF(59&lt;=核心参数输入!$B$9*4,(核心参数输入!$B$10*核心参数输入!$B$11*核心参数输入!$B$12*核心参数输入!$B$143)*BK15,0)</f>
        <v>54674.999999999993</v>
      </c>
      <c r="BL17" s="9">
        <f>IF(60&lt;=核心参数输入!$B$9*4,(核心参数输入!$B$10*核心参数输入!$B$11*核心参数输入!$B$12*核心参数输入!$B$143)*BL15,0)</f>
        <v>54674.999999999993</v>
      </c>
      <c r="BM17" s="9">
        <f>IF(61&lt;=核心参数输入!$B$9*4,(核心参数输入!$B$10*核心参数输入!$B$11*核心参数输入!$B$12*核心参数输入!$B$143)*BM15,0)</f>
        <v>54674.999999999993</v>
      </c>
      <c r="BN17" s="9">
        <f>IF(62&lt;=核心参数输入!$B$9*4,(核心参数输入!$B$10*核心参数输入!$B$11*核心参数输入!$B$12*核心参数输入!$B$143)*BN15,0)</f>
        <v>54674.999999999993</v>
      </c>
      <c r="BO17" s="9">
        <f>IF(63&lt;=核心参数输入!$B$9*4,(核心参数输入!$B$10*核心参数输入!$B$11*核心参数输入!$B$12*核心参数输入!$B$143)*BO15,0)</f>
        <v>54674.999999999993</v>
      </c>
      <c r="BP17" s="9">
        <f>IF(64&lt;=核心参数输入!$B$9*4,(核心参数输入!$B$10*核心参数输入!$B$11*核心参数输入!$B$12*核心参数输入!$B$143)*BP15,0)</f>
        <v>54674.999999999993</v>
      </c>
      <c r="BQ17" s="9">
        <f>IF(65&lt;=核心参数输入!$B$9*4,(核心参数输入!$B$10*核心参数输入!$B$11*核心参数输入!$B$12*核心参数输入!$B$143)*BQ15,0)</f>
        <v>54674.999999999993</v>
      </c>
      <c r="BR17" s="9">
        <f>IF(66&lt;=核心参数输入!$B$9*4,(核心参数输入!$B$10*核心参数输入!$B$11*核心参数输入!$B$12*核心参数输入!$B$143)*BR15,0)</f>
        <v>54674.999999999993</v>
      </c>
      <c r="BS17" s="9">
        <f>IF(67&lt;=核心参数输入!$B$9*4,(核心参数输入!$B$10*核心参数输入!$B$11*核心参数输入!$B$12*核心参数输入!$B$143)*BS15,0)</f>
        <v>54674.999999999993</v>
      </c>
      <c r="BT17" s="9">
        <f>IF(68&lt;=核心参数输入!$B$9*4,(核心参数输入!$B$10*核心参数输入!$B$11*核心参数输入!$B$12*核心参数输入!$B$143)*BT15,0)</f>
        <v>54674.999999999993</v>
      </c>
      <c r="BU17" s="9">
        <f>IF(69&lt;=核心参数输入!$B$9*4,(核心参数输入!$B$10*核心参数输入!$B$11*核心参数输入!$B$12*核心参数输入!$B$143)*BU15,0)</f>
        <v>54674.999999999993</v>
      </c>
      <c r="BV17" s="9">
        <f>IF(70&lt;=核心参数输入!$B$9*4,(核心参数输入!$B$10*核心参数输入!$B$11*核心参数输入!$B$12*核心参数输入!$B$143)*BV15,0)</f>
        <v>54674.999999999993</v>
      </c>
      <c r="BW17" s="9">
        <f>IF(71&lt;=核心参数输入!$B$9*4,(核心参数输入!$B$10*核心参数输入!$B$11*核心参数输入!$B$12*核心参数输入!$B$143)*BW15,0)</f>
        <v>54674.999999999993</v>
      </c>
      <c r="BX17" s="9">
        <f>IF(72&lt;=核心参数输入!$B$9*4,(核心参数输入!$B$10*核心参数输入!$B$11*核心参数输入!$B$12*核心参数输入!$B$143)*BX15,0)</f>
        <v>54674.999999999993</v>
      </c>
      <c r="BY17" s="9">
        <f>IF(73&lt;=核心参数输入!$B$9*4,(核心参数输入!$B$10*核心参数输入!$B$11*核心参数输入!$B$12*核心参数输入!$B$143)*BY15,0)</f>
        <v>54674.999999999993</v>
      </c>
      <c r="BZ17" s="9">
        <f>IF(74&lt;=核心参数输入!$B$9*4,(核心参数输入!$B$10*核心参数输入!$B$11*核心参数输入!$B$12*核心参数输入!$B$143)*BZ15,0)</f>
        <v>54674.999999999993</v>
      </c>
      <c r="CA17" s="9">
        <f>IF(75&lt;=核心参数输入!$B$9*4,(核心参数输入!$B$10*核心参数输入!$B$11*核心参数输入!$B$12*核心参数输入!$B$143)*CA15,0)</f>
        <v>54674.999999999993</v>
      </c>
      <c r="CB17" s="9">
        <f>IF(76&lt;=核心参数输入!$B$9*4,(核心参数输入!$B$10*核心参数输入!$B$11*核心参数输入!$B$12*核心参数输入!$B$143)*CB15,0)</f>
        <v>54674.999999999993</v>
      </c>
      <c r="CC17" s="9">
        <f>IF(77&lt;=核心参数输入!$B$9*4,(核心参数输入!$B$10*核心参数输入!$B$11*核心参数输入!$B$12*核心参数输入!$B$143)*CC15,0)</f>
        <v>54674.999999999993</v>
      </c>
      <c r="CD17" s="9">
        <f>IF(78&lt;=核心参数输入!$B$9*4,(核心参数输入!$B$10*核心参数输入!$B$11*核心参数输入!$B$12*核心参数输入!$B$143)*CD15,0)</f>
        <v>54674.999999999993</v>
      </c>
      <c r="CE17" s="9">
        <f>IF(79&lt;=核心参数输入!$B$9*4,(核心参数输入!$B$10*核心参数输入!$B$11*核心参数输入!$B$12*核心参数输入!$B$143)*CE15,0)</f>
        <v>54674.999999999993</v>
      </c>
      <c r="CF17" s="9">
        <f>IF(80&lt;=核心参数输入!$B$9*4,(核心参数输入!$B$10*核心参数输入!$B$11*核心参数输入!$B$12*核心参数输入!$B$143)*CF15,0)</f>
        <v>54674.999999999993</v>
      </c>
      <c r="CG17" s="9">
        <f>IF(81&lt;=核心参数输入!$B$9*4,(核心参数输入!$B$10*核心参数输入!$B$11*核心参数输入!$B$12*核心参数输入!$B$143)*CG15,0)</f>
        <v>0</v>
      </c>
      <c r="CH17" s="9">
        <f>IF(82&lt;=核心参数输入!$B$9*4,(核心参数输入!$B$10*核心参数输入!$B$11*核心参数输入!$B$12*核心参数输入!$B$143)*CH15,0)</f>
        <v>0</v>
      </c>
      <c r="CI17" s="9">
        <f>IF(83&lt;=核心参数输入!$B$9*4,(核心参数输入!$B$10*核心参数输入!$B$11*核心参数输入!$B$12*核心参数输入!$B$143)*CI15,0)</f>
        <v>0</v>
      </c>
      <c r="CJ17" s="9">
        <f>IF(84&lt;=核心参数输入!$B$9*4,(核心参数输入!$B$10*核心参数输入!$B$11*核心参数输入!$B$12*核心参数输入!$B$143)*CJ15,0)</f>
        <v>0</v>
      </c>
      <c r="CK17" s="9">
        <f>IF(85&lt;=核心参数输入!$B$9*4,(核心参数输入!$B$10*核心参数输入!$B$11*核心参数输入!$B$12*核心参数输入!$B$143)*CK15,0)</f>
        <v>0</v>
      </c>
      <c r="CL17" s="9">
        <f>IF(86&lt;=核心参数输入!$B$9*4,(核心参数输入!$B$10*核心参数输入!$B$11*核心参数输入!$B$12*核心参数输入!$B$143)*CL15,0)</f>
        <v>0</v>
      </c>
      <c r="CM17" s="9">
        <f>IF(87&lt;=核心参数输入!$B$9*4,(核心参数输入!$B$10*核心参数输入!$B$11*核心参数输入!$B$12*核心参数输入!$B$143)*CM15,0)</f>
        <v>0</v>
      </c>
      <c r="CN17" s="9">
        <f>IF(88&lt;=核心参数输入!$B$9*4,(核心参数输入!$B$10*核心参数输入!$B$11*核心参数输入!$B$12*核心参数输入!$B$143)*CN15,0)</f>
        <v>0</v>
      </c>
      <c r="CO17" s="9">
        <f>IF(89&lt;=核心参数输入!$B$9*4,(核心参数输入!$B$10*核心参数输入!$B$11*核心参数输入!$B$12*核心参数输入!$B$143)*CO15,0)</f>
        <v>0</v>
      </c>
      <c r="CP17" s="9">
        <f>IF(90&lt;=核心参数输入!$B$9*4,(核心参数输入!$B$10*核心参数输入!$B$11*核心参数输入!$B$12*核心参数输入!$B$143)*CP15,0)</f>
        <v>0</v>
      </c>
      <c r="CQ17" s="9">
        <f>IF(91&lt;=核心参数输入!$B$9*4,(核心参数输入!$B$10*核心参数输入!$B$11*核心参数输入!$B$12*核心参数输入!$B$143)*CQ15,0)</f>
        <v>0</v>
      </c>
      <c r="CR17" s="9">
        <f>IF(92&lt;=核心参数输入!$B$9*4,(核心参数输入!$B$10*核心参数输入!$B$11*核心参数输入!$B$12*核心参数输入!$B$143)*CR15,0)</f>
        <v>0</v>
      </c>
      <c r="CS17" s="9">
        <f>IF(93&lt;=核心参数输入!$B$9*4,(核心参数输入!$B$10*核心参数输入!$B$11*核心参数输入!$B$12*核心参数输入!$B$143)*CS15,0)</f>
        <v>0</v>
      </c>
      <c r="CT17" s="9">
        <f>IF(94&lt;=核心参数输入!$B$9*4,(核心参数输入!$B$10*核心参数输入!$B$11*核心参数输入!$B$12*核心参数输入!$B$143)*CT15,0)</f>
        <v>0</v>
      </c>
      <c r="CU17" s="9">
        <f>IF(95&lt;=核心参数输入!$B$9*4,(核心参数输入!$B$10*核心参数输入!$B$11*核心参数输入!$B$12*核心参数输入!$B$143)*CU15,0)</f>
        <v>0</v>
      </c>
      <c r="CV17" s="9">
        <f>IF(96&lt;=核心参数输入!$B$9*4,(核心参数输入!$B$10*核心参数输入!$B$11*核心参数输入!$B$12*核心参数输入!$B$143)*CV15,0)</f>
        <v>0</v>
      </c>
      <c r="CW17" s="9">
        <f>IF(97&lt;=核心参数输入!$B$9*4,(核心参数输入!$B$10*核心参数输入!$B$11*核心参数输入!$B$12*核心参数输入!$B$143)*CW15,0)</f>
        <v>0</v>
      </c>
      <c r="CX17" s="9">
        <f>IF(98&lt;=核心参数输入!$B$9*4,(核心参数输入!$B$10*核心参数输入!$B$11*核心参数输入!$B$12*核心参数输入!$B$143)*CX15,0)</f>
        <v>0</v>
      </c>
      <c r="CY17" s="9">
        <f>IF(99&lt;=核心参数输入!$B$9*4,(核心参数输入!$B$10*核心参数输入!$B$11*核心参数输入!$B$12*核心参数输入!$B$143)*CY15,0)</f>
        <v>0</v>
      </c>
      <c r="CZ17" s="9">
        <f>IF(100&lt;=核心参数输入!$B$9*4,(核心参数输入!$B$10*核心参数输入!$B$11*核心参数输入!$B$12*核心参数输入!$B$143)*CZ15,0)</f>
        <v>0</v>
      </c>
      <c r="DA17" s="9">
        <f>IF(101&lt;=核心参数输入!$B$9*4,(核心参数输入!$B$10*核心参数输入!$B$11*核心参数输入!$B$12*核心参数输入!$B$143)*DA15,0)</f>
        <v>0</v>
      </c>
      <c r="DB17" s="9">
        <f>IF(102&lt;=核心参数输入!$B$9*4,(核心参数输入!$B$10*核心参数输入!$B$11*核心参数输入!$B$12*核心参数输入!$B$143)*DB15,0)</f>
        <v>0</v>
      </c>
      <c r="DC17" s="9">
        <f>IF(103&lt;=核心参数输入!$B$9*4,(核心参数输入!$B$10*核心参数输入!$B$11*核心参数输入!$B$12*核心参数输入!$B$143)*DC15,0)</f>
        <v>0</v>
      </c>
      <c r="DD17" s="9">
        <f>IF(104&lt;=核心参数输入!$B$9*4,(核心参数输入!$B$10*核心参数输入!$B$11*核心参数输入!$B$12*核心参数输入!$B$143)*DD15,0)</f>
        <v>0</v>
      </c>
      <c r="DE17" s="9">
        <f>IF(105&lt;=核心参数输入!$B$9*4,(核心参数输入!$B$10*核心参数输入!$B$11*核心参数输入!$B$12*核心参数输入!$B$143)*DE15,0)</f>
        <v>0</v>
      </c>
      <c r="DF17" s="9">
        <f>IF(106&lt;=核心参数输入!$B$9*4,(核心参数输入!$B$10*核心参数输入!$B$11*核心参数输入!$B$12*核心参数输入!$B$143)*DF15,0)</f>
        <v>0</v>
      </c>
      <c r="DG17" s="9">
        <f>IF(107&lt;=核心参数输入!$B$9*4,(核心参数输入!$B$10*核心参数输入!$B$11*核心参数输入!$B$12*核心参数输入!$B$143)*DG15,0)</f>
        <v>0</v>
      </c>
      <c r="DH17" s="9">
        <f>IF(108&lt;=核心参数输入!$B$9*4,(核心参数输入!$B$10*核心参数输入!$B$11*核心参数输入!$B$12*核心参数输入!$B$143)*DH15,0)</f>
        <v>0</v>
      </c>
      <c r="DI17" s="9">
        <f>IF(109&lt;=核心参数输入!$B$9*4,(核心参数输入!$B$10*核心参数输入!$B$11*核心参数输入!$B$12*核心参数输入!$B$143)*DI15,0)</f>
        <v>0</v>
      </c>
      <c r="DJ17" s="9">
        <f>IF(110&lt;=核心参数输入!$B$9*4,(核心参数输入!$B$10*核心参数输入!$B$11*核心参数输入!$B$12*核心参数输入!$B$143)*DJ15,0)</f>
        <v>0</v>
      </c>
      <c r="DK17" s="9">
        <f>IF(111&lt;=核心参数输入!$B$9*4,(核心参数输入!$B$10*核心参数输入!$B$11*核心参数输入!$B$12*核心参数输入!$B$143)*DK15,0)</f>
        <v>0</v>
      </c>
      <c r="DL17" s="9">
        <f>IF(112&lt;=核心参数输入!$B$9*4,(核心参数输入!$B$10*核心参数输入!$B$11*核心参数输入!$B$12*核心参数输入!$B$143)*DL15,0)</f>
        <v>0</v>
      </c>
      <c r="DM17" s="9">
        <f>IF(113&lt;=核心参数输入!$B$9*4,(核心参数输入!$B$10*核心参数输入!$B$11*核心参数输入!$B$12*核心参数输入!$B$143)*DM15,0)</f>
        <v>0</v>
      </c>
      <c r="DN17" s="9">
        <f>IF(114&lt;=核心参数输入!$B$9*4,(核心参数输入!$B$10*核心参数输入!$B$11*核心参数输入!$B$12*核心参数输入!$B$143)*DN15,0)</f>
        <v>0</v>
      </c>
      <c r="DO17" s="9">
        <f>IF(115&lt;=核心参数输入!$B$9*4,(核心参数输入!$B$10*核心参数输入!$B$11*核心参数输入!$B$12*核心参数输入!$B$143)*DO15,0)</f>
        <v>0</v>
      </c>
      <c r="DP17" s="9">
        <f>IF(116&lt;=核心参数输入!$B$9*4,(核心参数输入!$B$10*核心参数输入!$B$11*核心参数输入!$B$12*核心参数输入!$B$143)*DP15,0)</f>
        <v>0</v>
      </c>
      <c r="DQ17" s="9">
        <f>IF(117&lt;=核心参数输入!$B$9*4,(核心参数输入!$B$10*核心参数输入!$B$11*核心参数输入!$B$12*核心参数输入!$B$143)*DQ15,0)</f>
        <v>0</v>
      </c>
      <c r="DR17" s="9">
        <f>IF(118&lt;=核心参数输入!$B$9*4,(核心参数输入!$B$10*核心参数输入!$B$11*核心参数输入!$B$12*核心参数输入!$B$143)*DR15,0)</f>
        <v>0</v>
      </c>
      <c r="DS17" s="9">
        <f>IF(119&lt;=核心参数输入!$B$9*4,(核心参数输入!$B$10*核心参数输入!$B$11*核心参数输入!$B$12*核心参数输入!$B$143)*DS15,0)</f>
        <v>0</v>
      </c>
      <c r="DT17" s="9">
        <f>IF(120&lt;=核心参数输入!$B$9*4,(核心参数输入!$B$10*核心参数输入!$B$11*核心参数输入!$B$12*核心参数输入!$B$143)*DT15,0)</f>
        <v>0</v>
      </c>
    </row>
    <row r="18" spans="1:124" ht="21" customHeight="1">
      <c r="A18" s="8" t="s">
        <v>454</v>
      </c>
      <c r="B18" s="8" t="s">
        <v>39</v>
      </c>
      <c r="C18" s="8"/>
      <c r="D18" s="9">
        <f>IF(0&lt;=核心参数输入!$B$9*4,MAX(0,D17-D16),0)</f>
        <v>0</v>
      </c>
      <c r="E18" s="9">
        <f>IF(1&lt;=核心参数输入!$B$9*4,MAX(0,E17-E16),0)</f>
        <v>0</v>
      </c>
      <c r="F18" s="9">
        <f>IF(2&lt;=核心参数输入!$B$9*4,MAX(0,F17-F16),0)</f>
        <v>0</v>
      </c>
      <c r="G18" s="9">
        <f>IF(3&lt;=核心参数输入!$B$9*4,MAX(0,G17-G16),0)</f>
        <v>0</v>
      </c>
      <c r="H18" s="9">
        <f>IF(4&lt;=核心参数输入!$B$9*4,MAX(0,H17-H16),0)</f>
        <v>0</v>
      </c>
      <c r="I18" s="9">
        <f>IF(5&lt;=核心参数输入!$B$9*4,MAX(0,I17-I16),0)</f>
        <v>0</v>
      </c>
      <c r="J18" s="9">
        <f>IF(6&lt;=核心参数输入!$B$9*4,MAX(0,J17-J16),0)</f>
        <v>0</v>
      </c>
      <c r="K18" s="9">
        <f>IF(7&lt;=核心参数输入!$B$9*4,MAX(0,K17-K16),0)</f>
        <v>0</v>
      </c>
      <c r="L18" s="9">
        <f>IF(8&lt;=核心参数输入!$B$9*4,MAX(0,L17-L16),0)</f>
        <v>0</v>
      </c>
      <c r="M18" s="9">
        <f>IF(9&lt;=核心参数输入!$B$9*4,MAX(0,M17-M16),0)</f>
        <v>0</v>
      </c>
      <c r="N18" s="9">
        <f>IF(10&lt;=核心参数输入!$B$9*4,MAX(0,N17-N16),0)</f>
        <v>0</v>
      </c>
      <c r="O18" s="9">
        <f>IF(11&lt;=核心参数输入!$B$9*4,MAX(0,O17-O16),0)</f>
        <v>0</v>
      </c>
      <c r="P18" s="9">
        <f>IF(12&lt;=核心参数输入!$B$9*4,MAX(0,P17-P16),0)</f>
        <v>0</v>
      </c>
      <c r="Q18" s="9">
        <f>IF(13&lt;=核心参数输入!$B$9*4,MAX(0,Q17-Q16),0)</f>
        <v>7593.7499999999991</v>
      </c>
      <c r="R18" s="9">
        <f>IF(14&lt;=核心参数输入!$B$9*4,MAX(0,R17-R16),0)</f>
        <v>7593.7499999999991</v>
      </c>
      <c r="S18" s="9">
        <f>IF(15&lt;=核心参数输入!$B$9*4,MAX(0,S17-S16),0)</f>
        <v>7593.7499999999982</v>
      </c>
      <c r="T18" s="9">
        <f>IF(16&lt;=核心参数输入!$B$9*4,MAX(0,T17-T16),0)</f>
        <v>7593.75</v>
      </c>
      <c r="U18" s="9">
        <f>IF(17&lt;=核心参数输入!$B$9*4,MAX(0,U17-U16),0)</f>
        <v>3037.5000000000036</v>
      </c>
      <c r="V18" s="9">
        <f>IF(18&lt;=核心参数输入!$B$9*4,MAX(0,V17-V16),0)</f>
        <v>3037.4999999999927</v>
      </c>
      <c r="W18" s="9">
        <f>IF(19&lt;=核心参数输入!$B$9*4,MAX(0,W17-W16),0)</f>
        <v>3037.5</v>
      </c>
      <c r="X18" s="9">
        <f>IF(20&lt;=核心参数输入!$B$9*4,MAX(0,X17-X16),0)</f>
        <v>3037.5</v>
      </c>
      <c r="Y18" s="9">
        <f>IF(21&lt;=核心参数输入!$B$9*4,MAX(0,Y17-Y16),0)</f>
        <v>2278.125</v>
      </c>
      <c r="Z18" s="9">
        <f>IF(22&lt;=核心参数输入!$B$9*4,MAX(0,Z17-Z16),0)</f>
        <v>2278.1249999999927</v>
      </c>
      <c r="AA18" s="9">
        <f>IF(23&lt;=核心参数输入!$B$9*4,MAX(0,AA17-AA16),0)</f>
        <v>2278.1250000000073</v>
      </c>
      <c r="AB18" s="9">
        <f>IF(24&lt;=核心参数输入!$B$9*4,MAX(0,AB17-AB16),0)</f>
        <v>2278.125</v>
      </c>
      <c r="AC18" s="9">
        <f>IF(25&lt;=核心参数输入!$B$9*4,MAX(0,AC17-AC16),0)</f>
        <v>759.37500000000728</v>
      </c>
      <c r="AD18" s="9">
        <f>IF(26&lt;=核心参数输入!$B$9*4,MAX(0,AD17-AD16),0)</f>
        <v>759.37499999999272</v>
      </c>
      <c r="AE18" s="9">
        <f>IF(27&lt;=核心参数输入!$B$9*4,MAX(0,AE17-AE16),0)</f>
        <v>759.375</v>
      </c>
      <c r="AF18" s="9">
        <f>IF(28&lt;=核心参数输入!$B$9*4,MAX(0,AF17-AF16),0)</f>
        <v>759.375</v>
      </c>
      <c r="AG18" s="9">
        <f>IF(29&lt;=核心参数输入!$B$9*4,MAX(0,AG17-AG16),0)</f>
        <v>0</v>
      </c>
      <c r="AH18" s="9">
        <f>IF(30&lt;=核心参数输入!$B$9*4,MAX(0,AH17-AH16),0)</f>
        <v>0</v>
      </c>
      <c r="AI18" s="9">
        <f>IF(31&lt;=核心参数输入!$B$9*4,MAX(0,AI17-AI16),0)</f>
        <v>0</v>
      </c>
      <c r="AJ18" s="9">
        <f>IF(32&lt;=核心参数输入!$B$9*4,MAX(0,AJ17-AJ16),0)</f>
        <v>0</v>
      </c>
      <c r="AK18" s="9">
        <f>IF(33&lt;=核心参数输入!$B$9*4,MAX(0,AK17-AK16),0)</f>
        <v>0</v>
      </c>
      <c r="AL18" s="9">
        <f>IF(34&lt;=核心参数输入!$B$9*4,MAX(0,AL17-AL16),0)</f>
        <v>0</v>
      </c>
      <c r="AM18" s="9">
        <f>IF(35&lt;=核心参数输入!$B$9*4,MAX(0,AM17-AM16),0)</f>
        <v>0</v>
      </c>
      <c r="AN18" s="9">
        <f>IF(36&lt;=核心参数输入!$B$9*4,MAX(0,AN17-AN16),0)</f>
        <v>0</v>
      </c>
      <c r="AO18" s="9">
        <f>IF(37&lt;=核心参数输入!$B$9*4,MAX(0,AO17-AO16),0)</f>
        <v>0</v>
      </c>
      <c r="AP18" s="9">
        <f>IF(38&lt;=核心参数输入!$B$9*4,MAX(0,AP17-AP16),0)</f>
        <v>0</v>
      </c>
      <c r="AQ18" s="9">
        <f>IF(39&lt;=核心参数输入!$B$9*4,MAX(0,AQ17-AQ16),0)</f>
        <v>0</v>
      </c>
      <c r="AR18" s="9">
        <f>IF(40&lt;=核心参数输入!$B$9*4,MAX(0,AR17-AR16),0)</f>
        <v>0</v>
      </c>
      <c r="AS18" s="9">
        <f>IF(41&lt;=核心参数输入!$B$9*4,MAX(0,AS17-AS16),0)</f>
        <v>0</v>
      </c>
      <c r="AT18" s="9">
        <f>IF(42&lt;=核心参数输入!$B$9*4,MAX(0,AT17-AT16),0)</f>
        <v>0</v>
      </c>
      <c r="AU18" s="9">
        <f>IF(43&lt;=核心参数输入!$B$9*4,MAX(0,AU17-AU16),0)</f>
        <v>0</v>
      </c>
      <c r="AV18" s="9">
        <f>IF(44&lt;=核心参数输入!$B$9*4,MAX(0,AV17-AV16),0)</f>
        <v>0</v>
      </c>
      <c r="AW18" s="9">
        <f>IF(45&lt;=核心参数输入!$B$9*4,MAX(0,AW17-AW16),0)</f>
        <v>0</v>
      </c>
      <c r="AX18" s="9">
        <f>IF(46&lt;=核心参数输入!$B$9*4,MAX(0,AX17-AX16),0)</f>
        <v>0</v>
      </c>
      <c r="AY18" s="9">
        <f>IF(47&lt;=核心参数输入!$B$9*4,MAX(0,AY17-AY16),0)</f>
        <v>0</v>
      </c>
      <c r="AZ18" s="9">
        <f>IF(48&lt;=核心参数输入!$B$9*4,MAX(0,AZ17-AZ16),0)</f>
        <v>0</v>
      </c>
      <c r="BA18" s="9">
        <f>IF(49&lt;=核心参数输入!$B$9*4,MAX(0,BA17-BA16),0)</f>
        <v>0</v>
      </c>
      <c r="BB18" s="9">
        <f>IF(50&lt;=核心参数输入!$B$9*4,MAX(0,BB17-BB16),0)</f>
        <v>0</v>
      </c>
      <c r="BC18" s="9">
        <f>IF(51&lt;=核心参数输入!$B$9*4,MAX(0,BC17-BC16),0)</f>
        <v>0</v>
      </c>
      <c r="BD18" s="9">
        <f>IF(52&lt;=核心参数输入!$B$9*4,MAX(0,BD17-BD16),0)</f>
        <v>0</v>
      </c>
      <c r="BE18" s="9">
        <f>IF(53&lt;=核心参数输入!$B$9*4,MAX(0,BE17-BE16),0)</f>
        <v>0</v>
      </c>
      <c r="BF18" s="9">
        <f>IF(54&lt;=核心参数输入!$B$9*4,MAX(0,BF17-BF16),0)</f>
        <v>0</v>
      </c>
      <c r="BG18" s="9">
        <f>IF(55&lt;=核心参数输入!$B$9*4,MAX(0,BG17-BG16),0)</f>
        <v>0</v>
      </c>
      <c r="BH18" s="9">
        <f>IF(56&lt;=核心参数输入!$B$9*4,MAX(0,BH17-BH16),0)</f>
        <v>0</v>
      </c>
      <c r="BI18" s="9">
        <f>IF(57&lt;=核心参数输入!$B$9*4,MAX(0,BI17-BI16),0)</f>
        <v>0</v>
      </c>
      <c r="BJ18" s="9">
        <f>IF(58&lt;=核心参数输入!$B$9*4,MAX(0,BJ17-BJ16),0)</f>
        <v>0</v>
      </c>
      <c r="BK18" s="9">
        <f>IF(59&lt;=核心参数输入!$B$9*4,MAX(0,BK17-BK16),0)</f>
        <v>0</v>
      </c>
      <c r="BL18" s="9">
        <f>IF(60&lt;=核心参数输入!$B$9*4,MAX(0,BL17-BL16),0)</f>
        <v>0</v>
      </c>
      <c r="BM18" s="9">
        <f>IF(61&lt;=核心参数输入!$B$9*4,MAX(0,BM17-BM16),0)</f>
        <v>0</v>
      </c>
      <c r="BN18" s="9">
        <f>IF(62&lt;=核心参数输入!$B$9*4,MAX(0,BN17-BN16),0)</f>
        <v>0</v>
      </c>
      <c r="BO18" s="9">
        <f>IF(63&lt;=核心参数输入!$B$9*4,MAX(0,BO17-BO16),0)</f>
        <v>0</v>
      </c>
      <c r="BP18" s="9">
        <f>IF(64&lt;=核心参数输入!$B$9*4,MAX(0,BP17-BP16),0)</f>
        <v>0</v>
      </c>
      <c r="BQ18" s="9">
        <f>IF(65&lt;=核心参数输入!$B$9*4,MAX(0,BQ17-BQ16),0)</f>
        <v>0</v>
      </c>
      <c r="BR18" s="9">
        <f>IF(66&lt;=核心参数输入!$B$9*4,MAX(0,BR17-BR16),0)</f>
        <v>0</v>
      </c>
      <c r="BS18" s="9">
        <f>IF(67&lt;=核心参数输入!$B$9*4,MAX(0,BS17-BS16),0)</f>
        <v>0</v>
      </c>
      <c r="BT18" s="9">
        <f>IF(68&lt;=核心参数输入!$B$9*4,MAX(0,BT17-BT16),0)</f>
        <v>0</v>
      </c>
      <c r="BU18" s="9">
        <f>IF(69&lt;=核心参数输入!$B$9*4,MAX(0,BU17-BU16),0)</f>
        <v>0</v>
      </c>
      <c r="BV18" s="9">
        <f>IF(70&lt;=核心参数输入!$B$9*4,MAX(0,BV17-BV16),0)</f>
        <v>0</v>
      </c>
      <c r="BW18" s="9">
        <f>IF(71&lt;=核心参数输入!$B$9*4,MAX(0,BW17-BW16),0)</f>
        <v>0</v>
      </c>
      <c r="BX18" s="9">
        <f>IF(72&lt;=核心参数输入!$B$9*4,MAX(0,BX17-BX16),0)</f>
        <v>0</v>
      </c>
      <c r="BY18" s="9">
        <f>IF(73&lt;=核心参数输入!$B$9*4,MAX(0,BY17-BY16),0)</f>
        <v>0</v>
      </c>
      <c r="BZ18" s="9">
        <f>IF(74&lt;=核心参数输入!$B$9*4,MAX(0,BZ17-BZ16),0)</f>
        <v>0</v>
      </c>
      <c r="CA18" s="9">
        <f>IF(75&lt;=核心参数输入!$B$9*4,MAX(0,CA17-CA16),0)</f>
        <v>0</v>
      </c>
      <c r="CB18" s="9">
        <f>IF(76&lt;=核心参数输入!$B$9*4,MAX(0,CB17-CB16),0)</f>
        <v>0</v>
      </c>
      <c r="CC18" s="9">
        <f>IF(77&lt;=核心参数输入!$B$9*4,MAX(0,CC17-CC16),0)</f>
        <v>0</v>
      </c>
      <c r="CD18" s="9">
        <f>IF(78&lt;=核心参数输入!$B$9*4,MAX(0,CD17-CD16),0)</f>
        <v>0</v>
      </c>
      <c r="CE18" s="9">
        <f>IF(79&lt;=核心参数输入!$B$9*4,MAX(0,CE17-CE16),0)</f>
        <v>0</v>
      </c>
      <c r="CF18" s="9">
        <f>IF(80&lt;=核心参数输入!$B$9*4,MAX(0,CF17-CF16),0)</f>
        <v>0</v>
      </c>
      <c r="CG18" s="9">
        <f>IF(81&lt;=核心参数输入!$B$9*4,MAX(0,CG17-CG16),0)</f>
        <v>0</v>
      </c>
      <c r="CH18" s="9">
        <f>IF(82&lt;=核心参数输入!$B$9*4,MAX(0,CH17-CH16),0)</f>
        <v>0</v>
      </c>
      <c r="CI18" s="9">
        <f>IF(83&lt;=核心参数输入!$B$9*4,MAX(0,CI17-CI16),0)</f>
        <v>0</v>
      </c>
      <c r="CJ18" s="9">
        <f>IF(84&lt;=核心参数输入!$B$9*4,MAX(0,CJ17-CJ16),0)</f>
        <v>0</v>
      </c>
      <c r="CK18" s="9">
        <f>IF(85&lt;=核心参数输入!$B$9*4,MAX(0,CK17-CK16),0)</f>
        <v>0</v>
      </c>
      <c r="CL18" s="9">
        <f>IF(86&lt;=核心参数输入!$B$9*4,MAX(0,CL17-CL16),0)</f>
        <v>0</v>
      </c>
      <c r="CM18" s="9">
        <f>IF(87&lt;=核心参数输入!$B$9*4,MAX(0,CM17-CM16),0)</f>
        <v>0</v>
      </c>
      <c r="CN18" s="9">
        <f>IF(88&lt;=核心参数输入!$B$9*4,MAX(0,CN17-CN16),0)</f>
        <v>0</v>
      </c>
      <c r="CO18" s="9">
        <f>IF(89&lt;=核心参数输入!$B$9*4,MAX(0,CO17-CO16),0)</f>
        <v>0</v>
      </c>
      <c r="CP18" s="9">
        <f>IF(90&lt;=核心参数输入!$B$9*4,MAX(0,CP17-CP16),0)</f>
        <v>0</v>
      </c>
      <c r="CQ18" s="9">
        <f>IF(91&lt;=核心参数输入!$B$9*4,MAX(0,CQ17-CQ16),0)</f>
        <v>0</v>
      </c>
      <c r="CR18" s="9">
        <f>IF(92&lt;=核心参数输入!$B$9*4,MAX(0,CR17-CR16),0)</f>
        <v>0</v>
      </c>
      <c r="CS18" s="9">
        <f>IF(93&lt;=核心参数输入!$B$9*4,MAX(0,CS17-CS16),0)</f>
        <v>0</v>
      </c>
      <c r="CT18" s="9">
        <f>IF(94&lt;=核心参数输入!$B$9*4,MAX(0,CT17-CT16),0)</f>
        <v>0</v>
      </c>
      <c r="CU18" s="9">
        <f>IF(95&lt;=核心参数输入!$B$9*4,MAX(0,CU17-CU16),0)</f>
        <v>0</v>
      </c>
      <c r="CV18" s="9">
        <f>IF(96&lt;=核心参数输入!$B$9*4,MAX(0,CV17-CV16),0)</f>
        <v>0</v>
      </c>
      <c r="CW18" s="9">
        <f>IF(97&lt;=核心参数输入!$B$9*4,MAX(0,CW17-CW16),0)</f>
        <v>0</v>
      </c>
      <c r="CX18" s="9">
        <f>IF(98&lt;=核心参数输入!$B$9*4,MAX(0,CX17-CX16),0)</f>
        <v>0</v>
      </c>
      <c r="CY18" s="9">
        <f>IF(99&lt;=核心参数输入!$B$9*4,MAX(0,CY17-CY16),0)</f>
        <v>0</v>
      </c>
      <c r="CZ18" s="9">
        <f>IF(100&lt;=核心参数输入!$B$9*4,MAX(0,CZ17-CZ16),0)</f>
        <v>0</v>
      </c>
      <c r="DA18" s="9">
        <f>IF(101&lt;=核心参数输入!$B$9*4,MAX(0,DA17-DA16),0)</f>
        <v>0</v>
      </c>
      <c r="DB18" s="9">
        <f>IF(102&lt;=核心参数输入!$B$9*4,MAX(0,DB17-DB16),0)</f>
        <v>0</v>
      </c>
      <c r="DC18" s="9">
        <f>IF(103&lt;=核心参数输入!$B$9*4,MAX(0,DC17-DC16),0)</f>
        <v>0</v>
      </c>
      <c r="DD18" s="9">
        <f>IF(104&lt;=核心参数输入!$B$9*4,MAX(0,DD17-DD16),0)</f>
        <v>0</v>
      </c>
      <c r="DE18" s="9">
        <f>IF(105&lt;=核心参数输入!$B$9*4,MAX(0,DE17-DE16),0)</f>
        <v>0</v>
      </c>
      <c r="DF18" s="9">
        <f>IF(106&lt;=核心参数输入!$B$9*4,MAX(0,DF17-DF16),0)</f>
        <v>0</v>
      </c>
      <c r="DG18" s="9">
        <f>IF(107&lt;=核心参数输入!$B$9*4,MAX(0,DG17-DG16),0)</f>
        <v>0</v>
      </c>
      <c r="DH18" s="9">
        <f>IF(108&lt;=核心参数输入!$B$9*4,MAX(0,DH17-DH16),0)</f>
        <v>0</v>
      </c>
      <c r="DI18" s="9">
        <f>IF(109&lt;=核心参数输入!$B$9*4,MAX(0,DI17-DI16),0)</f>
        <v>0</v>
      </c>
      <c r="DJ18" s="9">
        <f>IF(110&lt;=核心参数输入!$B$9*4,MAX(0,DJ17-DJ16),0)</f>
        <v>0</v>
      </c>
      <c r="DK18" s="9">
        <f>IF(111&lt;=核心参数输入!$B$9*4,MAX(0,DK17-DK16),0)</f>
        <v>0</v>
      </c>
      <c r="DL18" s="9">
        <f>IF(112&lt;=核心参数输入!$B$9*4,MAX(0,DL17-DL16),0)</f>
        <v>0</v>
      </c>
      <c r="DM18" s="9">
        <f>IF(113&lt;=核心参数输入!$B$9*4,MAX(0,DM17-DM16),0)</f>
        <v>0</v>
      </c>
      <c r="DN18" s="9">
        <f>IF(114&lt;=核心参数输入!$B$9*4,MAX(0,DN17-DN16),0)</f>
        <v>0</v>
      </c>
      <c r="DO18" s="9">
        <f>IF(115&lt;=核心参数输入!$B$9*4,MAX(0,DO17-DO16),0)</f>
        <v>0</v>
      </c>
      <c r="DP18" s="9">
        <f>IF(116&lt;=核心参数输入!$B$9*4,MAX(0,DP17-DP16),0)</f>
        <v>0</v>
      </c>
      <c r="DQ18" s="9">
        <f>IF(117&lt;=核心参数输入!$B$9*4,MAX(0,DQ17-DQ16),0)</f>
        <v>0</v>
      </c>
      <c r="DR18" s="9">
        <f>IF(118&lt;=核心参数输入!$B$9*4,MAX(0,DR17-DR16),0)</f>
        <v>0</v>
      </c>
      <c r="DS18" s="9">
        <f>IF(119&lt;=核心参数输入!$B$9*4,MAX(0,DS17-DS16),0)</f>
        <v>0</v>
      </c>
      <c r="DT18" s="9">
        <f>IF(120&lt;=核心参数输入!$B$9*4,MAX(0,DT17-DT16),0)</f>
        <v>0</v>
      </c>
    </row>
    <row r="19" spans="1:124" ht="21" customHeight="1">
      <c r="A19" s="8" t="s">
        <v>455</v>
      </c>
      <c r="B19" s="8" t="s">
        <v>39</v>
      </c>
      <c r="C19" s="8"/>
      <c r="D19" s="9">
        <f>IF(0&lt;=核心参数输入!$B$9*4,D16+D18*(1-核心参数输入!$B$125),0)</f>
        <v>0</v>
      </c>
      <c r="E19" s="9">
        <f>IF(1&lt;=核心参数输入!$B$9*4,E16+E18*(1-核心参数输入!$B$125),0)</f>
        <v>0</v>
      </c>
      <c r="F19" s="9">
        <f>IF(2&lt;=核心参数输入!$B$9*4,F16+F18*(1-核心参数输入!$B$125),0)</f>
        <v>0</v>
      </c>
      <c r="G19" s="9">
        <f>IF(3&lt;=核心参数输入!$B$9*4,G16+G18*(1-核心参数输入!$B$125),0)</f>
        <v>0</v>
      </c>
      <c r="H19" s="9">
        <f>IF(4&lt;=核心参数输入!$B$9*4,H16+H18*(1-核心参数输入!$B$125),0)</f>
        <v>0</v>
      </c>
      <c r="I19" s="9">
        <f>IF(5&lt;=核心参数输入!$B$9*4,I16+I18*(1-核心参数输入!$B$125),0)</f>
        <v>0</v>
      </c>
      <c r="J19" s="9">
        <f>IF(6&lt;=核心参数输入!$B$9*4,J16+J18*(1-核心参数输入!$B$125),0)</f>
        <v>0</v>
      </c>
      <c r="K19" s="9">
        <f>IF(7&lt;=核心参数输入!$B$9*4,K16+K18*(1-核心参数输入!$B$125),0)</f>
        <v>0</v>
      </c>
      <c r="L19" s="9">
        <f>IF(8&lt;=核心参数输入!$B$9*4,L16+L18*(1-核心参数输入!$B$125),0)</f>
        <v>0</v>
      </c>
      <c r="M19" s="9">
        <f>IF(9&lt;=核心参数输入!$B$9*4,M16+M18*(1-核心参数输入!$B$125),0)</f>
        <v>0</v>
      </c>
      <c r="N19" s="9">
        <f>IF(10&lt;=核心参数输入!$B$9*4,N16+N18*(1-核心参数输入!$B$125),0)</f>
        <v>0</v>
      </c>
      <c r="O19" s="9">
        <f>IF(11&lt;=核心参数输入!$B$9*4,O16+O18*(1-核心参数输入!$B$125),0)</f>
        <v>0</v>
      </c>
      <c r="P19" s="9">
        <f>IF(12&lt;=核心参数输入!$B$9*4,P16+P18*(1-核心参数输入!$B$125),0)</f>
        <v>0</v>
      </c>
      <c r="Q19" s="9">
        <f>IF(13&lt;=核心参数输入!$B$9*4,Q16+Q18*(1-核心参数输入!$B$125),0)</f>
        <v>3796.8749999999995</v>
      </c>
      <c r="R19" s="9">
        <f>IF(14&lt;=核心参数输入!$B$9*4,R16+R18*(1-核心参数输入!$B$125),0)</f>
        <v>11390.624999999998</v>
      </c>
      <c r="S19" s="9">
        <f>IF(15&lt;=核心参数输入!$B$9*4,S16+S18*(1-核心参数输入!$B$125),0)</f>
        <v>18984.374999999996</v>
      </c>
      <c r="T19" s="9">
        <f>IF(16&lt;=核心参数输入!$B$9*4,T16+T18*(1-核心参数输入!$B$125),0)</f>
        <v>26578.124999999996</v>
      </c>
      <c r="U19" s="9">
        <f>IF(17&lt;=核心参数输入!$B$9*4,U16+U18*(1-核心参数输入!$B$125),0)</f>
        <v>31893.75</v>
      </c>
      <c r="V19" s="9">
        <f>IF(18&lt;=核心参数输入!$B$9*4,V16+V18*(1-核心参数输入!$B$125),0)</f>
        <v>34931.25</v>
      </c>
      <c r="W19" s="9">
        <f>IF(19&lt;=核心参数输入!$B$9*4,W16+W18*(1-核心参数输入!$B$125),0)</f>
        <v>37968.749999999993</v>
      </c>
      <c r="X19" s="9">
        <f>IF(20&lt;=核心参数输入!$B$9*4,X16+X18*(1-核心参数输入!$B$125),0)</f>
        <v>41006.249999999993</v>
      </c>
      <c r="Y19" s="9">
        <f>IF(21&lt;=核心参数输入!$B$9*4,Y16+Y18*(1-核心参数输入!$B$125),0)</f>
        <v>43664.062499999993</v>
      </c>
      <c r="Z19" s="9">
        <f>IF(22&lt;=核心参数输入!$B$9*4,Z16+Z18*(1-核心参数输入!$B$125),0)</f>
        <v>45942.187499999985</v>
      </c>
      <c r="AA19" s="9">
        <f>IF(23&lt;=核心参数输入!$B$9*4,AA16+AA18*(1-核心参数输入!$B$125),0)</f>
        <v>48220.312499999985</v>
      </c>
      <c r="AB19" s="9">
        <f>IF(24&lt;=核心参数输入!$B$9*4,AB16+AB18*(1-核心参数输入!$B$125),0)</f>
        <v>50498.437499999993</v>
      </c>
      <c r="AC19" s="9">
        <f>IF(25&lt;=核心参数输入!$B$9*4,AC16+AC18*(1-核心参数输入!$B$125),0)</f>
        <v>52017.1875</v>
      </c>
      <c r="AD19" s="9">
        <f>IF(26&lt;=核心参数输入!$B$9*4,AD16+AD18*(1-核心参数输入!$B$125),0)</f>
        <v>52776.5625</v>
      </c>
      <c r="AE19" s="9">
        <f>IF(27&lt;=核心参数输入!$B$9*4,AE16+AE18*(1-核心参数输入!$B$125),0)</f>
        <v>53535.937499999993</v>
      </c>
      <c r="AF19" s="9">
        <f>IF(28&lt;=核心参数输入!$B$9*4,AF16+AF18*(1-核心参数输入!$B$125),0)</f>
        <v>54295.312499999993</v>
      </c>
      <c r="AG19" s="9">
        <f>IF(29&lt;=核心参数输入!$B$9*4,AG16+AG18*(1-核心参数输入!$B$125),0)</f>
        <v>54674.999999999993</v>
      </c>
      <c r="AH19" s="9">
        <f>IF(30&lt;=核心参数输入!$B$9*4,AH16+AH18*(1-核心参数输入!$B$125),0)</f>
        <v>54674.999999999993</v>
      </c>
      <c r="AI19" s="9">
        <f>IF(31&lt;=核心参数输入!$B$9*4,AI16+AI18*(1-核心参数输入!$B$125),0)</f>
        <v>54674.999999999993</v>
      </c>
      <c r="AJ19" s="9">
        <f>IF(32&lt;=核心参数输入!$B$9*4,AJ16+AJ18*(1-核心参数输入!$B$125),0)</f>
        <v>54674.999999999993</v>
      </c>
      <c r="AK19" s="9">
        <f>IF(33&lt;=核心参数输入!$B$9*4,AK16+AK18*(1-核心参数输入!$B$125),0)</f>
        <v>54674.999999999993</v>
      </c>
      <c r="AL19" s="9">
        <f>IF(34&lt;=核心参数输入!$B$9*4,AL16+AL18*(1-核心参数输入!$B$125),0)</f>
        <v>54674.999999999993</v>
      </c>
      <c r="AM19" s="9">
        <f>IF(35&lt;=核心参数输入!$B$9*4,AM16+AM18*(1-核心参数输入!$B$125),0)</f>
        <v>54674.999999999993</v>
      </c>
      <c r="AN19" s="9">
        <f>IF(36&lt;=核心参数输入!$B$9*4,AN16+AN18*(1-核心参数输入!$B$125),0)</f>
        <v>54674.999999999993</v>
      </c>
      <c r="AO19" s="9">
        <f>IF(37&lt;=核心参数输入!$B$9*4,AO16+AO18*(1-核心参数输入!$B$125),0)</f>
        <v>54674.999999999993</v>
      </c>
      <c r="AP19" s="9">
        <f>IF(38&lt;=核心参数输入!$B$9*4,AP16+AP18*(1-核心参数输入!$B$125),0)</f>
        <v>54674.999999999993</v>
      </c>
      <c r="AQ19" s="9">
        <f>IF(39&lt;=核心参数输入!$B$9*4,AQ16+AQ18*(1-核心参数输入!$B$125),0)</f>
        <v>54674.999999999993</v>
      </c>
      <c r="AR19" s="9">
        <f>IF(40&lt;=核心参数输入!$B$9*4,AR16+AR18*(1-核心参数输入!$B$125),0)</f>
        <v>54674.999999999993</v>
      </c>
      <c r="AS19" s="9">
        <f>IF(41&lt;=核心参数输入!$B$9*4,AS16+AS18*(1-核心参数输入!$B$125),0)</f>
        <v>54674.999999999993</v>
      </c>
      <c r="AT19" s="9">
        <f>IF(42&lt;=核心参数输入!$B$9*4,AT16+AT18*(1-核心参数输入!$B$125),0)</f>
        <v>54674.999999999993</v>
      </c>
      <c r="AU19" s="9">
        <f>IF(43&lt;=核心参数输入!$B$9*4,AU16+AU18*(1-核心参数输入!$B$125),0)</f>
        <v>54674.999999999993</v>
      </c>
      <c r="AV19" s="9">
        <f>IF(44&lt;=核心参数输入!$B$9*4,AV16+AV18*(1-核心参数输入!$B$125),0)</f>
        <v>54674.999999999993</v>
      </c>
      <c r="AW19" s="9">
        <f>IF(45&lt;=核心参数输入!$B$9*4,AW16+AW18*(1-核心参数输入!$B$125),0)</f>
        <v>54674.999999999993</v>
      </c>
      <c r="AX19" s="9">
        <f>IF(46&lt;=核心参数输入!$B$9*4,AX16+AX18*(1-核心参数输入!$B$125),0)</f>
        <v>54674.999999999993</v>
      </c>
      <c r="AY19" s="9">
        <f>IF(47&lt;=核心参数输入!$B$9*4,AY16+AY18*(1-核心参数输入!$B$125),0)</f>
        <v>54674.999999999993</v>
      </c>
      <c r="AZ19" s="9">
        <f>IF(48&lt;=核心参数输入!$B$9*4,AZ16+AZ18*(1-核心参数输入!$B$125),0)</f>
        <v>54674.999999999993</v>
      </c>
      <c r="BA19" s="9">
        <f>IF(49&lt;=核心参数输入!$B$9*4,BA16+BA18*(1-核心参数输入!$B$125),0)</f>
        <v>54674.999999999993</v>
      </c>
      <c r="BB19" s="9">
        <f>IF(50&lt;=核心参数输入!$B$9*4,BB16+BB18*(1-核心参数输入!$B$125),0)</f>
        <v>54674.999999999993</v>
      </c>
      <c r="BC19" s="9">
        <f>IF(51&lt;=核心参数输入!$B$9*4,BC16+BC18*(1-核心参数输入!$B$125),0)</f>
        <v>54674.999999999993</v>
      </c>
      <c r="BD19" s="9">
        <f>IF(52&lt;=核心参数输入!$B$9*4,BD16+BD18*(1-核心参数输入!$B$125),0)</f>
        <v>54674.999999999993</v>
      </c>
      <c r="BE19" s="9">
        <f>IF(53&lt;=核心参数输入!$B$9*4,BE16+BE18*(1-核心参数输入!$B$125),0)</f>
        <v>54674.999999999993</v>
      </c>
      <c r="BF19" s="9">
        <f>IF(54&lt;=核心参数输入!$B$9*4,BF16+BF18*(1-核心参数输入!$B$125),0)</f>
        <v>54674.999999999993</v>
      </c>
      <c r="BG19" s="9">
        <f>IF(55&lt;=核心参数输入!$B$9*4,BG16+BG18*(1-核心参数输入!$B$125),0)</f>
        <v>54674.999999999993</v>
      </c>
      <c r="BH19" s="9">
        <f>IF(56&lt;=核心参数输入!$B$9*4,BH16+BH18*(1-核心参数输入!$B$125),0)</f>
        <v>54674.999999999993</v>
      </c>
      <c r="BI19" s="9">
        <f>IF(57&lt;=核心参数输入!$B$9*4,BI16+BI18*(1-核心参数输入!$B$125),0)</f>
        <v>54674.999999999993</v>
      </c>
      <c r="BJ19" s="9">
        <f>IF(58&lt;=核心参数输入!$B$9*4,BJ16+BJ18*(1-核心参数输入!$B$125),0)</f>
        <v>54674.999999999993</v>
      </c>
      <c r="BK19" s="9">
        <f>IF(59&lt;=核心参数输入!$B$9*4,BK16+BK18*(1-核心参数输入!$B$125),0)</f>
        <v>54674.999999999993</v>
      </c>
      <c r="BL19" s="9">
        <f>IF(60&lt;=核心参数输入!$B$9*4,BL16+BL18*(1-核心参数输入!$B$125),0)</f>
        <v>54674.999999999993</v>
      </c>
      <c r="BM19" s="9">
        <f>IF(61&lt;=核心参数输入!$B$9*4,BM16+BM18*(1-核心参数输入!$B$125),0)</f>
        <v>54674.999999999993</v>
      </c>
      <c r="BN19" s="9">
        <f>IF(62&lt;=核心参数输入!$B$9*4,BN16+BN18*(1-核心参数输入!$B$125),0)</f>
        <v>54674.999999999993</v>
      </c>
      <c r="BO19" s="9">
        <f>IF(63&lt;=核心参数输入!$B$9*4,BO16+BO18*(1-核心参数输入!$B$125),0)</f>
        <v>54674.999999999993</v>
      </c>
      <c r="BP19" s="9">
        <f>IF(64&lt;=核心参数输入!$B$9*4,BP16+BP18*(1-核心参数输入!$B$125),0)</f>
        <v>54674.999999999993</v>
      </c>
      <c r="BQ19" s="9">
        <f>IF(65&lt;=核心参数输入!$B$9*4,BQ16+BQ18*(1-核心参数输入!$B$125),0)</f>
        <v>54674.999999999993</v>
      </c>
      <c r="BR19" s="9">
        <f>IF(66&lt;=核心参数输入!$B$9*4,BR16+BR18*(1-核心参数输入!$B$125),0)</f>
        <v>54674.999999999993</v>
      </c>
      <c r="BS19" s="9">
        <f>IF(67&lt;=核心参数输入!$B$9*4,BS16+BS18*(1-核心参数输入!$B$125),0)</f>
        <v>54674.999999999993</v>
      </c>
      <c r="BT19" s="9">
        <f>IF(68&lt;=核心参数输入!$B$9*4,BT16+BT18*(1-核心参数输入!$B$125),0)</f>
        <v>54674.999999999993</v>
      </c>
      <c r="BU19" s="9">
        <f>IF(69&lt;=核心参数输入!$B$9*4,BU16+BU18*(1-核心参数输入!$B$125),0)</f>
        <v>54674.999999999993</v>
      </c>
      <c r="BV19" s="9">
        <f>IF(70&lt;=核心参数输入!$B$9*4,BV16+BV18*(1-核心参数输入!$B$125),0)</f>
        <v>54674.999999999993</v>
      </c>
      <c r="BW19" s="9">
        <f>IF(71&lt;=核心参数输入!$B$9*4,BW16+BW18*(1-核心参数输入!$B$125),0)</f>
        <v>54674.999999999993</v>
      </c>
      <c r="BX19" s="9">
        <f>IF(72&lt;=核心参数输入!$B$9*4,BX16+BX18*(1-核心参数输入!$B$125),0)</f>
        <v>54674.999999999993</v>
      </c>
      <c r="BY19" s="9">
        <f>IF(73&lt;=核心参数输入!$B$9*4,BY16+BY18*(1-核心参数输入!$B$125),0)</f>
        <v>54674.999999999993</v>
      </c>
      <c r="BZ19" s="9">
        <f>IF(74&lt;=核心参数输入!$B$9*4,BZ16+BZ18*(1-核心参数输入!$B$125),0)</f>
        <v>54674.999999999993</v>
      </c>
      <c r="CA19" s="9">
        <f>IF(75&lt;=核心参数输入!$B$9*4,CA16+CA18*(1-核心参数输入!$B$125),0)</f>
        <v>54674.999999999993</v>
      </c>
      <c r="CB19" s="9">
        <f>IF(76&lt;=核心参数输入!$B$9*4,CB16+CB18*(1-核心参数输入!$B$125),0)</f>
        <v>54674.999999999993</v>
      </c>
      <c r="CC19" s="9">
        <f>IF(77&lt;=核心参数输入!$B$9*4,CC16+CC18*(1-核心参数输入!$B$125),0)</f>
        <v>54674.999999999993</v>
      </c>
      <c r="CD19" s="9">
        <f>IF(78&lt;=核心参数输入!$B$9*4,CD16+CD18*(1-核心参数输入!$B$125),0)</f>
        <v>54674.999999999993</v>
      </c>
      <c r="CE19" s="9">
        <f>IF(79&lt;=核心参数输入!$B$9*4,CE16+CE18*(1-核心参数输入!$B$125),0)</f>
        <v>54674.999999999993</v>
      </c>
      <c r="CF19" s="9">
        <f>IF(80&lt;=核心参数输入!$B$9*4,CF16+CF18*(1-核心参数输入!$B$125),0)</f>
        <v>54674.999999999993</v>
      </c>
      <c r="CG19" s="9">
        <f>IF(81&lt;=核心参数输入!$B$9*4,CG16+CG18*(1-核心参数输入!$B$125),0)</f>
        <v>0</v>
      </c>
      <c r="CH19" s="9">
        <f>IF(82&lt;=核心参数输入!$B$9*4,CH16+CH18*(1-核心参数输入!$B$125),0)</f>
        <v>0</v>
      </c>
      <c r="CI19" s="9">
        <f>IF(83&lt;=核心参数输入!$B$9*4,CI16+CI18*(1-核心参数输入!$B$125),0)</f>
        <v>0</v>
      </c>
      <c r="CJ19" s="9">
        <f>IF(84&lt;=核心参数输入!$B$9*4,CJ16+CJ18*(1-核心参数输入!$B$125),0)</f>
        <v>0</v>
      </c>
      <c r="CK19" s="9">
        <f>IF(85&lt;=核心参数输入!$B$9*4,CK16+CK18*(1-核心参数输入!$B$125),0)</f>
        <v>0</v>
      </c>
      <c r="CL19" s="9">
        <f>IF(86&lt;=核心参数输入!$B$9*4,CL16+CL18*(1-核心参数输入!$B$125),0)</f>
        <v>0</v>
      </c>
      <c r="CM19" s="9">
        <f>IF(87&lt;=核心参数输入!$B$9*4,CM16+CM18*(1-核心参数输入!$B$125),0)</f>
        <v>0</v>
      </c>
      <c r="CN19" s="9">
        <f>IF(88&lt;=核心参数输入!$B$9*4,CN16+CN18*(1-核心参数输入!$B$125),0)</f>
        <v>0</v>
      </c>
      <c r="CO19" s="9">
        <f>IF(89&lt;=核心参数输入!$B$9*4,CO16+CO18*(1-核心参数输入!$B$125),0)</f>
        <v>0</v>
      </c>
      <c r="CP19" s="9">
        <f>IF(90&lt;=核心参数输入!$B$9*4,CP16+CP18*(1-核心参数输入!$B$125),0)</f>
        <v>0</v>
      </c>
      <c r="CQ19" s="9">
        <f>IF(91&lt;=核心参数输入!$B$9*4,CQ16+CQ18*(1-核心参数输入!$B$125),0)</f>
        <v>0</v>
      </c>
      <c r="CR19" s="9">
        <f>IF(92&lt;=核心参数输入!$B$9*4,CR16+CR18*(1-核心参数输入!$B$125),0)</f>
        <v>0</v>
      </c>
      <c r="CS19" s="9">
        <f>IF(93&lt;=核心参数输入!$B$9*4,CS16+CS18*(1-核心参数输入!$B$125),0)</f>
        <v>0</v>
      </c>
      <c r="CT19" s="9">
        <f>IF(94&lt;=核心参数输入!$B$9*4,CT16+CT18*(1-核心参数输入!$B$125),0)</f>
        <v>0</v>
      </c>
      <c r="CU19" s="9">
        <f>IF(95&lt;=核心参数输入!$B$9*4,CU16+CU18*(1-核心参数输入!$B$125),0)</f>
        <v>0</v>
      </c>
      <c r="CV19" s="9">
        <f>IF(96&lt;=核心参数输入!$B$9*4,CV16+CV18*(1-核心参数输入!$B$125),0)</f>
        <v>0</v>
      </c>
      <c r="CW19" s="9">
        <f>IF(97&lt;=核心参数输入!$B$9*4,CW16+CW18*(1-核心参数输入!$B$125),0)</f>
        <v>0</v>
      </c>
      <c r="CX19" s="9">
        <f>IF(98&lt;=核心参数输入!$B$9*4,CX16+CX18*(1-核心参数输入!$B$125),0)</f>
        <v>0</v>
      </c>
      <c r="CY19" s="9">
        <f>IF(99&lt;=核心参数输入!$B$9*4,CY16+CY18*(1-核心参数输入!$B$125),0)</f>
        <v>0</v>
      </c>
      <c r="CZ19" s="9">
        <f>IF(100&lt;=核心参数输入!$B$9*4,CZ16+CZ18*(1-核心参数输入!$B$125),0)</f>
        <v>0</v>
      </c>
      <c r="DA19" s="9">
        <f>IF(101&lt;=核心参数输入!$B$9*4,DA16+DA18*(1-核心参数输入!$B$125),0)</f>
        <v>0</v>
      </c>
      <c r="DB19" s="9">
        <f>IF(102&lt;=核心参数输入!$B$9*4,DB16+DB18*(1-核心参数输入!$B$125),0)</f>
        <v>0</v>
      </c>
      <c r="DC19" s="9">
        <f>IF(103&lt;=核心参数输入!$B$9*4,DC16+DC18*(1-核心参数输入!$B$125),0)</f>
        <v>0</v>
      </c>
      <c r="DD19" s="9">
        <f>IF(104&lt;=核心参数输入!$B$9*4,DD16+DD18*(1-核心参数输入!$B$125),0)</f>
        <v>0</v>
      </c>
      <c r="DE19" s="9">
        <f>IF(105&lt;=核心参数输入!$B$9*4,DE16+DE18*(1-核心参数输入!$B$125),0)</f>
        <v>0</v>
      </c>
      <c r="DF19" s="9">
        <f>IF(106&lt;=核心参数输入!$B$9*4,DF16+DF18*(1-核心参数输入!$B$125),0)</f>
        <v>0</v>
      </c>
      <c r="DG19" s="9">
        <f>IF(107&lt;=核心参数输入!$B$9*4,DG16+DG18*(1-核心参数输入!$B$125),0)</f>
        <v>0</v>
      </c>
      <c r="DH19" s="9">
        <f>IF(108&lt;=核心参数输入!$B$9*4,DH16+DH18*(1-核心参数输入!$B$125),0)</f>
        <v>0</v>
      </c>
      <c r="DI19" s="9">
        <f>IF(109&lt;=核心参数输入!$B$9*4,DI16+DI18*(1-核心参数输入!$B$125),0)</f>
        <v>0</v>
      </c>
      <c r="DJ19" s="9">
        <f>IF(110&lt;=核心参数输入!$B$9*4,DJ16+DJ18*(1-核心参数输入!$B$125),0)</f>
        <v>0</v>
      </c>
      <c r="DK19" s="9">
        <f>IF(111&lt;=核心参数输入!$B$9*4,DK16+DK18*(1-核心参数输入!$B$125),0)</f>
        <v>0</v>
      </c>
      <c r="DL19" s="9">
        <f>IF(112&lt;=核心参数输入!$B$9*4,DL16+DL18*(1-核心参数输入!$B$125),0)</f>
        <v>0</v>
      </c>
      <c r="DM19" s="9">
        <f>IF(113&lt;=核心参数输入!$B$9*4,DM16+DM18*(1-核心参数输入!$B$125),0)</f>
        <v>0</v>
      </c>
      <c r="DN19" s="9">
        <f>IF(114&lt;=核心参数输入!$B$9*4,DN16+DN18*(1-核心参数输入!$B$125),0)</f>
        <v>0</v>
      </c>
      <c r="DO19" s="9">
        <f>IF(115&lt;=核心参数输入!$B$9*4,DO16+DO18*(1-核心参数输入!$B$125),0)</f>
        <v>0</v>
      </c>
      <c r="DP19" s="9">
        <f>IF(116&lt;=核心参数输入!$B$9*4,DP16+DP18*(1-核心参数输入!$B$125),0)</f>
        <v>0</v>
      </c>
      <c r="DQ19" s="9">
        <f>IF(117&lt;=核心参数输入!$B$9*4,DQ16+DQ18*(1-核心参数输入!$B$125),0)</f>
        <v>0</v>
      </c>
      <c r="DR19" s="9">
        <f>IF(118&lt;=核心参数输入!$B$9*4,DR16+DR18*(1-核心参数输入!$B$125),0)</f>
        <v>0</v>
      </c>
      <c r="DS19" s="9">
        <f>IF(119&lt;=核心参数输入!$B$9*4,DS16+DS18*(1-核心参数输入!$B$125),0)</f>
        <v>0</v>
      </c>
      <c r="DT19" s="9">
        <f>IF(120&lt;=核心参数输入!$B$9*4,DT16+DT18*(1-核心参数输入!$B$125),0)</f>
        <v>0</v>
      </c>
    </row>
    <row r="20" spans="1:124" ht="21" customHeight="1">
      <c r="A20" s="8" t="s">
        <v>456</v>
      </c>
      <c r="B20" s="8" t="s">
        <v>39</v>
      </c>
      <c r="C20" s="8"/>
      <c r="D20" s="9">
        <f>IF(0&lt;=核心参数输入!$B$9*4,IF(0&lt;((核心参数输入!$B$18-1)*4+(核心参数输入!$B$148)+1),0,核心参数输入!$B$146*(1+核心参数输入!$B$37)^INT((0-((核心参数输入!$B$18-1)*4+(核心参数输入!$B$148)+1))/4)),0)</f>
        <v>0</v>
      </c>
      <c r="E20" s="9">
        <f>IF(1&lt;=核心参数输入!$B$9*4,IF(1&lt;((核心参数输入!$B$18-1)*4+(核心参数输入!$B$148)+1),0,核心参数输入!$B$146*(1+核心参数输入!$B$37)^INT((1-((核心参数输入!$B$18-1)*4+(核心参数输入!$B$148)+1))/4)),0)</f>
        <v>0</v>
      </c>
      <c r="F20" s="9">
        <f>IF(2&lt;=核心参数输入!$B$9*4,IF(2&lt;((核心参数输入!$B$18-1)*4+(核心参数输入!$B$148)+1),0,核心参数输入!$B$146*(1+核心参数输入!$B$37)^INT((2-((核心参数输入!$B$18-1)*4+(核心参数输入!$B$148)+1))/4)),0)</f>
        <v>0</v>
      </c>
      <c r="G20" s="9">
        <f>IF(3&lt;=核心参数输入!$B$9*4,IF(3&lt;((核心参数输入!$B$18-1)*4+(核心参数输入!$B$148)+1),0,核心参数输入!$B$146*(1+核心参数输入!$B$37)^INT((3-((核心参数输入!$B$18-1)*4+(核心参数输入!$B$148)+1))/4)),0)</f>
        <v>0</v>
      </c>
      <c r="H20" s="9">
        <f>IF(4&lt;=核心参数输入!$B$9*4,IF(4&lt;((核心参数输入!$B$18-1)*4+(核心参数输入!$B$148)+1),0,核心参数输入!$B$146*(1+核心参数输入!$B$37)^INT((4-((核心参数输入!$B$18-1)*4+(核心参数输入!$B$148)+1))/4)),0)</f>
        <v>0</v>
      </c>
      <c r="I20" s="9">
        <f>IF(5&lt;=核心参数输入!$B$9*4,IF(5&lt;((核心参数输入!$B$18-1)*4+(核心参数输入!$B$148)+1),0,核心参数输入!$B$146*(1+核心参数输入!$B$37)^INT((5-((核心参数输入!$B$18-1)*4+(核心参数输入!$B$148)+1))/4)),0)</f>
        <v>0</v>
      </c>
      <c r="J20" s="9">
        <f>IF(6&lt;=核心参数输入!$B$9*4,IF(6&lt;((核心参数输入!$B$18-1)*4+(核心参数输入!$B$148)+1),0,核心参数输入!$B$146*(1+核心参数输入!$B$37)^INT((6-((核心参数输入!$B$18-1)*4+(核心参数输入!$B$148)+1))/4)),0)</f>
        <v>0</v>
      </c>
      <c r="K20" s="9">
        <f>IF(7&lt;=核心参数输入!$B$9*4,IF(7&lt;((核心参数输入!$B$18-1)*4+(核心参数输入!$B$148)+1),0,核心参数输入!$B$146*(1+核心参数输入!$B$37)^INT((7-((核心参数输入!$B$18-1)*4+(核心参数输入!$B$148)+1))/4)),0)</f>
        <v>0</v>
      </c>
      <c r="L20" s="9">
        <f>IF(8&lt;=核心参数输入!$B$9*4,IF(8&lt;((核心参数输入!$B$18-1)*4+(核心参数输入!$B$148)+1),0,核心参数输入!$B$146*(1+核心参数输入!$B$37)^INT((8-((核心参数输入!$B$18-1)*4+(核心参数输入!$B$148)+1))/4)),0)</f>
        <v>0</v>
      </c>
      <c r="M20" s="9">
        <f>IF(9&lt;=核心参数输入!$B$9*4,IF(9&lt;((核心参数输入!$B$18-1)*4+(核心参数输入!$B$148)+1),0,核心参数输入!$B$146*(1+核心参数输入!$B$37)^INT((9-((核心参数输入!$B$18-1)*4+(核心参数输入!$B$148)+1))/4)),0)</f>
        <v>0</v>
      </c>
      <c r="N20" s="9">
        <f>IF(10&lt;=核心参数输入!$B$9*4,IF(10&lt;((核心参数输入!$B$18-1)*4+(核心参数输入!$B$148)+1),0,核心参数输入!$B$146*(1+核心参数输入!$B$37)^INT((10-((核心参数输入!$B$18-1)*4+(核心参数输入!$B$148)+1))/4)),0)</f>
        <v>0</v>
      </c>
      <c r="O20" s="9">
        <f>IF(11&lt;=核心参数输入!$B$9*4,IF(11&lt;((核心参数输入!$B$18-1)*4+(核心参数输入!$B$148)+1),0,核心参数输入!$B$146*(1+核心参数输入!$B$37)^INT((11-((核心参数输入!$B$18-1)*4+(核心参数输入!$B$148)+1))/4)),0)</f>
        <v>0</v>
      </c>
      <c r="P20" s="9">
        <f>IF(12&lt;=核心参数输入!$B$9*4,IF(12&lt;((核心参数输入!$B$18-1)*4+(核心参数输入!$B$148)+1),0,核心参数输入!$B$146*(1+核心参数输入!$B$37)^INT((12-((核心参数输入!$B$18-1)*4+(核心参数输入!$B$148)+1))/4)),0)</f>
        <v>0</v>
      </c>
      <c r="Q20" s="9">
        <f>IF(13&lt;=核心参数输入!$B$9*4,IF(13&lt;((核心参数输入!$B$18-1)*4+(核心参数输入!$B$148)+1),0,核心参数输入!$B$146*(1+核心参数输入!$B$37)^INT((13-((核心参数输入!$B$18-1)*4+(核心参数输入!$B$148)+1))/4)),0)</f>
        <v>26</v>
      </c>
      <c r="R20" s="9">
        <f>IF(14&lt;=核心参数输入!$B$9*4,IF(14&lt;((核心参数输入!$B$18-1)*4+(核心参数输入!$B$148)+1),0,核心参数输入!$B$146*(1+核心参数输入!$B$37)^INT((14-((核心参数输入!$B$18-1)*4+(核心参数输入!$B$148)+1))/4)),0)</f>
        <v>26</v>
      </c>
      <c r="S20" s="9">
        <f>IF(15&lt;=核心参数输入!$B$9*4,IF(15&lt;((核心参数输入!$B$18-1)*4+(核心参数输入!$B$148)+1),0,核心参数输入!$B$146*(1+核心参数输入!$B$37)^INT((15-((核心参数输入!$B$18-1)*4+(核心参数输入!$B$148)+1))/4)),0)</f>
        <v>26</v>
      </c>
      <c r="T20" s="9">
        <f>IF(16&lt;=核心参数输入!$B$9*4,IF(16&lt;((核心参数输入!$B$18-1)*4+(核心参数输入!$B$148)+1),0,核心参数输入!$B$146*(1+核心参数输入!$B$37)^INT((16-((核心参数输入!$B$18-1)*4+(核心参数输入!$B$148)+1))/4)),0)</f>
        <v>26</v>
      </c>
      <c r="U20" s="9">
        <f>IF(17&lt;=核心参数输入!$B$9*4,IF(17&lt;((核心参数输入!$B$18-1)*4+(核心参数输入!$B$148)+1),0,核心参数输入!$B$146*(1+核心参数输入!$B$37)^INT((17-((核心参数输入!$B$18-1)*4+(核心参数输入!$B$148)+1))/4)),0)</f>
        <v>26.389999999999997</v>
      </c>
      <c r="V20" s="9">
        <f>IF(18&lt;=核心参数输入!$B$9*4,IF(18&lt;((核心参数输入!$B$18-1)*4+(核心参数输入!$B$148)+1),0,核心参数输入!$B$146*(1+核心参数输入!$B$37)^INT((18-((核心参数输入!$B$18-1)*4+(核心参数输入!$B$148)+1))/4)),0)</f>
        <v>26.389999999999997</v>
      </c>
      <c r="W20" s="9">
        <f>IF(19&lt;=核心参数输入!$B$9*4,IF(19&lt;((核心参数输入!$B$18-1)*4+(核心参数输入!$B$148)+1),0,核心参数输入!$B$146*(1+核心参数输入!$B$37)^INT((19-((核心参数输入!$B$18-1)*4+(核心参数输入!$B$148)+1))/4)),0)</f>
        <v>26.389999999999997</v>
      </c>
      <c r="X20" s="9">
        <f>IF(20&lt;=核心参数输入!$B$9*4,IF(20&lt;((核心参数输入!$B$18-1)*4+(核心参数输入!$B$148)+1),0,核心参数输入!$B$146*(1+核心参数输入!$B$37)^INT((20-((核心参数输入!$B$18-1)*4+(核心参数输入!$B$148)+1))/4)),0)</f>
        <v>26.389999999999997</v>
      </c>
      <c r="Y20" s="9">
        <f>IF(21&lt;=核心参数输入!$B$9*4,IF(21&lt;((核心参数输入!$B$18-1)*4+(核心参数输入!$B$148)+1),0,核心参数输入!$B$146*(1+核心参数输入!$B$37)^INT((21-((核心参数输入!$B$18-1)*4+(核心参数输入!$B$148)+1))/4)),0)</f>
        <v>26.785849999999993</v>
      </c>
      <c r="Z20" s="9">
        <f>IF(22&lt;=核心参数输入!$B$9*4,IF(22&lt;((核心参数输入!$B$18-1)*4+(核心参数输入!$B$148)+1),0,核心参数输入!$B$146*(1+核心参数输入!$B$37)^INT((22-((核心参数输入!$B$18-1)*4+(核心参数输入!$B$148)+1))/4)),0)</f>
        <v>26.785849999999993</v>
      </c>
      <c r="AA20" s="9">
        <f>IF(23&lt;=核心参数输入!$B$9*4,IF(23&lt;((核心参数输入!$B$18-1)*4+(核心参数输入!$B$148)+1),0,核心参数输入!$B$146*(1+核心参数输入!$B$37)^INT((23-((核心参数输入!$B$18-1)*4+(核心参数输入!$B$148)+1))/4)),0)</f>
        <v>26.785849999999993</v>
      </c>
      <c r="AB20" s="9">
        <f>IF(24&lt;=核心参数输入!$B$9*4,IF(24&lt;((核心参数输入!$B$18-1)*4+(核心参数输入!$B$148)+1),0,核心参数输入!$B$146*(1+核心参数输入!$B$37)^INT((24-((核心参数输入!$B$18-1)*4+(核心参数输入!$B$148)+1))/4)),0)</f>
        <v>26.785849999999993</v>
      </c>
      <c r="AC20" s="9">
        <f>IF(25&lt;=核心参数输入!$B$9*4,IF(25&lt;((核心参数输入!$B$18-1)*4+(核心参数输入!$B$148)+1),0,核心参数输入!$B$146*(1+核心参数输入!$B$37)^INT((25-((核心参数输入!$B$18-1)*4+(核心参数输入!$B$148)+1))/4)),0)</f>
        <v>27.18763774999999</v>
      </c>
      <c r="AD20" s="9">
        <f>IF(26&lt;=核心参数输入!$B$9*4,IF(26&lt;((核心参数输入!$B$18-1)*4+(核心参数输入!$B$148)+1),0,核心参数输入!$B$146*(1+核心参数输入!$B$37)^INT((26-((核心参数输入!$B$18-1)*4+(核心参数输入!$B$148)+1))/4)),0)</f>
        <v>27.18763774999999</v>
      </c>
      <c r="AE20" s="9">
        <f>IF(27&lt;=核心参数输入!$B$9*4,IF(27&lt;((核心参数输入!$B$18-1)*4+(核心参数输入!$B$148)+1),0,核心参数输入!$B$146*(1+核心参数输入!$B$37)^INT((27-((核心参数输入!$B$18-1)*4+(核心参数输入!$B$148)+1))/4)),0)</f>
        <v>27.18763774999999</v>
      </c>
      <c r="AF20" s="9">
        <f>IF(28&lt;=核心参数输入!$B$9*4,IF(28&lt;((核心参数输入!$B$18-1)*4+(核心参数输入!$B$148)+1),0,核心参数输入!$B$146*(1+核心参数输入!$B$37)^INT((28-((核心参数输入!$B$18-1)*4+(核心参数输入!$B$148)+1))/4)),0)</f>
        <v>27.18763774999999</v>
      </c>
      <c r="AG20" s="9">
        <f>IF(29&lt;=核心参数输入!$B$9*4,IF(29&lt;((核心参数输入!$B$18-1)*4+(核心参数输入!$B$148)+1),0,核心参数输入!$B$146*(1+核心参数输入!$B$37)^INT((29-((核心参数输入!$B$18-1)*4+(核心参数输入!$B$148)+1))/4)),0)</f>
        <v>27.595452316249986</v>
      </c>
      <c r="AH20" s="9">
        <f>IF(30&lt;=核心参数输入!$B$9*4,IF(30&lt;((核心参数输入!$B$18-1)*4+(核心参数输入!$B$148)+1),0,核心参数输入!$B$146*(1+核心参数输入!$B$37)^INT((30-((核心参数输入!$B$18-1)*4+(核心参数输入!$B$148)+1))/4)),0)</f>
        <v>27.595452316249986</v>
      </c>
      <c r="AI20" s="9">
        <f>IF(31&lt;=核心参数输入!$B$9*4,IF(31&lt;((核心参数输入!$B$18-1)*4+(核心参数输入!$B$148)+1),0,核心参数输入!$B$146*(1+核心参数输入!$B$37)^INT((31-((核心参数输入!$B$18-1)*4+(核心参数输入!$B$148)+1))/4)),0)</f>
        <v>27.595452316249986</v>
      </c>
      <c r="AJ20" s="9">
        <f>IF(32&lt;=核心参数输入!$B$9*4,IF(32&lt;((核心参数输入!$B$18-1)*4+(核心参数输入!$B$148)+1),0,核心参数输入!$B$146*(1+核心参数输入!$B$37)^INT((32-((核心参数输入!$B$18-1)*4+(核心参数输入!$B$148)+1))/4)),0)</f>
        <v>27.595452316249986</v>
      </c>
      <c r="AK20" s="9">
        <f>IF(33&lt;=核心参数输入!$B$9*4,IF(33&lt;((核心参数输入!$B$18-1)*4+(核心参数输入!$B$148)+1),0,核心参数输入!$B$146*(1+核心参数输入!$B$37)^INT((33-((核心参数输入!$B$18-1)*4+(核心参数输入!$B$148)+1))/4)),0)</f>
        <v>28.009384100993731</v>
      </c>
      <c r="AL20" s="9">
        <f>IF(34&lt;=核心参数输入!$B$9*4,IF(34&lt;((核心参数输入!$B$18-1)*4+(核心参数输入!$B$148)+1),0,核心参数输入!$B$146*(1+核心参数输入!$B$37)^INT((34-((核心参数输入!$B$18-1)*4+(核心参数输入!$B$148)+1))/4)),0)</f>
        <v>28.009384100993731</v>
      </c>
      <c r="AM20" s="9">
        <f>IF(35&lt;=核心参数输入!$B$9*4,IF(35&lt;((核心参数输入!$B$18-1)*4+(核心参数输入!$B$148)+1),0,核心参数输入!$B$146*(1+核心参数输入!$B$37)^INT((35-((核心参数输入!$B$18-1)*4+(核心参数输入!$B$148)+1))/4)),0)</f>
        <v>28.009384100993731</v>
      </c>
      <c r="AN20" s="9">
        <f>IF(36&lt;=核心参数输入!$B$9*4,IF(36&lt;((核心参数输入!$B$18-1)*4+(核心参数输入!$B$148)+1),0,核心参数输入!$B$146*(1+核心参数输入!$B$37)^INT((36-((核心参数输入!$B$18-1)*4+(核心参数输入!$B$148)+1))/4)),0)</f>
        <v>28.009384100993731</v>
      </c>
      <c r="AO20" s="9">
        <f>IF(37&lt;=核心参数输入!$B$9*4,IF(37&lt;((核心参数输入!$B$18-1)*4+(核心参数输入!$B$148)+1),0,核心参数输入!$B$146*(1+核心参数输入!$B$37)^INT((37-((核心参数输入!$B$18-1)*4+(核心参数输入!$B$148)+1))/4)),0)</f>
        <v>28.429524862508632</v>
      </c>
      <c r="AP20" s="9">
        <f>IF(38&lt;=核心参数输入!$B$9*4,IF(38&lt;((核心参数输入!$B$18-1)*4+(核心参数输入!$B$148)+1),0,核心参数输入!$B$146*(1+核心参数输入!$B$37)^INT((38-((核心参数输入!$B$18-1)*4+(核心参数输入!$B$148)+1))/4)),0)</f>
        <v>28.429524862508632</v>
      </c>
      <c r="AQ20" s="9">
        <f>IF(39&lt;=核心参数输入!$B$9*4,IF(39&lt;((核心参数输入!$B$18-1)*4+(核心参数输入!$B$148)+1),0,核心参数输入!$B$146*(1+核心参数输入!$B$37)^INT((39-((核心参数输入!$B$18-1)*4+(核心参数输入!$B$148)+1))/4)),0)</f>
        <v>28.429524862508632</v>
      </c>
      <c r="AR20" s="9">
        <f>IF(40&lt;=核心参数输入!$B$9*4,IF(40&lt;((核心参数输入!$B$18-1)*4+(核心参数输入!$B$148)+1),0,核心参数输入!$B$146*(1+核心参数输入!$B$37)^INT((40-((核心参数输入!$B$18-1)*4+(核心参数输入!$B$148)+1))/4)),0)</f>
        <v>28.429524862508632</v>
      </c>
      <c r="AS20" s="9">
        <f>IF(41&lt;=核心参数输入!$B$9*4,IF(41&lt;((核心参数输入!$B$18-1)*4+(核心参数输入!$B$148)+1),0,核心参数输入!$B$146*(1+核心参数输入!$B$37)^INT((41-((核心参数输入!$B$18-1)*4+(核心参数输入!$B$148)+1))/4)),0)</f>
        <v>28.855967735446256</v>
      </c>
      <c r="AT20" s="9">
        <f>IF(42&lt;=核心参数输入!$B$9*4,IF(42&lt;((核心参数输入!$B$18-1)*4+(核心参数输入!$B$148)+1),0,核心参数输入!$B$146*(1+核心参数输入!$B$37)^INT((42-((核心参数输入!$B$18-1)*4+(核心参数输入!$B$148)+1))/4)),0)</f>
        <v>28.855967735446256</v>
      </c>
      <c r="AU20" s="9">
        <f>IF(43&lt;=核心参数输入!$B$9*4,IF(43&lt;((核心参数输入!$B$18-1)*4+(核心参数输入!$B$148)+1),0,核心参数输入!$B$146*(1+核心参数输入!$B$37)^INT((43-((核心参数输入!$B$18-1)*4+(核心参数输入!$B$148)+1))/4)),0)</f>
        <v>28.855967735446256</v>
      </c>
      <c r="AV20" s="9">
        <f>IF(44&lt;=核心参数输入!$B$9*4,IF(44&lt;((核心参数输入!$B$18-1)*4+(核心参数输入!$B$148)+1),0,核心参数输入!$B$146*(1+核心参数输入!$B$37)^INT((44-((核心参数输入!$B$18-1)*4+(核心参数输入!$B$148)+1))/4)),0)</f>
        <v>28.855967735446256</v>
      </c>
      <c r="AW20" s="9">
        <f>IF(45&lt;=核心参数输入!$B$9*4,IF(45&lt;((核心参数输入!$B$18-1)*4+(核心参数输入!$B$148)+1),0,核心参数输入!$B$146*(1+核心参数输入!$B$37)^INT((45-((核心参数输入!$B$18-1)*4+(核心参数输入!$B$148)+1))/4)),0)</f>
        <v>29.288807251477948</v>
      </c>
      <c r="AX20" s="9">
        <f>IF(46&lt;=核心参数输入!$B$9*4,IF(46&lt;((核心参数输入!$B$18-1)*4+(核心参数输入!$B$148)+1),0,核心参数输入!$B$146*(1+核心参数输入!$B$37)^INT((46-((核心参数输入!$B$18-1)*4+(核心参数输入!$B$148)+1))/4)),0)</f>
        <v>29.288807251477948</v>
      </c>
      <c r="AY20" s="9">
        <f>IF(47&lt;=核心参数输入!$B$9*4,IF(47&lt;((核心参数输入!$B$18-1)*4+(核心参数输入!$B$148)+1),0,核心参数输入!$B$146*(1+核心参数输入!$B$37)^INT((47-((核心参数输入!$B$18-1)*4+(核心参数输入!$B$148)+1))/4)),0)</f>
        <v>29.288807251477948</v>
      </c>
      <c r="AZ20" s="9">
        <f>IF(48&lt;=核心参数输入!$B$9*4,IF(48&lt;((核心参数输入!$B$18-1)*4+(核心参数输入!$B$148)+1),0,核心参数输入!$B$146*(1+核心参数输入!$B$37)^INT((48-((核心参数输入!$B$18-1)*4+(核心参数输入!$B$148)+1))/4)),0)</f>
        <v>29.288807251477948</v>
      </c>
      <c r="BA20" s="9">
        <f>IF(49&lt;=核心参数输入!$B$9*4,IF(49&lt;((核心参数输入!$B$18-1)*4+(核心参数输入!$B$148)+1),0,核心参数输入!$B$146*(1+核心参数输入!$B$37)^INT((49-((核心参数输入!$B$18-1)*4+(核心参数输入!$B$148)+1))/4)),0)</f>
        <v>29.728139360250115</v>
      </c>
      <c r="BB20" s="9">
        <f>IF(50&lt;=核心参数输入!$B$9*4,IF(50&lt;((核心参数输入!$B$18-1)*4+(核心参数输入!$B$148)+1),0,核心参数输入!$B$146*(1+核心参数输入!$B$37)^INT((50-((核心参数输入!$B$18-1)*4+(核心参数输入!$B$148)+1))/4)),0)</f>
        <v>29.728139360250115</v>
      </c>
      <c r="BC20" s="9">
        <f>IF(51&lt;=核心参数输入!$B$9*4,IF(51&lt;((核心参数输入!$B$18-1)*4+(核心参数输入!$B$148)+1),0,核心参数输入!$B$146*(1+核心参数输入!$B$37)^INT((51-((核心参数输入!$B$18-1)*4+(核心参数输入!$B$148)+1))/4)),0)</f>
        <v>29.728139360250115</v>
      </c>
      <c r="BD20" s="9">
        <f>IF(52&lt;=核心参数输入!$B$9*4,IF(52&lt;((核心参数输入!$B$18-1)*4+(核心参数输入!$B$148)+1),0,核心参数输入!$B$146*(1+核心参数输入!$B$37)^INT((52-((核心参数输入!$B$18-1)*4+(核心参数输入!$B$148)+1))/4)),0)</f>
        <v>29.728139360250115</v>
      </c>
      <c r="BE20" s="9">
        <f>IF(53&lt;=核心参数输入!$B$9*4,IF(53&lt;((核心参数输入!$B$18-1)*4+(核心参数输入!$B$148)+1),0,核心参数输入!$B$146*(1+核心参数输入!$B$37)^INT((53-((核心参数输入!$B$18-1)*4+(核心参数输入!$B$148)+1))/4)),0)</f>
        <v>30.174061450653863</v>
      </c>
      <c r="BF20" s="9">
        <f>IF(54&lt;=核心参数输入!$B$9*4,IF(54&lt;((核心参数输入!$B$18-1)*4+(核心参数输入!$B$148)+1),0,核心参数输入!$B$146*(1+核心参数输入!$B$37)^INT((54-((核心参数输入!$B$18-1)*4+(核心参数输入!$B$148)+1))/4)),0)</f>
        <v>30.174061450653863</v>
      </c>
      <c r="BG20" s="9">
        <f>IF(55&lt;=核心参数输入!$B$9*4,IF(55&lt;((核心参数输入!$B$18-1)*4+(核心参数输入!$B$148)+1),0,核心参数输入!$B$146*(1+核心参数输入!$B$37)^INT((55-((核心参数输入!$B$18-1)*4+(核心参数输入!$B$148)+1))/4)),0)</f>
        <v>30.174061450653863</v>
      </c>
      <c r="BH20" s="9">
        <f>IF(56&lt;=核心参数输入!$B$9*4,IF(56&lt;((核心参数输入!$B$18-1)*4+(核心参数输入!$B$148)+1),0,核心参数输入!$B$146*(1+核心参数输入!$B$37)^INT((56-((核心参数输入!$B$18-1)*4+(核心参数输入!$B$148)+1))/4)),0)</f>
        <v>30.174061450653863</v>
      </c>
      <c r="BI20" s="9">
        <f>IF(57&lt;=核心参数输入!$B$9*4,IF(57&lt;((核心参数输入!$B$18-1)*4+(核心参数输入!$B$148)+1),0,核心参数输入!$B$146*(1+核心参数输入!$B$37)^INT((57-((核心参数输入!$B$18-1)*4+(核心参数输入!$B$148)+1))/4)),0)</f>
        <v>30.626672372413665</v>
      </c>
      <c r="BJ20" s="9">
        <f>IF(58&lt;=核心参数输入!$B$9*4,IF(58&lt;((核心参数输入!$B$18-1)*4+(核心参数输入!$B$148)+1),0,核心参数输入!$B$146*(1+核心参数输入!$B$37)^INT((58-((核心参数输入!$B$18-1)*4+(核心参数输入!$B$148)+1))/4)),0)</f>
        <v>30.626672372413665</v>
      </c>
      <c r="BK20" s="9">
        <f>IF(59&lt;=核心参数输入!$B$9*4,IF(59&lt;((核心参数输入!$B$18-1)*4+(核心参数输入!$B$148)+1),0,核心参数输入!$B$146*(1+核心参数输入!$B$37)^INT((59-((核心参数输入!$B$18-1)*4+(核心参数输入!$B$148)+1))/4)),0)</f>
        <v>30.626672372413665</v>
      </c>
      <c r="BL20" s="9">
        <f>IF(60&lt;=核心参数输入!$B$9*4,IF(60&lt;((核心参数输入!$B$18-1)*4+(核心参数输入!$B$148)+1),0,核心参数输入!$B$146*(1+核心参数输入!$B$37)^INT((60-((核心参数输入!$B$18-1)*4+(核心参数输入!$B$148)+1))/4)),0)</f>
        <v>30.626672372413665</v>
      </c>
      <c r="BM20" s="9">
        <f>IF(61&lt;=核心参数输入!$B$9*4,IF(61&lt;((核心参数输入!$B$18-1)*4+(核心参数输入!$B$148)+1),0,核心参数输入!$B$146*(1+核心参数输入!$B$37)^INT((61-((核心参数输入!$B$18-1)*4+(核心参数输入!$B$148)+1))/4)),0)</f>
        <v>31.086072457999865</v>
      </c>
      <c r="BN20" s="9">
        <f>IF(62&lt;=核心参数输入!$B$9*4,IF(62&lt;((核心参数输入!$B$18-1)*4+(核心参数输入!$B$148)+1),0,核心参数输入!$B$146*(1+核心参数输入!$B$37)^INT((62-((核心参数输入!$B$18-1)*4+(核心参数输入!$B$148)+1))/4)),0)</f>
        <v>31.086072457999865</v>
      </c>
      <c r="BO20" s="9">
        <f>IF(63&lt;=核心参数输入!$B$9*4,IF(63&lt;((核心参数输入!$B$18-1)*4+(核心参数输入!$B$148)+1),0,核心参数输入!$B$146*(1+核心参数输入!$B$37)^INT((63-((核心参数输入!$B$18-1)*4+(核心参数输入!$B$148)+1))/4)),0)</f>
        <v>31.086072457999865</v>
      </c>
      <c r="BP20" s="9">
        <f>IF(64&lt;=核心参数输入!$B$9*4,IF(64&lt;((核心参数输入!$B$18-1)*4+(核心参数输入!$B$148)+1),0,核心参数输入!$B$146*(1+核心参数输入!$B$37)^INT((64-((核心参数输入!$B$18-1)*4+(核心参数输入!$B$148)+1))/4)),0)</f>
        <v>31.086072457999865</v>
      </c>
      <c r="BQ20" s="9">
        <f>IF(65&lt;=核心参数输入!$B$9*4,IF(65&lt;((核心参数输入!$B$18-1)*4+(核心参数输入!$B$148)+1),0,核心参数输入!$B$146*(1+核心参数输入!$B$37)^INT((65-((核心参数输入!$B$18-1)*4+(核心参数输入!$B$148)+1))/4)),0)</f>
        <v>31.552363544869863</v>
      </c>
      <c r="BR20" s="9">
        <f>IF(66&lt;=核心参数输入!$B$9*4,IF(66&lt;((核心参数输入!$B$18-1)*4+(核心参数输入!$B$148)+1),0,核心参数输入!$B$146*(1+核心参数输入!$B$37)^INT((66-((核心参数输入!$B$18-1)*4+(核心参数输入!$B$148)+1))/4)),0)</f>
        <v>31.552363544869863</v>
      </c>
      <c r="BS20" s="9">
        <f>IF(67&lt;=核心参数输入!$B$9*4,IF(67&lt;((核心参数输入!$B$18-1)*4+(核心参数输入!$B$148)+1),0,核心参数输入!$B$146*(1+核心参数输入!$B$37)^INT((67-((核心参数输入!$B$18-1)*4+(核心参数输入!$B$148)+1))/4)),0)</f>
        <v>31.552363544869863</v>
      </c>
      <c r="BT20" s="9">
        <f>IF(68&lt;=核心参数输入!$B$9*4,IF(68&lt;((核心参数输入!$B$18-1)*4+(核心参数输入!$B$148)+1),0,核心参数输入!$B$146*(1+核心参数输入!$B$37)^INT((68-((核心参数输入!$B$18-1)*4+(核心参数输入!$B$148)+1))/4)),0)</f>
        <v>31.552363544869863</v>
      </c>
      <c r="BU20" s="9">
        <f>IF(69&lt;=核心参数输入!$B$9*4,IF(69&lt;((核心参数输入!$B$18-1)*4+(核心参数输入!$B$148)+1),0,核心参数输入!$B$146*(1+核心参数输入!$B$37)^INT((69-((核心参数输入!$B$18-1)*4+(核心参数输入!$B$148)+1))/4)),0)</f>
        <v>32.025648998042904</v>
      </c>
      <c r="BV20" s="9">
        <f>IF(70&lt;=核心参数输入!$B$9*4,IF(70&lt;((核心参数输入!$B$18-1)*4+(核心参数输入!$B$148)+1),0,核心参数输入!$B$146*(1+核心参数输入!$B$37)^INT((70-((核心参数输入!$B$18-1)*4+(核心参数输入!$B$148)+1))/4)),0)</f>
        <v>32.025648998042904</v>
      </c>
      <c r="BW20" s="9">
        <f>IF(71&lt;=核心参数输入!$B$9*4,IF(71&lt;((核心参数输入!$B$18-1)*4+(核心参数输入!$B$148)+1),0,核心参数输入!$B$146*(1+核心参数输入!$B$37)^INT((71-((核心参数输入!$B$18-1)*4+(核心参数输入!$B$148)+1))/4)),0)</f>
        <v>32.025648998042904</v>
      </c>
      <c r="BX20" s="9">
        <f>IF(72&lt;=核心参数输入!$B$9*4,IF(72&lt;((核心参数输入!$B$18-1)*4+(核心参数输入!$B$148)+1),0,核心参数输入!$B$146*(1+核心参数输入!$B$37)^INT((72-((核心参数输入!$B$18-1)*4+(核心参数输入!$B$148)+1))/4)),0)</f>
        <v>32.025648998042904</v>
      </c>
      <c r="BY20" s="9">
        <f>IF(73&lt;=核心参数输入!$B$9*4,IF(73&lt;((核心参数输入!$B$18-1)*4+(核心参数输入!$B$148)+1),0,核心参数输入!$B$146*(1+核心参数输入!$B$37)^INT((73-((核心参数输入!$B$18-1)*4+(核心参数输入!$B$148)+1))/4)),0)</f>
        <v>32.506033733013538</v>
      </c>
      <c r="BZ20" s="9">
        <f>IF(74&lt;=核心参数输入!$B$9*4,IF(74&lt;((核心参数输入!$B$18-1)*4+(核心参数输入!$B$148)+1),0,核心参数输入!$B$146*(1+核心参数输入!$B$37)^INT((74-((核心参数输入!$B$18-1)*4+(核心参数输入!$B$148)+1))/4)),0)</f>
        <v>32.506033733013538</v>
      </c>
      <c r="CA20" s="9">
        <f>IF(75&lt;=核心参数输入!$B$9*4,IF(75&lt;((核心参数输入!$B$18-1)*4+(核心参数输入!$B$148)+1),0,核心参数输入!$B$146*(1+核心参数输入!$B$37)^INT((75-((核心参数输入!$B$18-1)*4+(核心参数输入!$B$148)+1))/4)),0)</f>
        <v>32.506033733013538</v>
      </c>
      <c r="CB20" s="9">
        <f>IF(76&lt;=核心参数输入!$B$9*4,IF(76&lt;((核心参数输入!$B$18-1)*4+(核心参数输入!$B$148)+1),0,核心参数输入!$B$146*(1+核心参数输入!$B$37)^INT((76-((核心参数输入!$B$18-1)*4+(核心参数输入!$B$148)+1))/4)),0)</f>
        <v>32.506033733013538</v>
      </c>
      <c r="CC20" s="9">
        <f>IF(77&lt;=核心参数输入!$B$9*4,IF(77&lt;((核心参数输入!$B$18-1)*4+(核心参数输入!$B$148)+1),0,核心参数输入!$B$146*(1+核心参数输入!$B$37)^INT((77-((核心参数输入!$B$18-1)*4+(核心参数输入!$B$148)+1))/4)),0)</f>
        <v>32.993624239008739</v>
      </c>
      <c r="CD20" s="9">
        <f>IF(78&lt;=核心参数输入!$B$9*4,IF(78&lt;((核心参数输入!$B$18-1)*4+(核心参数输入!$B$148)+1),0,核心参数输入!$B$146*(1+核心参数输入!$B$37)^INT((78-((核心参数输入!$B$18-1)*4+(核心参数输入!$B$148)+1))/4)),0)</f>
        <v>32.993624239008739</v>
      </c>
      <c r="CE20" s="9">
        <f>IF(79&lt;=核心参数输入!$B$9*4,IF(79&lt;((核心参数输入!$B$18-1)*4+(核心参数输入!$B$148)+1),0,核心参数输入!$B$146*(1+核心参数输入!$B$37)^INT((79-((核心参数输入!$B$18-1)*4+(核心参数输入!$B$148)+1))/4)),0)</f>
        <v>32.993624239008739</v>
      </c>
      <c r="CF20" s="9">
        <f>IF(80&lt;=核心参数输入!$B$9*4,IF(80&lt;((核心参数输入!$B$18-1)*4+(核心参数输入!$B$148)+1),0,核心参数输入!$B$146*(1+核心参数输入!$B$37)^INT((80-((核心参数输入!$B$18-1)*4+(核心参数输入!$B$148)+1))/4)),0)</f>
        <v>32.993624239008739</v>
      </c>
      <c r="CG20" s="9">
        <f>IF(81&lt;=核心参数输入!$B$9*4,IF(81&lt;((核心参数输入!$B$18-1)*4+(核心参数输入!$B$148)+1),0,核心参数输入!$B$146*(1+核心参数输入!$B$37)^INT((81-((核心参数输入!$B$18-1)*4+(核心参数输入!$B$148)+1))/4)),0)</f>
        <v>0</v>
      </c>
      <c r="CH20" s="9">
        <f>IF(82&lt;=核心参数输入!$B$9*4,IF(82&lt;((核心参数输入!$B$18-1)*4+(核心参数输入!$B$148)+1),0,核心参数输入!$B$146*(1+核心参数输入!$B$37)^INT((82-((核心参数输入!$B$18-1)*4+(核心参数输入!$B$148)+1))/4)),0)</f>
        <v>0</v>
      </c>
      <c r="CI20" s="9">
        <f>IF(83&lt;=核心参数输入!$B$9*4,IF(83&lt;((核心参数输入!$B$18-1)*4+(核心参数输入!$B$148)+1),0,核心参数输入!$B$146*(1+核心参数输入!$B$37)^INT((83-((核心参数输入!$B$18-1)*4+(核心参数输入!$B$148)+1))/4)),0)</f>
        <v>0</v>
      </c>
      <c r="CJ20" s="9">
        <f>IF(84&lt;=核心参数输入!$B$9*4,IF(84&lt;((核心参数输入!$B$18-1)*4+(核心参数输入!$B$148)+1),0,核心参数输入!$B$146*(1+核心参数输入!$B$37)^INT((84-((核心参数输入!$B$18-1)*4+(核心参数输入!$B$148)+1))/4)),0)</f>
        <v>0</v>
      </c>
      <c r="CK20" s="9">
        <f>IF(85&lt;=核心参数输入!$B$9*4,IF(85&lt;((核心参数输入!$B$18-1)*4+(核心参数输入!$B$148)+1),0,核心参数输入!$B$146*(1+核心参数输入!$B$37)^INT((85-((核心参数输入!$B$18-1)*4+(核心参数输入!$B$148)+1))/4)),0)</f>
        <v>0</v>
      </c>
      <c r="CL20" s="9">
        <f>IF(86&lt;=核心参数输入!$B$9*4,IF(86&lt;((核心参数输入!$B$18-1)*4+(核心参数输入!$B$148)+1),0,核心参数输入!$B$146*(1+核心参数输入!$B$37)^INT((86-((核心参数输入!$B$18-1)*4+(核心参数输入!$B$148)+1))/4)),0)</f>
        <v>0</v>
      </c>
      <c r="CM20" s="9">
        <f>IF(87&lt;=核心参数输入!$B$9*4,IF(87&lt;((核心参数输入!$B$18-1)*4+(核心参数输入!$B$148)+1),0,核心参数输入!$B$146*(1+核心参数输入!$B$37)^INT((87-((核心参数输入!$B$18-1)*4+(核心参数输入!$B$148)+1))/4)),0)</f>
        <v>0</v>
      </c>
      <c r="CN20" s="9">
        <f>IF(88&lt;=核心参数输入!$B$9*4,IF(88&lt;((核心参数输入!$B$18-1)*4+(核心参数输入!$B$148)+1),0,核心参数输入!$B$146*(1+核心参数输入!$B$37)^INT((88-((核心参数输入!$B$18-1)*4+(核心参数输入!$B$148)+1))/4)),0)</f>
        <v>0</v>
      </c>
      <c r="CO20" s="9">
        <f>IF(89&lt;=核心参数输入!$B$9*4,IF(89&lt;((核心参数输入!$B$18-1)*4+(核心参数输入!$B$148)+1),0,核心参数输入!$B$146*(1+核心参数输入!$B$37)^INT((89-((核心参数输入!$B$18-1)*4+(核心参数输入!$B$148)+1))/4)),0)</f>
        <v>0</v>
      </c>
      <c r="CP20" s="9">
        <f>IF(90&lt;=核心参数输入!$B$9*4,IF(90&lt;((核心参数输入!$B$18-1)*4+(核心参数输入!$B$148)+1),0,核心参数输入!$B$146*(1+核心参数输入!$B$37)^INT((90-((核心参数输入!$B$18-1)*4+(核心参数输入!$B$148)+1))/4)),0)</f>
        <v>0</v>
      </c>
      <c r="CQ20" s="9">
        <f>IF(91&lt;=核心参数输入!$B$9*4,IF(91&lt;((核心参数输入!$B$18-1)*4+(核心参数输入!$B$148)+1),0,核心参数输入!$B$146*(1+核心参数输入!$B$37)^INT((91-((核心参数输入!$B$18-1)*4+(核心参数输入!$B$148)+1))/4)),0)</f>
        <v>0</v>
      </c>
      <c r="CR20" s="9">
        <f>IF(92&lt;=核心参数输入!$B$9*4,IF(92&lt;((核心参数输入!$B$18-1)*4+(核心参数输入!$B$148)+1),0,核心参数输入!$B$146*(1+核心参数输入!$B$37)^INT((92-((核心参数输入!$B$18-1)*4+(核心参数输入!$B$148)+1))/4)),0)</f>
        <v>0</v>
      </c>
      <c r="CS20" s="9">
        <f>IF(93&lt;=核心参数输入!$B$9*4,IF(93&lt;((核心参数输入!$B$18-1)*4+(核心参数输入!$B$148)+1),0,核心参数输入!$B$146*(1+核心参数输入!$B$37)^INT((93-((核心参数输入!$B$18-1)*4+(核心参数输入!$B$148)+1))/4)),0)</f>
        <v>0</v>
      </c>
      <c r="CT20" s="9">
        <f>IF(94&lt;=核心参数输入!$B$9*4,IF(94&lt;((核心参数输入!$B$18-1)*4+(核心参数输入!$B$148)+1),0,核心参数输入!$B$146*(1+核心参数输入!$B$37)^INT((94-((核心参数输入!$B$18-1)*4+(核心参数输入!$B$148)+1))/4)),0)</f>
        <v>0</v>
      </c>
      <c r="CU20" s="9">
        <f>IF(95&lt;=核心参数输入!$B$9*4,IF(95&lt;((核心参数输入!$B$18-1)*4+(核心参数输入!$B$148)+1),0,核心参数输入!$B$146*(1+核心参数输入!$B$37)^INT((95-((核心参数输入!$B$18-1)*4+(核心参数输入!$B$148)+1))/4)),0)</f>
        <v>0</v>
      </c>
      <c r="CV20" s="9">
        <f>IF(96&lt;=核心参数输入!$B$9*4,IF(96&lt;((核心参数输入!$B$18-1)*4+(核心参数输入!$B$148)+1),0,核心参数输入!$B$146*(1+核心参数输入!$B$37)^INT((96-((核心参数输入!$B$18-1)*4+(核心参数输入!$B$148)+1))/4)),0)</f>
        <v>0</v>
      </c>
      <c r="CW20" s="9">
        <f>IF(97&lt;=核心参数输入!$B$9*4,IF(97&lt;((核心参数输入!$B$18-1)*4+(核心参数输入!$B$148)+1),0,核心参数输入!$B$146*(1+核心参数输入!$B$37)^INT((97-((核心参数输入!$B$18-1)*4+(核心参数输入!$B$148)+1))/4)),0)</f>
        <v>0</v>
      </c>
      <c r="CX20" s="9">
        <f>IF(98&lt;=核心参数输入!$B$9*4,IF(98&lt;((核心参数输入!$B$18-1)*4+(核心参数输入!$B$148)+1),0,核心参数输入!$B$146*(1+核心参数输入!$B$37)^INT((98-((核心参数输入!$B$18-1)*4+(核心参数输入!$B$148)+1))/4)),0)</f>
        <v>0</v>
      </c>
      <c r="CY20" s="9">
        <f>IF(99&lt;=核心参数输入!$B$9*4,IF(99&lt;((核心参数输入!$B$18-1)*4+(核心参数输入!$B$148)+1),0,核心参数输入!$B$146*(1+核心参数输入!$B$37)^INT((99-((核心参数输入!$B$18-1)*4+(核心参数输入!$B$148)+1))/4)),0)</f>
        <v>0</v>
      </c>
      <c r="CZ20" s="9">
        <f>IF(100&lt;=核心参数输入!$B$9*4,IF(100&lt;((核心参数输入!$B$18-1)*4+(核心参数输入!$B$148)+1),0,核心参数输入!$B$146*(1+核心参数输入!$B$37)^INT((100-((核心参数输入!$B$18-1)*4+(核心参数输入!$B$148)+1))/4)),0)</f>
        <v>0</v>
      </c>
      <c r="DA20" s="9">
        <f>IF(101&lt;=核心参数输入!$B$9*4,IF(101&lt;((核心参数输入!$B$18-1)*4+(核心参数输入!$B$148)+1),0,核心参数输入!$B$146*(1+核心参数输入!$B$37)^INT((101-((核心参数输入!$B$18-1)*4+(核心参数输入!$B$148)+1))/4)),0)</f>
        <v>0</v>
      </c>
      <c r="DB20" s="9">
        <f>IF(102&lt;=核心参数输入!$B$9*4,IF(102&lt;((核心参数输入!$B$18-1)*4+(核心参数输入!$B$148)+1),0,核心参数输入!$B$146*(1+核心参数输入!$B$37)^INT((102-((核心参数输入!$B$18-1)*4+(核心参数输入!$B$148)+1))/4)),0)</f>
        <v>0</v>
      </c>
      <c r="DC20" s="9">
        <f>IF(103&lt;=核心参数输入!$B$9*4,IF(103&lt;((核心参数输入!$B$18-1)*4+(核心参数输入!$B$148)+1),0,核心参数输入!$B$146*(1+核心参数输入!$B$37)^INT((103-((核心参数输入!$B$18-1)*4+(核心参数输入!$B$148)+1))/4)),0)</f>
        <v>0</v>
      </c>
      <c r="DD20" s="9">
        <f>IF(104&lt;=核心参数输入!$B$9*4,IF(104&lt;((核心参数输入!$B$18-1)*4+(核心参数输入!$B$148)+1),0,核心参数输入!$B$146*(1+核心参数输入!$B$37)^INT((104-((核心参数输入!$B$18-1)*4+(核心参数输入!$B$148)+1))/4)),0)</f>
        <v>0</v>
      </c>
      <c r="DE20" s="9">
        <f>IF(105&lt;=核心参数输入!$B$9*4,IF(105&lt;((核心参数输入!$B$18-1)*4+(核心参数输入!$B$148)+1),0,核心参数输入!$B$146*(1+核心参数输入!$B$37)^INT((105-((核心参数输入!$B$18-1)*4+(核心参数输入!$B$148)+1))/4)),0)</f>
        <v>0</v>
      </c>
      <c r="DF20" s="9">
        <f>IF(106&lt;=核心参数输入!$B$9*4,IF(106&lt;((核心参数输入!$B$18-1)*4+(核心参数输入!$B$148)+1),0,核心参数输入!$B$146*(1+核心参数输入!$B$37)^INT((106-((核心参数输入!$B$18-1)*4+(核心参数输入!$B$148)+1))/4)),0)</f>
        <v>0</v>
      </c>
      <c r="DG20" s="9">
        <f>IF(107&lt;=核心参数输入!$B$9*4,IF(107&lt;((核心参数输入!$B$18-1)*4+(核心参数输入!$B$148)+1),0,核心参数输入!$B$146*(1+核心参数输入!$B$37)^INT((107-((核心参数输入!$B$18-1)*4+(核心参数输入!$B$148)+1))/4)),0)</f>
        <v>0</v>
      </c>
      <c r="DH20" s="9">
        <f>IF(108&lt;=核心参数输入!$B$9*4,IF(108&lt;((核心参数输入!$B$18-1)*4+(核心参数输入!$B$148)+1),0,核心参数输入!$B$146*(1+核心参数输入!$B$37)^INT((108-((核心参数输入!$B$18-1)*4+(核心参数输入!$B$148)+1))/4)),0)</f>
        <v>0</v>
      </c>
      <c r="DI20" s="9">
        <f>IF(109&lt;=核心参数输入!$B$9*4,IF(109&lt;((核心参数输入!$B$18-1)*4+(核心参数输入!$B$148)+1),0,核心参数输入!$B$146*(1+核心参数输入!$B$37)^INT((109-((核心参数输入!$B$18-1)*4+(核心参数输入!$B$148)+1))/4)),0)</f>
        <v>0</v>
      </c>
      <c r="DJ20" s="9">
        <f>IF(110&lt;=核心参数输入!$B$9*4,IF(110&lt;((核心参数输入!$B$18-1)*4+(核心参数输入!$B$148)+1),0,核心参数输入!$B$146*(1+核心参数输入!$B$37)^INT((110-((核心参数输入!$B$18-1)*4+(核心参数输入!$B$148)+1))/4)),0)</f>
        <v>0</v>
      </c>
      <c r="DK20" s="9">
        <f>IF(111&lt;=核心参数输入!$B$9*4,IF(111&lt;((核心参数输入!$B$18-1)*4+(核心参数输入!$B$148)+1),0,核心参数输入!$B$146*(1+核心参数输入!$B$37)^INT((111-((核心参数输入!$B$18-1)*4+(核心参数输入!$B$148)+1))/4)),0)</f>
        <v>0</v>
      </c>
      <c r="DL20" s="9">
        <f>IF(112&lt;=核心参数输入!$B$9*4,IF(112&lt;((核心参数输入!$B$18-1)*4+(核心参数输入!$B$148)+1),0,核心参数输入!$B$146*(1+核心参数输入!$B$37)^INT((112-((核心参数输入!$B$18-1)*4+(核心参数输入!$B$148)+1))/4)),0)</f>
        <v>0</v>
      </c>
      <c r="DM20" s="9">
        <f>IF(113&lt;=核心参数输入!$B$9*4,IF(113&lt;((核心参数输入!$B$18-1)*4+(核心参数输入!$B$148)+1),0,核心参数输入!$B$146*(1+核心参数输入!$B$37)^INT((113-((核心参数输入!$B$18-1)*4+(核心参数输入!$B$148)+1))/4)),0)</f>
        <v>0</v>
      </c>
      <c r="DN20" s="9">
        <f>IF(114&lt;=核心参数输入!$B$9*4,IF(114&lt;((核心参数输入!$B$18-1)*4+(核心参数输入!$B$148)+1),0,核心参数输入!$B$146*(1+核心参数输入!$B$37)^INT((114-((核心参数输入!$B$18-1)*4+(核心参数输入!$B$148)+1))/4)),0)</f>
        <v>0</v>
      </c>
      <c r="DO20" s="9">
        <f>IF(115&lt;=核心参数输入!$B$9*4,IF(115&lt;((核心参数输入!$B$18-1)*4+(核心参数输入!$B$148)+1),0,核心参数输入!$B$146*(1+核心参数输入!$B$37)^INT((115-((核心参数输入!$B$18-1)*4+(核心参数输入!$B$148)+1))/4)),0)</f>
        <v>0</v>
      </c>
      <c r="DP20" s="9">
        <f>IF(116&lt;=核心参数输入!$B$9*4,IF(116&lt;((核心参数输入!$B$18-1)*4+(核心参数输入!$B$148)+1),0,核心参数输入!$B$146*(1+核心参数输入!$B$37)^INT((116-((核心参数输入!$B$18-1)*4+(核心参数输入!$B$148)+1))/4)),0)</f>
        <v>0</v>
      </c>
      <c r="DQ20" s="9">
        <f>IF(117&lt;=核心参数输入!$B$9*4,IF(117&lt;((核心参数输入!$B$18-1)*4+(核心参数输入!$B$148)+1),0,核心参数输入!$B$146*(1+核心参数输入!$B$37)^INT((117-((核心参数输入!$B$18-1)*4+(核心参数输入!$B$148)+1))/4)),0)</f>
        <v>0</v>
      </c>
      <c r="DR20" s="9">
        <f>IF(118&lt;=核心参数输入!$B$9*4,IF(118&lt;((核心参数输入!$B$18-1)*4+(核心参数输入!$B$148)+1),0,核心参数输入!$B$146*(1+核心参数输入!$B$37)^INT((118-((核心参数输入!$B$18-1)*4+(核心参数输入!$B$148)+1))/4)),0)</f>
        <v>0</v>
      </c>
      <c r="DS20" s="9">
        <f>IF(119&lt;=核心参数输入!$B$9*4,IF(119&lt;((核心参数输入!$B$18-1)*4+(核心参数输入!$B$148)+1),0,核心参数输入!$B$146*(1+核心参数输入!$B$37)^INT((119-((核心参数输入!$B$18-1)*4+(核心参数输入!$B$148)+1))/4)),0)</f>
        <v>0</v>
      </c>
      <c r="DT20" s="9">
        <f>IF(120&lt;=核心参数输入!$B$9*4,IF(120&lt;((核心参数输入!$B$18-1)*4+(核心参数输入!$B$148)+1),0,核心参数输入!$B$146*(1+核心参数输入!$B$37)^INT((120-((核心参数输入!$B$18-1)*4+(核心参数输入!$B$148)+1))/4)),0)</f>
        <v>0</v>
      </c>
    </row>
    <row r="21" spans="1:124" ht="21" customHeight="1">
      <c r="A21" s="8" t="s">
        <v>457</v>
      </c>
      <c r="B21" s="8" t="s">
        <v>39</v>
      </c>
      <c r="C21" s="8"/>
      <c r="D21" s="9">
        <f>IF(0&lt;=核心参数输入!$B$9*4,D19*D20*3/10000,0)</f>
        <v>0</v>
      </c>
      <c r="E21" s="9">
        <f>IF(1&lt;=核心参数输入!$B$9*4,E19*E20*3/10000,0)</f>
        <v>0</v>
      </c>
      <c r="F21" s="9">
        <f>IF(2&lt;=核心参数输入!$B$9*4,F19*F20*3/10000,0)</f>
        <v>0</v>
      </c>
      <c r="G21" s="9">
        <f>IF(3&lt;=核心参数输入!$B$9*4,G19*G20*3/10000,0)</f>
        <v>0</v>
      </c>
      <c r="H21" s="9">
        <f>IF(4&lt;=核心参数输入!$B$9*4,H19*H20*3/10000,0)</f>
        <v>0</v>
      </c>
      <c r="I21" s="9">
        <f>IF(5&lt;=核心参数输入!$B$9*4,I19*I20*3/10000,0)</f>
        <v>0</v>
      </c>
      <c r="J21" s="9">
        <f>IF(6&lt;=核心参数输入!$B$9*4,J19*J20*3/10000,0)</f>
        <v>0</v>
      </c>
      <c r="K21" s="9">
        <f>IF(7&lt;=核心参数输入!$B$9*4,K19*K20*3/10000,0)</f>
        <v>0</v>
      </c>
      <c r="L21" s="9">
        <f>IF(8&lt;=核心参数输入!$B$9*4,L19*L20*3/10000,0)</f>
        <v>0</v>
      </c>
      <c r="M21" s="9">
        <f>IF(9&lt;=核心参数输入!$B$9*4,M19*M20*3/10000,0)</f>
        <v>0</v>
      </c>
      <c r="N21" s="9">
        <f>IF(10&lt;=核心参数输入!$B$9*4,N19*N20*3/10000,0)</f>
        <v>0</v>
      </c>
      <c r="O21" s="9">
        <f>IF(11&lt;=核心参数输入!$B$9*4,O19*O20*3/10000,0)</f>
        <v>0</v>
      </c>
      <c r="P21" s="9">
        <f>IF(12&lt;=核心参数输入!$B$9*4,P19*P20*3/10000,0)</f>
        <v>0</v>
      </c>
      <c r="Q21" s="9">
        <f>IF(13&lt;=核心参数输入!$B$9*4,Q19*Q20*3/10000,0)</f>
        <v>29.615624999999994</v>
      </c>
      <c r="R21" s="9">
        <f>IF(14&lt;=核心参数输入!$B$9*4,R19*R20*3/10000,0)</f>
        <v>88.846874999999983</v>
      </c>
      <c r="S21" s="9">
        <f>IF(15&lt;=核心参数输入!$B$9*4,S19*S20*3/10000,0)</f>
        <v>148.07812499999994</v>
      </c>
      <c r="T21" s="9">
        <f>IF(16&lt;=核心参数输入!$B$9*4,T19*T20*3/10000,0)</f>
        <v>207.30937499999996</v>
      </c>
      <c r="U21" s="9">
        <f>IF(17&lt;=核心参数输入!$B$9*4,U19*U20*3/10000,0)</f>
        <v>252.50281874999996</v>
      </c>
      <c r="V21" s="9">
        <f>IF(18&lt;=核心参数输入!$B$9*4,V19*V20*3/10000,0)</f>
        <v>276.55070624999996</v>
      </c>
      <c r="W21" s="9">
        <f>IF(19&lt;=核心参数输入!$B$9*4,W19*W20*3/10000,0)</f>
        <v>300.59859374999991</v>
      </c>
      <c r="X21" s="9">
        <f>IF(20&lt;=核心参数输入!$B$9*4,X19*X20*3/10000,0)</f>
        <v>324.64648124999991</v>
      </c>
      <c r="Y21" s="9">
        <f>IF(21&lt;=核心参数输入!$B$9*4,Y19*Y20*3/10000,0)</f>
        <v>350.87370855468737</v>
      </c>
      <c r="Z21" s="9">
        <f>IF(22&lt;=核心参数输入!$B$9*4,Z19*Z20*3/10000,0)</f>
        <v>369.18016291406229</v>
      </c>
      <c r="AA21" s="9">
        <f>IF(23&lt;=核心参数输入!$B$9*4,AA19*AA20*3/10000,0)</f>
        <v>387.48661727343733</v>
      </c>
      <c r="AB21" s="9">
        <f>IF(24&lt;=核心参数输入!$B$9*4,AB19*AB20*3/10000,0)</f>
        <v>405.79307163281237</v>
      </c>
      <c r="AC21" s="9">
        <f>IF(25&lt;=核心参数输入!$B$9*4,AC19*AC20*3/10000,0)</f>
        <v>424.26733515714835</v>
      </c>
      <c r="AD21" s="9">
        <f>IF(26&lt;=核心参数输入!$B$9*4,AD19*AD20*3/10000,0)</f>
        <v>430.46101888207011</v>
      </c>
      <c r="AE21" s="9">
        <f>IF(27&lt;=核心参数输入!$B$9*4,AE19*AE20*3/10000,0)</f>
        <v>436.65470260699198</v>
      </c>
      <c r="AF21" s="9">
        <f>IF(28&lt;=核心参数输入!$B$9*4,AF19*AF20*3/10000,0)</f>
        <v>442.84838633191379</v>
      </c>
      <c r="AG21" s="9">
        <f>IF(29&lt;=核心参数输入!$B$9*4,AG19*AG20*3/10000,0)</f>
        <v>452.63440661729032</v>
      </c>
      <c r="AH21" s="9">
        <f>IF(30&lt;=核心参数输入!$B$9*4,AH19*AH20*3/10000,0)</f>
        <v>452.63440661729032</v>
      </c>
      <c r="AI21" s="9">
        <f>IF(31&lt;=核心参数输入!$B$9*4,AI19*AI20*3/10000,0)</f>
        <v>452.63440661729032</v>
      </c>
      <c r="AJ21" s="9">
        <f>IF(32&lt;=核心参数输入!$B$9*4,AJ19*AJ20*3/10000,0)</f>
        <v>452.63440661729032</v>
      </c>
      <c r="AK21" s="9">
        <f>IF(33&lt;=核心参数输入!$B$9*4,AK19*AK20*3/10000,0)</f>
        <v>459.42392271654961</v>
      </c>
      <c r="AL21" s="9">
        <f>IF(34&lt;=核心参数输入!$B$9*4,AL19*AL20*3/10000,0)</f>
        <v>459.42392271654961</v>
      </c>
      <c r="AM21" s="9">
        <f>IF(35&lt;=核心参数输入!$B$9*4,AM19*AM20*3/10000,0)</f>
        <v>459.42392271654961</v>
      </c>
      <c r="AN21" s="9">
        <f>IF(36&lt;=核心参数输入!$B$9*4,AN19*AN20*3/10000,0)</f>
        <v>459.42392271654961</v>
      </c>
      <c r="AO21" s="9">
        <f>IF(37&lt;=核心参数输入!$B$9*4,AO19*AO20*3/10000,0)</f>
        <v>466.31528155729779</v>
      </c>
      <c r="AP21" s="9">
        <f>IF(38&lt;=核心参数输入!$B$9*4,AP19*AP20*3/10000,0)</f>
        <v>466.31528155729779</v>
      </c>
      <c r="AQ21" s="9">
        <f>IF(39&lt;=核心参数输入!$B$9*4,AQ19*AQ20*3/10000,0)</f>
        <v>466.31528155729779</v>
      </c>
      <c r="AR21" s="9">
        <f>IF(40&lt;=核心参数输入!$B$9*4,AR19*AR20*3/10000,0)</f>
        <v>466.31528155729779</v>
      </c>
      <c r="AS21" s="9">
        <f>IF(41&lt;=核心参数输入!$B$9*4,AS19*AS20*3/10000,0)</f>
        <v>473.31001078065719</v>
      </c>
      <c r="AT21" s="9">
        <f>IF(42&lt;=核心参数输入!$B$9*4,AT19*AT20*3/10000,0)</f>
        <v>473.31001078065719</v>
      </c>
      <c r="AU21" s="9">
        <f>IF(43&lt;=核心参数输入!$B$9*4,AU19*AU20*3/10000,0)</f>
        <v>473.31001078065719</v>
      </c>
      <c r="AV21" s="9">
        <f>IF(44&lt;=核心参数输入!$B$9*4,AV19*AV20*3/10000,0)</f>
        <v>473.31001078065719</v>
      </c>
      <c r="AW21" s="9">
        <f>IF(45&lt;=核心参数输入!$B$9*4,AW19*AW20*3/10000,0)</f>
        <v>480.409660942367</v>
      </c>
      <c r="AX21" s="9">
        <f>IF(46&lt;=核心参数输入!$B$9*4,AX19*AX20*3/10000,0)</f>
        <v>480.409660942367</v>
      </c>
      <c r="AY21" s="9">
        <f>IF(47&lt;=核心参数输入!$B$9*4,AY19*AY20*3/10000,0)</f>
        <v>480.409660942367</v>
      </c>
      <c r="AZ21" s="9">
        <f>IF(48&lt;=核心参数输入!$B$9*4,AZ19*AZ20*3/10000,0)</f>
        <v>480.409660942367</v>
      </c>
      <c r="BA21" s="9">
        <f>IF(49&lt;=核心参数输入!$B$9*4,BA19*BA20*3/10000,0)</f>
        <v>487.61580585650245</v>
      </c>
      <c r="BB21" s="9">
        <f>IF(50&lt;=核心参数输入!$B$9*4,BB19*BB20*3/10000,0)</f>
        <v>487.61580585650245</v>
      </c>
      <c r="BC21" s="9">
        <f>IF(51&lt;=核心参数输入!$B$9*4,BC19*BC20*3/10000,0)</f>
        <v>487.61580585650245</v>
      </c>
      <c r="BD21" s="9">
        <f>IF(52&lt;=核心参数输入!$B$9*4,BD19*BD20*3/10000,0)</f>
        <v>487.61580585650245</v>
      </c>
      <c r="BE21" s="9">
        <f>IF(53&lt;=核心参数输入!$B$9*4,BE19*BE20*3/10000,0)</f>
        <v>494.93004294434991</v>
      </c>
      <c r="BF21" s="9">
        <f>IF(54&lt;=核心参数输入!$B$9*4,BF19*BF20*3/10000,0)</f>
        <v>494.93004294434991</v>
      </c>
      <c r="BG21" s="9">
        <f>IF(55&lt;=核心参数输入!$B$9*4,BG19*BG20*3/10000,0)</f>
        <v>494.93004294434991</v>
      </c>
      <c r="BH21" s="9">
        <f>IF(56&lt;=核心参数输入!$B$9*4,BH19*BH20*3/10000,0)</f>
        <v>494.93004294434991</v>
      </c>
      <c r="BI21" s="9">
        <f>IF(57&lt;=核心参数输入!$B$9*4,BI19*BI20*3/10000,0)</f>
        <v>502.3539935885151</v>
      </c>
      <c r="BJ21" s="9">
        <f>IF(58&lt;=核心参数输入!$B$9*4,BJ19*BJ20*3/10000,0)</f>
        <v>502.3539935885151</v>
      </c>
      <c r="BK21" s="9">
        <f>IF(59&lt;=核心参数输入!$B$9*4,BK19*BK20*3/10000,0)</f>
        <v>502.3539935885151</v>
      </c>
      <c r="BL21" s="9">
        <f>IF(60&lt;=核心参数输入!$B$9*4,BL19*BL20*3/10000,0)</f>
        <v>502.3539935885151</v>
      </c>
      <c r="BM21" s="9">
        <f>IF(61&lt;=核心参数输入!$B$9*4,BM19*BM20*3/10000,0)</f>
        <v>509.88930349234266</v>
      </c>
      <c r="BN21" s="9">
        <f>IF(62&lt;=核心参数输入!$B$9*4,BN19*BN20*3/10000,0)</f>
        <v>509.88930349234266</v>
      </c>
      <c r="BO21" s="9">
        <f>IF(63&lt;=核心参数输入!$B$9*4,BO19*BO20*3/10000,0)</f>
        <v>509.88930349234266</v>
      </c>
      <c r="BP21" s="9">
        <f>IF(64&lt;=核心参数输入!$B$9*4,BP19*BP20*3/10000,0)</f>
        <v>509.88930349234266</v>
      </c>
      <c r="BQ21" s="9">
        <f>IF(65&lt;=核心参数输入!$B$9*4,BQ19*BQ20*3/10000,0)</f>
        <v>517.53764304472782</v>
      </c>
      <c r="BR21" s="9">
        <f>IF(66&lt;=核心参数输入!$B$9*4,BR19*BR20*3/10000,0)</f>
        <v>517.53764304472782</v>
      </c>
      <c r="BS21" s="9">
        <f>IF(67&lt;=核心参数输入!$B$9*4,BS19*BS20*3/10000,0)</f>
        <v>517.53764304472782</v>
      </c>
      <c r="BT21" s="9">
        <f>IF(68&lt;=核心参数输入!$B$9*4,BT19*BT20*3/10000,0)</f>
        <v>517.53764304472782</v>
      </c>
      <c r="BU21" s="9">
        <f>IF(69&lt;=核心参数输入!$B$9*4,BU19*BU20*3/10000,0)</f>
        <v>525.30070769039867</v>
      </c>
      <c r="BV21" s="9">
        <f>IF(70&lt;=核心参数输入!$B$9*4,BV19*BV20*3/10000,0)</f>
        <v>525.30070769039867</v>
      </c>
      <c r="BW21" s="9">
        <f>IF(71&lt;=核心参数输入!$B$9*4,BW19*BW20*3/10000,0)</f>
        <v>525.30070769039867</v>
      </c>
      <c r="BX21" s="9">
        <f>IF(72&lt;=核心参数输入!$B$9*4,BX19*BX20*3/10000,0)</f>
        <v>525.30070769039867</v>
      </c>
      <c r="BY21" s="9">
        <f>IF(73&lt;=核心参数输入!$B$9*4,BY19*BY20*3/10000,0)</f>
        <v>533.18021830575447</v>
      </c>
      <c r="BZ21" s="9">
        <f>IF(74&lt;=核心参数输入!$B$9*4,BZ19*BZ20*3/10000,0)</f>
        <v>533.18021830575447</v>
      </c>
      <c r="CA21" s="9">
        <f>IF(75&lt;=核心参数输入!$B$9*4,CA19*CA20*3/10000,0)</f>
        <v>533.18021830575447</v>
      </c>
      <c r="CB21" s="9">
        <f>IF(76&lt;=核心参数输入!$B$9*4,CB19*CB20*3/10000,0)</f>
        <v>533.18021830575447</v>
      </c>
      <c r="CC21" s="9">
        <f>IF(77&lt;=核心参数输入!$B$9*4,CC19*CC20*3/10000,0)</f>
        <v>541.17792158034069</v>
      </c>
      <c r="CD21" s="9">
        <f>IF(78&lt;=核心参数输入!$B$9*4,CD19*CD20*3/10000,0)</f>
        <v>541.17792158034069</v>
      </c>
      <c r="CE21" s="9">
        <f>IF(79&lt;=核心参数输入!$B$9*4,CE19*CE20*3/10000,0)</f>
        <v>541.17792158034069</v>
      </c>
      <c r="CF21" s="9">
        <f>IF(80&lt;=核心参数输入!$B$9*4,CF19*CF20*3/10000,0)</f>
        <v>541.17792158034069</v>
      </c>
      <c r="CG21" s="9">
        <f>IF(81&lt;=核心参数输入!$B$9*4,CG19*CG20*3/10000,0)</f>
        <v>0</v>
      </c>
      <c r="CH21" s="9">
        <f>IF(82&lt;=核心参数输入!$B$9*4,CH19*CH20*3/10000,0)</f>
        <v>0</v>
      </c>
      <c r="CI21" s="9">
        <f>IF(83&lt;=核心参数输入!$B$9*4,CI19*CI20*3/10000,0)</f>
        <v>0</v>
      </c>
      <c r="CJ21" s="9">
        <f>IF(84&lt;=核心参数输入!$B$9*4,CJ19*CJ20*3/10000,0)</f>
        <v>0</v>
      </c>
      <c r="CK21" s="9">
        <f>IF(85&lt;=核心参数输入!$B$9*4,CK19*CK20*3/10000,0)</f>
        <v>0</v>
      </c>
      <c r="CL21" s="9">
        <f>IF(86&lt;=核心参数输入!$B$9*4,CL19*CL20*3/10000,0)</f>
        <v>0</v>
      </c>
      <c r="CM21" s="9">
        <f>IF(87&lt;=核心参数输入!$B$9*4,CM19*CM20*3/10000,0)</f>
        <v>0</v>
      </c>
      <c r="CN21" s="9">
        <f>IF(88&lt;=核心参数输入!$B$9*4,CN19*CN20*3/10000,0)</f>
        <v>0</v>
      </c>
      <c r="CO21" s="9">
        <f>IF(89&lt;=核心参数输入!$B$9*4,CO19*CO20*3/10000,0)</f>
        <v>0</v>
      </c>
      <c r="CP21" s="9">
        <f>IF(90&lt;=核心参数输入!$B$9*4,CP19*CP20*3/10000,0)</f>
        <v>0</v>
      </c>
      <c r="CQ21" s="9">
        <f>IF(91&lt;=核心参数输入!$B$9*4,CQ19*CQ20*3/10000,0)</f>
        <v>0</v>
      </c>
      <c r="CR21" s="9">
        <f>IF(92&lt;=核心参数输入!$B$9*4,CR19*CR20*3/10000,0)</f>
        <v>0</v>
      </c>
      <c r="CS21" s="9">
        <f>IF(93&lt;=核心参数输入!$B$9*4,CS19*CS20*3/10000,0)</f>
        <v>0</v>
      </c>
      <c r="CT21" s="9">
        <f>IF(94&lt;=核心参数输入!$B$9*4,CT19*CT20*3/10000,0)</f>
        <v>0</v>
      </c>
      <c r="CU21" s="9">
        <f>IF(95&lt;=核心参数输入!$B$9*4,CU19*CU20*3/10000,0)</f>
        <v>0</v>
      </c>
      <c r="CV21" s="9">
        <f>IF(96&lt;=核心参数输入!$B$9*4,CV19*CV20*3/10000,0)</f>
        <v>0</v>
      </c>
      <c r="CW21" s="9">
        <f>IF(97&lt;=核心参数输入!$B$9*4,CW19*CW20*3/10000,0)</f>
        <v>0</v>
      </c>
      <c r="CX21" s="9">
        <f>IF(98&lt;=核心参数输入!$B$9*4,CX19*CX20*3/10000,0)</f>
        <v>0</v>
      </c>
      <c r="CY21" s="9">
        <f>IF(99&lt;=核心参数输入!$B$9*4,CY19*CY20*3/10000,0)</f>
        <v>0</v>
      </c>
      <c r="CZ21" s="9">
        <f>IF(100&lt;=核心参数输入!$B$9*4,CZ19*CZ20*3/10000,0)</f>
        <v>0</v>
      </c>
      <c r="DA21" s="9">
        <f>IF(101&lt;=核心参数输入!$B$9*4,DA19*DA20*3/10000,0)</f>
        <v>0</v>
      </c>
      <c r="DB21" s="9">
        <f>IF(102&lt;=核心参数输入!$B$9*4,DB19*DB20*3/10000,0)</f>
        <v>0</v>
      </c>
      <c r="DC21" s="9">
        <f>IF(103&lt;=核心参数输入!$B$9*4,DC19*DC20*3/10000,0)</f>
        <v>0</v>
      </c>
      <c r="DD21" s="9">
        <f>IF(104&lt;=核心参数输入!$B$9*4,DD19*DD20*3/10000,0)</f>
        <v>0</v>
      </c>
      <c r="DE21" s="9">
        <f>IF(105&lt;=核心参数输入!$B$9*4,DE19*DE20*3/10000,0)</f>
        <v>0</v>
      </c>
      <c r="DF21" s="9">
        <f>IF(106&lt;=核心参数输入!$B$9*4,DF19*DF20*3/10000,0)</f>
        <v>0</v>
      </c>
      <c r="DG21" s="9">
        <f>IF(107&lt;=核心参数输入!$B$9*4,DG19*DG20*3/10000,0)</f>
        <v>0</v>
      </c>
      <c r="DH21" s="9">
        <f>IF(108&lt;=核心参数输入!$B$9*4,DH19*DH20*3/10000,0)</f>
        <v>0</v>
      </c>
      <c r="DI21" s="9">
        <f>IF(109&lt;=核心参数输入!$B$9*4,DI19*DI20*3/10000,0)</f>
        <v>0</v>
      </c>
      <c r="DJ21" s="9">
        <f>IF(110&lt;=核心参数输入!$B$9*4,DJ19*DJ20*3/10000,0)</f>
        <v>0</v>
      </c>
      <c r="DK21" s="9">
        <f>IF(111&lt;=核心参数输入!$B$9*4,DK19*DK20*3/10000,0)</f>
        <v>0</v>
      </c>
      <c r="DL21" s="9">
        <f>IF(112&lt;=核心参数输入!$B$9*4,DL19*DL20*3/10000,0)</f>
        <v>0</v>
      </c>
      <c r="DM21" s="9">
        <f>IF(113&lt;=核心参数输入!$B$9*4,DM19*DM20*3/10000,0)</f>
        <v>0</v>
      </c>
      <c r="DN21" s="9">
        <f>IF(114&lt;=核心参数输入!$B$9*4,DN19*DN20*3/10000,0)</f>
        <v>0</v>
      </c>
      <c r="DO21" s="9">
        <f>IF(115&lt;=核心参数输入!$B$9*4,DO19*DO20*3/10000,0)</f>
        <v>0</v>
      </c>
      <c r="DP21" s="9">
        <f>IF(116&lt;=核心参数输入!$B$9*4,DP19*DP20*3/10000,0)</f>
        <v>0</v>
      </c>
      <c r="DQ21" s="9">
        <f>IF(117&lt;=核心参数输入!$B$9*4,DQ19*DQ20*3/10000,0)</f>
        <v>0</v>
      </c>
      <c r="DR21" s="9">
        <f>IF(118&lt;=核心参数输入!$B$9*4,DR19*DR20*3/10000,0)</f>
        <v>0</v>
      </c>
      <c r="DS21" s="9">
        <f>IF(119&lt;=核心参数输入!$B$9*4,DS19*DS20*3/10000,0)</f>
        <v>0</v>
      </c>
      <c r="DT21" s="9">
        <f>IF(120&lt;=核心参数输入!$B$9*4,DT19*DT20*3/10000,0)</f>
        <v>0</v>
      </c>
    </row>
    <row r="22" spans="1:124" ht="21" customHeight="1">
      <c r="A22" s="8" t="s">
        <v>458</v>
      </c>
      <c r="B22" s="8" t="s">
        <v>39</v>
      </c>
      <c r="C22" s="8"/>
      <c r="D22" s="9">
        <f>IF(0&lt;=核心参数输入!$B$9*4,(季度经营税费!D18*MAX(0,MIN(3,核心参数输入!$B$42+3*核心参数输入!$B$125-0*3)-MAX(0,3*核心参数输入!$B$125-0*3))+0+0+0+0)*D20/10000,0)</f>
        <v>0</v>
      </c>
      <c r="E22" s="9">
        <f>IF(1&lt;=核心参数输入!$B$9*4,(季度经营税费!E18*MAX(0,MIN(3,核心参数输入!$B$42+3*核心参数输入!$B$125-0*3)-MAX(0,3*核心参数输入!$B$125-0*3))+季度经营税费!D18*MAX(0,MIN(3,核心参数输入!$B$42+3*核心参数输入!$B$125-1*3)-MAX(0,3*核心参数输入!$B$125-1*3))+0+0+0)*E20/10000,0)</f>
        <v>0</v>
      </c>
      <c r="F22" s="9">
        <f>IF(2&lt;=核心参数输入!$B$9*4,(季度经营税费!F18*MAX(0,MIN(3,核心参数输入!$B$42+3*核心参数输入!$B$125-0*3)-MAX(0,3*核心参数输入!$B$125-0*3))+季度经营税费!E18*MAX(0,MIN(3,核心参数输入!$B$42+3*核心参数输入!$B$125-1*3)-MAX(0,3*核心参数输入!$B$125-1*3))+季度经营税费!D18*MAX(0,MIN(3,核心参数输入!$B$42+3*核心参数输入!$B$125-2*3)-MAX(0,3*核心参数输入!$B$125-2*3))+0+0)*F20/10000,0)</f>
        <v>0</v>
      </c>
      <c r="G22" s="9">
        <f>IF(3&lt;=核心参数输入!$B$9*4,(季度经营税费!G18*MAX(0,MIN(3,核心参数输入!$B$42+3*核心参数输入!$B$125-0*3)-MAX(0,3*核心参数输入!$B$125-0*3))+季度经营税费!F18*MAX(0,MIN(3,核心参数输入!$B$42+3*核心参数输入!$B$125-1*3)-MAX(0,3*核心参数输入!$B$125-1*3))+季度经营税费!E18*MAX(0,MIN(3,核心参数输入!$B$42+3*核心参数输入!$B$125-2*3)-MAX(0,3*核心参数输入!$B$125-2*3))+季度经营税费!D18*MAX(0,MIN(3,核心参数输入!$B$42+3*核心参数输入!$B$125-3*3)-MAX(0,3*核心参数输入!$B$125-3*3))+0)*G20/10000,0)</f>
        <v>0</v>
      </c>
      <c r="H22" s="9">
        <f>IF(4&lt;=核心参数输入!$B$9*4,(季度经营税费!H18*MAX(0,MIN(3,核心参数输入!$B$42+3*核心参数输入!$B$125-0*3)-MAX(0,3*核心参数输入!$B$125-0*3))+季度经营税费!G18*MAX(0,MIN(3,核心参数输入!$B$42+3*核心参数输入!$B$125-1*3)-MAX(0,3*核心参数输入!$B$125-1*3))+季度经营税费!F18*MAX(0,MIN(3,核心参数输入!$B$42+3*核心参数输入!$B$125-2*3)-MAX(0,3*核心参数输入!$B$125-2*3))+季度经营税费!E18*MAX(0,MIN(3,核心参数输入!$B$42+3*核心参数输入!$B$125-3*3)-MAX(0,3*核心参数输入!$B$125-3*3))+季度经营税费!D18*MAX(0,MIN(3,核心参数输入!$B$42+3*核心参数输入!$B$125-4*3)-MAX(0,3*核心参数输入!$B$125-4*3)))*H20/10000,0)</f>
        <v>0</v>
      </c>
      <c r="I22" s="9">
        <f>IF(5&lt;=核心参数输入!$B$9*4,(季度经营税费!I18*MAX(0,MIN(3,核心参数输入!$B$42+3*核心参数输入!$B$125-0*3)-MAX(0,3*核心参数输入!$B$125-0*3))+季度经营税费!H18*MAX(0,MIN(3,核心参数输入!$B$42+3*核心参数输入!$B$125-1*3)-MAX(0,3*核心参数输入!$B$125-1*3))+季度经营税费!G18*MAX(0,MIN(3,核心参数输入!$B$42+3*核心参数输入!$B$125-2*3)-MAX(0,3*核心参数输入!$B$125-2*3))+季度经营税费!F18*MAX(0,MIN(3,核心参数输入!$B$42+3*核心参数输入!$B$125-3*3)-MAX(0,3*核心参数输入!$B$125-3*3))+季度经营税费!E18*MAX(0,MIN(3,核心参数输入!$B$42+3*核心参数输入!$B$125-4*3)-MAX(0,3*核心参数输入!$B$125-4*3)))*I20/10000,0)</f>
        <v>0</v>
      </c>
      <c r="J22" s="9">
        <f>IF(6&lt;=核心参数输入!$B$9*4,(季度经营税费!J18*MAX(0,MIN(3,核心参数输入!$B$42+3*核心参数输入!$B$125-0*3)-MAX(0,3*核心参数输入!$B$125-0*3))+季度经营税费!I18*MAX(0,MIN(3,核心参数输入!$B$42+3*核心参数输入!$B$125-1*3)-MAX(0,3*核心参数输入!$B$125-1*3))+季度经营税费!H18*MAX(0,MIN(3,核心参数输入!$B$42+3*核心参数输入!$B$125-2*3)-MAX(0,3*核心参数输入!$B$125-2*3))+季度经营税费!G18*MAX(0,MIN(3,核心参数输入!$B$42+3*核心参数输入!$B$125-3*3)-MAX(0,3*核心参数输入!$B$125-3*3))+季度经营税费!F18*MAX(0,MIN(3,核心参数输入!$B$42+3*核心参数输入!$B$125-4*3)-MAX(0,3*核心参数输入!$B$125-4*3)))*J20/10000,0)</f>
        <v>0</v>
      </c>
      <c r="K22" s="9">
        <f>IF(7&lt;=核心参数输入!$B$9*4,(季度经营税费!K18*MAX(0,MIN(3,核心参数输入!$B$42+3*核心参数输入!$B$125-0*3)-MAX(0,3*核心参数输入!$B$125-0*3))+季度经营税费!J18*MAX(0,MIN(3,核心参数输入!$B$42+3*核心参数输入!$B$125-1*3)-MAX(0,3*核心参数输入!$B$125-1*3))+季度经营税费!I18*MAX(0,MIN(3,核心参数输入!$B$42+3*核心参数输入!$B$125-2*3)-MAX(0,3*核心参数输入!$B$125-2*3))+季度经营税费!H18*MAX(0,MIN(3,核心参数输入!$B$42+3*核心参数输入!$B$125-3*3)-MAX(0,3*核心参数输入!$B$125-3*3))+季度经营税费!G18*MAX(0,MIN(3,核心参数输入!$B$42+3*核心参数输入!$B$125-4*3)-MAX(0,3*核心参数输入!$B$125-4*3)))*K20/10000,0)</f>
        <v>0</v>
      </c>
      <c r="L22" s="9">
        <f>IF(8&lt;=核心参数输入!$B$9*4,(季度经营税费!L18*MAX(0,MIN(3,核心参数输入!$B$42+3*核心参数输入!$B$125-0*3)-MAX(0,3*核心参数输入!$B$125-0*3))+季度经营税费!K18*MAX(0,MIN(3,核心参数输入!$B$42+3*核心参数输入!$B$125-1*3)-MAX(0,3*核心参数输入!$B$125-1*3))+季度经营税费!J18*MAX(0,MIN(3,核心参数输入!$B$42+3*核心参数输入!$B$125-2*3)-MAX(0,3*核心参数输入!$B$125-2*3))+季度经营税费!I18*MAX(0,MIN(3,核心参数输入!$B$42+3*核心参数输入!$B$125-3*3)-MAX(0,3*核心参数输入!$B$125-3*3))+季度经营税费!H18*MAX(0,MIN(3,核心参数输入!$B$42+3*核心参数输入!$B$125-4*3)-MAX(0,3*核心参数输入!$B$125-4*3)))*L20/10000,0)</f>
        <v>0</v>
      </c>
      <c r="M22" s="9">
        <f>IF(9&lt;=核心参数输入!$B$9*4,(季度经营税费!M18*MAX(0,MIN(3,核心参数输入!$B$42+3*核心参数输入!$B$125-0*3)-MAX(0,3*核心参数输入!$B$125-0*3))+季度经营税费!L18*MAX(0,MIN(3,核心参数输入!$B$42+3*核心参数输入!$B$125-1*3)-MAX(0,3*核心参数输入!$B$125-1*3))+季度经营税费!K18*MAX(0,MIN(3,核心参数输入!$B$42+3*核心参数输入!$B$125-2*3)-MAX(0,3*核心参数输入!$B$125-2*3))+季度经营税费!J18*MAX(0,MIN(3,核心参数输入!$B$42+3*核心参数输入!$B$125-3*3)-MAX(0,3*核心参数输入!$B$125-3*3))+季度经营税费!I18*MAX(0,MIN(3,核心参数输入!$B$42+3*核心参数输入!$B$125-4*3)-MAX(0,3*核心参数输入!$B$125-4*3)))*M20/10000,0)</f>
        <v>0</v>
      </c>
      <c r="N22" s="9">
        <f>IF(10&lt;=核心参数输入!$B$9*4,(季度经营税费!N18*MAX(0,MIN(3,核心参数输入!$B$42+3*核心参数输入!$B$125-0*3)-MAX(0,3*核心参数输入!$B$125-0*3))+季度经营税费!M18*MAX(0,MIN(3,核心参数输入!$B$42+3*核心参数输入!$B$125-1*3)-MAX(0,3*核心参数输入!$B$125-1*3))+季度经营税费!L18*MAX(0,MIN(3,核心参数输入!$B$42+3*核心参数输入!$B$125-2*3)-MAX(0,3*核心参数输入!$B$125-2*3))+季度经营税费!K18*MAX(0,MIN(3,核心参数输入!$B$42+3*核心参数输入!$B$125-3*3)-MAX(0,3*核心参数输入!$B$125-3*3))+季度经营税费!J18*MAX(0,MIN(3,核心参数输入!$B$42+3*核心参数输入!$B$125-4*3)-MAX(0,3*核心参数输入!$B$125-4*3)))*N20/10000,0)</f>
        <v>0</v>
      </c>
      <c r="O22" s="9">
        <f>IF(11&lt;=核心参数输入!$B$9*4,(季度经营税费!O18*MAX(0,MIN(3,核心参数输入!$B$42+3*核心参数输入!$B$125-0*3)-MAX(0,3*核心参数输入!$B$125-0*3))+季度经营税费!N18*MAX(0,MIN(3,核心参数输入!$B$42+3*核心参数输入!$B$125-1*3)-MAX(0,3*核心参数输入!$B$125-1*3))+季度经营税费!M18*MAX(0,MIN(3,核心参数输入!$B$42+3*核心参数输入!$B$125-2*3)-MAX(0,3*核心参数输入!$B$125-2*3))+季度经营税费!L18*MAX(0,MIN(3,核心参数输入!$B$42+3*核心参数输入!$B$125-3*3)-MAX(0,3*核心参数输入!$B$125-3*3))+季度经营税费!K18*MAX(0,MIN(3,核心参数输入!$B$42+3*核心参数输入!$B$125-4*3)-MAX(0,3*核心参数输入!$B$125-4*3)))*O20/10000,0)</f>
        <v>0</v>
      </c>
      <c r="P22" s="9">
        <f>IF(12&lt;=核心参数输入!$B$9*4,(季度经营税费!P18*MAX(0,MIN(3,核心参数输入!$B$42+3*核心参数输入!$B$125-0*3)-MAX(0,3*核心参数输入!$B$125-0*3))+季度经营税费!O18*MAX(0,MIN(3,核心参数输入!$B$42+3*核心参数输入!$B$125-1*3)-MAX(0,3*核心参数输入!$B$125-1*3))+季度经营税费!N18*MAX(0,MIN(3,核心参数输入!$B$42+3*核心参数输入!$B$125-2*3)-MAX(0,3*核心参数输入!$B$125-2*3))+季度经营税费!M18*MAX(0,MIN(3,核心参数输入!$B$42+3*核心参数输入!$B$125-3*3)-MAX(0,3*核心参数输入!$B$125-3*3))+季度经营税费!L18*MAX(0,MIN(3,核心参数输入!$B$42+3*核心参数输入!$B$125-4*3)-MAX(0,3*核心参数输入!$B$125-4*3)))*P20/10000,0)</f>
        <v>0</v>
      </c>
      <c r="Q22" s="9">
        <f>IF(13&lt;=核心参数输入!$B$9*4,(季度经营税费!Q18*MAX(0,MIN(3,核心参数输入!$B$42+3*核心参数输入!$B$125-0*3)-MAX(0,3*核心参数输入!$B$125-0*3))+季度经营税费!P18*MAX(0,MIN(3,核心参数输入!$B$42+3*核心参数输入!$B$125-1*3)-MAX(0,3*核心参数输入!$B$125-1*3))+季度经营税费!O18*MAX(0,MIN(3,核心参数输入!$B$42+3*核心参数输入!$B$125-2*3)-MAX(0,3*核心参数输入!$B$125-2*3))+季度经营税费!N18*MAX(0,MIN(3,核心参数输入!$B$42+3*核心参数输入!$B$125-3*3)-MAX(0,3*核心参数输入!$B$125-3*3))+季度经营税费!M18*MAX(0,MIN(3,核心参数输入!$B$42+3*核心参数输入!$B$125-4*3)-MAX(0,3*核心参数输入!$B$125-4*3)))*Q20/10000,0)</f>
        <v>29.615624999999994</v>
      </c>
      <c r="R22" s="9">
        <f>IF(14&lt;=核心参数输入!$B$9*4,(季度经营税费!R18*MAX(0,MIN(3,核心参数输入!$B$42+3*核心参数输入!$B$125-0*3)-MAX(0,3*核心参数输入!$B$125-0*3))+季度经营税费!Q18*MAX(0,MIN(3,核心参数输入!$B$42+3*核心参数输入!$B$125-1*3)-MAX(0,3*核心参数输入!$B$125-1*3))+季度经营税费!P18*MAX(0,MIN(3,核心参数输入!$B$42+3*核心参数输入!$B$125-2*3)-MAX(0,3*核心参数输入!$B$125-2*3))+季度经营税费!O18*MAX(0,MIN(3,核心参数输入!$B$42+3*核心参数输入!$B$125-3*3)-MAX(0,3*核心参数输入!$B$125-3*3))+季度经营税费!N18*MAX(0,MIN(3,核心参数输入!$B$42+3*核心参数输入!$B$125-4*3)-MAX(0,3*核心参数输入!$B$125-4*3)))*R20/10000,0)</f>
        <v>59.231249999999989</v>
      </c>
      <c r="S22" s="9">
        <f>IF(15&lt;=核心参数输入!$B$9*4,(季度经营税费!S18*MAX(0,MIN(3,核心参数输入!$B$42+3*核心参数输入!$B$125-0*3)-MAX(0,3*核心参数输入!$B$125-0*3))+季度经营税费!R18*MAX(0,MIN(3,核心参数输入!$B$42+3*核心参数输入!$B$125-1*3)-MAX(0,3*核心参数输入!$B$125-1*3))+季度经营税费!Q18*MAX(0,MIN(3,核心参数输入!$B$42+3*核心参数输入!$B$125-2*3)-MAX(0,3*核心参数输入!$B$125-2*3))+季度经营税费!P18*MAX(0,MIN(3,核心参数输入!$B$42+3*核心参数输入!$B$125-3*3)-MAX(0,3*核心参数输入!$B$125-3*3))+季度经营税费!O18*MAX(0,MIN(3,核心参数输入!$B$42+3*核心参数输入!$B$125-4*3)-MAX(0,3*核心参数输入!$B$125-4*3)))*S20/10000,0)</f>
        <v>59.231249999999974</v>
      </c>
      <c r="T22" s="9">
        <f>IF(16&lt;=核心参数输入!$B$9*4,(季度经营税费!T18*MAX(0,MIN(3,核心参数输入!$B$42+3*核心参数输入!$B$125-0*3)-MAX(0,3*核心参数输入!$B$125-0*3))+季度经营税费!S18*MAX(0,MIN(3,核心参数输入!$B$42+3*核心参数输入!$B$125-1*3)-MAX(0,3*核心参数输入!$B$125-1*3))+季度经营税费!R18*MAX(0,MIN(3,核心参数输入!$B$42+3*核心参数输入!$B$125-2*3)-MAX(0,3*核心参数输入!$B$125-2*3))+季度经营税费!Q18*MAX(0,MIN(3,核心参数输入!$B$42+3*核心参数输入!$B$125-3*3)-MAX(0,3*核心参数输入!$B$125-3*3))+季度经营税费!P18*MAX(0,MIN(3,核心参数输入!$B$42+3*核心参数输入!$B$125-4*3)-MAX(0,3*核心参数输入!$B$125-4*3)))*T20/10000,0)</f>
        <v>59.231249999999989</v>
      </c>
      <c r="U22" s="9">
        <f>IF(17&lt;=核心参数输入!$B$9*4,(季度经营税费!U18*MAX(0,MIN(3,核心参数输入!$B$42+3*核心参数输入!$B$125-0*3)-MAX(0,3*核心参数输入!$B$125-0*3))+季度经营税费!T18*MAX(0,MIN(3,核心参数输入!$B$42+3*核心参数输入!$B$125-1*3)-MAX(0,3*核心参数输入!$B$125-1*3))+季度经营税费!S18*MAX(0,MIN(3,核心参数输入!$B$42+3*核心参数输入!$B$125-2*3)-MAX(0,3*核心参数输入!$B$125-2*3))+季度经营税费!R18*MAX(0,MIN(3,核心参数输入!$B$42+3*核心参数输入!$B$125-3*3)-MAX(0,3*核心参数输入!$B$125-3*3))+季度经营税费!Q18*MAX(0,MIN(3,核心参数输入!$B$42+3*核心参数输入!$B$125-4*3)-MAX(0,3*核心参数输入!$B$125-4*3)))*U20/10000,0)</f>
        <v>42.08380312500001</v>
      </c>
      <c r="V22" s="9">
        <f>IF(18&lt;=核心参数输入!$B$9*4,(季度经营税费!V18*MAX(0,MIN(3,核心参数输入!$B$42+3*核心参数输入!$B$125-0*3)-MAX(0,3*核心参数输入!$B$125-0*3))+季度经营税费!U18*MAX(0,MIN(3,核心参数输入!$B$42+3*核心参数输入!$B$125-1*3)-MAX(0,3*核心参数输入!$B$125-1*3))+季度经营税费!T18*MAX(0,MIN(3,核心参数输入!$B$42+3*核心参数输入!$B$125-2*3)-MAX(0,3*核心参数输入!$B$125-2*3))+季度经营税费!S18*MAX(0,MIN(3,核心参数输入!$B$42+3*核心参数输入!$B$125-3*3)-MAX(0,3*核心参数输入!$B$125-3*3))+季度经营税费!R18*MAX(0,MIN(3,核心参数输入!$B$42+3*核心参数输入!$B$125-4*3)-MAX(0,3*核心参数输入!$B$125-4*3)))*V20/10000,0)</f>
        <v>24.047887499999984</v>
      </c>
      <c r="W22" s="9">
        <f>IF(19&lt;=核心参数输入!$B$9*4,(季度经营税费!W18*MAX(0,MIN(3,核心参数输入!$B$42+3*核心参数输入!$B$125-0*3)-MAX(0,3*核心参数输入!$B$125-0*3))+季度经营税费!V18*MAX(0,MIN(3,核心参数输入!$B$42+3*核心参数输入!$B$125-1*3)-MAX(0,3*核心参数输入!$B$125-1*3))+季度经营税费!U18*MAX(0,MIN(3,核心参数输入!$B$42+3*核心参数输入!$B$125-2*3)-MAX(0,3*核心参数输入!$B$125-2*3))+季度经营税费!T18*MAX(0,MIN(3,核心参数输入!$B$42+3*核心参数输入!$B$125-3*3)-MAX(0,3*核心参数输入!$B$125-3*3))+季度经营税费!S18*MAX(0,MIN(3,核心参数输入!$B$42+3*核心参数输入!$B$125-4*3)-MAX(0,3*核心参数输入!$B$125-4*3)))*W20/10000,0)</f>
        <v>24.04788749999997</v>
      </c>
      <c r="X22" s="9">
        <f>IF(20&lt;=核心参数输入!$B$9*4,(季度经营税费!X18*MAX(0,MIN(3,核心参数输入!$B$42+3*核心参数输入!$B$125-0*3)-MAX(0,3*核心参数输入!$B$125-0*3))+季度经营税费!W18*MAX(0,MIN(3,核心参数输入!$B$42+3*核心参数输入!$B$125-1*3)-MAX(0,3*核心参数输入!$B$125-1*3))+季度经营税费!V18*MAX(0,MIN(3,核心参数输入!$B$42+3*核心参数输入!$B$125-2*3)-MAX(0,3*核心参数输入!$B$125-2*3))+季度经营税费!U18*MAX(0,MIN(3,核心参数输入!$B$42+3*核心参数输入!$B$125-3*3)-MAX(0,3*核心参数输入!$B$125-3*3))+季度经营税费!T18*MAX(0,MIN(3,核心参数输入!$B$42+3*核心参数输入!$B$125-4*3)-MAX(0,3*核心参数输入!$B$125-4*3)))*X20/10000,0)</f>
        <v>24.047887499999998</v>
      </c>
      <c r="Y22" s="9">
        <f>IF(21&lt;=核心参数输入!$B$9*4,(季度经营税费!Y18*MAX(0,MIN(3,核心参数输入!$B$42+3*核心参数输入!$B$125-0*3)-MAX(0,3*核心参数输入!$B$125-0*3))+季度经营税费!X18*MAX(0,MIN(3,核心参数输入!$B$42+3*核心参数输入!$B$125-1*3)-MAX(0,3*核心参数输入!$B$125-1*3))+季度经营税费!W18*MAX(0,MIN(3,核心参数输入!$B$42+3*核心参数输入!$B$125-2*3)-MAX(0,3*核心参数输入!$B$125-2*3))+季度经营税费!V18*MAX(0,MIN(3,核心参数输入!$B$42+3*核心参数输入!$B$125-3*3)-MAX(0,3*核心参数输入!$B$125-3*3))+季度经营税费!U18*MAX(0,MIN(3,核心参数输入!$B$42+3*核心参数输入!$B$125-4*3)-MAX(0,3*核心参数输入!$B$125-4*3)))*Y20/10000,0)</f>
        <v>21.357530085937494</v>
      </c>
      <c r="Z22" s="9">
        <f>IF(22&lt;=核心参数输入!$B$9*4,(季度经营税费!Z18*MAX(0,MIN(3,核心参数输入!$B$42+3*核心参数输入!$B$125-0*3)-MAX(0,3*核心参数输入!$B$125-0*3))+季度经营税费!Y18*MAX(0,MIN(3,核心参数输入!$B$42+3*核心参数输入!$B$125-1*3)-MAX(0,3*核心参数输入!$B$125-1*3))+季度经营税费!X18*MAX(0,MIN(3,核心参数输入!$B$42+3*核心参数输入!$B$125-2*3)-MAX(0,3*核心参数输入!$B$125-2*3))+季度经营税费!W18*MAX(0,MIN(3,核心参数输入!$B$42+3*核心参数输入!$B$125-3*3)-MAX(0,3*核心参数输入!$B$125-3*3))+季度经营税费!V18*MAX(0,MIN(3,核心参数输入!$B$42+3*核心参数输入!$B$125-4*3)-MAX(0,3*核心参数输入!$B$125-4*3)))*Z20/10000,0)</f>
        <v>18.306454359374968</v>
      </c>
      <c r="AA22" s="9">
        <f>IF(23&lt;=核心参数输入!$B$9*4,(季度经营税费!AA18*MAX(0,MIN(3,核心参数输入!$B$42+3*核心参数输入!$B$125-0*3)-MAX(0,3*核心参数输入!$B$125-0*3))+季度经营税费!Z18*MAX(0,MIN(3,核心参数输入!$B$42+3*核心参数输入!$B$125-1*3)-MAX(0,3*核心参数输入!$B$125-1*3))+季度经营税费!Y18*MAX(0,MIN(3,核心参数输入!$B$42+3*核心参数输入!$B$125-2*3)-MAX(0,3*核心参数输入!$B$125-2*3))+季度经营税费!X18*MAX(0,MIN(3,核心参数输入!$B$42+3*核心参数输入!$B$125-3*3)-MAX(0,3*核心参数输入!$B$125-3*3))+季度经营税费!W18*MAX(0,MIN(3,核心参数输入!$B$42+3*核心参数输入!$B$125-4*3)-MAX(0,3*核心参数输入!$B$125-4*3)))*AA20/10000,0)</f>
        <v>18.306454359374996</v>
      </c>
      <c r="AB22" s="9">
        <f>IF(24&lt;=核心参数输入!$B$9*4,(季度经营税费!AB18*MAX(0,MIN(3,核心参数输入!$B$42+3*核心参数输入!$B$125-0*3)-MAX(0,3*核心参数输入!$B$125-0*3))+季度经营税费!AA18*MAX(0,MIN(3,核心参数输入!$B$42+3*核心参数输入!$B$125-1*3)-MAX(0,3*核心参数输入!$B$125-1*3))+季度经营税费!Z18*MAX(0,MIN(3,核心参数输入!$B$42+3*核心参数输入!$B$125-2*3)-MAX(0,3*核心参数输入!$B$125-2*3))+季度经营税费!Y18*MAX(0,MIN(3,核心参数输入!$B$42+3*核心参数输入!$B$125-3*3)-MAX(0,3*核心参数输入!$B$125-3*3))+季度经营税费!X18*MAX(0,MIN(3,核心参数输入!$B$42+3*核心参数输入!$B$125-4*3)-MAX(0,3*核心参数输入!$B$125-4*3)))*AB20/10000,0)</f>
        <v>18.306454359375024</v>
      </c>
      <c r="AC22" s="9">
        <f>IF(25&lt;=核心参数输入!$B$9*4,(季度经营税费!AC18*MAX(0,MIN(3,核心参数输入!$B$42+3*核心参数输入!$B$125-0*3)-MAX(0,3*核心参数输入!$B$125-0*3))+季度经营税费!AB18*MAX(0,MIN(3,核心参数输入!$B$42+3*核心参数输入!$B$125-1*3)-MAX(0,3*核心参数输入!$B$125-1*3))+季度经营税费!AA18*MAX(0,MIN(3,核心参数输入!$B$42+3*核心参数输入!$B$125-2*3)-MAX(0,3*核心参数输入!$B$125-2*3))+季度经营税费!Z18*MAX(0,MIN(3,核心参数输入!$B$42+3*核心参数输入!$B$125-3*3)-MAX(0,3*核心参数输入!$B$125-3*3))+季度经营税费!Y18*MAX(0,MIN(3,核心参数输入!$B$42+3*核心参数输入!$B$125-4*3)-MAX(0,3*核心参数输入!$B$125-4*3)))*AC20/10000,0)</f>
        <v>12.387367449843774</v>
      </c>
      <c r="AD22" s="9">
        <f>IF(26&lt;=核心参数输入!$B$9*4,(季度经营税费!AD18*MAX(0,MIN(3,核心参数输入!$B$42+3*核心参数输入!$B$125-0*3)-MAX(0,3*核心参数输入!$B$125-0*3))+季度经营税费!AC18*MAX(0,MIN(3,核心参数输入!$B$42+3*核心参数输入!$B$125-1*3)-MAX(0,3*核心参数输入!$B$125-1*3))+季度经营税费!AB18*MAX(0,MIN(3,核心参数输入!$B$42+3*核心参数输入!$B$125-2*3)-MAX(0,3*核心参数输入!$B$125-2*3))+季度经营税费!AA18*MAX(0,MIN(3,核心参数输入!$B$42+3*核心参数输入!$B$125-3*3)-MAX(0,3*核心参数输入!$B$125-3*3))+季度经营税费!Z18*MAX(0,MIN(3,核心参数输入!$B$42+3*核心参数输入!$B$125-4*3)-MAX(0,3*核心参数输入!$B$125-4*3)))*AD20/10000,0)</f>
        <v>6.1936837249218728</v>
      </c>
      <c r="AE22" s="9">
        <f>IF(27&lt;=核心参数输入!$B$9*4,(季度经营税费!AE18*MAX(0,MIN(3,核心参数输入!$B$42+3*核心参数输入!$B$125-0*3)-MAX(0,3*核心参数输入!$B$125-0*3))+季度经营税费!AD18*MAX(0,MIN(3,核心参数输入!$B$42+3*核心参数输入!$B$125-1*3)-MAX(0,3*核心参数输入!$B$125-1*3))+季度经营税费!AC18*MAX(0,MIN(3,核心参数输入!$B$42+3*核心参数输入!$B$125-2*3)-MAX(0,3*核心参数输入!$B$125-2*3))+季度经营税费!AB18*MAX(0,MIN(3,核心参数输入!$B$42+3*核心参数输入!$B$125-3*3)-MAX(0,3*核心参数输入!$B$125-3*3))+季度经营税费!AA18*MAX(0,MIN(3,核心参数输入!$B$42+3*核心参数输入!$B$125-4*3)-MAX(0,3*核心参数输入!$B$125-4*3)))*AE20/10000,0)</f>
        <v>6.1936837249218426</v>
      </c>
      <c r="AF22" s="9">
        <f>IF(28&lt;=核心参数输入!$B$9*4,(季度经营税费!AF18*MAX(0,MIN(3,核心参数输入!$B$42+3*核心参数输入!$B$125-0*3)-MAX(0,3*核心参数输入!$B$125-0*3))+季度经营税费!AE18*MAX(0,MIN(3,核心参数输入!$B$42+3*核心参数输入!$B$125-1*3)-MAX(0,3*核心参数输入!$B$125-1*3))+季度经营税费!AD18*MAX(0,MIN(3,核心参数输入!$B$42+3*核心参数输入!$B$125-2*3)-MAX(0,3*核心参数输入!$B$125-2*3))+季度经营税费!AC18*MAX(0,MIN(3,核心参数输入!$B$42+3*核心参数输入!$B$125-3*3)-MAX(0,3*核心参数输入!$B$125-3*3))+季度经营税费!AB18*MAX(0,MIN(3,核心参数输入!$B$42+3*核心参数输入!$B$125-4*3)-MAX(0,3*核心参数输入!$B$125-4*3)))*AF20/10000,0)</f>
        <v>6.1936837249218728</v>
      </c>
      <c r="AG22" s="9">
        <f>IF(29&lt;=核心参数输入!$B$9*4,(季度经营税费!AG18*MAX(0,MIN(3,核心参数输入!$B$42+3*核心参数输入!$B$125-0*3)-MAX(0,3*核心参数输入!$B$125-0*3))+季度经营税费!AF18*MAX(0,MIN(3,核心参数输入!$B$42+3*核心参数输入!$B$125-1*3)-MAX(0,3*核心参数输入!$B$125-1*3))+季度经营税费!AE18*MAX(0,MIN(3,核心参数输入!$B$42+3*核心参数输入!$B$125-2*3)-MAX(0,3*核心参数输入!$B$125-2*3))+季度经营税费!AD18*MAX(0,MIN(3,核心参数输入!$B$42+3*核心参数输入!$B$125-3*3)-MAX(0,3*核心参数输入!$B$125-3*3))+季度经营税费!AC18*MAX(0,MIN(3,核心参数输入!$B$42+3*核心参数输入!$B$125-4*3)-MAX(0,3*核心参数输入!$B$125-4*3)))*AG20/10000,0)</f>
        <v>3.1432944903978499</v>
      </c>
      <c r="AH22" s="9">
        <f>IF(30&lt;=核心参数输入!$B$9*4,(季度经营税费!AH18*MAX(0,MIN(3,核心参数输入!$B$42+3*核心参数输入!$B$125-0*3)-MAX(0,3*核心参数输入!$B$125-0*3))+季度经营税费!AG18*MAX(0,MIN(3,核心参数输入!$B$42+3*核心参数输入!$B$125-1*3)-MAX(0,3*核心参数输入!$B$125-1*3))+季度经营税费!AF18*MAX(0,MIN(3,核心参数输入!$B$42+3*核心参数输入!$B$125-2*3)-MAX(0,3*核心参数输入!$B$125-2*3))+季度经营税费!AE18*MAX(0,MIN(3,核心参数输入!$B$42+3*核心参数输入!$B$125-3*3)-MAX(0,3*核心参数输入!$B$125-3*3))+季度经营税费!AD18*MAX(0,MIN(3,核心参数输入!$B$42+3*核心参数输入!$B$125-4*3)-MAX(0,3*核心参数输入!$B$125-4*3)))*AH20/10000,0)</f>
        <v>0</v>
      </c>
      <c r="AI22" s="9">
        <f>IF(31&lt;=核心参数输入!$B$9*4,(季度经营税费!AI18*MAX(0,MIN(3,核心参数输入!$B$42+3*核心参数输入!$B$125-0*3)-MAX(0,3*核心参数输入!$B$125-0*3))+季度经营税费!AH18*MAX(0,MIN(3,核心参数输入!$B$42+3*核心参数输入!$B$125-1*3)-MAX(0,3*核心参数输入!$B$125-1*3))+季度经营税费!AG18*MAX(0,MIN(3,核心参数输入!$B$42+3*核心参数输入!$B$125-2*3)-MAX(0,3*核心参数输入!$B$125-2*3))+季度经营税费!AF18*MAX(0,MIN(3,核心参数输入!$B$42+3*核心参数输入!$B$125-3*3)-MAX(0,3*核心参数输入!$B$125-3*3))+季度经营税费!AE18*MAX(0,MIN(3,核心参数输入!$B$42+3*核心参数输入!$B$125-4*3)-MAX(0,3*核心参数输入!$B$125-4*3)))*AI20/10000,0)</f>
        <v>0</v>
      </c>
      <c r="AJ22" s="9">
        <f>IF(32&lt;=核心参数输入!$B$9*4,(季度经营税费!AJ18*MAX(0,MIN(3,核心参数输入!$B$42+3*核心参数输入!$B$125-0*3)-MAX(0,3*核心参数输入!$B$125-0*3))+季度经营税费!AI18*MAX(0,MIN(3,核心参数输入!$B$42+3*核心参数输入!$B$125-1*3)-MAX(0,3*核心参数输入!$B$125-1*3))+季度经营税费!AH18*MAX(0,MIN(3,核心参数输入!$B$42+3*核心参数输入!$B$125-2*3)-MAX(0,3*核心参数输入!$B$125-2*3))+季度经营税费!AG18*MAX(0,MIN(3,核心参数输入!$B$42+3*核心参数输入!$B$125-3*3)-MAX(0,3*核心参数输入!$B$125-3*3))+季度经营税费!AF18*MAX(0,MIN(3,核心参数输入!$B$42+3*核心参数输入!$B$125-4*3)-MAX(0,3*核心参数输入!$B$125-4*3)))*AJ20/10000,0)</f>
        <v>0</v>
      </c>
      <c r="AK22" s="9">
        <f>IF(33&lt;=核心参数输入!$B$9*4,(季度经营税费!AK18*MAX(0,MIN(3,核心参数输入!$B$42+3*核心参数输入!$B$125-0*3)-MAX(0,3*核心参数输入!$B$125-0*3))+季度经营税费!AJ18*MAX(0,MIN(3,核心参数输入!$B$42+3*核心参数输入!$B$125-1*3)-MAX(0,3*核心参数输入!$B$125-1*3))+季度经营税费!AI18*MAX(0,MIN(3,核心参数输入!$B$42+3*核心参数输入!$B$125-2*3)-MAX(0,3*核心参数输入!$B$125-2*3))+季度经营税费!AH18*MAX(0,MIN(3,核心参数输入!$B$42+3*核心参数输入!$B$125-3*3)-MAX(0,3*核心参数输入!$B$125-3*3))+季度经营税费!AG18*MAX(0,MIN(3,核心参数输入!$B$42+3*核心参数输入!$B$125-4*3)-MAX(0,3*核心参数输入!$B$125-4*3)))*AK20/10000,0)</f>
        <v>0</v>
      </c>
      <c r="AL22" s="9">
        <f>IF(34&lt;=核心参数输入!$B$9*4,(季度经营税费!AL18*MAX(0,MIN(3,核心参数输入!$B$42+3*核心参数输入!$B$125-0*3)-MAX(0,3*核心参数输入!$B$125-0*3))+季度经营税费!AK18*MAX(0,MIN(3,核心参数输入!$B$42+3*核心参数输入!$B$125-1*3)-MAX(0,3*核心参数输入!$B$125-1*3))+季度经营税费!AJ18*MAX(0,MIN(3,核心参数输入!$B$42+3*核心参数输入!$B$125-2*3)-MAX(0,3*核心参数输入!$B$125-2*3))+季度经营税费!AI18*MAX(0,MIN(3,核心参数输入!$B$42+3*核心参数输入!$B$125-3*3)-MAX(0,3*核心参数输入!$B$125-3*3))+季度经营税费!AH18*MAX(0,MIN(3,核心参数输入!$B$42+3*核心参数输入!$B$125-4*3)-MAX(0,3*核心参数输入!$B$125-4*3)))*AL20/10000,0)</f>
        <v>0</v>
      </c>
      <c r="AM22" s="9">
        <f>IF(35&lt;=核心参数输入!$B$9*4,(季度经营税费!AM18*MAX(0,MIN(3,核心参数输入!$B$42+3*核心参数输入!$B$125-0*3)-MAX(0,3*核心参数输入!$B$125-0*3))+季度经营税费!AL18*MAX(0,MIN(3,核心参数输入!$B$42+3*核心参数输入!$B$125-1*3)-MAX(0,3*核心参数输入!$B$125-1*3))+季度经营税费!AK18*MAX(0,MIN(3,核心参数输入!$B$42+3*核心参数输入!$B$125-2*3)-MAX(0,3*核心参数输入!$B$125-2*3))+季度经营税费!AJ18*MAX(0,MIN(3,核心参数输入!$B$42+3*核心参数输入!$B$125-3*3)-MAX(0,3*核心参数输入!$B$125-3*3))+季度经营税费!AI18*MAX(0,MIN(3,核心参数输入!$B$42+3*核心参数输入!$B$125-4*3)-MAX(0,3*核心参数输入!$B$125-4*3)))*AM20/10000,0)</f>
        <v>0</v>
      </c>
      <c r="AN22" s="9">
        <f>IF(36&lt;=核心参数输入!$B$9*4,(季度经营税费!AN18*MAX(0,MIN(3,核心参数输入!$B$42+3*核心参数输入!$B$125-0*3)-MAX(0,3*核心参数输入!$B$125-0*3))+季度经营税费!AM18*MAX(0,MIN(3,核心参数输入!$B$42+3*核心参数输入!$B$125-1*3)-MAX(0,3*核心参数输入!$B$125-1*3))+季度经营税费!AL18*MAX(0,MIN(3,核心参数输入!$B$42+3*核心参数输入!$B$125-2*3)-MAX(0,3*核心参数输入!$B$125-2*3))+季度经营税费!AK18*MAX(0,MIN(3,核心参数输入!$B$42+3*核心参数输入!$B$125-3*3)-MAX(0,3*核心参数输入!$B$125-3*3))+季度经营税费!AJ18*MAX(0,MIN(3,核心参数输入!$B$42+3*核心参数输入!$B$125-4*3)-MAX(0,3*核心参数输入!$B$125-4*3)))*AN20/10000,0)</f>
        <v>0</v>
      </c>
      <c r="AO22" s="9">
        <f>IF(37&lt;=核心参数输入!$B$9*4,(季度经营税费!AO18*MAX(0,MIN(3,核心参数输入!$B$42+3*核心参数输入!$B$125-0*3)-MAX(0,3*核心参数输入!$B$125-0*3))+季度经营税费!AN18*MAX(0,MIN(3,核心参数输入!$B$42+3*核心参数输入!$B$125-1*3)-MAX(0,3*核心参数输入!$B$125-1*3))+季度经营税费!AM18*MAX(0,MIN(3,核心参数输入!$B$42+3*核心参数输入!$B$125-2*3)-MAX(0,3*核心参数输入!$B$125-2*3))+季度经营税费!AL18*MAX(0,MIN(3,核心参数输入!$B$42+3*核心参数输入!$B$125-3*3)-MAX(0,3*核心参数输入!$B$125-3*3))+季度经营税费!AK18*MAX(0,MIN(3,核心参数输入!$B$42+3*核心参数输入!$B$125-4*3)-MAX(0,3*核心参数输入!$B$125-4*3)))*AO20/10000,0)</f>
        <v>0</v>
      </c>
      <c r="AP22" s="9">
        <f>IF(38&lt;=核心参数输入!$B$9*4,(季度经营税费!AP18*MAX(0,MIN(3,核心参数输入!$B$42+3*核心参数输入!$B$125-0*3)-MAX(0,3*核心参数输入!$B$125-0*3))+季度经营税费!AO18*MAX(0,MIN(3,核心参数输入!$B$42+3*核心参数输入!$B$125-1*3)-MAX(0,3*核心参数输入!$B$125-1*3))+季度经营税费!AN18*MAX(0,MIN(3,核心参数输入!$B$42+3*核心参数输入!$B$125-2*3)-MAX(0,3*核心参数输入!$B$125-2*3))+季度经营税费!AM18*MAX(0,MIN(3,核心参数输入!$B$42+3*核心参数输入!$B$125-3*3)-MAX(0,3*核心参数输入!$B$125-3*3))+季度经营税费!AL18*MAX(0,MIN(3,核心参数输入!$B$42+3*核心参数输入!$B$125-4*3)-MAX(0,3*核心参数输入!$B$125-4*3)))*AP20/10000,0)</f>
        <v>0</v>
      </c>
      <c r="AQ22" s="9">
        <f>IF(39&lt;=核心参数输入!$B$9*4,(季度经营税费!AQ18*MAX(0,MIN(3,核心参数输入!$B$42+3*核心参数输入!$B$125-0*3)-MAX(0,3*核心参数输入!$B$125-0*3))+季度经营税费!AP18*MAX(0,MIN(3,核心参数输入!$B$42+3*核心参数输入!$B$125-1*3)-MAX(0,3*核心参数输入!$B$125-1*3))+季度经营税费!AO18*MAX(0,MIN(3,核心参数输入!$B$42+3*核心参数输入!$B$125-2*3)-MAX(0,3*核心参数输入!$B$125-2*3))+季度经营税费!AN18*MAX(0,MIN(3,核心参数输入!$B$42+3*核心参数输入!$B$125-3*3)-MAX(0,3*核心参数输入!$B$125-3*3))+季度经营税费!AM18*MAX(0,MIN(3,核心参数输入!$B$42+3*核心参数输入!$B$125-4*3)-MAX(0,3*核心参数输入!$B$125-4*3)))*AQ20/10000,0)</f>
        <v>0</v>
      </c>
      <c r="AR22" s="9">
        <f>IF(40&lt;=核心参数输入!$B$9*4,(季度经营税费!AR18*MAX(0,MIN(3,核心参数输入!$B$42+3*核心参数输入!$B$125-0*3)-MAX(0,3*核心参数输入!$B$125-0*3))+季度经营税费!AQ18*MAX(0,MIN(3,核心参数输入!$B$42+3*核心参数输入!$B$125-1*3)-MAX(0,3*核心参数输入!$B$125-1*3))+季度经营税费!AP18*MAX(0,MIN(3,核心参数输入!$B$42+3*核心参数输入!$B$125-2*3)-MAX(0,3*核心参数输入!$B$125-2*3))+季度经营税费!AO18*MAX(0,MIN(3,核心参数输入!$B$42+3*核心参数输入!$B$125-3*3)-MAX(0,3*核心参数输入!$B$125-3*3))+季度经营税费!AN18*MAX(0,MIN(3,核心参数输入!$B$42+3*核心参数输入!$B$125-4*3)-MAX(0,3*核心参数输入!$B$125-4*3)))*AR20/10000,0)</f>
        <v>0</v>
      </c>
      <c r="AS22" s="9">
        <f>IF(41&lt;=核心参数输入!$B$9*4,(季度经营税费!AS18*MAX(0,MIN(3,核心参数输入!$B$42+3*核心参数输入!$B$125-0*3)-MAX(0,3*核心参数输入!$B$125-0*3))+季度经营税费!AR18*MAX(0,MIN(3,核心参数输入!$B$42+3*核心参数输入!$B$125-1*3)-MAX(0,3*核心参数输入!$B$125-1*3))+季度经营税费!AQ18*MAX(0,MIN(3,核心参数输入!$B$42+3*核心参数输入!$B$125-2*3)-MAX(0,3*核心参数输入!$B$125-2*3))+季度经营税费!AP18*MAX(0,MIN(3,核心参数输入!$B$42+3*核心参数输入!$B$125-3*3)-MAX(0,3*核心参数输入!$B$125-3*3))+季度经营税费!AO18*MAX(0,MIN(3,核心参数输入!$B$42+3*核心参数输入!$B$125-4*3)-MAX(0,3*核心参数输入!$B$125-4*3)))*AS20/10000,0)</f>
        <v>0</v>
      </c>
      <c r="AT22" s="9">
        <f>IF(42&lt;=核心参数输入!$B$9*4,(季度经营税费!AT18*MAX(0,MIN(3,核心参数输入!$B$42+3*核心参数输入!$B$125-0*3)-MAX(0,3*核心参数输入!$B$125-0*3))+季度经营税费!AS18*MAX(0,MIN(3,核心参数输入!$B$42+3*核心参数输入!$B$125-1*3)-MAX(0,3*核心参数输入!$B$125-1*3))+季度经营税费!AR18*MAX(0,MIN(3,核心参数输入!$B$42+3*核心参数输入!$B$125-2*3)-MAX(0,3*核心参数输入!$B$125-2*3))+季度经营税费!AQ18*MAX(0,MIN(3,核心参数输入!$B$42+3*核心参数输入!$B$125-3*3)-MAX(0,3*核心参数输入!$B$125-3*3))+季度经营税费!AP18*MAX(0,MIN(3,核心参数输入!$B$42+3*核心参数输入!$B$125-4*3)-MAX(0,3*核心参数输入!$B$125-4*3)))*AT20/10000,0)</f>
        <v>0</v>
      </c>
      <c r="AU22" s="9">
        <f>IF(43&lt;=核心参数输入!$B$9*4,(季度经营税费!AU18*MAX(0,MIN(3,核心参数输入!$B$42+3*核心参数输入!$B$125-0*3)-MAX(0,3*核心参数输入!$B$125-0*3))+季度经营税费!AT18*MAX(0,MIN(3,核心参数输入!$B$42+3*核心参数输入!$B$125-1*3)-MAX(0,3*核心参数输入!$B$125-1*3))+季度经营税费!AS18*MAX(0,MIN(3,核心参数输入!$B$42+3*核心参数输入!$B$125-2*3)-MAX(0,3*核心参数输入!$B$125-2*3))+季度经营税费!AR18*MAX(0,MIN(3,核心参数输入!$B$42+3*核心参数输入!$B$125-3*3)-MAX(0,3*核心参数输入!$B$125-3*3))+季度经营税费!AQ18*MAX(0,MIN(3,核心参数输入!$B$42+3*核心参数输入!$B$125-4*3)-MAX(0,3*核心参数输入!$B$125-4*3)))*AU20/10000,0)</f>
        <v>0</v>
      </c>
      <c r="AV22" s="9">
        <f>IF(44&lt;=核心参数输入!$B$9*4,(季度经营税费!AV18*MAX(0,MIN(3,核心参数输入!$B$42+3*核心参数输入!$B$125-0*3)-MAX(0,3*核心参数输入!$B$125-0*3))+季度经营税费!AU18*MAX(0,MIN(3,核心参数输入!$B$42+3*核心参数输入!$B$125-1*3)-MAX(0,3*核心参数输入!$B$125-1*3))+季度经营税费!AT18*MAX(0,MIN(3,核心参数输入!$B$42+3*核心参数输入!$B$125-2*3)-MAX(0,3*核心参数输入!$B$125-2*3))+季度经营税费!AS18*MAX(0,MIN(3,核心参数输入!$B$42+3*核心参数输入!$B$125-3*3)-MAX(0,3*核心参数输入!$B$125-3*3))+季度经营税费!AR18*MAX(0,MIN(3,核心参数输入!$B$42+3*核心参数输入!$B$125-4*3)-MAX(0,3*核心参数输入!$B$125-4*3)))*AV20/10000,0)</f>
        <v>0</v>
      </c>
      <c r="AW22" s="9">
        <f>IF(45&lt;=核心参数输入!$B$9*4,(季度经营税费!AW18*MAX(0,MIN(3,核心参数输入!$B$42+3*核心参数输入!$B$125-0*3)-MAX(0,3*核心参数输入!$B$125-0*3))+季度经营税费!AV18*MAX(0,MIN(3,核心参数输入!$B$42+3*核心参数输入!$B$125-1*3)-MAX(0,3*核心参数输入!$B$125-1*3))+季度经营税费!AU18*MAX(0,MIN(3,核心参数输入!$B$42+3*核心参数输入!$B$125-2*3)-MAX(0,3*核心参数输入!$B$125-2*3))+季度经营税费!AT18*MAX(0,MIN(3,核心参数输入!$B$42+3*核心参数输入!$B$125-3*3)-MAX(0,3*核心参数输入!$B$125-3*3))+季度经营税费!AS18*MAX(0,MIN(3,核心参数输入!$B$42+3*核心参数输入!$B$125-4*3)-MAX(0,3*核心参数输入!$B$125-4*3)))*AW20/10000,0)</f>
        <v>0</v>
      </c>
      <c r="AX22" s="9">
        <f>IF(46&lt;=核心参数输入!$B$9*4,(季度经营税费!AX18*MAX(0,MIN(3,核心参数输入!$B$42+3*核心参数输入!$B$125-0*3)-MAX(0,3*核心参数输入!$B$125-0*3))+季度经营税费!AW18*MAX(0,MIN(3,核心参数输入!$B$42+3*核心参数输入!$B$125-1*3)-MAX(0,3*核心参数输入!$B$125-1*3))+季度经营税费!AV18*MAX(0,MIN(3,核心参数输入!$B$42+3*核心参数输入!$B$125-2*3)-MAX(0,3*核心参数输入!$B$125-2*3))+季度经营税费!AU18*MAX(0,MIN(3,核心参数输入!$B$42+3*核心参数输入!$B$125-3*3)-MAX(0,3*核心参数输入!$B$125-3*3))+季度经营税费!AT18*MAX(0,MIN(3,核心参数输入!$B$42+3*核心参数输入!$B$125-4*3)-MAX(0,3*核心参数输入!$B$125-4*3)))*AX20/10000,0)</f>
        <v>0</v>
      </c>
      <c r="AY22" s="9">
        <f>IF(47&lt;=核心参数输入!$B$9*4,(季度经营税费!AY18*MAX(0,MIN(3,核心参数输入!$B$42+3*核心参数输入!$B$125-0*3)-MAX(0,3*核心参数输入!$B$125-0*3))+季度经营税费!AX18*MAX(0,MIN(3,核心参数输入!$B$42+3*核心参数输入!$B$125-1*3)-MAX(0,3*核心参数输入!$B$125-1*3))+季度经营税费!AW18*MAX(0,MIN(3,核心参数输入!$B$42+3*核心参数输入!$B$125-2*3)-MAX(0,3*核心参数输入!$B$125-2*3))+季度经营税费!AV18*MAX(0,MIN(3,核心参数输入!$B$42+3*核心参数输入!$B$125-3*3)-MAX(0,3*核心参数输入!$B$125-3*3))+季度经营税费!AU18*MAX(0,MIN(3,核心参数输入!$B$42+3*核心参数输入!$B$125-4*3)-MAX(0,3*核心参数输入!$B$125-4*3)))*AY20/10000,0)</f>
        <v>0</v>
      </c>
      <c r="AZ22" s="9">
        <f>IF(48&lt;=核心参数输入!$B$9*4,(季度经营税费!AZ18*MAX(0,MIN(3,核心参数输入!$B$42+3*核心参数输入!$B$125-0*3)-MAX(0,3*核心参数输入!$B$125-0*3))+季度经营税费!AY18*MAX(0,MIN(3,核心参数输入!$B$42+3*核心参数输入!$B$125-1*3)-MAX(0,3*核心参数输入!$B$125-1*3))+季度经营税费!AX18*MAX(0,MIN(3,核心参数输入!$B$42+3*核心参数输入!$B$125-2*3)-MAX(0,3*核心参数输入!$B$125-2*3))+季度经营税费!AW18*MAX(0,MIN(3,核心参数输入!$B$42+3*核心参数输入!$B$125-3*3)-MAX(0,3*核心参数输入!$B$125-3*3))+季度经营税费!AV18*MAX(0,MIN(3,核心参数输入!$B$42+3*核心参数输入!$B$125-4*3)-MAX(0,3*核心参数输入!$B$125-4*3)))*AZ20/10000,0)</f>
        <v>0</v>
      </c>
      <c r="BA22" s="9">
        <f>IF(49&lt;=核心参数输入!$B$9*4,(季度经营税费!BA18*MAX(0,MIN(3,核心参数输入!$B$42+3*核心参数输入!$B$125-0*3)-MAX(0,3*核心参数输入!$B$125-0*3))+季度经营税费!AZ18*MAX(0,MIN(3,核心参数输入!$B$42+3*核心参数输入!$B$125-1*3)-MAX(0,3*核心参数输入!$B$125-1*3))+季度经营税费!AY18*MAX(0,MIN(3,核心参数输入!$B$42+3*核心参数输入!$B$125-2*3)-MAX(0,3*核心参数输入!$B$125-2*3))+季度经营税费!AX18*MAX(0,MIN(3,核心参数输入!$B$42+3*核心参数输入!$B$125-3*3)-MAX(0,3*核心参数输入!$B$125-3*3))+季度经营税费!AW18*MAX(0,MIN(3,核心参数输入!$B$42+3*核心参数输入!$B$125-4*3)-MAX(0,3*核心参数输入!$B$125-4*3)))*BA20/10000,0)</f>
        <v>0</v>
      </c>
      <c r="BB22" s="9">
        <f>IF(50&lt;=核心参数输入!$B$9*4,(季度经营税费!BB18*MAX(0,MIN(3,核心参数输入!$B$42+3*核心参数输入!$B$125-0*3)-MAX(0,3*核心参数输入!$B$125-0*3))+季度经营税费!BA18*MAX(0,MIN(3,核心参数输入!$B$42+3*核心参数输入!$B$125-1*3)-MAX(0,3*核心参数输入!$B$125-1*3))+季度经营税费!AZ18*MAX(0,MIN(3,核心参数输入!$B$42+3*核心参数输入!$B$125-2*3)-MAX(0,3*核心参数输入!$B$125-2*3))+季度经营税费!AY18*MAX(0,MIN(3,核心参数输入!$B$42+3*核心参数输入!$B$125-3*3)-MAX(0,3*核心参数输入!$B$125-3*3))+季度经营税费!AX18*MAX(0,MIN(3,核心参数输入!$B$42+3*核心参数输入!$B$125-4*3)-MAX(0,3*核心参数输入!$B$125-4*3)))*BB20/10000,0)</f>
        <v>0</v>
      </c>
      <c r="BC22" s="9">
        <f>IF(51&lt;=核心参数输入!$B$9*4,(季度经营税费!BC18*MAX(0,MIN(3,核心参数输入!$B$42+3*核心参数输入!$B$125-0*3)-MAX(0,3*核心参数输入!$B$125-0*3))+季度经营税费!BB18*MAX(0,MIN(3,核心参数输入!$B$42+3*核心参数输入!$B$125-1*3)-MAX(0,3*核心参数输入!$B$125-1*3))+季度经营税费!BA18*MAX(0,MIN(3,核心参数输入!$B$42+3*核心参数输入!$B$125-2*3)-MAX(0,3*核心参数输入!$B$125-2*3))+季度经营税费!AZ18*MAX(0,MIN(3,核心参数输入!$B$42+3*核心参数输入!$B$125-3*3)-MAX(0,3*核心参数输入!$B$125-3*3))+季度经营税费!AY18*MAX(0,MIN(3,核心参数输入!$B$42+3*核心参数输入!$B$125-4*3)-MAX(0,3*核心参数输入!$B$125-4*3)))*BC20/10000,0)</f>
        <v>0</v>
      </c>
      <c r="BD22" s="9">
        <f>IF(52&lt;=核心参数输入!$B$9*4,(季度经营税费!BD18*MAX(0,MIN(3,核心参数输入!$B$42+3*核心参数输入!$B$125-0*3)-MAX(0,3*核心参数输入!$B$125-0*3))+季度经营税费!BC18*MAX(0,MIN(3,核心参数输入!$B$42+3*核心参数输入!$B$125-1*3)-MAX(0,3*核心参数输入!$B$125-1*3))+季度经营税费!BB18*MAX(0,MIN(3,核心参数输入!$B$42+3*核心参数输入!$B$125-2*3)-MAX(0,3*核心参数输入!$B$125-2*3))+季度经营税费!BA18*MAX(0,MIN(3,核心参数输入!$B$42+3*核心参数输入!$B$125-3*3)-MAX(0,3*核心参数输入!$B$125-3*3))+季度经营税费!AZ18*MAX(0,MIN(3,核心参数输入!$B$42+3*核心参数输入!$B$125-4*3)-MAX(0,3*核心参数输入!$B$125-4*3)))*BD20/10000,0)</f>
        <v>0</v>
      </c>
      <c r="BE22" s="9">
        <f>IF(53&lt;=核心参数输入!$B$9*4,(季度经营税费!BE18*MAX(0,MIN(3,核心参数输入!$B$42+3*核心参数输入!$B$125-0*3)-MAX(0,3*核心参数输入!$B$125-0*3))+季度经营税费!BD18*MAX(0,MIN(3,核心参数输入!$B$42+3*核心参数输入!$B$125-1*3)-MAX(0,3*核心参数输入!$B$125-1*3))+季度经营税费!BC18*MAX(0,MIN(3,核心参数输入!$B$42+3*核心参数输入!$B$125-2*3)-MAX(0,3*核心参数输入!$B$125-2*3))+季度经营税费!BB18*MAX(0,MIN(3,核心参数输入!$B$42+3*核心参数输入!$B$125-3*3)-MAX(0,3*核心参数输入!$B$125-3*3))+季度经营税费!BA18*MAX(0,MIN(3,核心参数输入!$B$42+3*核心参数输入!$B$125-4*3)-MAX(0,3*核心参数输入!$B$125-4*3)))*BE20/10000,0)</f>
        <v>0</v>
      </c>
      <c r="BF22" s="9">
        <f>IF(54&lt;=核心参数输入!$B$9*4,(季度经营税费!BF18*MAX(0,MIN(3,核心参数输入!$B$42+3*核心参数输入!$B$125-0*3)-MAX(0,3*核心参数输入!$B$125-0*3))+季度经营税费!BE18*MAX(0,MIN(3,核心参数输入!$B$42+3*核心参数输入!$B$125-1*3)-MAX(0,3*核心参数输入!$B$125-1*3))+季度经营税费!BD18*MAX(0,MIN(3,核心参数输入!$B$42+3*核心参数输入!$B$125-2*3)-MAX(0,3*核心参数输入!$B$125-2*3))+季度经营税费!BC18*MAX(0,MIN(3,核心参数输入!$B$42+3*核心参数输入!$B$125-3*3)-MAX(0,3*核心参数输入!$B$125-3*3))+季度经营税费!BB18*MAX(0,MIN(3,核心参数输入!$B$42+3*核心参数输入!$B$125-4*3)-MAX(0,3*核心参数输入!$B$125-4*3)))*BF20/10000,0)</f>
        <v>0</v>
      </c>
      <c r="BG22" s="9">
        <f>IF(55&lt;=核心参数输入!$B$9*4,(季度经营税费!BG18*MAX(0,MIN(3,核心参数输入!$B$42+3*核心参数输入!$B$125-0*3)-MAX(0,3*核心参数输入!$B$125-0*3))+季度经营税费!BF18*MAX(0,MIN(3,核心参数输入!$B$42+3*核心参数输入!$B$125-1*3)-MAX(0,3*核心参数输入!$B$125-1*3))+季度经营税费!BE18*MAX(0,MIN(3,核心参数输入!$B$42+3*核心参数输入!$B$125-2*3)-MAX(0,3*核心参数输入!$B$125-2*3))+季度经营税费!BD18*MAX(0,MIN(3,核心参数输入!$B$42+3*核心参数输入!$B$125-3*3)-MAX(0,3*核心参数输入!$B$125-3*3))+季度经营税费!BC18*MAX(0,MIN(3,核心参数输入!$B$42+3*核心参数输入!$B$125-4*3)-MAX(0,3*核心参数输入!$B$125-4*3)))*BG20/10000,0)</f>
        <v>0</v>
      </c>
      <c r="BH22" s="9">
        <f>IF(56&lt;=核心参数输入!$B$9*4,(季度经营税费!BH18*MAX(0,MIN(3,核心参数输入!$B$42+3*核心参数输入!$B$125-0*3)-MAX(0,3*核心参数输入!$B$125-0*3))+季度经营税费!BG18*MAX(0,MIN(3,核心参数输入!$B$42+3*核心参数输入!$B$125-1*3)-MAX(0,3*核心参数输入!$B$125-1*3))+季度经营税费!BF18*MAX(0,MIN(3,核心参数输入!$B$42+3*核心参数输入!$B$125-2*3)-MAX(0,3*核心参数输入!$B$125-2*3))+季度经营税费!BE18*MAX(0,MIN(3,核心参数输入!$B$42+3*核心参数输入!$B$125-3*3)-MAX(0,3*核心参数输入!$B$125-3*3))+季度经营税费!BD18*MAX(0,MIN(3,核心参数输入!$B$42+3*核心参数输入!$B$125-4*3)-MAX(0,3*核心参数输入!$B$125-4*3)))*BH20/10000,0)</f>
        <v>0</v>
      </c>
      <c r="BI22" s="9">
        <f>IF(57&lt;=核心参数输入!$B$9*4,(季度经营税费!BI18*MAX(0,MIN(3,核心参数输入!$B$42+3*核心参数输入!$B$125-0*3)-MAX(0,3*核心参数输入!$B$125-0*3))+季度经营税费!BH18*MAX(0,MIN(3,核心参数输入!$B$42+3*核心参数输入!$B$125-1*3)-MAX(0,3*核心参数输入!$B$125-1*3))+季度经营税费!BG18*MAX(0,MIN(3,核心参数输入!$B$42+3*核心参数输入!$B$125-2*3)-MAX(0,3*核心参数输入!$B$125-2*3))+季度经营税费!BF18*MAX(0,MIN(3,核心参数输入!$B$42+3*核心参数输入!$B$125-3*3)-MAX(0,3*核心参数输入!$B$125-3*3))+季度经营税费!BE18*MAX(0,MIN(3,核心参数输入!$B$42+3*核心参数输入!$B$125-4*3)-MAX(0,3*核心参数输入!$B$125-4*3)))*BI20/10000,0)</f>
        <v>0</v>
      </c>
      <c r="BJ22" s="9">
        <f>IF(58&lt;=核心参数输入!$B$9*4,(季度经营税费!BJ18*MAX(0,MIN(3,核心参数输入!$B$42+3*核心参数输入!$B$125-0*3)-MAX(0,3*核心参数输入!$B$125-0*3))+季度经营税费!BI18*MAX(0,MIN(3,核心参数输入!$B$42+3*核心参数输入!$B$125-1*3)-MAX(0,3*核心参数输入!$B$125-1*3))+季度经营税费!BH18*MAX(0,MIN(3,核心参数输入!$B$42+3*核心参数输入!$B$125-2*3)-MAX(0,3*核心参数输入!$B$125-2*3))+季度经营税费!BG18*MAX(0,MIN(3,核心参数输入!$B$42+3*核心参数输入!$B$125-3*3)-MAX(0,3*核心参数输入!$B$125-3*3))+季度经营税费!BF18*MAX(0,MIN(3,核心参数输入!$B$42+3*核心参数输入!$B$125-4*3)-MAX(0,3*核心参数输入!$B$125-4*3)))*BJ20/10000,0)</f>
        <v>0</v>
      </c>
      <c r="BK22" s="9">
        <f>IF(59&lt;=核心参数输入!$B$9*4,(季度经营税费!BK18*MAX(0,MIN(3,核心参数输入!$B$42+3*核心参数输入!$B$125-0*3)-MAX(0,3*核心参数输入!$B$125-0*3))+季度经营税费!BJ18*MAX(0,MIN(3,核心参数输入!$B$42+3*核心参数输入!$B$125-1*3)-MAX(0,3*核心参数输入!$B$125-1*3))+季度经营税费!BI18*MAX(0,MIN(3,核心参数输入!$B$42+3*核心参数输入!$B$125-2*3)-MAX(0,3*核心参数输入!$B$125-2*3))+季度经营税费!BH18*MAX(0,MIN(3,核心参数输入!$B$42+3*核心参数输入!$B$125-3*3)-MAX(0,3*核心参数输入!$B$125-3*3))+季度经营税费!BG18*MAX(0,MIN(3,核心参数输入!$B$42+3*核心参数输入!$B$125-4*3)-MAX(0,3*核心参数输入!$B$125-4*3)))*BK20/10000,0)</f>
        <v>0</v>
      </c>
      <c r="BL22" s="9">
        <f>IF(60&lt;=核心参数输入!$B$9*4,(季度经营税费!BL18*MAX(0,MIN(3,核心参数输入!$B$42+3*核心参数输入!$B$125-0*3)-MAX(0,3*核心参数输入!$B$125-0*3))+季度经营税费!BK18*MAX(0,MIN(3,核心参数输入!$B$42+3*核心参数输入!$B$125-1*3)-MAX(0,3*核心参数输入!$B$125-1*3))+季度经营税费!BJ18*MAX(0,MIN(3,核心参数输入!$B$42+3*核心参数输入!$B$125-2*3)-MAX(0,3*核心参数输入!$B$125-2*3))+季度经营税费!BI18*MAX(0,MIN(3,核心参数输入!$B$42+3*核心参数输入!$B$125-3*3)-MAX(0,3*核心参数输入!$B$125-3*3))+季度经营税费!BH18*MAX(0,MIN(3,核心参数输入!$B$42+3*核心参数输入!$B$125-4*3)-MAX(0,3*核心参数输入!$B$125-4*3)))*BL20/10000,0)</f>
        <v>0</v>
      </c>
      <c r="BM22" s="9">
        <f>IF(61&lt;=核心参数输入!$B$9*4,(季度经营税费!BM18*MAX(0,MIN(3,核心参数输入!$B$42+3*核心参数输入!$B$125-0*3)-MAX(0,3*核心参数输入!$B$125-0*3))+季度经营税费!BL18*MAX(0,MIN(3,核心参数输入!$B$42+3*核心参数输入!$B$125-1*3)-MAX(0,3*核心参数输入!$B$125-1*3))+季度经营税费!BK18*MAX(0,MIN(3,核心参数输入!$B$42+3*核心参数输入!$B$125-2*3)-MAX(0,3*核心参数输入!$B$125-2*3))+季度经营税费!BJ18*MAX(0,MIN(3,核心参数输入!$B$42+3*核心参数输入!$B$125-3*3)-MAX(0,3*核心参数输入!$B$125-3*3))+季度经营税费!BI18*MAX(0,MIN(3,核心参数输入!$B$42+3*核心参数输入!$B$125-4*3)-MAX(0,3*核心参数输入!$B$125-4*3)))*BM20/10000,0)</f>
        <v>0</v>
      </c>
      <c r="BN22" s="9">
        <f>IF(62&lt;=核心参数输入!$B$9*4,(季度经营税费!BN18*MAX(0,MIN(3,核心参数输入!$B$42+3*核心参数输入!$B$125-0*3)-MAX(0,3*核心参数输入!$B$125-0*3))+季度经营税费!BM18*MAX(0,MIN(3,核心参数输入!$B$42+3*核心参数输入!$B$125-1*3)-MAX(0,3*核心参数输入!$B$125-1*3))+季度经营税费!BL18*MAX(0,MIN(3,核心参数输入!$B$42+3*核心参数输入!$B$125-2*3)-MAX(0,3*核心参数输入!$B$125-2*3))+季度经营税费!BK18*MAX(0,MIN(3,核心参数输入!$B$42+3*核心参数输入!$B$125-3*3)-MAX(0,3*核心参数输入!$B$125-3*3))+季度经营税费!BJ18*MAX(0,MIN(3,核心参数输入!$B$42+3*核心参数输入!$B$125-4*3)-MAX(0,3*核心参数输入!$B$125-4*3)))*BN20/10000,0)</f>
        <v>0</v>
      </c>
      <c r="BO22" s="9">
        <f>IF(63&lt;=核心参数输入!$B$9*4,(季度经营税费!BO18*MAX(0,MIN(3,核心参数输入!$B$42+3*核心参数输入!$B$125-0*3)-MAX(0,3*核心参数输入!$B$125-0*3))+季度经营税费!BN18*MAX(0,MIN(3,核心参数输入!$B$42+3*核心参数输入!$B$125-1*3)-MAX(0,3*核心参数输入!$B$125-1*3))+季度经营税费!BM18*MAX(0,MIN(3,核心参数输入!$B$42+3*核心参数输入!$B$125-2*3)-MAX(0,3*核心参数输入!$B$125-2*3))+季度经营税费!BL18*MAX(0,MIN(3,核心参数输入!$B$42+3*核心参数输入!$B$125-3*3)-MAX(0,3*核心参数输入!$B$125-3*3))+季度经营税费!BK18*MAX(0,MIN(3,核心参数输入!$B$42+3*核心参数输入!$B$125-4*3)-MAX(0,3*核心参数输入!$B$125-4*3)))*BO20/10000,0)</f>
        <v>0</v>
      </c>
      <c r="BP22" s="9">
        <f>IF(64&lt;=核心参数输入!$B$9*4,(季度经营税费!BP18*MAX(0,MIN(3,核心参数输入!$B$42+3*核心参数输入!$B$125-0*3)-MAX(0,3*核心参数输入!$B$125-0*3))+季度经营税费!BO18*MAX(0,MIN(3,核心参数输入!$B$42+3*核心参数输入!$B$125-1*3)-MAX(0,3*核心参数输入!$B$125-1*3))+季度经营税费!BN18*MAX(0,MIN(3,核心参数输入!$B$42+3*核心参数输入!$B$125-2*3)-MAX(0,3*核心参数输入!$B$125-2*3))+季度经营税费!BM18*MAX(0,MIN(3,核心参数输入!$B$42+3*核心参数输入!$B$125-3*3)-MAX(0,3*核心参数输入!$B$125-3*3))+季度经营税费!BL18*MAX(0,MIN(3,核心参数输入!$B$42+3*核心参数输入!$B$125-4*3)-MAX(0,3*核心参数输入!$B$125-4*3)))*BP20/10000,0)</f>
        <v>0</v>
      </c>
      <c r="BQ22" s="9">
        <f>IF(65&lt;=核心参数输入!$B$9*4,(季度经营税费!BQ18*MAX(0,MIN(3,核心参数输入!$B$42+3*核心参数输入!$B$125-0*3)-MAX(0,3*核心参数输入!$B$125-0*3))+季度经营税费!BP18*MAX(0,MIN(3,核心参数输入!$B$42+3*核心参数输入!$B$125-1*3)-MAX(0,3*核心参数输入!$B$125-1*3))+季度经营税费!BO18*MAX(0,MIN(3,核心参数输入!$B$42+3*核心参数输入!$B$125-2*3)-MAX(0,3*核心参数输入!$B$125-2*3))+季度经营税费!BN18*MAX(0,MIN(3,核心参数输入!$B$42+3*核心参数输入!$B$125-3*3)-MAX(0,3*核心参数输入!$B$125-3*3))+季度经营税费!BM18*MAX(0,MIN(3,核心参数输入!$B$42+3*核心参数输入!$B$125-4*3)-MAX(0,3*核心参数输入!$B$125-4*3)))*BQ20/10000,0)</f>
        <v>0</v>
      </c>
      <c r="BR22" s="9">
        <f>IF(66&lt;=核心参数输入!$B$9*4,(季度经营税费!BR18*MAX(0,MIN(3,核心参数输入!$B$42+3*核心参数输入!$B$125-0*3)-MAX(0,3*核心参数输入!$B$125-0*3))+季度经营税费!BQ18*MAX(0,MIN(3,核心参数输入!$B$42+3*核心参数输入!$B$125-1*3)-MAX(0,3*核心参数输入!$B$125-1*3))+季度经营税费!BP18*MAX(0,MIN(3,核心参数输入!$B$42+3*核心参数输入!$B$125-2*3)-MAX(0,3*核心参数输入!$B$125-2*3))+季度经营税费!BO18*MAX(0,MIN(3,核心参数输入!$B$42+3*核心参数输入!$B$125-3*3)-MAX(0,3*核心参数输入!$B$125-3*3))+季度经营税费!BN18*MAX(0,MIN(3,核心参数输入!$B$42+3*核心参数输入!$B$125-4*3)-MAX(0,3*核心参数输入!$B$125-4*3)))*BR20/10000,0)</f>
        <v>0</v>
      </c>
      <c r="BS22" s="9">
        <f>IF(67&lt;=核心参数输入!$B$9*4,(季度经营税费!BS18*MAX(0,MIN(3,核心参数输入!$B$42+3*核心参数输入!$B$125-0*3)-MAX(0,3*核心参数输入!$B$125-0*3))+季度经营税费!BR18*MAX(0,MIN(3,核心参数输入!$B$42+3*核心参数输入!$B$125-1*3)-MAX(0,3*核心参数输入!$B$125-1*3))+季度经营税费!BQ18*MAX(0,MIN(3,核心参数输入!$B$42+3*核心参数输入!$B$125-2*3)-MAX(0,3*核心参数输入!$B$125-2*3))+季度经营税费!BP18*MAX(0,MIN(3,核心参数输入!$B$42+3*核心参数输入!$B$125-3*3)-MAX(0,3*核心参数输入!$B$125-3*3))+季度经营税费!BO18*MAX(0,MIN(3,核心参数输入!$B$42+3*核心参数输入!$B$125-4*3)-MAX(0,3*核心参数输入!$B$125-4*3)))*BS20/10000,0)</f>
        <v>0</v>
      </c>
      <c r="BT22" s="9">
        <f>IF(68&lt;=核心参数输入!$B$9*4,(季度经营税费!BT18*MAX(0,MIN(3,核心参数输入!$B$42+3*核心参数输入!$B$125-0*3)-MAX(0,3*核心参数输入!$B$125-0*3))+季度经营税费!BS18*MAX(0,MIN(3,核心参数输入!$B$42+3*核心参数输入!$B$125-1*3)-MAX(0,3*核心参数输入!$B$125-1*3))+季度经营税费!BR18*MAX(0,MIN(3,核心参数输入!$B$42+3*核心参数输入!$B$125-2*3)-MAX(0,3*核心参数输入!$B$125-2*3))+季度经营税费!BQ18*MAX(0,MIN(3,核心参数输入!$B$42+3*核心参数输入!$B$125-3*3)-MAX(0,3*核心参数输入!$B$125-3*3))+季度经营税费!BP18*MAX(0,MIN(3,核心参数输入!$B$42+3*核心参数输入!$B$125-4*3)-MAX(0,3*核心参数输入!$B$125-4*3)))*BT20/10000,0)</f>
        <v>0</v>
      </c>
      <c r="BU22" s="9">
        <f>IF(69&lt;=核心参数输入!$B$9*4,(季度经营税费!BU18*MAX(0,MIN(3,核心参数输入!$B$42+3*核心参数输入!$B$125-0*3)-MAX(0,3*核心参数输入!$B$125-0*3))+季度经营税费!BT18*MAX(0,MIN(3,核心参数输入!$B$42+3*核心参数输入!$B$125-1*3)-MAX(0,3*核心参数输入!$B$125-1*3))+季度经营税费!BS18*MAX(0,MIN(3,核心参数输入!$B$42+3*核心参数输入!$B$125-2*3)-MAX(0,3*核心参数输入!$B$125-2*3))+季度经营税费!BR18*MAX(0,MIN(3,核心参数输入!$B$42+3*核心参数输入!$B$125-3*3)-MAX(0,3*核心参数输入!$B$125-3*3))+季度经营税费!BQ18*MAX(0,MIN(3,核心参数输入!$B$42+3*核心参数输入!$B$125-4*3)-MAX(0,3*核心参数输入!$B$125-4*3)))*BU20/10000,0)</f>
        <v>0</v>
      </c>
      <c r="BV22" s="9">
        <f>IF(70&lt;=核心参数输入!$B$9*4,(季度经营税费!BV18*MAX(0,MIN(3,核心参数输入!$B$42+3*核心参数输入!$B$125-0*3)-MAX(0,3*核心参数输入!$B$125-0*3))+季度经营税费!BU18*MAX(0,MIN(3,核心参数输入!$B$42+3*核心参数输入!$B$125-1*3)-MAX(0,3*核心参数输入!$B$125-1*3))+季度经营税费!BT18*MAX(0,MIN(3,核心参数输入!$B$42+3*核心参数输入!$B$125-2*3)-MAX(0,3*核心参数输入!$B$125-2*3))+季度经营税费!BS18*MAX(0,MIN(3,核心参数输入!$B$42+3*核心参数输入!$B$125-3*3)-MAX(0,3*核心参数输入!$B$125-3*3))+季度经营税费!BR18*MAX(0,MIN(3,核心参数输入!$B$42+3*核心参数输入!$B$125-4*3)-MAX(0,3*核心参数输入!$B$125-4*3)))*BV20/10000,0)</f>
        <v>0</v>
      </c>
      <c r="BW22" s="9">
        <f>IF(71&lt;=核心参数输入!$B$9*4,(季度经营税费!BW18*MAX(0,MIN(3,核心参数输入!$B$42+3*核心参数输入!$B$125-0*3)-MAX(0,3*核心参数输入!$B$125-0*3))+季度经营税费!BV18*MAX(0,MIN(3,核心参数输入!$B$42+3*核心参数输入!$B$125-1*3)-MAX(0,3*核心参数输入!$B$125-1*3))+季度经营税费!BU18*MAX(0,MIN(3,核心参数输入!$B$42+3*核心参数输入!$B$125-2*3)-MAX(0,3*核心参数输入!$B$125-2*3))+季度经营税费!BT18*MAX(0,MIN(3,核心参数输入!$B$42+3*核心参数输入!$B$125-3*3)-MAX(0,3*核心参数输入!$B$125-3*3))+季度经营税费!BS18*MAX(0,MIN(3,核心参数输入!$B$42+3*核心参数输入!$B$125-4*3)-MAX(0,3*核心参数输入!$B$125-4*3)))*BW20/10000,0)</f>
        <v>0</v>
      </c>
      <c r="BX22" s="9">
        <f>IF(72&lt;=核心参数输入!$B$9*4,(季度经营税费!BX18*MAX(0,MIN(3,核心参数输入!$B$42+3*核心参数输入!$B$125-0*3)-MAX(0,3*核心参数输入!$B$125-0*3))+季度经营税费!BW18*MAX(0,MIN(3,核心参数输入!$B$42+3*核心参数输入!$B$125-1*3)-MAX(0,3*核心参数输入!$B$125-1*3))+季度经营税费!BV18*MAX(0,MIN(3,核心参数输入!$B$42+3*核心参数输入!$B$125-2*3)-MAX(0,3*核心参数输入!$B$125-2*3))+季度经营税费!BU18*MAX(0,MIN(3,核心参数输入!$B$42+3*核心参数输入!$B$125-3*3)-MAX(0,3*核心参数输入!$B$125-3*3))+季度经营税费!BT18*MAX(0,MIN(3,核心参数输入!$B$42+3*核心参数输入!$B$125-4*3)-MAX(0,3*核心参数输入!$B$125-4*3)))*BX20/10000,0)</f>
        <v>0</v>
      </c>
      <c r="BY22" s="9">
        <f>IF(73&lt;=核心参数输入!$B$9*4,(季度经营税费!BY18*MAX(0,MIN(3,核心参数输入!$B$42+3*核心参数输入!$B$125-0*3)-MAX(0,3*核心参数输入!$B$125-0*3))+季度经营税费!BX18*MAX(0,MIN(3,核心参数输入!$B$42+3*核心参数输入!$B$125-1*3)-MAX(0,3*核心参数输入!$B$125-1*3))+季度经营税费!BW18*MAX(0,MIN(3,核心参数输入!$B$42+3*核心参数输入!$B$125-2*3)-MAX(0,3*核心参数输入!$B$125-2*3))+季度经营税费!BV18*MAX(0,MIN(3,核心参数输入!$B$42+3*核心参数输入!$B$125-3*3)-MAX(0,3*核心参数输入!$B$125-3*3))+季度经营税费!BU18*MAX(0,MIN(3,核心参数输入!$B$42+3*核心参数输入!$B$125-4*3)-MAX(0,3*核心参数输入!$B$125-4*3)))*BY20/10000,0)</f>
        <v>0</v>
      </c>
      <c r="BZ22" s="9">
        <f>IF(74&lt;=核心参数输入!$B$9*4,(季度经营税费!BZ18*MAX(0,MIN(3,核心参数输入!$B$42+3*核心参数输入!$B$125-0*3)-MAX(0,3*核心参数输入!$B$125-0*3))+季度经营税费!BY18*MAX(0,MIN(3,核心参数输入!$B$42+3*核心参数输入!$B$125-1*3)-MAX(0,3*核心参数输入!$B$125-1*3))+季度经营税费!BX18*MAX(0,MIN(3,核心参数输入!$B$42+3*核心参数输入!$B$125-2*3)-MAX(0,3*核心参数输入!$B$125-2*3))+季度经营税费!BW18*MAX(0,MIN(3,核心参数输入!$B$42+3*核心参数输入!$B$125-3*3)-MAX(0,3*核心参数输入!$B$125-3*3))+季度经营税费!BV18*MAX(0,MIN(3,核心参数输入!$B$42+3*核心参数输入!$B$125-4*3)-MAX(0,3*核心参数输入!$B$125-4*3)))*BZ20/10000,0)</f>
        <v>0</v>
      </c>
      <c r="CA22" s="9">
        <f>IF(75&lt;=核心参数输入!$B$9*4,(季度经营税费!CA18*MAX(0,MIN(3,核心参数输入!$B$42+3*核心参数输入!$B$125-0*3)-MAX(0,3*核心参数输入!$B$125-0*3))+季度经营税费!BZ18*MAX(0,MIN(3,核心参数输入!$B$42+3*核心参数输入!$B$125-1*3)-MAX(0,3*核心参数输入!$B$125-1*3))+季度经营税费!BY18*MAX(0,MIN(3,核心参数输入!$B$42+3*核心参数输入!$B$125-2*3)-MAX(0,3*核心参数输入!$B$125-2*3))+季度经营税费!BX18*MAX(0,MIN(3,核心参数输入!$B$42+3*核心参数输入!$B$125-3*3)-MAX(0,3*核心参数输入!$B$125-3*3))+季度经营税费!BW18*MAX(0,MIN(3,核心参数输入!$B$42+3*核心参数输入!$B$125-4*3)-MAX(0,3*核心参数输入!$B$125-4*3)))*CA20/10000,0)</f>
        <v>0</v>
      </c>
      <c r="CB22" s="9">
        <f>IF(76&lt;=核心参数输入!$B$9*4,(季度经营税费!CB18*MAX(0,MIN(3,核心参数输入!$B$42+3*核心参数输入!$B$125-0*3)-MAX(0,3*核心参数输入!$B$125-0*3))+季度经营税费!CA18*MAX(0,MIN(3,核心参数输入!$B$42+3*核心参数输入!$B$125-1*3)-MAX(0,3*核心参数输入!$B$125-1*3))+季度经营税费!BZ18*MAX(0,MIN(3,核心参数输入!$B$42+3*核心参数输入!$B$125-2*3)-MAX(0,3*核心参数输入!$B$125-2*3))+季度经营税费!BY18*MAX(0,MIN(3,核心参数输入!$B$42+3*核心参数输入!$B$125-3*3)-MAX(0,3*核心参数输入!$B$125-3*3))+季度经营税费!BX18*MAX(0,MIN(3,核心参数输入!$B$42+3*核心参数输入!$B$125-4*3)-MAX(0,3*核心参数输入!$B$125-4*3)))*CB20/10000,0)</f>
        <v>0</v>
      </c>
      <c r="CC22" s="9">
        <f>IF(77&lt;=核心参数输入!$B$9*4,(季度经营税费!CC18*MAX(0,MIN(3,核心参数输入!$B$42+3*核心参数输入!$B$125-0*3)-MAX(0,3*核心参数输入!$B$125-0*3))+季度经营税费!CB18*MAX(0,MIN(3,核心参数输入!$B$42+3*核心参数输入!$B$125-1*3)-MAX(0,3*核心参数输入!$B$125-1*3))+季度经营税费!CA18*MAX(0,MIN(3,核心参数输入!$B$42+3*核心参数输入!$B$125-2*3)-MAX(0,3*核心参数输入!$B$125-2*3))+季度经营税费!BZ18*MAX(0,MIN(3,核心参数输入!$B$42+3*核心参数输入!$B$125-3*3)-MAX(0,3*核心参数输入!$B$125-3*3))+季度经营税费!BY18*MAX(0,MIN(3,核心参数输入!$B$42+3*核心参数输入!$B$125-4*3)-MAX(0,3*核心参数输入!$B$125-4*3)))*CC20/10000,0)</f>
        <v>0</v>
      </c>
      <c r="CD22" s="9">
        <f>IF(78&lt;=核心参数输入!$B$9*4,(季度经营税费!CD18*MAX(0,MIN(3,核心参数输入!$B$42+3*核心参数输入!$B$125-0*3)-MAX(0,3*核心参数输入!$B$125-0*3))+季度经营税费!CC18*MAX(0,MIN(3,核心参数输入!$B$42+3*核心参数输入!$B$125-1*3)-MAX(0,3*核心参数输入!$B$125-1*3))+季度经营税费!CB18*MAX(0,MIN(3,核心参数输入!$B$42+3*核心参数输入!$B$125-2*3)-MAX(0,3*核心参数输入!$B$125-2*3))+季度经营税费!CA18*MAX(0,MIN(3,核心参数输入!$B$42+3*核心参数输入!$B$125-3*3)-MAX(0,3*核心参数输入!$B$125-3*3))+季度经营税费!BZ18*MAX(0,MIN(3,核心参数输入!$B$42+3*核心参数输入!$B$125-4*3)-MAX(0,3*核心参数输入!$B$125-4*3)))*CD20/10000,0)</f>
        <v>0</v>
      </c>
      <c r="CE22" s="9">
        <f>IF(79&lt;=核心参数输入!$B$9*4,(季度经营税费!CE18*MAX(0,MIN(3,核心参数输入!$B$42+3*核心参数输入!$B$125-0*3)-MAX(0,3*核心参数输入!$B$125-0*3))+季度经营税费!CD18*MAX(0,MIN(3,核心参数输入!$B$42+3*核心参数输入!$B$125-1*3)-MAX(0,3*核心参数输入!$B$125-1*3))+季度经营税费!CC18*MAX(0,MIN(3,核心参数输入!$B$42+3*核心参数输入!$B$125-2*3)-MAX(0,3*核心参数输入!$B$125-2*3))+季度经营税费!CB18*MAX(0,MIN(3,核心参数输入!$B$42+3*核心参数输入!$B$125-3*3)-MAX(0,3*核心参数输入!$B$125-3*3))+季度经营税费!CA18*MAX(0,MIN(3,核心参数输入!$B$42+3*核心参数输入!$B$125-4*3)-MAX(0,3*核心参数输入!$B$125-4*3)))*CE20/10000,0)</f>
        <v>0</v>
      </c>
      <c r="CF22" s="9">
        <f>IF(80&lt;=核心参数输入!$B$9*4,(季度经营税费!CF18*MAX(0,MIN(3,核心参数输入!$B$42+3*核心参数输入!$B$125-0*3)-MAX(0,3*核心参数输入!$B$125-0*3))+季度经营税费!CE18*MAX(0,MIN(3,核心参数输入!$B$42+3*核心参数输入!$B$125-1*3)-MAX(0,3*核心参数输入!$B$125-1*3))+季度经营税费!CD18*MAX(0,MIN(3,核心参数输入!$B$42+3*核心参数输入!$B$125-2*3)-MAX(0,3*核心参数输入!$B$125-2*3))+季度经营税费!CC18*MAX(0,MIN(3,核心参数输入!$B$42+3*核心参数输入!$B$125-3*3)-MAX(0,3*核心参数输入!$B$125-3*3))+季度经营税费!CB18*MAX(0,MIN(3,核心参数输入!$B$42+3*核心参数输入!$B$125-4*3)-MAX(0,3*核心参数输入!$B$125-4*3)))*CF20/10000,0)</f>
        <v>0</v>
      </c>
      <c r="CG22" s="9">
        <f>IF(81&lt;=核心参数输入!$B$9*4,(季度经营税费!CG18*MAX(0,MIN(3,核心参数输入!$B$42+3*核心参数输入!$B$125-0*3)-MAX(0,3*核心参数输入!$B$125-0*3))+季度经营税费!CF18*MAX(0,MIN(3,核心参数输入!$B$42+3*核心参数输入!$B$125-1*3)-MAX(0,3*核心参数输入!$B$125-1*3))+季度经营税费!CE18*MAX(0,MIN(3,核心参数输入!$B$42+3*核心参数输入!$B$125-2*3)-MAX(0,3*核心参数输入!$B$125-2*3))+季度经营税费!CD18*MAX(0,MIN(3,核心参数输入!$B$42+3*核心参数输入!$B$125-3*3)-MAX(0,3*核心参数输入!$B$125-3*3))+季度经营税费!CC18*MAX(0,MIN(3,核心参数输入!$B$42+3*核心参数输入!$B$125-4*3)-MAX(0,3*核心参数输入!$B$125-4*3)))*CG20/10000,0)</f>
        <v>0</v>
      </c>
      <c r="CH22" s="9">
        <f>IF(82&lt;=核心参数输入!$B$9*4,(季度经营税费!CH18*MAX(0,MIN(3,核心参数输入!$B$42+3*核心参数输入!$B$125-0*3)-MAX(0,3*核心参数输入!$B$125-0*3))+季度经营税费!CG18*MAX(0,MIN(3,核心参数输入!$B$42+3*核心参数输入!$B$125-1*3)-MAX(0,3*核心参数输入!$B$125-1*3))+季度经营税费!CF18*MAX(0,MIN(3,核心参数输入!$B$42+3*核心参数输入!$B$125-2*3)-MAX(0,3*核心参数输入!$B$125-2*3))+季度经营税费!CE18*MAX(0,MIN(3,核心参数输入!$B$42+3*核心参数输入!$B$125-3*3)-MAX(0,3*核心参数输入!$B$125-3*3))+季度经营税费!CD18*MAX(0,MIN(3,核心参数输入!$B$42+3*核心参数输入!$B$125-4*3)-MAX(0,3*核心参数输入!$B$125-4*3)))*CH20/10000,0)</f>
        <v>0</v>
      </c>
      <c r="CI22" s="9">
        <f>IF(83&lt;=核心参数输入!$B$9*4,(季度经营税费!CI18*MAX(0,MIN(3,核心参数输入!$B$42+3*核心参数输入!$B$125-0*3)-MAX(0,3*核心参数输入!$B$125-0*3))+季度经营税费!CH18*MAX(0,MIN(3,核心参数输入!$B$42+3*核心参数输入!$B$125-1*3)-MAX(0,3*核心参数输入!$B$125-1*3))+季度经营税费!CG18*MAX(0,MIN(3,核心参数输入!$B$42+3*核心参数输入!$B$125-2*3)-MAX(0,3*核心参数输入!$B$125-2*3))+季度经营税费!CF18*MAX(0,MIN(3,核心参数输入!$B$42+3*核心参数输入!$B$125-3*3)-MAX(0,3*核心参数输入!$B$125-3*3))+季度经营税费!CE18*MAX(0,MIN(3,核心参数输入!$B$42+3*核心参数输入!$B$125-4*3)-MAX(0,3*核心参数输入!$B$125-4*3)))*CI20/10000,0)</f>
        <v>0</v>
      </c>
      <c r="CJ22" s="9">
        <f>IF(84&lt;=核心参数输入!$B$9*4,(季度经营税费!CJ18*MAX(0,MIN(3,核心参数输入!$B$42+3*核心参数输入!$B$125-0*3)-MAX(0,3*核心参数输入!$B$125-0*3))+季度经营税费!CI18*MAX(0,MIN(3,核心参数输入!$B$42+3*核心参数输入!$B$125-1*3)-MAX(0,3*核心参数输入!$B$125-1*3))+季度经营税费!CH18*MAX(0,MIN(3,核心参数输入!$B$42+3*核心参数输入!$B$125-2*3)-MAX(0,3*核心参数输入!$B$125-2*3))+季度经营税费!CG18*MAX(0,MIN(3,核心参数输入!$B$42+3*核心参数输入!$B$125-3*3)-MAX(0,3*核心参数输入!$B$125-3*3))+季度经营税费!CF18*MAX(0,MIN(3,核心参数输入!$B$42+3*核心参数输入!$B$125-4*3)-MAX(0,3*核心参数输入!$B$125-4*3)))*CJ20/10000,0)</f>
        <v>0</v>
      </c>
      <c r="CK22" s="9">
        <f>IF(85&lt;=核心参数输入!$B$9*4,(季度经营税费!CK18*MAX(0,MIN(3,核心参数输入!$B$42+3*核心参数输入!$B$125-0*3)-MAX(0,3*核心参数输入!$B$125-0*3))+季度经营税费!CJ18*MAX(0,MIN(3,核心参数输入!$B$42+3*核心参数输入!$B$125-1*3)-MAX(0,3*核心参数输入!$B$125-1*3))+季度经营税费!CI18*MAX(0,MIN(3,核心参数输入!$B$42+3*核心参数输入!$B$125-2*3)-MAX(0,3*核心参数输入!$B$125-2*3))+季度经营税费!CH18*MAX(0,MIN(3,核心参数输入!$B$42+3*核心参数输入!$B$125-3*3)-MAX(0,3*核心参数输入!$B$125-3*3))+季度经营税费!CG18*MAX(0,MIN(3,核心参数输入!$B$42+3*核心参数输入!$B$125-4*3)-MAX(0,3*核心参数输入!$B$125-4*3)))*CK20/10000,0)</f>
        <v>0</v>
      </c>
      <c r="CL22" s="9">
        <f>IF(86&lt;=核心参数输入!$B$9*4,(季度经营税费!CL18*MAX(0,MIN(3,核心参数输入!$B$42+3*核心参数输入!$B$125-0*3)-MAX(0,3*核心参数输入!$B$125-0*3))+季度经营税费!CK18*MAX(0,MIN(3,核心参数输入!$B$42+3*核心参数输入!$B$125-1*3)-MAX(0,3*核心参数输入!$B$125-1*3))+季度经营税费!CJ18*MAX(0,MIN(3,核心参数输入!$B$42+3*核心参数输入!$B$125-2*3)-MAX(0,3*核心参数输入!$B$125-2*3))+季度经营税费!CI18*MAX(0,MIN(3,核心参数输入!$B$42+3*核心参数输入!$B$125-3*3)-MAX(0,3*核心参数输入!$B$125-3*3))+季度经营税费!CH18*MAX(0,MIN(3,核心参数输入!$B$42+3*核心参数输入!$B$125-4*3)-MAX(0,3*核心参数输入!$B$125-4*3)))*CL20/10000,0)</f>
        <v>0</v>
      </c>
      <c r="CM22" s="9">
        <f>IF(87&lt;=核心参数输入!$B$9*4,(季度经营税费!CM18*MAX(0,MIN(3,核心参数输入!$B$42+3*核心参数输入!$B$125-0*3)-MAX(0,3*核心参数输入!$B$125-0*3))+季度经营税费!CL18*MAX(0,MIN(3,核心参数输入!$B$42+3*核心参数输入!$B$125-1*3)-MAX(0,3*核心参数输入!$B$125-1*3))+季度经营税费!CK18*MAX(0,MIN(3,核心参数输入!$B$42+3*核心参数输入!$B$125-2*3)-MAX(0,3*核心参数输入!$B$125-2*3))+季度经营税费!CJ18*MAX(0,MIN(3,核心参数输入!$B$42+3*核心参数输入!$B$125-3*3)-MAX(0,3*核心参数输入!$B$125-3*3))+季度经营税费!CI18*MAX(0,MIN(3,核心参数输入!$B$42+3*核心参数输入!$B$125-4*3)-MAX(0,3*核心参数输入!$B$125-4*3)))*CM20/10000,0)</f>
        <v>0</v>
      </c>
      <c r="CN22" s="9">
        <f>IF(88&lt;=核心参数输入!$B$9*4,(季度经营税费!CN18*MAX(0,MIN(3,核心参数输入!$B$42+3*核心参数输入!$B$125-0*3)-MAX(0,3*核心参数输入!$B$125-0*3))+季度经营税费!CM18*MAX(0,MIN(3,核心参数输入!$B$42+3*核心参数输入!$B$125-1*3)-MAX(0,3*核心参数输入!$B$125-1*3))+季度经营税费!CL18*MAX(0,MIN(3,核心参数输入!$B$42+3*核心参数输入!$B$125-2*3)-MAX(0,3*核心参数输入!$B$125-2*3))+季度经营税费!CK18*MAX(0,MIN(3,核心参数输入!$B$42+3*核心参数输入!$B$125-3*3)-MAX(0,3*核心参数输入!$B$125-3*3))+季度经营税费!CJ18*MAX(0,MIN(3,核心参数输入!$B$42+3*核心参数输入!$B$125-4*3)-MAX(0,3*核心参数输入!$B$125-4*3)))*CN20/10000,0)</f>
        <v>0</v>
      </c>
      <c r="CO22" s="9">
        <f>IF(89&lt;=核心参数输入!$B$9*4,(季度经营税费!CO18*MAX(0,MIN(3,核心参数输入!$B$42+3*核心参数输入!$B$125-0*3)-MAX(0,3*核心参数输入!$B$125-0*3))+季度经营税费!CN18*MAX(0,MIN(3,核心参数输入!$B$42+3*核心参数输入!$B$125-1*3)-MAX(0,3*核心参数输入!$B$125-1*3))+季度经营税费!CM18*MAX(0,MIN(3,核心参数输入!$B$42+3*核心参数输入!$B$125-2*3)-MAX(0,3*核心参数输入!$B$125-2*3))+季度经营税费!CL18*MAX(0,MIN(3,核心参数输入!$B$42+3*核心参数输入!$B$125-3*3)-MAX(0,3*核心参数输入!$B$125-3*3))+季度经营税费!CK18*MAX(0,MIN(3,核心参数输入!$B$42+3*核心参数输入!$B$125-4*3)-MAX(0,3*核心参数输入!$B$125-4*3)))*CO20/10000,0)</f>
        <v>0</v>
      </c>
      <c r="CP22" s="9">
        <f>IF(90&lt;=核心参数输入!$B$9*4,(季度经营税费!CP18*MAX(0,MIN(3,核心参数输入!$B$42+3*核心参数输入!$B$125-0*3)-MAX(0,3*核心参数输入!$B$125-0*3))+季度经营税费!CO18*MAX(0,MIN(3,核心参数输入!$B$42+3*核心参数输入!$B$125-1*3)-MAX(0,3*核心参数输入!$B$125-1*3))+季度经营税费!CN18*MAX(0,MIN(3,核心参数输入!$B$42+3*核心参数输入!$B$125-2*3)-MAX(0,3*核心参数输入!$B$125-2*3))+季度经营税费!CM18*MAX(0,MIN(3,核心参数输入!$B$42+3*核心参数输入!$B$125-3*3)-MAX(0,3*核心参数输入!$B$125-3*3))+季度经营税费!CL18*MAX(0,MIN(3,核心参数输入!$B$42+3*核心参数输入!$B$125-4*3)-MAX(0,3*核心参数输入!$B$125-4*3)))*CP20/10000,0)</f>
        <v>0</v>
      </c>
      <c r="CQ22" s="9">
        <f>IF(91&lt;=核心参数输入!$B$9*4,(季度经营税费!CQ18*MAX(0,MIN(3,核心参数输入!$B$42+3*核心参数输入!$B$125-0*3)-MAX(0,3*核心参数输入!$B$125-0*3))+季度经营税费!CP18*MAX(0,MIN(3,核心参数输入!$B$42+3*核心参数输入!$B$125-1*3)-MAX(0,3*核心参数输入!$B$125-1*3))+季度经营税费!CO18*MAX(0,MIN(3,核心参数输入!$B$42+3*核心参数输入!$B$125-2*3)-MAX(0,3*核心参数输入!$B$125-2*3))+季度经营税费!CN18*MAX(0,MIN(3,核心参数输入!$B$42+3*核心参数输入!$B$125-3*3)-MAX(0,3*核心参数输入!$B$125-3*3))+季度经营税费!CM18*MAX(0,MIN(3,核心参数输入!$B$42+3*核心参数输入!$B$125-4*3)-MAX(0,3*核心参数输入!$B$125-4*3)))*CQ20/10000,0)</f>
        <v>0</v>
      </c>
      <c r="CR22" s="9">
        <f>IF(92&lt;=核心参数输入!$B$9*4,(季度经营税费!CR18*MAX(0,MIN(3,核心参数输入!$B$42+3*核心参数输入!$B$125-0*3)-MAX(0,3*核心参数输入!$B$125-0*3))+季度经营税费!CQ18*MAX(0,MIN(3,核心参数输入!$B$42+3*核心参数输入!$B$125-1*3)-MAX(0,3*核心参数输入!$B$125-1*3))+季度经营税费!CP18*MAX(0,MIN(3,核心参数输入!$B$42+3*核心参数输入!$B$125-2*3)-MAX(0,3*核心参数输入!$B$125-2*3))+季度经营税费!CO18*MAX(0,MIN(3,核心参数输入!$B$42+3*核心参数输入!$B$125-3*3)-MAX(0,3*核心参数输入!$B$125-3*3))+季度经营税费!CN18*MAX(0,MIN(3,核心参数输入!$B$42+3*核心参数输入!$B$125-4*3)-MAX(0,3*核心参数输入!$B$125-4*3)))*CR20/10000,0)</f>
        <v>0</v>
      </c>
      <c r="CS22" s="9">
        <f>IF(93&lt;=核心参数输入!$B$9*4,(季度经营税费!CS18*MAX(0,MIN(3,核心参数输入!$B$42+3*核心参数输入!$B$125-0*3)-MAX(0,3*核心参数输入!$B$125-0*3))+季度经营税费!CR18*MAX(0,MIN(3,核心参数输入!$B$42+3*核心参数输入!$B$125-1*3)-MAX(0,3*核心参数输入!$B$125-1*3))+季度经营税费!CQ18*MAX(0,MIN(3,核心参数输入!$B$42+3*核心参数输入!$B$125-2*3)-MAX(0,3*核心参数输入!$B$125-2*3))+季度经营税费!CP18*MAX(0,MIN(3,核心参数输入!$B$42+3*核心参数输入!$B$125-3*3)-MAX(0,3*核心参数输入!$B$125-3*3))+季度经营税费!CO18*MAX(0,MIN(3,核心参数输入!$B$42+3*核心参数输入!$B$125-4*3)-MAX(0,3*核心参数输入!$B$125-4*3)))*CS20/10000,0)</f>
        <v>0</v>
      </c>
      <c r="CT22" s="9">
        <f>IF(94&lt;=核心参数输入!$B$9*4,(季度经营税费!CT18*MAX(0,MIN(3,核心参数输入!$B$42+3*核心参数输入!$B$125-0*3)-MAX(0,3*核心参数输入!$B$125-0*3))+季度经营税费!CS18*MAX(0,MIN(3,核心参数输入!$B$42+3*核心参数输入!$B$125-1*3)-MAX(0,3*核心参数输入!$B$125-1*3))+季度经营税费!CR18*MAX(0,MIN(3,核心参数输入!$B$42+3*核心参数输入!$B$125-2*3)-MAX(0,3*核心参数输入!$B$125-2*3))+季度经营税费!CQ18*MAX(0,MIN(3,核心参数输入!$B$42+3*核心参数输入!$B$125-3*3)-MAX(0,3*核心参数输入!$B$125-3*3))+季度经营税费!CP18*MAX(0,MIN(3,核心参数输入!$B$42+3*核心参数输入!$B$125-4*3)-MAX(0,3*核心参数输入!$B$125-4*3)))*CT20/10000,0)</f>
        <v>0</v>
      </c>
      <c r="CU22" s="9">
        <f>IF(95&lt;=核心参数输入!$B$9*4,(季度经营税费!CU18*MAX(0,MIN(3,核心参数输入!$B$42+3*核心参数输入!$B$125-0*3)-MAX(0,3*核心参数输入!$B$125-0*3))+季度经营税费!CT18*MAX(0,MIN(3,核心参数输入!$B$42+3*核心参数输入!$B$125-1*3)-MAX(0,3*核心参数输入!$B$125-1*3))+季度经营税费!CS18*MAX(0,MIN(3,核心参数输入!$B$42+3*核心参数输入!$B$125-2*3)-MAX(0,3*核心参数输入!$B$125-2*3))+季度经营税费!CR18*MAX(0,MIN(3,核心参数输入!$B$42+3*核心参数输入!$B$125-3*3)-MAX(0,3*核心参数输入!$B$125-3*3))+季度经营税费!CQ18*MAX(0,MIN(3,核心参数输入!$B$42+3*核心参数输入!$B$125-4*3)-MAX(0,3*核心参数输入!$B$125-4*3)))*CU20/10000,0)</f>
        <v>0</v>
      </c>
      <c r="CV22" s="9">
        <f>IF(96&lt;=核心参数输入!$B$9*4,(季度经营税费!CV18*MAX(0,MIN(3,核心参数输入!$B$42+3*核心参数输入!$B$125-0*3)-MAX(0,3*核心参数输入!$B$125-0*3))+季度经营税费!CU18*MAX(0,MIN(3,核心参数输入!$B$42+3*核心参数输入!$B$125-1*3)-MAX(0,3*核心参数输入!$B$125-1*3))+季度经营税费!CT18*MAX(0,MIN(3,核心参数输入!$B$42+3*核心参数输入!$B$125-2*3)-MAX(0,3*核心参数输入!$B$125-2*3))+季度经营税费!CS18*MAX(0,MIN(3,核心参数输入!$B$42+3*核心参数输入!$B$125-3*3)-MAX(0,3*核心参数输入!$B$125-3*3))+季度经营税费!CR18*MAX(0,MIN(3,核心参数输入!$B$42+3*核心参数输入!$B$125-4*3)-MAX(0,3*核心参数输入!$B$125-4*3)))*CV20/10000,0)</f>
        <v>0</v>
      </c>
      <c r="CW22" s="9">
        <f>IF(97&lt;=核心参数输入!$B$9*4,(季度经营税费!CW18*MAX(0,MIN(3,核心参数输入!$B$42+3*核心参数输入!$B$125-0*3)-MAX(0,3*核心参数输入!$B$125-0*3))+季度经营税费!CV18*MAX(0,MIN(3,核心参数输入!$B$42+3*核心参数输入!$B$125-1*3)-MAX(0,3*核心参数输入!$B$125-1*3))+季度经营税费!CU18*MAX(0,MIN(3,核心参数输入!$B$42+3*核心参数输入!$B$125-2*3)-MAX(0,3*核心参数输入!$B$125-2*3))+季度经营税费!CT18*MAX(0,MIN(3,核心参数输入!$B$42+3*核心参数输入!$B$125-3*3)-MAX(0,3*核心参数输入!$B$125-3*3))+季度经营税费!CS18*MAX(0,MIN(3,核心参数输入!$B$42+3*核心参数输入!$B$125-4*3)-MAX(0,3*核心参数输入!$B$125-4*3)))*CW20/10000,0)</f>
        <v>0</v>
      </c>
      <c r="CX22" s="9">
        <f>IF(98&lt;=核心参数输入!$B$9*4,(季度经营税费!CX18*MAX(0,MIN(3,核心参数输入!$B$42+3*核心参数输入!$B$125-0*3)-MAX(0,3*核心参数输入!$B$125-0*3))+季度经营税费!CW18*MAX(0,MIN(3,核心参数输入!$B$42+3*核心参数输入!$B$125-1*3)-MAX(0,3*核心参数输入!$B$125-1*3))+季度经营税费!CV18*MAX(0,MIN(3,核心参数输入!$B$42+3*核心参数输入!$B$125-2*3)-MAX(0,3*核心参数输入!$B$125-2*3))+季度经营税费!CU18*MAX(0,MIN(3,核心参数输入!$B$42+3*核心参数输入!$B$125-3*3)-MAX(0,3*核心参数输入!$B$125-3*3))+季度经营税费!CT18*MAX(0,MIN(3,核心参数输入!$B$42+3*核心参数输入!$B$125-4*3)-MAX(0,3*核心参数输入!$B$125-4*3)))*CX20/10000,0)</f>
        <v>0</v>
      </c>
      <c r="CY22" s="9">
        <f>IF(99&lt;=核心参数输入!$B$9*4,(季度经营税费!CY18*MAX(0,MIN(3,核心参数输入!$B$42+3*核心参数输入!$B$125-0*3)-MAX(0,3*核心参数输入!$B$125-0*3))+季度经营税费!CX18*MAX(0,MIN(3,核心参数输入!$B$42+3*核心参数输入!$B$125-1*3)-MAX(0,3*核心参数输入!$B$125-1*3))+季度经营税费!CW18*MAX(0,MIN(3,核心参数输入!$B$42+3*核心参数输入!$B$125-2*3)-MAX(0,3*核心参数输入!$B$125-2*3))+季度经营税费!CV18*MAX(0,MIN(3,核心参数输入!$B$42+3*核心参数输入!$B$125-3*3)-MAX(0,3*核心参数输入!$B$125-3*3))+季度经营税费!CU18*MAX(0,MIN(3,核心参数输入!$B$42+3*核心参数输入!$B$125-4*3)-MAX(0,3*核心参数输入!$B$125-4*3)))*CY20/10000,0)</f>
        <v>0</v>
      </c>
      <c r="CZ22" s="9">
        <f>IF(100&lt;=核心参数输入!$B$9*4,(季度经营税费!CZ18*MAX(0,MIN(3,核心参数输入!$B$42+3*核心参数输入!$B$125-0*3)-MAX(0,3*核心参数输入!$B$125-0*3))+季度经营税费!CY18*MAX(0,MIN(3,核心参数输入!$B$42+3*核心参数输入!$B$125-1*3)-MAX(0,3*核心参数输入!$B$125-1*3))+季度经营税费!CX18*MAX(0,MIN(3,核心参数输入!$B$42+3*核心参数输入!$B$125-2*3)-MAX(0,3*核心参数输入!$B$125-2*3))+季度经营税费!CW18*MAX(0,MIN(3,核心参数输入!$B$42+3*核心参数输入!$B$125-3*3)-MAX(0,3*核心参数输入!$B$125-3*3))+季度经营税费!CV18*MAX(0,MIN(3,核心参数输入!$B$42+3*核心参数输入!$B$125-4*3)-MAX(0,3*核心参数输入!$B$125-4*3)))*CZ20/10000,0)</f>
        <v>0</v>
      </c>
      <c r="DA22" s="9">
        <f>IF(101&lt;=核心参数输入!$B$9*4,(季度经营税费!DA18*MAX(0,MIN(3,核心参数输入!$B$42+3*核心参数输入!$B$125-0*3)-MAX(0,3*核心参数输入!$B$125-0*3))+季度经营税费!CZ18*MAX(0,MIN(3,核心参数输入!$B$42+3*核心参数输入!$B$125-1*3)-MAX(0,3*核心参数输入!$B$125-1*3))+季度经营税费!CY18*MAX(0,MIN(3,核心参数输入!$B$42+3*核心参数输入!$B$125-2*3)-MAX(0,3*核心参数输入!$B$125-2*3))+季度经营税费!CX18*MAX(0,MIN(3,核心参数输入!$B$42+3*核心参数输入!$B$125-3*3)-MAX(0,3*核心参数输入!$B$125-3*3))+季度经营税费!CW18*MAX(0,MIN(3,核心参数输入!$B$42+3*核心参数输入!$B$125-4*3)-MAX(0,3*核心参数输入!$B$125-4*3)))*DA20/10000,0)</f>
        <v>0</v>
      </c>
      <c r="DB22" s="9">
        <f>IF(102&lt;=核心参数输入!$B$9*4,(季度经营税费!DB18*MAX(0,MIN(3,核心参数输入!$B$42+3*核心参数输入!$B$125-0*3)-MAX(0,3*核心参数输入!$B$125-0*3))+季度经营税费!DA18*MAX(0,MIN(3,核心参数输入!$B$42+3*核心参数输入!$B$125-1*3)-MAX(0,3*核心参数输入!$B$125-1*3))+季度经营税费!CZ18*MAX(0,MIN(3,核心参数输入!$B$42+3*核心参数输入!$B$125-2*3)-MAX(0,3*核心参数输入!$B$125-2*3))+季度经营税费!CY18*MAX(0,MIN(3,核心参数输入!$B$42+3*核心参数输入!$B$125-3*3)-MAX(0,3*核心参数输入!$B$125-3*3))+季度经营税费!CX18*MAX(0,MIN(3,核心参数输入!$B$42+3*核心参数输入!$B$125-4*3)-MAX(0,3*核心参数输入!$B$125-4*3)))*DB20/10000,0)</f>
        <v>0</v>
      </c>
      <c r="DC22" s="9">
        <f>IF(103&lt;=核心参数输入!$B$9*4,(季度经营税费!DC18*MAX(0,MIN(3,核心参数输入!$B$42+3*核心参数输入!$B$125-0*3)-MAX(0,3*核心参数输入!$B$125-0*3))+季度经营税费!DB18*MAX(0,MIN(3,核心参数输入!$B$42+3*核心参数输入!$B$125-1*3)-MAX(0,3*核心参数输入!$B$125-1*3))+季度经营税费!DA18*MAX(0,MIN(3,核心参数输入!$B$42+3*核心参数输入!$B$125-2*3)-MAX(0,3*核心参数输入!$B$125-2*3))+季度经营税费!CZ18*MAX(0,MIN(3,核心参数输入!$B$42+3*核心参数输入!$B$125-3*3)-MAX(0,3*核心参数输入!$B$125-3*3))+季度经营税费!CY18*MAX(0,MIN(3,核心参数输入!$B$42+3*核心参数输入!$B$125-4*3)-MAX(0,3*核心参数输入!$B$125-4*3)))*DC20/10000,0)</f>
        <v>0</v>
      </c>
      <c r="DD22" s="9">
        <f>IF(104&lt;=核心参数输入!$B$9*4,(季度经营税费!DD18*MAX(0,MIN(3,核心参数输入!$B$42+3*核心参数输入!$B$125-0*3)-MAX(0,3*核心参数输入!$B$125-0*3))+季度经营税费!DC18*MAX(0,MIN(3,核心参数输入!$B$42+3*核心参数输入!$B$125-1*3)-MAX(0,3*核心参数输入!$B$125-1*3))+季度经营税费!DB18*MAX(0,MIN(3,核心参数输入!$B$42+3*核心参数输入!$B$125-2*3)-MAX(0,3*核心参数输入!$B$125-2*3))+季度经营税费!DA18*MAX(0,MIN(3,核心参数输入!$B$42+3*核心参数输入!$B$125-3*3)-MAX(0,3*核心参数输入!$B$125-3*3))+季度经营税费!CZ18*MAX(0,MIN(3,核心参数输入!$B$42+3*核心参数输入!$B$125-4*3)-MAX(0,3*核心参数输入!$B$125-4*3)))*DD20/10000,0)</f>
        <v>0</v>
      </c>
      <c r="DE22" s="9">
        <f>IF(105&lt;=核心参数输入!$B$9*4,(季度经营税费!DE18*MAX(0,MIN(3,核心参数输入!$B$42+3*核心参数输入!$B$125-0*3)-MAX(0,3*核心参数输入!$B$125-0*3))+季度经营税费!DD18*MAX(0,MIN(3,核心参数输入!$B$42+3*核心参数输入!$B$125-1*3)-MAX(0,3*核心参数输入!$B$125-1*3))+季度经营税费!DC18*MAX(0,MIN(3,核心参数输入!$B$42+3*核心参数输入!$B$125-2*3)-MAX(0,3*核心参数输入!$B$125-2*3))+季度经营税费!DB18*MAX(0,MIN(3,核心参数输入!$B$42+3*核心参数输入!$B$125-3*3)-MAX(0,3*核心参数输入!$B$125-3*3))+季度经营税费!DA18*MAX(0,MIN(3,核心参数输入!$B$42+3*核心参数输入!$B$125-4*3)-MAX(0,3*核心参数输入!$B$125-4*3)))*DE20/10000,0)</f>
        <v>0</v>
      </c>
      <c r="DF22" s="9">
        <f>IF(106&lt;=核心参数输入!$B$9*4,(季度经营税费!DF18*MAX(0,MIN(3,核心参数输入!$B$42+3*核心参数输入!$B$125-0*3)-MAX(0,3*核心参数输入!$B$125-0*3))+季度经营税费!DE18*MAX(0,MIN(3,核心参数输入!$B$42+3*核心参数输入!$B$125-1*3)-MAX(0,3*核心参数输入!$B$125-1*3))+季度经营税费!DD18*MAX(0,MIN(3,核心参数输入!$B$42+3*核心参数输入!$B$125-2*3)-MAX(0,3*核心参数输入!$B$125-2*3))+季度经营税费!DC18*MAX(0,MIN(3,核心参数输入!$B$42+3*核心参数输入!$B$125-3*3)-MAX(0,3*核心参数输入!$B$125-3*3))+季度经营税费!DB18*MAX(0,MIN(3,核心参数输入!$B$42+3*核心参数输入!$B$125-4*3)-MAX(0,3*核心参数输入!$B$125-4*3)))*DF20/10000,0)</f>
        <v>0</v>
      </c>
      <c r="DG22" s="9">
        <f>IF(107&lt;=核心参数输入!$B$9*4,(季度经营税费!DG18*MAX(0,MIN(3,核心参数输入!$B$42+3*核心参数输入!$B$125-0*3)-MAX(0,3*核心参数输入!$B$125-0*3))+季度经营税费!DF18*MAX(0,MIN(3,核心参数输入!$B$42+3*核心参数输入!$B$125-1*3)-MAX(0,3*核心参数输入!$B$125-1*3))+季度经营税费!DE18*MAX(0,MIN(3,核心参数输入!$B$42+3*核心参数输入!$B$125-2*3)-MAX(0,3*核心参数输入!$B$125-2*3))+季度经营税费!DD18*MAX(0,MIN(3,核心参数输入!$B$42+3*核心参数输入!$B$125-3*3)-MAX(0,3*核心参数输入!$B$125-3*3))+季度经营税费!DC18*MAX(0,MIN(3,核心参数输入!$B$42+3*核心参数输入!$B$125-4*3)-MAX(0,3*核心参数输入!$B$125-4*3)))*DG20/10000,0)</f>
        <v>0</v>
      </c>
      <c r="DH22" s="9">
        <f>IF(108&lt;=核心参数输入!$B$9*4,(季度经营税费!DH18*MAX(0,MIN(3,核心参数输入!$B$42+3*核心参数输入!$B$125-0*3)-MAX(0,3*核心参数输入!$B$125-0*3))+季度经营税费!DG18*MAX(0,MIN(3,核心参数输入!$B$42+3*核心参数输入!$B$125-1*3)-MAX(0,3*核心参数输入!$B$125-1*3))+季度经营税费!DF18*MAX(0,MIN(3,核心参数输入!$B$42+3*核心参数输入!$B$125-2*3)-MAX(0,3*核心参数输入!$B$125-2*3))+季度经营税费!DE18*MAX(0,MIN(3,核心参数输入!$B$42+3*核心参数输入!$B$125-3*3)-MAX(0,3*核心参数输入!$B$125-3*3))+季度经营税费!DD18*MAX(0,MIN(3,核心参数输入!$B$42+3*核心参数输入!$B$125-4*3)-MAX(0,3*核心参数输入!$B$125-4*3)))*DH20/10000,0)</f>
        <v>0</v>
      </c>
      <c r="DI22" s="9">
        <f>IF(109&lt;=核心参数输入!$B$9*4,(季度经营税费!DI18*MAX(0,MIN(3,核心参数输入!$B$42+3*核心参数输入!$B$125-0*3)-MAX(0,3*核心参数输入!$B$125-0*3))+季度经营税费!DH18*MAX(0,MIN(3,核心参数输入!$B$42+3*核心参数输入!$B$125-1*3)-MAX(0,3*核心参数输入!$B$125-1*3))+季度经营税费!DG18*MAX(0,MIN(3,核心参数输入!$B$42+3*核心参数输入!$B$125-2*3)-MAX(0,3*核心参数输入!$B$125-2*3))+季度经营税费!DF18*MAX(0,MIN(3,核心参数输入!$B$42+3*核心参数输入!$B$125-3*3)-MAX(0,3*核心参数输入!$B$125-3*3))+季度经营税费!DE18*MAX(0,MIN(3,核心参数输入!$B$42+3*核心参数输入!$B$125-4*3)-MAX(0,3*核心参数输入!$B$125-4*3)))*DI20/10000,0)</f>
        <v>0</v>
      </c>
      <c r="DJ22" s="9">
        <f>IF(110&lt;=核心参数输入!$B$9*4,(季度经营税费!DJ18*MAX(0,MIN(3,核心参数输入!$B$42+3*核心参数输入!$B$125-0*3)-MAX(0,3*核心参数输入!$B$125-0*3))+季度经营税费!DI18*MAX(0,MIN(3,核心参数输入!$B$42+3*核心参数输入!$B$125-1*3)-MAX(0,3*核心参数输入!$B$125-1*3))+季度经营税费!DH18*MAX(0,MIN(3,核心参数输入!$B$42+3*核心参数输入!$B$125-2*3)-MAX(0,3*核心参数输入!$B$125-2*3))+季度经营税费!DG18*MAX(0,MIN(3,核心参数输入!$B$42+3*核心参数输入!$B$125-3*3)-MAX(0,3*核心参数输入!$B$125-3*3))+季度经营税费!DF18*MAX(0,MIN(3,核心参数输入!$B$42+3*核心参数输入!$B$125-4*3)-MAX(0,3*核心参数输入!$B$125-4*3)))*DJ20/10000,0)</f>
        <v>0</v>
      </c>
      <c r="DK22" s="9">
        <f>IF(111&lt;=核心参数输入!$B$9*4,(季度经营税费!DK18*MAX(0,MIN(3,核心参数输入!$B$42+3*核心参数输入!$B$125-0*3)-MAX(0,3*核心参数输入!$B$125-0*3))+季度经营税费!DJ18*MAX(0,MIN(3,核心参数输入!$B$42+3*核心参数输入!$B$125-1*3)-MAX(0,3*核心参数输入!$B$125-1*3))+季度经营税费!DI18*MAX(0,MIN(3,核心参数输入!$B$42+3*核心参数输入!$B$125-2*3)-MAX(0,3*核心参数输入!$B$125-2*3))+季度经营税费!DH18*MAX(0,MIN(3,核心参数输入!$B$42+3*核心参数输入!$B$125-3*3)-MAX(0,3*核心参数输入!$B$125-3*3))+季度经营税费!DG18*MAX(0,MIN(3,核心参数输入!$B$42+3*核心参数输入!$B$125-4*3)-MAX(0,3*核心参数输入!$B$125-4*3)))*DK20/10000,0)</f>
        <v>0</v>
      </c>
      <c r="DL22" s="9">
        <f>IF(112&lt;=核心参数输入!$B$9*4,(季度经营税费!DL18*MAX(0,MIN(3,核心参数输入!$B$42+3*核心参数输入!$B$125-0*3)-MAX(0,3*核心参数输入!$B$125-0*3))+季度经营税费!DK18*MAX(0,MIN(3,核心参数输入!$B$42+3*核心参数输入!$B$125-1*3)-MAX(0,3*核心参数输入!$B$125-1*3))+季度经营税费!DJ18*MAX(0,MIN(3,核心参数输入!$B$42+3*核心参数输入!$B$125-2*3)-MAX(0,3*核心参数输入!$B$125-2*3))+季度经营税费!DI18*MAX(0,MIN(3,核心参数输入!$B$42+3*核心参数输入!$B$125-3*3)-MAX(0,3*核心参数输入!$B$125-3*3))+季度经营税费!DH18*MAX(0,MIN(3,核心参数输入!$B$42+3*核心参数输入!$B$125-4*3)-MAX(0,3*核心参数输入!$B$125-4*3)))*DL20/10000,0)</f>
        <v>0</v>
      </c>
      <c r="DM22" s="9">
        <f>IF(113&lt;=核心参数输入!$B$9*4,(季度经营税费!DM18*MAX(0,MIN(3,核心参数输入!$B$42+3*核心参数输入!$B$125-0*3)-MAX(0,3*核心参数输入!$B$125-0*3))+季度经营税费!DL18*MAX(0,MIN(3,核心参数输入!$B$42+3*核心参数输入!$B$125-1*3)-MAX(0,3*核心参数输入!$B$125-1*3))+季度经营税费!DK18*MAX(0,MIN(3,核心参数输入!$B$42+3*核心参数输入!$B$125-2*3)-MAX(0,3*核心参数输入!$B$125-2*3))+季度经营税费!DJ18*MAX(0,MIN(3,核心参数输入!$B$42+3*核心参数输入!$B$125-3*3)-MAX(0,3*核心参数输入!$B$125-3*3))+季度经营税费!DI18*MAX(0,MIN(3,核心参数输入!$B$42+3*核心参数输入!$B$125-4*3)-MAX(0,3*核心参数输入!$B$125-4*3)))*DM20/10000,0)</f>
        <v>0</v>
      </c>
      <c r="DN22" s="9">
        <f>IF(114&lt;=核心参数输入!$B$9*4,(季度经营税费!DN18*MAX(0,MIN(3,核心参数输入!$B$42+3*核心参数输入!$B$125-0*3)-MAX(0,3*核心参数输入!$B$125-0*3))+季度经营税费!DM18*MAX(0,MIN(3,核心参数输入!$B$42+3*核心参数输入!$B$125-1*3)-MAX(0,3*核心参数输入!$B$125-1*3))+季度经营税费!DL18*MAX(0,MIN(3,核心参数输入!$B$42+3*核心参数输入!$B$125-2*3)-MAX(0,3*核心参数输入!$B$125-2*3))+季度经营税费!DK18*MAX(0,MIN(3,核心参数输入!$B$42+3*核心参数输入!$B$125-3*3)-MAX(0,3*核心参数输入!$B$125-3*3))+季度经营税费!DJ18*MAX(0,MIN(3,核心参数输入!$B$42+3*核心参数输入!$B$125-4*3)-MAX(0,3*核心参数输入!$B$125-4*3)))*DN20/10000,0)</f>
        <v>0</v>
      </c>
      <c r="DO22" s="9">
        <f>IF(115&lt;=核心参数输入!$B$9*4,(季度经营税费!DO18*MAX(0,MIN(3,核心参数输入!$B$42+3*核心参数输入!$B$125-0*3)-MAX(0,3*核心参数输入!$B$125-0*3))+季度经营税费!DN18*MAX(0,MIN(3,核心参数输入!$B$42+3*核心参数输入!$B$125-1*3)-MAX(0,3*核心参数输入!$B$125-1*3))+季度经营税费!DM18*MAX(0,MIN(3,核心参数输入!$B$42+3*核心参数输入!$B$125-2*3)-MAX(0,3*核心参数输入!$B$125-2*3))+季度经营税费!DL18*MAX(0,MIN(3,核心参数输入!$B$42+3*核心参数输入!$B$125-3*3)-MAX(0,3*核心参数输入!$B$125-3*3))+季度经营税费!DK18*MAX(0,MIN(3,核心参数输入!$B$42+3*核心参数输入!$B$125-4*3)-MAX(0,3*核心参数输入!$B$125-4*3)))*DO20/10000,0)</f>
        <v>0</v>
      </c>
      <c r="DP22" s="9">
        <f>IF(116&lt;=核心参数输入!$B$9*4,(季度经营税费!DP18*MAX(0,MIN(3,核心参数输入!$B$42+3*核心参数输入!$B$125-0*3)-MAX(0,3*核心参数输入!$B$125-0*3))+季度经营税费!DO18*MAX(0,MIN(3,核心参数输入!$B$42+3*核心参数输入!$B$125-1*3)-MAX(0,3*核心参数输入!$B$125-1*3))+季度经营税费!DN18*MAX(0,MIN(3,核心参数输入!$B$42+3*核心参数输入!$B$125-2*3)-MAX(0,3*核心参数输入!$B$125-2*3))+季度经营税费!DM18*MAX(0,MIN(3,核心参数输入!$B$42+3*核心参数输入!$B$125-3*3)-MAX(0,3*核心参数输入!$B$125-3*3))+季度经营税费!DL18*MAX(0,MIN(3,核心参数输入!$B$42+3*核心参数输入!$B$125-4*3)-MAX(0,3*核心参数输入!$B$125-4*3)))*DP20/10000,0)</f>
        <v>0</v>
      </c>
      <c r="DQ22" s="9">
        <f>IF(117&lt;=核心参数输入!$B$9*4,(季度经营税费!DQ18*MAX(0,MIN(3,核心参数输入!$B$42+3*核心参数输入!$B$125-0*3)-MAX(0,3*核心参数输入!$B$125-0*3))+季度经营税费!DP18*MAX(0,MIN(3,核心参数输入!$B$42+3*核心参数输入!$B$125-1*3)-MAX(0,3*核心参数输入!$B$125-1*3))+季度经营税费!DO18*MAX(0,MIN(3,核心参数输入!$B$42+3*核心参数输入!$B$125-2*3)-MAX(0,3*核心参数输入!$B$125-2*3))+季度经营税费!DN18*MAX(0,MIN(3,核心参数输入!$B$42+3*核心参数输入!$B$125-3*3)-MAX(0,3*核心参数输入!$B$125-3*3))+季度经营税费!DM18*MAX(0,MIN(3,核心参数输入!$B$42+3*核心参数输入!$B$125-4*3)-MAX(0,3*核心参数输入!$B$125-4*3)))*DQ20/10000,0)</f>
        <v>0</v>
      </c>
      <c r="DR22" s="9">
        <f>IF(118&lt;=核心参数输入!$B$9*4,(季度经营税费!DR18*MAX(0,MIN(3,核心参数输入!$B$42+3*核心参数输入!$B$125-0*3)-MAX(0,3*核心参数输入!$B$125-0*3))+季度经营税费!DQ18*MAX(0,MIN(3,核心参数输入!$B$42+3*核心参数输入!$B$125-1*3)-MAX(0,3*核心参数输入!$B$125-1*3))+季度经营税费!DP18*MAX(0,MIN(3,核心参数输入!$B$42+3*核心参数输入!$B$125-2*3)-MAX(0,3*核心参数输入!$B$125-2*3))+季度经营税费!DO18*MAX(0,MIN(3,核心参数输入!$B$42+3*核心参数输入!$B$125-3*3)-MAX(0,3*核心参数输入!$B$125-3*3))+季度经营税费!DN18*MAX(0,MIN(3,核心参数输入!$B$42+3*核心参数输入!$B$125-4*3)-MAX(0,3*核心参数输入!$B$125-4*3)))*DR20/10000,0)</f>
        <v>0</v>
      </c>
      <c r="DS22" s="9">
        <f>IF(119&lt;=核心参数输入!$B$9*4,(季度经营税费!DS18*MAX(0,MIN(3,核心参数输入!$B$42+3*核心参数输入!$B$125-0*3)-MAX(0,3*核心参数输入!$B$125-0*3))+季度经营税费!DR18*MAX(0,MIN(3,核心参数输入!$B$42+3*核心参数输入!$B$125-1*3)-MAX(0,3*核心参数输入!$B$125-1*3))+季度经营税费!DQ18*MAX(0,MIN(3,核心参数输入!$B$42+3*核心参数输入!$B$125-2*3)-MAX(0,3*核心参数输入!$B$125-2*3))+季度经营税费!DP18*MAX(0,MIN(3,核心参数输入!$B$42+3*核心参数输入!$B$125-3*3)-MAX(0,3*核心参数输入!$B$125-3*3))+季度经营税费!DO18*MAX(0,MIN(3,核心参数输入!$B$42+3*核心参数输入!$B$125-4*3)-MAX(0,3*核心参数输入!$B$125-4*3)))*DS20/10000,0)</f>
        <v>0</v>
      </c>
      <c r="DT22" s="9">
        <f>IF(120&lt;=核心参数输入!$B$9*4,(季度经营税费!DT18*MAX(0,MIN(3,核心参数输入!$B$42+3*核心参数输入!$B$125-0*3)-MAX(0,3*核心参数输入!$B$125-0*3))+季度经营税费!DS18*MAX(0,MIN(3,核心参数输入!$B$42+3*核心参数输入!$B$125-1*3)-MAX(0,3*核心参数输入!$B$125-1*3))+季度经营税费!DR18*MAX(0,MIN(3,核心参数输入!$B$42+3*核心参数输入!$B$125-2*3)-MAX(0,3*核心参数输入!$B$125-2*3))+季度经营税费!DQ18*MAX(0,MIN(3,核心参数输入!$B$42+3*核心参数输入!$B$125-3*3)-MAX(0,3*核心参数输入!$B$125-3*3))+季度经营税费!DP18*MAX(0,MIN(3,核心参数输入!$B$42+3*核心参数输入!$B$125-4*3)-MAX(0,3*核心参数输入!$B$125-4*3)))*DT20/10000,0)</f>
        <v>0</v>
      </c>
    </row>
    <row r="23" spans="1:124" ht="21" customHeight="1">
      <c r="A23" s="8" t="s">
        <v>459</v>
      </c>
      <c r="B23" s="8" t="s">
        <v>39</v>
      </c>
      <c r="C23" s="8"/>
      <c r="D23" s="9">
        <f>IF(0&lt;=核心参数输入!$B$9*4,MAX(0,D21-D22),0)</f>
        <v>0</v>
      </c>
      <c r="E23" s="9">
        <f>IF(1&lt;=核心参数输入!$B$9*4,MAX(0,E21-E22),0)</f>
        <v>0</v>
      </c>
      <c r="F23" s="9">
        <f>IF(2&lt;=核心参数输入!$B$9*4,MAX(0,F21-F22),0)</f>
        <v>0</v>
      </c>
      <c r="G23" s="9">
        <f>IF(3&lt;=核心参数输入!$B$9*4,MAX(0,G21-G22),0)</f>
        <v>0</v>
      </c>
      <c r="H23" s="9">
        <f>IF(4&lt;=核心参数输入!$B$9*4,MAX(0,H21-H22),0)</f>
        <v>0</v>
      </c>
      <c r="I23" s="9">
        <f>IF(5&lt;=核心参数输入!$B$9*4,MAX(0,I21-I22),0)</f>
        <v>0</v>
      </c>
      <c r="J23" s="9">
        <f>IF(6&lt;=核心参数输入!$B$9*4,MAX(0,J21-J22),0)</f>
        <v>0</v>
      </c>
      <c r="K23" s="9">
        <f>IF(7&lt;=核心参数输入!$B$9*4,MAX(0,K21-K22),0)</f>
        <v>0</v>
      </c>
      <c r="L23" s="9">
        <f>IF(8&lt;=核心参数输入!$B$9*4,MAX(0,L21-L22),0)</f>
        <v>0</v>
      </c>
      <c r="M23" s="9">
        <f>IF(9&lt;=核心参数输入!$B$9*4,MAX(0,M21-M22),0)</f>
        <v>0</v>
      </c>
      <c r="N23" s="9">
        <f>IF(10&lt;=核心参数输入!$B$9*4,MAX(0,N21-N22),0)</f>
        <v>0</v>
      </c>
      <c r="O23" s="9">
        <f>IF(11&lt;=核心参数输入!$B$9*4,MAX(0,O21-O22),0)</f>
        <v>0</v>
      </c>
      <c r="P23" s="9">
        <f>IF(12&lt;=核心参数输入!$B$9*4,MAX(0,P21-P22),0)</f>
        <v>0</v>
      </c>
      <c r="Q23" s="9">
        <f>IF(13&lt;=核心参数输入!$B$9*4,MAX(0,Q21-Q22),0)</f>
        <v>0</v>
      </c>
      <c r="R23" s="9">
        <f>IF(14&lt;=核心参数输入!$B$9*4,MAX(0,R21-R22),0)</f>
        <v>29.615624999999994</v>
      </c>
      <c r="S23" s="9">
        <f>IF(15&lt;=核心参数输入!$B$9*4,MAX(0,S21-S22),0)</f>
        <v>88.846874999999969</v>
      </c>
      <c r="T23" s="9">
        <f>IF(16&lt;=核心参数输入!$B$9*4,MAX(0,T21-T22),0)</f>
        <v>148.07812499999997</v>
      </c>
      <c r="U23" s="9">
        <f>IF(17&lt;=核心参数输入!$B$9*4,MAX(0,U21-U22),0)</f>
        <v>210.41901562499996</v>
      </c>
      <c r="V23" s="9">
        <f>IF(18&lt;=核心参数输入!$B$9*4,MAX(0,V21-V22),0)</f>
        <v>252.50281874999999</v>
      </c>
      <c r="W23" s="9">
        <f>IF(19&lt;=核心参数输入!$B$9*4,MAX(0,W21-W22),0)</f>
        <v>276.55070624999996</v>
      </c>
      <c r="X23" s="9">
        <f>IF(20&lt;=核心参数输入!$B$9*4,MAX(0,X21-X22),0)</f>
        <v>300.59859374999991</v>
      </c>
      <c r="Y23" s="9">
        <f>IF(21&lt;=核心参数输入!$B$9*4,MAX(0,Y21-Y22),0)</f>
        <v>329.5161784687499</v>
      </c>
      <c r="Z23" s="9">
        <f>IF(22&lt;=核心参数输入!$B$9*4,MAX(0,Z21-Z22),0)</f>
        <v>350.87370855468731</v>
      </c>
      <c r="AA23" s="9">
        <f>IF(23&lt;=核心参数输入!$B$9*4,MAX(0,AA21-AA22),0)</f>
        <v>369.18016291406235</v>
      </c>
      <c r="AB23" s="9">
        <f>IF(24&lt;=核心参数输入!$B$9*4,MAX(0,AB21-AB22),0)</f>
        <v>387.48661727343733</v>
      </c>
      <c r="AC23" s="9">
        <f>IF(25&lt;=核心参数输入!$B$9*4,MAX(0,AC21-AC22),0)</f>
        <v>411.87996770730456</v>
      </c>
      <c r="AD23" s="9">
        <f>IF(26&lt;=核心参数输入!$B$9*4,MAX(0,AD21-AD22),0)</f>
        <v>424.26733515714824</v>
      </c>
      <c r="AE23" s="9">
        <f>IF(27&lt;=核心参数输入!$B$9*4,MAX(0,AE21-AE22),0)</f>
        <v>430.46101888207011</v>
      </c>
      <c r="AF23" s="9">
        <f>IF(28&lt;=核心参数输入!$B$9*4,MAX(0,AF21-AF22),0)</f>
        <v>436.65470260699192</v>
      </c>
      <c r="AG23" s="9">
        <f>IF(29&lt;=核心参数输入!$B$9*4,MAX(0,AG21-AG22),0)</f>
        <v>449.49111212689246</v>
      </c>
      <c r="AH23" s="9">
        <f>IF(30&lt;=核心参数输入!$B$9*4,MAX(0,AH21-AH22),0)</f>
        <v>452.63440661729032</v>
      </c>
      <c r="AI23" s="9">
        <f>IF(31&lt;=核心参数输入!$B$9*4,MAX(0,AI21-AI22),0)</f>
        <v>452.63440661729032</v>
      </c>
      <c r="AJ23" s="9">
        <f>IF(32&lt;=核心参数输入!$B$9*4,MAX(0,AJ21-AJ22),0)</f>
        <v>452.63440661729032</v>
      </c>
      <c r="AK23" s="9">
        <f>IF(33&lt;=核心参数输入!$B$9*4,MAX(0,AK21-AK22),0)</f>
        <v>459.42392271654961</v>
      </c>
      <c r="AL23" s="9">
        <f>IF(34&lt;=核心参数输入!$B$9*4,MAX(0,AL21-AL22),0)</f>
        <v>459.42392271654961</v>
      </c>
      <c r="AM23" s="9">
        <f>IF(35&lt;=核心参数输入!$B$9*4,MAX(0,AM21-AM22),0)</f>
        <v>459.42392271654961</v>
      </c>
      <c r="AN23" s="9">
        <f>IF(36&lt;=核心参数输入!$B$9*4,MAX(0,AN21-AN22),0)</f>
        <v>459.42392271654961</v>
      </c>
      <c r="AO23" s="9">
        <f>IF(37&lt;=核心参数输入!$B$9*4,MAX(0,AO21-AO22),0)</f>
        <v>466.31528155729779</v>
      </c>
      <c r="AP23" s="9">
        <f>IF(38&lt;=核心参数输入!$B$9*4,MAX(0,AP21-AP22),0)</f>
        <v>466.31528155729779</v>
      </c>
      <c r="AQ23" s="9">
        <f>IF(39&lt;=核心参数输入!$B$9*4,MAX(0,AQ21-AQ22),0)</f>
        <v>466.31528155729779</v>
      </c>
      <c r="AR23" s="9">
        <f>IF(40&lt;=核心参数输入!$B$9*4,MAX(0,AR21-AR22),0)</f>
        <v>466.31528155729779</v>
      </c>
      <c r="AS23" s="9">
        <f>IF(41&lt;=核心参数输入!$B$9*4,MAX(0,AS21-AS22),0)</f>
        <v>473.31001078065719</v>
      </c>
      <c r="AT23" s="9">
        <f>IF(42&lt;=核心参数输入!$B$9*4,MAX(0,AT21-AT22),0)</f>
        <v>473.31001078065719</v>
      </c>
      <c r="AU23" s="9">
        <f>IF(43&lt;=核心参数输入!$B$9*4,MAX(0,AU21-AU22),0)</f>
        <v>473.31001078065719</v>
      </c>
      <c r="AV23" s="9">
        <f>IF(44&lt;=核心参数输入!$B$9*4,MAX(0,AV21-AV22),0)</f>
        <v>473.31001078065719</v>
      </c>
      <c r="AW23" s="9">
        <f>IF(45&lt;=核心参数输入!$B$9*4,MAX(0,AW21-AW22),0)</f>
        <v>480.409660942367</v>
      </c>
      <c r="AX23" s="9">
        <f>IF(46&lt;=核心参数输入!$B$9*4,MAX(0,AX21-AX22),0)</f>
        <v>480.409660942367</v>
      </c>
      <c r="AY23" s="9">
        <f>IF(47&lt;=核心参数输入!$B$9*4,MAX(0,AY21-AY22),0)</f>
        <v>480.409660942367</v>
      </c>
      <c r="AZ23" s="9">
        <f>IF(48&lt;=核心参数输入!$B$9*4,MAX(0,AZ21-AZ22),0)</f>
        <v>480.409660942367</v>
      </c>
      <c r="BA23" s="9">
        <f>IF(49&lt;=核心参数输入!$B$9*4,MAX(0,BA21-BA22),0)</f>
        <v>487.61580585650245</v>
      </c>
      <c r="BB23" s="9">
        <f>IF(50&lt;=核心参数输入!$B$9*4,MAX(0,BB21-BB22),0)</f>
        <v>487.61580585650245</v>
      </c>
      <c r="BC23" s="9">
        <f>IF(51&lt;=核心参数输入!$B$9*4,MAX(0,BC21-BC22),0)</f>
        <v>487.61580585650245</v>
      </c>
      <c r="BD23" s="9">
        <f>IF(52&lt;=核心参数输入!$B$9*4,MAX(0,BD21-BD22),0)</f>
        <v>487.61580585650245</v>
      </c>
      <c r="BE23" s="9">
        <f>IF(53&lt;=核心参数输入!$B$9*4,MAX(0,BE21-BE22),0)</f>
        <v>494.93004294434991</v>
      </c>
      <c r="BF23" s="9">
        <f>IF(54&lt;=核心参数输入!$B$9*4,MAX(0,BF21-BF22),0)</f>
        <v>494.93004294434991</v>
      </c>
      <c r="BG23" s="9">
        <f>IF(55&lt;=核心参数输入!$B$9*4,MAX(0,BG21-BG22),0)</f>
        <v>494.93004294434991</v>
      </c>
      <c r="BH23" s="9">
        <f>IF(56&lt;=核心参数输入!$B$9*4,MAX(0,BH21-BH22),0)</f>
        <v>494.93004294434991</v>
      </c>
      <c r="BI23" s="9">
        <f>IF(57&lt;=核心参数输入!$B$9*4,MAX(0,BI21-BI22),0)</f>
        <v>502.3539935885151</v>
      </c>
      <c r="BJ23" s="9">
        <f>IF(58&lt;=核心参数输入!$B$9*4,MAX(0,BJ21-BJ22),0)</f>
        <v>502.3539935885151</v>
      </c>
      <c r="BK23" s="9">
        <f>IF(59&lt;=核心参数输入!$B$9*4,MAX(0,BK21-BK22),0)</f>
        <v>502.3539935885151</v>
      </c>
      <c r="BL23" s="9">
        <f>IF(60&lt;=核心参数输入!$B$9*4,MAX(0,BL21-BL22),0)</f>
        <v>502.3539935885151</v>
      </c>
      <c r="BM23" s="9">
        <f>IF(61&lt;=核心参数输入!$B$9*4,MAX(0,BM21-BM22),0)</f>
        <v>509.88930349234266</v>
      </c>
      <c r="BN23" s="9">
        <f>IF(62&lt;=核心参数输入!$B$9*4,MAX(0,BN21-BN22),0)</f>
        <v>509.88930349234266</v>
      </c>
      <c r="BO23" s="9">
        <f>IF(63&lt;=核心参数输入!$B$9*4,MAX(0,BO21-BO22),0)</f>
        <v>509.88930349234266</v>
      </c>
      <c r="BP23" s="9">
        <f>IF(64&lt;=核心参数输入!$B$9*4,MAX(0,BP21-BP22),0)</f>
        <v>509.88930349234266</v>
      </c>
      <c r="BQ23" s="9">
        <f>IF(65&lt;=核心参数输入!$B$9*4,MAX(0,BQ21-BQ22),0)</f>
        <v>517.53764304472782</v>
      </c>
      <c r="BR23" s="9">
        <f>IF(66&lt;=核心参数输入!$B$9*4,MAX(0,BR21-BR22),0)</f>
        <v>517.53764304472782</v>
      </c>
      <c r="BS23" s="9">
        <f>IF(67&lt;=核心参数输入!$B$9*4,MAX(0,BS21-BS22),0)</f>
        <v>517.53764304472782</v>
      </c>
      <c r="BT23" s="9">
        <f>IF(68&lt;=核心参数输入!$B$9*4,MAX(0,BT21-BT22),0)</f>
        <v>517.53764304472782</v>
      </c>
      <c r="BU23" s="9">
        <f>IF(69&lt;=核心参数输入!$B$9*4,MAX(0,BU21-BU22),0)</f>
        <v>525.30070769039867</v>
      </c>
      <c r="BV23" s="9">
        <f>IF(70&lt;=核心参数输入!$B$9*4,MAX(0,BV21-BV22),0)</f>
        <v>525.30070769039867</v>
      </c>
      <c r="BW23" s="9">
        <f>IF(71&lt;=核心参数输入!$B$9*4,MAX(0,BW21-BW22),0)</f>
        <v>525.30070769039867</v>
      </c>
      <c r="BX23" s="9">
        <f>IF(72&lt;=核心参数输入!$B$9*4,MAX(0,BX21-BX22),0)</f>
        <v>525.30070769039867</v>
      </c>
      <c r="BY23" s="9">
        <f>IF(73&lt;=核心参数输入!$B$9*4,MAX(0,BY21-BY22),0)</f>
        <v>533.18021830575447</v>
      </c>
      <c r="BZ23" s="9">
        <f>IF(74&lt;=核心参数输入!$B$9*4,MAX(0,BZ21-BZ22),0)</f>
        <v>533.18021830575447</v>
      </c>
      <c r="CA23" s="9">
        <f>IF(75&lt;=核心参数输入!$B$9*4,MAX(0,CA21-CA22),0)</f>
        <v>533.18021830575447</v>
      </c>
      <c r="CB23" s="9">
        <f>IF(76&lt;=核心参数输入!$B$9*4,MAX(0,CB21-CB22),0)</f>
        <v>533.18021830575447</v>
      </c>
      <c r="CC23" s="9">
        <f>IF(77&lt;=核心参数输入!$B$9*4,MAX(0,CC21-CC22),0)</f>
        <v>541.17792158034069</v>
      </c>
      <c r="CD23" s="9">
        <f>IF(78&lt;=核心参数输入!$B$9*4,MAX(0,CD21-CD22),0)</f>
        <v>541.17792158034069</v>
      </c>
      <c r="CE23" s="9">
        <f>IF(79&lt;=核心参数输入!$B$9*4,MAX(0,CE21-CE22),0)</f>
        <v>541.17792158034069</v>
      </c>
      <c r="CF23" s="9">
        <f>IF(80&lt;=核心参数输入!$B$9*4,MAX(0,CF21-CF22),0)</f>
        <v>541.17792158034069</v>
      </c>
      <c r="CG23" s="9">
        <f>IF(81&lt;=核心参数输入!$B$9*4,MAX(0,CG21-CG22),0)</f>
        <v>0</v>
      </c>
      <c r="CH23" s="9">
        <f>IF(82&lt;=核心参数输入!$B$9*4,MAX(0,CH21-CH22),0)</f>
        <v>0</v>
      </c>
      <c r="CI23" s="9">
        <f>IF(83&lt;=核心参数输入!$B$9*4,MAX(0,CI21-CI22),0)</f>
        <v>0</v>
      </c>
      <c r="CJ23" s="9">
        <f>IF(84&lt;=核心参数输入!$B$9*4,MAX(0,CJ21-CJ22),0)</f>
        <v>0</v>
      </c>
      <c r="CK23" s="9">
        <f>IF(85&lt;=核心参数输入!$B$9*4,MAX(0,CK21-CK22),0)</f>
        <v>0</v>
      </c>
      <c r="CL23" s="9">
        <f>IF(86&lt;=核心参数输入!$B$9*4,MAX(0,CL21-CL22),0)</f>
        <v>0</v>
      </c>
      <c r="CM23" s="9">
        <f>IF(87&lt;=核心参数输入!$B$9*4,MAX(0,CM21-CM22),0)</f>
        <v>0</v>
      </c>
      <c r="CN23" s="9">
        <f>IF(88&lt;=核心参数输入!$B$9*4,MAX(0,CN21-CN22),0)</f>
        <v>0</v>
      </c>
      <c r="CO23" s="9">
        <f>IF(89&lt;=核心参数输入!$B$9*4,MAX(0,CO21-CO22),0)</f>
        <v>0</v>
      </c>
      <c r="CP23" s="9">
        <f>IF(90&lt;=核心参数输入!$B$9*4,MAX(0,CP21-CP22),0)</f>
        <v>0</v>
      </c>
      <c r="CQ23" s="9">
        <f>IF(91&lt;=核心参数输入!$B$9*4,MAX(0,CQ21-CQ22),0)</f>
        <v>0</v>
      </c>
      <c r="CR23" s="9">
        <f>IF(92&lt;=核心参数输入!$B$9*4,MAX(0,CR21-CR22),0)</f>
        <v>0</v>
      </c>
      <c r="CS23" s="9">
        <f>IF(93&lt;=核心参数输入!$B$9*4,MAX(0,CS21-CS22),0)</f>
        <v>0</v>
      </c>
      <c r="CT23" s="9">
        <f>IF(94&lt;=核心参数输入!$B$9*4,MAX(0,CT21-CT22),0)</f>
        <v>0</v>
      </c>
      <c r="CU23" s="9">
        <f>IF(95&lt;=核心参数输入!$B$9*4,MAX(0,CU21-CU22),0)</f>
        <v>0</v>
      </c>
      <c r="CV23" s="9">
        <f>IF(96&lt;=核心参数输入!$B$9*4,MAX(0,CV21-CV22),0)</f>
        <v>0</v>
      </c>
      <c r="CW23" s="9">
        <f>IF(97&lt;=核心参数输入!$B$9*4,MAX(0,CW21-CW22),0)</f>
        <v>0</v>
      </c>
      <c r="CX23" s="9">
        <f>IF(98&lt;=核心参数输入!$B$9*4,MAX(0,CX21-CX22),0)</f>
        <v>0</v>
      </c>
      <c r="CY23" s="9">
        <f>IF(99&lt;=核心参数输入!$B$9*4,MAX(0,CY21-CY22),0)</f>
        <v>0</v>
      </c>
      <c r="CZ23" s="9">
        <f>IF(100&lt;=核心参数输入!$B$9*4,MAX(0,CZ21-CZ22),0)</f>
        <v>0</v>
      </c>
      <c r="DA23" s="9">
        <f>IF(101&lt;=核心参数输入!$B$9*4,MAX(0,DA21-DA22),0)</f>
        <v>0</v>
      </c>
      <c r="DB23" s="9">
        <f>IF(102&lt;=核心参数输入!$B$9*4,MAX(0,DB21-DB22),0)</f>
        <v>0</v>
      </c>
      <c r="DC23" s="9">
        <f>IF(103&lt;=核心参数输入!$B$9*4,MAX(0,DC21-DC22),0)</f>
        <v>0</v>
      </c>
      <c r="DD23" s="9">
        <f>IF(104&lt;=核心参数输入!$B$9*4,MAX(0,DD21-DD22),0)</f>
        <v>0</v>
      </c>
      <c r="DE23" s="9">
        <f>IF(105&lt;=核心参数输入!$B$9*4,MAX(0,DE21-DE22),0)</f>
        <v>0</v>
      </c>
      <c r="DF23" s="9">
        <f>IF(106&lt;=核心参数输入!$B$9*4,MAX(0,DF21-DF22),0)</f>
        <v>0</v>
      </c>
      <c r="DG23" s="9">
        <f>IF(107&lt;=核心参数输入!$B$9*4,MAX(0,DG21-DG22),0)</f>
        <v>0</v>
      </c>
      <c r="DH23" s="9">
        <f>IF(108&lt;=核心参数输入!$B$9*4,MAX(0,DH21-DH22),0)</f>
        <v>0</v>
      </c>
      <c r="DI23" s="9">
        <f>IF(109&lt;=核心参数输入!$B$9*4,MAX(0,DI21-DI22),0)</f>
        <v>0</v>
      </c>
      <c r="DJ23" s="9">
        <f>IF(110&lt;=核心参数输入!$B$9*4,MAX(0,DJ21-DJ22),0)</f>
        <v>0</v>
      </c>
      <c r="DK23" s="9">
        <f>IF(111&lt;=核心参数输入!$B$9*4,MAX(0,DK21-DK22),0)</f>
        <v>0</v>
      </c>
      <c r="DL23" s="9">
        <f>IF(112&lt;=核心参数输入!$B$9*4,MAX(0,DL21-DL22),0)</f>
        <v>0</v>
      </c>
      <c r="DM23" s="9">
        <f>IF(113&lt;=核心参数输入!$B$9*4,MAX(0,DM21-DM22),0)</f>
        <v>0</v>
      </c>
      <c r="DN23" s="9">
        <f>IF(114&lt;=核心参数输入!$B$9*4,MAX(0,DN21-DN22),0)</f>
        <v>0</v>
      </c>
      <c r="DO23" s="9">
        <f>IF(115&lt;=核心参数输入!$B$9*4,MAX(0,DO21-DO22),0)</f>
        <v>0</v>
      </c>
      <c r="DP23" s="9">
        <f>IF(116&lt;=核心参数输入!$B$9*4,MAX(0,DP21-DP22),0)</f>
        <v>0</v>
      </c>
      <c r="DQ23" s="9">
        <f>IF(117&lt;=核心参数输入!$B$9*4,MAX(0,DQ21-DQ22),0)</f>
        <v>0</v>
      </c>
      <c r="DR23" s="9">
        <f>IF(118&lt;=核心参数输入!$B$9*4,MAX(0,DR21-DR22),0)</f>
        <v>0</v>
      </c>
      <c r="DS23" s="9">
        <f>IF(119&lt;=核心参数输入!$B$9*4,MAX(0,DS21-DS22),0)</f>
        <v>0</v>
      </c>
      <c r="DT23" s="9">
        <f>IF(120&lt;=核心参数输入!$B$9*4,MAX(0,DT21-DT22),0)</f>
        <v>0</v>
      </c>
    </row>
    <row r="24" spans="1:124" ht="21" customHeight="1">
      <c r="A24" s="8" t="s">
        <v>460</v>
      </c>
      <c r="B24" s="8" t="s">
        <v>39</v>
      </c>
      <c r="C24" s="8"/>
      <c r="D24" s="9">
        <f>IF(0&lt;=核心参数输入!$B$9*4,D23*(1-核心参数输入!$B$43)/(1+IF(核心参数输入!$B$96=2,核心参数输入!$B$119,0)),0)</f>
        <v>0</v>
      </c>
      <c r="E24" s="9">
        <f>IF(1&lt;=核心参数输入!$B$9*4,E23*(1-核心参数输入!$B$43)/(1+IF(核心参数输入!$B$96=2,核心参数输入!$B$119,0)),0)</f>
        <v>0</v>
      </c>
      <c r="F24" s="9">
        <f>IF(2&lt;=核心参数输入!$B$9*4,F23*(1-核心参数输入!$B$43)/(1+IF(核心参数输入!$B$96=2,核心参数输入!$B$119,0)),0)</f>
        <v>0</v>
      </c>
      <c r="G24" s="9">
        <f>IF(3&lt;=核心参数输入!$B$9*4,G23*(1-核心参数输入!$B$43)/(1+IF(核心参数输入!$B$96=2,核心参数输入!$B$119,0)),0)</f>
        <v>0</v>
      </c>
      <c r="H24" s="9">
        <f>IF(4&lt;=核心参数输入!$B$9*4,H23*(1-核心参数输入!$B$43)/(1+IF(核心参数输入!$B$96=2,核心参数输入!$B$119,0)),0)</f>
        <v>0</v>
      </c>
      <c r="I24" s="9">
        <f>IF(5&lt;=核心参数输入!$B$9*4,I23*(1-核心参数输入!$B$43)/(1+IF(核心参数输入!$B$96=2,核心参数输入!$B$119,0)),0)</f>
        <v>0</v>
      </c>
      <c r="J24" s="9">
        <f>IF(6&lt;=核心参数输入!$B$9*4,J23*(1-核心参数输入!$B$43)/(1+IF(核心参数输入!$B$96=2,核心参数输入!$B$119,0)),0)</f>
        <v>0</v>
      </c>
      <c r="K24" s="9">
        <f>IF(7&lt;=核心参数输入!$B$9*4,K23*(1-核心参数输入!$B$43)/(1+IF(核心参数输入!$B$96=2,核心参数输入!$B$119,0)),0)</f>
        <v>0</v>
      </c>
      <c r="L24" s="9">
        <f>IF(8&lt;=核心参数输入!$B$9*4,L23*(1-核心参数输入!$B$43)/(1+IF(核心参数输入!$B$96=2,核心参数输入!$B$119,0)),0)</f>
        <v>0</v>
      </c>
      <c r="M24" s="9">
        <f>IF(9&lt;=核心参数输入!$B$9*4,M23*(1-核心参数输入!$B$43)/(1+IF(核心参数输入!$B$96=2,核心参数输入!$B$119,0)),0)</f>
        <v>0</v>
      </c>
      <c r="N24" s="9">
        <f>IF(10&lt;=核心参数输入!$B$9*4,N23*(1-核心参数输入!$B$43)/(1+IF(核心参数输入!$B$96=2,核心参数输入!$B$119,0)),0)</f>
        <v>0</v>
      </c>
      <c r="O24" s="9">
        <f>IF(11&lt;=核心参数输入!$B$9*4,O23*(1-核心参数输入!$B$43)/(1+IF(核心参数输入!$B$96=2,核心参数输入!$B$119,0)),0)</f>
        <v>0</v>
      </c>
      <c r="P24" s="9">
        <f>IF(12&lt;=核心参数输入!$B$9*4,P23*(1-核心参数输入!$B$43)/(1+IF(核心参数输入!$B$96=2,核心参数输入!$B$119,0)),0)</f>
        <v>0</v>
      </c>
      <c r="Q24" s="9">
        <f>IF(13&lt;=核心参数输入!$B$9*4,Q23*(1-核心参数输入!$B$43)/(1+IF(核心参数输入!$B$96=2,核心参数输入!$B$119,0)),0)</f>
        <v>0</v>
      </c>
      <c r="R24" s="9">
        <f>IF(14&lt;=核心参数输入!$B$9*4,R23*(1-核心参数输入!$B$43)/(1+IF(核心参数输入!$B$96=2,核心参数输入!$B$119,0)),0)</f>
        <v>0.59231250000000046</v>
      </c>
      <c r="S24" s="9">
        <f>IF(15&lt;=核心参数输入!$B$9*4,S23*(1-核心参数输入!$B$43)/(1+IF(核心参数输入!$B$96=2,核心参数输入!$B$119,0)),0)</f>
        <v>1.7769375000000009</v>
      </c>
      <c r="T24" s="9">
        <f>IF(16&lt;=核心参数输入!$B$9*4,T23*(1-核心参数输入!$B$43)/(1+IF(核心参数输入!$B$96=2,核心参数输入!$B$119,0)),0)</f>
        <v>2.9615625000000021</v>
      </c>
      <c r="U24" s="9">
        <f>IF(17&lt;=核心参数输入!$B$9*4,U23*(1-核心参数输入!$B$43)/(1+IF(核心参数输入!$B$96=2,核心参数输入!$B$119,0)),0)</f>
        <v>4.2083803125000028</v>
      </c>
      <c r="V24" s="9">
        <f>IF(18&lt;=核心参数输入!$B$9*4,V23*(1-核心参数输入!$B$43)/(1+IF(核心参数输入!$B$96=2,核心参数输入!$B$119,0)),0)</f>
        <v>5.050056375000004</v>
      </c>
      <c r="W24" s="9">
        <f>IF(19&lt;=核心参数输入!$B$9*4,W23*(1-核心参数输入!$B$43)/(1+IF(核心参数输入!$B$96=2,核心参数输入!$B$119,0)),0)</f>
        <v>5.531014125000004</v>
      </c>
      <c r="X24" s="9">
        <f>IF(20&lt;=核心参数输入!$B$9*4,X23*(1-核心参数输入!$B$43)/(1+IF(核心参数输入!$B$96=2,核心参数输入!$B$119,0)),0)</f>
        <v>6.0119718750000031</v>
      </c>
      <c r="Y24" s="9">
        <f>IF(21&lt;=核心参数输入!$B$9*4,Y23*(1-核心参数输入!$B$43)/(1+IF(核心参数输入!$B$96=2,核心参数输入!$B$119,0)),0)</f>
        <v>6.5903235693750037</v>
      </c>
      <c r="Z24" s="9">
        <f>IF(22&lt;=核心参数输入!$B$9*4,Z23*(1-核心参数输入!$B$43)/(1+IF(核心参数输入!$B$96=2,核心参数输入!$B$119,0)),0)</f>
        <v>7.0174741710937525</v>
      </c>
      <c r="AA24" s="9">
        <f>IF(23&lt;=核心参数输入!$B$9*4,AA23*(1-核心参数输入!$B$43)/(1+IF(核心参数输入!$B$96=2,核心参数输入!$B$119,0)),0)</f>
        <v>7.3836032582812532</v>
      </c>
      <c r="AB24" s="9">
        <f>IF(24&lt;=核心参数输入!$B$9*4,AB23*(1-核心参数输入!$B$43)/(1+IF(核心参数输入!$B$96=2,核心参数输入!$B$119,0)),0)</f>
        <v>7.7497323454687539</v>
      </c>
      <c r="AC24" s="9">
        <f>IF(25&lt;=核心参数输入!$B$9*4,AC23*(1-核心参数输入!$B$43)/(1+IF(核心参数输入!$B$96=2,核心参数输入!$B$119,0)),0)</f>
        <v>8.2375993541460986</v>
      </c>
      <c r="AD24" s="9">
        <f>IF(26&lt;=核心参数输入!$B$9*4,AD23*(1-核心参数输入!$B$43)/(1+IF(核心参数输入!$B$96=2,核心参数输入!$B$119,0)),0)</f>
        <v>8.485346703142973</v>
      </c>
      <c r="AE24" s="9">
        <f>IF(27&lt;=核心参数输入!$B$9*4,AE23*(1-核心参数输入!$B$43)/(1+IF(核心参数输入!$B$96=2,核心参数输入!$B$119,0)),0)</f>
        <v>8.6092203776414102</v>
      </c>
      <c r="AF24" s="9">
        <f>IF(28&lt;=核心参数输入!$B$9*4,AF23*(1-核心参数输入!$B$43)/(1+IF(核心参数输入!$B$96=2,核心参数输入!$B$119,0)),0)</f>
        <v>8.7330940521398457</v>
      </c>
      <c r="AG24" s="9">
        <f>IF(29&lt;=核心参数输入!$B$9*4,AG23*(1-核心参数输入!$B$43)/(1+IF(核心参数输入!$B$96=2,核心参数输入!$B$119,0)),0)</f>
        <v>8.9898222425378567</v>
      </c>
      <c r="AH24" s="9">
        <f>IF(30&lt;=核心参数输入!$B$9*4,AH23*(1-核心参数输入!$B$43)/(1+IF(核心参数输入!$B$96=2,核心参数输入!$B$119,0)),0)</f>
        <v>9.0526881323458142</v>
      </c>
      <c r="AI24" s="9">
        <f>IF(31&lt;=核心参数输入!$B$9*4,AI23*(1-核心参数输入!$B$43)/(1+IF(核心参数输入!$B$96=2,核心参数输入!$B$119,0)),0)</f>
        <v>9.0526881323458142</v>
      </c>
      <c r="AJ24" s="9">
        <f>IF(32&lt;=核心参数输入!$B$9*4,AJ23*(1-核心参数输入!$B$43)/(1+IF(核心参数输入!$B$96=2,核心参数输入!$B$119,0)),0)</f>
        <v>9.0526881323458142</v>
      </c>
      <c r="AK24" s="9">
        <f>IF(33&lt;=核心参数输入!$B$9*4,AK23*(1-核心参数输入!$B$43)/(1+IF(核心参数输入!$B$96=2,核心参数输入!$B$119,0)),0)</f>
        <v>9.1884784543310012</v>
      </c>
      <c r="AL24" s="9">
        <f>IF(34&lt;=核心参数输入!$B$9*4,AL23*(1-核心参数输入!$B$43)/(1+IF(核心参数输入!$B$96=2,核心参数输入!$B$119,0)),0)</f>
        <v>9.1884784543310012</v>
      </c>
      <c r="AM24" s="9">
        <f>IF(35&lt;=核心参数输入!$B$9*4,AM23*(1-核心参数输入!$B$43)/(1+IF(核心参数输入!$B$96=2,核心参数输入!$B$119,0)),0)</f>
        <v>9.1884784543310012</v>
      </c>
      <c r="AN24" s="9">
        <f>IF(36&lt;=核心参数输入!$B$9*4,AN23*(1-核心参数输入!$B$43)/(1+IF(核心参数输入!$B$96=2,核心参数输入!$B$119,0)),0)</f>
        <v>9.1884784543310012</v>
      </c>
      <c r="AO24" s="9">
        <f>IF(37&lt;=核心参数输入!$B$9*4,AO23*(1-核心参数输入!$B$43)/(1+IF(核心参数输入!$B$96=2,核心参数输入!$B$119,0)),0)</f>
        <v>9.3263056311459636</v>
      </c>
      <c r="AP24" s="9">
        <f>IF(38&lt;=核心参数输入!$B$9*4,AP23*(1-核心参数输入!$B$43)/(1+IF(核心参数输入!$B$96=2,核心参数输入!$B$119,0)),0)</f>
        <v>9.3263056311459636</v>
      </c>
      <c r="AQ24" s="9">
        <f>IF(39&lt;=核心参数输入!$B$9*4,AQ23*(1-核心参数输入!$B$43)/(1+IF(核心参数输入!$B$96=2,核心参数输入!$B$119,0)),0)</f>
        <v>9.3263056311459636</v>
      </c>
      <c r="AR24" s="9">
        <f>IF(40&lt;=核心参数输入!$B$9*4,AR23*(1-核心参数输入!$B$43)/(1+IF(核心参数输入!$B$96=2,核心参数输入!$B$119,0)),0)</f>
        <v>9.3263056311459636</v>
      </c>
      <c r="AS24" s="9">
        <f>IF(41&lt;=核心参数输入!$B$9*4,AS23*(1-核心参数输入!$B$43)/(1+IF(核心参数输入!$B$96=2,核心参数输入!$B$119,0)),0)</f>
        <v>9.4662002156131528</v>
      </c>
      <c r="AT24" s="9">
        <f>IF(42&lt;=核心参数输入!$B$9*4,AT23*(1-核心参数输入!$B$43)/(1+IF(核心参数输入!$B$96=2,核心参数输入!$B$119,0)),0)</f>
        <v>9.4662002156131528</v>
      </c>
      <c r="AU24" s="9">
        <f>IF(43&lt;=核心参数输入!$B$9*4,AU23*(1-核心参数输入!$B$43)/(1+IF(核心参数输入!$B$96=2,核心参数输入!$B$119,0)),0)</f>
        <v>9.4662002156131528</v>
      </c>
      <c r="AV24" s="9">
        <f>IF(44&lt;=核心参数输入!$B$9*4,AV23*(1-核心参数输入!$B$43)/(1+IF(核心参数输入!$B$96=2,核心参数输入!$B$119,0)),0)</f>
        <v>9.4662002156131528</v>
      </c>
      <c r="AW24" s="9">
        <f>IF(45&lt;=核心参数输入!$B$9*4,AW23*(1-核心参数输入!$B$43)/(1+IF(核心参数输入!$B$96=2,核心参数输入!$B$119,0)),0)</f>
        <v>9.6081932188473491</v>
      </c>
      <c r="AX24" s="9">
        <f>IF(46&lt;=核心参数输入!$B$9*4,AX23*(1-核心参数输入!$B$43)/(1+IF(核心参数输入!$B$96=2,核心参数输入!$B$119,0)),0)</f>
        <v>9.6081932188473491</v>
      </c>
      <c r="AY24" s="9">
        <f>IF(47&lt;=核心参数输入!$B$9*4,AY23*(1-核心参数输入!$B$43)/(1+IF(核心参数输入!$B$96=2,核心参数输入!$B$119,0)),0)</f>
        <v>9.6081932188473491</v>
      </c>
      <c r="AZ24" s="9">
        <f>IF(48&lt;=核心参数输入!$B$9*4,AZ23*(1-核心参数输入!$B$43)/(1+IF(核心参数输入!$B$96=2,核心参数输入!$B$119,0)),0)</f>
        <v>9.6081932188473491</v>
      </c>
      <c r="BA24" s="9">
        <f>IF(49&lt;=核心参数输入!$B$9*4,BA23*(1-核心参数输入!$B$43)/(1+IF(核心参数输入!$B$96=2,核心参数输入!$B$119,0)),0)</f>
        <v>9.7523161171300572</v>
      </c>
      <c r="BB24" s="9">
        <f>IF(50&lt;=核心参数输入!$B$9*4,BB23*(1-核心参数输入!$B$43)/(1+IF(核心参数输入!$B$96=2,核心参数输入!$B$119,0)),0)</f>
        <v>9.7523161171300572</v>
      </c>
      <c r="BC24" s="9">
        <f>IF(51&lt;=核心参数输入!$B$9*4,BC23*(1-核心参数输入!$B$43)/(1+IF(核心参数输入!$B$96=2,核心参数输入!$B$119,0)),0)</f>
        <v>9.7523161171300572</v>
      </c>
      <c r="BD24" s="9">
        <f>IF(52&lt;=核心参数输入!$B$9*4,BD23*(1-核心参数输入!$B$43)/(1+IF(核心参数输入!$B$96=2,核心参数输入!$B$119,0)),0)</f>
        <v>9.7523161171300572</v>
      </c>
      <c r="BE24" s="9">
        <f>IF(53&lt;=核心参数输入!$B$9*4,BE23*(1-核心参数输入!$B$43)/(1+IF(核心参数输入!$B$96=2,核心参数输入!$B$119,0)),0)</f>
        <v>9.8986008588870078</v>
      </c>
      <c r="BF24" s="9">
        <f>IF(54&lt;=核心参数输入!$B$9*4,BF23*(1-核心参数输入!$B$43)/(1+IF(核心参数输入!$B$96=2,核心参数输入!$B$119,0)),0)</f>
        <v>9.8986008588870078</v>
      </c>
      <c r="BG24" s="9">
        <f>IF(55&lt;=核心参数输入!$B$9*4,BG23*(1-核心参数输入!$B$43)/(1+IF(核心参数输入!$B$96=2,核心参数输入!$B$119,0)),0)</f>
        <v>9.8986008588870078</v>
      </c>
      <c r="BH24" s="9">
        <f>IF(56&lt;=核心参数输入!$B$9*4,BH23*(1-核心参数输入!$B$43)/(1+IF(核心参数输入!$B$96=2,核心参数输入!$B$119,0)),0)</f>
        <v>9.8986008588870078</v>
      </c>
      <c r="BI24" s="9">
        <f>IF(57&lt;=核心参数输入!$B$9*4,BI23*(1-核心参数输入!$B$43)/(1+IF(核心参数输入!$B$96=2,核心参数输入!$B$119,0)),0)</f>
        <v>10.047079871770311</v>
      </c>
      <c r="BJ24" s="9">
        <f>IF(58&lt;=核心参数输入!$B$9*4,BJ23*(1-核心参数输入!$B$43)/(1+IF(核心参数输入!$B$96=2,核心参数输入!$B$119,0)),0)</f>
        <v>10.047079871770311</v>
      </c>
      <c r="BK24" s="9">
        <f>IF(59&lt;=核心参数输入!$B$9*4,BK23*(1-核心参数输入!$B$43)/(1+IF(核心参数输入!$B$96=2,核心参数输入!$B$119,0)),0)</f>
        <v>10.047079871770311</v>
      </c>
      <c r="BL24" s="9">
        <f>IF(60&lt;=核心参数输入!$B$9*4,BL23*(1-核心参数输入!$B$43)/(1+IF(核心参数输入!$B$96=2,核心参数输入!$B$119,0)),0)</f>
        <v>10.047079871770311</v>
      </c>
      <c r="BM24" s="9">
        <f>IF(61&lt;=核心参数输入!$B$9*4,BM23*(1-核心参数输入!$B$43)/(1+IF(核心参数输入!$B$96=2,核心参数输入!$B$119,0)),0)</f>
        <v>10.197786069846861</v>
      </c>
      <c r="BN24" s="9">
        <f>IF(62&lt;=核心参数输入!$B$9*4,BN23*(1-核心参数输入!$B$43)/(1+IF(核心参数输入!$B$96=2,核心参数输入!$B$119,0)),0)</f>
        <v>10.197786069846861</v>
      </c>
      <c r="BO24" s="9">
        <f>IF(63&lt;=核心参数输入!$B$9*4,BO23*(1-核心参数输入!$B$43)/(1+IF(核心参数输入!$B$96=2,核心参数输入!$B$119,0)),0)</f>
        <v>10.197786069846861</v>
      </c>
      <c r="BP24" s="9">
        <f>IF(64&lt;=核心参数输入!$B$9*4,BP23*(1-核心参数输入!$B$43)/(1+IF(核心参数输入!$B$96=2,核心参数输入!$B$119,0)),0)</f>
        <v>10.197786069846861</v>
      </c>
      <c r="BQ24" s="9">
        <f>IF(65&lt;=核心参数输入!$B$9*4,BQ23*(1-核心参数输入!$B$43)/(1+IF(核心参数输入!$B$96=2,核心参数输入!$B$119,0)),0)</f>
        <v>10.350752860894566</v>
      </c>
      <c r="BR24" s="9">
        <f>IF(66&lt;=核心参数输入!$B$9*4,BR23*(1-核心参数输入!$B$43)/(1+IF(核心参数输入!$B$96=2,核心参数输入!$B$119,0)),0)</f>
        <v>10.350752860894566</v>
      </c>
      <c r="BS24" s="9">
        <f>IF(67&lt;=核心参数输入!$B$9*4,BS23*(1-核心参数输入!$B$43)/(1+IF(核心参数输入!$B$96=2,核心参数输入!$B$119,0)),0)</f>
        <v>10.350752860894566</v>
      </c>
      <c r="BT24" s="9">
        <f>IF(68&lt;=核心参数输入!$B$9*4,BT23*(1-核心参数输入!$B$43)/(1+IF(核心参数输入!$B$96=2,核心参数输入!$B$119,0)),0)</f>
        <v>10.350752860894566</v>
      </c>
      <c r="BU24" s="9">
        <f>IF(69&lt;=核心参数输入!$B$9*4,BU23*(1-核心参数输入!$B$43)/(1+IF(核心参数输入!$B$96=2,核心参数输入!$B$119,0)),0)</f>
        <v>10.506014153807982</v>
      </c>
      <c r="BV24" s="9">
        <f>IF(70&lt;=核心参数输入!$B$9*4,BV23*(1-核心参数输入!$B$43)/(1+IF(核心参数输入!$B$96=2,核心参数输入!$B$119,0)),0)</f>
        <v>10.506014153807982</v>
      </c>
      <c r="BW24" s="9">
        <f>IF(71&lt;=核心参数输入!$B$9*4,BW23*(1-核心参数输入!$B$43)/(1+IF(核心参数输入!$B$96=2,核心参数输入!$B$119,0)),0)</f>
        <v>10.506014153807982</v>
      </c>
      <c r="BX24" s="9">
        <f>IF(72&lt;=核心参数输入!$B$9*4,BX23*(1-核心参数输入!$B$43)/(1+IF(核心参数输入!$B$96=2,核心参数输入!$B$119,0)),0)</f>
        <v>10.506014153807982</v>
      </c>
      <c r="BY24" s="9">
        <f>IF(73&lt;=核心参数输入!$B$9*4,BY23*(1-核心参数输入!$B$43)/(1+IF(核心参数输入!$B$96=2,核心参数输入!$B$119,0)),0)</f>
        <v>10.663604366115099</v>
      </c>
      <c r="BZ24" s="9">
        <f>IF(74&lt;=核心参数输入!$B$9*4,BZ23*(1-核心参数输入!$B$43)/(1+IF(核心参数输入!$B$96=2,核心参数输入!$B$119,0)),0)</f>
        <v>10.663604366115099</v>
      </c>
      <c r="CA24" s="9">
        <f>IF(75&lt;=核心参数输入!$B$9*4,CA23*(1-核心参数输入!$B$43)/(1+IF(核心参数输入!$B$96=2,核心参数输入!$B$119,0)),0)</f>
        <v>10.663604366115099</v>
      </c>
      <c r="CB24" s="9">
        <f>IF(76&lt;=核心参数输入!$B$9*4,CB23*(1-核心参数输入!$B$43)/(1+IF(核心参数输入!$B$96=2,核心参数输入!$B$119,0)),0)</f>
        <v>10.663604366115099</v>
      </c>
      <c r="CC24" s="9">
        <f>IF(77&lt;=核心参数输入!$B$9*4,CC23*(1-核心参数输入!$B$43)/(1+IF(核心参数输入!$B$96=2,核心参数输入!$B$119,0)),0)</f>
        <v>10.823558431606823</v>
      </c>
      <c r="CD24" s="9">
        <f>IF(78&lt;=核心参数输入!$B$9*4,CD23*(1-核心参数输入!$B$43)/(1+IF(核心参数输入!$B$96=2,核心参数输入!$B$119,0)),0)</f>
        <v>10.823558431606823</v>
      </c>
      <c r="CE24" s="9">
        <f>IF(79&lt;=核心参数输入!$B$9*4,CE23*(1-核心参数输入!$B$43)/(1+IF(核心参数输入!$B$96=2,核心参数输入!$B$119,0)),0)</f>
        <v>10.823558431606823</v>
      </c>
      <c r="CF24" s="9">
        <f>IF(80&lt;=核心参数输入!$B$9*4,CF23*(1-核心参数输入!$B$43)/(1+IF(核心参数输入!$B$96=2,核心参数输入!$B$119,0)),0)</f>
        <v>10.823558431606823</v>
      </c>
      <c r="CG24" s="9">
        <f>IF(81&lt;=核心参数输入!$B$9*4,CG23*(1-核心参数输入!$B$43)/(1+IF(核心参数输入!$B$96=2,核心参数输入!$B$119,0)),0)</f>
        <v>0</v>
      </c>
      <c r="CH24" s="9">
        <f>IF(82&lt;=核心参数输入!$B$9*4,CH23*(1-核心参数输入!$B$43)/(1+IF(核心参数输入!$B$96=2,核心参数输入!$B$119,0)),0)</f>
        <v>0</v>
      </c>
      <c r="CI24" s="9">
        <f>IF(83&lt;=核心参数输入!$B$9*4,CI23*(1-核心参数输入!$B$43)/(1+IF(核心参数输入!$B$96=2,核心参数输入!$B$119,0)),0)</f>
        <v>0</v>
      </c>
      <c r="CJ24" s="9">
        <f>IF(84&lt;=核心参数输入!$B$9*4,CJ23*(1-核心参数输入!$B$43)/(1+IF(核心参数输入!$B$96=2,核心参数输入!$B$119,0)),0)</f>
        <v>0</v>
      </c>
      <c r="CK24" s="9">
        <f>IF(85&lt;=核心参数输入!$B$9*4,CK23*(1-核心参数输入!$B$43)/(1+IF(核心参数输入!$B$96=2,核心参数输入!$B$119,0)),0)</f>
        <v>0</v>
      </c>
      <c r="CL24" s="9">
        <f>IF(86&lt;=核心参数输入!$B$9*4,CL23*(1-核心参数输入!$B$43)/(1+IF(核心参数输入!$B$96=2,核心参数输入!$B$119,0)),0)</f>
        <v>0</v>
      </c>
      <c r="CM24" s="9">
        <f>IF(87&lt;=核心参数输入!$B$9*4,CM23*(1-核心参数输入!$B$43)/(1+IF(核心参数输入!$B$96=2,核心参数输入!$B$119,0)),0)</f>
        <v>0</v>
      </c>
      <c r="CN24" s="9">
        <f>IF(88&lt;=核心参数输入!$B$9*4,CN23*(1-核心参数输入!$B$43)/(1+IF(核心参数输入!$B$96=2,核心参数输入!$B$119,0)),0)</f>
        <v>0</v>
      </c>
      <c r="CO24" s="9">
        <f>IF(89&lt;=核心参数输入!$B$9*4,CO23*(1-核心参数输入!$B$43)/(1+IF(核心参数输入!$B$96=2,核心参数输入!$B$119,0)),0)</f>
        <v>0</v>
      </c>
      <c r="CP24" s="9">
        <f>IF(90&lt;=核心参数输入!$B$9*4,CP23*(1-核心参数输入!$B$43)/(1+IF(核心参数输入!$B$96=2,核心参数输入!$B$119,0)),0)</f>
        <v>0</v>
      </c>
      <c r="CQ24" s="9">
        <f>IF(91&lt;=核心参数输入!$B$9*4,CQ23*(1-核心参数输入!$B$43)/(1+IF(核心参数输入!$B$96=2,核心参数输入!$B$119,0)),0)</f>
        <v>0</v>
      </c>
      <c r="CR24" s="9">
        <f>IF(92&lt;=核心参数输入!$B$9*4,CR23*(1-核心参数输入!$B$43)/(1+IF(核心参数输入!$B$96=2,核心参数输入!$B$119,0)),0)</f>
        <v>0</v>
      </c>
      <c r="CS24" s="9">
        <f>IF(93&lt;=核心参数输入!$B$9*4,CS23*(1-核心参数输入!$B$43)/(1+IF(核心参数输入!$B$96=2,核心参数输入!$B$119,0)),0)</f>
        <v>0</v>
      </c>
      <c r="CT24" s="9">
        <f>IF(94&lt;=核心参数输入!$B$9*4,CT23*(1-核心参数输入!$B$43)/(1+IF(核心参数输入!$B$96=2,核心参数输入!$B$119,0)),0)</f>
        <v>0</v>
      </c>
      <c r="CU24" s="9">
        <f>IF(95&lt;=核心参数输入!$B$9*4,CU23*(1-核心参数输入!$B$43)/(1+IF(核心参数输入!$B$96=2,核心参数输入!$B$119,0)),0)</f>
        <v>0</v>
      </c>
      <c r="CV24" s="9">
        <f>IF(96&lt;=核心参数输入!$B$9*4,CV23*(1-核心参数输入!$B$43)/(1+IF(核心参数输入!$B$96=2,核心参数输入!$B$119,0)),0)</f>
        <v>0</v>
      </c>
      <c r="CW24" s="9">
        <f>IF(97&lt;=核心参数输入!$B$9*4,CW23*(1-核心参数输入!$B$43)/(1+IF(核心参数输入!$B$96=2,核心参数输入!$B$119,0)),0)</f>
        <v>0</v>
      </c>
      <c r="CX24" s="9">
        <f>IF(98&lt;=核心参数输入!$B$9*4,CX23*(1-核心参数输入!$B$43)/(1+IF(核心参数输入!$B$96=2,核心参数输入!$B$119,0)),0)</f>
        <v>0</v>
      </c>
      <c r="CY24" s="9">
        <f>IF(99&lt;=核心参数输入!$B$9*4,CY23*(1-核心参数输入!$B$43)/(1+IF(核心参数输入!$B$96=2,核心参数输入!$B$119,0)),0)</f>
        <v>0</v>
      </c>
      <c r="CZ24" s="9">
        <f>IF(100&lt;=核心参数输入!$B$9*4,CZ23*(1-核心参数输入!$B$43)/(1+IF(核心参数输入!$B$96=2,核心参数输入!$B$119,0)),0)</f>
        <v>0</v>
      </c>
      <c r="DA24" s="9">
        <f>IF(101&lt;=核心参数输入!$B$9*4,DA23*(1-核心参数输入!$B$43)/(1+IF(核心参数输入!$B$96=2,核心参数输入!$B$119,0)),0)</f>
        <v>0</v>
      </c>
      <c r="DB24" s="9">
        <f>IF(102&lt;=核心参数输入!$B$9*4,DB23*(1-核心参数输入!$B$43)/(1+IF(核心参数输入!$B$96=2,核心参数输入!$B$119,0)),0)</f>
        <v>0</v>
      </c>
      <c r="DC24" s="9">
        <f>IF(103&lt;=核心参数输入!$B$9*4,DC23*(1-核心参数输入!$B$43)/(1+IF(核心参数输入!$B$96=2,核心参数输入!$B$119,0)),0)</f>
        <v>0</v>
      </c>
      <c r="DD24" s="9">
        <f>IF(104&lt;=核心参数输入!$B$9*4,DD23*(1-核心参数输入!$B$43)/(1+IF(核心参数输入!$B$96=2,核心参数输入!$B$119,0)),0)</f>
        <v>0</v>
      </c>
      <c r="DE24" s="9">
        <f>IF(105&lt;=核心参数输入!$B$9*4,DE23*(1-核心参数输入!$B$43)/(1+IF(核心参数输入!$B$96=2,核心参数输入!$B$119,0)),0)</f>
        <v>0</v>
      </c>
      <c r="DF24" s="9">
        <f>IF(106&lt;=核心参数输入!$B$9*4,DF23*(1-核心参数输入!$B$43)/(1+IF(核心参数输入!$B$96=2,核心参数输入!$B$119,0)),0)</f>
        <v>0</v>
      </c>
      <c r="DG24" s="9">
        <f>IF(107&lt;=核心参数输入!$B$9*4,DG23*(1-核心参数输入!$B$43)/(1+IF(核心参数输入!$B$96=2,核心参数输入!$B$119,0)),0)</f>
        <v>0</v>
      </c>
      <c r="DH24" s="9">
        <f>IF(108&lt;=核心参数输入!$B$9*4,DH23*(1-核心参数输入!$B$43)/(1+IF(核心参数输入!$B$96=2,核心参数输入!$B$119,0)),0)</f>
        <v>0</v>
      </c>
      <c r="DI24" s="9">
        <f>IF(109&lt;=核心参数输入!$B$9*4,DI23*(1-核心参数输入!$B$43)/(1+IF(核心参数输入!$B$96=2,核心参数输入!$B$119,0)),0)</f>
        <v>0</v>
      </c>
      <c r="DJ24" s="9">
        <f>IF(110&lt;=核心参数输入!$B$9*4,DJ23*(1-核心参数输入!$B$43)/(1+IF(核心参数输入!$B$96=2,核心参数输入!$B$119,0)),0)</f>
        <v>0</v>
      </c>
      <c r="DK24" s="9">
        <f>IF(111&lt;=核心参数输入!$B$9*4,DK23*(1-核心参数输入!$B$43)/(1+IF(核心参数输入!$B$96=2,核心参数输入!$B$119,0)),0)</f>
        <v>0</v>
      </c>
      <c r="DL24" s="9">
        <f>IF(112&lt;=核心参数输入!$B$9*4,DL23*(1-核心参数输入!$B$43)/(1+IF(核心参数输入!$B$96=2,核心参数输入!$B$119,0)),0)</f>
        <v>0</v>
      </c>
      <c r="DM24" s="9">
        <f>IF(113&lt;=核心参数输入!$B$9*4,DM23*(1-核心参数输入!$B$43)/(1+IF(核心参数输入!$B$96=2,核心参数输入!$B$119,0)),0)</f>
        <v>0</v>
      </c>
      <c r="DN24" s="9">
        <f>IF(114&lt;=核心参数输入!$B$9*4,DN23*(1-核心参数输入!$B$43)/(1+IF(核心参数输入!$B$96=2,核心参数输入!$B$119,0)),0)</f>
        <v>0</v>
      </c>
      <c r="DO24" s="9">
        <f>IF(115&lt;=核心参数输入!$B$9*4,DO23*(1-核心参数输入!$B$43)/(1+IF(核心参数输入!$B$96=2,核心参数输入!$B$119,0)),0)</f>
        <v>0</v>
      </c>
      <c r="DP24" s="9">
        <f>IF(116&lt;=核心参数输入!$B$9*4,DP23*(1-核心参数输入!$B$43)/(1+IF(核心参数输入!$B$96=2,核心参数输入!$B$119,0)),0)</f>
        <v>0</v>
      </c>
      <c r="DQ24" s="9">
        <f>IF(117&lt;=核心参数输入!$B$9*4,DQ23*(1-核心参数输入!$B$43)/(1+IF(核心参数输入!$B$96=2,核心参数输入!$B$119,0)),0)</f>
        <v>0</v>
      </c>
      <c r="DR24" s="9">
        <f>IF(118&lt;=核心参数输入!$B$9*4,DR23*(1-核心参数输入!$B$43)/(1+IF(核心参数输入!$B$96=2,核心参数输入!$B$119,0)),0)</f>
        <v>0</v>
      </c>
      <c r="DS24" s="9">
        <f>IF(119&lt;=核心参数输入!$B$9*4,DS23*(1-核心参数输入!$B$43)/(1+IF(核心参数输入!$B$96=2,核心参数输入!$B$119,0)),0)</f>
        <v>0</v>
      </c>
      <c r="DT24" s="9">
        <f>IF(120&lt;=核心参数输入!$B$9*4,DT23*(1-核心参数输入!$B$43)/(1+IF(核心参数输入!$B$96=2,核心参数输入!$B$119,0)),0)</f>
        <v>0</v>
      </c>
    </row>
    <row r="25" spans="1:124" ht="21" customHeight="1">
      <c r="A25" s="8" t="s">
        <v>461</v>
      </c>
      <c r="B25" s="8" t="s">
        <v>39</v>
      </c>
      <c r="C25" s="8"/>
      <c r="D25" s="9">
        <f>IF(0&lt;=核心参数输入!$B$9*4,D23*核心参数输入!$B$43,0)</f>
        <v>0</v>
      </c>
      <c r="E25" s="9">
        <f>IF(1&lt;=核心参数输入!$B$9*4,E23*核心参数输入!$B$43,0)</f>
        <v>0</v>
      </c>
      <c r="F25" s="9">
        <f>IF(2&lt;=核心参数输入!$B$9*4,F23*核心参数输入!$B$43,0)</f>
        <v>0</v>
      </c>
      <c r="G25" s="9">
        <f>IF(3&lt;=核心参数输入!$B$9*4,G23*核心参数输入!$B$43,0)</f>
        <v>0</v>
      </c>
      <c r="H25" s="9">
        <f>IF(4&lt;=核心参数输入!$B$9*4,H23*核心参数输入!$B$43,0)</f>
        <v>0</v>
      </c>
      <c r="I25" s="9">
        <f>IF(5&lt;=核心参数输入!$B$9*4,I23*核心参数输入!$B$43,0)</f>
        <v>0</v>
      </c>
      <c r="J25" s="9">
        <f>IF(6&lt;=核心参数输入!$B$9*4,J23*核心参数输入!$B$43,0)</f>
        <v>0</v>
      </c>
      <c r="K25" s="9">
        <f>IF(7&lt;=核心参数输入!$B$9*4,K23*核心参数输入!$B$43,0)</f>
        <v>0</v>
      </c>
      <c r="L25" s="9">
        <f>IF(8&lt;=核心参数输入!$B$9*4,L23*核心参数输入!$B$43,0)</f>
        <v>0</v>
      </c>
      <c r="M25" s="9">
        <f>IF(9&lt;=核心参数输入!$B$9*4,M23*核心参数输入!$B$43,0)</f>
        <v>0</v>
      </c>
      <c r="N25" s="9">
        <f>IF(10&lt;=核心参数输入!$B$9*4,N23*核心参数输入!$B$43,0)</f>
        <v>0</v>
      </c>
      <c r="O25" s="9">
        <f>IF(11&lt;=核心参数输入!$B$9*4,O23*核心参数输入!$B$43,0)</f>
        <v>0</v>
      </c>
      <c r="P25" s="9">
        <f>IF(12&lt;=核心参数输入!$B$9*4,P23*核心参数输入!$B$43,0)</f>
        <v>0</v>
      </c>
      <c r="Q25" s="9">
        <f>IF(13&lt;=核心参数输入!$B$9*4,Q23*核心参数输入!$B$43,0)</f>
        <v>0</v>
      </c>
      <c r="R25" s="9">
        <f>IF(14&lt;=核心参数输入!$B$9*4,R23*核心参数输入!$B$43,0)</f>
        <v>29.023312499999992</v>
      </c>
      <c r="S25" s="9">
        <f>IF(15&lt;=核心参数输入!$B$9*4,S23*核心参数输入!$B$43,0)</f>
        <v>87.069937499999966</v>
      </c>
      <c r="T25" s="9">
        <f>IF(16&lt;=核心参数输入!$B$9*4,T23*核心参数输入!$B$43,0)</f>
        <v>145.11656249999996</v>
      </c>
      <c r="U25" s="9">
        <f>IF(17&lt;=核心参数输入!$B$9*4,U23*核心参数输入!$B$43,0)</f>
        <v>206.21063531249996</v>
      </c>
      <c r="V25" s="9">
        <f>IF(18&lt;=核心参数输入!$B$9*4,V23*核心参数输入!$B$43,0)</f>
        <v>247.45276237499999</v>
      </c>
      <c r="W25" s="9">
        <f>IF(19&lt;=核心参数输入!$B$9*4,W23*核心参数输入!$B$43,0)</f>
        <v>271.01969212499995</v>
      </c>
      <c r="X25" s="9">
        <f>IF(20&lt;=核心参数输入!$B$9*4,X23*核心参数输入!$B$43,0)</f>
        <v>294.58662187499988</v>
      </c>
      <c r="Y25" s="9">
        <f>IF(21&lt;=核心参数输入!$B$9*4,Y23*核心参数输入!$B$43,0)</f>
        <v>322.92585489937488</v>
      </c>
      <c r="Z25" s="9">
        <f>IF(22&lt;=核心参数输入!$B$9*4,Z23*核心参数输入!$B$43,0)</f>
        <v>343.85623438359357</v>
      </c>
      <c r="AA25" s="9">
        <f>IF(23&lt;=核心参数输入!$B$9*4,AA23*核心参数输入!$B$43,0)</f>
        <v>361.7965596557811</v>
      </c>
      <c r="AB25" s="9">
        <f>IF(24&lt;=核心参数输入!$B$9*4,AB23*核心参数输入!$B$43,0)</f>
        <v>379.73688492796856</v>
      </c>
      <c r="AC25" s="9">
        <f>IF(25&lt;=核心参数输入!$B$9*4,AC23*核心参数输入!$B$43,0)</f>
        <v>403.64236835315847</v>
      </c>
      <c r="AD25" s="9">
        <f>IF(26&lt;=核心参数输入!$B$9*4,AD23*核心参数输入!$B$43,0)</f>
        <v>415.78198845400527</v>
      </c>
      <c r="AE25" s="9">
        <f>IF(27&lt;=核心参数输入!$B$9*4,AE23*核心参数输入!$B$43,0)</f>
        <v>421.8517985044287</v>
      </c>
      <c r="AF25" s="9">
        <f>IF(28&lt;=核心参数输入!$B$9*4,AF23*核心参数输入!$B$43,0)</f>
        <v>427.92160855485207</v>
      </c>
      <c r="AG25" s="9">
        <f>IF(29&lt;=核心参数输入!$B$9*4,AG23*核心参数输入!$B$43,0)</f>
        <v>440.50128988435461</v>
      </c>
      <c r="AH25" s="9">
        <f>IF(30&lt;=核心参数输入!$B$9*4,AH23*核心参数输入!$B$43,0)</f>
        <v>443.58171848494453</v>
      </c>
      <c r="AI25" s="9">
        <f>IF(31&lt;=核心参数输入!$B$9*4,AI23*核心参数输入!$B$43,0)</f>
        <v>443.58171848494453</v>
      </c>
      <c r="AJ25" s="9">
        <f>IF(32&lt;=核心参数输入!$B$9*4,AJ23*核心参数输入!$B$43,0)</f>
        <v>443.58171848494453</v>
      </c>
      <c r="AK25" s="9">
        <f>IF(33&lt;=核心参数输入!$B$9*4,AK23*核心参数输入!$B$43,0)</f>
        <v>450.23544426221861</v>
      </c>
      <c r="AL25" s="9">
        <f>IF(34&lt;=核心参数输入!$B$9*4,AL23*核心参数输入!$B$43,0)</f>
        <v>450.23544426221861</v>
      </c>
      <c r="AM25" s="9">
        <f>IF(35&lt;=核心参数输入!$B$9*4,AM23*核心参数输入!$B$43,0)</f>
        <v>450.23544426221861</v>
      </c>
      <c r="AN25" s="9">
        <f>IF(36&lt;=核心参数输入!$B$9*4,AN23*核心参数输入!$B$43,0)</f>
        <v>450.23544426221861</v>
      </c>
      <c r="AO25" s="9">
        <f>IF(37&lt;=核心参数输入!$B$9*4,AO23*核心参数输入!$B$43,0)</f>
        <v>456.98897592615185</v>
      </c>
      <c r="AP25" s="9">
        <f>IF(38&lt;=核心参数输入!$B$9*4,AP23*核心参数输入!$B$43,0)</f>
        <v>456.98897592615185</v>
      </c>
      <c r="AQ25" s="9">
        <f>IF(39&lt;=核心参数输入!$B$9*4,AQ23*核心参数输入!$B$43,0)</f>
        <v>456.98897592615185</v>
      </c>
      <c r="AR25" s="9">
        <f>IF(40&lt;=核心参数输入!$B$9*4,AR23*核心参数输入!$B$43,0)</f>
        <v>456.98897592615185</v>
      </c>
      <c r="AS25" s="9">
        <f>IF(41&lt;=核心参数输入!$B$9*4,AS23*核心参数输入!$B$43,0)</f>
        <v>463.84381056504407</v>
      </c>
      <c r="AT25" s="9">
        <f>IF(42&lt;=核心参数输入!$B$9*4,AT23*核心参数输入!$B$43,0)</f>
        <v>463.84381056504407</v>
      </c>
      <c r="AU25" s="9">
        <f>IF(43&lt;=核心参数输入!$B$9*4,AU23*核心参数输入!$B$43,0)</f>
        <v>463.84381056504407</v>
      </c>
      <c r="AV25" s="9">
        <f>IF(44&lt;=核心参数输入!$B$9*4,AV23*核心参数输入!$B$43,0)</f>
        <v>463.84381056504407</v>
      </c>
      <c r="AW25" s="9">
        <f>IF(45&lt;=核心参数输入!$B$9*4,AW23*核心参数输入!$B$43,0)</f>
        <v>470.80146772351964</v>
      </c>
      <c r="AX25" s="9">
        <f>IF(46&lt;=核心参数输入!$B$9*4,AX23*核心参数输入!$B$43,0)</f>
        <v>470.80146772351964</v>
      </c>
      <c r="AY25" s="9">
        <f>IF(47&lt;=核心参数输入!$B$9*4,AY23*核心参数输入!$B$43,0)</f>
        <v>470.80146772351964</v>
      </c>
      <c r="AZ25" s="9">
        <f>IF(48&lt;=核心参数输入!$B$9*4,AZ23*核心参数输入!$B$43,0)</f>
        <v>470.80146772351964</v>
      </c>
      <c r="BA25" s="9">
        <f>IF(49&lt;=核心参数输入!$B$9*4,BA23*核心参数输入!$B$43,0)</f>
        <v>477.86348973937237</v>
      </c>
      <c r="BB25" s="9">
        <f>IF(50&lt;=核心参数输入!$B$9*4,BB23*核心参数输入!$B$43,0)</f>
        <v>477.86348973937237</v>
      </c>
      <c r="BC25" s="9">
        <f>IF(51&lt;=核心参数输入!$B$9*4,BC23*核心参数输入!$B$43,0)</f>
        <v>477.86348973937237</v>
      </c>
      <c r="BD25" s="9">
        <f>IF(52&lt;=核心参数输入!$B$9*4,BD23*核心参数输入!$B$43,0)</f>
        <v>477.86348973937237</v>
      </c>
      <c r="BE25" s="9">
        <f>IF(53&lt;=核心参数输入!$B$9*4,BE23*核心参数输入!$B$43,0)</f>
        <v>485.03144208546291</v>
      </c>
      <c r="BF25" s="9">
        <f>IF(54&lt;=核心参数输入!$B$9*4,BF23*核心参数输入!$B$43,0)</f>
        <v>485.03144208546291</v>
      </c>
      <c r="BG25" s="9">
        <f>IF(55&lt;=核心参数输入!$B$9*4,BG23*核心参数输入!$B$43,0)</f>
        <v>485.03144208546291</v>
      </c>
      <c r="BH25" s="9">
        <f>IF(56&lt;=核心参数输入!$B$9*4,BH23*核心参数输入!$B$43,0)</f>
        <v>485.03144208546291</v>
      </c>
      <c r="BI25" s="9">
        <f>IF(57&lt;=核心参数输入!$B$9*4,BI23*核心参数输入!$B$43,0)</f>
        <v>492.30691371674476</v>
      </c>
      <c r="BJ25" s="9">
        <f>IF(58&lt;=核心参数输入!$B$9*4,BJ23*核心参数输入!$B$43,0)</f>
        <v>492.30691371674476</v>
      </c>
      <c r="BK25" s="9">
        <f>IF(59&lt;=核心参数输入!$B$9*4,BK23*核心参数输入!$B$43,0)</f>
        <v>492.30691371674476</v>
      </c>
      <c r="BL25" s="9">
        <f>IF(60&lt;=核心参数输入!$B$9*4,BL23*核心参数输入!$B$43,0)</f>
        <v>492.30691371674476</v>
      </c>
      <c r="BM25" s="9">
        <f>IF(61&lt;=核心参数输入!$B$9*4,BM23*核心参数输入!$B$43,0)</f>
        <v>499.69151742249579</v>
      </c>
      <c r="BN25" s="9">
        <f>IF(62&lt;=核心参数输入!$B$9*4,BN23*核心参数输入!$B$43,0)</f>
        <v>499.69151742249579</v>
      </c>
      <c r="BO25" s="9">
        <f>IF(63&lt;=核心参数输入!$B$9*4,BO23*核心参数输入!$B$43,0)</f>
        <v>499.69151742249579</v>
      </c>
      <c r="BP25" s="9">
        <f>IF(64&lt;=核心参数输入!$B$9*4,BP23*核心参数输入!$B$43,0)</f>
        <v>499.69151742249579</v>
      </c>
      <c r="BQ25" s="9">
        <f>IF(65&lt;=核心参数输入!$B$9*4,BQ23*核心参数输入!$B$43,0)</f>
        <v>507.18689018383327</v>
      </c>
      <c r="BR25" s="9">
        <f>IF(66&lt;=核心参数输入!$B$9*4,BR23*核心参数输入!$B$43,0)</f>
        <v>507.18689018383327</v>
      </c>
      <c r="BS25" s="9">
        <f>IF(67&lt;=核心参数输入!$B$9*4,BS23*核心参数输入!$B$43,0)</f>
        <v>507.18689018383327</v>
      </c>
      <c r="BT25" s="9">
        <f>IF(68&lt;=核心参数输入!$B$9*4,BT23*核心参数输入!$B$43,0)</f>
        <v>507.18689018383327</v>
      </c>
      <c r="BU25" s="9">
        <f>IF(69&lt;=核心参数输入!$B$9*4,BU23*核心参数输入!$B$43,0)</f>
        <v>514.79469353659067</v>
      </c>
      <c r="BV25" s="9">
        <f>IF(70&lt;=核心参数输入!$B$9*4,BV23*核心参数输入!$B$43,0)</f>
        <v>514.79469353659067</v>
      </c>
      <c r="BW25" s="9">
        <f>IF(71&lt;=核心参数输入!$B$9*4,BW23*核心参数输入!$B$43,0)</f>
        <v>514.79469353659067</v>
      </c>
      <c r="BX25" s="9">
        <f>IF(72&lt;=核心参数输入!$B$9*4,BX23*核心参数输入!$B$43,0)</f>
        <v>514.79469353659067</v>
      </c>
      <c r="BY25" s="9">
        <f>IF(73&lt;=核心参数输入!$B$9*4,BY23*核心参数输入!$B$43,0)</f>
        <v>522.51661393963934</v>
      </c>
      <c r="BZ25" s="9">
        <f>IF(74&lt;=核心参数输入!$B$9*4,BZ23*核心参数输入!$B$43,0)</f>
        <v>522.51661393963934</v>
      </c>
      <c r="CA25" s="9">
        <f>IF(75&lt;=核心参数输入!$B$9*4,CA23*核心参数输入!$B$43,0)</f>
        <v>522.51661393963934</v>
      </c>
      <c r="CB25" s="9">
        <f>IF(76&lt;=核心参数输入!$B$9*4,CB23*核心参数输入!$B$43,0)</f>
        <v>522.51661393963934</v>
      </c>
      <c r="CC25" s="9">
        <f>IF(77&lt;=核心参数输入!$B$9*4,CC23*核心参数输入!$B$43,0)</f>
        <v>530.35436314873391</v>
      </c>
      <c r="CD25" s="9">
        <f>IF(78&lt;=核心参数输入!$B$9*4,CD23*核心参数输入!$B$43,0)</f>
        <v>530.35436314873391</v>
      </c>
      <c r="CE25" s="9">
        <f>IF(79&lt;=核心参数输入!$B$9*4,CE23*核心参数输入!$B$43,0)</f>
        <v>530.35436314873391</v>
      </c>
      <c r="CF25" s="9">
        <f>IF(80&lt;=核心参数输入!$B$9*4,CF23*核心参数输入!$B$43,0)</f>
        <v>530.35436314873391</v>
      </c>
      <c r="CG25" s="9">
        <f>IF(81&lt;=核心参数输入!$B$9*4,CG23*核心参数输入!$B$43,0)</f>
        <v>0</v>
      </c>
      <c r="CH25" s="9">
        <f>IF(82&lt;=核心参数输入!$B$9*4,CH23*核心参数输入!$B$43,0)</f>
        <v>0</v>
      </c>
      <c r="CI25" s="9">
        <f>IF(83&lt;=核心参数输入!$B$9*4,CI23*核心参数输入!$B$43,0)</f>
        <v>0</v>
      </c>
      <c r="CJ25" s="9">
        <f>IF(84&lt;=核心参数输入!$B$9*4,CJ23*核心参数输入!$B$43,0)</f>
        <v>0</v>
      </c>
      <c r="CK25" s="9">
        <f>IF(85&lt;=核心参数输入!$B$9*4,CK23*核心参数输入!$B$43,0)</f>
        <v>0</v>
      </c>
      <c r="CL25" s="9">
        <f>IF(86&lt;=核心参数输入!$B$9*4,CL23*核心参数输入!$B$43,0)</f>
        <v>0</v>
      </c>
      <c r="CM25" s="9">
        <f>IF(87&lt;=核心参数输入!$B$9*4,CM23*核心参数输入!$B$43,0)</f>
        <v>0</v>
      </c>
      <c r="CN25" s="9">
        <f>IF(88&lt;=核心参数输入!$B$9*4,CN23*核心参数输入!$B$43,0)</f>
        <v>0</v>
      </c>
      <c r="CO25" s="9">
        <f>IF(89&lt;=核心参数输入!$B$9*4,CO23*核心参数输入!$B$43,0)</f>
        <v>0</v>
      </c>
      <c r="CP25" s="9">
        <f>IF(90&lt;=核心参数输入!$B$9*4,CP23*核心参数输入!$B$43,0)</f>
        <v>0</v>
      </c>
      <c r="CQ25" s="9">
        <f>IF(91&lt;=核心参数输入!$B$9*4,CQ23*核心参数输入!$B$43,0)</f>
        <v>0</v>
      </c>
      <c r="CR25" s="9">
        <f>IF(92&lt;=核心参数输入!$B$9*4,CR23*核心参数输入!$B$43,0)</f>
        <v>0</v>
      </c>
      <c r="CS25" s="9">
        <f>IF(93&lt;=核心参数输入!$B$9*4,CS23*核心参数输入!$B$43,0)</f>
        <v>0</v>
      </c>
      <c r="CT25" s="9">
        <f>IF(94&lt;=核心参数输入!$B$9*4,CT23*核心参数输入!$B$43,0)</f>
        <v>0</v>
      </c>
      <c r="CU25" s="9">
        <f>IF(95&lt;=核心参数输入!$B$9*4,CU23*核心参数输入!$B$43,0)</f>
        <v>0</v>
      </c>
      <c r="CV25" s="9">
        <f>IF(96&lt;=核心参数输入!$B$9*4,CV23*核心参数输入!$B$43,0)</f>
        <v>0</v>
      </c>
      <c r="CW25" s="9">
        <f>IF(97&lt;=核心参数输入!$B$9*4,CW23*核心参数输入!$B$43,0)</f>
        <v>0</v>
      </c>
      <c r="CX25" s="9">
        <f>IF(98&lt;=核心参数输入!$B$9*4,CX23*核心参数输入!$B$43,0)</f>
        <v>0</v>
      </c>
      <c r="CY25" s="9">
        <f>IF(99&lt;=核心参数输入!$B$9*4,CY23*核心参数输入!$B$43,0)</f>
        <v>0</v>
      </c>
      <c r="CZ25" s="9">
        <f>IF(100&lt;=核心参数输入!$B$9*4,CZ23*核心参数输入!$B$43,0)</f>
        <v>0</v>
      </c>
      <c r="DA25" s="9">
        <f>IF(101&lt;=核心参数输入!$B$9*4,DA23*核心参数输入!$B$43,0)</f>
        <v>0</v>
      </c>
      <c r="DB25" s="9">
        <f>IF(102&lt;=核心参数输入!$B$9*4,DB23*核心参数输入!$B$43,0)</f>
        <v>0</v>
      </c>
      <c r="DC25" s="9">
        <f>IF(103&lt;=核心参数输入!$B$9*4,DC23*核心参数输入!$B$43,0)</f>
        <v>0</v>
      </c>
      <c r="DD25" s="9">
        <f>IF(104&lt;=核心参数输入!$B$9*4,DD23*核心参数输入!$B$43,0)</f>
        <v>0</v>
      </c>
      <c r="DE25" s="9">
        <f>IF(105&lt;=核心参数输入!$B$9*4,DE23*核心参数输入!$B$43,0)</f>
        <v>0</v>
      </c>
      <c r="DF25" s="9">
        <f>IF(106&lt;=核心参数输入!$B$9*4,DF23*核心参数输入!$B$43,0)</f>
        <v>0</v>
      </c>
      <c r="DG25" s="9">
        <f>IF(107&lt;=核心参数输入!$B$9*4,DG23*核心参数输入!$B$43,0)</f>
        <v>0</v>
      </c>
      <c r="DH25" s="9">
        <f>IF(108&lt;=核心参数输入!$B$9*4,DH23*核心参数输入!$B$43,0)</f>
        <v>0</v>
      </c>
      <c r="DI25" s="9">
        <f>IF(109&lt;=核心参数输入!$B$9*4,DI23*核心参数输入!$B$43,0)</f>
        <v>0</v>
      </c>
      <c r="DJ25" s="9">
        <f>IF(110&lt;=核心参数输入!$B$9*4,DJ23*核心参数输入!$B$43,0)</f>
        <v>0</v>
      </c>
      <c r="DK25" s="9">
        <f>IF(111&lt;=核心参数输入!$B$9*4,DK23*核心参数输入!$B$43,0)</f>
        <v>0</v>
      </c>
      <c r="DL25" s="9">
        <f>IF(112&lt;=核心参数输入!$B$9*4,DL23*核心参数输入!$B$43,0)</f>
        <v>0</v>
      </c>
      <c r="DM25" s="9">
        <f>IF(113&lt;=核心参数输入!$B$9*4,DM23*核心参数输入!$B$43,0)</f>
        <v>0</v>
      </c>
      <c r="DN25" s="9">
        <f>IF(114&lt;=核心参数输入!$B$9*4,DN23*核心参数输入!$B$43,0)</f>
        <v>0</v>
      </c>
      <c r="DO25" s="9">
        <f>IF(115&lt;=核心参数输入!$B$9*4,DO23*核心参数输入!$B$43,0)</f>
        <v>0</v>
      </c>
      <c r="DP25" s="9">
        <f>IF(116&lt;=核心参数输入!$B$9*4,DP23*核心参数输入!$B$43,0)</f>
        <v>0</v>
      </c>
      <c r="DQ25" s="9">
        <f>IF(117&lt;=核心参数输入!$B$9*4,DQ23*核心参数输入!$B$43,0)</f>
        <v>0</v>
      </c>
      <c r="DR25" s="9">
        <f>IF(118&lt;=核心参数输入!$B$9*4,DR23*核心参数输入!$B$43,0)</f>
        <v>0</v>
      </c>
      <c r="DS25" s="9">
        <f>IF(119&lt;=核心参数输入!$B$9*4,DS23*核心参数输入!$B$43,0)</f>
        <v>0</v>
      </c>
      <c r="DT25" s="9">
        <f>IF(120&lt;=核心参数输入!$B$9*4,DT23*核心参数输入!$B$43,0)</f>
        <v>0</v>
      </c>
    </row>
    <row r="26" spans="1:124" ht="21" customHeight="1">
      <c r="A26" s="8" t="s">
        <v>366</v>
      </c>
      <c r="B26" s="8" t="s">
        <v>39</v>
      </c>
      <c r="C26" s="8"/>
      <c r="D26" s="9">
        <f>IF(0&lt;=核心参数输入!$B$9*4,IF(AND(0-核心参数输入!$B$104&gt;=0,0-核心参数输入!$B$104&lt;=120),INDEX(季度经营税费!$D$25:$DT$25,1,MAX(1,MIN(121,0-核心参数输入!$B$104+1))),0),0)</f>
        <v>0</v>
      </c>
      <c r="E26" s="9">
        <f>IF(1&lt;=核心参数输入!$B$9*4,IF(AND(1-核心参数输入!$B$104&gt;=0,1-核心参数输入!$B$104&lt;=120),INDEX(季度经营税费!$D$25:$DT$25,1,MAX(1,MIN(121,1-核心参数输入!$B$104+1))),0),0)</f>
        <v>0</v>
      </c>
      <c r="F26" s="9">
        <f>IF(2&lt;=核心参数输入!$B$9*4,IF(AND(2-核心参数输入!$B$104&gt;=0,2-核心参数输入!$B$104&lt;=120),INDEX(季度经营税费!$D$25:$DT$25,1,MAX(1,MIN(121,2-核心参数输入!$B$104+1))),0),0)</f>
        <v>0</v>
      </c>
      <c r="G26" s="9">
        <f>IF(3&lt;=核心参数输入!$B$9*4,IF(AND(3-核心参数输入!$B$104&gt;=0,3-核心参数输入!$B$104&lt;=120),INDEX(季度经营税费!$D$25:$DT$25,1,MAX(1,MIN(121,3-核心参数输入!$B$104+1))),0),0)</f>
        <v>0</v>
      </c>
      <c r="H26" s="9">
        <f>IF(4&lt;=核心参数输入!$B$9*4,IF(AND(4-核心参数输入!$B$104&gt;=0,4-核心参数输入!$B$104&lt;=120),INDEX(季度经营税费!$D$25:$DT$25,1,MAX(1,MIN(121,4-核心参数输入!$B$104+1))),0),0)</f>
        <v>0</v>
      </c>
      <c r="I26" s="9">
        <f>IF(5&lt;=核心参数输入!$B$9*4,IF(AND(5-核心参数输入!$B$104&gt;=0,5-核心参数输入!$B$104&lt;=120),INDEX(季度经营税费!$D$25:$DT$25,1,MAX(1,MIN(121,5-核心参数输入!$B$104+1))),0),0)</f>
        <v>0</v>
      </c>
      <c r="J26" s="9">
        <f>IF(6&lt;=核心参数输入!$B$9*4,IF(AND(6-核心参数输入!$B$104&gt;=0,6-核心参数输入!$B$104&lt;=120),INDEX(季度经营税费!$D$25:$DT$25,1,MAX(1,MIN(121,6-核心参数输入!$B$104+1))),0),0)</f>
        <v>0</v>
      </c>
      <c r="K26" s="9">
        <f>IF(7&lt;=核心参数输入!$B$9*4,IF(AND(7-核心参数输入!$B$104&gt;=0,7-核心参数输入!$B$104&lt;=120),INDEX(季度经营税费!$D$25:$DT$25,1,MAX(1,MIN(121,7-核心参数输入!$B$104+1))),0),0)</f>
        <v>0</v>
      </c>
      <c r="L26" s="9">
        <f>IF(8&lt;=核心参数输入!$B$9*4,IF(AND(8-核心参数输入!$B$104&gt;=0,8-核心参数输入!$B$104&lt;=120),INDEX(季度经营税费!$D$25:$DT$25,1,MAX(1,MIN(121,8-核心参数输入!$B$104+1))),0),0)</f>
        <v>0</v>
      </c>
      <c r="M26" s="9">
        <f>IF(9&lt;=核心参数输入!$B$9*4,IF(AND(9-核心参数输入!$B$104&gt;=0,9-核心参数输入!$B$104&lt;=120),INDEX(季度经营税费!$D$25:$DT$25,1,MAX(1,MIN(121,9-核心参数输入!$B$104+1))),0),0)</f>
        <v>0</v>
      </c>
      <c r="N26" s="9">
        <f>IF(10&lt;=核心参数输入!$B$9*4,IF(AND(10-核心参数输入!$B$104&gt;=0,10-核心参数输入!$B$104&lt;=120),INDEX(季度经营税费!$D$25:$DT$25,1,MAX(1,MIN(121,10-核心参数输入!$B$104+1))),0),0)</f>
        <v>0</v>
      </c>
      <c r="O26" s="9">
        <f>IF(11&lt;=核心参数输入!$B$9*4,IF(AND(11-核心参数输入!$B$104&gt;=0,11-核心参数输入!$B$104&lt;=120),INDEX(季度经营税费!$D$25:$DT$25,1,MAX(1,MIN(121,11-核心参数输入!$B$104+1))),0),0)</f>
        <v>0</v>
      </c>
      <c r="P26" s="9">
        <f>IF(12&lt;=核心参数输入!$B$9*4,IF(AND(12-核心参数输入!$B$104&gt;=0,12-核心参数输入!$B$104&lt;=120),INDEX(季度经营税费!$D$25:$DT$25,1,MAX(1,MIN(121,12-核心参数输入!$B$104+1))),0),0)</f>
        <v>0</v>
      </c>
      <c r="Q26" s="9">
        <f>IF(13&lt;=核心参数输入!$B$9*4,IF(AND(13-核心参数输入!$B$104&gt;=0,13-核心参数输入!$B$104&lt;=120),INDEX(季度经营税费!$D$25:$DT$25,1,MAX(1,MIN(121,13-核心参数输入!$B$104+1))),0),0)</f>
        <v>0</v>
      </c>
      <c r="R26" s="9">
        <f>IF(14&lt;=核心参数输入!$B$9*4,IF(AND(14-核心参数输入!$B$104&gt;=0,14-核心参数输入!$B$104&lt;=120),INDEX(季度经营税费!$D$25:$DT$25,1,MAX(1,MIN(121,14-核心参数输入!$B$104+1))),0),0)</f>
        <v>29.023312499999992</v>
      </c>
      <c r="S26" s="9">
        <f>IF(15&lt;=核心参数输入!$B$9*4,IF(AND(15-核心参数输入!$B$104&gt;=0,15-核心参数输入!$B$104&lt;=120),INDEX(季度经营税费!$D$25:$DT$25,1,MAX(1,MIN(121,15-核心参数输入!$B$104+1))),0),0)</f>
        <v>87.069937499999966</v>
      </c>
      <c r="T26" s="9">
        <f>IF(16&lt;=核心参数输入!$B$9*4,IF(AND(16-核心参数输入!$B$104&gt;=0,16-核心参数输入!$B$104&lt;=120),INDEX(季度经营税费!$D$25:$DT$25,1,MAX(1,MIN(121,16-核心参数输入!$B$104+1))),0),0)</f>
        <v>145.11656249999996</v>
      </c>
      <c r="U26" s="9">
        <f>IF(17&lt;=核心参数输入!$B$9*4,IF(AND(17-核心参数输入!$B$104&gt;=0,17-核心参数输入!$B$104&lt;=120),INDEX(季度经营税费!$D$25:$DT$25,1,MAX(1,MIN(121,17-核心参数输入!$B$104+1))),0),0)</f>
        <v>206.21063531249996</v>
      </c>
      <c r="V26" s="9">
        <f>IF(18&lt;=核心参数输入!$B$9*4,IF(AND(18-核心参数输入!$B$104&gt;=0,18-核心参数输入!$B$104&lt;=120),INDEX(季度经营税费!$D$25:$DT$25,1,MAX(1,MIN(121,18-核心参数输入!$B$104+1))),0),0)</f>
        <v>247.45276237499999</v>
      </c>
      <c r="W26" s="9">
        <f>IF(19&lt;=核心参数输入!$B$9*4,IF(AND(19-核心参数输入!$B$104&gt;=0,19-核心参数输入!$B$104&lt;=120),INDEX(季度经营税费!$D$25:$DT$25,1,MAX(1,MIN(121,19-核心参数输入!$B$104+1))),0),0)</f>
        <v>271.01969212499995</v>
      </c>
      <c r="X26" s="9">
        <f>IF(20&lt;=核心参数输入!$B$9*4,IF(AND(20-核心参数输入!$B$104&gt;=0,20-核心参数输入!$B$104&lt;=120),INDEX(季度经营税费!$D$25:$DT$25,1,MAX(1,MIN(121,20-核心参数输入!$B$104+1))),0),0)</f>
        <v>294.58662187499988</v>
      </c>
      <c r="Y26" s="9">
        <f>IF(21&lt;=核心参数输入!$B$9*4,IF(AND(21-核心参数输入!$B$104&gt;=0,21-核心参数输入!$B$104&lt;=120),INDEX(季度经营税费!$D$25:$DT$25,1,MAX(1,MIN(121,21-核心参数输入!$B$104+1))),0),0)</f>
        <v>322.92585489937488</v>
      </c>
      <c r="Z26" s="9">
        <f>IF(22&lt;=核心参数输入!$B$9*4,IF(AND(22-核心参数输入!$B$104&gt;=0,22-核心参数输入!$B$104&lt;=120),INDEX(季度经营税费!$D$25:$DT$25,1,MAX(1,MIN(121,22-核心参数输入!$B$104+1))),0),0)</f>
        <v>343.85623438359357</v>
      </c>
      <c r="AA26" s="9">
        <f>IF(23&lt;=核心参数输入!$B$9*4,IF(AND(23-核心参数输入!$B$104&gt;=0,23-核心参数输入!$B$104&lt;=120),INDEX(季度经营税费!$D$25:$DT$25,1,MAX(1,MIN(121,23-核心参数输入!$B$104+1))),0),0)</f>
        <v>361.7965596557811</v>
      </c>
      <c r="AB26" s="9">
        <f>IF(24&lt;=核心参数输入!$B$9*4,IF(AND(24-核心参数输入!$B$104&gt;=0,24-核心参数输入!$B$104&lt;=120),INDEX(季度经营税费!$D$25:$DT$25,1,MAX(1,MIN(121,24-核心参数输入!$B$104+1))),0),0)</f>
        <v>379.73688492796856</v>
      </c>
      <c r="AC26" s="9">
        <f>IF(25&lt;=核心参数输入!$B$9*4,IF(AND(25-核心参数输入!$B$104&gt;=0,25-核心参数输入!$B$104&lt;=120),INDEX(季度经营税费!$D$25:$DT$25,1,MAX(1,MIN(121,25-核心参数输入!$B$104+1))),0),0)</f>
        <v>403.64236835315847</v>
      </c>
      <c r="AD26" s="9">
        <f>IF(26&lt;=核心参数输入!$B$9*4,IF(AND(26-核心参数输入!$B$104&gt;=0,26-核心参数输入!$B$104&lt;=120),INDEX(季度经营税费!$D$25:$DT$25,1,MAX(1,MIN(121,26-核心参数输入!$B$104+1))),0),0)</f>
        <v>415.78198845400527</v>
      </c>
      <c r="AE26" s="9">
        <f>IF(27&lt;=核心参数输入!$B$9*4,IF(AND(27-核心参数输入!$B$104&gt;=0,27-核心参数输入!$B$104&lt;=120),INDEX(季度经营税费!$D$25:$DT$25,1,MAX(1,MIN(121,27-核心参数输入!$B$104+1))),0),0)</f>
        <v>421.8517985044287</v>
      </c>
      <c r="AF26" s="9">
        <f>IF(28&lt;=核心参数输入!$B$9*4,IF(AND(28-核心参数输入!$B$104&gt;=0,28-核心参数输入!$B$104&lt;=120),INDEX(季度经营税费!$D$25:$DT$25,1,MAX(1,MIN(121,28-核心参数输入!$B$104+1))),0),0)</f>
        <v>427.92160855485207</v>
      </c>
      <c r="AG26" s="9">
        <f>IF(29&lt;=核心参数输入!$B$9*4,IF(AND(29-核心参数输入!$B$104&gt;=0,29-核心参数输入!$B$104&lt;=120),INDEX(季度经营税费!$D$25:$DT$25,1,MAX(1,MIN(121,29-核心参数输入!$B$104+1))),0),0)</f>
        <v>440.50128988435461</v>
      </c>
      <c r="AH26" s="9">
        <f>IF(30&lt;=核心参数输入!$B$9*4,IF(AND(30-核心参数输入!$B$104&gt;=0,30-核心参数输入!$B$104&lt;=120),INDEX(季度经营税费!$D$25:$DT$25,1,MAX(1,MIN(121,30-核心参数输入!$B$104+1))),0),0)</f>
        <v>443.58171848494453</v>
      </c>
      <c r="AI26" s="9">
        <f>IF(31&lt;=核心参数输入!$B$9*4,IF(AND(31-核心参数输入!$B$104&gt;=0,31-核心参数输入!$B$104&lt;=120),INDEX(季度经营税费!$D$25:$DT$25,1,MAX(1,MIN(121,31-核心参数输入!$B$104+1))),0),0)</f>
        <v>443.58171848494453</v>
      </c>
      <c r="AJ26" s="9">
        <f>IF(32&lt;=核心参数输入!$B$9*4,IF(AND(32-核心参数输入!$B$104&gt;=0,32-核心参数输入!$B$104&lt;=120),INDEX(季度经营税费!$D$25:$DT$25,1,MAX(1,MIN(121,32-核心参数输入!$B$104+1))),0),0)</f>
        <v>443.58171848494453</v>
      </c>
      <c r="AK26" s="9">
        <f>IF(33&lt;=核心参数输入!$B$9*4,IF(AND(33-核心参数输入!$B$104&gt;=0,33-核心参数输入!$B$104&lt;=120),INDEX(季度经营税费!$D$25:$DT$25,1,MAX(1,MIN(121,33-核心参数输入!$B$104+1))),0),0)</f>
        <v>450.23544426221861</v>
      </c>
      <c r="AL26" s="9">
        <f>IF(34&lt;=核心参数输入!$B$9*4,IF(AND(34-核心参数输入!$B$104&gt;=0,34-核心参数输入!$B$104&lt;=120),INDEX(季度经营税费!$D$25:$DT$25,1,MAX(1,MIN(121,34-核心参数输入!$B$104+1))),0),0)</f>
        <v>450.23544426221861</v>
      </c>
      <c r="AM26" s="9">
        <f>IF(35&lt;=核心参数输入!$B$9*4,IF(AND(35-核心参数输入!$B$104&gt;=0,35-核心参数输入!$B$104&lt;=120),INDEX(季度经营税费!$D$25:$DT$25,1,MAX(1,MIN(121,35-核心参数输入!$B$104+1))),0),0)</f>
        <v>450.23544426221861</v>
      </c>
      <c r="AN26" s="9">
        <f>IF(36&lt;=核心参数输入!$B$9*4,IF(AND(36-核心参数输入!$B$104&gt;=0,36-核心参数输入!$B$104&lt;=120),INDEX(季度经营税费!$D$25:$DT$25,1,MAX(1,MIN(121,36-核心参数输入!$B$104+1))),0),0)</f>
        <v>450.23544426221861</v>
      </c>
      <c r="AO26" s="9">
        <f>IF(37&lt;=核心参数输入!$B$9*4,IF(AND(37-核心参数输入!$B$104&gt;=0,37-核心参数输入!$B$104&lt;=120),INDEX(季度经营税费!$D$25:$DT$25,1,MAX(1,MIN(121,37-核心参数输入!$B$104+1))),0),0)</f>
        <v>456.98897592615185</v>
      </c>
      <c r="AP26" s="9">
        <f>IF(38&lt;=核心参数输入!$B$9*4,IF(AND(38-核心参数输入!$B$104&gt;=0,38-核心参数输入!$B$104&lt;=120),INDEX(季度经营税费!$D$25:$DT$25,1,MAX(1,MIN(121,38-核心参数输入!$B$104+1))),0),0)</f>
        <v>456.98897592615185</v>
      </c>
      <c r="AQ26" s="9">
        <f>IF(39&lt;=核心参数输入!$B$9*4,IF(AND(39-核心参数输入!$B$104&gt;=0,39-核心参数输入!$B$104&lt;=120),INDEX(季度经营税费!$D$25:$DT$25,1,MAX(1,MIN(121,39-核心参数输入!$B$104+1))),0),0)</f>
        <v>456.98897592615185</v>
      </c>
      <c r="AR26" s="9">
        <f>IF(40&lt;=核心参数输入!$B$9*4,IF(AND(40-核心参数输入!$B$104&gt;=0,40-核心参数输入!$B$104&lt;=120),INDEX(季度经营税费!$D$25:$DT$25,1,MAX(1,MIN(121,40-核心参数输入!$B$104+1))),0),0)</f>
        <v>456.98897592615185</v>
      </c>
      <c r="AS26" s="9">
        <f>IF(41&lt;=核心参数输入!$B$9*4,IF(AND(41-核心参数输入!$B$104&gt;=0,41-核心参数输入!$B$104&lt;=120),INDEX(季度经营税费!$D$25:$DT$25,1,MAX(1,MIN(121,41-核心参数输入!$B$104+1))),0),0)</f>
        <v>463.84381056504407</v>
      </c>
      <c r="AT26" s="9">
        <f>IF(42&lt;=核心参数输入!$B$9*4,IF(AND(42-核心参数输入!$B$104&gt;=0,42-核心参数输入!$B$104&lt;=120),INDEX(季度经营税费!$D$25:$DT$25,1,MAX(1,MIN(121,42-核心参数输入!$B$104+1))),0),0)</f>
        <v>463.84381056504407</v>
      </c>
      <c r="AU26" s="9">
        <f>IF(43&lt;=核心参数输入!$B$9*4,IF(AND(43-核心参数输入!$B$104&gt;=0,43-核心参数输入!$B$104&lt;=120),INDEX(季度经营税费!$D$25:$DT$25,1,MAX(1,MIN(121,43-核心参数输入!$B$104+1))),0),0)</f>
        <v>463.84381056504407</v>
      </c>
      <c r="AV26" s="9">
        <f>IF(44&lt;=核心参数输入!$B$9*4,IF(AND(44-核心参数输入!$B$104&gt;=0,44-核心参数输入!$B$104&lt;=120),INDEX(季度经营税费!$D$25:$DT$25,1,MAX(1,MIN(121,44-核心参数输入!$B$104+1))),0),0)</f>
        <v>463.84381056504407</v>
      </c>
      <c r="AW26" s="9">
        <f>IF(45&lt;=核心参数输入!$B$9*4,IF(AND(45-核心参数输入!$B$104&gt;=0,45-核心参数输入!$B$104&lt;=120),INDEX(季度经营税费!$D$25:$DT$25,1,MAX(1,MIN(121,45-核心参数输入!$B$104+1))),0),0)</f>
        <v>470.80146772351964</v>
      </c>
      <c r="AX26" s="9">
        <f>IF(46&lt;=核心参数输入!$B$9*4,IF(AND(46-核心参数输入!$B$104&gt;=0,46-核心参数输入!$B$104&lt;=120),INDEX(季度经营税费!$D$25:$DT$25,1,MAX(1,MIN(121,46-核心参数输入!$B$104+1))),0),0)</f>
        <v>470.80146772351964</v>
      </c>
      <c r="AY26" s="9">
        <f>IF(47&lt;=核心参数输入!$B$9*4,IF(AND(47-核心参数输入!$B$104&gt;=0,47-核心参数输入!$B$104&lt;=120),INDEX(季度经营税费!$D$25:$DT$25,1,MAX(1,MIN(121,47-核心参数输入!$B$104+1))),0),0)</f>
        <v>470.80146772351964</v>
      </c>
      <c r="AZ26" s="9">
        <f>IF(48&lt;=核心参数输入!$B$9*4,IF(AND(48-核心参数输入!$B$104&gt;=0,48-核心参数输入!$B$104&lt;=120),INDEX(季度经营税费!$D$25:$DT$25,1,MAX(1,MIN(121,48-核心参数输入!$B$104+1))),0),0)</f>
        <v>470.80146772351964</v>
      </c>
      <c r="BA26" s="9">
        <f>IF(49&lt;=核心参数输入!$B$9*4,IF(AND(49-核心参数输入!$B$104&gt;=0,49-核心参数输入!$B$104&lt;=120),INDEX(季度经营税费!$D$25:$DT$25,1,MAX(1,MIN(121,49-核心参数输入!$B$104+1))),0),0)</f>
        <v>477.86348973937237</v>
      </c>
      <c r="BB26" s="9">
        <f>IF(50&lt;=核心参数输入!$B$9*4,IF(AND(50-核心参数输入!$B$104&gt;=0,50-核心参数输入!$B$104&lt;=120),INDEX(季度经营税费!$D$25:$DT$25,1,MAX(1,MIN(121,50-核心参数输入!$B$104+1))),0),0)</f>
        <v>477.86348973937237</v>
      </c>
      <c r="BC26" s="9">
        <f>IF(51&lt;=核心参数输入!$B$9*4,IF(AND(51-核心参数输入!$B$104&gt;=0,51-核心参数输入!$B$104&lt;=120),INDEX(季度经营税费!$D$25:$DT$25,1,MAX(1,MIN(121,51-核心参数输入!$B$104+1))),0),0)</f>
        <v>477.86348973937237</v>
      </c>
      <c r="BD26" s="9">
        <f>IF(52&lt;=核心参数输入!$B$9*4,IF(AND(52-核心参数输入!$B$104&gt;=0,52-核心参数输入!$B$104&lt;=120),INDEX(季度经营税费!$D$25:$DT$25,1,MAX(1,MIN(121,52-核心参数输入!$B$104+1))),0),0)</f>
        <v>477.86348973937237</v>
      </c>
      <c r="BE26" s="9">
        <f>IF(53&lt;=核心参数输入!$B$9*4,IF(AND(53-核心参数输入!$B$104&gt;=0,53-核心参数输入!$B$104&lt;=120),INDEX(季度经营税费!$D$25:$DT$25,1,MAX(1,MIN(121,53-核心参数输入!$B$104+1))),0),0)</f>
        <v>485.03144208546291</v>
      </c>
      <c r="BF26" s="9">
        <f>IF(54&lt;=核心参数输入!$B$9*4,IF(AND(54-核心参数输入!$B$104&gt;=0,54-核心参数输入!$B$104&lt;=120),INDEX(季度经营税费!$D$25:$DT$25,1,MAX(1,MIN(121,54-核心参数输入!$B$104+1))),0),0)</f>
        <v>485.03144208546291</v>
      </c>
      <c r="BG26" s="9">
        <f>IF(55&lt;=核心参数输入!$B$9*4,IF(AND(55-核心参数输入!$B$104&gt;=0,55-核心参数输入!$B$104&lt;=120),INDEX(季度经营税费!$D$25:$DT$25,1,MAX(1,MIN(121,55-核心参数输入!$B$104+1))),0),0)</f>
        <v>485.03144208546291</v>
      </c>
      <c r="BH26" s="9">
        <f>IF(56&lt;=核心参数输入!$B$9*4,IF(AND(56-核心参数输入!$B$104&gt;=0,56-核心参数输入!$B$104&lt;=120),INDEX(季度经营税费!$D$25:$DT$25,1,MAX(1,MIN(121,56-核心参数输入!$B$104+1))),0),0)</f>
        <v>485.03144208546291</v>
      </c>
      <c r="BI26" s="9">
        <f>IF(57&lt;=核心参数输入!$B$9*4,IF(AND(57-核心参数输入!$B$104&gt;=0,57-核心参数输入!$B$104&lt;=120),INDEX(季度经营税费!$D$25:$DT$25,1,MAX(1,MIN(121,57-核心参数输入!$B$104+1))),0),0)</f>
        <v>492.30691371674476</v>
      </c>
      <c r="BJ26" s="9">
        <f>IF(58&lt;=核心参数输入!$B$9*4,IF(AND(58-核心参数输入!$B$104&gt;=0,58-核心参数输入!$B$104&lt;=120),INDEX(季度经营税费!$D$25:$DT$25,1,MAX(1,MIN(121,58-核心参数输入!$B$104+1))),0),0)</f>
        <v>492.30691371674476</v>
      </c>
      <c r="BK26" s="9">
        <f>IF(59&lt;=核心参数输入!$B$9*4,IF(AND(59-核心参数输入!$B$104&gt;=0,59-核心参数输入!$B$104&lt;=120),INDEX(季度经营税费!$D$25:$DT$25,1,MAX(1,MIN(121,59-核心参数输入!$B$104+1))),0),0)</f>
        <v>492.30691371674476</v>
      </c>
      <c r="BL26" s="9">
        <f>IF(60&lt;=核心参数输入!$B$9*4,IF(AND(60-核心参数输入!$B$104&gt;=0,60-核心参数输入!$B$104&lt;=120),INDEX(季度经营税费!$D$25:$DT$25,1,MAX(1,MIN(121,60-核心参数输入!$B$104+1))),0),0)</f>
        <v>492.30691371674476</v>
      </c>
      <c r="BM26" s="9">
        <f>IF(61&lt;=核心参数输入!$B$9*4,IF(AND(61-核心参数输入!$B$104&gt;=0,61-核心参数输入!$B$104&lt;=120),INDEX(季度经营税费!$D$25:$DT$25,1,MAX(1,MIN(121,61-核心参数输入!$B$104+1))),0),0)</f>
        <v>499.69151742249579</v>
      </c>
      <c r="BN26" s="9">
        <f>IF(62&lt;=核心参数输入!$B$9*4,IF(AND(62-核心参数输入!$B$104&gt;=0,62-核心参数输入!$B$104&lt;=120),INDEX(季度经营税费!$D$25:$DT$25,1,MAX(1,MIN(121,62-核心参数输入!$B$104+1))),0),0)</f>
        <v>499.69151742249579</v>
      </c>
      <c r="BO26" s="9">
        <f>IF(63&lt;=核心参数输入!$B$9*4,IF(AND(63-核心参数输入!$B$104&gt;=0,63-核心参数输入!$B$104&lt;=120),INDEX(季度经营税费!$D$25:$DT$25,1,MAX(1,MIN(121,63-核心参数输入!$B$104+1))),0),0)</f>
        <v>499.69151742249579</v>
      </c>
      <c r="BP26" s="9">
        <f>IF(64&lt;=核心参数输入!$B$9*4,IF(AND(64-核心参数输入!$B$104&gt;=0,64-核心参数输入!$B$104&lt;=120),INDEX(季度经营税费!$D$25:$DT$25,1,MAX(1,MIN(121,64-核心参数输入!$B$104+1))),0),0)</f>
        <v>499.69151742249579</v>
      </c>
      <c r="BQ26" s="9">
        <f>IF(65&lt;=核心参数输入!$B$9*4,IF(AND(65-核心参数输入!$B$104&gt;=0,65-核心参数输入!$B$104&lt;=120),INDEX(季度经营税费!$D$25:$DT$25,1,MAX(1,MIN(121,65-核心参数输入!$B$104+1))),0),0)</f>
        <v>507.18689018383327</v>
      </c>
      <c r="BR26" s="9">
        <f>IF(66&lt;=核心参数输入!$B$9*4,IF(AND(66-核心参数输入!$B$104&gt;=0,66-核心参数输入!$B$104&lt;=120),INDEX(季度经营税费!$D$25:$DT$25,1,MAX(1,MIN(121,66-核心参数输入!$B$104+1))),0),0)</f>
        <v>507.18689018383327</v>
      </c>
      <c r="BS26" s="9">
        <f>IF(67&lt;=核心参数输入!$B$9*4,IF(AND(67-核心参数输入!$B$104&gt;=0,67-核心参数输入!$B$104&lt;=120),INDEX(季度经营税费!$D$25:$DT$25,1,MAX(1,MIN(121,67-核心参数输入!$B$104+1))),0),0)</f>
        <v>507.18689018383327</v>
      </c>
      <c r="BT26" s="9">
        <f>IF(68&lt;=核心参数输入!$B$9*4,IF(AND(68-核心参数输入!$B$104&gt;=0,68-核心参数输入!$B$104&lt;=120),INDEX(季度经营税费!$D$25:$DT$25,1,MAX(1,MIN(121,68-核心参数输入!$B$104+1))),0),0)</f>
        <v>507.18689018383327</v>
      </c>
      <c r="BU26" s="9">
        <f>IF(69&lt;=核心参数输入!$B$9*4,IF(AND(69-核心参数输入!$B$104&gt;=0,69-核心参数输入!$B$104&lt;=120),INDEX(季度经营税费!$D$25:$DT$25,1,MAX(1,MIN(121,69-核心参数输入!$B$104+1))),0),0)</f>
        <v>514.79469353659067</v>
      </c>
      <c r="BV26" s="9">
        <f>IF(70&lt;=核心参数输入!$B$9*4,IF(AND(70-核心参数输入!$B$104&gt;=0,70-核心参数输入!$B$104&lt;=120),INDEX(季度经营税费!$D$25:$DT$25,1,MAX(1,MIN(121,70-核心参数输入!$B$104+1))),0),0)</f>
        <v>514.79469353659067</v>
      </c>
      <c r="BW26" s="9">
        <f>IF(71&lt;=核心参数输入!$B$9*4,IF(AND(71-核心参数输入!$B$104&gt;=0,71-核心参数输入!$B$104&lt;=120),INDEX(季度经营税费!$D$25:$DT$25,1,MAX(1,MIN(121,71-核心参数输入!$B$104+1))),0),0)</f>
        <v>514.79469353659067</v>
      </c>
      <c r="BX26" s="9">
        <f>IF(72&lt;=核心参数输入!$B$9*4,IF(AND(72-核心参数输入!$B$104&gt;=0,72-核心参数输入!$B$104&lt;=120),INDEX(季度经营税费!$D$25:$DT$25,1,MAX(1,MIN(121,72-核心参数输入!$B$104+1))),0),0)</f>
        <v>514.79469353659067</v>
      </c>
      <c r="BY26" s="9">
        <f>IF(73&lt;=核心参数输入!$B$9*4,IF(AND(73-核心参数输入!$B$104&gt;=0,73-核心参数输入!$B$104&lt;=120),INDEX(季度经营税费!$D$25:$DT$25,1,MAX(1,MIN(121,73-核心参数输入!$B$104+1))),0),0)</f>
        <v>522.51661393963934</v>
      </c>
      <c r="BZ26" s="9">
        <f>IF(74&lt;=核心参数输入!$B$9*4,IF(AND(74-核心参数输入!$B$104&gt;=0,74-核心参数输入!$B$104&lt;=120),INDEX(季度经营税费!$D$25:$DT$25,1,MAX(1,MIN(121,74-核心参数输入!$B$104+1))),0),0)</f>
        <v>522.51661393963934</v>
      </c>
      <c r="CA26" s="9">
        <f>IF(75&lt;=核心参数输入!$B$9*4,IF(AND(75-核心参数输入!$B$104&gt;=0,75-核心参数输入!$B$104&lt;=120),INDEX(季度经营税费!$D$25:$DT$25,1,MAX(1,MIN(121,75-核心参数输入!$B$104+1))),0),0)</f>
        <v>522.51661393963934</v>
      </c>
      <c r="CB26" s="9">
        <f>IF(76&lt;=核心参数输入!$B$9*4,IF(AND(76-核心参数输入!$B$104&gt;=0,76-核心参数输入!$B$104&lt;=120),INDEX(季度经营税费!$D$25:$DT$25,1,MAX(1,MIN(121,76-核心参数输入!$B$104+1))),0),0)</f>
        <v>522.51661393963934</v>
      </c>
      <c r="CC26" s="9">
        <f>IF(77&lt;=核心参数输入!$B$9*4,IF(AND(77-核心参数输入!$B$104&gt;=0,77-核心参数输入!$B$104&lt;=120),INDEX(季度经营税费!$D$25:$DT$25,1,MAX(1,MIN(121,77-核心参数输入!$B$104+1))),0),0)</f>
        <v>530.35436314873391</v>
      </c>
      <c r="CD26" s="9">
        <f>IF(78&lt;=核心参数输入!$B$9*4,IF(AND(78-核心参数输入!$B$104&gt;=0,78-核心参数输入!$B$104&lt;=120),INDEX(季度经营税费!$D$25:$DT$25,1,MAX(1,MIN(121,78-核心参数输入!$B$104+1))),0),0)</f>
        <v>530.35436314873391</v>
      </c>
      <c r="CE26" s="9">
        <f>IF(79&lt;=核心参数输入!$B$9*4,IF(AND(79-核心参数输入!$B$104&gt;=0,79-核心参数输入!$B$104&lt;=120),INDEX(季度经营税费!$D$25:$DT$25,1,MAX(1,MIN(121,79-核心参数输入!$B$104+1))),0),0)</f>
        <v>530.35436314873391</v>
      </c>
      <c r="CF26" s="9">
        <f>IF(80&lt;=核心参数输入!$B$9*4,IF(AND(80-核心参数输入!$B$104&gt;=0,80-核心参数输入!$B$104&lt;=120),INDEX(季度经营税费!$D$25:$DT$25,1,MAX(1,MIN(121,80-核心参数输入!$B$104+1))),0),0)</f>
        <v>530.35436314873391</v>
      </c>
      <c r="CG26" s="9">
        <f>IF(81&lt;=核心参数输入!$B$9*4,IF(AND(81-核心参数输入!$B$104&gt;=0,81-核心参数输入!$B$104&lt;=120),INDEX(季度经营税费!$D$25:$DT$25,1,MAX(1,MIN(121,81-核心参数输入!$B$104+1))),0),0)</f>
        <v>0</v>
      </c>
      <c r="CH26" s="9">
        <f>IF(82&lt;=核心参数输入!$B$9*4,IF(AND(82-核心参数输入!$B$104&gt;=0,82-核心参数输入!$B$104&lt;=120),INDEX(季度经营税费!$D$25:$DT$25,1,MAX(1,MIN(121,82-核心参数输入!$B$104+1))),0),0)</f>
        <v>0</v>
      </c>
      <c r="CI26" s="9">
        <f>IF(83&lt;=核心参数输入!$B$9*4,IF(AND(83-核心参数输入!$B$104&gt;=0,83-核心参数输入!$B$104&lt;=120),INDEX(季度经营税费!$D$25:$DT$25,1,MAX(1,MIN(121,83-核心参数输入!$B$104+1))),0),0)</f>
        <v>0</v>
      </c>
      <c r="CJ26" s="9">
        <f>IF(84&lt;=核心参数输入!$B$9*4,IF(AND(84-核心参数输入!$B$104&gt;=0,84-核心参数输入!$B$104&lt;=120),INDEX(季度经营税费!$D$25:$DT$25,1,MAX(1,MIN(121,84-核心参数输入!$B$104+1))),0),0)</f>
        <v>0</v>
      </c>
      <c r="CK26" s="9">
        <f>IF(85&lt;=核心参数输入!$B$9*4,IF(AND(85-核心参数输入!$B$104&gt;=0,85-核心参数输入!$B$104&lt;=120),INDEX(季度经营税费!$D$25:$DT$25,1,MAX(1,MIN(121,85-核心参数输入!$B$104+1))),0),0)</f>
        <v>0</v>
      </c>
      <c r="CL26" s="9">
        <f>IF(86&lt;=核心参数输入!$B$9*4,IF(AND(86-核心参数输入!$B$104&gt;=0,86-核心参数输入!$B$104&lt;=120),INDEX(季度经营税费!$D$25:$DT$25,1,MAX(1,MIN(121,86-核心参数输入!$B$104+1))),0),0)</f>
        <v>0</v>
      </c>
      <c r="CM26" s="9">
        <f>IF(87&lt;=核心参数输入!$B$9*4,IF(AND(87-核心参数输入!$B$104&gt;=0,87-核心参数输入!$B$104&lt;=120),INDEX(季度经营税费!$D$25:$DT$25,1,MAX(1,MIN(121,87-核心参数输入!$B$104+1))),0),0)</f>
        <v>0</v>
      </c>
      <c r="CN26" s="9">
        <f>IF(88&lt;=核心参数输入!$B$9*4,IF(AND(88-核心参数输入!$B$104&gt;=0,88-核心参数输入!$B$104&lt;=120),INDEX(季度经营税费!$D$25:$DT$25,1,MAX(1,MIN(121,88-核心参数输入!$B$104+1))),0),0)</f>
        <v>0</v>
      </c>
      <c r="CO26" s="9">
        <f>IF(89&lt;=核心参数输入!$B$9*4,IF(AND(89-核心参数输入!$B$104&gt;=0,89-核心参数输入!$B$104&lt;=120),INDEX(季度经营税费!$D$25:$DT$25,1,MAX(1,MIN(121,89-核心参数输入!$B$104+1))),0),0)</f>
        <v>0</v>
      </c>
      <c r="CP26" s="9">
        <f>IF(90&lt;=核心参数输入!$B$9*4,IF(AND(90-核心参数输入!$B$104&gt;=0,90-核心参数输入!$B$104&lt;=120),INDEX(季度经营税费!$D$25:$DT$25,1,MAX(1,MIN(121,90-核心参数输入!$B$104+1))),0),0)</f>
        <v>0</v>
      </c>
      <c r="CQ26" s="9">
        <f>IF(91&lt;=核心参数输入!$B$9*4,IF(AND(91-核心参数输入!$B$104&gt;=0,91-核心参数输入!$B$104&lt;=120),INDEX(季度经营税费!$D$25:$DT$25,1,MAX(1,MIN(121,91-核心参数输入!$B$104+1))),0),0)</f>
        <v>0</v>
      </c>
      <c r="CR26" s="9">
        <f>IF(92&lt;=核心参数输入!$B$9*4,IF(AND(92-核心参数输入!$B$104&gt;=0,92-核心参数输入!$B$104&lt;=120),INDEX(季度经营税费!$D$25:$DT$25,1,MAX(1,MIN(121,92-核心参数输入!$B$104+1))),0),0)</f>
        <v>0</v>
      </c>
      <c r="CS26" s="9">
        <f>IF(93&lt;=核心参数输入!$B$9*4,IF(AND(93-核心参数输入!$B$104&gt;=0,93-核心参数输入!$B$104&lt;=120),INDEX(季度经营税费!$D$25:$DT$25,1,MAX(1,MIN(121,93-核心参数输入!$B$104+1))),0),0)</f>
        <v>0</v>
      </c>
      <c r="CT26" s="9">
        <f>IF(94&lt;=核心参数输入!$B$9*4,IF(AND(94-核心参数输入!$B$104&gt;=0,94-核心参数输入!$B$104&lt;=120),INDEX(季度经营税费!$D$25:$DT$25,1,MAX(1,MIN(121,94-核心参数输入!$B$104+1))),0),0)</f>
        <v>0</v>
      </c>
      <c r="CU26" s="9">
        <f>IF(95&lt;=核心参数输入!$B$9*4,IF(AND(95-核心参数输入!$B$104&gt;=0,95-核心参数输入!$B$104&lt;=120),INDEX(季度经营税费!$D$25:$DT$25,1,MAX(1,MIN(121,95-核心参数输入!$B$104+1))),0),0)</f>
        <v>0</v>
      </c>
      <c r="CV26" s="9">
        <f>IF(96&lt;=核心参数输入!$B$9*4,IF(AND(96-核心参数输入!$B$104&gt;=0,96-核心参数输入!$B$104&lt;=120),INDEX(季度经营税费!$D$25:$DT$25,1,MAX(1,MIN(121,96-核心参数输入!$B$104+1))),0),0)</f>
        <v>0</v>
      </c>
      <c r="CW26" s="9">
        <f>IF(97&lt;=核心参数输入!$B$9*4,IF(AND(97-核心参数输入!$B$104&gt;=0,97-核心参数输入!$B$104&lt;=120),INDEX(季度经营税费!$D$25:$DT$25,1,MAX(1,MIN(121,97-核心参数输入!$B$104+1))),0),0)</f>
        <v>0</v>
      </c>
      <c r="CX26" s="9">
        <f>IF(98&lt;=核心参数输入!$B$9*4,IF(AND(98-核心参数输入!$B$104&gt;=0,98-核心参数输入!$B$104&lt;=120),INDEX(季度经营税费!$D$25:$DT$25,1,MAX(1,MIN(121,98-核心参数输入!$B$104+1))),0),0)</f>
        <v>0</v>
      </c>
      <c r="CY26" s="9">
        <f>IF(99&lt;=核心参数输入!$B$9*4,IF(AND(99-核心参数输入!$B$104&gt;=0,99-核心参数输入!$B$104&lt;=120),INDEX(季度经营税费!$D$25:$DT$25,1,MAX(1,MIN(121,99-核心参数输入!$B$104+1))),0),0)</f>
        <v>0</v>
      </c>
      <c r="CZ26" s="9">
        <f>IF(100&lt;=核心参数输入!$B$9*4,IF(AND(100-核心参数输入!$B$104&gt;=0,100-核心参数输入!$B$104&lt;=120),INDEX(季度经营税费!$D$25:$DT$25,1,MAX(1,MIN(121,100-核心参数输入!$B$104+1))),0),0)</f>
        <v>0</v>
      </c>
      <c r="DA26" s="9">
        <f>IF(101&lt;=核心参数输入!$B$9*4,IF(AND(101-核心参数输入!$B$104&gt;=0,101-核心参数输入!$B$104&lt;=120),INDEX(季度经营税费!$D$25:$DT$25,1,MAX(1,MIN(121,101-核心参数输入!$B$104+1))),0),0)</f>
        <v>0</v>
      </c>
      <c r="DB26" s="9">
        <f>IF(102&lt;=核心参数输入!$B$9*4,IF(AND(102-核心参数输入!$B$104&gt;=0,102-核心参数输入!$B$104&lt;=120),INDEX(季度经营税费!$D$25:$DT$25,1,MAX(1,MIN(121,102-核心参数输入!$B$104+1))),0),0)</f>
        <v>0</v>
      </c>
      <c r="DC26" s="9">
        <f>IF(103&lt;=核心参数输入!$B$9*4,IF(AND(103-核心参数输入!$B$104&gt;=0,103-核心参数输入!$B$104&lt;=120),INDEX(季度经营税费!$D$25:$DT$25,1,MAX(1,MIN(121,103-核心参数输入!$B$104+1))),0),0)</f>
        <v>0</v>
      </c>
      <c r="DD26" s="9">
        <f>IF(104&lt;=核心参数输入!$B$9*4,IF(AND(104-核心参数输入!$B$104&gt;=0,104-核心参数输入!$B$104&lt;=120),INDEX(季度经营税费!$D$25:$DT$25,1,MAX(1,MIN(121,104-核心参数输入!$B$104+1))),0),0)</f>
        <v>0</v>
      </c>
      <c r="DE26" s="9">
        <f>IF(105&lt;=核心参数输入!$B$9*4,IF(AND(105-核心参数输入!$B$104&gt;=0,105-核心参数输入!$B$104&lt;=120),INDEX(季度经营税费!$D$25:$DT$25,1,MAX(1,MIN(121,105-核心参数输入!$B$104+1))),0),0)</f>
        <v>0</v>
      </c>
      <c r="DF26" s="9">
        <f>IF(106&lt;=核心参数输入!$B$9*4,IF(AND(106-核心参数输入!$B$104&gt;=0,106-核心参数输入!$B$104&lt;=120),INDEX(季度经营税费!$D$25:$DT$25,1,MAX(1,MIN(121,106-核心参数输入!$B$104+1))),0),0)</f>
        <v>0</v>
      </c>
      <c r="DG26" s="9">
        <f>IF(107&lt;=核心参数输入!$B$9*4,IF(AND(107-核心参数输入!$B$104&gt;=0,107-核心参数输入!$B$104&lt;=120),INDEX(季度经营税费!$D$25:$DT$25,1,MAX(1,MIN(121,107-核心参数输入!$B$104+1))),0),0)</f>
        <v>0</v>
      </c>
      <c r="DH26" s="9">
        <f>IF(108&lt;=核心参数输入!$B$9*4,IF(AND(108-核心参数输入!$B$104&gt;=0,108-核心参数输入!$B$104&lt;=120),INDEX(季度经营税费!$D$25:$DT$25,1,MAX(1,MIN(121,108-核心参数输入!$B$104+1))),0),0)</f>
        <v>0</v>
      </c>
      <c r="DI26" s="9">
        <f>IF(109&lt;=核心参数输入!$B$9*4,IF(AND(109-核心参数输入!$B$104&gt;=0,109-核心参数输入!$B$104&lt;=120),INDEX(季度经营税费!$D$25:$DT$25,1,MAX(1,MIN(121,109-核心参数输入!$B$104+1))),0),0)</f>
        <v>0</v>
      </c>
      <c r="DJ26" s="9">
        <f>IF(110&lt;=核心参数输入!$B$9*4,IF(AND(110-核心参数输入!$B$104&gt;=0,110-核心参数输入!$B$104&lt;=120),INDEX(季度经营税费!$D$25:$DT$25,1,MAX(1,MIN(121,110-核心参数输入!$B$104+1))),0),0)</f>
        <v>0</v>
      </c>
      <c r="DK26" s="9">
        <f>IF(111&lt;=核心参数输入!$B$9*4,IF(AND(111-核心参数输入!$B$104&gt;=0,111-核心参数输入!$B$104&lt;=120),INDEX(季度经营税费!$D$25:$DT$25,1,MAX(1,MIN(121,111-核心参数输入!$B$104+1))),0),0)</f>
        <v>0</v>
      </c>
      <c r="DL26" s="9">
        <f>IF(112&lt;=核心参数输入!$B$9*4,IF(AND(112-核心参数输入!$B$104&gt;=0,112-核心参数输入!$B$104&lt;=120),INDEX(季度经营税费!$D$25:$DT$25,1,MAX(1,MIN(121,112-核心参数输入!$B$104+1))),0),0)</f>
        <v>0</v>
      </c>
      <c r="DM26" s="9">
        <f>IF(113&lt;=核心参数输入!$B$9*4,IF(AND(113-核心参数输入!$B$104&gt;=0,113-核心参数输入!$B$104&lt;=120),INDEX(季度经营税费!$D$25:$DT$25,1,MAX(1,MIN(121,113-核心参数输入!$B$104+1))),0),0)</f>
        <v>0</v>
      </c>
      <c r="DN26" s="9">
        <f>IF(114&lt;=核心参数输入!$B$9*4,IF(AND(114-核心参数输入!$B$104&gt;=0,114-核心参数输入!$B$104&lt;=120),INDEX(季度经营税费!$D$25:$DT$25,1,MAX(1,MIN(121,114-核心参数输入!$B$104+1))),0),0)</f>
        <v>0</v>
      </c>
      <c r="DO26" s="9">
        <f>IF(115&lt;=核心参数输入!$B$9*4,IF(AND(115-核心参数输入!$B$104&gt;=0,115-核心参数输入!$B$104&lt;=120),INDEX(季度经营税费!$D$25:$DT$25,1,MAX(1,MIN(121,115-核心参数输入!$B$104+1))),0),0)</f>
        <v>0</v>
      </c>
      <c r="DP26" s="9">
        <f>IF(116&lt;=核心参数输入!$B$9*4,IF(AND(116-核心参数输入!$B$104&gt;=0,116-核心参数输入!$B$104&lt;=120),INDEX(季度经营税费!$D$25:$DT$25,1,MAX(1,MIN(121,116-核心参数输入!$B$104+1))),0),0)</f>
        <v>0</v>
      </c>
      <c r="DQ26" s="9">
        <f>IF(117&lt;=核心参数输入!$B$9*4,IF(AND(117-核心参数输入!$B$104&gt;=0,117-核心参数输入!$B$104&lt;=120),INDEX(季度经营税费!$D$25:$DT$25,1,MAX(1,MIN(121,117-核心参数输入!$B$104+1))),0),0)</f>
        <v>0</v>
      </c>
      <c r="DR26" s="9">
        <f>IF(118&lt;=核心参数输入!$B$9*4,IF(AND(118-核心参数输入!$B$104&gt;=0,118-核心参数输入!$B$104&lt;=120),INDEX(季度经营税费!$D$25:$DT$25,1,MAX(1,MIN(121,118-核心参数输入!$B$104+1))),0),0)</f>
        <v>0</v>
      </c>
      <c r="DS26" s="9">
        <f>IF(119&lt;=核心参数输入!$B$9*4,IF(AND(119-核心参数输入!$B$104&gt;=0,119-核心参数输入!$B$104&lt;=120),INDEX(季度经营税费!$D$25:$DT$25,1,MAX(1,MIN(121,119-核心参数输入!$B$104+1))),0),0)</f>
        <v>0</v>
      </c>
      <c r="DT26" s="9">
        <f>IF(120&lt;=核心参数输入!$B$9*4,IF(AND(120-核心参数输入!$B$104&gt;=0,120-核心参数输入!$B$104&lt;=120),INDEX(季度经营税费!$D$25:$DT$25,1,MAX(1,MIN(121,120-核心参数输入!$B$104+1))),0),0)</f>
        <v>0</v>
      </c>
    </row>
    <row r="27" spans="1:124" ht="21" customHeight="1">
      <c r="A27" s="8" t="s">
        <v>462</v>
      </c>
      <c r="B27" s="8" t="s">
        <v>39</v>
      </c>
      <c r="C27" s="8"/>
      <c r="D27" s="9">
        <f>IF(0&lt;=核心参数输入!$B$9*4,D25*核心参数输入!$B$44,0)</f>
        <v>0</v>
      </c>
      <c r="E27" s="9">
        <f>IF(1&lt;=核心参数输入!$B$9*4,E25*核心参数输入!$B$44,0)</f>
        <v>0</v>
      </c>
      <c r="F27" s="9">
        <f>IF(2&lt;=核心参数输入!$B$9*4,F25*核心参数输入!$B$44,0)</f>
        <v>0</v>
      </c>
      <c r="G27" s="9">
        <f>IF(3&lt;=核心参数输入!$B$9*4,G25*核心参数输入!$B$44,0)</f>
        <v>0</v>
      </c>
      <c r="H27" s="9">
        <f>IF(4&lt;=核心参数输入!$B$9*4,H25*核心参数输入!$B$44,0)</f>
        <v>0</v>
      </c>
      <c r="I27" s="9">
        <f>IF(5&lt;=核心参数输入!$B$9*4,I25*核心参数输入!$B$44,0)</f>
        <v>0</v>
      </c>
      <c r="J27" s="9">
        <f>IF(6&lt;=核心参数输入!$B$9*4,J25*核心参数输入!$B$44,0)</f>
        <v>0</v>
      </c>
      <c r="K27" s="9">
        <f>IF(7&lt;=核心参数输入!$B$9*4,K25*核心参数输入!$B$44,0)</f>
        <v>0</v>
      </c>
      <c r="L27" s="9">
        <f>IF(8&lt;=核心参数输入!$B$9*4,L25*核心参数输入!$B$44,0)</f>
        <v>0</v>
      </c>
      <c r="M27" s="9">
        <f>IF(9&lt;=核心参数输入!$B$9*4,M25*核心参数输入!$B$44,0)</f>
        <v>0</v>
      </c>
      <c r="N27" s="9">
        <f>IF(10&lt;=核心参数输入!$B$9*4,N25*核心参数输入!$B$44,0)</f>
        <v>0</v>
      </c>
      <c r="O27" s="9">
        <f>IF(11&lt;=核心参数输入!$B$9*4,O25*核心参数输入!$B$44,0)</f>
        <v>0</v>
      </c>
      <c r="P27" s="9">
        <f>IF(12&lt;=核心参数输入!$B$9*4,P25*核心参数输入!$B$44,0)</f>
        <v>0</v>
      </c>
      <c r="Q27" s="9">
        <f>IF(13&lt;=核心参数输入!$B$9*4,Q25*核心参数输入!$B$44,0)</f>
        <v>0</v>
      </c>
      <c r="R27" s="9">
        <f>IF(14&lt;=核心参数输入!$B$9*4,R25*核心参数输入!$B$44,0)</f>
        <v>1.4511656249999998</v>
      </c>
      <c r="S27" s="9">
        <f>IF(15&lt;=核心参数输入!$B$9*4,S25*核心参数输入!$B$44,0)</f>
        <v>4.3534968749999985</v>
      </c>
      <c r="T27" s="9">
        <f>IF(16&lt;=核心参数输入!$B$9*4,T25*核心参数输入!$B$44,0)</f>
        <v>7.2558281249999981</v>
      </c>
      <c r="U27" s="9">
        <f>IF(17&lt;=核心参数输入!$B$9*4,U25*核心参数输入!$B$44,0)</f>
        <v>10.310531765624999</v>
      </c>
      <c r="V27" s="9">
        <f>IF(18&lt;=核心参数输入!$B$9*4,V25*核心参数输入!$B$44,0)</f>
        <v>12.37263811875</v>
      </c>
      <c r="W27" s="9">
        <f>IF(19&lt;=核心参数输入!$B$9*4,W25*核心参数输入!$B$44,0)</f>
        <v>13.550984606249997</v>
      </c>
      <c r="X27" s="9">
        <f>IF(20&lt;=核心参数输入!$B$9*4,X25*核心参数输入!$B$44,0)</f>
        <v>14.729331093749995</v>
      </c>
      <c r="Y27" s="9">
        <f>IF(21&lt;=核心参数输入!$B$9*4,Y25*核心参数输入!$B$44,0)</f>
        <v>16.146292744968743</v>
      </c>
      <c r="Z27" s="9">
        <f>IF(22&lt;=核心参数输入!$B$9*4,Z25*核心参数输入!$B$44,0)</f>
        <v>17.19281171917968</v>
      </c>
      <c r="AA27" s="9">
        <f>IF(23&lt;=核心参数输入!$B$9*4,AA25*核心参数输入!$B$44,0)</f>
        <v>18.089827982789057</v>
      </c>
      <c r="AB27" s="9">
        <f>IF(24&lt;=核心参数输入!$B$9*4,AB25*核心参数输入!$B$44,0)</f>
        <v>18.98684424639843</v>
      </c>
      <c r="AC27" s="9">
        <f>IF(25&lt;=核心参数输入!$B$9*4,AC25*核心参数输入!$B$44,0)</f>
        <v>20.182118417657925</v>
      </c>
      <c r="AD27" s="9">
        <f>IF(26&lt;=核心参数输入!$B$9*4,AD25*核心参数输入!$B$44,0)</f>
        <v>20.789099422700264</v>
      </c>
      <c r="AE27" s="9">
        <f>IF(27&lt;=核心参数输入!$B$9*4,AE25*核心参数输入!$B$44,0)</f>
        <v>21.092589925221436</v>
      </c>
      <c r="AF27" s="9">
        <f>IF(28&lt;=核心参数输入!$B$9*4,AF25*核心参数输入!$B$44,0)</f>
        <v>21.396080427742604</v>
      </c>
      <c r="AG27" s="9">
        <f>IF(29&lt;=核心参数输入!$B$9*4,AG25*核心参数输入!$B$44,0)</f>
        <v>22.02506449421773</v>
      </c>
      <c r="AH27" s="9">
        <f>IF(30&lt;=核心参数输入!$B$9*4,AH25*核心参数输入!$B$44,0)</f>
        <v>22.179085924247229</v>
      </c>
      <c r="AI27" s="9">
        <f>IF(31&lt;=核心参数输入!$B$9*4,AI25*核心参数输入!$B$44,0)</f>
        <v>22.179085924247229</v>
      </c>
      <c r="AJ27" s="9">
        <f>IF(32&lt;=核心参数输入!$B$9*4,AJ25*核心参数输入!$B$44,0)</f>
        <v>22.179085924247229</v>
      </c>
      <c r="AK27" s="9">
        <f>IF(33&lt;=核心参数输入!$B$9*4,AK25*核心参数输入!$B$44,0)</f>
        <v>22.51177221311093</v>
      </c>
      <c r="AL27" s="9">
        <f>IF(34&lt;=核心参数输入!$B$9*4,AL25*核心参数输入!$B$44,0)</f>
        <v>22.51177221311093</v>
      </c>
      <c r="AM27" s="9">
        <f>IF(35&lt;=核心参数输入!$B$9*4,AM25*核心参数输入!$B$44,0)</f>
        <v>22.51177221311093</v>
      </c>
      <c r="AN27" s="9">
        <f>IF(36&lt;=核心参数输入!$B$9*4,AN25*核心参数输入!$B$44,0)</f>
        <v>22.51177221311093</v>
      </c>
      <c r="AO27" s="9">
        <f>IF(37&lt;=核心参数输入!$B$9*4,AO25*核心参数输入!$B$44,0)</f>
        <v>22.849448796307595</v>
      </c>
      <c r="AP27" s="9">
        <f>IF(38&lt;=核心参数输入!$B$9*4,AP25*核心参数输入!$B$44,0)</f>
        <v>22.849448796307595</v>
      </c>
      <c r="AQ27" s="9">
        <f>IF(39&lt;=核心参数输入!$B$9*4,AQ25*核心参数输入!$B$44,0)</f>
        <v>22.849448796307595</v>
      </c>
      <c r="AR27" s="9">
        <f>IF(40&lt;=核心参数输入!$B$9*4,AR25*核心参数输入!$B$44,0)</f>
        <v>22.849448796307595</v>
      </c>
      <c r="AS27" s="9">
        <f>IF(41&lt;=核心参数输入!$B$9*4,AS25*核心参数输入!$B$44,0)</f>
        <v>23.192190528252205</v>
      </c>
      <c r="AT27" s="9">
        <f>IF(42&lt;=核心参数输入!$B$9*4,AT25*核心参数输入!$B$44,0)</f>
        <v>23.192190528252205</v>
      </c>
      <c r="AU27" s="9">
        <f>IF(43&lt;=核心参数输入!$B$9*4,AU25*核心参数输入!$B$44,0)</f>
        <v>23.192190528252205</v>
      </c>
      <c r="AV27" s="9">
        <f>IF(44&lt;=核心参数输入!$B$9*4,AV25*核心参数输入!$B$44,0)</f>
        <v>23.192190528252205</v>
      </c>
      <c r="AW27" s="9">
        <f>IF(45&lt;=核心参数输入!$B$9*4,AW25*核心参数输入!$B$44,0)</f>
        <v>23.540073386175983</v>
      </c>
      <c r="AX27" s="9">
        <f>IF(46&lt;=核心参数输入!$B$9*4,AX25*核心参数输入!$B$44,0)</f>
        <v>23.540073386175983</v>
      </c>
      <c r="AY27" s="9">
        <f>IF(47&lt;=核心参数输入!$B$9*4,AY25*核心参数输入!$B$44,0)</f>
        <v>23.540073386175983</v>
      </c>
      <c r="AZ27" s="9">
        <f>IF(48&lt;=核心参数输入!$B$9*4,AZ25*核心参数输入!$B$44,0)</f>
        <v>23.540073386175983</v>
      </c>
      <c r="BA27" s="9">
        <f>IF(49&lt;=核心参数输入!$B$9*4,BA25*核心参数输入!$B$44,0)</f>
        <v>23.893174486968618</v>
      </c>
      <c r="BB27" s="9">
        <f>IF(50&lt;=核心参数输入!$B$9*4,BB25*核心参数输入!$B$44,0)</f>
        <v>23.893174486968618</v>
      </c>
      <c r="BC27" s="9">
        <f>IF(51&lt;=核心参数输入!$B$9*4,BC25*核心参数输入!$B$44,0)</f>
        <v>23.893174486968618</v>
      </c>
      <c r="BD27" s="9">
        <f>IF(52&lt;=核心参数输入!$B$9*4,BD25*核心参数输入!$B$44,0)</f>
        <v>23.893174486968618</v>
      </c>
      <c r="BE27" s="9">
        <f>IF(53&lt;=核心参数输入!$B$9*4,BE25*核心参数输入!$B$44,0)</f>
        <v>24.251572104273148</v>
      </c>
      <c r="BF27" s="9">
        <f>IF(54&lt;=核心参数输入!$B$9*4,BF25*核心参数输入!$B$44,0)</f>
        <v>24.251572104273148</v>
      </c>
      <c r="BG27" s="9">
        <f>IF(55&lt;=核心参数输入!$B$9*4,BG25*核心参数输入!$B$44,0)</f>
        <v>24.251572104273148</v>
      </c>
      <c r="BH27" s="9">
        <f>IF(56&lt;=核心参数输入!$B$9*4,BH25*核心参数输入!$B$44,0)</f>
        <v>24.251572104273148</v>
      </c>
      <c r="BI27" s="9">
        <f>IF(57&lt;=核心参数输入!$B$9*4,BI25*核心参数输入!$B$44,0)</f>
        <v>24.615345685837241</v>
      </c>
      <c r="BJ27" s="9">
        <f>IF(58&lt;=核心参数输入!$B$9*4,BJ25*核心参数输入!$B$44,0)</f>
        <v>24.615345685837241</v>
      </c>
      <c r="BK27" s="9">
        <f>IF(59&lt;=核心参数输入!$B$9*4,BK25*核心参数输入!$B$44,0)</f>
        <v>24.615345685837241</v>
      </c>
      <c r="BL27" s="9">
        <f>IF(60&lt;=核心参数输入!$B$9*4,BL25*核心参数输入!$B$44,0)</f>
        <v>24.615345685837241</v>
      </c>
      <c r="BM27" s="9">
        <f>IF(61&lt;=核心参数输入!$B$9*4,BM25*核心参数输入!$B$44,0)</f>
        <v>24.98457587112479</v>
      </c>
      <c r="BN27" s="9">
        <f>IF(62&lt;=核心参数输入!$B$9*4,BN25*核心参数输入!$B$44,0)</f>
        <v>24.98457587112479</v>
      </c>
      <c r="BO27" s="9">
        <f>IF(63&lt;=核心参数输入!$B$9*4,BO25*核心参数输入!$B$44,0)</f>
        <v>24.98457587112479</v>
      </c>
      <c r="BP27" s="9">
        <f>IF(64&lt;=核心参数输入!$B$9*4,BP25*核心参数输入!$B$44,0)</f>
        <v>24.98457587112479</v>
      </c>
      <c r="BQ27" s="9">
        <f>IF(65&lt;=核心参数输入!$B$9*4,BQ25*核心参数输入!$B$44,0)</f>
        <v>25.359344509191665</v>
      </c>
      <c r="BR27" s="9">
        <f>IF(66&lt;=核心参数输入!$B$9*4,BR25*核心参数输入!$B$44,0)</f>
        <v>25.359344509191665</v>
      </c>
      <c r="BS27" s="9">
        <f>IF(67&lt;=核心参数输入!$B$9*4,BS25*核心参数输入!$B$44,0)</f>
        <v>25.359344509191665</v>
      </c>
      <c r="BT27" s="9">
        <f>IF(68&lt;=核心参数输入!$B$9*4,BT25*核心参数输入!$B$44,0)</f>
        <v>25.359344509191665</v>
      </c>
      <c r="BU27" s="9">
        <f>IF(69&lt;=核心参数输入!$B$9*4,BU25*核心参数输入!$B$44,0)</f>
        <v>25.739734676829535</v>
      </c>
      <c r="BV27" s="9">
        <f>IF(70&lt;=核心参数输入!$B$9*4,BV25*核心参数输入!$B$44,0)</f>
        <v>25.739734676829535</v>
      </c>
      <c r="BW27" s="9">
        <f>IF(71&lt;=核心参数输入!$B$9*4,BW25*核心参数输入!$B$44,0)</f>
        <v>25.739734676829535</v>
      </c>
      <c r="BX27" s="9">
        <f>IF(72&lt;=核心参数输入!$B$9*4,BX25*核心参数输入!$B$44,0)</f>
        <v>25.739734676829535</v>
      </c>
      <c r="BY27" s="9">
        <f>IF(73&lt;=核心参数输入!$B$9*4,BY25*核心参数输入!$B$44,0)</f>
        <v>26.125830696981968</v>
      </c>
      <c r="BZ27" s="9">
        <f>IF(74&lt;=核心参数输入!$B$9*4,BZ25*核心参数输入!$B$44,0)</f>
        <v>26.125830696981968</v>
      </c>
      <c r="CA27" s="9">
        <f>IF(75&lt;=核心参数输入!$B$9*4,CA25*核心参数输入!$B$44,0)</f>
        <v>26.125830696981968</v>
      </c>
      <c r="CB27" s="9">
        <f>IF(76&lt;=核心参数输入!$B$9*4,CB25*核心参数输入!$B$44,0)</f>
        <v>26.125830696981968</v>
      </c>
      <c r="CC27" s="9">
        <f>IF(77&lt;=核心参数输入!$B$9*4,CC25*核心参数输入!$B$44,0)</f>
        <v>26.517718157436697</v>
      </c>
      <c r="CD27" s="9">
        <f>IF(78&lt;=核心参数输入!$B$9*4,CD25*核心参数输入!$B$44,0)</f>
        <v>26.517718157436697</v>
      </c>
      <c r="CE27" s="9">
        <f>IF(79&lt;=核心参数输入!$B$9*4,CE25*核心参数输入!$B$44,0)</f>
        <v>26.517718157436697</v>
      </c>
      <c r="CF27" s="9">
        <f>IF(80&lt;=核心参数输入!$B$9*4,CF25*核心参数输入!$B$44,0)</f>
        <v>26.517718157436697</v>
      </c>
      <c r="CG27" s="9">
        <f>IF(81&lt;=核心参数输入!$B$9*4,CG25*核心参数输入!$B$44,0)</f>
        <v>0</v>
      </c>
      <c r="CH27" s="9">
        <f>IF(82&lt;=核心参数输入!$B$9*4,CH25*核心参数输入!$B$44,0)</f>
        <v>0</v>
      </c>
      <c r="CI27" s="9">
        <f>IF(83&lt;=核心参数输入!$B$9*4,CI25*核心参数输入!$B$44,0)</f>
        <v>0</v>
      </c>
      <c r="CJ27" s="9">
        <f>IF(84&lt;=核心参数输入!$B$9*4,CJ25*核心参数输入!$B$44,0)</f>
        <v>0</v>
      </c>
      <c r="CK27" s="9">
        <f>IF(85&lt;=核心参数输入!$B$9*4,CK25*核心参数输入!$B$44,0)</f>
        <v>0</v>
      </c>
      <c r="CL27" s="9">
        <f>IF(86&lt;=核心参数输入!$B$9*4,CL25*核心参数输入!$B$44,0)</f>
        <v>0</v>
      </c>
      <c r="CM27" s="9">
        <f>IF(87&lt;=核心参数输入!$B$9*4,CM25*核心参数输入!$B$44,0)</f>
        <v>0</v>
      </c>
      <c r="CN27" s="9">
        <f>IF(88&lt;=核心参数输入!$B$9*4,CN25*核心参数输入!$B$44,0)</f>
        <v>0</v>
      </c>
      <c r="CO27" s="9">
        <f>IF(89&lt;=核心参数输入!$B$9*4,CO25*核心参数输入!$B$44,0)</f>
        <v>0</v>
      </c>
      <c r="CP27" s="9">
        <f>IF(90&lt;=核心参数输入!$B$9*4,CP25*核心参数输入!$B$44,0)</f>
        <v>0</v>
      </c>
      <c r="CQ27" s="9">
        <f>IF(91&lt;=核心参数输入!$B$9*4,CQ25*核心参数输入!$B$44,0)</f>
        <v>0</v>
      </c>
      <c r="CR27" s="9">
        <f>IF(92&lt;=核心参数输入!$B$9*4,CR25*核心参数输入!$B$44,0)</f>
        <v>0</v>
      </c>
      <c r="CS27" s="9">
        <f>IF(93&lt;=核心参数输入!$B$9*4,CS25*核心参数输入!$B$44,0)</f>
        <v>0</v>
      </c>
      <c r="CT27" s="9">
        <f>IF(94&lt;=核心参数输入!$B$9*4,CT25*核心参数输入!$B$44,0)</f>
        <v>0</v>
      </c>
      <c r="CU27" s="9">
        <f>IF(95&lt;=核心参数输入!$B$9*4,CU25*核心参数输入!$B$44,0)</f>
        <v>0</v>
      </c>
      <c r="CV27" s="9">
        <f>IF(96&lt;=核心参数输入!$B$9*4,CV25*核心参数输入!$B$44,0)</f>
        <v>0</v>
      </c>
      <c r="CW27" s="9">
        <f>IF(97&lt;=核心参数输入!$B$9*4,CW25*核心参数输入!$B$44,0)</f>
        <v>0</v>
      </c>
      <c r="CX27" s="9">
        <f>IF(98&lt;=核心参数输入!$B$9*4,CX25*核心参数输入!$B$44,0)</f>
        <v>0</v>
      </c>
      <c r="CY27" s="9">
        <f>IF(99&lt;=核心参数输入!$B$9*4,CY25*核心参数输入!$B$44,0)</f>
        <v>0</v>
      </c>
      <c r="CZ27" s="9">
        <f>IF(100&lt;=核心参数输入!$B$9*4,CZ25*核心参数输入!$B$44,0)</f>
        <v>0</v>
      </c>
      <c r="DA27" s="9">
        <f>IF(101&lt;=核心参数输入!$B$9*4,DA25*核心参数输入!$B$44,0)</f>
        <v>0</v>
      </c>
      <c r="DB27" s="9">
        <f>IF(102&lt;=核心参数输入!$B$9*4,DB25*核心参数输入!$B$44,0)</f>
        <v>0</v>
      </c>
      <c r="DC27" s="9">
        <f>IF(103&lt;=核心参数输入!$B$9*4,DC25*核心参数输入!$B$44,0)</f>
        <v>0</v>
      </c>
      <c r="DD27" s="9">
        <f>IF(104&lt;=核心参数输入!$B$9*4,DD25*核心参数输入!$B$44,0)</f>
        <v>0</v>
      </c>
      <c r="DE27" s="9">
        <f>IF(105&lt;=核心参数输入!$B$9*4,DE25*核心参数输入!$B$44,0)</f>
        <v>0</v>
      </c>
      <c r="DF27" s="9">
        <f>IF(106&lt;=核心参数输入!$B$9*4,DF25*核心参数输入!$B$44,0)</f>
        <v>0</v>
      </c>
      <c r="DG27" s="9">
        <f>IF(107&lt;=核心参数输入!$B$9*4,DG25*核心参数输入!$B$44,0)</f>
        <v>0</v>
      </c>
      <c r="DH27" s="9">
        <f>IF(108&lt;=核心参数输入!$B$9*4,DH25*核心参数输入!$B$44,0)</f>
        <v>0</v>
      </c>
      <c r="DI27" s="9">
        <f>IF(109&lt;=核心参数输入!$B$9*4,DI25*核心参数输入!$B$44,0)</f>
        <v>0</v>
      </c>
      <c r="DJ27" s="9">
        <f>IF(110&lt;=核心参数输入!$B$9*4,DJ25*核心参数输入!$B$44,0)</f>
        <v>0</v>
      </c>
      <c r="DK27" s="9">
        <f>IF(111&lt;=核心参数输入!$B$9*4,DK25*核心参数输入!$B$44,0)</f>
        <v>0</v>
      </c>
      <c r="DL27" s="9">
        <f>IF(112&lt;=核心参数输入!$B$9*4,DL25*核心参数输入!$B$44,0)</f>
        <v>0</v>
      </c>
      <c r="DM27" s="9">
        <f>IF(113&lt;=核心参数输入!$B$9*4,DM25*核心参数输入!$B$44,0)</f>
        <v>0</v>
      </c>
      <c r="DN27" s="9">
        <f>IF(114&lt;=核心参数输入!$B$9*4,DN25*核心参数输入!$B$44,0)</f>
        <v>0</v>
      </c>
      <c r="DO27" s="9">
        <f>IF(115&lt;=核心参数输入!$B$9*4,DO25*核心参数输入!$B$44,0)</f>
        <v>0</v>
      </c>
      <c r="DP27" s="9">
        <f>IF(116&lt;=核心参数输入!$B$9*4,DP25*核心参数输入!$B$44,0)</f>
        <v>0</v>
      </c>
      <c r="DQ27" s="9">
        <f>IF(117&lt;=核心参数输入!$B$9*4,DQ25*核心参数输入!$B$44,0)</f>
        <v>0</v>
      </c>
      <c r="DR27" s="9">
        <f>IF(118&lt;=核心参数输入!$B$9*4,DR25*核心参数输入!$B$44,0)</f>
        <v>0</v>
      </c>
      <c r="DS27" s="9">
        <f>IF(119&lt;=核心参数输入!$B$9*4,DS25*核心参数输入!$B$44,0)</f>
        <v>0</v>
      </c>
      <c r="DT27" s="9">
        <f>IF(120&lt;=核心参数输入!$B$9*4,DT25*核心参数输入!$B$44,0)</f>
        <v>0</v>
      </c>
    </row>
    <row r="28" spans="1:124" ht="21" customHeight="1">
      <c r="A28" s="8" t="s">
        <v>367</v>
      </c>
      <c r="B28" s="8" t="s">
        <v>39</v>
      </c>
      <c r="C28" s="8"/>
      <c r="D28" s="9">
        <f>IF(0&lt;=核心参数输入!$B$9*4,IF(AND(0-核心参数输入!$B$104&gt;=0,0-核心参数输入!$B$104&lt;=120),INDEX(季度经营税费!$D$27:$DT$27,1,MAX(1,MIN(121,0-核心参数输入!$B$104+1))),0),0)</f>
        <v>0</v>
      </c>
      <c r="E28" s="9">
        <f>IF(1&lt;=核心参数输入!$B$9*4,IF(AND(1-核心参数输入!$B$104&gt;=0,1-核心参数输入!$B$104&lt;=120),INDEX(季度经营税费!$D$27:$DT$27,1,MAX(1,MIN(121,1-核心参数输入!$B$104+1))),0),0)</f>
        <v>0</v>
      </c>
      <c r="F28" s="9">
        <f>IF(2&lt;=核心参数输入!$B$9*4,IF(AND(2-核心参数输入!$B$104&gt;=0,2-核心参数输入!$B$104&lt;=120),INDEX(季度经营税费!$D$27:$DT$27,1,MAX(1,MIN(121,2-核心参数输入!$B$104+1))),0),0)</f>
        <v>0</v>
      </c>
      <c r="G28" s="9">
        <f>IF(3&lt;=核心参数输入!$B$9*4,IF(AND(3-核心参数输入!$B$104&gt;=0,3-核心参数输入!$B$104&lt;=120),INDEX(季度经营税费!$D$27:$DT$27,1,MAX(1,MIN(121,3-核心参数输入!$B$104+1))),0),0)</f>
        <v>0</v>
      </c>
      <c r="H28" s="9">
        <f>IF(4&lt;=核心参数输入!$B$9*4,IF(AND(4-核心参数输入!$B$104&gt;=0,4-核心参数输入!$B$104&lt;=120),INDEX(季度经营税费!$D$27:$DT$27,1,MAX(1,MIN(121,4-核心参数输入!$B$104+1))),0),0)</f>
        <v>0</v>
      </c>
      <c r="I28" s="9">
        <f>IF(5&lt;=核心参数输入!$B$9*4,IF(AND(5-核心参数输入!$B$104&gt;=0,5-核心参数输入!$B$104&lt;=120),INDEX(季度经营税费!$D$27:$DT$27,1,MAX(1,MIN(121,5-核心参数输入!$B$104+1))),0),0)</f>
        <v>0</v>
      </c>
      <c r="J28" s="9">
        <f>IF(6&lt;=核心参数输入!$B$9*4,IF(AND(6-核心参数输入!$B$104&gt;=0,6-核心参数输入!$B$104&lt;=120),INDEX(季度经营税费!$D$27:$DT$27,1,MAX(1,MIN(121,6-核心参数输入!$B$104+1))),0),0)</f>
        <v>0</v>
      </c>
      <c r="K28" s="9">
        <f>IF(7&lt;=核心参数输入!$B$9*4,IF(AND(7-核心参数输入!$B$104&gt;=0,7-核心参数输入!$B$104&lt;=120),INDEX(季度经营税费!$D$27:$DT$27,1,MAX(1,MIN(121,7-核心参数输入!$B$104+1))),0),0)</f>
        <v>0</v>
      </c>
      <c r="L28" s="9">
        <f>IF(8&lt;=核心参数输入!$B$9*4,IF(AND(8-核心参数输入!$B$104&gt;=0,8-核心参数输入!$B$104&lt;=120),INDEX(季度经营税费!$D$27:$DT$27,1,MAX(1,MIN(121,8-核心参数输入!$B$104+1))),0),0)</f>
        <v>0</v>
      </c>
      <c r="M28" s="9">
        <f>IF(9&lt;=核心参数输入!$B$9*4,IF(AND(9-核心参数输入!$B$104&gt;=0,9-核心参数输入!$B$104&lt;=120),INDEX(季度经营税费!$D$27:$DT$27,1,MAX(1,MIN(121,9-核心参数输入!$B$104+1))),0),0)</f>
        <v>0</v>
      </c>
      <c r="N28" s="9">
        <f>IF(10&lt;=核心参数输入!$B$9*4,IF(AND(10-核心参数输入!$B$104&gt;=0,10-核心参数输入!$B$104&lt;=120),INDEX(季度经营税费!$D$27:$DT$27,1,MAX(1,MIN(121,10-核心参数输入!$B$104+1))),0),0)</f>
        <v>0</v>
      </c>
      <c r="O28" s="9">
        <f>IF(11&lt;=核心参数输入!$B$9*4,IF(AND(11-核心参数输入!$B$104&gt;=0,11-核心参数输入!$B$104&lt;=120),INDEX(季度经营税费!$D$27:$DT$27,1,MAX(1,MIN(121,11-核心参数输入!$B$104+1))),0),0)</f>
        <v>0</v>
      </c>
      <c r="P28" s="9">
        <f>IF(12&lt;=核心参数输入!$B$9*4,IF(AND(12-核心参数输入!$B$104&gt;=0,12-核心参数输入!$B$104&lt;=120),INDEX(季度经营税费!$D$27:$DT$27,1,MAX(1,MIN(121,12-核心参数输入!$B$104+1))),0),0)</f>
        <v>0</v>
      </c>
      <c r="Q28" s="9">
        <f>IF(13&lt;=核心参数输入!$B$9*4,IF(AND(13-核心参数输入!$B$104&gt;=0,13-核心参数输入!$B$104&lt;=120),INDEX(季度经营税费!$D$27:$DT$27,1,MAX(1,MIN(121,13-核心参数输入!$B$104+1))),0),0)</f>
        <v>0</v>
      </c>
      <c r="R28" s="9">
        <f>IF(14&lt;=核心参数输入!$B$9*4,IF(AND(14-核心参数输入!$B$104&gt;=0,14-核心参数输入!$B$104&lt;=120),INDEX(季度经营税费!$D$27:$DT$27,1,MAX(1,MIN(121,14-核心参数输入!$B$104+1))),0),0)</f>
        <v>1.4511656249999998</v>
      </c>
      <c r="S28" s="9">
        <f>IF(15&lt;=核心参数输入!$B$9*4,IF(AND(15-核心参数输入!$B$104&gt;=0,15-核心参数输入!$B$104&lt;=120),INDEX(季度经营税费!$D$27:$DT$27,1,MAX(1,MIN(121,15-核心参数输入!$B$104+1))),0),0)</f>
        <v>4.3534968749999985</v>
      </c>
      <c r="T28" s="9">
        <f>IF(16&lt;=核心参数输入!$B$9*4,IF(AND(16-核心参数输入!$B$104&gt;=0,16-核心参数输入!$B$104&lt;=120),INDEX(季度经营税费!$D$27:$DT$27,1,MAX(1,MIN(121,16-核心参数输入!$B$104+1))),0),0)</f>
        <v>7.2558281249999981</v>
      </c>
      <c r="U28" s="9">
        <f>IF(17&lt;=核心参数输入!$B$9*4,IF(AND(17-核心参数输入!$B$104&gt;=0,17-核心参数输入!$B$104&lt;=120),INDEX(季度经营税费!$D$27:$DT$27,1,MAX(1,MIN(121,17-核心参数输入!$B$104+1))),0),0)</f>
        <v>10.310531765624999</v>
      </c>
      <c r="V28" s="9">
        <f>IF(18&lt;=核心参数输入!$B$9*4,IF(AND(18-核心参数输入!$B$104&gt;=0,18-核心参数输入!$B$104&lt;=120),INDEX(季度经营税费!$D$27:$DT$27,1,MAX(1,MIN(121,18-核心参数输入!$B$104+1))),0),0)</f>
        <v>12.37263811875</v>
      </c>
      <c r="W28" s="9">
        <f>IF(19&lt;=核心参数输入!$B$9*4,IF(AND(19-核心参数输入!$B$104&gt;=0,19-核心参数输入!$B$104&lt;=120),INDEX(季度经营税费!$D$27:$DT$27,1,MAX(1,MIN(121,19-核心参数输入!$B$104+1))),0),0)</f>
        <v>13.550984606249997</v>
      </c>
      <c r="X28" s="9">
        <f>IF(20&lt;=核心参数输入!$B$9*4,IF(AND(20-核心参数输入!$B$104&gt;=0,20-核心参数输入!$B$104&lt;=120),INDEX(季度经营税费!$D$27:$DT$27,1,MAX(1,MIN(121,20-核心参数输入!$B$104+1))),0),0)</f>
        <v>14.729331093749995</v>
      </c>
      <c r="Y28" s="9">
        <f>IF(21&lt;=核心参数输入!$B$9*4,IF(AND(21-核心参数输入!$B$104&gt;=0,21-核心参数输入!$B$104&lt;=120),INDEX(季度经营税费!$D$27:$DT$27,1,MAX(1,MIN(121,21-核心参数输入!$B$104+1))),0),0)</f>
        <v>16.146292744968743</v>
      </c>
      <c r="Z28" s="9">
        <f>IF(22&lt;=核心参数输入!$B$9*4,IF(AND(22-核心参数输入!$B$104&gt;=0,22-核心参数输入!$B$104&lt;=120),INDEX(季度经营税费!$D$27:$DT$27,1,MAX(1,MIN(121,22-核心参数输入!$B$104+1))),0),0)</f>
        <v>17.19281171917968</v>
      </c>
      <c r="AA28" s="9">
        <f>IF(23&lt;=核心参数输入!$B$9*4,IF(AND(23-核心参数输入!$B$104&gt;=0,23-核心参数输入!$B$104&lt;=120),INDEX(季度经营税费!$D$27:$DT$27,1,MAX(1,MIN(121,23-核心参数输入!$B$104+1))),0),0)</f>
        <v>18.089827982789057</v>
      </c>
      <c r="AB28" s="9">
        <f>IF(24&lt;=核心参数输入!$B$9*4,IF(AND(24-核心参数输入!$B$104&gt;=0,24-核心参数输入!$B$104&lt;=120),INDEX(季度经营税费!$D$27:$DT$27,1,MAX(1,MIN(121,24-核心参数输入!$B$104+1))),0),0)</f>
        <v>18.98684424639843</v>
      </c>
      <c r="AC28" s="9">
        <f>IF(25&lt;=核心参数输入!$B$9*4,IF(AND(25-核心参数输入!$B$104&gt;=0,25-核心参数输入!$B$104&lt;=120),INDEX(季度经营税费!$D$27:$DT$27,1,MAX(1,MIN(121,25-核心参数输入!$B$104+1))),0),0)</f>
        <v>20.182118417657925</v>
      </c>
      <c r="AD28" s="9">
        <f>IF(26&lt;=核心参数输入!$B$9*4,IF(AND(26-核心参数输入!$B$104&gt;=0,26-核心参数输入!$B$104&lt;=120),INDEX(季度经营税费!$D$27:$DT$27,1,MAX(1,MIN(121,26-核心参数输入!$B$104+1))),0),0)</f>
        <v>20.789099422700264</v>
      </c>
      <c r="AE28" s="9">
        <f>IF(27&lt;=核心参数输入!$B$9*4,IF(AND(27-核心参数输入!$B$104&gt;=0,27-核心参数输入!$B$104&lt;=120),INDEX(季度经营税费!$D$27:$DT$27,1,MAX(1,MIN(121,27-核心参数输入!$B$104+1))),0),0)</f>
        <v>21.092589925221436</v>
      </c>
      <c r="AF28" s="9">
        <f>IF(28&lt;=核心参数输入!$B$9*4,IF(AND(28-核心参数输入!$B$104&gt;=0,28-核心参数输入!$B$104&lt;=120),INDEX(季度经营税费!$D$27:$DT$27,1,MAX(1,MIN(121,28-核心参数输入!$B$104+1))),0),0)</f>
        <v>21.396080427742604</v>
      </c>
      <c r="AG28" s="9">
        <f>IF(29&lt;=核心参数输入!$B$9*4,IF(AND(29-核心参数输入!$B$104&gt;=0,29-核心参数输入!$B$104&lt;=120),INDEX(季度经营税费!$D$27:$DT$27,1,MAX(1,MIN(121,29-核心参数输入!$B$104+1))),0),0)</f>
        <v>22.02506449421773</v>
      </c>
      <c r="AH28" s="9">
        <f>IF(30&lt;=核心参数输入!$B$9*4,IF(AND(30-核心参数输入!$B$104&gt;=0,30-核心参数输入!$B$104&lt;=120),INDEX(季度经营税费!$D$27:$DT$27,1,MAX(1,MIN(121,30-核心参数输入!$B$104+1))),0),0)</f>
        <v>22.179085924247229</v>
      </c>
      <c r="AI28" s="9">
        <f>IF(31&lt;=核心参数输入!$B$9*4,IF(AND(31-核心参数输入!$B$104&gt;=0,31-核心参数输入!$B$104&lt;=120),INDEX(季度经营税费!$D$27:$DT$27,1,MAX(1,MIN(121,31-核心参数输入!$B$104+1))),0),0)</f>
        <v>22.179085924247229</v>
      </c>
      <c r="AJ28" s="9">
        <f>IF(32&lt;=核心参数输入!$B$9*4,IF(AND(32-核心参数输入!$B$104&gt;=0,32-核心参数输入!$B$104&lt;=120),INDEX(季度经营税费!$D$27:$DT$27,1,MAX(1,MIN(121,32-核心参数输入!$B$104+1))),0),0)</f>
        <v>22.179085924247229</v>
      </c>
      <c r="AK28" s="9">
        <f>IF(33&lt;=核心参数输入!$B$9*4,IF(AND(33-核心参数输入!$B$104&gt;=0,33-核心参数输入!$B$104&lt;=120),INDEX(季度经营税费!$D$27:$DT$27,1,MAX(1,MIN(121,33-核心参数输入!$B$104+1))),0),0)</f>
        <v>22.51177221311093</v>
      </c>
      <c r="AL28" s="9">
        <f>IF(34&lt;=核心参数输入!$B$9*4,IF(AND(34-核心参数输入!$B$104&gt;=0,34-核心参数输入!$B$104&lt;=120),INDEX(季度经营税费!$D$27:$DT$27,1,MAX(1,MIN(121,34-核心参数输入!$B$104+1))),0),0)</f>
        <v>22.51177221311093</v>
      </c>
      <c r="AM28" s="9">
        <f>IF(35&lt;=核心参数输入!$B$9*4,IF(AND(35-核心参数输入!$B$104&gt;=0,35-核心参数输入!$B$104&lt;=120),INDEX(季度经营税费!$D$27:$DT$27,1,MAX(1,MIN(121,35-核心参数输入!$B$104+1))),0),0)</f>
        <v>22.51177221311093</v>
      </c>
      <c r="AN28" s="9">
        <f>IF(36&lt;=核心参数输入!$B$9*4,IF(AND(36-核心参数输入!$B$104&gt;=0,36-核心参数输入!$B$104&lt;=120),INDEX(季度经营税费!$D$27:$DT$27,1,MAX(1,MIN(121,36-核心参数输入!$B$104+1))),0),0)</f>
        <v>22.51177221311093</v>
      </c>
      <c r="AO28" s="9">
        <f>IF(37&lt;=核心参数输入!$B$9*4,IF(AND(37-核心参数输入!$B$104&gt;=0,37-核心参数输入!$B$104&lt;=120),INDEX(季度经营税费!$D$27:$DT$27,1,MAX(1,MIN(121,37-核心参数输入!$B$104+1))),0),0)</f>
        <v>22.849448796307595</v>
      </c>
      <c r="AP28" s="9">
        <f>IF(38&lt;=核心参数输入!$B$9*4,IF(AND(38-核心参数输入!$B$104&gt;=0,38-核心参数输入!$B$104&lt;=120),INDEX(季度经营税费!$D$27:$DT$27,1,MAX(1,MIN(121,38-核心参数输入!$B$104+1))),0),0)</f>
        <v>22.849448796307595</v>
      </c>
      <c r="AQ28" s="9">
        <f>IF(39&lt;=核心参数输入!$B$9*4,IF(AND(39-核心参数输入!$B$104&gt;=0,39-核心参数输入!$B$104&lt;=120),INDEX(季度经营税费!$D$27:$DT$27,1,MAX(1,MIN(121,39-核心参数输入!$B$104+1))),0),0)</f>
        <v>22.849448796307595</v>
      </c>
      <c r="AR28" s="9">
        <f>IF(40&lt;=核心参数输入!$B$9*4,IF(AND(40-核心参数输入!$B$104&gt;=0,40-核心参数输入!$B$104&lt;=120),INDEX(季度经营税费!$D$27:$DT$27,1,MAX(1,MIN(121,40-核心参数输入!$B$104+1))),0),0)</f>
        <v>22.849448796307595</v>
      </c>
      <c r="AS28" s="9">
        <f>IF(41&lt;=核心参数输入!$B$9*4,IF(AND(41-核心参数输入!$B$104&gt;=0,41-核心参数输入!$B$104&lt;=120),INDEX(季度经营税费!$D$27:$DT$27,1,MAX(1,MIN(121,41-核心参数输入!$B$104+1))),0),0)</f>
        <v>23.192190528252205</v>
      </c>
      <c r="AT28" s="9">
        <f>IF(42&lt;=核心参数输入!$B$9*4,IF(AND(42-核心参数输入!$B$104&gt;=0,42-核心参数输入!$B$104&lt;=120),INDEX(季度经营税费!$D$27:$DT$27,1,MAX(1,MIN(121,42-核心参数输入!$B$104+1))),0),0)</f>
        <v>23.192190528252205</v>
      </c>
      <c r="AU28" s="9">
        <f>IF(43&lt;=核心参数输入!$B$9*4,IF(AND(43-核心参数输入!$B$104&gt;=0,43-核心参数输入!$B$104&lt;=120),INDEX(季度经营税费!$D$27:$DT$27,1,MAX(1,MIN(121,43-核心参数输入!$B$104+1))),0),0)</f>
        <v>23.192190528252205</v>
      </c>
      <c r="AV28" s="9">
        <f>IF(44&lt;=核心参数输入!$B$9*4,IF(AND(44-核心参数输入!$B$104&gt;=0,44-核心参数输入!$B$104&lt;=120),INDEX(季度经营税费!$D$27:$DT$27,1,MAX(1,MIN(121,44-核心参数输入!$B$104+1))),0),0)</f>
        <v>23.192190528252205</v>
      </c>
      <c r="AW28" s="9">
        <f>IF(45&lt;=核心参数输入!$B$9*4,IF(AND(45-核心参数输入!$B$104&gt;=0,45-核心参数输入!$B$104&lt;=120),INDEX(季度经营税费!$D$27:$DT$27,1,MAX(1,MIN(121,45-核心参数输入!$B$104+1))),0),0)</f>
        <v>23.540073386175983</v>
      </c>
      <c r="AX28" s="9">
        <f>IF(46&lt;=核心参数输入!$B$9*4,IF(AND(46-核心参数输入!$B$104&gt;=0,46-核心参数输入!$B$104&lt;=120),INDEX(季度经营税费!$D$27:$DT$27,1,MAX(1,MIN(121,46-核心参数输入!$B$104+1))),0),0)</f>
        <v>23.540073386175983</v>
      </c>
      <c r="AY28" s="9">
        <f>IF(47&lt;=核心参数输入!$B$9*4,IF(AND(47-核心参数输入!$B$104&gt;=0,47-核心参数输入!$B$104&lt;=120),INDEX(季度经营税费!$D$27:$DT$27,1,MAX(1,MIN(121,47-核心参数输入!$B$104+1))),0),0)</f>
        <v>23.540073386175983</v>
      </c>
      <c r="AZ28" s="9">
        <f>IF(48&lt;=核心参数输入!$B$9*4,IF(AND(48-核心参数输入!$B$104&gt;=0,48-核心参数输入!$B$104&lt;=120),INDEX(季度经营税费!$D$27:$DT$27,1,MAX(1,MIN(121,48-核心参数输入!$B$104+1))),0),0)</f>
        <v>23.540073386175983</v>
      </c>
      <c r="BA28" s="9">
        <f>IF(49&lt;=核心参数输入!$B$9*4,IF(AND(49-核心参数输入!$B$104&gt;=0,49-核心参数输入!$B$104&lt;=120),INDEX(季度经营税费!$D$27:$DT$27,1,MAX(1,MIN(121,49-核心参数输入!$B$104+1))),0),0)</f>
        <v>23.893174486968618</v>
      </c>
      <c r="BB28" s="9">
        <f>IF(50&lt;=核心参数输入!$B$9*4,IF(AND(50-核心参数输入!$B$104&gt;=0,50-核心参数输入!$B$104&lt;=120),INDEX(季度经营税费!$D$27:$DT$27,1,MAX(1,MIN(121,50-核心参数输入!$B$104+1))),0),0)</f>
        <v>23.893174486968618</v>
      </c>
      <c r="BC28" s="9">
        <f>IF(51&lt;=核心参数输入!$B$9*4,IF(AND(51-核心参数输入!$B$104&gt;=0,51-核心参数输入!$B$104&lt;=120),INDEX(季度经营税费!$D$27:$DT$27,1,MAX(1,MIN(121,51-核心参数输入!$B$104+1))),0),0)</f>
        <v>23.893174486968618</v>
      </c>
      <c r="BD28" s="9">
        <f>IF(52&lt;=核心参数输入!$B$9*4,IF(AND(52-核心参数输入!$B$104&gt;=0,52-核心参数输入!$B$104&lt;=120),INDEX(季度经营税费!$D$27:$DT$27,1,MAX(1,MIN(121,52-核心参数输入!$B$104+1))),0),0)</f>
        <v>23.893174486968618</v>
      </c>
      <c r="BE28" s="9">
        <f>IF(53&lt;=核心参数输入!$B$9*4,IF(AND(53-核心参数输入!$B$104&gt;=0,53-核心参数输入!$B$104&lt;=120),INDEX(季度经营税费!$D$27:$DT$27,1,MAX(1,MIN(121,53-核心参数输入!$B$104+1))),0),0)</f>
        <v>24.251572104273148</v>
      </c>
      <c r="BF28" s="9">
        <f>IF(54&lt;=核心参数输入!$B$9*4,IF(AND(54-核心参数输入!$B$104&gt;=0,54-核心参数输入!$B$104&lt;=120),INDEX(季度经营税费!$D$27:$DT$27,1,MAX(1,MIN(121,54-核心参数输入!$B$104+1))),0),0)</f>
        <v>24.251572104273148</v>
      </c>
      <c r="BG28" s="9">
        <f>IF(55&lt;=核心参数输入!$B$9*4,IF(AND(55-核心参数输入!$B$104&gt;=0,55-核心参数输入!$B$104&lt;=120),INDEX(季度经营税费!$D$27:$DT$27,1,MAX(1,MIN(121,55-核心参数输入!$B$104+1))),0),0)</f>
        <v>24.251572104273148</v>
      </c>
      <c r="BH28" s="9">
        <f>IF(56&lt;=核心参数输入!$B$9*4,IF(AND(56-核心参数输入!$B$104&gt;=0,56-核心参数输入!$B$104&lt;=120),INDEX(季度经营税费!$D$27:$DT$27,1,MAX(1,MIN(121,56-核心参数输入!$B$104+1))),0),0)</f>
        <v>24.251572104273148</v>
      </c>
      <c r="BI28" s="9">
        <f>IF(57&lt;=核心参数输入!$B$9*4,IF(AND(57-核心参数输入!$B$104&gt;=0,57-核心参数输入!$B$104&lt;=120),INDEX(季度经营税费!$D$27:$DT$27,1,MAX(1,MIN(121,57-核心参数输入!$B$104+1))),0),0)</f>
        <v>24.615345685837241</v>
      </c>
      <c r="BJ28" s="9">
        <f>IF(58&lt;=核心参数输入!$B$9*4,IF(AND(58-核心参数输入!$B$104&gt;=0,58-核心参数输入!$B$104&lt;=120),INDEX(季度经营税费!$D$27:$DT$27,1,MAX(1,MIN(121,58-核心参数输入!$B$104+1))),0),0)</f>
        <v>24.615345685837241</v>
      </c>
      <c r="BK28" s="9">
        <f>IF(59&lt;=核心参数输入!$B$9*4,IF(AND(59-核心参数输入!$B$104&gt;=0,59-核心参数输入!$B$104&lt;=120),INDEX(季度经营税费!$D$27:$DT$27,1,MAX(1,MIN(121,59-核心参数输入!$B$104+1))),0),0)</f>
        <v>24.615345685837241</v>
      </c>
      <c r="BL28" s="9">
        <f>IF(60&lt;=核心参数输入!$B$9*4,IF(AND(60-核心参数输入!$B$104&gt;=0,60-核心参数输入!$B$104&lt;=120),INDEX(季度经营税费!$D$27:$DT$27,1,MAX(1,MIN(121,60-核心参数输入!$B$104+1))),0),0)</f>
        <v>24.615345685837241</v>
      </c>
      <c r="BM28" s="9">
        <f>IF(61&lt;=核心参数输入!$B$9*4,IF(AND(61-核心参数输入!$B$104&gt;=0,61-核心参数输入!$B$104&lt;=120),INDEX(季度经营税费!$D$27:$DT$27,1,MAX(1,MIN(121,61-核心参数输入!$B$104+1))),0),0)</f>
        <v>24.98457587112479</v>
      </c>
      <c r="BN28" s="9">
        <f>IF(62&lt;=核心参数输入!$B$9*4,IF(AND(62-核心参数输入!$B$104&gt;=0,62-核心参数输入!$B$104&lt;=120),INDEX(季度经营税费!$D$27:$DT$27,1,MAX(1,MIN(121,62-核心参数输入!$B$104+1))),0),0)</f>
        <v>24.98457587112479</v>
      </c>
      <c r="BO28" s="9">
        <f>IF(63&lt;=核心参数输入!$B$9*4,IF(AND(63-核心参数输入!$B$104&gt;=0,63-核心参数输入!$B$104&lt;=120),INDEX(季度经营税费!$D$27:$DT$27,1,MAX(1,MIN(121,63-核心参数输入!$B$104+1))),0),0)</f>
        <v>24.98457587112479</v>
      </c>
      <c r="BP28" s="9">
        <f>IF(64&lt;=核心参数输入!$B$9*4,IF(AND(64-核心参数输入!$B$104&gt;=0,64-核心参数输入!$B$104&lt;=120),INDEX(季度经营税费!$D$27:$DT$27,1,MAX(1,MIN(121,64-核心参数输入!$B$104+1))),0),0)</f>
        <v>24.98457587112479</v>
      </c>
      <c r="BQ28" s="9">
        <f>IF(65&lt;=核心参数输入!$B$9*4,IF(AND(65-核心参数输入!$B$104&gt;=0,65-核心参数输入!$B$104&lt;=120),INDEX(季度经营税费!$D$27:$DT$27,1,MAX(1,MIN(121,65-核心参数输入!$B$104+1))),0),0)</f>
        <v>25.359344509191665</v>
      </c>
      <c r="BR28" s="9">
        <f>IF(66&lt;=核心参数输入!$B$9*4,IF(AND(66-核心参数输入!$B$104&gt;=0,66-核心参数输入!$B$104&lt;=120),INDEX(季度经营税费!$D$27:$DT$27,1,MAX(1,MIN(121,66-核心参数输入!$B$104+1))),0),0)</f>
        <v>25.359344509191665</v>
      </c>
      <c r="BS28" s="9">
        <f>IF(67&lt;=核心参数输入!$B$9*4,IF(AND(67-核心参数输入!$B$104&gt;=0,67-核心参数输入!$B$104&lt;=120),INDEX(季度经营税费!$D$27:$DT$27,1,MAX(1,MIN(121,67-核心参数输入!$B$104+1))),0),0)</f>
        <v>25.359344509191665</v>
      </c>
      <c r="BT28" s="9">
        <f>IF(68&lt;=核心参数输入!$B$9*4,IF(AND(68-核心参数输入!$B$104&gt;=0,68-核心参数输入!$B$104&lt;=120),INDEX(季度经营税费!$D$27:$DT$27,1,MAX(1,MIN(121,68-核心参数输入!$B$104+1))),0),0)</f>
        <v>25.359344509191665</v>
      </c>
      <c r="BU28" s="9">
        <f>IF(69&lt;=核心参数输入!$B$9*4,IF(AND(69-核心参数输入!$B$104&gt;=0,69-核心参数输入!$B$104&lt;=120),INDEX(季度经营税费!$D$27:$DT$27,1,MAX(1,MIN(121,69-核心参数输入!$B$104+1))),0),0)</f>
        <v>25.739734676829535</v>
      </c>
      <c r="BV28" s="9">
        <f>IF(70&lt;=核心参数输入!$B$9*4,IF(AND(70-核心参数输入!$B$104&gt;=0,70-核心参数输入!$B$104&lt;=120),INDEX(季度经营税费!$D$27:$DT$27,1,MAX(1,MIN(121,70-核心参数输入!$B$104+1))),0),0)</f>
        <v>25.739734676829535</v>
      </c>
      <c r="BW28" s="9">
        <f>IF(71&lt;=核心参数输入!$B$9*4,IF(AND(71-核心参数输入!$B$104&gt;=0,71-核心参数输入!$B$104&lt;=120),INDEX(季度经营税费!$D$27:$DT$27,1,MAX(1,MIN(121,71-核心参数输入!$B$104+1))),0),0)</f>
        <v>25.739734676829535</v>
      </c>
      <c r="BX28" s="9">
        <f>IF(72&lt;=核心参数输入!$B$9*4,IF(AND(72-核心参数输入!$B$104&gt;=0,72-核心参数输入!$B$104&lt;=120),INDEX(季度经营税费!$D$27:$DT$27,1,MAX(1,MIN(121,72-核心参数输入!$B$104+1))),0),0)</f>
        <v>25.739734676829535</v>
      </c>
      <c r="BY28" s="9">
        <f>IF(73&lt;=核心参数输入!$B$9*4,IF(AND(73-核心参数输入!$B$104&gt;=0,73-核心参数输入!$B$104&lt;=120),INDEX(季度经营税费!$D$27:$DT$27,1,MAX(1,MIN(121,73-核心参数输入!$B$104+1))),0),0)</f>
        <v>26.125830696981968</v>
      </c>
      <c r="BZ28" s="9">
        <f>IF(74&lt;=核心参数输入!$B$9*4,IF(AND(74-核心参数输入!$B$104&gt;=0,74-核心参数输入!$B$104&lt;=120),INDEX(季度经营税费!$D$27:$DT$27,1,MAX(1,MIN(121,74-核心参数输入!$B$104+1))),0),0)</f>
        <v>26.125830696981968</v>
      </c>
      <c r="CA28" s="9">
        <f>IF(75&lt;=核心参数输入!$B$9*4,IF(AND(75-核心参数输入!$B$104&gt;=0,75-核心参数输入!$B$104&lt;=120),INDEX(季度经营税费!$D$27:$DT$27,1,MAX(1,MIN(121,75-核心参数输入!$B$104+1))),0),0)</f>
        <v>26.125830696981968</v>
      </c>
      <c r="CB28" s="9">
        <f>IF(76&lt;=核心参数输入!$B$9*4,IF(AND(76-核心参数输入!$B$104&gt;=0,76-核心参数输入!$B$104&lt;=120),INDEX(季度经营税费!$D$27:$DT$27,1,MAX(1,MIN(121,76-核心参数输入!$B$104+1))),0),0)</f>
        <v>26.125830696981968</v>
      </c>
      <c r="CC28" s="9">
        <f>IF(77&lt;=核心参数输入!$B$9*4,IF(AND(77-核心参数输入!$B$104&gt;=0,77-核心参数输入!$B$104&lt;=120),INDEX(季度经营税费!$D$27:$DT$27,1,MAX(1,MIN(121,77-核心参数输入!$B$104+1))),0),0)</f>
        <v>26.517718157436697</v>
      </c>
      <c r="CD28" s="9">
        <f>IF(78&lt;=核心参数输入!$B$9*4,IF(AND(78-核心参数输入!$B$104&gt;=0,78-核心参数输入!$B$104&lt;=120),INDEX(季度经营税费!$D$27:$DT$27,1,MAX(1,MIN(121,78-核心参数输入!$B$104+1))),0),0)</f>
        <v>26.517718157436697</v>
      </c>
      <c r="CE28" s="9">
        <f>IF(79&lt;=核心参数输入!$B$9*4,IF(AND(79-核心参数输入!$B$104&gt;=0,79-核心参数输入!$B$104&lt;=120),INDEX(季度经营税费!$D$27:$DT$27,1,MAX(1,MIN(121,79-核心参数输入!$B$104+1))),0),0)</f>
        <v>26.517718157436697</v>
      </c>
      <c r="CF28" s="9">
        <f>IF(80&lt;=核心参数输入!$B$9*4,IF(AND(80-核心参数输入!$B$104&gt;=0,80-核心参数输入!$B$104&lt;=120),INDEX(季度经营税费!$D$27:$DT$27,1,MAX(1,MIN(121,80-核心参数输入!$B$104+1))),0),0)</f>
        <v>26.517718157436697</v>
      </c>
      <c r="CG28" s="9">
        <f>IF(81&lt;=核心参数输入!$B$9*4,IF(AND(81-核心参数输入!$B$104&gt;=0,81-核心参数输入!$B$104&lt;=120),INDEX(季度经营税费!$D$27:$DT$27,1,MAX(1,MIN(121,81-核心参数输入!$B$104+1))),0),0)</f>
        <v>0</v>
      </c>
      <c r="CH28" s="9">
        <f>IF(82&lt;=核心参数输入!$B$9*4,IF(AND(82-核心参数输入!$B$104&gt;=0,82-核心参数输入!$B$104&lt;=120),INDEX(季度经营税费!$D$27:$DT$27,1,MAX(1,MIN(121,82-核心参数输入!$B$104+1))),0),0)</f>
        <v>0</v>
      </c>
      <c r="CI28" s="9">
        <f>IF(83&lt;=核心参数输入!$B$9*4,IF(AND(83-核心参数输入!$B$104&gt;=0,83-核心参数输入!$B$104&lt;=120),INDEX(季度经营税费!$D$27:$DT$27,1,MAX(1,MIN(121,83-核心参数输入!$B$104+1))),0),0)</f>
        <v>0</v>
      </c>
      <c r="CJ28" s="9">
        <f>IF(84&lt;=核心参数输入!$B$9*4,IF(AND(84-核心参数输入!$B$104&gt;=0,84-核心参数输入!$B$104&lt;=120),INDEX(季度经营税费!$D$27:$DT$27,1,MAX(1,MIN(121,84-核心参数输入!$B$104+1))),0),0)</f>
        <v>0</v>
      </c>
      <c r="CK28" s="9">
        <f>IF(85&lt;=核心参数输入!$B$9*4,IF(AND(85-核心参数输入!$B$104&gt;=0,85-核心参数输入!$B$104&lt;=120),INDEX(季度经营税费!$D$27:$DT$27,1,MAX(1,MIN(121,85-核心参数输入!$B$104+1))),0),0)</f>
        <v>0</v>
      </c>
      <c r="CL28" s="9">
        <f>IF(86&lt;=核心参数输入!$B$9*4,IF(AND(86-核心参数输入!$B$104&gt;=0,86-核心参数输入!$B$104&lt;=120),INDEX(季度经营税费!$D$27:$DT$27,1,MAX(1,MIN(121,86-核心参数输入!$B$104+1))),0),0)</f>
        <v>0</v>
      </c>
      <c r="CM28" s="9">
        <f>IF(87&lt;=核心参数输入!$B$9*4,IF(AND(87-核心参数输入!$B$104&gt;=0,87-核心参数输入!$B$104&lt;=120),INDEX(季度经营税费!$D$27:$DT$27,1,MAX(1,MIN(121,87-核心参数输入!$B$104+1))),0),0)</f>
        <v>0</v>
      </c>
      <c r="CN28" s="9">
        <f>IF(88&lt;=核心参数输入!$B$9*4,IF(AND(88-核心参数输入!$B$104&gt;=0,88-核心参数输入!$B$104&lt;=120),INDEX(季度经营税费!$D$27:$DT$27,1,MAX(1,MIN(121,88-核心参数输入!$B$104+1))),0),0)</f>
        <v>0</v>
      </c>
      <c r="CO28" s="9">
        <f>IF(89&lt;=核心参数输入!$B$9*4,IF(AND(89-核心参数输入!$B$104&gt;=0,89-核心参数输入!$B$104&lt;=120),INDEX(季度经营税费!$D$27:$DT$27,1,MAX(1,MIN(121,89-核心参数输入!$B$104+1))),0),0)</f>
        <v>0</v>
      </c>
      <c r="CP28" s="9">
        <f>IF(90&lt;=核心参数输入!$B$9*4,IF(AND(90-核心参数输入!$B$104&gt;=0,90-核心参数输入!$B$104&lt;=120),INDEX(季度经营税费!$D$27:$DT$27,1,MAX(1,MIN(121,90-核心参数输入!$B$104+1))),0),0)</f>
        <v>0</v>
      </c>
      <c r="CQ28" s="9">
        <f>IF(91&lt;=核心参数输入!$B$9*4,IF(AND(91-核心参数输入!$B$104&gt;=0,91-核心参数输入!$B$104&lt;=120),INDEX(季度经营税费!$D$27:$DT$27,1,MAX(1,MIN(121,91-核心参数输入!$B$104+1))),0),0)</f>
        <v>0</v>
      </c>
      <c r="CR28" s="9">
        <f>IF(92&lt;=核心参数输入!$B$9*4,IF(AND(92-核心参数输入!$B$104&gt;=0,92-核心参数输入!$B$104&lt;=120),INDEX(季度经营税费!$D$27:$DT$27,1,MAX(1,MIN(121,92-核心参数输入!$B$104+1))),0),0)</f>
        <v>0</v>
      </c>
      <c r="CS28" s="9">
        <f>IF(93&lt;=核心参数输入!$B$9*4,IF(AND(93-核心参数输入!$B$104&gt;=0,93-核心参数输入!$B$104&lt;=120),INDEX(季度经营税费!$D$27:$DT$27,1,MAX(1,MIN(121,93-核心参数输入!$B$104+1))),0),0)</f>
        <v>0</v>
      </c>
      <c r="CT28" s="9">
        <f>IF(94&lt;=核心参数输入!$B$9*4,IF(AND(94-核心参数输入!$B$104&gt;=0,94-核心参数输入!$B$104&lt;=120),INDEX(季度经营税费!$D$27:$DT$27,1,MAX(1,MIN(121,94-核心参数输入!$B$104+1))),0),0)</f>
        <v>0</v>
      </c>
      <c r="CU28" s="9">
        <f>IF(95&lt;=核心参数输入!$B$9*4,IF(AND(95-核心参数输入!$B$104&gt;=0,95-核心参数输入!$B$104&lt;=120),INDEX(季度经营税费!$D$27:$DT$27,1,MAX(1,MIN(121,95-核心参数输入!$B$104+1))),0),0)</f>
        <v>0</v>
      </c>
      <c r="CV28" s="9">
        <f>IF(96&lt;=核心参数输入!$B$9*4,IF(AND(96-核心参数输入!$B$104&gt;=0,96-核心参数输入!$B$104&lt;=120),INDEX(季度经营税费!$D$27:$DT$27,1,MAX(1,MIN(121,96-核心参数输入!$B$104+1))),0),0)</f>
        <v>0</v>
      </c>
      <c r="CW28" s="9">
        <f>IF(97&lt;=核心参数输入!$B$9*4,IF(AND(97-核心参数输入!$B$104&gt;=0,97-核心参数输入!$B$104&lt;=120),INDEX(季度经营税费!$D$27:$DT$27,1,MAX(1,MIN(121,97-核心参数输入!$B$104+1))),0),0)</f>
        <v>0</v>
      </c>
      <c r="CX28" s="9">
        <f>IF(98&lt;=核心参数输入!$B$9*4,IF(AND(98-核心参数输入!$B$104&gt;=0,98-核心参数输入!$B$104&lt;=120),INDEX(季度经营税费!$D$27:$DT$27,1,MAX(1,MIN(121,98-核心参数输入!$B$104+1))),0),0)</f>
        <v>0</v>
      </c>
      <c r="CY28" s="9">
        <f>IF(99&lt;=核心参数输入!$B$9*4,IF(AND(99-核心参数输入!$B$104&gt;=0,99-核心参数输入!$B$104&lt;=120),INDEX(季度经营税费!$D$27:$DT$27,1,MAX(1,MIN(121,99-核心参数输入!$B$104+1))),0),0)</f>
        <v>0</v>
      </c>
      <c r="CZ28" s="9">
        <f>IF(100&lt;=核心参数输入!$B$9*4,IF(AND(100-核心参数输入!$B$104&gt;=0,100-核心参数输入!$B$104&lt;=120),INDEX(季度经营税费!$D$27:$DT$27,1,MAX(1,MIN(121,100-核心参数输入!$B$104+1))),0),0)</f>
        <v>0</v>
      </c>
      <c r="DA28" s="9">
        <f>IF(101&lt;=核心参数输入!$B$9*4,IF(AND(101-核心参数输入!$B$104&gt;=0,101-核心参数输入!$B$104&lt;=120),INDEX(季度经营税费!$D$27:$DT$27,1,MAX(1,MIN(121,101-核心参数输入!$B$104+1))),0),0)</f>
        <v>0</v>
      </c>
      <c r="DB28" s="9">
        <f>IF(102&lt;=核心参数输入!$B$9*4,IF(AND(102-核心参数输入!$B$104&gt;=0,102-核心参数输入!$B$104&lt;=120),INDEX(季度经营税费!$D$27:$DT$27,1,MAX(1,MIN(121,102-核心参数输入!$B$104+1))),0),0)</f>
        <v>0</v>
      </c>
      <c r="DC28" s="9">
        <f>IF(103&lt;=核心参数输入!$B$9*4,IF(AND(103-核心参数输入!$B$104&gt;=0,103-核心参数输入!$B$104&lt;=120),INDEX(季度经营税费!$D$27:$DT$27,1,MAX(1,MIN(121,103-核心参数输入!$B$104+1))),0),0)</f>
        <v>0</v>
      </c>
      <c r="DD28" s="9">
        <f>IF(104&lt;=核心参数输入!$B$9*4,IF(AND(104-核心参数输入!$B$104&gt;=0,104-核心参数输入!$B$104&lt;=120),INDEX(季度经营税费!$D$27:$DT$27,1,MAX(1,MIN(121,104-核心参数输入!$B$104+1))),0),0)</f>
        <v>0</v>
      </c>
      <c r="DE28" s="9">
        <f>IF(105&lt;=核心参数输入!$B$9*4,IF(AND(105-核心参数输入!$B$104&gt;=0,105-核心参数输入!$B$104&lt;=120),INDEX(季度经营税费!$D$27:$DT$27,1,MAX(1,MIN(121,105-核心参数输入!$B$104+1))),0),0)</f>
        <v>0</v>
      </c>
      <c r="DF28" s="9">
        <f>IF(106&lt;=核心参数输入!$B$9*4,IF(AND(106-核心参数输入!$B$104&gt;=0,106-核心参数输入!$B$104&lt;=120),INDEX(季度经营税费!$D$27:$DT$27,1,MAX(1,MIN(121,106-核心参数输入!$B$104+1))),0),0)</f>
        <v>0</v>
      </c>
      <c r="DG28" s="9">
        <f>IF(107&lt;=核心参数输入!$B$9*4,IF(AND(107-核心参数输入!$B$104&gt;=0,107-核心参数输入!$B$104&lt;=120),INDEX(季度经营税费!$D$27:$DT$27,1,MAX(1,MIN(121,107-核心参数输入!$B$104+1))),0),0)</f>
        <v>0</v>
      </c>
      <c r="DH28" s="9">
        <f>IF(108&lt;=核心参数输入!$B$9*4,IF(AND(108-核心参数输入!$B$104&gt;=0,108-核心参数输入!$B$104&lt;=120),INDEX(季度经营税费!$D$27:$DT$27,1,MAX(1,MIN(121,108-核心参数输入!$B$104+1))),0),0)</f>
        <v>0</v>
      </c>
      <c r="DI28" s="9">
        <f>IF(109&lt;=核心参数输入!$B$9*4,IF(AND(109-核心参数输入!$B$104&gt;=0,109-核心参数输入!$B$104&lt;=120),INDEX(季度经营税费!$D$27:$DT$27,1,MAX(1,MIN(121,109-核心参数输入!$B$104+1))),0),0)</f>
        <v>0</v>
      </c>
      <c r="DJ28" s="9">
        <f>IF(110&lt;=核心参数输入!$B$9*4,IF(AND(110-核心参数输入!$B$104&gt;=0,110-核心参数输入!$B$104&lt;=120),INDEX(季度经营税费!$D$27:$DT$27,1,MAX(1,MIN(121,110-核心参数输入!$B$104+1))),0),0)</f>
        <v>0</v>
      </c>
      <c r="DK28" s="9">
        <f>IF(111&lt;=核心参数输入!$B$9*4,IF(AND(111-核心参数输入!$B$104&gt;=0,111-核心参数输入!$B$104&lt;=120),INDEX(季度经营税费!$D$27:$DT$27,1,MAX(1,MIN(121,111-核心参数输入!$B$104+1))),0),0)</f>
        <v>0</v>
      </c>
      <c r="DL28" s="9">
        <f>IF(112&lt;=核心参数输入!$B$9*4,IF(AND(112-核心参数输入!$B$104&gt;=0,112-核心参数输入!$B$104&lt;=120),INDEX(季度经营税费!$D$27:$DT$27,1,MAX(1,MIN(121,112-核心参数输入!$B$104+1))),0),0)</f>
        <v>0</v>
      </c>
      <c r="DM28" s="9">
        <f>IF(113&lt;=核心参数输入!$B$9*4,IF(AND(113-核心参数输入!$B$104&gt;=0,113-核心参数输入!$B$104&lt;=120),INDEX(季度经营税费!$D$27:$DT$27,1,MAX(1,MIN(121,113-核心参数输入!$B$104+1))),0),0)</f>
        <v>0</v>
      </c>
      <c r="DN28" s="9">
        <f>IF(114&lt;=核心参数输入!$B$9*4,IF(AND(114-核心参数输入!$B$104&gt;=0,114-核心参数输入!$B$104&lt;=120),INDEX(季度经营税费!$D$27:$DT$27,1,MAX(1,MIN(121,114-核心参数输入!$B$104+1))),0),0)</f>
        <v>0</v>
      </c>
      <c r="DO28" s="9">
        <f>IF(115&lt;=核心参数输入!$B$9*4,IF(AND(115-核心参数输入!$B$104&gt;=0,115-核心参数输入!$B$104&lt;=120),INDEX(季度经营税费!$D$27:$DT$27,1,MAX(1,MIN(121,115-核心参数输入!$B$104+1))),0),0)</f>
        <v>0</v>
      </c>
      <c r="DP28" s="9">
        <f>IF(116&lt;=核心参数输入!$B$9*4,IF(AND(116-核心参数输入!$B$104&gt;=0,116-核心参数输入!$B$104&lt;=120),INDEX(季度经营税费!$D$27:$DT$27,1,MAX(1,MIN(121,116-核心参数输入!$B$104+1))),0),0)</f>
        <v>0</v>
      </c>
      <c r="DQ28" s="9">
        <f>IF(117&lt;=核心参数输入!$B$9*4,IF(AND(117-核心参数输入!$B$104&gt;=0,117-核心参数输入!$B$104&lt;=120),INDEX(季度经营税费!$D$27:$DT$27,1,MAX(1,MIN(121,117-核心参数输入!$B$104+1))),0),0)</f>
        <v>0</v>
      </c>
      <c r="DR28" s="9">
        <f>IF(118&lt;=核心参数输入!$B$9*4,IF(AND(118-核心参数输入!$B$104&gt;=0,118-核心参数输入!$B$104&lt;=120),INDEX(季度经营税费!$D$27:$DT$27,1,MAX(1,MIN(121,118-核心参数输入!$B$104+1))),0),0)</f>
        <v>0</v>
      </c>
      <c r="DS28" s="9">
        <f>IF(119&lt;=核心参数输入!$B$9*4,IF(AND(119-核心参数输入!$B$104&gt;=0,119-核心参数输入!$B$104&lt;=120),INDEX(季度经营税费!$D$27:$DT$27,1,MAX(1,MIN(121,119-核心参数输入!$B$104+1))),0),0)</f>
        <v>0</v>
      </c>
      <c r="DT28" s="9">
        <f>IF(120&lt;=核心参数输入!$B$9*4,IF(AND(120-核心参数输入!$B$104&gt;=0,120-核心参数输入!$B$104&lt;=120),INDEX(季度经营税费!$D$27:$DT$27,1,MAX(1,MIN(121,120-核心参数输入!$B$104+1))),0),0)</f>
        <v>0</v>
      </c>
    </row>
    <row r="29" spans="1:124" ht="21" customHeight="1">
      <c r="A29" s="8" t="s">
        <v>463</v>
      </c>
      <c r="B29" s="8" t="s">
        <v>39</v>
      </c>
      <c r="C29" s="8"/>
      <c r="D29" s="9">
        <f>IF(0&lt;=核心参数输入!$B$9*4,IF(核心参数输入!$B$96=2,D11-D11/(1+核心参数输入!$B$118),0),0)</f>
        <v>0</v>
      </c>
      <c r="E29" s="9">
        <f>IF(1&lt;=核心参数输入!$B$9*4,IF(核心参数输入!$B$96=2,E11-E11/(1+核心参数输入!$B$118),0),0)</f>
        <v>0</v>
      </c>
      <c r="F29" s="9">
        <f>IF(2&lt;=核心参数输入!$B$9*4,IF(核心参数输入!$B$96=2,F11-F11/(1+核心参数输入!$B$118),0),0)</f>
        <v>0</v>
      </c>
      <c r="G29" s="9">
        <f>IF(3&lt;=核心参数输入!$B$9*4,IF(核心参数输入!$B$96=2,G11-G11/(1+核心参数输入!$B$118),0),0)</f>
        <v>0</v>
      </c>
      <c r="H29" s="9">
        <f>IF(4&lt;=核心参数输入!$B$9*4,IF(核心参数输入!$B$96=2,H11-H11/(1+核心参数输入!$B$118),0),0)</f>
        <v>0</v>
      </c>
      <c r="I29" s="9">
        <f>IF(5&lt;=核心参数输入!$B$9*4,IF(核心参数输入!$B$96=2,I11-I11/(1+核心参数输入!$B$118),0),0)</f>
        <v>0</v>
      </c>
      <c r="J29" s="9">
        <f>IF(6&lt;=核心参数输入!$B$9*4,IF(核心参数输入!$B$96=2,J11-J11/(1+核心参数输入!$B$118),0),0)</f>
        <v>0</v>
      </c>
      <c r="K29" s="9">
        <f>IF(7&lt;=核心参数输入!$B$9*4,IF(核心参数输入!$B$96=2,K11-K11/(1+核心参数输入!$B$118),0),0)</f>
        <v>0</v>
      </c>
      <c r="L29" s="9">
        <f>IF(8&lt;=核心参数输入!$B$9*4,IF(核心参数输入!$B$96=2,L11-L11/(1+核心参数输入!$B$118),0),0)</f>
        <v>0</v>
      </c>
      <c r="M29" s="9">
        <f>IF(9&lt;=核心参数输入!$B$9*4,IF(核心参数输入!$B$96=2,M11-M11/(1+核心参数输入!$B$118),0),0)</f>
        <v>0</v>
      </c>
      <c r="N29" s="9">
        <f>IF(10&lt;=核心参数输入!$B$9*4,IF(核心参数输入!$B$96=2,N11-N11/(1+核心参数输入!$B$118),0),0)</f>
        <v>0</v>
      </c>
      <c r="O29" s="9">
        <f>IF(11&lt;=核心参数输入!$B$9*4,IF(核心参数输入!$B$96=2,O11-O11/(1+核心参数输入!$B$118),0),0)</f>
        <v>0</v>
      </c>
      <c r="P29" s="9">
        <f>IF(12&lt;=核心参数输入!$B$9*4,IF(核心参数输入!$B$96=2,P11-P11/(1+核心参数输入!$B$118),0),0)</f>
        <v>0</v>
      </c>
      <c r="Q29" s="9">
        <f>IF(13&lt;=核心参数输入!$B$9*4,IF(核心参数输入!$B$96=2,Q11-Q11/(1+核心参数输入!$B$118),0),0)</f>
        <v>0</v>
      </c>
      <c r="R29" s="9">
        <f>IF(14&lt;=核心参数输入!$B$9*4,IF(核心参数输入!$B$96=2,R11-R11/(1+核心参数输入!$B$118),0),0)</f>
        <v>0</v>
      </c>
      <c r="S29" s="9">
        <f>IF(15&lt;=核心参数输入!$B$9*4,IF(核心参数输入!$B$96=2,S11-S11/(1+核心参数输入!$B$118),0),0)</f>
        <v>0</v>
      </c>
      <c r="T29" s="9">
        <f>IF(16&lt;=核心参数输入!$B$9*4,IF(核心参数输入!$B$96=2,T11-T11/(1+核心参数输入!$B$118),0),0)</f>
        <v>0</v>
      </c>
      <c r="U29" s="9">
        <f>IF(17&lt;=核心参数输入!$B$9*4,IF(核心参数输入!$B$96=2,U11-U11/(1+核心参数输入!$B$118),0),0)</f>
        <v>0</v>
      </c>
      <c r="V29" s="9">
        <f>IF(18&lt;=核心参数输入!$B$9*4,IF(核心参数输入!$B$96=2,V11-V11/(1+核心参数输入!$B$118),0),0)</f>
        <v>0</v>
      </c>
      <c r="W29" s="9">
        <f>IF(19&lt;=核心参数输入!$B$9*4,IF(核心参数输入!$B$96=2,W11-W11/(1+核心参数输入!$B$118),0),0)</f>
        <v>0</v>
      </c>
      <c r="X29" s="9">
        <f>IF(20&lt;=核心参数输入!$B$9*4,IF(核心参数输入!$B$96=2,X11-X11/(1+核心参数输入!$B$118),0),0)</f>
        <v>0</v>
      </c>
      <c r="Y29" s="9">
        <f>IF(21&lt;=核心参数输入!$B$9*4,IF(核心参数输入!$B$96=2,Y11-Y11/(1+核心参数输入!$B$118),0),0)</f>
        <v>0</v>
      </c>
      <c r="Z29" s="9">
        <f>IF(22&lt;=核心参数输入!$B$9*4,IF(核心参数输入!$B$96=2,Z11-Z11/(1+核心参数输入!$B$118),0),0)</f>
        <v>0</v>
      </c>
      <c r="AA29" s="9">
        <f>IF(23&lt;=核心参数输入!$B$9*4,IF(核心参数输入!$B$96=2,AA11-AA11/(1+核心参数输入!$B$118),0),0)</f>
        <v>0</v>
      </c>
      <c r="AB29" s="9">
        <f>IF(24&lt;=核心参数输入!$B$9*4,IF(核心参数输入!$B$96=2,AB11-AB11/(1+核心参数输入!$B$118),0),0)</f>
        <v>0</v>
      </c>
      <c r="AC29" s="9">
        <f>IF(25&lt;=核心参数输入!$B$9*4,IF(核心参数输入!$B$96=2,AC11-AC11/(1+核心参数输入!$B$118),0),0)</f>
        <v>0</v>
      </c>
      <c r="AD29" s="9">
        <f>IF(26&lt;=核心参数输入!$B$9*4,IF(核心参数输入!$B$96=2,AD11-AD11/(1+核心参数输入!$B$118),0),0)</f>
        <v>0</v>
      </c>
      <c r="AE29" s="9">
        <f>IF(27&lt;=核心参数输入!$B$9*4,IF(核心参数输入!$B$96=2,AE11-AE11/(1+核心参数输入!$B$118),0),0)</f>
        <v>0</v>
      </c>
      <c r="AF29" s="9">
        <f>IF(28&lt;=核心参数输入!$B$9*4,IF(核心参数输入!$B$96=2,AF11-AF11/(1+核心参数输入!$B$118),0),0)</f>
        <v>0</v>
      </c>
      <c r="AG29" s="9">
        <f>IF(29&lt;=核心参数输入!$B$9*4,IF(核心参数输入!$B$96=2,AG11-AG11/(1+核心参数输入!$B$118),0),0)</f>
        <v>0</v>
      </c>
      <c r="AH29" s="9">
        <f>IF(30&lt;=核心参数输入!$B$9*4,IF(核心参数输入!$B$96=2,AH11-AH11/(1+核心参数输入!$B$118),0),0)</f>
        <v>0</v>
      </c>
      <c r="AI29" s="9">
        <f>IF(31&lt;=核心参数输入!$B$9*4,IF(核心参数输入!$B$96=2,AI11-AI11/(1+核心参数输入!$B$118),0),0)</f>
        <v>0</v>
      </c>
      <c r="AJ29" s="9">
        <f>IF(32&lt;=核心参数输入!$B$9*4,IF(核心参数输入!$B$96=2,AJ11-AJ11/(1+核心参数输入!$B$118),0),0)</f>
        <v>0</v>
      </c>
      <c r="AK29" s="9">
        <f>IF(33&lt;=核心参数输入!$B$9*4,IF(核心参数输入!$B$96=2,AK11-AK11/(1+核心参数输入!$B$118),0),0)</f>
        <v>0</v>
      </c>
      <c r="AL29" s="9">
        <f>IF(34&lt;=核心参数输入!$B$9*4,IF(核心参数输入!$B$96=2,AL11-AL11/(1+核心参数输入!$B$118),0),0)</f>
        <v>0</v>
      </c>
      <c r="AM29" s="9">
        <f>IF(35&lt;=核心参数输入!$B$9*4,IF(核心参数输入!$B$96=2,AM11-AM11/(1+核心参数输入!$B$118),0),0)</f>
        <v>0</v>
      </c>
      <c r="AN29" s="9">
        <f>IF(36&lt;=核心参数输入!$B$9*4,IF(核心参数输入!$B$96=2,AN11-AN11/(1+核心参数输入!$B$118),0),0)</f>
        <v>0</v>
      </c>
      <c r="AO29" s="9">
        <f>IF(37&lt;=核心参数输入!$B$9*4,IF(核心参数输入!$B$96=2,AO11-AO11/(1+核心参数输入!$B$118),0),0)</f>
        <v>0</v>
      </c>
      <c r="AP29" s="9">
        <f>IF(38&lt;=核心参数输入!$B$9*4,IF(核心参数输入!$B$96=2,AP11-AP11/(1+核心参数输入!$B$118),0),0)</f>
        <v>0</v>
      </c>
      <c r="AQ29" s="9">
        <f>IF(39&lt;=核心参数输入!$B$9*4,IF(核心参数输入!$B$96=2,AQ11-AQ11/(1+核心参数输入!$B$118),0),0)</f>
        <v>0</v>
      </c>
      <c r="AR29" s="9">
        <f>IF(40&lt;=核心参数输入!$B$9*4,IF(核心参数输入!$B$96=2,AR11-AR11/(1+核心参数输入!$B$118),0),0)</f>
        <v>0</v>
      </c>
      <c r="AS29" s="9">
        <f>IF(41&lt;=核心参数输入!$B$9*4,IF(核心参数输入!$B$96=2,AS11-AS11/(1+核心参数输入!$B$118),0),0)</f>
        <v>0</v>
      </c>
      <c r="AT29" s="9">
        <f>IF(42&lt;=核心参数输入!$B$9*4,IF(核心参数输入!$B$96=2,AT11-AT11/(1+核心参数输入!$B$118),0),0)</f>
        <v>0</v>
      </c>
      <c r="AU29" s="9">
        <f>IF(43&lt;=核心参数输入!$B$9*4,IF(核心参数输入!$B$96=2,AU11-AU11/(1+核心参数输入!$B$118),0),0)</f>
        <v>0</v>
      </c>
      <c r="AV29" s="9">
        <f>IF(44&lt;=核心参数输入!$B$9*4,IF(核心参数输入!$B$96=2,AV11-AV11/(1+核心参数输入!$B$118),0),0)</f>
        <v>0</v>
      </c>
      <c r="AW29" s="9">
        <f>IF(45&lt;=核心参数输入!$B$9*4,IF(核心参数输入!$B$96=2,AW11-AW11/(1+核心参数输入!$B$118),0),0)</f>
        <v>0</v>
      </c>
      <c r="AX29" s="9">
        <f>IF(46&lt;=核心参数输入!$B$9*4,IF(核心参数输入!$B$96=2,AX11-AX11/(1+核心参数输入!$B$118),0),0)</f>
        <v>0</v>
      </c>
      <c r="AY29" s="9">
        <f>IF(47&lt;=核心参数输入!$B$9*4,IF(核心参数输入!$B$96=2,AY11-AY11/(1+核心参数输入!$B$118),0),0)</f>
        <v>0</v>
      </c>
      <c r="AZ29" s="9">
        <f>IF(48&lt;=核心参数输入!$B$9*4,IF(核心参数输入!$B$96=2,AZ11-AZ11/(1+核心参数输入!$B$118),0),0)</f>
        <v>0</v>
      </c>
      <c r="BA29" s="9">
        <f>IF(49&lt;=核心参数输入!$B$9*4,IF(核心参数输入!$B$96=2,BA11-BA11/(1+核心参数输入!$B$118),0),0)</f>
        <v>0</v>
      </c>
      <c r="BB29" s="9">
        <f>IF(50&lt;=核心参数输入!$B$9*4,IF(核心参数输入!$B$96=2,BB11-BB11/(1+核心参数输入!$B$118),0),0)</f>
        <v>0</v>
      </c>
      <c r="BC29" s="9">
        <f>IF(51&lt;=核心参数输入!$B$9*4,IF(核心参数输入!$B$96=2,BC11-BC11/(1+核心参数输入!$B$118),0),0)</f>
        <v>0</v>
      </c>
      <c r="BD29" s="9">
        <f>IF(52&lt;=核心参数输入!$B$9*4,IF(核心参数输入!$B$96=2,BD11-BD11/(1+核心参数输入!$B$118),0),0)</f>
        <v>0</v>
      </c>
      <c r="BE29" s="9">
        <f>IF(53&lt;=核心参数输入!$B$9*4,IF(核心参数输入!$B$96=2,BE11-BE11/(1+核心参数输入!$B$118),0),0)</f>
        <v>0</v>
      </c>
      <c r="BF29" s="9">
        <f>IF(54&lt;=核心参数输入!$B$9*4,IF(核心参数输入!$B$96=2,BF11-BF11/(1+核心参数输入!$B$118),0),0)</f>
        <v>0</v>
      </c>
      <c r="BG29" s="9">
        <f>IF(55&lt;=核心参数输入!$B$9*4,IF(核心参数输入!$B$96=2,BG11-BG11/(1+核心参数输入!$B$118),0),0)</f>
        <v>0</v>
      </c>
      <c r="BH29" s="9">
        <f>IF(56&lt;=核心参数输入!$B$9*4,IF(核心参数输入!$B$96=2,BH11-BH11/(1+核心参数输入!$B$118),0),0)</f>
        <v>0</v>
      </c>
      <c r="BI29" s="9">
        <f>IF(57&lt;=核心参数输入!$B$9*4,IF(核心参数输入!$B$96=2,BI11-BI11/(1+核心参数输入!$B$118),0),0)</f>
        <v>0</v>
      </c>
      <c r="BJ29" s="9">
        <f>IF(58&lt;=核心参数输入!$B$9*4,IF(核心参数输入!$B$96=2,BJ11-BJ11/(1+核心参数输入!$B$118),0),0)</f>
        <v>0</v>
      </c>
      <c r="BK29" s="9">
        <f>IF(59&lt;=核心参数输入!$B$9*4,IF(核心参数输入!$B$96=2,BK11-BK11/(1+核心参数输入!$B$118),0),0)</f>
        <v>0</v>
      </c>
      <c r="BL29" s="9">
        <f>IF(60&lt;=核心参数输入!$B$9*4,IF(核心参数输入!$B$96=2,BL11-BL11/(1+核心参数输入!$B$118),0),0)</f>
        <v>0</v>
      </c>
      <c r="BM29" s="9">
        <f>IF(61&lt;=核心参数输入!$B$9*4,IF(核心参数输入!$B$96=2,BM11-BM11/(1+核心参数输入!$B$118),0),0)</f>
        <v>0</v>
      </c>
      <c r="BN29" s="9">
        <f>IF(62&lt;=核心参数输入!$B$9*4,IF(核心参数输入!$B$96=2,BN11-BN11/(1+核心参数输入!$B$118),0),0)</f>
        <v>0</v>
      </c>
      <c r="BO29" s="9">
        <f>IF(63&lt;=核心参数输入!$B$9*4,IF(核心参数输入!$B$96=2,BO11-BO11/(1+核心参数输入!$B$118),0),0)</f>
        <v>0</v>
      </c>
      <c r="BP29" s="9">
        <f>IF(64&lt;=核心参数输入!$B$9*4,IF(核心参数输入!$B$96=2,BP11-BP11/(1+核心参数输入!$B$118),0),0)</f>
        <v>0</v>
      </c>
      <c r="BQ29" s="9">
        <f>IF(65&lt;=核心参数输入!$B$9*4,IF(核心参数输入!$B$96=2,BQ11-BQ11/(1+核心参数输入!$B$118),0),0)</f>
        <v>0</v>
      </c>
      <c r="BR29" s="9">
        <f>IF(66&lt;=核心参数输入!$B$9*4,IF(核心参数输入!$B$96=2,BR11-BR11/(1+核心参数输入!$B$118),0),0)</f>
        <v>0</v>
      </c>
      <c r="BS29" s="9">
        <f>IF(67&lt;=核心参数输入!$B$9*4,IF(核心参数输入!$B$96=2,BS11-BS11/(1+核心参数输入!$B$118),0),0)</f>
        <v>0</v>
      </c>
      <c r="BT29" s="9">
        <f>IF(68&lt;=核心参数输入!$B$9*4,IF(核心参数输入!$B$96=2,BT11-BT11/(1+核心参数输入!$B$118),0),0)</f>
        <v>0</v>
      </c>
      <c r="BU29" s="9">
        <f>IF(69&lt;=核心参数输入!$B$9*4,IF(核心参数输入!$B$96=2,BU11-BU11/(1+核心参数输入!$B$118),0),0)</f>
        <v>0</v>
      </c>
      <c r="BV29" s="9">
        <f>IF(70&lt;=核心参数输入!$B$9*4,IF(核心参数输入!$B$96=2,BV11-BV11/(1+核心参数输入!$B$118),0),0)</f>
        <v>0</v>
      </c>
      <c r="BW29" s="9">
        <f>IF(71&lt;=核心参数输入!$B$9*4,IF(核心参数输入!$B$96=2,BW11-BW11/(1+核心参数输入!$B$118),0),0)</f>
        <v>0</v>
      </c>
      <c r="BX29" s="9">
        <f>IF(72&lt;=核心参数输入!$B$9*4,IF(核心参数输入!$B$96=2,BX11-BX11/(1+核心参数输入!$B$118),0),0)</f>
        <v>0</v>
      </c>
      <c r="BY29" s="9">
        <f>IF(73&lt;=核心参数输入!$B$9*4,IF(核心参数输入!$B$96=2,BY11-BY11/(1+核心参数输入!$B$118),0),0)</f>
        <v>0</v>
      </c>
      <c r="BZ29" s="9">
        <f>IF(74&lt;=核心参数输入!$B$9*4,IF(核心参数输入!$B$96=2,BZ11-BZ11/(1+核心参数输入!$B$118),0),0)</f>
        <v>0</v>
      </c>
      <c r="CA29" s="9">
        <f>IF(75&lt;=核心参数输入!$B$9*4,IF(核心参数输入!$B$96=2,CA11-CA11/(1+核心参数输入!$B$118),0),0)</f>
        <v>0</v>
      </c>
      <c r="CB29" s="9">
        <f>IF(76&lt;=核心参数输入!$B$9*4,IF(核心参数输入!$B$96=2,CB11-CB11/(1+核心参数输入!$B$118),0),0)</f>
        <v>0</v>
      </c>
      <c r="CC29" s="9">
        <f>IF(77&lt;=核心参数输入!$B$9*4,IF(核心参数输入!$B$96=2,CC11-CC11/(1+核心参数输入!$B$118),0),0)</f>
        <v>0</v>
      </c>
      <c r="CD29" s="9">
        <f>IF(78&lt;=核心参数输入!$B$9*4,IF(核心参数输入!$B$96=2,CD11-CD11/(1+核心参数输入!$B$118),0),0)</f>
        <v>0</v>
      </c>
      <c r="CE29" s="9">
        <f>IF(79&lt;=核心参数输入!$B$9*4,IF(核心参数输入!$B$96=2,CE11-CE11/(1+核心参数输入!$B$118),0),0)</f>
        <v>0</v>
      </c>
      <c r="CF29" s="9">
        <f>IF(80&lt;=核心参数输入!$B$9*4,IF(核心参数输入!$B$96=2,CF11-CF11/(1+核心参数输入!$B$118),0),0)</f>
        <v>0</v>
      </c>
      <c r="CG29" s="9">
        <f>IF(81&lt;=核心参数输入!$B$9*4,IF(核心参数输入!$B$96=2,CG11-CG11/(1+核心参数输入!$B$118),0),0)</f>
        <v>0</v>
      </c>
      <c r="CH29" s="9">
        <f>IF(82&lt;=核心参数输入!$B$9*4,IF(核心参数输入!$B$96=2,CH11-CH11/(1+核心参数输入!$B$118),0),0)</f>
        <v>0</v>
      </c>
      <c r="CI29" s="9">
        <f>IF(83&lt;=核心参数输入!$B$9*4,IF(核心参数输入!$B$96=2,CI11-CI11/(1+核心参数输入!$B$118),0),0)</f>
        <v>0</v>
      </c>
      <c r="CJ29" s="9">
        <f>IF(84&lt;=核心参数输入!$B$9*4,IF(核心参数输入!$B$96=2,CJ11-CJ11/(1+核心参数输入!$B$118),0),0)</f>
        <v>0</v>
      </c>
      <c r="CK29" s="9">
        <f>IF(85&lt;=核心参数输入!$B$9*4,IF(核心参数输入!$B$96=2,CK11-CK11/(1+核心参数输入!$B$118),0),0)</f>
        <v>0</v>
      </c>
      <c r="CL29" s="9">
        <f>IF(86&lt;=核心参数输入!$B$9*4,IF(核心参数输入!$B$96=2,CL11-CL11/(1+核心参数输入!$B$118),0),0)</f>
        <v>0</v>
      </c>
      <c r="CM29" s="9">
        <f>IF(87&lt;=核心参数输入!$B$9*4,IF(核心参数输入!$B$96=2,CM11-CM11/(1+核心参数输入!$B$118),0),0)</f>
        <v>0</v>
      </c>
      <c r="CN29" s="9">
        <f>IF(88&lt;=核心参数输入!$B$9*4,IF(核心参数输入!$B$96=2,CN11-CN11/(1+核心参数输入!$B$118),0),0)</f>
        <v>0</v>
      </c>
      <c r="CO29" s="9">
        <f>IF(89&lt;=核心参数输入!$B$9*4,IF(核心参数输入!$B$96=2,CO11-CO11/(1+核心参数输入!$B$118),0),0)</f>
        <v>0</v>
      </c>
      <c r="CP29" s="9">
        <f>IF(90&lt;=核心参数输入!$B$9*4,IF(核心参数输入!$B$96=2,CP11-CP11/(1+核心参数输入!$B$118),0),0)</f>
        <v>0</v>
      </c>
      <c r="CQ29" s="9">
        <f>IF(91&lt;=核心参数输入!$B$9*4,IF(核心参数输入!$B$96=2,CQ11-CQ11/(1+核心参数输入!$B$118),0),0)</f>
        <v>0</v>
      </c>
      <c r="CR29" s="9">
        <f>IF(92&lt;=核心参数输入!$B$9*4,IF(核心参数输入!$B$96=2,CR11-CR11/(1+核心参数输入!$B$118),0),0)</f>
        <v>0</v>
      </c>
      <c r="CS29" s="9">
        <f>IF(93&lt;=核心参数输入!$B$9*4,IF(核心参数输入!$B$96=2,CS11-CS11/(1+核心参数输入!$B$118),0),0)</f>
        <v>0</v>
      </c>
      <c r="CT29" s="9">
        <f>IF(94&lt;=核心参数输入!$B$9*4,IF(核心参数输入!$B$96=2,CT11-CT11/(1+核心参数输入!$B$118),0),0)</f>
        <v>0</v>
      </c>
      <c r="CU29" s="9">
        <f>IF(95&lt;=核心参数输入!$B$9*4,IF(核心参数输入!$B$96=2,CU11-CU11/(1+核心参数输入!$B$118),0),0)</f>
        <v>0</v>
      </c>
      <c r="CV29" s="9">
        <f>IF(96&lt;=核心参数输入!$B$9*4,IF(核心参数输入!$B$96=2,CV11-CV11/(1+核心参数输入!$B$118),0),0)</f>
        <v>0</v>
      </c>
      <c r="CW29" s="9">
        <f>IF(97&lt;=核心参数输入!$B$9*4,IF(核心参数输入!$B$96=2,CW11-CW11/(1+核心参数输入!$B$118),0),0)</f>
        <v>0</v>
      </c>
      <c r="CX29" s="9">
        <f>IF(98&lt;=核心参数输入!$B$9*4,IF(核心参数输入!$B$96=2,CX11-CX11/(1+核心参数输入!$B$118),0),0)</f>
        <v>0</v>
      </c>
      <c r="CY29" s="9">
        <f>IF(99&lt;=核心参数输入!$B$9*4,IF(核心参数输入!$B$96=2,CY11-CY11/(1+核心参数输入!$B$118),0),0)</f>
        <v>0</v>
      </c>
      <c r="CZ29" s="9">
        <f>IF(100&lt;=核心参数输入!$B$9*4,IF(核心参数输入!$B$96=2,CZ11-CZ11/(1+核心参数输入!$B$118),0),0)</f>
        <v>0</v>
      </c>
      <c r="DA29" s="9">
        <f>IF(101&lt;=核心参数输入!$B$9*4,IF(核心参数输入!$B$96=2,DA11-DA11/(1+核心参数输入!$B$118),0),0)</f>
        <v>0</v>
      </c>
      <c r="DB29" s="9">
        <f>IF(102&lt;=核心参数输入!$B$9*4,IF(核心参数输入!$B$96=2,DB11-DB11/(1+核心参数输入!$B$118),0),0)</f>
        <v>0</v>
      </c>
      <c r="DC29" s="9">
        <f>IF(103&lt;=核心参数输入!$B$9*4,IF(核心参数输入!$B$96=2,DC11-DC11/(1+核心参数输入!$B$118),0),0)</f>
        <v>0</v>
      </c>
      <c r="DD29" s="9">
        <f>IF(104&lt;=核心参数输入!$B$9*4,IF(核心参数输入!$B$96=2,DD11-DD11/(1+核心参数输入!$B$118),0),0)</f>
        <v>0</v>
      </c>
      <c r="DE29" s="9">
        <f>IF(105&lt;=核心参数输入!$B$9*4,IF(核心参数输入!$B$96=2,DE11-DE11/(1+核心参数输入!$B$118),0),0)</f>
        <v>0</v>
      </c>
      <c r="DF29" s="9">
        <f>IF(106&lt;=核心参数输入!$B$9*4,IF(核心参数输入!$B$96=2,DF11-DF11/(1+核心参数输入!$B$118),0),0)</f>
        <v>0</v>
      </c>
      <c r="DG29" s="9">
        <f>IF(107&lt;=核心参数输入!$B$9*4,IF(核心参数输入!$B$96=2,DG11-DG11/(1+核心参数输入!$B$118),0),0)</f>
        <v>0</v>
      </c>
      <c r="DH29" s="9">
        <f>IF(108&lt;=核心参数输入!$B$9*4,IF(核心参数输入!$B$96=2,DH11-DH11/(1+核心参数输入!$B$118),0),0)</f>
        <v>0</v>
      </c>
      <c r="DI29" s="9">
        <f>IF(109&lt;=核心参数输入!$B$9*4,IF(核心参数输入!$B$96=2,DI11-DI11/(1+核心参数输入!$B$118),0),0)</f>
        <v>0</v>
      </c>
      <c r="DJ29" s="9">
        <f>IF(110&lt;=核心参数输入!$B$9*4,IF(核心参数输入!$B$96=2,DJ11-DJ11/(1+核心参数输入!$B$118),0),0)</f>
        <v>0</v>
      </c>
      <c r="DK29" s="9">
        <f>IF(111&lt;=核心参数输入!$B$9*4,IF(核心参数输入!$B$96=2,DK11-DK11/(1+核心参数输入!$B$118),0),0)</f>
        <v>0</v>
      </c>
      <c r="DL29" s="9">
        <f>IF(112&lt;=核心参数输入!$B$9*4,IF(核心参数输入!$B$96=2,DL11-DL11/(1+核心参数输入!$B$118),0),0)</f>
        <v>0</v>
      </c>
      <c r="DM29" s="9">
        <f>IF(113&lt;=核心参数输入!$B$9*4,IF(核心参数输入!$B$96=2,DM11-DM11/(1+核心参数输入!$B$118),0),0)</f>
        <v>0</v>
      </c>
      <c r="DN29" s="9">
        <f>IF(114&lt;=核心参数输入!$B$9*4,IF(核心参数输入!$B$96=2,DN11-DN11/(1+核心参数输入!$B$118),0),0)</f>
        <v>0</v>
      </c>
      <c r="DO29" s="9">
        <f>IF(115&lt;=核心参数输入!$B$9*4,IF(核心参数输入!$B$96=2,DO11-DO11/(1+核心参数输入!$B$118),0),0)</f>
        <v>0</v>
      </c>
      <c r="DP29" s="9">
        <f>IF(116&lt;=核心参数输入!$B$9*4,IF(核心参数输入!$B$96=2,DP11-DP11/(1+核心参数输入!$B$118),0),0)</f>
        <v>0</v>
      </c>
      <c r="DQ29" s="9">
        <f>IF(117&lt;=核心参数输入!$B$9*4,IF(核心参数输入!$B$96=2,DQ11-DQ11/(1+核心参数输入!$B$118),0),0)</f>
        <v>0</v>
      </c>
      <c r="DR29" s="9">
        <f>IF(118&lt;=核心参数输入!$B$9*4,IF(核心参数输入!$B$96=2,DR11-DR11/(1+核心参数输入!$B$118),0),0)</f>
        <v>0</v>
      </c>
      <c r="DS29" s="9">
        <f>IF(119&lt;=核心参数输入!$B$9*4,IF(核心参数输入!$B$96=2,DS11-DS11/(1+核心参数输入!$B$118),0),0)</f>
        <v>0</v>
      </c>
      <c r="DT29" s="9">
        <f>IF(120&lt;=核心参数输入!$B$9*4,IF(核心参数输入!$B$96=2,DT11-DT11/(1+核心参数输入!$B$118),0),0)</f>
        <v>0</v>
      </c>
    </row>
    <row r="30" spans="1:124" ht="21" customHeight="1">
      <c r="A30" s="8" t="s">
        <v>464</v>
      </c>
      <c r="B30" s="8" t="s">
        <v>39</v>
      </c>
      <c r="C30" s="8"/>
      <c r="D30" s="9">
        <f>IF(0&lt;=核心参数输入!$B$9*4,IF(核心参数输入!$B$96=2,D23-D23/(1+核心参数输入!$B$119),0),0)</f>
        <v>0</v>
      </c>
      <c r="E30" s="9">
        <f>IF(1&lt;=核心参数输入!$B$9*4,IF(核心参数输入!$B$96=2,E23-E23/(1+核心参数输入!$B$119),0),0)</f>
        <v>0</v>
      </c>
      <c r="F30" s="9">
        <f>IF(2&lt;=核心参数输入!$B$9*4,IF(核心参数输入!$B$96=2,F23-F23/(1+核心参数输入!$B$119),0),0)</f>
        <v>0</v>
      </c>
      <c r="G30" s="9">
        <f>IF(3&lt;=核心参数输入!$B$9*4,IF(核心参数输入!$B$96=2,G23-G23/(1+核心参数输入!$B$119),0),0)</f>
        <v>0</v>
      </c>
      <c r="H30" s="9">
        <f>IF(4&lt;=核心参数输入!$B$9*4,IF(核心参数输入!$B$96=2,H23-H23/(1+核心参数输入!$B$119),0),0)</f>
        <v>0</v>
      </c>
      <c r="I30" s="9">
        <f>IF(5&lt;=核心参数输入!$B$9*4,IF(核心参数输入!$B$96=2,I23-I23/(1+核心参数输入!$B$119),0),0)</f>
        <v>0</v>
      </c>
      <c r="J30" s="9">
        <f>IF(6&lt;=核心参数输入!$B$9*4,IF(核心参数输入!$B$96=2,J23-J23/(1+核心参数输入!$B$119),0),0)</f>
        <v>0</v>
      </c>
      <c r="K30" s="9">
        <f>IF(7&lt;=核心参数输入!$B$9*4,IF(核心参数输入!$B$96=2,K23-K23/(1+核心参数输入!$B$119),0),0)</f>
        <v>0</v>
      </c>
      <c r="L30" s="9">
        <f>IF(8&lt;=核心参数输入!$B$9*4,IF(核心参数输入!$B$96=2,L23-L23/(1+核心参数输入!$B$119),0),0)</f>
        <v>0</v>
      </c>
      <c r="M30" s="9">
        <f>IF(9&lt;=核心参数输入!$B$9*4,IF(核心参数输入!$B$96=2,M23-M23/(1+核心参数输入!$B$119),0),0)</f>
        <v>0</v>
      </c>
      <c r="N30" s="9">
        <f>IF(10&lt;=核心参数输入!$B$9*4,IF(核心参数输入!$B$96=2,N23-N23/(1+核心参数输入!$B$119),0),0)</f>
        <v>0</v>
      </c>
      <c r="O30" s="9">
        <f>IF(11&lt;=核心参数输入!$B$9*4,IF(核心参数输入!$B$96=2,O23-O23/(1+核心参数输入!$B$119),0),0)</f>
        <v>0</v>
      </c>
      <c r="P30" s="9">
        <f>IF(12&lt;=核心参数输入!$B$9*4,IF(核心参数输入!$B$96=2,P23-P23/(1+核心参数输入!$B$119),0),0)</f>
        <v>0</v>
      </c>
      <c r="Q30" s="9">
        <f>IF(13&lt;=核心参数输入!$B$9*4,IF(核心参数输入!$B$96=2,Q23-Q23/(1+核心参数输入!$B$119),0),0)</f>
        <v>0</v>
      </c>
      <c r="R30" s="9">
        <f>IF(14&lt;=核心参数输入!$B$9*4,IF(核心参数输入!$B$96=2,R23-R23/(1+核心参数输入!$B$119),0),0)</f>
        <v>0</v>
      </c>
      <c r="S30" s="9">
        <f>IF(15&lt;=核心参数输入!$B$9*4,IF(核心参数输入!$B$96=2,S23-S23/(1+核心参数输入!$B$119),0),0)</f>
        <v>0</v>
      </c>
      <c r="T30" s="9">
        <f>IF(16&lt;=核心参数输入!$B$9*4,IF(核心参数输入!$B$96=2,T23-T23/(1+核心参数输入!$B$119),0),0)</f>
        <v>0</v>
      </c>
      <c r="U30" s="9">
        <f>IF(17&lt;=核心参数输入!$B$9*4,IF(核心参数输入!$B$96=2,U23-U23/(1+核心参数输入!$B$119),0),0)</f>
        <v>0</v>
      </c>
      <c r="V30" s="9">
        <f>IF(18&lt;=核心参数输入!$B$9*4,IF(核心参数输入!$B$96=2,V23-V23/(1+核心参数输入!$B$119),0),0)</f>
        <v>0</v>
      </c>
      <c r="W30" s="9">
        <f>IF(19&lt;=核心参数输入!$B$9*4,IF(核心参数输入!$B$96=2,W23-W23/(1+核心参数输入!$B$119),0),0)</f>
        <v>0</v>
      </c>
      <c r="X30" s="9">
        <f>IF(20&lt;=核心参数输入!$B$9*4,IF(核心参数输入!$B$96=2,X23-X23/(1+核心参数输入!$B$119),0),0)</f>
        <v>0</v>
      </c>
      <c r="Y30" s="9">
        <f>IF(21&lt;=核心参数输入!$B$9*4,IF(核心参数输入!$B$96=2,Y23-Y23/(1+核心参数输入!$B$119),0),0)</f>
        <v>0</v>
      </c>
      <c r="Z30" s="9">
        <f>IF(22&lt;=核心参数输入!$B$9*4,IF(核心参数输入!$B$96=2,Z23-Z23/(1+核心参数输入!$B$119),0),0)</f>
        <v>0</v>
      </c>
      <c r="AA30" s="9">
        <f>IF(23&lt;=核心参数输入!$B$9*4,IF(核心参数输入!$B$96=2,AA23-AA23/(1+核心参数输入!$B$119),0),0)</f>
        <v>0</v>
      </c>
      <c r="AB30" s="9">
        <f>IF(24&lt;=核心参数输入!$B$9*4,IF(核心参数输入!$B$96=2,AB23-AB23/(1+核心参数输入!$B$119),0),0)</f>
        <v>0</v>
      </c>
      <c r="AC30" s="9">
        <f>IF(25&lt;=核心参数输入!$B$9*4,IF(核心参数输入!$B$96=2,AC23-AC23/(1+核心参数输入!$B$119),0),0)</f>
        <v>0</v>
      </c>
      <c r="AD30" s="9">
        <f>IF(26&lt;=核心参数输入!$B$9*4,IF(核心参数输入!$B$96=2,AD23-AD23/(1+核心参数输入!$B$119),0),0)</f>
        <v>0</v>
      </c>
      <c r="AE30" s="9">
        <f>IF(27&lt;=核心参数输入!$B$9*4,IF(核心参数输入!$B$96=2,AE23-AE23/(1+核心参数输入!$B$119),0),0)</f>
        <v>0</v>
      </c>
      <c r="AF30" s="9">
        <f>IF(28&lt;=核心参数输入!$B$9*4,IF(核心参数输入!$B$96=2,AF23-AF23/(1+核心参数输入!$B$119),0),0)</f>
        <v>0</v>
      </c>
      <c r="AG30" s="9">
        <f>IF(29&lt;=核心参数输入!$B$9*4,IF(核心参数输入!$B$96=2,AG23-AG23/(1+核心参数输入!$B$119),0),0)</f>
        <v>0</v>
      </c>
      <c r="AH30" s="9">
        <f>IF(30&lt;=核心参数输入!$B$9*4,IF(核心参数输入!$B$96=2,AH23-AH23/(1+核心参数输入!$B$119),0),0)</f>
        <v>0</v>
      </c>
      <c r="AI30" s="9">
        <f>IF(31&lt;=核心参数输入!$B$9*4,IF(核心参数输入!$B$96=2,AI23-AI23/(1+核心参数输入!$B$119),0),0)</f>
        <v>0</v>
      </c>
      <c r="AJ30" s="9">
        <f>IF(32&lt;=核心参数输入!$B$9*4,IF(核心参数输入!$B$96=2,AJ23-AJ23/(1+核心参数输入!$B$119),0),0)</f>
        <v>0</v>
      </c>
      <c r="AK30" s="9">
        <f>IF(33&lt;=核心参数输入!$B$9*4,IF(核心参数输入!$B$96=2,AK23-AK23/(1+核心参数输入!$B$119),0),0)</f>
        <v>0</v>
      </c>
      <c r="AL30" s="9">
        <f>IF(34&lt;=核心参数输入!$B$9*4,IF(核心参数输入!$B$96=2,AL23-AL23/(1+核心参数输入!$B$119),0),0)</f>
        <v>0</v>
      </c>
      <c r="AM30" s="9">
        <f>IF(35&lt;=核心参数输入!$B$9*4,IF(核心参数输入!$B$96=2,AM23-AM23/(1+核心参数输入!$B$119),0),0)</f>
        <v>0</v>
      </c>
      <c r="AN30" s="9">
        <f>IF(36&lt;=核心参数输入!$B$9*4,IF(核心参数输入!$B$96=2,AN23-AN23/(1+核心参数输入!$B$119),0),0)</f>
        <v>0</v>
      </c>
      <c r="AO30" s="9">
        <f>IF(37&lt;=核心参数输入!$B$9*4,IF(核心参数输入!$B$96=2,AO23-AO23/(1+核心参数输入!$B$119),0),0)</f>
        <v>0</v>
      </c>
      <c r="AP30" s="9">
        <f>IF(38&lt;=核心参数输入!$B$9*4,IF(核心参数输入!$B$96=2,AP23-AP23/(1+核心参数输入!$B$119),0),0)</f>
        <v>0</v>
      </c>
      <c r="AQ30" s="9">
        <f>IF(39&lt;=核心参数输入!$B$9*4,IF(核心参数输入!$B$96=2,AQ23-AQ23/(1+核心参数输入!$B$119),0),0)</f>
        <v>0</v>
      </c>
      <c r="AR30" s="9">
        <f>IF(40&lt;=核心参数输入!$B$9*4,IF(核心参数输入!$B$96=2,AR23-AR23/(1+核心参数输入!$B$119),0),0)</f>
        <v>0</v>
      </c>
      <c r="AS30" s="9">
        <f>IF(41&lt;=核心参数输入!$B$9*4,IF(核心参数输入!$B$96=2,AS23-AS23/(1+核心参数输入!$B$119),0),0)</f>
        <v>0</v>
      </c>
      <c r="AT30" s="9">
        <f>IF(42&lt;=核心参数输入!$B$9*4,IF(核心参数输入!$B$96=2,AT23-AT23/(1+核心参数输入!$B$119),0),0)</f>
        <v>0</v>
      </c>
      <c r="AU30" s="9">
        <f>IF(43&lt;=核心参数输入!$B$9*4,IF(核心参数输入!$B$96=2,AU23-AU23/(1+核心参数输入!$B$119),0),0)</f>
        <v>0</v>
      </c>
      <c r="AV30" s="9">
        <f>IF(44&lt;=核心参数输入!$B$9*4,IF(核心参数输入!$B$96=2,AV23-AV23/(1+核心参数输入!$B$119),0),0)</f>
        <v>0</v>
      </c>
      <c r="AW30" s="9">
        <f>IF(45&lt;=核心参数输入!$B$9*4,IF(核心参数输入!$B$96=2,AW23-AW23/(1+核心参数输入!$B$119),0),0)</f>
        <v>0</v>
      </c>
      <c r="AX30" s="9">
        <f>IF(46&lt;=核心参数输入!$B$9*4,IF(核心参数输入!$B$96=2,AX23-AX23/(1+核心参数输入!$B$119),0),0)</f>
        <v>0</v>
      </c>
      <c r="AY30" s="9">
        <f>IF(47&lt;=核心参数输入!$B$9*4,IF(核心参数输入!$B$96=2,AY23-AY23/(1+核心参数输入!$B$119),0),0)</f>
        <v>0</v>
      </c>
      <c r="AZ30" s="9">
        <f>IF(48&lt;=核心参数输入!$B$9*4,IF(核心参数输入!$B$96=2,AZ23-AZ23/(1+核心参数输入!$B$119),0),0)</f>
        <v>0</v>
      </c>
      <c r="BA30" s="9">
        <f>IF(49&lt;=核心参数输入!$B$9*4,IF(核心参数输入!$B$96=2,BA23-BA23/(1+核心参数输入!$B$119),0),0)</f>
        <v>0</v>
      </c>
      <c r="BB30" s="9">
        <f>IF(50&lt;=核心参数输入!$B$9*4,IF(核心参数输入!$B$96=2,BB23-BB23/(1+核心参数输入!$B$119),0),0)</f>
        <v>0</v>
      </c>
      <c r="BC30" s="9">
        <f>IF(51&lt;=核心参数输入!$B$9*4,IF(核心参数输入!$B$96=2,BC23-BC23/(1+核心参数输入!$B$119),0),0)</f>
        <v>0</v>
      </c>
      <c r="BD30" s="9">
        <f>IF(52&lt;=核心参数输入!$B$9*4,IF(核心参数输入!$B$96=2,BD23-BD23/(1+核心参数输入!$B$119),0),0)</f>
        <v>0</v>
      </c>
      <c r="BE30" s="9">
        <f>IF(53&lt;=核心参数输入!$B$9*4,IF(核心参数输入!$B$96=2,BE23-BE23/(1+核心参数输入!$B$119),0),0)</f>
        <v>0</v>
      </c>
      <c r="BF30" s="9">
        <f>IF(54&lt;=核心参数输入!$B$9*4,IF(核心参数输入!$B$96=2,BF23-BF23/(1+核心参数输入!$B$119),0),0)</f>
        <v>0</v>
      </c>
      <c r="BG30" s="9">
        <f>IF(55&lt;=核心参数输入!$B$9*4,IF(核心参数输入!$B$96=2,BG23-BG23/(1+核心参数输入!$B$119),0),0)</f>
        <v>0</v>
      </c>
      <c r="BH30" s="9">
        <f>IF(56&lt;=核心参数输入!$B$9*4,IF(核心参数输入!$B$96=2,BH23-BH23/(1+核心参数输入!$B$119),0),0)</f>
        <v>0</v>
      </c>
      <c r="BI30" s="9">
        <f>IF(57&lt;=核心参数输入!$B$9*4,IF(核心参数输入!$B$96=2,BI23-BI23/(1+核心参数输入!$B$119),0),0)</f>
        <v>0</v>
      </c>
      <c r="BJ30" s="9">
        <f>IF(58&lt;=核心参数输入!$B$9*4,IF(核心参数输入!$B$96=2,BJ23-BJ23/(1+核心参数输入!$B$119),0),0)</f>
        <v>0</v>
      </c>
      <c r="BK30" s="9">
        <f>IF(59&lt;=核心参数输入!$B$9*4,IF(核心参数输入!$B$96=2,BK23-BK23/(1+核心参数输入!$B$119),0),0)</f>
        <v>0</v>
      </c>
      <c r="BL30" s="9">
        <f>IF(60&lt;=核心参数输入!$B$9*4,IF(核心参数输入!$B$96=2,BL23-BL23/(1+核心参数输入!$B$119),0),0)</f>
        <v>0</v>
      </c>
      <c r="BM30" s="9">
        <f>IF(61&lt;=核心参数输入!$B$9*4,IF(核心参数输入!$B$96=2,BM23-BM23/(1+核心参数输入!$B$119),0),0)</f>
        <v>0</v>
      </c>
      <c r="BN30" s="9">
        <f>IF(62&lt;=核心参数输入!$B$9*4,IF(核心参数输入!$B$96=2,BN23-BN23/(1+核心参数输入!$B$119),0),0)</f>
        <v>0</v>
      </c>
      <c r="BO30" s="9">
        <f>IF(63&lt;=核心参数输入!$B$9*4,IF(核心参数输入!$B$96=2,BO23-BO23/(1+核心参数输入!$B$119),0),0)</f>
        <v>0</v>
      </c>
      <c r="BP30" s="9">
        <f>IF(64&lt;=核心参数输入!$B$9*4,IF(核心参数输入!$B$96=2,BP23-BP23/(1+核心参数输入!$B$119),0),0)</f>
        <v>0</v>
      </c>
      <c r="BQ30" s="9">
        <f>IF(65&lt;=核心参数输入!$B$9*4,IF(核心参数输入!$B$96=2,BQ23-BQ23/(1+核心参数输入!$B$119),0),0)</f>
        <v>0</v>
      </c>
      <c r="BR30" s="9">
        <f>IF(66&lt;=核心参数输入!$B$9*4,IF(核心参数输入!$B$96=2,BR23-BR23/(1+核心参数输入!$B$119),0),0)</f>
        <v>0</v>
      </c>
      <c r="BS30" s="9">
        <f>IF(67&lt;=核心参数输入!$B$9*4,IF(核心参数输入!$B$96=2,BS23-BS23/(1+核心参数输入!$B$119),0),0)</f>
        <v>0</v>
      </c>
      <c r="BT30" s="9">
        <f>IF(68&lt;=核心参数输入!$B$9*4,IF(核心参数输入!$B$96=2,BT23-BT23/(1+核心参数输入!$B$119),0),0)</f>
        <v>0</v>
      </c>
      <c r="BU30" s="9">
        <f>IF(69&lt;=核心参数输入!$B$9*4,IF(核心参数输入!$B$96=2,BU23-BU23/(1+核心参数输入!$B$119),0),0)</f>
        <v>0</v>
      </c>
      <c r="BV30" s="9">
        <f>IF(70&lt;=核心参数输入!$B$9*4,IF(核心参数输入!$B$96=2,BV23-BV23/(1+核心参数输入!$B$119),0),0)</f>
        <v>0</v>
      </c>
      <c r="BW30" s="9">
        <f>IF(71&lt;=核心参数输入!$B$9*4,IF(核心参数输入!$B$96=2,BW23-BW23/(1+核心参数输入!$B$119),0),0)</f>
        <v>0</v>
      </c>
      <c r="BX30" s="9">
        <f>IF(72&lt;=核心参数输入!$B$9*4,IF(核心参数输入!$B$96=2,BX23-BX23/(1+核心参数输入!$B$119),0),0)</f>
        <v>0</v>
      </c>
      <c r="BY30" s="9">
        <f>IF(73&lt;=核心参数输入!$B$9*4,IF(核心参数输入!$B$96=2,BY23-BY23/(1+核心参数输入!$B$119),0),0)</f>
        <v>0</v>
      </c>
      <c r="BZ30" s="9">
        <f>IF(74&lt;=核心参数输入!$B$9*4,IF(核心参数输入!$B$96=2,BZ23-BZ23/(1+核心参数输入!$B$119),0),0)</f>
        <v>0</v>
      </c>
      <c r="CA30" s="9">
        <f>IF(75&lt;=核心参数输入!$B$9*4,IF(核心参数输入!$B$96=2,CA23-CA23/(1+核心参数输入!$B$119),0),0)</f>
        <v>0</v>
      </c>
      <c r="CB30" s="9">
        <f>IF(76&lt;=核心参数输入!$B$9*4,IF(核心参数输入!$B$96=2,CB23-CB23/(1+核心参数输入!$B$119),0),0)</f>
        <v>0</v>
      </c>
      <c r="CC30" s="9">
        <f>IF(77&lt;=核心参数输入!$B$9*4,IF(核心参数输入!$B$96=2,CC23-CC23/(1+核心参数输入!$B$119),0),0)</f>
        <v>0</v>
      </c>
      <c r="CD30" s="9">
        <f>IF(78&lt;=核心参数输入!$B$9*4,IF(核心参数输入!$B$96=2,CD23-CD23/(1+核心参数输入!$B$119),0),0)</f>
        <v>0</v>
      </c>
      <c r="CE30" s="9">
        <f>IF(79&lt;=核心参数输入!$B$9*4,IF(核心参数输入!$B$96=2,CE23-CE23/(1+核心参数输入!$B$119),0),0)</f>
        <v>0</v>
      </c>
      <c r="CF30" s="9">
        <f>IF(80&lt;=核心参数输入!$B$9*4,IF(核心参数输入!$B$96=2,CF23-CF23/(1+核心参数输入!$B$119),0),0)</f>
        <v>0</v>
      </c>
      <c r="CG30" s="9">
        <f>IF(81&lt;=核心参数输入!$B$9*4,IF(核心参数输入!$B$96=2,CG23-CG23/(1+核心参数输入!$B$119),0),0)</f>
        <v>0</v>
      </c>
      <c r="CH30" s="9">
        <f>IF(82&lt;=核心参数输入!$B$9*4,IF(核心参数输入!$B$96=2,CH23-CH23/(1+核心参数输入!$B$119),0),0)</f>
        <v>0</v>
      </c>
      <c r="CI30" s="9">
        <f>IF(83&lt;=核心参数输入!$B$9*4,IF(核心参数输入!$B$96=2,CI23-CI23/(1+核心参数输入!$B$119),0),0)</f>
        <v>0</v>
      </c>
      <c r="CJ30" s="9">
        <f>IF(84&lt;=核心参数输入!$B$9*4,IF(核心参数输入!$B$96=2,CJ23-CJ23/(1+核心参数输入!$B$119),0),0)</f>
        <v>0</v>
      </c>
      <c r="CK30" s="9">
        <f>IF(85&lt;=核心参数输入!$B$9*4,IF(核心参数输入!$B$96=2,CK23-CK23/(1+核心参数输入!$B$119),0),0)</f>
        <v>0</v>
      </c>
      <c r="CL30" s="9">
        <f>IF(86&lt;=核心参数输入!$B$9*4,IF(核心参数输入!$B$96=2,CL23-CL23/(1+核心参数输入!$B$119),0),0)</f>
        <v>0</v>
      </c>
      <c r="CM30" s="9">
        <f>IF(87&lt;=核心参数输入!$B$9*4,IF(核心参数输入!$B$96=2,CM23-CM23/(1+核心参数输入!$B$119),0),0)</f>
        <v>0</v>
      </c>
      <c r="CN30" s="9">
        <f>IF(88&lt;=核心参数输入!$B$9*4,IF(核心参数输入!$B$96=2,CN23-CN23/(1+核心参数输入!$B$119),0),0)</f>
        <v>0</v>
      </c>
      <c r="CO30" s="9">
        <f>IF(89&lt;=核心参数输入!$B$9*4,IF(核心参数输入!$B$96=2,CO23-CO23/(1+核心参数输入!$B$119),0),0)</f>
        <v>0</v>
      </c>
      <c r="CP30" s="9">
        <f>IF(90&lt;=核心参数输入!$B$9*4,IF(核心参数输入!$B$96=2,CP23-CP23/(1+核心参数输入!$B$119),0),0)</f>
        <v>0</v>
      </c>
      <c r="CQ30" s="9">
        <f>IF(91&lt;=核心参数输入!$B$9*4,IF(核心参数输入!$B$96=2,CQ23-CQ23/(1+核心参数输入!$B$119),0),0)</f>
        <v>0</v>
      </c>
      <c r="CR30" s="9">
        <f>IF(92&lt;=核心参数输入!$B$9*4,IF(核心参数输入!$B$96=2,CR23-CR23/(1+核心参数输入!$B$119),0),0)</f>
        <v>0</v>
      </c>
      <c r="CS30" s="9">
        <f>IF(93&lt;=核心参数输入!$B$9*4,IF(核心参数输入!$B$96=2,CS23-CS23/(1+核心参数输入!$B$119),0),0)</f>
        <v>0</v>
      </c>
      <c r="CT30" s="9">
        <f>IF(94&lt;=核心参数输入!$B$9*4,IF(核心参数输入!$B$96=2,CT23-CT23/(1+核心参数输入!$B$119),0),0)</f>
        <v>0</v>
      </c>
      <c r="CU30" s="9">
        <f>IF(95&lt;=核心参数输入!$B$9*4,IF(核心参数输入!$B$96=2,CU23-CU23/(1+核心参数输入!$B$119),0),0)</f>
        <v>0</v>
      </c>
      <c r="CV30" s="9">
        <f>IF(96&lt;=核心参数输入!$B$9*4,IF(核心参数输入!$B$96=2,CV23-CV23/(1+核心参数输入!$B$119),0),0)</f>
        <v>0</v>
      </c>
      <c r="CW30" s="9">
        <f>IF(97&lt;=核心参数输入!$B$9*4,IF(核心参数输入!$B$96=2,CW23-CW23/(1+核心参数输入!$B$119),0),0)</f>
        <v>0</v>
      </c>
      <c r="CX30" s="9">
        <f>IF(98&lt;=核心参数输入!$B$9*4,IF(核心参数输入!$B$96=2,CX23-CX23/(1+核心参数输入!$B$119),0),0)</f>
        <v>0</v>
      </c>
      <c r="CY30" s="9">
        <f>IF(99&lt;=核心参数输入!$B$9*4,IF(核心参数输入!$B$96=2,CY23-CY23/(1+核心参数输入!$B$119),0),0)</f>
        <v>0</v>
      </c>
      <c r="CZ30" s="9">
        <f>IF(100&lt;=核心参数输入!$B$9*4,IF(核心参数输入!$B$96=2,CZ23-CZ23/(1+核心参数输入!$B$119),0),0)</f>
        <v>0</v>
      </c>
      <c r="DA30" s="9">
        <f>IF(101&lt;=核心参数输入!$B$9*4,IF(核心参数输入!$B$96=2,DA23-DA23/(1+核心参数输入!$B$119),0),0)</f>
        <v>0</v>
      </c>
      <c r="DB30" s="9">
        <f>IF(102&lt;=核心参数输入!$B$9*4,IF(核心参数输入!$B$96=2,DB23-DB23/(1+核心参数输入!$B$119),0),0)</f>
        <v>0</v>
      </c>
      <c r="DC30" s="9">
        <f>IF(103&lt;=核心参数输入!$B$9*4,IF(核心参数输入!$B$96=2,DC23-DC23/(1+核心参数输入!$B$119),0),0)</f>
        <v>0</v>
      </c>
      <c r="DD30" s="9">
        <f>IF(104&lt;=核心参数输入!$B$9*4,IF(核心参数输入!$B$96=2,DD23-DD23/(1+核心参数输入!$B$119),0),0)</f>
        <v>0</v>
      </c>
      <c r="DE30" s="9">
        <f>IF(105&lt;=核心参数输入!$B$9*4,IF(核心参数输入!$B$96=2,DE23-DE23/(1+核心参数输入!$B$119),0),0)</f>
        <v>0</v>
      </c>
      <c r="DF30" s="9">
        <f>IF(106&lt;=核心参数输入!$B$9*4,IF(核心参数输入!$B$96=2,DF23-DF23/(1+核心参数输入!$B$119),0),0)</f>
        <v>0</v>
      </c>
      <c r="DG30" s="9">
        <f>IF(107&lt;=核心参数输入!$B$9*4,IF(核心参数输入!$B$96=2,DG23-DG23/(1+核心参数输入!$B$119),0),0)</f>
        <v>0</v>
      </c>
      <c r="DH30" s="9">
        <f>IF(108&lt;=核心参数输入!$B$9*4,IF(核心参数输入!$B$96=2,DH23-DH23/(1+核心参数输入!$B$119),0),0)</f>
        <v>0</v>
      </c>
      <c r="DI30" s="9">
        <f>IF(109&lt;=核心参数输入!$B$9*4,IF(核心参数输入!$B$96=2,DI23-DI23/(1+核心参数输入!$B$119),0),0)</f>
        <v>0</v>
      </c>
      <c r="DJ30" s="9">
        <f>IF(110&lt;=核心参数输入!$B$9*4,IF(核心参数输入!$B$96=2,DJ23-DJ23/(1+核心参数输入!$B$119),0),0)</f>
        <v>0</v>
      </c>
      <c r="DK30" s="9">
        <f>IF(111&lt;=核心参数输入!$B$9*4,IF(核心参数输入!$B$96=2,DK23-DK23/(1+核心参数输入!$B$119),0),0)</f>
        <v>0</v>
      </c>
      <c r="DL30" s="9">
        <f>IF(112&lt;=核心参数输入!$B$9*4,IF(核心参数输入!$B$96=2,DL23-DL23/(1+核心参数输入!$B$119),0),0)</f>
        <v>0</v>
      </c>
      <c r="DM30" s="9">
        <f>IF(113&lt;=核心参数输入!$B$9*4,IF(核心参数输入!$B$96=2,DM23-DM23/(1+核心参数输入!$B$119),0),0)</f>
        <v>0</v>
      </c>
      <c r="DN30" s="9">
        <f>IF(114&lt;=核心参数输入!$B$9*4,IF(核心参数输入!$B$96=2,DN23-DN23/(1+核心参数输入!$B$119),0),0)</f>
        <v>0</v>
      </c>
      <c r="DO30" s="9">
        <f>IF(115&lt;=核心参数输入!$B$9*4,IF(核心参数输入!$B$96=2,DO23-DO23/(1+核心参数输入!$B$119),0),0)</f>
        <v>0</v>
      </c>
      <c r="DP30" s="9">
        <f>IF(116&lt;=核心参数输入!$B$9*4,IF(核心参数输入!$B$96=2,DP23-DP23/(1+核心参数输入!$B$119),0),0)</f>
        <v>0</v>
      </c>
      <c r="DQ30" s="9">
        <f>IF(117&lt;=核心参数输入!$B$9*4,IF(核心参数输入!$B$96=2,DQ23-DQ23/(1+核心参数输入!$B$119),0),0)</f>
        <v>0</v>
      </c>
      <c r="DR30" s="9">
        <f>IF(118&lt;=核心参数输入!$B$9*4,IF(核心参数输入!$B$96=2,DR23-DR23/(1+核心参数输入!$B$119),0),0)</f>
        <v>0</v>
      </c>
      <c r="DS30" s="9">
        <f>IF(119&lt;=核心参数输入!$B$9*4,IF(核心参数输入!$B$96=2,DS23-DS23/(1+核心参数输入!$B$119),0),0)</f>
        <v>0</v>
      </c>
      <c r="DT30" s="9">
        <f>IF(120&lt;=核心参数输入!$B$9*4,IF(核心参数输入!$B$96=2,DT23-DT23/(1+核心参数输入!$B$119),0),0)</f>
        <v>0</v>
      </c>
    </row>
    <row r="31" spans="1:124" ht="21" customHeight="1">
      <c r="A31" s="8" t="s">
        <v>465</v>
      </c>
      <c r="B31" s="8" t="s">
        <v>39</v>
      </c>
      <c r="C31" s="8"/>
      <c r="D31" s="9">
        <f>IF(0&lt;=核心参数输入!$B$9*4,IF(核心参数输入!$B$96=2,D27-D27/(1+核心参数输入!$B$119),0),0)</f>
        <v>0</v>
      </c>
      <c r="E31" s="9">
        <f>IF(1&lt;=核心参数输入!$B$9*4,IF(核心参数输入!$B$96=2,E27-E27/(1+核心参数输入!$B$119),0),0)</f>
        <v>0</v>
      </c>
      <c r="F31" s="9">
        <f>IF(2&lt;=核心参数输入!$B$9*4,IF(核心参数输入!$B$96=2,F27-F27/(1+核心参数输入!$B$119),0),0)</f>
        <v>0</v>
      </c>
      <c r="G31" s="9">
        <f>IF(3&lt;=核心参数输入!$B$9*4,IF(核心参数输入!$B$96=2,G27-G27/(1+核心参数输入!$B$119),0),0)</f>
        <v>0</v>
      </c>
      <c r="H31" s="9">
        <f>IF(4&lt;=核心参数输入!$B$9*4,IF(核心参数输入!$B$96=2,H27-H27/(1+核心参数输入!$B$119),0),0)</f>
        <v>0</v>
      </c>
      <c r="I31" s="9">
        <f>IF(5&lt;=核心参数输入!$B$9*4,IF(核心参数输入!$B$96=2,I27-I27/(1+核心参数输入!$B$119),0),0)</f>
        <v>0</v>
      </c>
      <c r="J31" s="9">
        <f>IF(6&lt;=核心参数输入!$B$9*4,IF(核心参数输入!$B$96=2,J27-J27/(1+核心参数输入!$B$119),0),0)</f>
        <v>0</v>
      </c>
      <c r="K31" s="9">
        <f>IF(7&lt;=核心参数输入!$B$9*4,IF(核心参数输入!$B$96=2,K27-K27/(1+核心参数输入!$B$119),0),0)</f>
        <v>0</v>
      </c>
      <c r="L31" s="9">
        <f>IF(8&lt;=核心参数输入!$B$9*4,IF(核心参数输入!$B$96=2,L27-L27/(1+核心参数输入!$B$119),0),0)</f>
        <v>0</v>
      </c>
      <c r="M31" s="9">
        <f>IF(9&lt;=核心参数输入!$B$9*4,IF(核心参数输入!$B$96=2,M27-M27/(1+核心参数输入!$B$119),0),0)</f>
        <v>0</v>
      </c>
      <c r="N31" s="9">
        <f>IF(10&lt;=核心参数输入!$B$9*4,IF(核心参数输入!$B$96=2,N27-N27/(1+核心参数输入!$B$119),0),0)</f>
        <v>0</v>
      </c>
      <c r="O31" s="9">
        <f>IF(11&lt;=核心参数输入!$B$9*4,IF(核心参数输入!$B$96=2,O27-O27/(1+核心参数输入!$B$119),0),0)</f>
        <v>0</v>
      </c>
      <c r="P31" s="9">
        <f>IF(12&lt;=核心参数输入!$B$9*4,IF(核心参数输入!$B$96=2,P27-P27/(1+核心参数输入!$B$119),0),0)</f>
        <v>0</v>
      </c>
      <c r="Q31" s="9">
        <f>IF(13&lt;=核心参数输入!$B$9*4,IF(核心参数输入!$B$96=2,Q27-Q27/(1+核心参数输入!$B$119),0),0)</f>
        <v>0</v>
      </c>
      <c r="R31" s="9">
        <f>IF(14&lt;=核心参数输入!$B$9*4,IF(核心参数输入!$B$96=2,R27-R27/(1+核心参数输入!$B$119),0),0)</f>
        <v>0</v>
      </c>
      <c r="S31" s="9">
        <f>IF(15&lt;=核心参数输入!$B$9*4,IF(核心参数输入!$B$96=2,S27-S27/(1+核心参数输入!$B$119),0),0)</f>
        <v>0</v>
      </c>
      <c r="T31" s="9">
        <f>IF(16&lt;=核心参数输入!$B$9*4,IF(核心参数输入!$B$96=2,T27-T27/(1+核心参数输入!$B$119),0),0)</f>
        <v>0</v>
      </c>
      <c r="U31" s="9">
        <f>IF(17&lt;=核心参数输入!$B$9*4,IF(核心参数输入!$B$96=2,U27-U27/(1+核心参数输入!$B$119),0),0)</f>
        <v>0</v>
      </c>
      <c r="V31" s="9">
        <f>IF(18&lt;=核心参数输入!$B$9*4,IF(核心参数输入!$B$96=2,V27-V27/(1+核心参数输入!$B$119),0),0)</f>
        <v>0</v>
      </c>
      <c r="W31" s="9">
        <f>IF(19&lt;=核心参数输入!$B$9*4,IF(核心参数输入!$B$96=2,W27-W27/(1+核心参数输入!$B$119),0),0)</f>
        <v>0</v>
      </c>
      <c r="X31" s="9">
        <f>IF(20&lt;=核心参数输入!$B$9*4,IF(核心参数输入!$B$96=2,X27-X27/(1+核心参数输入!$B$119),0),0)</f>
        <v>0</v>
      </c>
      <c r="Y31" s="9">
        <f>IF(21&lt;=核心参数输入!$B$9*4,IF(核心参数输入!$B$96=2,Y27-Y27/(1+核心参数输入!$B$119),0),0)</f>
        <v>0</v>
      </c>
      <c r="Z31" s="9">
        <f>IF(22&lt;=核心参数输入!$B$9*4,IF(核心参数输入!$B$96=2,Z27-Z27/(1+核心参数输入!$B$119),0),0)</f>
        <v>0</v>
      </c>
      <c r="AA31" s="9">
        <f>IF(23&lt;=核心参数输入!$B$9*4,IF(核心参数输入!$B$96=2,AA27-AA27/(1+核心参数输入!$B$119),0),0)</f>
        <v>0</v>
      </c>
      <c r="AB31" s="9">
        <f>IF(24&lt;=核心参数输入!$B$9*4,IF(核心参数输入!$B$96=2,AB27-AB27/(1+核心参数输入!$B$119),0),0)</f>
        <v>0</v>
      </c>
      <c r="AC31" s="9">
        <f>IF(25&lt;=核心参数输入!$B$9*4,IF(核心参数输入!$B$96=2,AC27-AC27/(1+核心参数输入!$B$119),0),0)</f>
        <v>0</v>
      </c>
      <c r="AD31" s="9">
        <f>IF(26&lt;=核心参数输入!$B$9*4,IF(核心参数输入!$B$96=2,AD27-AD27/(1+核心参数输入!$B$119),0),0)</f>
        <v>0</v>
      </c>
      <c r="AE31" s="9">
        <f>IF(27&lt;=核心参数输入!$B$9*4,IF(核心参数输入!$B$96=2,AE27-AE27/(1+核心参数输入!$B$119),0),0)</f>
        <v>0</v>
      </c>
      <c r="AF31" s="9">
        <f>IF(28&lt;=核心参数输入!$B$9*4,IF(核心参数输入!$B$96=2,AF27-AF27/(1+核心参数输入!$B$119),0),0)</f>
        <v>0</v>
      </c>
      <c r="AG31" s="9">
        <f>IF(29&lt;=核心参数输入!$B$9*4,IF(核心参数输入!$B$96=2,AG27-AG27/(1+核心参数输入!$B$119),0),0)</f>
        <v>0</v>
      </c>
      <c r="AH31" s="9">
        <f>IF(30&lt;=核心参数输入!$B$9*4,IF(核心参数输入!$B$96=2,AH27-AH27/(1+核心参数输入!$B$119),0),0)</f>
        <v>0</v>
      </c>
      <c r="AI31" s="9">
        <f>IF(31&lt;=核心参数输入!$B$9*4,IF(核心参数输入!$B$96=2,AI27-AI27/(1+核心参数输入!$B$119),0),0)</f>
        <v>0</v>
      </c>
      <c r="AJ31" s="9">
        <f>IF(32&lt;=核心参数输入!$B$9*4,IF(核心参数输入!$B$96=2,AJ27-AJ27/(1+核心参数输入!$B$119),0),0)</f>
        <v>0</v>
      </c>
      <c r="AK31" s="9">
        <f>IF(33&lt;=核心参数输入!$B$9*4,IF(核心参数输入!$B$96=2,AK27-AK27/(1+核心参数输入!$B$119),0),0)</f>
        <v>0</v>
      </c>
      <c r="AL31" s="9">
        <f>IF(34&lt;=核心参数输入!$B$9*4,IF(核心参数输入!$B$96=2,AL27-AL27/(1+核心参数输入!$B$119),0),0)</f>
        <v>0</v>
      </c>
      <c r="AM31" s="9">
        <f>IF(35&lt;=核心参数输入!$B$9*4,IF(核心参数输入!$B$96=2,AM27-AM27/(1+核心参数输入!$B$119),0),0)</f>
        <v>0</v>
      </c>
      <c r="AN31" s="9">
        <f>IF(36&lt;=核心参数输入!$B$9*4,IF(核心参数输入!$B$96=2,AN27-AN27/(1+核心参数输入!$B$119),0),0)</f>
        <v>0</v>
      </c>
      <c r="AO31" s="9">
        <f>IF(37&lt;=核心参数输入!$B$9*4,IF(核心参数输入!$B$96=2,AO27-AO27/(1+核心参数输入!$B$119),0),0)</f>
        <v>0</v>
      </c>
      <c r="AP31" s="9">
        <f>IF(38&lt;=核心参数输入!$B$9*4,IF(核心参数输入!$B$96=2,AP27-AP27/(1+核心参数输入!$B$119),0),0)</f>
        <v>0</v>
      </c>
      <c r="AQ31" s="9">
        <f>IF(39&lt;=核心参数输入!$B$9*4,IF(核心参数输入!$B$96=2,AQ27-AQ27/(1+核心参数输入!$B$119),0),0)</f>
        <v>0</v>
      </c>
      <c r="AR31" s="9">
        <f>IF(40&lt;=核心参数输入!$B$9*4,IF(核心参数输入!$B$96=2,AR27-AR27/(1+核心参数输入!$B$119),0),0)</f>
        <v>0</v>
      </c>
      <c r="AS31" s="9">
        <f>IF(41&lt;=核心参数输入!$B$9*4,IF(核心参数输入!$B$96=2,AS27-AS27/(1+核心参数输入!$B$119),0),0)</f>
        <v>0</v>
      </c>
      <c r="AT31" s="9">
        <f>IF(42&lt;=核心参数输入!$B$9*4,IF(核心参数输入!$B$96=2,AT27-AT27/(1+核心参数输入!$B$119),0),0)</f>
        <v>0</v>
      </c>
      <c r="AU31" s="9">
        <f>IF(43&lt;=核心参数输入!$B$9*4,IF(核心参数输入!$B$96=2,AU27-AU27/(1+核心参数输入!$B$119),0),0)</f>
        <v>0</v>
      </c>
      <c r="AV31" s="9">
        <f>IF(44&lt;=核心参数输入!$B$9*4,IF(核心参数输入!$B$96=2,AV27-AV27/(1+核心参数输入!$B$119),0),0)</f>
        <v>0</v>
      </c>
      <c r="AW31" s="9">
        <f>IF(45&lt;=核心参数输入!$B$9*4,IF(核心参数输入!$B$96=2,AW27-AW27/(1+核心参数输入!$B$119),0),0)</f>
        <v>0</v>
      </c>
      <c r="AX31" s="9">
        <f>IF(46&lt;=核心参数输入!$B$9*4,IF(核心参数输入!$B$96=2,AX27-AX27/(1+核心参数输入!$B$119),0),0)</f>
        <v>0</v>
      </c>
      <c r="AY31" s="9">
        <f>IF(47&lt;=核心参数输入!$B$9*4,IF(核心参数输入!$B$96=2,AY27-AY27/(1+核心参数输入!$B$119),0),0)</f>
        <v>0</v>
      </c>
      <c r="AZ31" s="9">
        <f>IF(48&lt;=核心参数输入!$B$9*4,IF(核心参数输入!$B$96=2,AZ27-AZ27/(1+核心参数输入!$B$119),0),0)</f>
        <v>0</v>
      </c>
      <c r="BA31" s="9">
        <f>IF(49&lt;=核心参数输入!$B$9*4,IF(核心参数输入!$B$96=2,BA27-BA27/(1+核心参数输入!$B$119),0),0)</f>
        <v>0</v>
      </c>
      <c r="BB31" s="9">
        <f>IF(50&lt;=核心参数输入!$B$9*4,IF(核心参数输入!$B$96=2,BB27-BB27/(1+核心参数输入!$B$119),0),0)</f>
        <v>0</v>
      </c>
      <c r="BC31" s="9">
        <f>IF(51&lt;=核心参数输入!$B$9*4,IF(核心参数输入!$B$96=2,BC27-BC27/(1+核心参数输入!$B$119),0),0)</f>
        <v>0</v>
      </c>
      <c r="BD31" s="9">
        <f>IF(52&lt;=核心参数输入!$B$9*4,IF(核心参数输入!$B$96=2,BD27-BD27/(1+核心参数输入!$B$119),0),0)</f>
        <v>0</v>
      </c>
      <c r="BE31" s="9">
        <f>IF(53&lt;=核心参数输入!$B$9*4,IF(核心参数输入!$B$96=2,BE27-BE27/(1+核心参数输入!$B$119),0),0)</f>
        <v>0</v>
      </c>
      <c r="BF31" s="9">
        <f>IF(54&lt;=核心参数输入!$B$9*4,IF(核心参数输入!$B$96=2,BF27-BF27/(1+核心参数输入!$B$119),0),0)</f>
        <v>0</v>
      </c>
      <c r="BG31" s="9">
        <f>IF(55&lt;=核心参数输入!$B$9*4,IF(核心参数输入!$B$96=2,BG27-BG27/(1+核心参数输入!$B$119),0),0)</f>
        <v>0</v>
      </c>
      <c r="BH31" s="9">
        <f>IF(56&lt;=核心参数输入!$B$9*4,IF(核心参数输入!$B$96=2,BH27-BH27/(1+核心参数输入!$B$119),0),0)</f>
        <v>0</v>
      </c>
      <c r="BI31" s="9">
        <f>IF(57&lt;=核心参数输入!$B$9*4,IF(核心参数输入!$B$96=2,BI27-BI27/(1+核心参数输入!$B$119),0),0)</f>
        <v>0</v>
      </c>
      <c r="BJ31" s="9">
        <f>IF(58&lt;=核心参数输入!$B$9*4,IF(核心参数输入!$B$96=2,BJ27-BJ27/(1+核心参数输入!$B$119),0),0)</f>
        <v>0</v>
      </c>
      <c r="BK31" s="9">
        <f>IF(59&lt;=核心参数输入!$B$9*4,IF(核心参数输入!$B$96=2,BK27-BK27/(1+核心参数输入!$B$119),0),0)</f>
        <v>0</v>
      </c>
      <c r="BL31" s="9">
        <f>IF(60&lt;=核心参数输入!$B$9*4,IF(核心参数输入!$B$96=2,BL27-BL27/(1+核心参数输入!$B$119),0),0)</f>
        <v>0</v>
      </c>
      <c r="BM31" s="9">
        <f>IF(61&lt;=核心参数输入!$B$9*4,IF(核心参数输入!$B$96=2,BM27-BM27/(1+核心参数输入!$B$119),0),0)</f>
        <v>0</v>
      </c>
      <c r="BN31" s="9">
        <f>IF(62&lt;=核心参数输入!$B$9*4,IF(核心参数输入!$B$96=2,BN27-BN27/(1+核心参数输入!$B$119),0),0)</f>
        <v>0</v>
      </c>
      <c r="BO31" s="9">
        <f>IF(63&lt;=核心参数输入!$B$9*4,IF(核心参数输入!$B$96=2,BO27-BO27/(1+核心参数输入!$B$119),0),0)</f>
        <v>0</v>
      </c>
      <c r="BP31" s="9">
        <f>IF(64&lt;=核心参数输入!$B$9*4,IF(核心参数输入!$B$96=2,BP27-BP27/(1+核心参数输入!$B$119),0),0)</f>
        <v>0</v>
      </c>
      <c r="BQ31" s="9">
        <f>IF(65&lt;=核心参数输入!$B$9*4,IF(核心参数输入!$B$96=2,BQ27-BQ27/(1+核心参数输入!$B$119),0),0)</f>
        <v>0</v>
      </c>
      <c r="BR31" s="9">
        <f>IF(66&lt;=核心参数输入!$B$9*4,IF(核心参数输入!$B$96=2,BR27-BR27/(1+核心参数输入!$B$119),0),0)</f>
        <v>0</v>
      </c>
      <c r="BS31" s="9">
        <f>IF(67&lt;=核心参数输入!$B$9*4,IF(核心参数输入!$B$96=2,BS27-BS27/(1+核心参数输入!$B$119),0),0)</f>
        <v>0</v>
      </c>
      <c r="BT31" s="9">
        <f>IF(68&lt;=核心参数输入!$B$9*4,IF(核心参数输入!$B$96=2,BT27-BT27/(1+核心参数输入!$B$119),0),0)</f>
        <v>0</v>
      </c>
      <c r="BU31" s="9">
        <f>IF(69&lt;=核心参数输入!$B$9*4,IF(核心参数输入!$B$96=2,BU27-BU27/(1+核心参数输入!$B$119),0),0)</f>
        <v>0</v>
      </c>
      <c r="BV31" s="9">
        <f>IF(70&lt;=核心参数输入!$B$9*4,IF(核心参数输入!$B$96=2,BV27-BV27/(1+核心参数输入!$B$119),0),0)</f>
        <v>0</v>
      </c>
      <c r="BW31" s="9">
        <f>IF(71&lt;=核心参数输入!$B$9*4,IF(核心参数输入!$B$96=2,BW27-BW27/(1+核心参数输入!$B$119),0),0)</f>
        <v>0</v>
      </c>
      <c r="BX31" s="9">
        <f>IF(72&lt;=核心参数输入!$B$9*4,IF(核心参数输入!$B$96=2,BX27-BX27/(1+核心参数输入!$B$119),0),0)</f>
        <v>0</v>
      </c>
      <c r="BY31" s="9">
        <f>IF(73&lt;=核心参数输入!$B$9*4,IF(核心参数输入!$B$96=2,BY27-BY27/(1+核心参数输入!$B$119),0),0)</f>
        <v>0</v>
      </c>
      <c r="BZ31" s="9">
        <f>IF(74&lt;=核心参数输入!$B$9*4,IF(核心参数输入!$B$96=2,BZ27-BZ27/(1+核心参数输入!$B$119),0),0)</f>
        <v>0</v>
      </c>
      <c r="CA31" s="9">
        <f>IF(75&lt;=核心参数输入!$B$9*4,IF(核心参数输入!$B$96=2,CA27-CA27/(1+核心参数输入!$B$119),0),0)</f>
        <v>0</v>
      </c>
      <c r="CB31" s="9">
        <f>IF(76&lt;=核心参数输入!$B$9*4,IF(核心参数输入!$B$96=2,CB27-CB27/(1+核心参数输入!$B$119),0),0)</f>
        <v>0</v>
      </c>
      <c r="CC31" s="9">
        <f>IF(77&lt;=核心参数输入!$B$9*4,IF(核心参数输入!$B$96=2,CC27-CC27/(1+核心参数输入!$B$119),0),0)</f>
        <v>0</v>
      </c>
      <c r="CD31" s="9">
        <f>IF(78&lt;=核心参数输入!$B$9*4,IF(核心参数输入!$B$96=2,CD27-CD27/(1+核心参数输入!$B$119),0),0)</f>
        <v>0</v>
      </c>
      <c r="CE31" s="9">
        <f>IF(79&lt;=核心参数输入!$B$9*4,IF(核心参数输入!$B$96=2,CE27-CE27/(1+核心参数输入!$B$119),0),0)</f>
        <v>0</v>
      </c>
      <c r="CF31" s="9">
        <f>IF(80&lt;=核心参数输入!$B$9*4,IF(核心参数输入!$B$96=2,CF27-CF27/(1+核心参数输入!$B$119),0),0)</f>
        <v>0</v>
      </c>
      <c r="CG31" s="9">
        <f>IF(81&lt;=核心参数输入!$B$9*4,IF(核心参数输入!$B$96=2,CG27-CG27/(1+核心参数输入!$B$119),0),0)</f>
        <v>0</v>
      </c>
      <c r="CH31" s="9">
        <f>IF(82&lt;=核心参数输入!$B$9*4,IF(核心参数输入!$B$96=2,CH27-CH27/(1+核心参数输入!$B$119),0),0)</f>
        <v>0</v>
      </c>
      <c r="CI31" s="9">
        <f>IF(83&lt;=核心参数输入!$B$9*4,IF(核心参数输入!$B$96=2,CI27-CI27/(1+核心参数输入!$B$119),0),0)</f>
        <v>0</v>
      </c>
      <c r="CJ31" s="9">
        <f>IF(84&lt;=核心参数输入!$B$9*4,IF(核心参数输入!$B$96=2,CJ27-CJ27/(1+核心参数输入!$B$119),0),0)</f>
        <v>0</v>
      </c>
      <c r="CK31" s="9">
        <f>IF(85&lt;=核心参数输入!$B$9*4,IF(核心参数输入!$B$96=2,CK27-CK27/(1+核心参数输入!$B$119),0),0)</f>
        <v>0</v>
      </c>
      <c r="CL31" s="9">
        <f>IF(86&lt;=核心参数输入!$B$9*4,IF(核心参数输入!$B$96=2,CL27-CL27/(1+核心参数输入!$B$119),0),0)</f>
        <v>0</v>
      </c>
      <c r="CM31" s="9">
        <f>IF(87&lt;=核心参数输入!$B$9*4,IF(核心参数输入!$B$96=2,CM27-CM27/(1+核心参数输入!$B$119),0),0)</f>
        <v>0</v>
      </c>
      <c r="CN31" s="9">
        <f>IF(88&lt;=核心参数输入!$B$9*4,IF(核心参数输入!$B$96=2,CN27-CN27/(1+核心参数输入!$B$119),0),0)</f>
        <v>0</v>
      </c>
      <c r="CO31" s="9">
        <f>IF(89&lt;=核心参数输入!$B$9*4,IF(核心参数输入!$B$96=2,CO27-CO27/(1+核心参数输入!$B$119),0),0)</f>
        <v>0</v>
      </c>
      <c r="CP31" s="9">
        <f>IF(90&lt;=核心参数输入!$B$9*4,IF(核心参数输入!$B$96=2,CP27-CP27/(1+核心参数输入!$B$119),0),0)</f>
        <v>0</v>
      </c>
      <c r="CQ31" s="9">
        <f>IF(91&lt;=核心参数输入!$B$9*4,IF(核心参数输入!$B$96=2,CQ27-CQ27/(1+核心参数输入!$B$119),0),0)</f>
        <v>0</v>
      </c>
      <c r="CR31" s="9">
        <f>IF(92&lt;=核心参数输入!$B$9*4,IF(核心参数输入!$B$96=2,CR27-CR27/(1+核心参数输入!$B$119),0),0)</f>
        <v>0</v>
      </c>
      <c r="CS31" s="9">
        <f>IF(93&lt;=核心参数输入!$B$9*4,IF(核心参数输入!$B$96=2,CS27-CS27/(1+核心参数输入!$B$119),0),0)</f>
        <v>0</v>
      </c>
      <c r="CT31" s="9">
        <f>IF(94&lt;=核心参数输入!$B$9*4,IF(核心参数输入!$B$96=2,CT27-CT27/(1+核心参数输入!$B$119),0),0)</f>
        <v>0</v>
      </c>
      <c r="CU31" s="9">
        <f>IF(95&lt;=核心参数输入!$B$9*4,IF(核心参数输入!$B$96=2,CU27-CU27/(1+核心参数输入!$B$119),0),0)</f>
        <v>0</v>
      </c>
      <c r="CV31" s="9">
        <f>IF(96&lt;=核心参数输入!$B$9*4,IF(核心参数输入!$B$96=2,CV27-CV27/(1+核心参数输入!$B$119),0),0)</f>
        <v>0</v>
      </c>
      <c r="CW31" s="9">
        <f>IF(97&lt;=核心参数输入!$B$9*4,IF(核心参数输入!$B$96=2,CW27-CW27/(1+核心参数输入!$B$119),0),0)</f>
        <v>0</v>
      </c>
      <c r="CX31" s="9">
        <f>IF(98&lt;=核心参数输入!$B$9*4,IF(核心参数输入!$B$96=2,CX27-CX27/(1+核心参数输入!$B$119),0),0)</f>
        <v>0</v>
      </c>
      <c r="CY31" s="9">
        <f>IF(99&lt;=核心参数输入!$B$9*4,IF(核心参数输入!$B$96=2,CY27-CY27/(1+核心参数输入!$B$119),0),0)</f>
        <v>0</v>
      </c>
      <c r="CZ31" s="9">
        <f>IF(100&lt;=核心参数输入!$B$9*4,IF(核心参数输入!$B$96=2,CZ27-CZ27/(1+核心参数输入!$B$119),0),0)</f>
        <v>0</v>
      </c>
      <c r="DA31" s="9">
        <f>IF(101&lt;=核心参数输入!$B$9*4,IF(核心参数输入!$B$96=2,DA27-DA27/(1+核心参数输入!$B$119),0),0)</f>
        <v>0</v>
      </c>
      <c r="DB31" s="9">
        <f>IF(102&lt;=核心参数输入!$B$9*4,IF(核心参数输入!$B$96=2,DB27-DB27/(1+核心参数输入!$B$119),0),0)</f>
        <v>0</v>
      </c>
      <c r="DC31" s="9">
        <f>IF(103&lt;=核心参数输入!$B$9*4,IF(核心参数输入!$B$96=2,DC27-DC27/(1+核心参数输入!$B$119),0),0)</f>
        <v>0</v>
      </c>
      <c r="DD31" s="9">
        <f>IF(104&lt;=核心参数输入!$B$9*4,IF(核心参数输入!$B$96=2,DD27-DD27/(1+核心参数输入!$B$119),0),0)</f>
        <v>0</v>
      </c>
      <c r="DE31" s="9">
        <f>IF(105&lt;=核心参数输入!$B$9*4,IF(核心参数输入!$B$96=2,DE27-DE27/(1+核心参数输入!$B$119),0),0)</f>
        <v>0</v>
      </c>
      <c r="DF31" s="9">
        <f>IF(106&lt;=核心参数输入!$B$9*4,IF(核心参数输入!$B$96=2,DF27-DF27/(1+核心参数输入!$B$119),0),0)</f>
        <v>0</v>
      </c>
      <c r="DG31" s="9">
        <f>IF(107&lt;=核心参数输入!$B$9*4,IF(核心参数输入!$B$96=2,DG27-DG27/(1+核心参数输入!$B$119),0),0)</f>
        <v>0</v>
      </c>
      <c r="DH31" s="9">
        <f>IF(108&lt;=核心参数输入!$B$9*4,IF(核心参数输入!$B$96=2,DH27-DH27/(1+核心参数输入!$B$119),0),0)</f>
        <v>0</v>
      </c>
      <c r="DI31" s="9">
        <f>IF(109&lt;=核心参数输入!$B$9*4,IF(核心参数输入!$B$96=2,DI27-DI27/(1+核心参数输入!$B$119),0),0)</f>
        <v>0</v>
      </c>
      <c r="DJ31" s="9">
        <f>IF(110&lt;=核心参数输入!$B$9*4,IF(核心参数输入!$B$96=2,DJ27-DJ27/(1+核心参数输入!$B$119),0),0)</f>
        <v>0</v>
      </c>
      <c r="DK31" s="9">
        <f>IF(111&lt;=核心参数输入!$B$9*4,IF(核心参数输入!$B$96=2,DK27-DK27/(1+核心参数输入!$B$119),0),0)</f>
        <v>0</v>
      </c>
      <c r="DL31" s="9">
        <f>IF(112&lt;=核心参数输入!$B$9*4,IF(核心参数输入!$B$96=2,DL27-DL27/(1+核心参数输入!$B$119),0),0)</f>
        <v>0</v>
      </c>
      <c r="DM31" s="9">
        <f>IF(113&lt;=核心参数输入!$B$9*4,IF(核心参数输入!$B$96=2,DM27-DM27/(1+核心参数输入!$B$119),0),0)</f>
        <v>0</v>
      </c>
      <c r="DN31" s="9">
        <f>IF(114&lt;=核心参数输入!$B$9*4,IF(核心参数输入!$B$96=2,DN27-DN27/(1+核心参数输入!$B$119),0),0)</f>
        <v>0</v>
      </c>
      <c r="DO31" s="9">
        <f>IF(115&lt;=核心参数输入!$B$9*4,IF(核心参数输入!$B$96=2,DO27-DO27/(1+核心参数输入!$B$119),0),0)</f>
        <v>0</v>
      </c>
      <c r="DP31" s="9">
        <f>IF(116&lt;=核心参数输入!$B$9*4,IF(核心参数输入!$B$96=2,DP27-DP27/(1+核心参数输入!$B$119),0),0)</f>
        <v>0</v>
      </c>
      <c r="DQ31" s="9">
        <f>IF(117&lt;=核心参数输入!$B$9*4,IF(核心参数输入!$B$96=2,DQ27-DQ27/(1+核心参数输入!$B$119),0),0)</f>
        <v>0</v>
      </c>
      <c r="DR31" s="9">
        <f>IF(118&lt;=核心参数输入!$B$9*4,IF(核心参数输入!$B$96=2,DR27-DR27/(1+核心参数输入!$B$119),0),0)</f>
        <v>0</v>
      </c>
      <c r="DS31" s="9">
        <f>IF(119&lt;=核心参数输入!$B$9*4,IF(核心参数输入!$B$96=2,DS27-DS27/(1+核心参数输入!$B$119),0),0)</f>
        <v>0</v>
      </c>
      <c r="DT31" s="9">
        <f>IF(120&lt;=核心参数输入!$B$9*4,IF(核心参数输入!$B$96=2,DT27-DT27/(1+核心参数输入!$B$119),0),0)</f>
        <v>0</v>
      </c>
    </row>
    <row r="32" spans="1:124" ht="21" customHeight="1">
      <c r="A32" s="8" t="s">
        <v>363</v>
      </c>
      <c r="B32" s="8" t="s">
        <v>39</v>
      </c>
      <c r="C32" s="8"/>
      <c r="D32" s="9">
        <f>IF(0&lt;=核心参数输入!$B$9*4,D11-D29,0)</f>
        <v>0</v>
      </c>
      <c r="E32" s="9">
        <f>IF(1&lt;=核心参数输入!$B$9*4,E11-E29,0)</f>
        <v>0</v>
      </c>
      <c r="F32" s="9">
        <f>IF(2&lt;=核心参数输入!$B$9*4,F11-F29,0)</f>
        <v>0</v>
      </c>
      <c r="G32" s="9">
        <f>IF(3&lt;=核心参数输入!$B$9*4,G11-G29,0)</f>
        <v>0</v>
      </c>
      <c r="H32" s="9">
        <f>IF(4&lt;=核心参数输入!$B$9*4,H11-H29,0)</f>
        <v>0</v>
      </c>
      <c r="I32" s="9">
        <f>IF(5&lt;=核心参数输入!$B$9*4,I11-I29,0)</f>
        <v>0</v>
      </c>
      <c r="J32" s="9">
        <f>IF(6&lt;=核心参数输入!$B$9*4,J11-J29,0)</f>
        <v>0</v>
      </c>
      <c r="K32" s="9">
        <f>IF(7&lt;=核心参数输入!$B$9*4,K11-K29,0)</f>
        <v>0</v>
      </c>
      <c r="L32" s="9">
        <f>IF(8&lt;=核心参数输入!$B$9*4,L11-L29,0)</f>
        <v>0</v>
      </c>
      <c r="M32" s="9">
        <f>IF(9&lt;=核心参数输入!$B$9*4,M11-M29,0)</f>
        <v>0</v>
      </c>
      <c r="N32" s="9">
        <f>IF(10&lt;=核心参数输入!$B$9*4,N11-N29,0)</f>
        <v>0</v>
      </c>
      <c r="O32" s="9">
        <f>IF(11&lt;=核心参数输入!$B$9*4,O11-O29,0)</f>
        <v>0</v>
      </c>
      <c r="P32" s="9">
        <f>IF(12&lt;=核心参数输入!$B$9*4,P11-P29,0)</f>
        <v>0</v>
      </c>
      <c r="Q32" s="9">
        <f>IF(13&lt;=核心参数输入!$B$9*4,Q11-Q29,0)</f>
        <v>3619.6875</v>
      </c>
      <c r="R32" s="9">
        <f>IF(14&lt;=核心参数输入!$B$9*4,R11-R29,0)</f>
        <v>3619.6875</v>
      </c>
      <c r="S32" s="9">
        <f>IF(15&lt;=核心参数输入!$B$9*4,S11-S29,0)</f>
        <v>3619.6875</v>
      </c>
      <c r="T32" s="9">
        <f>IF(16&lt;=核心参数输入!$B$9*4,T11-T29,0)</f>
        <v>3619.6875</v>
      </c>
      <c r="U32" s="9">
        <f>IF(17&lt;=核心参数输入!$B$9*4,U11-U29,0)</f>
        <v>4826.25</v>
      </c>
      <c r="V32" s="9">
        <f>IF(18&lt;=核心参数输入!$B$9*4,V11-V29,0)</f>
        <v>4826.25</v>
      </c>
      <c r="W32" s="9">
        <f>IF(19&lt;=核心参数输入!$B$9*4,W11-W29,0)</f>
        <v>4826.25</v>
      </c>
      <c r="X32" s="9">
        <f>IF(20&lt;=核心参数输入!$B$9*4,X11-X29,0)</f>
        <v>4826.25</v>
      </c>
      <c r="Y32" s="9">
        <f>IF(21&lt;=核心参数输入!$B$9*4,Y11-Y29,0)</f>
        <v>3619.6875</v>
      </c>
      <c r="Z32" s="9">
        <f>IF(22&lt;=核心参数输入!$B$9*4,Z11-Z29,0)</f>
        <v>3619.6875</v>
      </c>
      <c r="AA32" s="9">
        <f>IF(23&lt;=核心参数输入!$B$9*4,AA11-AA29,0)</f>
        <v>3619.6875</v>
      </c>
      <c r="AB32" s="9">
        <f>IF(24&lt;=核心参数输入!$B$9*4,AB11-AB29,0)</f>
        <v>3619.6875</v>
      </c>
      <c r="AC32" s="9">
        <f>IF(25&lt;=核心参数输入!$B$9*4,AC11-AC29,0)</f>
        <v>0</v>
      </c>
      <c r="AD32" s="9">
        <f>IF(26&lt;=核心参数输入!$B$9*4,AD11-AD29,0)</f>
        <v>0</v>
      </c>
      <c r="AE32" s="9">
        <f>IF(27&lt;=核心参数输入!$B$9*4,AE11-AE29,0)</f>
        <v>0</v>
      </c>
      <c r="AF32" s="9">
        <f>IF(28&lt;=核心参数输入!$B$9*4,AF11-AF29,0)</f>
        <v>0</v>
      </c>
      <c r="AG32" s="9">
        <f>IF(29&lt;=核心参数输入!$B$9*4,AG11-AG29,0)</f>
        <v>0</v>
      </c>
      <c r="AH32" s="9">
        <f>IF(30&lt;=核心参数输入!$B$9*4,AH11-AH29,0)</f>
        <v>0</v>
      </c>
      <c r="AI32" s="9">
        <f>IF(31&lt;=核心参数输入!$B$9*4,AI11-AI29,0)</f>
        <v>0</v>
      </c>
      <c r="AJ32" s="9">
        <f>IF(32&lt;=核心参数输入!$B$9*4,AJ11-AJ29,0)</f>
        <v>0</v>
      </c>
      <c r="AK32" s="9">
        <f>IF(33&lt;=核心参数输入!$B$9*4,AK11-AK29,0)</f>
        <v>0</v>
      </c>
      <c r="AL32" s="9">
        <f>IF(34&lt;=核心参数输入!$B$9*4,AL11-AL29,0)</f>
        <v>0</v>
      </c>
      <c r="AM32" s="9">
        <f>IF(35&lt;=核心参数输入!$B$9*4,AM11-AM29,0)</f>
        <v>0</v>
      </c>
      <c r="AN32" s="9">
        <f>IF(36&lt;=核心参数输入!$B$9*4,AN11-AN29,0)</f>
        <v>0</v>
      </c>
      <c r="AO32" s="9">
        <f>IF(37&lt;=核心参数输入!$B$9*4,AO11-AO29,0)</f>
        <v>0</v>
      </c>
      <c r="AP32" s="9">
        <f>IF(38&lt;=核心参数输入!$B$9*4,AP11-AP29,0)</f>
        <v>0</v>
      </c>
      <c r="AQ32" s="9">
        <f>IF(39&lt;=核心参数输入!$B$9*4,AQ11-AQ29,0)</f>
        <v>0</v>
      </c>
      <c r="AR32" s="9">
        <f>IF(40&lt;=核心参数输入!$B$9*4,AR11-AR29,0)</f>
        <v>0</v>
      </c>
      <c r="AS32" s="9">
        <f>IF(41&lt;=核心参数输入!$B$9*4,AS11-AS29,0)</f>
        <v>0</v>
      </c>
      <c r="AT32" s="9">
        <f>IF(42&lt;=核心参数输入!$B$9*4,AT11-AT29,0)</f>
        <v>0</v>
      </c>
      <c r="AU32" s="9">
        <f>IF(43&lt;=核心参数输入!$B$9*4,AU11-AU29,0)</f>
        <v>0</v>
      </c>
      <c r="AV32" s="9">
        <f>IF(44&lt;=核心参数输入!$B$9*4,AV11-AV29,0)</f>
        <v>0</v>
      </c>
      <c r="AW32" s="9">
        <f>IF(45&lt;=核心参数输入!$B$9*4,AW11-AW29,0)</f>
        <v>0</v>
      </c>
      <c r="AX32" s="9">
        <f>IF(46&lt;=核心参数输入!$B$9*4,AX11-AX29,0)</f>
        <v>0</v>
      </c>
      <c r="AY32" s="9">
        <f>IF(47&lt;=核心参数输入!$B$9*4,AY11-AY29,0)</f>
        <v>0</v>
      </c>
      <c r="AZ32" s="9">
        <f>IF(48&lt;=核心参数输入!$B$9*4,AZ11-AZ29,0)</f>
        <v>0</v>
      </c>
      <c r="BA32" s="9">
        <f>IF(49&lt;=核心参数输入!$B$9*4,BA11-BA29,0)</f>
        <v>0</v>
      </c>
      <c r="BB32" s="9">
        <f>IF(50&lt;=核心参数输入!$B$9*4,BB11-BB29,0)</f>
        <v>0</v>
      </c>
      <c r="BC32" s="9">
        <f>IF(51&lt;=核心参数输入!$B$9*4,BC11-BC29,0)</f>
        <v>0</v>
      </c>
      <c r="BD32" s="9">
        <f>IF(52&lt;=核心参数输入!$B$9*4,BD11-BD29,0)</f>
        <v>0</v>
      </c>
      <c r="BE32" s="9">
        <f>IF(53&lt;=核心参数输入!$B$9*4,BE11-BE29,0)</f>
        <v>0</v>
      </c>
      <c r="BF32" s="9">
        <f>IF(54&lt;=核心参数输入!$B$9*4,BF11-BF29,0)</f>
        <v>0</v>
      </c>
      <c r="BG32" s="9">
        <f>IF(55&lt;=核心参数输入!$B$9*4,BG11-BG29,0)</f>
        <v>0</v>
      </c>
      <c r="BH32" s="9">
        <f>IF(56&lt;=核心参数输入!$B$9*4,BH11-BH29,0)</f>
        <v>0</v>
      </c>
      <c r="BI32" s="9">
        <f>IF(57&lt;=核心参数输入!$B$9*4,BI11-BI29,0)</f>
        <v>0</v>
      </c>
      <c r="BJ32" s="9">
        <f>IF(58&lt;=核心参数输入!$B$9*4,BJ11-BJ29,0)</f>
        <v>0</v>
      </c>
      <c r="BK32" s="9">
        <f>IF(59&lt;=核心参数输入!$B$9*4,BK11-BK29,0)</f>
        <v>0</v>
      </c>
      <c r="BL32" s="9">
        <f>IF(60&lt;=核心参数输入!$B$9*4,BL11-BL29,0)</f>
        <v>0</v>
      </c>
      <c r="BM32" s="9">
        <f>IF(61&lt;=核心参数输入!$B$9*4,BM11-BM29,0)</f>
        <v>0</v>
      </c>
      <c r="BN32" s="9">
        <f>IF(62&lt;=核心参数输入!$B$9*4,BN11-BN29,0)</f>
        <v>0</v>
      </c>
      <c r="BO32" s="9">
        <f>IF(63&lt;=核心参数输入!$B$9*4,BO11-BO29,0)</f>
        <v>0</v>
      </c>
      <c r="BP32" s="9">
        <f>IF(64&lt;=核心参数输入!$B$9*4,BP11-BP29,0)</f>
        <v>0</v>
      </c>
      <c r="BQ32" s="9">
        <f>IF(65&lt;=核心参数输入!$B$9*4,BQ11-BQ29,0)</f>
        <v>0</v>
      </c>
      <c r="BR32" s="9">
        <f>IF(66&lt;=核心参数输入!$B$9*4,BR11-BR29,0)</f>
        <v>0</v>
      </c>
      <c r="BS32" s="9">
        <f>IF(67&lt;=核心参数输入!$B$9*4,BS11-BS29,0)</f>
        <v>0</v>
      </c>
      <c r="BT32" s="9">
        <f>IF(68&lt;=核心参数输入!$B$9*4,BT11-BT29,0)</f>
        <v>0</v>
      </c>
      <c r="BU32" s="9">
        <f>IF(69&lt;=核心参数输入!$B$9*4,BU11-BU29,0)</f>
        <v>0</v>
      </c>
      <c r="BV32" s="9">
        <f>IF(70&lt;=核心参数输入!$B$9*4,BV11-BV29,0)</f>
        <v>0</v>
      </c>
      <c r="BW32" s="9">
        <f>IF(71&lt;=核心参数输入!$B$9*4,BW11-BW29,0)</f>
        <v>0</v>
      </c>
      <c r="BX32" s="9">
        <f>IF(72&lt;=核心参数输入!$B$9*4,BX11-BX29,0)</f>
        <v>0</v>
      </c>
      <c r="BY32" s="9">
        <f>IF(73&lt;=核心参数输入!$B$9*4,BY11-BY29,0)</f>
        <v>0</v>
      </c>
      <c r="BZ32" s="9">
        <f>IF(74&lt;=核心参数输入!$B$9*4,BZ11-BZ29,0)</f>
        <v>0</v>
      </c>
      <c r="CA32" s="9">
        <f>IF(75&lt;=核心参数输入!$B$9*4,CA11-CA29,0)</f>
        <v>0</v>
      </c>
      <c r="CB32" s="9">
        <f>IF(76&lt;=核心参数输入!$B$9*4,CB11-CB29,0)</f>
        <v>0</v>
      </c>
      <c r="CC32" s="9">
        <f>IF(77&lt;=核心参数输入!$B$9*4,CC11-CC29,0)</f>
        <v>0</v>
      </c>
      <c r="CD32" s="9">
        <f>IF(78&lt;=核心参数输入!$B$9*4,CD11-CD29,0)</f>
        <v>0</v>
      </c>
      <c r="CE32" s="9">
        <f>IF(79&lt;=核心参数输入!$B$9*4,CE11-CE29,0)</f>
        <v>0</v>
      </c>
      <c r="CF32" s="9">
        <f>IF(80&lt;=核心参数输入!$B$9*4,CF11-CF29,0)</f>
        <v>0</v>
      </c>
      <c r="CG32" s="9">
        <f>IF(81&lt;=核心参数输入!$B$9*4,CG11-CG29,0)</f>
        <v>0</v>
      </c>
      <c r="CH32" s="9">
        <f>IF(82&lt;=核心参数输入!$B$9*4,CH11-CH29,0)</f>
        <v>0</v>
      </c>
      <c r="CI32" s="9">
        <f>IF(83&lt;=核心参数输入!$B$9*4,CI11-CI29,0)</f>
        <v>0</v>
      </c>
      <c r="CJ32" s="9">
        <f>IF(84&lt;=核心参数输入!$B$9*4,CJ11-CJ29,0)</f>
        <v>0</v>
      </c>
      <c r="CK32" s="9">
        <f>IF(85&lt;=核心参数输入!$B$9*4,CK11-CK29,0)</f>
        <v>0</v>
      </c>
      <c r="CL32" s="9">
        <f>IF(86&lt;=核心参数输入!$B$9*4,CL11-CL29,0)</f>
        <v>0</v>
      </c>
      <c r="CM32" s="9">
        <f>IF(87&lt;=核心参数输入!$B$9*4,CM11-CM29,0)</f>
        <v>0</v>
      </c>
      <c r="CN32" s="9">
        <f>IF(88&lt;=核心参数输入!$B$9*4,CN11-CN29,0)</f>
        <v>0</v>
      </c>
      <c r="CO32" s="9">
        <f>IF(89&lt;=核心参数输入!$B$9*4,CO11-CO29,0)</f>
        <v>0</v>
      </c>
      <c r="CP32" s="9">
        <f>IF(90&lt;=核心参数输入!$B$9*4,CP11-CP29,0)</f>
        <v>0</v>
      </c>
      <c r="CQ32" s="9">
        <f>IF(91&lt;=核心参数输入!$B$9*4,CQ11-CQ29,0)</f>
        <v>0</v>
      </c>
      <c r="CR32" s="9">
        <f>IF(92&lt;=核心参数输入!$B$9*4,CR11-CR29,0)</f>
        <v>0</v>
      </c>
      <c r="CS32" s="9">
        <f>IF(93&lt;=核心参数输入!$B$9*4,CS11-CS29,0)</f>
        <v>0</v>
      </c>
      <c r="CT32" s="9">
        <f>IF(94&lt;=核心参数输入!$B$9*4,CT11-CT29,0)</f>
        <v>0</v>
      </c>
      <c r="CU32" s="9">
        <f>IF(95&lt;=核心参数输入!$B$9*4,CU11-CU29,0)</f>
        <v>0</v>
      </c>
      <c r="CV32" s="9">
        <f>IF(96&lt;=核心参数输入!$B$9*4,CV11-CV29,0)</f>
        <v>0</v>
      </c>
      <c r="CW32" s="9">
        <f>IF(97&lt;=核心参数输入!$B$9*4,CW11-CW29,0)</f>
        <v>0</v>
      </c>
      <c r="CX32" s="9">
        <f>IF(98&lt;=核心参数输入!$B$9*4,CX11-CX29,0)</f>
        <v>0</v>
      </c>
      <c r="CY32" s="9">
        <f>IF(99&lt;=核心参数输入!$B$9*4,CY11-CY29,0)</f>
        <v>0</v>
      </c>
      <c r="CZ32" s="9">
        <f>IF(100&lt;=核心参数输入!$B$9*4,CZ11-CZ29,0)</f>
        <v>0</v>
      </c>
      <c r="DA32" s="9">
        <f>IF(101&lt;=核心参数输入!$B$9*4,DA11-DA29,0)</f>
        <v>0</v>
      </c>
      <c r="DB32" s="9">
        <f>IF(102&lt;=核心参数输入!$B$9*4,DB11-DB29,0)</f>
        <v>0</v>
      </c>
      <c r="DC32" s="9">
        <f>IF(103&lt;=核心参数输入!$B$9*4,DC11-DC29,0)</f>
        <v>0</v>
      </c>
      <c r="DD32" s="9">
        <f>IF(104&lt;=核心参数输入!$B$9*4,DD11-DD29,0)</f>
        <v>0</v>
      </c>
      <c r="DE32" s="9">
        <f>IF(105&lt;=核心参数输入!$B$9*4,DE11-DE29,0)</f>
        <v>0</v>
      </c>
      <c r="DF32" s="9">
        <f>IF(106&lt;=核心参数输入!$B$9*4,DF11-DF29,0)</f>
        <v>0</v>
      </c>
      <c r="DG32" s="9">
        <f>IF(107&lt;=核心参数输入!$B$9*4,DG11-DG29,0)</f>
        <v>0</v>
      </c>
      <c r="DH32" s="9">
        <f>IF(108&lt;=核心参数输入!$B$9*4,DH11-DH29,0)</f>
        <v>0</v>
      </c>
      <c r="DI32" s="9">
        <f>IF(109&lt;=核心参数输入!$B$9*4,DI11-DI29,0)</f>
        <v>0</v>
      </c>
      <c r="DJ32" s="9">
        <f>IF(110&lt;=核心参数输入!$B$9*4,DJ11-DJ29,0)</f>
        <v>0</v>
      </c>
      <c r="DK32" s="9">
        <f>IF(111&lt;=核心参数输入!$B$9*4,DK11-DK29,0)</f>
        <v>0</v>
      </c>
      <c r="DL32" s="9">
        <f>IF(112&lt;=核心参数输入!$B$9*4,DL11-DL29,0)</f>
        <v>0</v>
      </c>
      <c r="DM32" s="9">
        <f>IF(113&lt;=核心参数输入!$B$9*4,DM11-DM29,0)</f>
        <v>0</v>
      </c>
      <c r="DN32" s="9">
        <f>IF(114&lt;=核心参数输入!$B$9*4,DN11-DN29,0)</f>
        <v>0</v>
      </c>
      <c r="DO32" s="9">
        <f>IF(115&lt;=核心参数输入!$B$9*4,DO11-DO29,0)</f>
        <v>0</v>
      </c>
      <c r="DP32" s="9">
        <f>IF(116&lt;=核心参数输入!$B$9*4,DP11-DP29,0)</f>
        <v>0</v>
      </c>
      <c r="DQ32" s="9">
        <f>IF(117&lt;=核心参数输入!$B$9*4,DQ11-DQ29,0)</f>
        <v>0</v>
      </c>
      <c r="DR32" s="9">
        <f>IF(118&lt;=核心参数输入!$B$9*4,DR11-DR29,0)</f>
        <v>0</v>
      </c>
      <c r="DS32" s="9">
        <f>IF(119&lt;=核心参数输入!$B$9*4,DS11-DS29,0)</f>
        <v>0</v>
      </c>
      <c r="DT32" s="9">
        <f>IF(120&lt;=核心参数输入!$B$9*4,DT11-DT29,0)</f>
        <v>0</v>
      </c>
    </row>
    <row r="33" spans="1:124" ht="21" customHeight="1">
      <c r="A33" s="8" t="s">
        <v>364</v>
      </c>
      <c r="B33" s="8" t="s">
        <v>39</v>
      </c>
      <c r="C33" s="8"/>
      <c r="D33" s="9">
        <f>IF(0&lt;=核心参数输入!$B$9*4,D23+D27-D30-D31,0)</f>
        <v>0</v>
      </c>
      <c r="E33" s="9">
        <f>IF(1&lt;=核心参数输入!$B$9*4,E23+E27-E30-E31,0)</f>
        <v>0</v>
      </c>
      <c r="F33" s="9">
        <f>IF(2&lt;=核心参数输入!$B$9*4,F23+F27-F30-F31,0)</f>
        <v>0</v>
      </c>
      <c r="G33" s="9">
        <f>IF(3&lt;=核心参数输入!$B$9*4,G23+G27-G30-G31,0)</f>
        <v>0</v>
      </c>
      <c r="H33" s="9">
        <f>IF(4&lt;=核心参数输入!$B$9*4,H23+H27-H30-H31,0)</f>
        <v>0</v>
      </c>
      <c r="I33" s="9">
        <f>IF(5&lt;=核心参数输入!$B$9*4,I23+I27-I30-I31,0)</f>
        <v>0</v>
      </c>
      <c r="J33" s="9">
        <f>IF(6&lt;=核心参数输入!$B$9*4,J23+J27-J30-J31,0)</f>
        <v>0</v>
      </c>
      <c r="K33" s="9">
        <f>IF(7&lt;=核心参数输入!$B$9*4,K23+K27-K30-K31,0)</f>
        <v>0</v>
      </c>
      <c r="L33" s="9">
        <f>IF(8&lt;=核心参数输入!$B$9*4,L23+L27-L30-L31,0)</f>
        <v>0</v>
      </c>
      <c r="M33" s="9">
        <f>IF(9&lt;=核心参数输入!$B$9*4,M23+M27-M30-M31,0)</f>
        <v>0</v>
      </c>
      <c r="N33" s="9">
        <f>IF(10&lt;=核心参数输入!$B$9*4,N23+N27-N30-N31,0)</f>
        <v>0</v>
      </c>
      <c r="O33" s="9">
        <f>IF(11&lt;=核心参数输入!$B$9*4,O23+O27-O30-O31,0)</f>
        <v>0</v>
      </c>
      <c r="P33" s="9">
        <f>IF(12&lt;=核心参数输入!$B$9*4,P23+P27-P30-P31,0)</f>
        <v>0</v>
      </c>
      <c r="Q33" s="9">
        <f>IF(13&lt;=核心参数输入!$B$9*4,Q23+Q27-Q30-Q31,0)</f>
        <v>0</v>
      </c>
      <c r="R33" s="9">
        <f>IF(14&lt;=核心参数输入!$B$9*4,R23+R27-R30-R31,0)</f>
        <v>31.066790624999996</v>
      </c>
      <c r="S33" s="9">
        <f>IF(15&lt;=核心参数输入!$B$9*4,S23+S27-S30-S31,0)</f>
        <v>93.200371874999973</v>
      </c>
      <c r="T33" s="9">
        <f>IF(16&lt;=核心参数输入!$B$9*4,T23+T27-T30-T31,0)</f>
        <v>155.33395312499997</v>
      </c>
      <c r="U33" s="9">
        <f>IF(17&lt;=核心参数输入!$B$9*4,U23+U27-U30-U31,0)</f>
        <v>220.72954739062496</v>
      </c>
      <c r="V33" s="9">
        <f>IF(18&lt;=核心参数输入!$B$9*4,V23+V27-V30-V31,0)</f>
        <v>264.87545686875001</v>
      </c>
      <c r="W33" s="9">
        <f>IF(19&lt;=核心参数输入!$B$9*4,W23+W27-W30-W31,0)</f>
        <v>290.10169085624995</v>
      </c>
      <c r="X33" s="9">
        <f>IF(20&lt;=核心参数输入!$B$9*4,X23+X27-X30-X31,0)</f>
        <v>315.32792484374988</v>
      </c>
      <c r="Y33" s="9">
        <f>IF(21&lt;=核心参数输入!$B$9*4,Y23+Y27-Y30-Y31,0)</f>
        <v>345.66247121371862</v>
      </c>
      <c r="Z33" s="9">
        <f>IF(22&lt;=核心参数输入!$B$9*4,Z23+Z27-Z30-Z31,0)</f>
        <v>368.06652027386701</v>
      </c>
      <c r="AA33" s="9">
        <f>IF(23&lt;=核心参数输入!$B$9*4,AA23+AA27-AA30-AA31,0)</f>
        <v>387.26999089685143</v>
      </c>
      <c r="AB33" s="9">
        <f>IF(24&lt;=核心参数输入!$B$9*4,AB23+AB27-AB30-AB31,0)</f>
        <v>406.47346151983578</v>
      </c>
      <c r="AC33" s="9">
        <f>IF(25&lt;=核心参数输入!$B$9*4,AC23+AC27-AC30-AC31,0)</f>
        <v>432.06208612496249</v>
      </c>
      <c r="AD33" s="9">
        <f>IF(26&lt;=核心参数输入!$B$9*4,AD23+AD27-AD30-AD31,0)</f>
        <v>445.05643457984849</v>
      </c>
      <c r="AE33" s="9">
        <f>IF(27&lt;=核心参数输入!$B$9*4,AE23+AE27-AE30-AE31,0)</f>
        <v>451.55360880729154</v>
      </c>
      <c r="AF33" s="9">
        <f>IF(28&lt;=核心参数输入!$B$9*4,AF23+AF27-AF30-AF31,0)</f>
        <v>458.05078303473454</v>
      </c>
      <c r="AG33" s="9">
        <f>IF(29&lt;=核心参数输入!$B$9*4,AG23+AG27-AG30-AG31,0)</f>
        <v>471.51617662111016</v>
      </c>
      <c r="AH33" s="9">
        <f>IF(30&lt;=核心参数输入!$B$9*4,AH23+AH27-AH30-AH31,0)</f>
        <v>474.81349254153753</v>
      </c>
      <c r="AI33" s="9">
        <f>IF(31&lt;=核心参数输入!$B$9*4,AI23+AI27-AI30-AI31,0)</f>
        <v>474.81349254153753</v>
      </c>
      <c r="AJ33" s="9">
        <f>IF(32&lt;=核心参数输入!$B$9*4,AJ23+AJ27-AJ30-AJ31,0)</f>
        <v>474.81349254153753</v>
      </c>
      <c r="AK33" s="9">
        <f>IF(33&lt;=核心参数输入!$B$9*4,AK23+AK27-AK30-AK31,0)</f>
        <v>481.93569492966054</v>
      </c>
      <c r="AL33" s="9">
        <f>IF(34&lt;=核心参数输入!$B$9*4,AL23+AL27-AL30-AL31,0)</f>
        <v>481.93569492966054</v>
      </c>
      <c r="AM33" s="9">
        <f>IF(35&lt;=核心参数输入!$B$9*4,AM23+AM27-AM30-AM31,0)</f>
        <v>481.93569492966054</v>
      </c>
      <c r="AN33" s="9">
        <f>IF(36&lt;=核心参数输入!$B$9*4,AN23+AN27-AN30-AN31,0)</f>
        <v>481.93569492966054</v>
      </c>
      <c r="AO33" s="9">
        <f>IF(37&lt;=核心参数输入!$B$9*4,AO23+AO27-AO30-AO31,0)</f>
        <v>489.16473035360536</v>
      </c>
      <c r="AP33" s="9">
        <f>IF(38&lt;=核心参数输入!$B$9*4,AP23+AP27-AP30-AP31,0)</f>
        <v>489.16473035360536</v>
      </c>
      <c r="AQ33" s="9">
        <f>IF(39&lt;=核心参数输入!$B$9*4,AQ23+AQ27-AQ30-AQ31,0)</f>
        <v>489.16473035360536</v>
      </c>
      <c r="AR33" s="9">
        <f>IF(40&lt;=核心参数输入!$B$9*4,AR23+AR27-AR30-AR31,0)</f>
        <v>489.16473035360536</v>
      </c>
      <c r="AS33" s="9">
        <f>IF(41&lt;=核心参数输入!$B$9*4,AS23+AS27-AS30-AS31,0)</f>
        <v>496.50220130890938</v>
      </c>
      <c r="AT33" s="9">
        <f>IF(42&lt;=核心参数输入!$B$9*4,AT23+AT27-AT30-AT31,0)</f>
        <v>496.50220130890938</v>
      </c>
      <c r="AU33" s="9">
        <f>IF(43&lt;=核心参数输入!$B$9*4,AU23+AU27-AU30-AU31,0)</f>
        <v>496.50220130890938</v>
      </c>
      <c r="AV33" s="9">
        <f>IF(44&lt;=核心参数输入!$B$9*4,AV23+AV27-AV30-AV31,0)</f>
        <v>496.50220130890938</v>
      </c>
      <c r="AW33" s="9">
        <f>IF(45&lt;=核心参数输入!$B$9*4,AW23+AW27-AW30-AW31,0)</f>
        <v>503.949734328543</v>
      </c>
      <c r="AX33" s="9">
        <f>IF(46&lt;=核心参数输入!$B$9*4,AX23+AX27-AX30-AX31,0)</f>
        <v>503.949734328543</v>
      </c>
      <c r="AY33" s="9">
        <f>IF(47&lt;=核心参数输入!$B$9*4,AY23+AY27-AY30-AY31,0)</f>
        <v>503.949734328543</v>
      </c>
      <c r="AZ33" s="9">
        <f>IF(48&lt;=核心参数输入!$B$9*4,AZ23+AZ27-AZ30-AZ31,0)</f>
        <v>503.949734328543</v>
      </c>
      <c r="BA33" s="9">
        <f>IF(49&lt;=核心参数输入!$B$9*4,BA23+BA27-BA30-BA31,0)</f>
        <v>511.50898034347108</v>
      </c>
      <c r="BB33" s="9">
        <f>IF(50&lt;=核心参数输入!$B$9*4,BB23+BB27-BB30-BB31,0)</f>
        <v>511.50898034347108</v>
      </c>
      <c r="BC33" s="9">
        <f>IF(51&lt;=核心参数输入!$B$9*4,BC23+BC27-BC30-BC31,0)</f>
        <v>511.50898034347108</v>
      </c>
      <c r="BD33" s="9">
        <f>IF(52&lt;=核心参数输入!$B$9*4,BD23+BD27-BD30-BD31,0)</f>
        <v>511.50898034347108</v>
      </c>
      <c r="BE33" s="9">
        <f>IF(53&lt;=核心参数输入!$B$9*4,BE23+BE27-BE30-BE31,0)</f>
        <v>519.18161504862303</v>
      </c>
      <c r="BF33" s="9">
        <f>IF(54&lt;=核心参数输入!$B$9*4,BF23+BF27-BF30-BF31,0)</f>
        <v>519.18161504862303</v>
      </c>
      <c r="BG33" s="9">
        <f>IF(55&lt;=核心参数输入!$B$9*4,BG23+BG27-BG30-BG31,0)</f>
        <v>519.18161504862303</v>
      </c>
      <c r="BH33" s="9">
        <f>IF(56&lt;=核心参数输入!$B$9*4,BH23+BH27-BH30-BH31,0)</f>
        <v>519.18161504862303</v>
      </c>
      <c r="BI33" s="9">
        <f>IF(57&lt;=核心参数输入!$B$9*4,BI23+BI27-BI30-BI31,0)</f>
        <v>526.96933927435236</v>
      </c>
      <c r="BJ33" s="9">
        <f>IF(58&lt;=核心参数输入!$B$9*4,BJ23+BJ27-BJ30-BJ31,0)</f>
        <v>526.96933927435236</v>
      </c>
      <c r="BK33" s="9">
        <f>IF(59&lt;=核心参数输入!$B$9*4,BK23+BK27-BK30-BK31,0)</f>
        <v>526.96933927435236</v>
      </c>
      <c r="BL33" s="9">
        <f>IF(60&lt;=核心参数输入!$B$9*4,BL23+BL27-BL30-BL31,0)</f>
        <v>526.96933927435236</v>
      </c>
      <c r="BM33" s="9">
        <f>IF(61&lt;=核心参数输入!$B$9*4,BM23+BM27-BM30-BM31,0)</f>
        <v>534.87387936346749</v>
      </c>
      <c r="BN33" s="9">
        <f>IF(62&lt;=核心参数输入!$B$9*4,BN23+BN27-BN30-BN31,0)</f>
        <v>534.87387936346749</v>
      </c>
      <c r="BO33" s="9">
        <f>IF(63&lt;=核心参数输入!$B$9*4,BO23+BO27-BO30-BO31,0)</f>
        <v>534.87387936346749</v>
      </c>
      <c r="BP33" s="9">
        <f>IF(64&lt;=核心参数输入!$B$9*4,BP23+BP27-BP30-BP31,0)</f>
        <v>534.87387936346749</v>
      </c>
      <c r="BQ33" s="9">
        <f>IF(65&lt;=核心参数输入!$B$9*4,BQ23+BQ27-BQ30-BQ31,0)</f>
        <v>542.89698755391953</v>
      </c>
      <c r="BR33" s="9">
        <f>IF(66&lt;=核心参数输入!$B$9*4,BR23+BR27-BR30-BR31,0)</f>
        <v>542.89698755391953</v>
      </c>
      <c r="BS33" s="9">
        <f>IF(67&lt;=核心参数输入!$B$9*4,BS23+BS27-BS30-BS31,0)</f>
        <v>542.89698755391953</v>
      </c>
      <c r="BT33" s="9">
        <f>IF(68&lt;=核心参数输入!$B$9*4,BT23+BT27-BT30-BT31,0)</f>
        <v>542.89698755391953</v>
      </c>
      <c r="BU33" s="9">
        <f>IF(69&lt;=核心参数输入!$B$9*4,BU23+BU27-BU30-BU31,0)</f>
        <v>551.04044236722825</v>
      </c>
      <c r="BV33" s="9">
        <f>IF(70&lt;=核心参数输入!$B$9*4,BV23+BV27-BV30-BV31,0)</f>
        <v>551.04044236722825</v>
      </c>
      <c r="BW33" s="9">
        <f>IF(71&lt;=核心参数输入!$B$9*4,BW23+BW27-BW30-BW31,0)</f>
        <v>551.04044236722825</v>
      </c>
      <c r="BX33" s="9">
        <f>IF(72&lt;=核心参数输入!$B$9*4,BX23+BX27-BX30-BX31,0)</f>
        <v>551.04044236722825</v>
      </c>
      <c r="BY33" s="9">
        <f>IF(73&lt;=核心参数输入!$B$9*4,BY23+BY27-BY30-BY31,0)</f>
        <v>559.30604900273647</v>
      </c>
      <c r="BZ33" s="9">
        <f>IF(74&lt;=核心参数输入!$B$9*4,BZ23+BZ27-BZ30-BZ31,0)</f>
        <v>559.30604900273647</v>
      </c>
      <c r="CA33" s="9">
        <f>IF(75&lt;=核心参数输入!$B$9*4,CA23+CA27-CA30-CA31,0)</f>
        <v>559.30604900273647</v>
      </c>
      <c r="CB33" s="9">
        <f>IF(76&lt;=核心参数输入!$B$9*4,CB23+CB27-CB30-CB31,0)</f>
        <v>559.30604900273647</v>
      </c>
      <c r="CC33" s="9">
        <f>IF(77&lt;=核心参数输入!$B$9*4,CC23+CC27-CC30-CC31,0)</f>
        <v>567.69563973777736</v>
      </c>
      <c r="CD33" s="9">
        <f>IF(78&lt;=核心参数输入!$B$9*4,CD23+CD27-CD30-CD31,0)</f>
        <v>567.69563973777736</v>
      </c>
      <c r="CE33" s="9">
        <f>IF(79&lt;=核心参数输入!$B$9*4,CE23+CE27-CE30-CE31,0)</f>
        <v>567.69563973777736</v>
      </c>
      <c r="CF33" s="9">
        <f>IF(80&lt;=核心参数输入!$B$9*4,CF23+CF27-CF30-CF31,0)</f>
        <v>567.69563973777736</v>
      </c>
      <c r="CG33" s="9">
        <f>IF(81&lt;=核心参数输入!$B$9*4,CG23+CG27-CG30-CG31,0)</f>
        <v>0</v>
      </c>
      <c r="CH33" s="9">
        <f>IF(82&lt;=核心参数输入!$B$9*4,CH23+CH27-CH30-CH31,0)</f>
        <v>0</v>
      </c>
      <c r="CI33" s="9">
        <f>IF(83&lt;=核心参数输入!$B$9*4,CI23+CI27-CI30-CI31,0)</f>
        <v>0</v>
      </c>
      <c r="CJ33" s="9">
        <f>IF(84&lt;=核心参数输入!$B$9*4,CJ23+CJ27-CJ30-CJ31,0)</f>
        <v>0</v>
      </c>
      <c r="CK33" s="9">
        <f>IF(85&lt;=核心参数输入!$B$9*4,CK23+CK27-CK30-CK31,0)</f>
        <v>0</v>
      </c>
      <c r="CL33" s="9">
        <f>IF(86&lt;=核心参数输入!$B$9*4,CL23+CL27-CL30-CL31,0)</f>
        <v>0</v>
      </c>
      <c r="CM33" s="9">
        <f>IF(87&lt;=核心参数输入!$B$9*4,CM23+CM27-CM30-CM31,0)</f>
        <v>0</v>
      </c>
      <c r="CN33" s="9">
        <f>IF(88&lt;=核心参数输入!$B$9*4,CN23+CN27-CN30-CN31,0)</f>
        <v>0</v>
      </c>
      <c r="CO33" s="9">
        <f>IF(89&lt;=核心参数输入!$B$9*4,CO23+CO27-CO30-CO31,0)</f>
        <v>0</v>
      </c>
      <c r="CP33" s="9">
        <f>IF(90&lt;=核心参数输入!$B$9*4,CP23+CP27-CP30-CP31,0)</f>
        <v>0</v>
      </c>
      <c r="CQ33" s="9">
        <f>IF(91&lt;=核心参数输入!$B$9*4,CQ23+CQ27-CQ30-CQ31,0)</f>
        <v>0</v>
      </c>
      <c r="CR33" s="9">
        <f>IF(92&lt;=核心参数输入!$B$9*4,CR23+CR27-CR30-CR31,0)</f>
        <v>0</v>
      </c>
      <c r="CS33" s="9">
        <f>IF(93&lt;=核心参数输入!$B$9*4,CS23+CS27-CS30-CS31,0)</f>
        <v>0</v>
      </c>
      <c r="CT33" s="9">
        <f>IF(94&lt;=核心参数输入!$B$9*4,CT23+CT27-CT30-CT31,0)</f>
        <v>0</v>
      </c>
      <c r="CU33" s="9">
        <f>IF(95&lt;=核心参数输入!$B$9*4,CU23+CU27-CU30-CU31,0)</f>
        <v>0</v>
      </c>
      <c r="CV33" s="9">
        <f>IF(96&lt;=核心参数输入!$B$9*4,CV23+CV27-CV30-CV31,0)</f>
        <v>0</v>
      </c>
      <c r="CW33" s="9">
        <f>IF(97&lt;=核心参数输入!$B$9*4,CW23+CW27-CW30-CW31,0)</f>
        <v>0</v>
      </c>
      <c r="CX33" s="9">
        <f>IF(98&lt;=核心参数输入!$B$9*4,CX23+CX27-CX30-CX31,0)</f>
        <v>0</v>
      </c>
      <c r="CY33" s="9">
        <f>IF(99&lt;=核心参数输入!$B$9*4,CY23+CY27-CY30-CY31,0)</f>
        <v>0</v>
      </c>
      <c r="CZ33" s="9">
        <f>IF(100&lt;=核心参数输入!$B$9*4,CZ23+CZ27-CZ30-CZ31,0)</f>
        <v>0</v>
      </c>
      <c r="DA33" s="9">
        <f>IF(101&lt;=核心参数输入!$B$9*4,DA23+DA27-DA30-DA31,0)</f>
        <v>0</v>
      </c>
      <c r="DB33" s="9">
        <f>IF(102&lt;=核心参数输入!$B$9*4,DB23+DB27-DB30-DB31,0)</f>
        <v>0</v>
      </c>
      <c r="DC33" s="9">
        <f>IF(103&lt;=核心参数输入!$B$9*4,DC23+DC27-DC30-DC31,0)</f>
        <v>0</v>
      </c>
      <c r="DD33" s="9">
        <f>IF(104&lt;=核心参数输入!$B$9*4,DD23+DD27-DD30-DD31,0)</f>
        <v>0</v>
      </c>
      <c r="DE33" s="9">
        <f>IF(105&lt;=核心参数输入!$B$9*4,DE23+DE27-DE30-DE31,0)</f>
        <v>0</v>
      </c>
      <c r="DF33" s="9">
        <f>IF(106&lt;=核心参数输入!$B$9*4,DF23+DF27-DF30-DF31,0)</f>
        <v>0</v>
      </c>
      <c r="DG33" s="9">
        <f>IF(107&lt;=核心参数输入!$B$9*4,DG23+DG27-DG30-DG31,0)</f>
        <v>0</v>
      </c>
      <c r="DH33" s="9">
        <f>IF(108&lt;=核心参数输入!$B$9*4,DH23+DH27-DH30-DH31,0)</f>
        <v>0</v>
      </c>
      <c r="DI33" s="9">
        <f>IF(109&lt;=核心参数输入!$B$9*4,DI23+DI27-DI30-DI31,0)</f>
        <v>0</v>
      </c>
      <c r="DJ33" s="9">
        <f>IF(110&lt;=核心参数输入!$B$9*4,DJ23+DJ27-DJ30-DJ31,0)</f>
        <v>0</v>
      </c>
      <c r="DK33" s="9">
        <f>IF(111&lt;=核心参数输入!$B$9*4,DK23+DK27-DK30-DK31,0)</f>
        <v>0</v>
      </c>
      <c r="DL33" s="9">
        <f>IF(112&lt;=核心参数输入!$B$9*4,DL23+DL27-DL30-DL31,0)</f>
        <v>0</v>
      </c>
      <c r="DM33" s="9">
        <f>IF(113&lt;=核心参数输入!$B$9*4,DM23+DM27-DM30-DM31,0)</f>
        <v>0</v>
      </c>
      <c r="DN33" s="9">
        <f>IF(114&lt;=核心参数输入!$B$9*4,DN23+DN27-DN30-DN31,0)</f>
        <v>0</v>
      </c>
      <c r="DO33" s="9">
        <f>IF(115&lt;=核心参数输入!$B$9*4,DO23+DO27-DO30-DO31,0)</f>
        <v>0</v>
      </c>
      <c r="DP33" s="9">
        <f>IF(116&lt;=核心参数输入!$B$9*4,DP23+DP27-DP30-DP31,0)</f>
        <v>0</v>
      </c>
      <c r="DQ33" s="9">
        <f>IF(117&lt;=核心参数输入!$B$9*4,DQ23+DQ27-DQ30-DQ31,0)</f>
        <v>0</v>
      </c>
      <c r="DR33" s="9">
        <f>IF(118&lt;=核心参数输入!$B$9*4,DR23+DR27-DR30-DR31,0)</f>
        <v>0</v>
      </c>
      <c r="DS33" s="9">
        <f>IF(119&lt;=核心参数输入!$B$9*4,DS23+DS27-DS30-DS31,0)</f>
        <v>0</v>
      </c>
      <c r="DT33" s="9">
        <f>IF(120&lt;=核心参数输入!$B$9*4,DT23+DT27-DT30-DT31,0)</f>
        <v>0</v>
      </c>
    </row>
    <row r="34" spans="1:124" ht="21" customHeight="1">
      <c r="A34" s="8" t="s">
        <v>466</v>
      </c>
      <c r="B34" s="8" t="s">
        <v>39</v>
      </c>
      <c r="C34" s="8"/>
      <c r="D34" s="9">
        <f>IF(0&lt;=核心参数输入!$B$9*4,D32+D33,0)</f>
        <v>0</v>
      </c>
      <c r="E34" s="9">
        <f>IF(1&lt;=核心参数输入!$B$9*4,E32+E33,0)</f>
        <v>0</v>
      </c>
      <c r="F34" s="9">
        <f>IF(2&lt;=核心参数输入!$B$9*4,F32+F33,0)</f>
        <v>0</v>
      </c>
      <c r="G34" s="9">
        <f>IF(3&lt;=核心参数输入!$B$9*4,G32+G33,0)</f>
        <v>0</v>
      </c>
      <c r="H34" s="9">
        <f>IF(4&lt;=核心参数输入!$B$9*4,H32+H33,0)</f>
        <v>0</v>
      </c>
      <c r="I34" s="9">
        <f>IF(5&lt;=核心参数输入!$B$9*4,I32+I33,0)</f>
        <v>0</v>
      </c>
      <c r="J34" s="9">
        <f>IF(6&lt;=核心参数输入!$B$9*4,J32+J33,0)</f>
        <v>0</v>
      </c>
      <c r="K34" s="9">
        <f>IF(7&lt;=核心参数输入!$B$9*4,K32+K33,0)</f>
        <v>0</v>
      </c>
      <c r="L34" s="9">
        <f>IF(8&lt;=核心参数输入!$B$9*4,L32+L33,0)</f>
        <v>0</v>
      </c>
      <c r="M34" s="9">
        <f>IF(9&lt;=核心参数输入!$B$9*4,M32+M33,0)</f>
        <v>0</v>
      </c>
      <c r="N34" s="9">
        <f>IF(10&lt;=核心参数输入!$B$9*4,N32+N33,0)</f>
        <v>0</v>
      </c>
      <c r="O34" s="9">
        <f>IF(11&lt;=核心参数输入!$B$9*4,O32+O33,0)</f>
        <v>0</v>
      </c>
      <c r="P34" s="9">
        <f>IF(12&lt;=核心参数输入!$B$9*4,P32+P33,0)</f>
        <v>0</v>
      </c>
      <c r="Q34" s="9">
        <f>IF(13&lt;=核心参数输入!$B$9*4,Q32+Q33,0)</f>
        <v>3619.6875</v>
      </c>
      <c r="R34" s="9">
        <f>IF(14&lt;=核心参数输入!$B$9*4,R32+R33,0)</f>
        <v>3650.7542906250001</v>
      </c>
      <c r="S34" s="9">
        <f>IF(15&lt;=核心参数输入!$B$9*4,S32+S33,0)</f>
        <v>3712.8878718750002</v>
      </c>
      <c r="T34" s="9">
        <f>IF(16&lt;=核心参数输入!$B$9*4,T32+T33,0)</f>
        <v>3775.0214531249999</v>
      </c>
      <c r="U34" s="9">
        <f>IF(17&lt;=核心参数输入!$B$9*4,U32+U33,0)</f>
        <v>5046.9795473906252</v>
      </c>
      <c r="V34" s="9">
        <f>IF(18&lt;=核心参数输入!$B$9*4,V32+V33,0)</f>
        <v>5091.12545686875</v>
      </c>
      <c r="W34" s="9">
        <f>IF(19&lt;=核心参数输入!$B$9*4,W32+W33,0)</f>
        <v>5116.3516908562497</v>
      </c>
      <c r="X34" s="9">
        <f>IF(20&lt;=核心参数输入!$B$9*4,X32+X33,0)</f>
        <v>5141.5779248437502</v>
      </c>
      <c r="Y34" s="9">
        <f>IF(21&lt;=核心参数输入!$B$9*4,Y32+Y33,0)</f>
        <v>3965.3499712137186</v>
      </c>
      <c r="Z34" s="9">
        <f>IF(22&lt;=核心参数输入!$B$9*4,Z32+Z33,0)</f>
        <v>3987.7540202738669</v>
      </c>
      <c r="AA34" s="9">
        <f>IF(23&lt;=核心参数输入!$B$9*4,AA32+AA33,0)</f>
        <v>4006.9574908968516</v>
      </c>
      <c r="AB34" s="9">
        <f>IF(24&lt;=核心参数输入!$B$9*4,AB32+AB33,0)</f>
        <v>4026.1609615198358</v>
      </c>
      <c r="AC34" s="9">
        <f>IF(25&lt;=核心参数输入!$B$9*4,AC32+AC33,0)</f>
        <v>432.06208612496249</v>
      </c>
      <c r="AD34" s="9">
        <f>IF(26&lt;=核心参数输入!$B$9*4,AD32+AD33,0)</f>
        <v>445.05643457984849</v>
      </c>
      <c r="AE34" s="9">
        <f>IF(27&lt;=核心参数输入!$B$9*4,AE32+AE33,0)</f>
        <v>451.55360880729154</v>
      </c>
      <c r="AF34" s="9">
        <f>IF(28&lt;=核心参数输入!$B$9*4,AF32+AF33,0)</f>
        <v>458.05078303473454</v>
      </c>
      <c r="AG34" s="9">
        <f>IF(29&lt;=核心参数输入!$B$9*4,AG32+AG33,0)</f>
        <v>471.51617662111016</v>
      </c>
      <c r="AH34" s="9">
        <f>IF(30&lt;=核心参数输入!$B$9*4,AH32+AH33,0)</f>
        <v>474.81349254153753</v>
      </c>
      <c r="AI34" s="9">
        <f>IF(31&lt;=核心参数输入!$B$9*4,AI32+AI33,0)</f>
        <v>474.81349254153753</v>
      </c>
      <c r="AJ34" s="9">
        <f>IF(32&lt;=核心参数输入!$B$9*4,AJ32+AJ33,0)</f>
        <v>474.81349254153753</v>
      </c>
      <c r="AK34" s="9">
        <f>IF(33&lt;=核心参数输入!$B$9*4,AK32+AK33,0)</f>
        <v>481.93569492966054</v>
      </c>
      <c r="AL34" s="9">
        <f>IF(34&lt;=核心参数输入!$B$9*4,AL32+AL33,0)</f>
        <v>481.93569492966054</v>
      </c>
      <c r="AM34" s="9">
        <f>IF(35&lt;=核心参数输入!$B$9*4,AM32+AM33,0)</f>
        <v>481.93569492966054</v>
      </c>
      <c r="AN34" s="9">
        <f>IF(36&lt;=核心参数输入!$B$9*4,AN32+AN33,0)</f>
        <v>481.93569492966054</v>
      </c>
      <c r="AO34" s="9">
        <f>IF(37&lt;=核心参数输入!$B$9*4,AO32+AO33,0)</f>
        <v>489.16473035360536</v>
      </c>
      <c r="AP34" s="9">
        <f>IF(38&lt;=核心参数输入!$B$9*4,AP32+AP33,0)</f>
        <v>489.16473035360536</v>
      </c>
      <c r="AQ34" s="9">
        <f>IF(39&lt;=核心参数输入!$B$9*4,AQ32+AQ33,0)</f>
        <v>489.16473035360536</v>
      </c>
      <c r="AR34" s="9">
        <f>IF(40&lt;=核心参数输入!$B$9*4,AR32+AR33,0)</f>
        <v>489.16473035360536</v>
      </c>
      <c r="AS34" s="9">
        <f>IF(41&lt;=核心参数输入!$B$9*4,AS32+AS33,0)</f>
        <v>496.50220130890938</v>
      </c>
      <c r="AT34" s="9">
        <f>IF(42&lt;=核心参数输入!$B$9*4,AT32+AT33,0)</f>
        <v>496.50220130890938</v>
      </c>
      <c r="AU34" s="9">
        <f>IF(43&lt;=核心参数输入!$B$9*4,AU32+AU33,0)</f>
        <v>496.50220130890938</v>
      </c>
      <c r="AV34" s="9">
        <f>IF(44&lt;=核心参数输入!$B$9*4,AV32+AV33,0)</f>
        <v>496.50220130890938</v>
      </c>
      <c r="AW34" s="9">
        <f>IF(45&lt;=核心参数输入!$B$9*4,AW32+AW33,0)</f>
        <v>503.949734328543</v>
      </c>
      <c r="AX34" s="9">
        <f>IF(46&lt;=核心参数输入!$B$9*4,AX32+AX33,0)</f>
        <v>503.949734328543</v>
      </c>
      <c r="AY34" s="9">
        <f>IF(47&lt;=核心参数输入!$B$9*4,AY32+AY33,0)</f>
        <v>503.949734328543</v>
      </c>
      <c r="AZ34" s="9">
        <f>IF(48&lt;=核心参数输入!$B$9*4,AZ32+AZ33,0)</f>
        <v>503.949734328543</v>
      </c>
      <c r="BA34" s="9">
        <f>IF(49&lt;=核心参数输入!$B$9*4,BA32+BA33,0)</f>
        <v>511.50898034347108</v>
      </c>
      <c r="BB34" s="9">
        <f>IF(50&lt;=核心参数输入!$B$9*4,BB32+BB33,0)</f>
        <v>511.50898034347108</v>
      </c>
      <c r="BC34" s="9">
        <f>IF(51&lt;=核心参数输入!$B$9*4,BC32+BC33,0)</f>
        <v>511.50898034347108</v>
      </c>
      <c r="BD34" s="9">
        <f>IF(52&lt;=核心参数输入!$B$9*4,BD32+BD33,0)</f>
        <v>511.50898034347108</v>
      </c>
      <c r="BE34" s="9">
        <f>IF(53&lt;=核心参数输入!$B$9*4,BE32+BE33,0)</f>
        <v>519.18161504862303</v>
      </c>
      <c r="BF34" s="9">
        <f>IF(54&lt;=核心参数输入!$B$9*4,BF32+BF33,0)</f>
        <v>519.18161504862303</v>
      </c>
      <c r="BG34" s="9">
        <f>IF(55&lt;=核心参数输入!$B$9*4,BG32+BG33,0)</f>
        <v>519.18161504862303</v>
      </c>
      <c r="BH34" s="9">
        <f>IF(56&lt;=核心参数输入!$B$9*4,BH32+BH33,0)</f>
        <v>519.18161504862303</v>
      </c>
      <c r="BI34" s="9">
        <f>IF(57&lt;=核心参数输入!$B$9*4,BI32+BI33,0)</f>
        <v>526.96933927435236</v>
      </c>
      <c r="BJ34" s="9">
        <f>IF(58&lt;=核心参数输入!$B$9*4,BJ32+BJ33,0)</f>
        <v>526.96933927435236</v>
      </c>
      <c r="BK34" s="9">
        <f>IF(59&lt;=核心参数输入!$B$9*4,BK32+BK33,0)</f>
        <v>526.96933927435236</v>
      </c>
      <c r="BL34" s="9">
        <f>IF(60&lt;=核心参数输入!$B$9*4,BL32+BL33,0)</f>
        <v>526.96933927435236</v>
      </c>
      <c r="BM34" s="9">
        <f>IF(61&lt;=核心参数输入!$B$9*4,BM32+BM33,0)</f>
        <v>534.87387936346749</v>
      </c>
      <c r="BN34" s="9">
        <f>IF(62&lt;=核心参数输入!$B$9*4,BN32+BN33,0)</f>
        <v>534.87387936346749</v>
      </c>
      <c r="BO34" s="9">
        <f>IF(63&lt;=核心参数输入!$B$9*4,BO32+BO33,0)</f>
        <v>534.87387936346749</v>
      </c>
      <c r="BP34" s="9">
        <f>IF(64&lt;=核心参数输入!$B$9*4,BP32+BP33,0)</f>
        <v>534.87387936346749</v>
      </c>
      <c r="BQ34" s="9">
        <f>IF(65&lt;=核心参数输入!$B$9*4,BQ32+BQ33,0)</f>
        <v>542.89698755391953</v>
      </c>
      <c r="BR34" s="9">
        <f>IF(66&lt;=核心参数输入!$B$9*4,BR32+BR33,0)</f>
        <v>542.89698755391953</v>
      </c>
      <c r="BS34" s="9">
        <f>IF(67&lt;=核心参数输入!$B$9*4,BS32+BS33,0)</f>
        <v>542.89698755391953</v>
      </c>
      <c r="BT34" s="9">
        <f>IF(68&lt;=核心参数输入!$B$9*4,BT32+BT33,0)</f>
        <v>542.89698755391953</v>
      </c>
      <c r="BU34" s="9">
        <f>IF(69&lt;=核心参数输入!$B$9*4,BU32+BU33,0)</f>
        <v>551.04044236722825</v>
      </c>
      <c r="BV34" s="9">
        <f>IF(70&lt;=核心参数输入!$B$9*4,BV32+BV33,0)</f>
        <v>551.04044236722825</v>
      </c>
      <c r="BW34" s="9">
        <f>IF(71&lt;=核心参数输入!$B$9*4,BW32+BW33,0)</f>
        <v>551.04044236722825</v>
      </c>
      <c r="BX34" s="9">
        <f>IF(72&lt;=核心参数输入!$B$9*4,BX32+BX33,0)</f>
        <v>551.04044236722825</v>
      </c>
      <c r="BY34" s="9">
        <f>IF(73&lt;=核心参数输入!$B$9*4,BY32+BY33,0)</f>
        <v>559.30604900273647</v>
      </c>
      <c r="BZ34" s="9">
        <f>IF(74&lt;=核心参数输入!$B$9*4,BZ32+BZ33,0)</f>
        <v>559.30604900273647</v>
      </c>
      <c r="CA34" s="9">
        <f>IF(75&lt;=核心参数输入!$B$9*4,CA32+CA33,0)</f>
        <v>559.30604900273647</v>
      </c>
      <c r="CB34" s="9">
        <f>IF(76&lt;=核心参数输入!$B$9*4,CB32+CB33,0)</f>
        <v>559.30604900273647</v>
      </c>
      <c r="CC34" s="9">
        <f>IF(77&lt;=核心参数输入!$B$9*4,CC32+CC33,0)</f>
        <v>567.69563973777736</v>
      </c>
      <c r="CD34" s="9">
        <f>IF(78&lt;=核心参数输入!$B$9*4,CD32+CD33,0)</f>
        <v>567.69563973777736</v>
      </c>
      <c r="CE34" s="9">
        <f>IF(79&lt;=核心参数输入!$B$9*4,CE32+CE33,0)</f>
        <v>567.69563973777736</v>
      </c>
      <c r="CF34" s="9">
        <f>IF(80&lt;=核心参数输入!$B$9*4,CF32+CF33,0)</f>
        <v>567.69563973777736</v>
      </c>
      <c r="CG34" s="9">
        <f>IF(81&lt;=核心参数输入!$B$9*4,CG32+CG33,0)</f>
        <v>0</v>
      </c>
      <c r="CH34" s="9">
        <f>IF(82&lt;=核心参数输入!$B$9*4,CH32+CH33,0)</f>
        <v>0</v>
      </c>
      <c r="CI34" s="9">
        <f>IF(83&lt;=核心参数输入!$B$9*4,CI32+CI33,0)</f>
        <v>0</v>
      </c>
      <c r="CJ34" s="9">
        <f>IF(84&lt;=核心参数输入!$B$9*4,CJ32+CJ33,0)</f>
        <v>0</v>
      </c>
      <c r="CK34" s="9">
        <f>IF(85&lt;=核心参数输入!$B$9*4,CK32+CK33,0)</f>
        <v>0</v>
      </c>
      <c r="CL34" s="9">
        <f>IF(86&lt;=核心参数输入!$B$9*4,CL32+CL33,0)</f>
        <v>0</v>
      </c>
      <c r="CM34" s="9">
        <f>IF(87&lt;=核心参数输入!$B$9*4,CM32+CM33,0)</f>
        <v>0</v>
      </c>
      <c r="CN34" s="9">
        <f>IF(88&lt;=核心参数输入!$B$9*4,CN32+CN33,0)</f>
        <v>0</v>
      </c>
      <c r="CO34" s="9">
        <f>IF(89&lt;=核心参数输入!$B$9*4,CO32+CO33,0)</f>
        <v>0</v>
      </c>
      <c r="CP34" s="9">
        <f>IF(90&lt;=核心参数输入!$B$9*4,CP32+CP33,0)</f>
        <v>0</v>
      </c>
      <c r="CQ34" s="9">
        <f>IF(91&lt;=核心参数输入!$B$9*4,CQ32+CQ33,0)</f>
        <v>0</v>
      </c>
      <c r="CR34" s="9">
        <f>IF(92&lt;=核心参数输入!$B$9*4,CR32+CR33,0)</f>
        <v>0</v>
      </c>
      <c r="CS34" s="9">
        <f>IF(93&lt;=核心参数输入!$B$9*4,CS32+CS33,0)</f>
        <v>0</v>
      </c>
      <c r="CT34" s="9">
        <f>IF(94&lt;=核心参数输入!$B$9*4,CT32+CT33,0)</f>
        <v>0</v>
      </c>
      <c r="CU34" s="9">
        <f>IF(95&lt;=核心参数输入!$B$9*4,CU32+CU33,0)</f>
        <v>0</v>
      </c>
      <c r="CV34" s="9">
        <f>IF(96&lt;=核心参数输入!$B$9*4,CV32+CV33,0)</f>
        <v>0</v>
      </c>
      <c r="CW34" s="9">
        <f>IF(97&lt;=核心参数输入!$B$9*4,CW32+CW33,0)</f>
        <v>0</v>
      </c>
      <c r="CX34" s="9">
        <f>IF(98&lt;=核心参数输入!$B$9*4,CX32+CX33,0)</f>
        <v>0</v>
      </c>
      <c r="CY34" s="9">
        <f>IF(99&lt;=核心参数输入!$B$9*4,CY32+CY33,0)</f>
        <v>0</v>
      </c>
      <c r="CZ34" s="9">
        <f>IF(100&lt;=核心参数输入!$B$9*4,CZ32+CZ33,0)</f>
        <v>0</v>
      </c>
      <c r="DA34" s="9">
        <f>IF(101&lt;=核心参数输入!$B$9*4,DA32+DA33,0)</f>
        <v>0</v>
      </c>
      <c r="DB34" s="9">
        <f>IF(102&lt;=核心参数输入!$B$9*4,DB32+DB33,0)</f>
        <v>0</v>
      </c>
      <c r="DC34" s="9">
        <f>IF(103&lt;=核心参数输入!$B$9*4,DC32+DC33,0)</f>
        <v>0</v>
      </c>
      <c r="DD34" s="9">
        <f>IF(104&lt;=核心参数输入!$B$9*4,DD32+DD33,0)</f>
        <v>0</v>
      </c>
      <c r="DE34" s="9">
        <f>IF(105&lt;=核心参数输入!$B$9*4,DE32+DE33,0)</f>
        <v>0</v>
      </c>
      <c r="DF34" s="9">
        <f>IF(106&lt;=核心参数输入!$B$9*4,DF32+DF33,0)</f>
        <v>0</v>
      </c>
      <c r="DG34" s="9">
        <f>IF(107&lt;=核心参数输入!$B$9*4,DG32+DG33,0)</f>
        <v>0</v>
      </c>
      <c r="DH34" s="9">
        <f>IF(108&lt;=核心参数输入!$B$9*4,DH32+DH33,0)</f>
        <v>0</v>
      </c>
      <c r="DI34" s="9">
        <f>IF(109&lt;=核心参数输入!$B$9*4,DI32+DI33,0)</f>
        <v>0</v>
      </c>
      <c r="DJ34" s="9">
        <f>IF(110&lt;=核心参数输入!$B$9*4,DJ32+DJ33,0)</f>
        <v>0</v>
      </c>
      <c r="DK34" s="9">
        <f>IF(111&lt;=核心参数输入!$B$9*4,DK32+DK33,0)</f>
        <v>0</v>
      </c>
      <c r="DL34" s="9">
        <f>IF(112&lt;=核心参数输入!$B$9*4,DL32+DL33,0)</f>
        <v>0</v>
      </c>
      <c r="DM34" s="9">
        <f>IF(113&lt;=核心参数输入!$B$9*4,DM32+DM33,0)</f>
        <v>0</v>
      </c>
      <c r="DN34" s="9">
        <f>IF(114&lt;=核心参数输入!$B$9*4,DN32+DN33,0)</f>
        <v>0</v>
      </c>
      <c r="DO34" s="9">
        <f>IF(115&lt;=核心参数输入!$B$9*4,DO32+DO33,0)</f>
        <v>0</v>
      </c>
      <c r="DP34" s="9">
        <f>IF(116&lt;=核心参数输入!$B$9*4,DP32+DP33,0)</f>
        <v>0</v>
      </c>
      <c r="DQ34" s="9">
        <f>IF(117&lt;=核心参数输入!$B$9*4,DQ32+DQ33,0)</f>
        <v>0</v>
      </c>
      <c r="DR34" s="9">
        <f>IF(118&lt;=核心参数输入!$B$9*4,DR32+DR33,0)</f>
        <v>0</v>
      </c>
      <c r="DS34" s="9">
        <f>IF(119&lt;=核心参数输入!$B$9*4,DS32+DS33,0)</f>
        <v>0</v>
      </c>
      <c r="DT34" s="9">
        <f>IF(120&lt;=核心参数输入!$B$9*4,DT32+DT33,0)</f>
        <v>0</v>
      </c>
    </row>
    <row r="35" spans="1:124" ht="21" customHeight="1">
      <c r="A35" s="8" t="s">
        <v>467</v>
      </c>
      <c r="B35" s="8" t="s">
        <v>39</v>
      </c>
      <c r="C35" s="8"/>
      <c r="D35" s="9">
        <f>IF(0&lt;=核心参数输入!$B$9*4,D11*核心参数输入!$B$32,0)</f>
        <v>0</v>
      </c>
      <c r="E35" s="9">
        <f>IF(1&lt;=核心参数输入!$B$9*4,E11*核心参数输入!$B$32,0)</f>
        <v>0</v>
      </c>
      <c r="F35" s="9">
        <f>IF(2&lt;=核心参数输入!$B$9*4,F11*核心参数输入!$B$32,0)</f>
        <v>0</v>
      </c>
      <c r="G35" s="9">
        <f>IF(3&lt;=核心参数输入!$B$9*4,G11*核心参数输入!$B$32,0)</f>
        <v>0</v>
      </c>
      <c r="H35" s="9">
        <f>IF(4&lt;=核心参数输入!$B$9*4,H11*核心参数输入!$B$32,0)</f>
        <v>0</v>
      </c>
      <c r="I35" s="9">
        <f>IF(5&lt;=核心参数输入!$B$9*4,I11*核心参数输入!$B$32,0)</f>
        <v>0</v>
      </c>
      <c r="J35" s="9">
        <f>IF(6&lt;=核心参数输入!$B$9*4,J11*核心参数输入!$B$32,0)</f>
        <v>0</v>
      </c>
      <c r="K35" s="9">
        <f>IF(7&lt;=核心参数输入!$B$9*4,K11*核心参数输入!$B$32,0)</f>
        <v>0</v>
      </c>
      <c r="L35" s="9">
        <f>IF(8&lt;=核心参数输入!$B$9*4,L11*核心参数输入!$B$32,0)</f>
        <v>0</v>
      </c>
      <c r="M35" s="9">
        <f>IF(9&lt;=核心参数输入!$B$9*4,M11*核心参数输入!$B$32,0)</f>
        <v>0</v>
      </c>
      <c r="N35" s="9">
        <f>IF(10&lt;=核心参数输入!$B$9*4,N11*核心参数输入!$B$32,0)</f>
        <v>0</v>
      </c>
      <c r="O35" s="9">
        <f>IF(11&lt;=核心参数输入!$B$9*4,O11*核心参数输入!$B$32,0)</f>
        <v>0</v>
      </c>
      <c r="P35" s="9">
        <f>IF(12&lt;=核心参数输入!$B$9*4,P11*核心参数输入!$B$32,0)</f>
        <v>0</v>
      </c>
      <c r="Q35" s="9">
        <f>IF(13&lt;=核心参数输入!$B$9*4,Q11*核心参数输入!$B$32,0)</f>
        <v>90.4921875</v>
      </c>
      <c r="R35" s="9">
        <f>IF(14&lt;=核心参数输入!$B$9*4,R11*核心参数输入!$B$32,0)</f>
        <v>90.4921875</v>
      </c>
      <c r="S35" s="9">
        <f>IF(15&lt;=核心参数输入!$B$9*4,S11*核心参数输入!$B$32,0)</f>
        <v>90.4921875</v>
      </c>
      <c r="T35" s="9">
        <f>IF(16&lt;=核心参数输入!$B$9*4,T11*核心参数输入!$B$32,0)</f>
        <v>90.4921875</v>
      </c>
      <c r="U35" s="9">
        <f>IF(17&lt;=核心参数输入!$B$9*4,U11*核心参数输入!$B$32,0)</f>
        <v>120.65625</v>
      </c>
      <c r="V35" s="9">
        <f>IF(18&lt;=核心参数输入!$B$9*4,V11*核心参数输入!$B$32,0)</f>
        <v>120.65625</v>
      </c>
      <c r="W35" s="9">
        <f>IF(19&lt;=核心参数输入!$B$9*4,W11*核心参数输入!$B$32,0)</f>
        <v>120.65625</v>
      </c>
      <c r="X35" s="9">
        <f>IF(20&lt;=核心参数输入!$B$9*4,X11*核心参数输入!$B$32,0)</f>
        <v>120.65625</v>
      </c>
      <c r="Y35" s="9">
        <f>IF(21&lt;=核心参数输入!$B$9*4,Y11*核心参数输入!$B$32,0)</f>
        <v>90.4921875</v>
      </c>
      <c r="Z35" s="9">
        <f>IF(22&lt;=核心参数输入!$B$9*4,Z11*核心参数输入!$B$32,0)</f>
        <v>90.4921875</v>
      </c>
      <c r="AA35" s="9">
        <f>IF(23&lt;=核心参数输入!$B$9*4,AA11*核心参数输入!$B$32,0)</f>
        <v>90.4921875</v>
      </c>
      <c r="AB35" s="9">
        <f>IF(24&lt;=核心参数输入!$B$9*4,AB11*核心参数输入!$B$32,0)</f>
        <v>90.4921875</v>
      </c>
      <c r="AC35" s="9">
        <f>IF(25&lt;=核心参数输入!$B$9*4,AC11*核心参数输入!$B$32,0)</f>
        <v>0</v>
      </c>
      <c r="AD35" s="9">
        <f>IF(26&lt;=核心参数输入!$B$9*4,AD11*核心参数输入!$B$32,0)</f>
        <v>0</v>
      </c>
      <c r="AE35" s="9">
        <f>IF(27&lt;=核心参数输入!$B$9*4,AE11*核心参数输入!$B$32,0)</f>
        <v>0</v>
      </c>
      <c r="AF35" s="9">
        <f>IF(28&lt;=核心参数输入!$B$9*4,AF11*核心参数输入!$B$32,0)</f>
        <v>0</v>
      </c>
      <c r="AG35" s="9">
        <f>IF(29&lt;=核心参数输入!$B$9*4,AG11*核心参数输入!$B$32,0)</f>
        <v>0</v>
      </c>
      <c r="AH35" s="9">
        <f>IF(30&lt;=核心参数输入!$B$9*4,AH11*核心参数输入!$B$32,0)</f>
        <v>0</v>
      </c>
      <c r="AI35" s="9">
        <f>IF(31&lt;=核心参数输入!$B$9*4,AI11*核心参数输入!$B$32,0)</f>
        <v>0</v>
      </c>
      <c r="AJ35" s="9">
        <f>IF(32&lt;=核心参数输入!$B$9*4,AJ11*核心参数输入!$B$32,0)</f>
        <v>0</v>
      </c>
      <c r="AK35" s="9">
        <f>IF(33&lt;=核心参数输入!$B$9*4,AK11*核心参数输入!$B$32,0)</f>
        <v>0</v>
      </c>
      <c r="AL35" s="9">
        <f>IF(34&lt;=核心参数输入!$B$9*4,AL11*核心参数输入!$B$32,0)</f>
        <v>0</v>
      </c>
      <c r="AM35" s="9">
        <f>IF(35&lt;=核心参数输入!$B$9*4,AM11*核心参数输入!$B$32,0)</f>
        <v>0</v>
      </c>
      <c r="AN35" s="9">
        <f>IF(36&lt;=核心参数输入!$B$9*4,AN11*核心参数输入!$B$32,0)</f>
        <v>0</v>
      </c>
      <c r="AO35" s="9">
        <f>IF(37&lt;=核心参数输入!$B$9*4,AO11*核心参数输入!$B$32,0)</f>
        <v>0</v>
      </c>
      <c r="AP35" s="9">
        <f>IF(38&lt;=核心参数输入!$B$9*4,AP11*核心参数输入!$B$32,0)</f>
        <v>0</v>
      </c>
      <c r="AQ35" s="9">
        <f>IF(39&lt;=核心参数输入!$B$9*4,AQ11*核心参数输入!$B$32,0)</f>
        <v>0</v>
      </c>
      <c r="AR35" s="9">
        <f>IF(40&lt;=核心参数输入!$B$9*4,AR11*核心参数输入!$B$32,0)</f>
        <v>0</v>
      </c>
      <c r="AS35" s="9">
        <f>IF(41&lt;=核心参数输入!$B$9*4,AS11*核心参数输入!$B$32,0)</f>
        <v>0</v>
      </c>
      <c r="AT35" s="9">
        <f>IF(42&lt;=核心参数输入!$B$9*4,AT11*核心参数输入!$B$32,0)</f>
        <v>0</v>
      </c>
      <c r="AU35" s="9">
        <f>IF(43&lt;=核心参数输入!$B$9*4,AU11*核心参数输入!$B$32,0)</f>
        <v>0</v>
      </c>
      <c r="AV35" s="9">
        <f>IF(44&lt;=核心参数输入!$B$9*4,AV11*核心参数输入!$B$32,0)</f>
        <v>0</v>
      </c>
      <c r="AW35" s="9">
        <f>IF(45&lt;=核心参数输入!$B$9*4,AW11*核心参数输入!$B$32,0)</f>
        <v>0</v>
      </c>
      <c r="AX35" s="9">
        <f>IF(46&lt;=核心参数输入!$B$9*4,AX11*核心参数输入!$B$32,0)</f>
        <v>0</v>
      </c>
      <c r="AY35" s="9">
        <f>IF(47&lt;=核心参数输入!$B$9*4,AY11*核心参数输入!$B$32,0)</f>
        <v>0</v>
      </c>
      <c r="AZ35" s="9">
        <f>IF(48&lt;=核心参数输入!$B$9*4,AZ11*核心参数输入!$B$32,0)</f>
        <v>0</v>
      </c>
      <c r="BA35" s="9">
        <f>IF(49&lt;=核心参数输入!$B$9*4,BA11*核心参数输入!$B$32,0)</f>
        <v>0</v>
      </c>
      <c r="BB35" s="9">
        <f>IF(50&lt;=核心参数输入!$B$9*4,BB11*核心参数输入!$B$32,0)</f>
        <v>0</v>
      </c>
      <c r="BC35" s="9">
        <f>IF(51&lt;=核心参数输入!$B$9*4,BC11*核心参数输入!$B$32,0)</f>
        <v>0</v>
      </c>
      <c r="BD35" s="9">
        <f>IF(52&lt;=核心参数输入!$B$9*4,BD11*核心参数输入!$B$32,0)</f>
        <v>0</v>
      </c>
      <c r="BE35" s="9">
        <f>IF(53&lt;=核心参数输入!$B$9*4,BE11*核心参数输入!$B$32,0)</f>
        <v>0</v>
      </c>
      <c r="BF35" s="9">
        <f>IF(54&lt;=核心参数输入!$B$9*4,BF11*核心参数输入!$B$32,0)</f>
        <v>0</v>
      </c>
      <c r="BG35" s="9">
        <f>IF(55&lt;=核心参数输入!$B$9*4,BG11*核心参数输入!$B$32,0)</f>
        <v>0</v>
      </c>
      <c r="BH35" s="9">
        <f>IF(56&lt;=核心参数输入!$B$9*4,BH11*核心参数输入!$B$32,0)</f>
        <v>0</v>
      </c>
      <c r="BI35" s="9">
        <f>IF(57&lt;=核心参数输入!$B$9*4,BI11*核心参数输入!$B$32,0)</f>
        <v>0</v>
      </c>
      <c r="BJ35" s="9">
        <f>IF(58&lt;=核心参数输入!$B$9*4,BJ11*核心参数输入!$B$32,0)</f>
        <v>0</v>
      </c>
      <c r="BK35" s="9">
        <f>IF(59&lt;=核心参数输入!$B$9*4,BK11*核心参数输入!$B$32,0)</f>
        <v>0</v>
      </c>
      <c r="BL35" s="9">
        <f>IF(60&lt;=核心参数输入!$B$9*4,BL11*核心参数输入!$B$32,0)</f>
        <v>0</v>
      </c>
      <c r="BM35" s="9">
        <f>IF(61&lt;=核心参数输入!$B$9*4,BM11*核心参数输入!$B$32,0)</f>
        <v>0</v>
      </c>
      <c r="BN35" s="9">
        <f>IF(62&lt;=核心参数输入!$B$9*4,BN11*核心参数输入!$B$32,0)</f>
        <v>0</v>
      </c>
      <c r="BO35" s="9">
        <f>IF(63&lt;=核心参数输入!$B$9*4,BO11*核心参数输入!$B$32,0)</f>
        <v>0</v>
      </c>
      <c r="BP35" s="9">
        <f>IF(64&lt;=核心参数输入!$B$9*4,BP11*核心参数输入!$B$32,0)</f>
        <v>0</v>
      </c>
      <c r="BQ35" s="9">
        <f>IF(65&lt;=核心参数输入!$B$9*4,BQ11*核心参数输入!$B$32,0)</f>
        <v>0</v>
      </c>
      <c r="BR35" s="9">
        <f>IF(66&lt;=核心参数输入!$B$9*4,BR11*核心参数输入!$B$32,0)</f>
        <v>0</v>
      </c>
      <c r="BS35" s="9">
        <f>IF(67&lt;=核心参数输入!$B$9*4,BS11*核心参数输入!$B$32,0)</f>
        <v>0</v>
      </c>
      <c r="BT35" s="9">
        <f>IF(68&lt;=核心参数输入!$B$9*4,BT11*核心参数输入!$B$32,0)</f>
        <v>0</v>
      </c>
      <c r="BU35" s="9">
        <f>IF(69&lt;=核心参数输入!$B$9*4,BU11*核心参数输入!$B$32,0)</f>
        <v>0</v>
      </c>
      <c r="BV35" s="9">
        <f>IF(70&lt;=核心参数输入!$B$9*4,BV11*核心参数输入!$B$32,0)</f>
        <v>0</v>
      </c>
      <c r="BW35" s="9">
        <f>IF(71&lt;=核心参数输入!$B$9*4,BW11*核心参数输入!$B$32,0)</f>
        <v>0</v>
      </c>
      <c r="BX35" s="9">
        <f>IF(72&lt;=核心参数输入!$B$9*4,BX11*核心参数输入!$B$32,0)</f>
        <v>0</v>
      </c>
      <c r="BY35" s="9">
        <f>IF(73&lt;=核心参数输入!$B$9*4,BY11*核心参数输入!$B$32,0)</f>
        <v>0</v>
      </c>
      <c r="BZ35" s="9">
        <f>IF(74&lt;=核心参数输入!$B$9*4,BZ11*核心参数输入!$B$32,0)</f>
        <v>0</v>
      </c>
      <c r="CA35" s="9">
        <f>IF(75&lt;=核心参数输入!$B$9*4,CA11*核心参数输入!$B$32,0)</f>
        <v>0</v>
      </c>
      <c r="CB35" s="9">
        <f>IF(76&lt;=核心参数输入!$B$9*4,CB11*核心参数输入!$B$32,0)</f>
        <v>0</v>
      </c>
      <c r="CC35" s="9">
        <f>IF(77&lt;=核心参数输入!$B$9*4,CC11*核心参数输入!$B$32,0)</f>
        <v>0</v>
      </c>
      <c r="CD35" s="9">
        <f>IF(78&lt;=核心参数输入!$B$9*4,CD11*核心参数输入!$B$32,0)</f>
        <v>0</v>
      </c>
      <c r="CE35" s="9">
        <f>IF(79&lt;=核心参数输入!$B$9*4,CE11*核心参数输入!$B$32,0)</f>
        <v>0</v>
      </c>
      <c r="CF35" s="9">
        <f>IF(80&lt;=核心参数输入!$B$9*4,CF11*核心参数输入!$B$32,0)</f>
        <v>0</v>
      </c>
      <c r="CG35" s="9">
        <f>IF(81&lt;=核心参数输入!$B$9*4,CG11*核心参数输入!$B$32,0)</f>
        <v>0</v>
      </c>
      <c r="CH35" s="9">
        <f>IF(82&lt;=核心参数输入!$B$9*4,CH11*核心参数输入!$B$32,0)</f>
        <v>0</v>
      </c>
      <c r="CI35" s="9">
        <f>IF(83&lt;=核心参数输入!$B$9*4,CI11*核心参数输入!$B$32,0)</f>
        <v>0</v>
      </c>
      <c r="CJ35" s="9">
        <f>IF(84&lt;=核心参数输入!$B$9*4,CJ11*核心参数输入!$B$32,0)</f>
        <v>0</v>
      </c>
      <c r="CK35" s="9">
        <f>IF(85&lt;=核心参数输入!$B$9*4,CK11*核心参数输入!$B$32,0)</f>
        <v>0</v>
      </c>
      <c r="CL35" s="9">
        <f>IF(86&lt;=核心参数输入!$B$9*4,CL11*核心参数输入!$B$32,0)</f>
        <v>0</v>
      </c>
      <c r="CM35" s="9">
        <f>IF(87&lt;=核心参数输入!$B$9*4,CM11*核心参数输入!$B$32,0)</f>
        <v>0</v>
      </c>
      <c r="CN35" s="9">
        <f>IF(88&lt;=核心参数输入!$B$9*4,CN11*核心参数输入!$B$32,0)</f>
        <v>0</v>
      </c>
      <c r="CO35" s="9">
        <f>IF(89&lt;=核心参数输入!$B$9*4,CO11*核心参数输入!$B$32,0)</f>
        <v>0</v>
      </c>
      <c r="CP35" s="9">
        <f>IF(90&lt;=核心参数输入!$B$9*4,CP11*核心参数输入!$B$32,0)</f>
        <v>0</v>
      </c>
      <c r="CQ35" s="9">
        <f>IF(91&lt;=核心参数输入!$B$9*4,CQ11*核心参数输入!$B$32,0)</f>
        <v>0</v>
      </c>
      <c r="CR35" s="9">
        <f>IF(92&lt;=核心参数输入!$B$9*4,CR11*核心参数输入!$B$32,0)</f>
        <v>0</v>
      </c>
      <c r="CS35" s="9">
        <f>IF(93&lt;=核心参数输入!$B$9*4,CS11*核心参数输入!$B$32,0)</f>
        <v>0</v>
      </c>
      <c r="CT35" s="9">
        <f>IF(94&lt;=核心参数输入!$B$9*4,CT11*核心参数输入!$B$32,0)</f>
        <v>0</v>
      </c>
      <c r="CU35" s="9">
        <f>IF(95&lt;=核心参数输入!$B$9*4,CU11*核心参数输入!$B$32,0)</f>
        <v>0</v>
      </c>
      <c r="CV35" s="9">
        <f>IF(96&lt;=核心参数输入!$B$9*4,CV11*核心参数输入!$B$32,0)</f>
        <v>0</v>
      </c>
      <c r="CW35" s="9">
        <f>IF(97&lt;=核心参数输入!$B$9*4,CW11*核心参数输入!$B$32,0)</f>
        <v>0</v>
      </c>
      <c r="CX35" s="9">
        <f>IF(98&lt;=核心参数输入!$B$9*4,CX11*核心参数输入!$B$32,0)</f>
        <v>0</v>
      </c>
      <c r="CY35" s="9">
        <f>IF(99&lt;=核心参数输入!$B$9*4,CY11*核心参数输入!$B$32,0)</f>
        <v>0</v>
      </c>
      <c r="CZ35" s="9">
        <f>IF(100&lt;=核心参数输入!$B$9*4,CZ11*核心参数输入!$B$32,0)</f>
        <v>0</v>
      </c>
      <c r="DA35" s="9">
        <f>IF(101&lt;=核心参数输入!$B$9*4,DA11*核心参数输入!$B$32,0)</f>
        <v>0</v>
      </c>
      <c r="DB35" s="9">
        <f>IF(102&lt;=核心参数输入!$B$9*4,DB11*核心参数输入!$B$32,0)</f>
        <v>0</v>
      </c>
      <c r="DC35" s="9">
        <f>IF(103&lt;=核心参数输入!$B$9*4,DC11*核心参数输入!$B$32,0)</f>
        <v>0</v>
      </c>
      <c r="DD35" s="9">
        <f>IF(104&lt;=核心参数输入!$B$9*4,DD11*核心参数输入!$B$32,0)</f>
        <v>0</v>
      </c>
      <c r="DE35" s="9">
        <f>IF(105&lt;=核心参数输入!$B$9*4,DE11*核心参数输入!$B$32,0)</f>
        <v>0</v>
      </c>
      <c r="DF35" s="9">
        <f>IF(106&lt;=核心参数输入!$B$9*4,DF11*核心参数输入!$B$32,0)</f>
        <v>0</v>
      </c>
      <c r="DG35" s="9">
        <f>IF(107&lt;=核心参数输入!$B$9*4,DG11*核心参数输入!$B$32,0)</f>
        <v>0</v>
      </c>
      <c r="DH35" s="9">
        <f>IF(108&lt;=核心参数输入!$B$9*4,DH11*核心参数输入!$B$32,0)</f>
        <v>0</v>
      </c>
      <c r="DI35" s="9">
        <f>IF(109&lt;=核心参数输入!$B$9*4,DI11*核心参数输入!$B$32,0)</f>
        <v>0</v>
      </c>
      <c r="DJ35" s="9">
        <f>IF(110&lt;=核心参数输入!$B$9*4,DJ11*核心参数输入!$B$32,0)</f>
        <v>0</v>
      </c>
      <c r="DK35" s="9">
        <f>IF(111&lt;=核心参数输入!$B$9*4,DK11*核心参数输入!$B$32,0)</f>
        <v>0</v>
      </c>
      <c r="DL35" s="9">
        <f>IF(112&lt;=核心参数输入!$B$9*4,DL11*核心参数输入!$B$32,0)</f>
        <v>0</v>
      </c>
      <c r="DM35" s="9">
        <f>IF(113&lt;=核心参数输入!$B$9*4,DM11*核心参数输入!$B$32,0)</f>
        <v>0</v>
      </c>
      <c r="DN35" s="9">
        <f>IF(114&lt;=核心参数输入!$B$9*4,DN11*核心参数输入!$B$32,0)</f>
        <v>0</v>
      </c>
      <c r="DO35" s="9">
        <f>IF(115&lt;=核心参数输入!$B$9*4,DO11*核心参数输入!$B$32,0)</f>
        <v>0</v>
      </c>
      <c r="DP35" s="9">
        <f>IF(116&lt;=核心参数输入!$B$9*4,DP11*核心参数输入!$B$32,0)</f>
        <v>0</v>
      </c>
      <c r="DQ35" s="9">
        <f>IF(117&lt;=核心参数输入!$B$9*4,DQ11*核心参数输入!$B$32,0)</f>
        <v>0</v>
      </c>
      <c r="DR35" s="9">
        <f>IF(118&lt;=核心参数输入!$B$9*4,DR11*核心参数输入!$B$32,0)</f>
        <v>0</v>
      </c>
      <c r="DS35" s="9">
        <f>IF(119&lt;=核心参数输入!$B$9*4,DS11*核心参数输入!$B$32,0)</f>
        <v>0</v>
      </c>
      <c r="DT35" s="9">
        <f>IF(120&lt;=核心参数输入!$B$9*4,DT11*核心参数输入!$B$32,0)</f>
        <v>0</v>
      </c>
    </row>
    <row r="36" spans="1:124" ht="21" customHeight="1">
      <c r="A36" s="8" t="s">
        <v>468</v>
      </c>
      <c r="B36" s="8" t="s">
        <v>39</v>
      </c>
      <c r="C36" s="8"/>
      <c r="D36" s="9">
        <f>IF(0&lt;=核心参数输入!$B$9*4,D11*IF(核心参数输入!$B$96=1,核心参数输入!$B$33,核心参数输入!$B$121),0)</f>
        <v>0</v>
      </c>
      <c r="E36" s="9">
        <f>IF(1&lt;=核心参数输入!$B$9*4,E11*IF(核心参数输入!$B$96=1,核心参数输入!$B$33,核心参数输入!$B$121),0)</f>
        <v>0</v>
      </c>
      <c r="F36" s="9">
        <f>IF(2&lt;=核心参数输入!$B$9*4,F11*IF(核心参数输入!$B$96=1,核心参数输入!$B$33,核心参数输入!$B$121),0)</f>
        <v>0</v>
      </c>
      <c r="G36" s="9">
        <f>IF(3&lt;=核心参数输入!$B$9*4,G11*IF(核心参数输入!$B$96=1,核心参数输入!$B$33,核心参数输入!$B$121),0)</f>
        <v>0</v>
      </c>
      <c r="H36" s="9">
        <f>IF(4&lt;=核心参数输入!$B$9*4,H11*IF(核心参数输入!$B$96=1,核心参数输入!$B$33,核心参数输入!$B$121),0)</f>
        <v>0</v>
      </c>
      <c r="I36" s="9">
        <f>IF(5&lt;=核心参数输入!$B$9*4,I11*IF(核心参数输入!$B$96=1,核心参数输入!$B$33,核心参数输入!$B$121),0)</f>
        <v>0</v>
      </c>
      <c r="J36" s="9">
        <f>IF(6&lt;=核心参数输入!$B$9*4,J11*IF(核心参数输入!$B$96=1,核心参数输入!$B$33,核心参数输入!$B$121),0)</f>
        <v>0</v>
      </c>
      <c r="K36" s="9">
        <f>IF(7&lt;=核心参数输入!$B$9*4,K11*IF(核心参数输入!$B$96=1,核心参数输入!$B$33,核心参数输入!$B$121),0)</f>
        <v>0</v>
      </c>
      <c r="L36" s="9">
        <f>IF(8&lt;=核心参数输入!$B$9*4,L11*IF(核心参数输入!$B$96=1,核心参数输入!$B$33,核心参数输入!$B$121),0)</f>
        <v>0</v>
      </c>
      <c r="M36" s="9">
        <f>IF(9&lt;=核心参数输入!$B$9*4,M11*IF(核心参数输入!$B$96=1,核心参数输入!$B$33,核心参数输入!$B$121),0)</f>
        <v>0</v>
      </c>
      <c r="N36" s="9">
        <f>IF(10&lt;=核心参数输入!$B$9*4,N11*IF(核心参数输入!$B$96=1,核心参数输入!$B$33,核心参数输入!$B$121),0)</f>
        <v>0</v>
      </c>
      <c r="O36" s="9">
        <f>IF(11&lt;=核心参数输入!$B$9*4,O11*IF(核心参数输入!$B$96=1,核心参数输入!$B$33,核心参数输入!$B$121),0)</f>
        <v>0</v>
      </c>
      <c r="P36" s="9">
        <f>IF(12&lt;=核心参数输入!$B$9*4,P11*IF(核心参数输入!$B$96=1,核心参数输入!$B$33,核心参数输入!$B$121),0)</f>
        <v>0</v>
      </c>
      <c r="Q36" s="9">
        <f>IF(13&lt;=核心参数输入!$B$9*4,Q11*IF(核心参数输入!$B$96=1,核心参数输入!$B$33,核心参数输入!$B$121),0)</f>
        <v>289.57499999999999</v>
      </c>
      <c r="R36" s="9">
        <f>IF(14&lt;=核心参数输入!$B$9*4,R11*IF(核心参数输入!$B$96=1,核心参数输入!$B$33,核心参数输入!$B$121),0)</f>
        <v>289.57499999999999</v>
      </c>
      <c r="S36" s="9">
        <f>IF(15&lt;=核心参数输入!$B$9*4,S11*IF(核心参数输入!$B$96=1,核心参数输入!$B$33,核心参数输入!$B$121),0)</f>
        <v>289.57499999999999</v>
      </c>
      <c r="T36" s="9">
        <f>IF(16&lt;=核心参数输入!$B$9*4,T11*IF(核心参数输入!$B$96=1,核心参数输入!$B$33,核心参数输入!$B$121),0)</f>
        <v>289.57499999999999</v>
      </c>
      <c r="U36" s="9">
        <f>IF(17&lt;=核心参数输入!$B$9*4,U11*IF(核心参数输入!$B$96=1,核心参数输入!$B$33,核心参数输入!$B$121),0)</f>
        <v>386.1</v>
      </c>
      <c r="V36" s="9">
        <f>IF(18&lt;=核心参数输入!$B$9*4,V11*IF(核心参数输入!$B$96=1,核心参数输入!$B$33,核心参数输入!$B$121),0)</f>
        <v>386.1</v>
      </c>
      <c r="W36" s="9">
        <f>IF(19&lt;=核心参数输入!$B$9*4,W11*IF(核心参数输入!$B$96=1,核心参数输入!$B$33,核心参数输入!$B$121),0)</f>
        <v>386.1</v>
      </c>
      <c r="X36" s="9">
        <f>IF(20&lt;=核心参数输入!$B$9*4,X11*IF(核心参数输入!$B$96=1,核心参数输入!$B$33,核心参数输入!$B$121),0)</f>
        <v>386.1</v>
      </c>
      <c r="Y36" s="9">
        <f>IF(21&lt;=核心参数输入!$B$9*4,Y11*IF(核心参数输入!$B$96=1,核心参数输入!$B$33,核心参数输入!$B$121),0)</f>
        <v>289.57499999999999</v>
      </c>
      <c r="Z36" s="9">
        <f>IF(22&lt;=核心参数输入!$B$9*4,Z11*IF(核心参数输入!$B$96=1,核心参数输入!$B$33,核心参数输入!$B$121),0)</f>
        <v>289.57499999999999</v>
      </c>
      <c r="AA36" s="9">
        <f>IF(23&lt;=核心参数输入!$B$9*4,AA11*IF(核心参数输入!$B$96=1,核心参数输入!$B$33,核心参数输入!$B$121),0)</f>
        <v>289.57499999999999</v>
      </c>
      <c r="AB36" s="9">
        <f>IF(24&lt;=核心参数输入!$B$9*4,AB11*IF(核心参数输入!$B$96=1,核心参数输入!$B$33,核心参数输入!$B$121),0)</f>
        <v>289.57499999999999</v>
      </c>
      <c r="AC36" s="9">
        <f>IF(25&lt;=核心参数输入!$B$9*4,AC11*IF(核心参数输入!$B$96=1,核心参数输入!$B$33,核心参数输入!$B$121),0)</f>
        <v>0</v>
      </c>
      <c r="AD36" s="9">
        <f>IF(26&lt;=核心参数输入!$B$9*4,AD11*IF(核心参数输入!$B$96=1,核心参数输入!$B$33,核心参数输入!$B$121),0)</f>
        <v>0</v>
      </c>
      <c r="AE36" s="9">
        <f>IF(27&lt;=核心参数输入!$B$9*4,AE11*IF(核心参数输入!$B$96=1,核心参数输入!$B$33,核心参数输入!$B$121),0)</f>
        <v>0</v>
      </c>
      <c r="AF36" s="9">
        <f>IF(28&lt;=核心参数输入!$B$9*4,AF11*IF(核心参数输入!$B$96=1,核心参数输入!$B$33,核心参数输入!$B$121),0)</f>
        <v>0</v>
      </c>
      <c r="AG36" s="9">
        <f>IF(29&lt;=核心参数输入!$B$9*4,AG11*IF(核心参数输入!$B$96=1,核心参数输入!$B$33,核心参数输入!$B$121),0)</f>
        <v>0</v>
      </c>
      <c r="AH36" s="9">
        <f>IF(30&lt;=核心参数输入!$B$9*4,AH11*IF(核心参数输入!$B$96=1,核心参数输入!$B$33,核心参数输入!$B$121),0)</f>
        <v>0</v>
      </c>
      <c r="AI36" s="9">
        <f>IF(31&lt;=核心参数输入!$B$9*4,AI11*IF(核心参数输入!$B$96=1,核心参数输入!$B$33,核心参数输入!$B$121),0)</f>
        <v>0</v>
      </c>
      <c r="AJ36" s="9">
        <f>IF(32&lt;=核心参数输入!$B$9*4,AJ11*IF(核心参数输入!$B$96=1,核心参数输入!$B$33,核心参数输入!$B$121),0)</f>
        <v>0</v>
      </c>
      <c r="AK36" s="9">
        <f>IF(33&lt;=核心参数输入!$B$9*4,AK11*IF(核心参数输入!$B$96=1,核心参数输入!$B$33,核心参数输入!$B$121),0)</f>
        <v>0</v>
      </c>
      <c r="AL36" s="9">
        <f>IF(34&lt;=核心参数输入!$B$9*4,AL11*IF(核心参数输入!$B$96=1,核心参数输入!$B$33,核心参数输入!$B$121),0)</f>
        <v>0</v>
      </c>
      <c r="AM36" s="9">
        <f>IF(35&lt;=核心参数输入!$B$9*4,AM11*IF(核心参数输入!$B$96=1,核心参数输入!$B$33,核心参数输入!$B$121),0)</f>
        <v>0</v>
      </c>
      <c r="AN36" s="9">
        <f>IF(36&lt;=核心参数输入!$B$9*4,AN11*IF(核心参数输入!$B$96=1,核心参数输入!$B$33,核心参数输入!$B$121),0)</f>
        <v>0</v>
      </c>
      <c r="AO36" s="9">
        <f>IF(37&lt;=核心参数输入!$B$9*4,AO11*IF(核心参数输入!$B$96=1,核心参数输入!$B$33,核心参数输入!$B$121),0)</f>
        <v>0</v>
      </c>
      <c r="AP36" s="9">
        <f>IF(38&lt;=核心参数输入!$B$9*4,AP11*IF(核心参数输入!$B$96=1,核心参数输入!$B$33,核心参数输入!$B$121),0)</f>
        <v>0</v>
      </c>
      <c r="AQ36" s="9">
        <f>IF(39&lt;=核心参数输入!$B$9*4,AQ11*IF(核心参数输入!$B$96=1,核心参数输入!$B$33,核心参数输入!$B$121),0)</f>
        <v>0</v>
      </c>
      <c r="AR36" s="9">
        <f>IF(40&lt;=核心参数输入!$B$9*4,AR11*IF(核心参数输入!$B$96=1,核心参数输入!$B$33,核心参数输入!$B$121),0)</f>
        <v>0</v>
      </c>
      <c r="AS36" s="9">
        <f>IF(41&lt;=核心参数输入!$B$9*4,AS11*IF(核心参数输入!$B$96=1,核心参数输入!$B$33,核心参数输入!$B$121),0)</f>
        <v>0</v>
      </c>
      <c r="AT36" s="9">
        <f>IF(42&lt;=核心参数输入!$B$9*4,AT11*IF(核心参数输入!$B$96=1,核心参数输入!$B$33,核心参数输入!$B$121),0)</f>
        <v>0</v>
      </c>
      <c r="AU36" s="9">
        <f>IF(43&lt;=核心参数输入!$B$9*4,AU11*IF(核心参数输入!$B$96=1,核心参数输入!$B$33,核心参数输入!$B$121),0)</f>
        <v>0</v>
      </c>
      <c r="AV36" s="9">
        <f>IF(44&lt;=核心参数输入!$B$9*4,AV11*IF(核心参数输入!$B$96=1,核心参数输入!$B$33,核心参数输入!$B$121),0)</f>
        <v>0</v>
      </c>
      <c r="AW36" s="9">
        <f>IF(45&lt;=核心参数输入!$B$9*4,AW11*IF(核心参数输入!$B$96=1,核心参数输入!$B$33,核心参数输入!$B$121),0)</f>
        <v>0</v>
      </c>
      <c r="AX36" s="9">
        <f>IF(46&lt;=核心参数输入!$B$9*4,AX11*IF(核心参数输入!$B$96=1,核心参数输入!$B$33,核心参数输入!$B$121),0)</f>
        <v>0</v>
      </c>
      <c r="AY36" s="9">
        <f>IF(47&lt;=核心参数输入!$B$9*4,AY11*IF(核心参数输入!$B$96=1,核心参数输入!$B$33,核心参数输入!$B$121),0)</f>
        <v>0</v>
      </c>
      <c r="AZ36" s="9">
        <f>IF(48&lt;=核心参数输入!$B$9*4,AZ11*IF(核心参数输入!$B$96=1,核心参数输入!$B$33,核心参数输入!$B$121),0)</f>
        <v>0</v>
      </c>
      <c r="BA36" s="9">
        <f>IF(49&lt;=核心参数输入!$B$9*4,BA11*IF(核心参数输入!$B$96=1,核心参数输入!$B$33,核心参数输入!$B$121),0)</f>
        <v>0</v>
      </c>
      <c r="BB36" s="9">
        <f>IF(50&lt;=核心参数输入!$B$9*4,BB11*IF(核心参数输入!$B$96=1,核心参数输入!$B$33,核心参数输入!$B$121),0)</f>
        <v>0</v>
      </c>
      <c r="BC36" s="9">
        <f>IF(51&lt;=核心参数输入!$B$9*4,BC11*IF(核心参数输入!$B$96=1,核心参数输入!$B$33,核心参数输入!$B$121),0)</f>
        <v>0</v>
      </c>
      <c r="BD36" s="9">
        <f>IF(52&lt;=核心参数输入!$B$9*4,BD11*IF(核心参数输入!$B$96=1,核心参数输入!$B$33,核心参数输入!$B$121),0)</f>
        <v>0</v>
      </c>
      <c r="BE36" s="9">
        <f>IF(53&lt;=核心参数输入!$B$9*4,BE11*IF(核心参数输入!$B$96=1,核心参数输入!$B$33,核心参数输入!$B$121),0)</f>
        <v>0</v>
      </c>
      <c r="BF36" s="9">
        <f>IF(54&lt;=核心参数输入!$B$9*4,BF11*IF(核心参数输入!$B$96=1,核心参数输入!$B$33,核心参数输入!$B$121),0)</f>
        <v>0</v>
      </c>
      <c r="BG36" s="9">
        <f>IF(55&lt;=核心参数输入!$B$9*4,BG11*IF(核心参数输入!$B$96=1,核心参数输入!$B$33,核心参数输入!$B$121),0)</f>
        <v>0</v>
      </c>
      <c r="BH36" s="9">
        <f>IF(56&lt;=核心参数输入!$B$9*4,BH11*IF(核心参数输入!$B$96=1,核心参数输入!$B$33,核心参数输入!$B$121),0)</f>
        <v>0</v>
      </c>
      <c r="BI36" s="9">
        <f>IF(57&lt;=核心参数输入!$B$9*4,BI11*IF(核心参数输入!$B$96=1,核心参数输入!$B$33,核心参数输入!$B$121),0)</f>
        <v>0</v>
      </c>
      <c r="BJ36" s="9">
        <f>IF(58&lt;=核心参数输入!$B$9*4,BJ11*IF(核心参数输入!$B$96=1,核心参数输入!$B$33,核心参数输入!$B$121),0)</f>
        <v>0</v>
      </c>
      <c r="BK36" s="9">
        <f>IF(59&lt;=核心参数输入!$B$9*4,BK11*IF(核心参数输入!$B$96=1,核心参数输入!$B$33,核心参数输入!$B$121),0)</f>
        <v>0</v>
      </c>
      <c r="BL36" s="9">
        <f>IF(60&lt;=核心参数输入!$B$9*4,BL11*IF(核心参数输入!$B$96=1,核心参数输入!$B$33,核心参数输入!$B$121),0)</f>
        <v>0</v>
      </c>
      <c r="BM36" s="9">
        <f>IF(61&lt;=核心参数输入!$B$9*4,BM11*IF(核心参数输入!$B$96=1,核心参数输入!$B$33,核心参数输入!$B$121),0)</f>
        <v>0</v>
      </c>
      <c r="BN36" s="9">
        <f>IF(62&lt;=核心参数输入!$B$9*4,BN11*IF(核心参数输入!$B$96=1,核心参数输入!$B$33,核心参数输入!$B$121),0)</f>
        <v>0</v>
      </c>
      <c r="BO36" s="9">
        <f>IF(63&lt;=核心参数输入!$B$9*4,BO11*IF(核心参数输入!$B$96=1,核心参数输入!$B$33,核心参数输入!$B$121),0)</f>
        <v>0</v>
      </c>
      <c r="BP36" s="9">
        <f>IF(64&lt;=核心参数输入!$B$9*4,BP11*IF(核心参数输入!$B$96=1,核心参数输入!$B$33,核心参数输入!$B$121),0)</f>
        <v>0</v>
      </c>
      <c r="BQ36" s="9">
        <f>IF(65&lt;=核心参数输入!$B$9*4,BQ11*IF(核心参数输入!$B$96=1,核心参数输入!$B$33,核心参数输入!$B$121),0)</f>
        <v>0</v>
      </c>
      <c r="BR36" s="9">
        <f>IF(66&lt;=核心参数输入!$B$9*4,BR11*IF(核心参数输入!$B$96=1,核心参数输入!$B$33,核心参数输入!$B$121),0)</f>
        <v>0</v>
      </c>
      <c r="BS36" s="9">
        <f>IF(67&lt;=核心参数输入!$B$9*4,BS11*IF(核心参数输入!$B$96=1,核心参数输入!$B$33,核心参数输入!$B$121),0)</f>
        <v>0</v>
      </c>
      <c r="BT36" s="9">
        <f>IF(68&lt;=核心参数输入!$B$9*4,BT11*IF(核心参数输入!$B$96=1,核心参数输入!$B$33,核心参数输入!$B$121),0)</f>
        <v>0</v>
      </c>
      <c r="BU36" s="9">
        <f>IF(69&lt;=核心参数输入!$B$9*4,BU11*IF(核心参数输入!$B$96=1,核心参数输入!$B$33,核心参数输入!$B$121),0)</f>
        <v>0</v>
      </c>
      <c r="BV36" s="9">
        <f>IF(70&lt;=核心参数输入!$B$9*4,BV11*IF(核心参数输入!$B$96=1,核心参数输入!$B$33,核心参数输入!$B$121),0)</f>
        <v>0</v>
      </c>
      <c r="BW36" s="9">
        <f>IF(71&lt;=核心参数输入!$B$9*4,BW11*IF(核心参数输入!$B$96=1,核心参数输入!$B$33,核心参数输入!$B$121),0)</f>
        <v>0</v>
      </c>
      <c r="BX36" s="9">
        <f>IF(72&lt;=核心参数输入!$B$9*4,BX11*IF(核心参数输入!$B$96=1,核心参数输入!$B$33,核心参数输入!$B$121),0)</f>
        <v>0</v>
      </c>
      <c r="BY36" s="9">
        <f>IF(73&lt;=核心参数输入!$B$9*4,BY11*IF(核心参数输入!$B$96=1,核心参数输入!$B$33,核心参数输入!$B$121),0)</f>
        <v>0</v>
      </c>
      <c r="BZ36" s="9">
        <f>IF(74&lt;=核心参数输入!$B$9*4,BZ11*IF(核心参数输入!$B$96=1,核心参数输入!$B$33,核心参数输入!$B$121),0)</f>
        <v>0</v>
      </c>
      <c r="CA36" s="9">
        <f>IF(75&lt;=核心参数输入!$B$9*4,CA11*IF(核心参数输入!$B$96=1,核心参数输入!$B$33,核心参数输入!$B$121),0)</f>
        <v>0</v>
      </c>
      <c r="CB36" s="9">
        <f>IF(76&lt;=核心参数输入!$B$9*4,CB11*IF(核心参数输入!$B$96=1,核心参数输入!$B$33,核心参数输入!$B$121),0)</f>
        <v>0</v>
      </c>
      <c r="CC36" s="9">
        <f>IF(77&lt;=核心参数输入!$B$9*4,CC11*IF(核心参数输入!$B$96=1,核心参数输入!$B$33,核心参数输入!$B$121),0)</f>
        <v>0</v>
      </c>
      <c r="CD36" s="9">
        <f>IF(78&lt;=核心参数输入!$B$9*4,CD11*IF(核心参数输入!$B$96=1,核心参数输入!$B$33,核心参数输入!$B$121),0)</f>
        <v>0</v>
      </c>
      <c r="CE36" s="9">
        <f>IF(79&lt;=核心参数输入!$B$9*4,CE11*IF(核心参数输入!$B$96=1,核心参数输入!$B$33,核心参数输入!$B$121),0)</f>
        <v>0</v>
      </c>
      <c r="CF36" s="9">
        <f>IF(80&lt;=核心参数输入!$B$9*4,CF11*IF(核心参数输入!$B$96=1,核心参数输入!$B$33,核心参数输入!$B$121),0)</f>
        <v>0</v>
      </c>
      <c r="CG36" s="9">
        <f>IF(81&lt;=核心参数输入!$B$9*4,CG11*IF(核心参数输入!$B$96=1,核心参数输入!$B$33,核心参数输入!$B$121),0)</f>
        <v>0</v>
      </c>
      <c r="CH36" s="9">
        <f>IF(82&lt;=核心参数输入!$B$9*4,CH11*IF(核心参数输入!$B$96=1,核心参数输入!$B$33,核心参数输入!$B$121),0)</f>
        <v>0</v>
      </c>
      <c r="CI36" s="9">
        <f>IF(83&lt;=核心参数输入!$B$9*4,CI11*IF(核心参数输入!$B$96=1,核心参数输入!$B$33,核心参数输入!$B$121),0)</f>
        <v>0</v>
      </c>
      <c r="CJ36" s="9">
        <f>IF(84&lt;=核心参数输入!$B$9*4,CJ11*IF(核心参数输入!$B$96=1,核心参数输入!$B$33,核心参数输入!$B$121),0)</f>
        <v>0</v>
      </c>
      <c r="CK36" s="9">
        <f>IF(85&lt;=核心参数输入!$B$9*4,CK11*IF(核心参数输入!$B$96=1,核心参数输入!$B$33,核心参数输入!$B$121),0)</f>
        <v>0</v>
      </c>
      <c r="CL36" s="9">
        <f>IF(86&lt;=核心参数输入!$B$9*4,CL11*IF(核心参数输入!$B$96=1,核心参数输入!$B$33,核心参数输入!$B$121),0)</f>
        <v>0</v>
      </c>
      <c r="CM36" s="9">
        <f>IF(87&lt;=核心参数输入!$B$9*4,CM11*IF(核心参数输入!$B$96=1,核心参数输入!$B$33,核心参数输入!$B$121),0)</f>
        <v>0</v>
      </c>
      <c r="CN36" s="9">
        <f>IF(88&lt;=核心参数输入!$B$9*4,CN11*IF(核心参数输入!$B$96=1,核心参数输入!$B$33,核心参数输入!$B$121),0)</f>
        <v>0</v>
      </c>
      <c r="CO36" s="9">
        <f>IF(89&lt;=核心参数输入!$B$9*4,CO11*IF(核心参数输入!$B$96=1,核心参数输入!$B$33,核心参数输入!$B$121),0)</f>
        <v>0</v>
      </c>
      <c r="CP36" s="9">
        <f>IF(90&lt;=核心参数输入!$B$9*4,CP11*IF(核心参数输入!$B$96=1,核心参数输入!$B$33,核心参数输入!$B$121),0)</f>
        <v>0</v>
      </c>
      <c r="CQ36" s="9">
        <f>IF(91&lt;=核心参数输入!$B$9*4,CQ11*IF(核心参数输入!$B$96=1,核心参数输入!$B$33,核心参数输入!$B$121),0)</f>
        <v>0</v>
      </c>
      <c r="CR36" s="9">
        <f>IF(92&lt;=核心参数输入!$B$9*4,CR11*IF(核心参数输入!$B$96=1,核心参数输入!$B$33,核心参数输入!$B$121),0)</f>
        <v>0</v>
      </c>
      <c r="CS36" s="9">
        <f>IF(93&lt;=核心参数输入!$B$9*4,CS11*IF(核心参数输入!$B$96=1,核心参数输入!$B$33,核心参数输入!$B$121),0)</f>
        <v>0</v>
      </c>
      <c r="CT36" s="9">
        <f>IF(94&lt;=核心参数输入!$B$9*4,CT11*IF(核心参数输入!$B$96=1,核心参数输入!$B$33,核心参数输入!$B$121),0)</f>
        <v>0</v>
      </c>
      <c r="CU36" s="9">
        <f>IF(95&lt;=核心参数输入!$B$9*4,CU11*IF(核心参数输入!$B$96=1,核心参数输入!$B$33,核心参数输入!$B$121),0)</f>
        <v>0</v>
      </c>
      <c r="CV36" s="9">
        <f>IF(96&lt;=核心参数输入!$B$9*4,CV11*IF(核心参数输入!$B$96=1,核心参数输入!$B$33,核心参数输入!$B$121),0)</f>
        <v>0</v>
      </c>
      <c r="CW36" s="9">
        <f>IF(97&lt;=核心参数输入!$B$9*4,CW11*IF(核心参数输入!$B$96=1,核心参数输入!$B$33,核心参数输入!$B$121),0)</f>
        <v>0</v>
      </c>
      <c r="CX36" s="9">
        <f>IF(98&lt;=核心参数输入!$B$9*4,CX11*IF(核心参数输入!$B$96=1,核心参数输入!$B$33,核心参数输入!$B$121),0)</f>
        <v>0</v>
      </c>
      <c r="CY36" s="9">
        <f>IF(99&lt;=核心参数输入!$B$9*4,CY11*IF(核心参数输入!$B$96=1,核心参数输入!$B$33,核心参数输入!$B$121),0)</f>
        <v>0</v>
      </c>
      <c r="CZ36" s="9">
        <f>IF(100&lt;=核心参数输入!$B$9*4,CZ11*IF(核心参数输入!$B$96=1,核心参数输入!$B$33,核心参数输入!$B$121),0)</f>
        <v>0</v>
      </c>
      <c r="DA36" s="9">
        <f>IF(101&lt;=核心参数输入!$B$9*4,DA11*IF(核心参数输入!$B$96=1,核心参数输入!$B$33,核心参数输入!$B$121),0)</f>
        <v>0</v>
      </c>
      <c r="DB36" s="9">
        <f>IF(102&lt;=核心参数输入!$B$9*4,DB11*IF(核心参数输入!$B$96=1,核心参数输入!$B$33,核心参数输入!$B$121),0)</f>
        <v>0</v>
      </c>
      <c r="DC36" s="9">
        <f>IF(103&lt;=核心参数输入!$B$9*4,DC11*IF(核心参数输入!$B$96=1,核心参数输入!$B$33,核心参数输入!$B$121),0)</f>
        <v>0</v>
      </c>
      <c r="DD36" s="9">
        <f>IF(104&lt;=核心参数输入!$B$9*4,DD11*IF(核心参数输入!$B$96=1,核心参数输入!$B$33,核心参数输入!$B$121),0)</f>
        <v>0</v>
      </c>
      <c r="DE36" s="9">
        <f>IF(105&lt;=核心参数输入!$B$9*4,DE11*IF(核心参数输入!$B$96=1,核心参数输入!$B$33,核心参数输入!$B$121),0)</f>
        <v>0</v>
      </c>
      <c r="DF36" s="9">
        <f>IF(106&lt;=核心参数输入!$B$9*4,DF11*IF(核心参数输入!$B$96=1,核心参数输入!$B$33,核心参数输入!$B$121),0)</f>
        <v>0</v>
      </c>
      <c r="DG36" s="9">
        <f>IF(107&lt;=核心参数输入!$B$9*4,DG11*IF(核心参数输入!$B$96=1,核心参数输入!$B$33,核心参数输入!$B$121),0)</f>
        <v>0</v>
      </c>
      <c r="DH36" s="9">
        <f>IF(108&lt;=核心参数输入!$B$9*4,DH11*IF(核心参数输入!$B$96=1,核心参数输入!$B$33,核心参数输入!$B$121),0)</f>
        <v>0</v>
      </c>
      <c r="DI36" s="9">
        <f>IF(109&lt;=核心参数输入!$B$9*4,DI11*IF(核心参数输入!$B$96=1,核心参数输入!$B$33,核心参数输入!$B$121),0)</f>
        <v>0</v>
      </c>
      <c r="DJ36" s="9">
        <f>IF(110&lt;=核心参数输入!$B$9*4,DJ11*IF(核心参数输入!$B$96=1,核心参数输入!$B$33,核心参数输入!$B$121),0)</f>
        <v>0</v>
      </c>
      <c r="DK36" s="9">
        <f>IF(111&lt;=核心参数输入!$B$9*4,DK11*IF(核心参数输入!$B$96=1,核心参数输入!$B$33,核心参数输入!$B$121),0)</f>
        <v>0</v>
      </c>
      <c r="DL36" s="9">
        <f>IF(112&lt;=核心参数输入!$B$9*4,DL11*IF(核心参数输入!$B$96=1,核心参数输入!$B$33,核心参数输入!$B$121),0)</f>
        <v>0</v>
      </c>
      <c r="DM36" s="9">
        <f>IF(113&lt;=核心参数输入!$B$9*4,DM11*IF(核心参数输入!$B$96=1,核心参数输入!$B$33,核心参数输入!$B$121),0)</f>
        <v>0</v>
      </c>
      <c r="DN36" s="9">
        <f>IF(114&lt;=核心参数输入!$B$9*4,DN11*IF(核心参数输入!$B$96=1,核心参数输入!$B$33,核心参数输入!$B$121),0)</f>
        <v>0</v>
      </c>
      <c r="DO36" s="9">
        <f>IF(115&lt;=核心参数输入!$B$9*4,DO11*IF(核心参数输入!$B$96=1,核心参数输入!$B$33,核心参数输入!$B$121),0)</f>
        <v>0</v>
      </c>
      <c r="DP36" s="9">
        <f>IF(116&lt;=核心参数输入!$B$9*4,DP11*IF(核心参数输入!$B$96=1,核心参数输入!$B$33,核心参数输入!$B$121),0)</f>
        <v>0</v>
      </c>
      <c r="DQ36" s="9">
        <f>IF(117&lt;=核心参数输入!$B$9*4,DQ11*IF(核心参数输入!$B$96=1,核心参数输入!$B$33,核心参数输入!$B$121),0)</f>
        <v>0</v>
      </c>
      <c r="DR36" s="9">
        <f>IF(118&lt;=核心参数输入!$B$9*4,DR11*IF(核心参数输入!$B$96=1,核心参数输入!$B$33,核心参数输入!$B$121),0)</f>
        <v>0</v>
      </c>
      <c r="DS36" s="9">
        <f>IF(119&lt;=核心参数输入!$B$9*4,DS11*IF(核心参数输入!$B$96=1,核心参数输入!$B$33,核心参数输入!$B$121),0)</f>
        <v>0</v>
      </c>
      <c r="DT36" s="9">
        <f>IF(120&lt;=核心参数输入!$B$9*4,DT11*IF(核心参数输入!$B$96=1,核心参数输入!$B$33,核心参数输入!$B$121),0)</f>
        <v>0</v>
      </c>
    </row>
    <row r="37" spans="1:124" ht="21" customHeight="1">
      <c r="A37" s="8" t="s">
        <v>469</v>
      </c>
      <c r="B37" s="8" t="s">
        <v>39</v>
      </c>
      <c r="C37" s="8"/>
      <c r="D37" s="9">
        <f>IF(0&lt;=核心参数输入!$B$9*4,IF(AND((核心参数输入!$B$10*核心参数输入!$B$11*核心参数输入!$B$12*核心参数输入!$B$143)&gt;0,0&gt;(核心参数输入!$B$16*4+(核心参数输入!$B$148))),核心参数输入!$B$47*(核心参数输入!$B$10*核心参数输入!$B$11*核心参数输入!$B$12*核心参数输入!$B$143)/MAX(1,核心参数输入!$B$108)*(1+核心参数输入!$B$48)^INT((0-(核心参数输入!$B$16*4+(核心参数输入!$B$148))-1)/4)/4,0),0)</f>
        <v>0</v>
      </c>
      <c r="E37" s="9">
        <f>IF(1&lt;=核心参数输入!$B$9*4,IF(AND((核心参数输入!$B$10*核心参数输入!$B$11*核心参数输入!$B$12*核心参数输入!$B$143)&gt;0,1&gt;(核心参数输入!$B$16*4+(核心参数输入!$B$148))),核心参数输入!$B$47*(核心参数输入!$B$10*核心参数输入!$B$11*核心参数输入!$B$12*核心参数输入!$B$143)/MAX(1,核心参数输入!$B$108)*(1+核心参数输入!$B$48)^INT((1-(核心参数输入!$B$16*4+(核心参数输入!$B$148))-1)/4)/4,0),0)</f>
        <v>0</v>
      </c>
      <c r="F37" s="9">
        <f>IF(2&lt;=核心参数输入!$B$9*4,IF(AND((核心参数输入!$B$10*核心参数输入!$B$11*核心参数输入!$B$12*核心参数输入!$B$143)&gt;0,2&gt;(核心参数输入!$B$16*4+(核心参数输入!$B$148))),核心参数输入!$B$47*(核心参数输入!$B$10*核心参数输入!$B$11*核心参数输入!$B$12*核心参数输入!$B$143)/MAX(1,核心参数输入!$B$108)*(1+核心参数输入!$B$48)^INT((2-(核心参数输入!$B$16*4+(核心参数输入!$B$148))-1)/4)/4,0),0)</f>
        <v>0</v>
      </c>
      <c r="G37" s="9">
        <f>IF(3&lt;=核心参数输入!$B$9*4,IF(AND((核心参数输入!$B$10*核心参数输入!$B$11*核心参数输入!$B$12*核心参数输入!$B$143)&gt;0,3&gt;(核心参数输入!$B$16*4+(核心参数输入!$B$148))),核心参数输入!$B$47*(核心参数输入!$B$10*核心参数输入!$B$11*核心参数输入!$B$12*核心参数输入!$B$143)/MAX(1,核心参数输入!$B$108)*(1+核心参数输入!$B$48)^INT((3-(核心参数输入!$B$16*4+(核心参数输入!$B$148))-1)/4)/4,0),0)</f>
        <v>0</v>
      </c>
      <c r="H37" s="9">
        <f>IF(4&lt;=核心参数输入!$B$9*4,IF(AND((核心参数输入!$B$10*核心参数输入!$B$11*核心参数输入!$B$12*核心参数输入!$B$143)&gt;0,4&gt;(核心参数输入!$B$16*4+(核心参数输入!$B$148))),核心参数输入!$B$47*(核心参数输入!$B$10*核心参数输入!$B$11*核心参数输入!$B$12*核心参数输入!$B$143)/MAX(1,核心参数输入!$B$108)*(1+核心参数输入!$B$48)^INT((4-(核心参数输入!$B$16*4+(核心参数输入!$B$148))-1)/4)/4,0),0)</f>
        <v>0</v>
      </c>
      <c r="I37" s="9">
        <f>IF(5&lt;=核心参数输入!$B$9*4,IF(AND((核心参数输入!$B$10*核心参数输入!$B$11*核心参数输入!$B$12*核心参数输入!$B$143)&gt;0,5&gt;(核心参数输入!$B$16*4+(核心参数输入!$B$148))),核心参数输入!$B$47*(核心参数输入!$B$10*核心参数输入!$B$11*核心参数输入!$B$12*核心参数输入!$B$143)/MAX(1,核心参数输入!$B$108)*(1+核心参数输入!$B$48)^INT((5-(核心参数输入!$B$16*4+(核心参数输入!$B$148))-1)/4)/4,0),0)</f>
        <v>0</v>
      </c>
      <c r="J37" s="9">
        <f>IF(6&lt;=核心参数输入!$B$9*4,IF(AND((核心参数输入!$B$10*核心参数输入!$B$11*核心参数输入!$B$12*核心参数输入!$B$143)&gt;0,6&gt;(核心参数输入!$B$16*4+(核心参数输入!$B$148))),核心参数输入!$B$47*(核心参数输入!$B$10*核心参数输入!$B$11*核心参数输入!$B$12*核心参数输入!$B$143)/MAX(1,核心参数输入!$B$108)*(1+核心参数输入!$B$48)^INT((6-(核心参数输入!$B$16*4+(核心参数输入!$B$148))-1)/4)/4,0),0)</f>
        <v>0</v>
      </c>
      <c r="K37" s="9">
        <f>IF(7&lt;=核心参数输入!$B$9*4,IF(AND((核心参数输入!$B$10*核心参数输入!$B$11*核心参数输入!$B$12*核心参数输入!$B$143)&gt;0,7&gt;(核心参数输入!$B$16*4+(核心参数输入!$B$148))),核心参数输入!$B$47*(核心参数输入!$B$10*核心参数输入!$B$11*核心参数输入!$B$12*核心参数输入!$B$143)/MAX(1,核心参数输入!$B$108)*(1+核心参数输入!$B$48)^INT((7-(核心参数输入!$B$16*4+(核心参数输入!$B$148))-1)/4)/4,0),0)</f>
        <v>0</v>
      </c>
      <c r="L37" s="9">
        <f>IF(8&lt;=核心参数输入!$B$9*4,IF(AND((核心参数输入!$B$10*核心参数输入!$B$11*核心参数输入!$B$12*核心参数输入!$B$143)&gt;0,8&gt;(核心参数输入!$B$16*4+(核心参数输入!$B$148))),核心参数输入!$B$47*(核心参数输入!$B$10*核心参数输入!$B$11*核心参数输入!$B$12*核心参数输入!$B$143)/MAX(1,核心参数输入!$B$108)*(1+核心参数输入!$B$48)^INT((8-(核心参数输入!$B$16*4+(核心参数输入!$B$148))-1)/4)/4,0),0)</f>
        <v>0</v>
      </c>
      <c r="M37" s="9">
        <f>IF(9&lt;=核心参数输入!$B$9*4,IF(AND((核心参数输入!$B$10*核心参数输入!$B$11*核心参数输入!$B$12*核心参数输入!$B$143)&gt;0,9&gt;(核心参数输入!$B$16*4+(核心参数输入!$B$148))),核心参数输入!$B$47*(核心参数输入!$B$10*核心参数输入!$B$11*核心参数输入!$B$12*核心参数输入!$B$143)/MAX(1,核心参数输入!$B$108)*(1+核心参数输入!$B$48)^INT((9-(核心参数输入!$B$16*4+(核心参数输入!$B$148))-1)/4)/4,0),0)</f>
        <v>0</v>
      </c>
      <c r="N37" s="9">
        <f>IF(10&lt;=核心参数输入!$B$9*4,IF(AND((核心参数输入!$B$10*核心参数输入!$B$11*核心参数输入!$B$12*核心参数输入!$B$143)&gt;0,10&gt;(核心参数输入!$B$16*4+(核心参数输入!$B$148))),核心参数输入!$B$47*(核心参数输入!$B$10*核心参数输入!$B$11*核心参数输入!$B$12*核心参数输入!$B$143)/MAX(1,核心参数输入!$B$108)*(1+核心参数输入!$B$48)^INT((10-(核心参数输入!$B$16*4+(核心参数输入!$B$148))-1)/4)/4,0),0)</f>
        <v>0</v>
      </c>
      <c r="O37" s="9">
        <f>IF(11&lt;=核心参数输入!$B$9*4,IF(AND((核心参数输入!$B$10*核心参数输入!$B$11*核心参数输入!$B$12*核心参数输入!$B$143)&gt;0,11&gt;(核心参数输入!$B$16*4+(核心参数输入!$B$148))),核心参数输入!$B$47*(核心参数输入!$B$10*核心参数输入!$B$11*核心参数输入!$B$12*核心参数输入!$B$143)/MAX(1,核心参数输入!$B$108)*(1+核心参数输入!$B$48)^INT((11-(核心参数输入!$B$16*4+(核心参数输入!$B$148))-1)/4)/4,0),0)</f>
        <v>0</v>
      </c>
      <c r="P37" s="9">
        <f>IF(12&lt;=核心参数输入!$B$9*4,IF(AND((核心参数输入!$B$10*核心参数输入!$B$11*核心参数输入!$B$12*核心参数输入!$B$143)&gt;0,12&gt;(核心参数输入!$B$16*4+(核心参数输入!$B$148))),核心参数输入!$B$47*(核心参数输入!$B$10*核心参数输入!$B$11*核心参数输入!$B$12*核心参数输入!$B$143)/MAX(1,核心参数输入!$B$108)*(1+核心参数输入!$B$48)^INT((12-(核心参数输入!$B$16*4+(核心参数输入!$B$148))-1)/4)/4,0),0)</f>
        <v>0</v>
      </c>
      <c r="Q37" s="9">
        <f>IF(13&lt;=核心参数输入!$B$9*4,IF(AND((核心参数输入!$B$10*核心参数输入!$B$11*核心参数输入!$B$12*核心参数输入!$B$143)&gt;0,13&gt;(核心参数输入!$B$16*4+(核心参数输入!$B$148))),核心参数输入!$B$47*(核心参数输入!$B$10*核心参数输入!$B$11*核心参数输入!$B$12*核心参数输入!$B$143)/MAX(1,核心参数输入!$B$108)*(1+核心参数输入!$B$48)^INT((13-(核心参数输入!$B$16*4+(核心参数输入!$B$148))-1)/4)/4,0),0)</f>
        <v>74.999999999999986</v>
      </c>
      <c r="R37" s="9">
        <f>IF(14&lt;=核心参数输入!$B$9*4,IF(AND((核心参数输入!$B$10*核心参数输入!$B$11*核心参数输入!$B$12*核心参数输入!$B$143)&gt;0,14&gt;(核心参数输入!$B$16*4+(核心参数输入!$B$148))),核心参数输入!$B$47*(核心参数输入!$B$10*核心参数输入!$B$11*核心参数输入!$B$12*核心参数输入!$B$143)/MAX(1,核心参数输入!$B$108)*(1+核心参数输入!$B$48)^INT((14-(核心参数输入!$B$16*4+(核心参数输入!$B$148))-1)/4)/4,0),0)</f>
        <v>74.999999999999986</v>
      </c>
      <c r="S37" s="9">
        <f>IF(15&lt;=核心参数输入!$B$9*4,IF(AND((核心参数输入!$B$10*核心参数输入!$B$11*核心参数输入!$B$12*核心参数输入!$B$143)&gt;0,15&gt;(核心参数输入!$B$16*4+(核心参数输入!$B$148))),核心参数输入!$B$47*(核心参数输入!$B$10*核心参数输入!$B$11*核心参数输入!$B$12*核心参数输入!$B$143)/MAX(1,核心参数输入!$B$108)*(1+核心参数输入!$B$48)^INT((15-(核心参数输入!$B$16*4+(核心参数输入!$B$148))-1)/4)/4,0),0)</f>
        <v>74.999999999999986</v>
      </c>
      <c r="T37" s="9">
        <f>IF(16&lt;=核心参数输入!$B$9*4,IF(AND((核心参数输入!$B$10*核心参数输入!$B$11*核心参数输入!$B$12*核心参数输入!$B$143)&gt;0,16&gt;(核心参数输入!$B$16*4+(核心参数输入!$B$148))),核心参数输入!$B$47*(核心参数输入!$B$10*核心参数输入!$B$11*核心参数输入!$B$12*核心参数输入!$B$143)/MAX(1,核心参数输入!$B$108)*(1+核心参数输入!$B$48)^INT((16-(核心参数输入!$B$16*4+(核心参数输入!$B$148))-1)/4)/4,0),0)</f>
        <v>74.999999999999986</v>
      </c>
      <c r="U37" s="9">
        <f>IF(17&lt;=核心参数输入!$B$9*4,IF(AND((核心参数输入!$B$10*核心参数输入!$B$11*核心参数输入!$B$12*核心参数输入!$B$143)&gt;0,17&gt;(核心参数输入!$B$16*4+(核心参数输入!$B$148))),核心参数输入!$B$47*(核心参数输入!$B$10*核心参数输入!$B$11*核心参数输入!$B$12*核心参数输入!$B$143)/MAX(1,核心参数输入!$B$108)*(1+核心参数输入!$B$48)^INT((17-(核心参数输入!$B$16*4+(核心参数输入!$B$148))-1)/4)/4,0),0)</f>
        <v>76.499999999999986</v>
      </c>
      <c r="V37" s="9">
        <f>IF(18&lt;=核心参数输入!$B$9*4,IF(AND((核心参数输入!$B$10*核心参数输入!$B$11*核心参数输入!$B$12*核心参数输入!$B$143)&gt;0,18&gt;(核心参数输入!$B$16*4+(核心参数输入!$B$148))),核心参数输入!$B$47*(核心参数输入!$B$10*核心参数输入!$B$11*核心参数输入!$B$12*核心参数输入!$B$143)/MAX(1,核心参数输入!$B$108)*(1+核心参数输入!$B$48)^INT((18-(核心参数输入!$B$16*4+(核心参数输入!$B$148))-1)/4)/4,0),0)</f>
        <v>76.499999999999986</v>
      </c>
      <c r="W37" s="9">
        <f>IF(19&lt;=核心参数输入!$B$9*4,IF(AND((核心参数输入!$B$10*核心参数输入!$B$11*核心参数输入!$B$12*核心参数输入!$B$143)&gt;0,19&gt;(核心参数输入!$B$16*4+(核心参数输入!$B$148))),核心参数输入!$B$47*(核心参数输入!$B$10*核心参数输入!$B$11*核心参数输入!$B$12*核心参数输入!$B$143)/MAX(1,核心参数输入!$B$108)*(1+核心参数输入!$B$48)^INT((19-(核心参数输入!$B$16*4+(核心参数输入!$B$148))-1)/4)/4,0),0)</f>
        <v>76.499999999999986</v>
      </c>
      <c r="X37" s="9">
        <f>IF(20&lt;=核心参数输入!$B$9*4,IF(AND((核心参数输入!$B$10*核心参数输入!$B$11*核心参数输入!$B$12*核心参数输入!$B$143)&gt;0,20&gt;(核心参数输入!$B$16*4+(核心参数输入!$B$148))),核心参数输入!$B$47*(核心参数输入!$B$10*核心参数输入!$B$11*核心参数输入!$B$12*核心参数输入!$B$143)/MAX(1,核心参数输入!$B$108)*(1+核心参数输入!$B$48)^INT((20-(核心参数输入!$B$16*4+(核心参数输入!$B$148))-1)/4)/4,0),0)</f>
        <v>76.499999999999986</v>
      </c>
      <c r="Y37" s="9">
        <f>IF(21&lt;=核心参数输入!$B$9*4,IF(AND((核心参数输入!$B$10*核心参数输入!$B$11*核心参数输入!$B$12*核心参数输入!$B$143)&gt;0,21&gt;(核心参数输入!$B$16*4+(核心参数输入!$B$148))),核心参数输入!$B$47*(核心参数输入!$B$10*核心参数输入!$B$11*核心参数输入!$B$12*核心参数输入!$B$143)/MAX(1,核心参数输入!$B$108)*(1+核心参数输入!$B$48)^INT((21-(核心参数输入!$B$16*4+(核心参数输入!$B$148))-1)/4)/4,0),0)</f>
        <v>78.029999999999987</v>
      </c>
      <c r="Z37" s="9">
        <f>IF(22&lt;=核心参数输入!$B$9*4,IF(AND((核心参数输入!$B$10*核心参数输入!$B$11*核心参数输入!$B$12*核心参数输入!$B$143)&gt;0,22&gt;(核心参数输入!$B$16*4+(核心参数输入!$B$148))),核心参数输入!$B$47*(核心参数输入!$B$10*核心参数输入!$B$11*核心参数输入!$B$12*核心参数输入!$B$143)/MAX(1,核心参数输入!$B$108)*(1+核心参数输入!$B$48)^INT((22-(核心参数输入!$B$16*4+(核心参数输入!$B$148))-1)/4)/4,0),0)</f>
        <v>78.029999999999987</v>
      </c>
      <c r="AA37" s="9">
        <f>IF(23&lt;=核心参数输入!$B$9*4,IF(AND((核心参数输入!$B$10*核心参数输入!$B$11*核心参数输入!$B$12*核心参数输入!$B$143)&gt;0,23&gt;(核心参数输入!$B$16*4+(核心参数输入!$B$148))),核心参数输入!$B$47*(核心参数输入!$B$10*核心参数输入!$B$11*核心参数输入!$B$12*核心参数输入!$B$143)/MAX(1,核心参数输入!$B$108)*(1+核心参数输入!$B$48)^INT((23-(核心参数输入!$B$16*4+(核心参数输入!$B$148))-1)/4)/4,0),0)</f>
        <v>78.029999999999987</v>
      </c>
      <c r="AB37" s="9">
        <f>IF(24&lt;=核心参数输入!$B$9*4,IF(AND((核心参数输入!$B$10*核心参数输入!$B$11*核心参数输入!$B$12*核心参数输入!$B$143)&gt;0,24&gt;(核心参数输入!$B$16*4+(核心参数输入!$B$148))),核心参数输入!$B$47*(核心参数输入!$B$10*核心参数输入!$B$11*核心参数输入!$B$12*核心参数输入!$B$143)/MAX(1,核心参数输入!$B$108)*(1+核心参数输入!$B$48)^INT((24-(核心参数输入!$B$16*4+(核心参数输入!$B$148))-1)/4)/4,0),0)</f>
        <v>78.029999999999987</v>
      </c>
      <c r="AC37" s="9">
        <f>IF(25&lt;=核心参数输入!$B$9*4,IF(AND((核心参数输入!$B$10*核心参数输入!$B$11*核心参数输入!$B$12*核心参数输入!$B$143)&gt;0,25&gt;(核心参数输入!$B$16*4+(核心参数输入!$B$148))),核心参数输入!$B$47*(核心参数输入!$B$10*核心参数输入!$B$11*核心参数输入!$B$12*核心参数输入!$B$143)/MAX(1,核心参数输入!$B$108)*(1+核心参数输入!$B$48)^INT((25-(核心参数输入!$B$16*4+(核心参数输入!$B$148))-1)/4)/4,0),0)</f>
        <v>79.590599999999981</v>
      </c>
      <c r="AD37" s="9">
        <f>IF(26&lt;=核心参数输入!$B$9*4,IF(AND((核心参数输入!$B$10*核心参数输入!$B$11*核心参数输入!$B$12*核心参数输入!$B$143)&gt;0,26&gt;(核心参数输入!$B$16*4+(核心参数输入!$B$148))),核心参数输入!$B$47*(核心参数输入!$B$10*核心参数输入!$B$11*核心参数输入!$B$12*核心参数输入!$B$143)/MAX(1,核心参数输入!$B$108)*(1+核心参数输入!$B$48)^INT((26-(核心参数输入!$B$16*4+(核心参数输入!$B$148))-1)/4)/4,0),0)</f>
        <v>79.590599999999981</v>
      </c>
      <c r="AE37" s="9">
        <f>IF(27&lt;=核心参数输入!$B$9*4,IF(AND((核心参数输入!$B$10*核心参数输入!$B$11*核心参数输入!$B$12*核心参数输入!$B$143)&gt;0,27&gt;(核心参数输入!$B$16*4+(核心参数输入!$B$148))),核心参数输入!$B$47*(核心参数输入!$B$10*核心参数输入!$B$11*核心参数输入!$B$12*核心参数输入!$B$143)/MAX(1,核心参数输入!$B$108)*(1+核心参数输入!$B$48)^INT((27-(核心参数输入!$B$16*4+(核心参数输入!$B$148))-1)/4)/4,0),0)</f>
        <v>79.590599999999981</v>
      </c>
      <c r="AF37" s="9">
        <f>IF(28&lt;=核心参数输入!$B$9*4,IF(AND((核心参数输入!$B$10*核心参数输入!$B$11*核心参数输入!$B$12*核心参数输入!$B$143)&gt;0,28&gt;(核心参数输入!$B$16*4+(核心参数输入!$B$148))),核心参数输入!$B$47*(核心参数输入!$B$10*核心参数输入!$B$11*核心参数输入!$B$12*核心参数输入!$B$143)/MAX(1,核心参数输入!$B$108)*(1+核心参数输入!$B$48)^INT((28-(核心参数输入!$B$16*4+(核心参数输入!$B$148))-1)/4)/4,0),0)</f>
        <v>79.590599999999981</v>
      </c>
      <c r="AG37" s="9">
        <f>IF(29&lt;=核心参数输入!$B$9*4,IF(AND((核心参数输入!$B$10*核心参数输入!$B$11*核心参数输入!$B$12*核心参数输入!$B$143)&gt;0,29&gt;(核心参数输入!$B$16*4+(核心参数输入!$B$148))),核心参数输入!$B$47*(核心参数输入!$B$10*核心参数输入!$B$11*核心参数输入!$B$12*核心参数输入!$B$143)/MAX(1,核心参数输入!$B$108)*(1+核心参数输入!$B$48)^INT((29-(核心参数输入!$B$16*4+(核心参数输入!$B$148))-1)/4)/4,0),0)</f>
        <v>81.182411999999985</v>
      </c>
      <c r="AH37" s="9">
        <f>IF(30&lt;=核心参数输入!$B$9*4,IF(AND((核心参数输入!$B$10*核心参数输入!$B$11*核心参数输入!$B$12*核心参数输入!$B$143)&gt;0,30&gt;(核心参数输入!$B$16*4+(核心参数输入!$B$148))),核心参数输入!$B$47*(核心参数输入!$B$10*核心参数输入!$B$11*核心参数输入!$B$12*核心参数输入!$B$143)/MAX(1,核心参数输入!$B$108)*(1+核心参数输入!$B$48)^INT((30-(核心参数输入!$B$16*4+(核心参数输入!$B$148))-1)/4)/4,0),0)</f>
        <v>81.182411999999985</v>
      </c>
      <c r="AI37" s="9">
        <f>IF(31&lt;=核心参数输入!$B$9*4,IF(AND((核心参数输入!$B$10*核心参数输入!$B$11*核心参数输入!$B$12*核心参数输入!$B$143)&gt;0,31&gt;(核心参数输入!$B$16*4+(核心参数输入!$B$148))),核心参数输入!$B$47*(核心参数输入!$B$10*核心参数输入!$B$11*核心参数输入!$B$12*核心参数输入!$B$143)/MAX(1,核心参数输入!$B$108)*(1+核心参数输入!$B$48)^INT((31-(核心参数输入!$B$16*4+(核心参数输入!$B$148))-1)/4)/4,0),0)</f>
        <v>81.182411999999985</v>
      </c>
      <c r="AJ37" s="9">
        <f>IF(32&lt;=核心参数输入!$B$9*4,IF(AND((核心参数输入!$B$10*核心参数输入!$B$11*核心参数输入!$B$12*核心参数输入!$B$143)&gt;0,32&gt;(核心参数输入!$B$16*4+(核心参数输入!$B$148))),核心参数输入!$B$47*(核心参数输入!$B$10*核心参数输入!$B$11*核心参数输入!$B$12*核心参数输入!$B$143)/MAX(1,核心参数输入!$B$108)*(1+核心参数输入!$B$48)^INT((32-(核心参数输入!$B$16*4+(核心参数输入!$B$148))-1)/4)/4,0),0)</f>
        <v>81.182411999999985</v>
      </c>
      <c r="AK37" s="9">
        <f>IF(33&lt;=核心参数输入!$B$9*4,IF(AND((核心参数输入!$B$10*核心参数输入!$B$11*核心参数输入!$B$12*核心参数输入!$B$143)&gt;0,33&gt;(核心参数输入!$B$16*4+(核心参数输入!$B$148))),核心参数输入!$B$47*(核心参数输入!$B$10*核心参数输入!$B$11*核心参数输入!$B$12*核心参数输入!$B$143)/MAX(1,核心参数输入!$B$108)*(1+核心参数输入!$B$48)^INT((33-(核心参数输入!$B$16*4+(核心参数输入!$B$148))-1)/4)/4,0),0)</f>
        <v>82.806060239999979</v>
      </c>
      <c r="AL37" s="9">
        <f>IF(34&lt;=核心参数输入!$B$9*4,IF(AND((核心参数输入!$B$10*核心参数输入!$B$11*核心参数输入!$B$12*核心参数输入!$B$143)&gt;0,34&gt;(核心参数输入!$B$16*4+(核心参数输入!$B$148))),核心参数输入!$B$47*(核心参数输入!$B$10*核心参数输入!$B$11*核心参数输入!$B$12*核心参数输入!$B$143)/MAX(1,核心参数输入!$B$108)*(1+核心参数输入!$B$48)^INT((34-(核心参数输入!$B$16*4+(核心参数输入!$B$148))-1)/4)/4,0),0)</f>
        <v>82.806060239999979</v>
      </c>
      <c r="AM37" s="9">
        <f>IF(35&lt;=核心参数输入!$B$9*4,IF(AND((核心参数输入!$B$10*核心参数输入!$B$11*核心参数输入!$B$12*核心参数输入!$B$143)&gt;0,35&gt;(核心参数输入!$B$16*4+(核心参数输入!$B$148))),核心参数输入!$B$47*(核心参数输入!$B$10*核心参数输入!$B$11*核心参数输入!$B$12*核心参数输入!$B$143)/MAX(1,核心参数输入!$B$108)*(1+核心参数输入!$B$48)^INT((35-(核心参数输入!$B$16*4+(核心参数输入!$B$148))-1)/4)/4,0),0)</f>
        <v>82.806060239999979</v>
      </c>
      <c r="AN37" s="9">
        <f>IF(36&lt;=核心参数输入!$B$9*4,IF(AND((核心参数输入!$B$10*核心参数输入!$B$11*核心参数输入!$B$12*核心参数输入!$B$143)&gt;0,36&gt;(核心参数输入!$B$16*4+(核心参数输入!$B$148))),核心参数输入!$B$47*(核心参数输入!$B$10*核心参数输入!$B$11*核心参数输入!$B$12*核心参数输入!$B$143)/MAX(1,核心参数输入!$B$108)*(1+核心参数输入!$B$48)^INT((36-(核心参数输入!$B$16*4+(核心参数输入!$B$148))-1)/4)/4,0),0)</f>
        <v>82.806060239999979</v>
      </c>
      <c r="AO37" s="9">
        <f>IF(37&lt;=核心参数输入!$B$9*4,IF(AND((核心参数输入!$B$10*核心参数输入!$B$11*核心参数输入!$B$12*核心参数输入!$B$143)&gt;0,37&gt;(核心参数输入!$B$16*4+(核心参数输入!$B$148))),核心参数输入!$B$47*(核心参数输入!$B$10*核心参数输入!$B$11*核心参数输入!$B$12*核心参数输入!$B$143)/MAX(1,核心参数输入!$B$108)*(1+核心参数输入!$B$48)^INT((37-(核心参数输入!$B$16*4+(核心参数输入!$B$148))-1)/4)/4,0),0)</f>
        <v>84.462181444799995</v>
      </c>
      <c r="AP37" s="9">
        <f>IF(38&lt;=核心参数输入!$B$9*4,IF(AND((核心参数输入!$B$10*核心参数输入!$B$11*核心参数输入!$B$12*核心参数输入!$B$143)&gt;0,38&gt;(核心参数输入!$B$16*4+(核心参数输入!$B$148))),核心参数输入!$B$47*(核心参数输入!$B$10*核心参数输入!$B$11*核心参数输入!$B$12*核心参数输入!$B$143)/MAX(1,核心参数输入!$B$108)*(1+核心参数输入!$B$48)^INT((38-(核心参数输入!$B$16*4+(核心参数输入!$B$148))-1)/4)/4,0),0)</f>
        <v>84.462181444799995</v>
      </c>
      <c r="AQ37" s="9">
        <f>IF(39&lt;=核心参数输入!$B$9*4,IF(AND((核心参数输入!$B$10*核心参数输入!$B$11*核心参数输入!$B$12*核心参数输入!$B$143)&gt;0,39&gt;(核心参数输入!$B$16*4+(核心参数输入!$B$148))),核心参数输入!$B$47*(核心参数输入!$B$10*核心参数输入!$B$11*核心参数输入!$B$12*核心参数输入!$B$143)/MAX(1,核心参数输入!$B$108)*(1+核心参数输入!$B$48)^INT((39-(核心参数输入!$B$16*4+(核心参数输入!$B$148))-1)/4)/4,0),0)</f>
        <v>84.462181444799995</v>
      </c>
      <c r="AR37" s="9">
        <f>IF(40&lt;=核心参数输入!$B$9*4,IF(AND((核心参数输入!$B$10*核心参数输入!$B$11*核心参数输入!$B$12*核心参数输入!$B$143)&gt;0,40&gt;(核心参数输入!$B$16*4+(核心参数输入!$B$148))),核心参数输入!$B$47*(核心参数输入!$B$10*核心参数输入!$B$11*核心参数输入!$B$12*核心参数输入!$B$143)/MAX(1,核心参数输入!$B$108)*(1+核心参数输入!$B$48)^INT((40-(核心参数输入!$B$16*4+(核心参数输入!$B$148))-1)/4)/4,0),0)</f>
        <v>84.462181444799995</v>
      </c>
      <c r="AS37" s="9">
        <f>IF(41&lt;=核心参数输入!$B$9*4,IF(AND((核心参数输入!$B$10*核心参数输入!$B$11*核心参数输入!$B$12*核心参数输入!$B$143)&gt;0,41&gt;(核心参数输入!$B$16*4+(核心参数输入!$B$148))),核心参数输入!$B$47*(核心参数输入!$B$10*核心参数输入!$B$11*核心参数输入!$B$12*核心参数输入!$B$143)/MAX(1,核心参数输入!$B$108)*(1+核心参数输入!$B$48)^INT((41-(核心参数输入!$B$16*4+(核心参数输入!$B$148))-1)/4)/4,0),0)</f>
        <v>86.151425073695975</v>
      </c>
      <c r="AT37" s="9">
        <f>IF(42&lt;=核心参数输入!$B$9*4,IF(AND((核心参数输入!$B$10*核心参数输入!$B$11*核心参数输入!$B$12*核心参数输入!$B$143)&gt;0,42&gt;(核心参数输入!$B$16*4+(核心参数输入!$B$148))),核心参数输入!$B$47*(核心参数输入!$B$10*核心参数输入!$B$11*核心参数输入!$B$12*核心参数输入!$B$143)/MAX(1,核心参数输入!$B$108)*(1+核心参数输入!$B$48)^INT((42-(核心参数输入!$B$16*4+(核心参数输入!$B$148))-1)/4)/4,0),0)</f>
        <v>86.151425073695975</v>
      </c>
      <c r="AU37" s="9">
        <f>IF(43&lt;=核心参数输入!$B$9*4,IF(AND((核心参数输入!$B$10*核心参数输入!$B$11*核心参数输入!$B$12*核心参数输入!$B$143)&gt;0,43&gt;(核心参数输入!$B$16*4+(核心参数输入!$B$148))),核心参数输入!$B$47*(核心参数输入!$B$10*核心参数输入!$B$11*核心参数输入!$B$12*核心参数输入!$B$143)/MAX(1,核心参数输入!$B$108)*(1+核心参数输入!$B$48)^INT((43-(核心参数输入!$B$16*4+(核心参数输入!$B$148))-1)/4)/4,0),0)</f>
        <v>86.151425073695975</v>
      </c>
      <c r="AV37" s="9">
        <f>IF(44&lt;=核心参数输入!$B$9*4,IF(AND((核心参数输入!$B$10*核心参数输入!$B$11*核心参数输入!$B$12*核心参数输入!$B$143)&gt;0,44&gt;(核心参数输入!$B$16*4+(核心参数输入!$B$148))),核心参数输入!$B$47*(核心参数输入!$B$10*核心参数输入!$B$11*核心参数输入!$B$12*核心参数输入!$B$143)/MAX(1,核心参数输入!$B$108)*(1+核心参数输入!$B$48)^INT((44-(核心参数输入!$B$16*4+(核心参数输入!$B$148))-1)/4)/4,0),0)</f>
        <v>86.151425073695975</v>
      </c>
      <c r="AW37" s="9">
        <f>IF(45&lt;=核心参数输入!$B$9*4,IF(AND((核心参数输入!$B$10*核心参数输入!$B$11*核心参数输入!$B$12*核心参数输入!$B$143)&gt;0,45&gt;(核心参数输入!$B$16*4+(核心参数输入!$B$148))),核心参数输入!$B$47*(核心参数输入!$B$10*核心参数输入!$B$11*核心参数输入!$B$12*核心参数输入!$B$143)/MAX(1,核心参数输入!$B$108)*(1+核心参数输入!$B$48)^INT((45-(核心参数输入!$B$16*4+(核心参数输入!$B$148))-1)/4)/4,0),0)</f>
        <v>87.874453575169895</v>
      </c>
      <c r="AX37" s="9">
        <f>IF(46&lt;=核心参数输入!$B$9*4,IF(AND((核心参数输入!$B$10*核心参数输入!$B$11*核心参数输入!$B$12*核心参数输入!$B$143)&gt;0,46&gt;(核心参数输入!$B$16*4+(核心参数输入!$B$148))),核心参数输入!$B$47*(核心参数输入!$B$10*核心参数输入!$B$11*核心参数输入!$B$12*核心参数输入!$B$143)/MAX(1,核心参数输入!$B$108)*(1+核心参数输入!$B$48)^INT((46-(核心参数输入!$B$16*4+(核心参数输入!$B$148))-1)/4)/4,0),0)</f>
        <v>87.874453575169895</v>
      </c>
      <c r="AY37" s="9">
        <f>IF(47&lt;=核心参数输入!$B$9*4,IF(AND((核心参数输入!$B$10*核心参数输入!$B$11*核心参数输入!$B$12*核心参数输入!$B$143)&gt;0,47&gt;(核心参数输入!$B$16*4+(核心参数输入!$B$148))),核心参数输入!$B$47*(核心参数输入!$B$10*核心参数输入!$B$11*核心参数输入!$B$12*核心参数输入!$B$143)/MAX(1,核心参数输入!$B$108)*(1+核心参数输入!$B$48)^INT((47-(核心参数输入!$B$16*4+(核心参数输入!$B$148))-1)/4)/4,0),0)</f>
        <v>87.874453575169895</v>
      </c>
      <c r="AZ37" s="9">
        <f>IF(48&lt;=核心参数输入!$B$9*4,IF(AND((核心参数输入!$B$10*核心参数输入!$B$11*核心参数输入!$B$12*核心参数输入!$B$143)&gt;0,48&gt;(核心参数输入!$B$16*4+(核心参数输入!$B$148))),核心参数输入!$B$47*(核心参数输入!$B$10*核心参数输入!$B$11*核心参数输入!$B$12*核心参数输入!$B$143)/MAX(1,核心参数输入!$B$108)*(1+核心参数输入!$B$48)^INT((48-(核心参数输入!$B$16*4+(核心参数输入!$B$148))-1)/4)/4,0),0)</f>
        <v>87.874453575169895</v>
      </c>
      <c r="BA37" s="9">
        <f>IF(49&lt;=核心参数输入!$B$9*4,IF(AND((核心参数输入!$B$10*核心参数输入!$B$11*核心参数输入!$B$12*核心参数输入!$B$143)&gt;0,49&gt;(核心参数输入!$B$16*4+(核心参数输入!$B$148))),核心参数输入!$B$47*(核心参数输入!$B$10*核心参数输入!$B$11*核心参数输入!$B$12*核心参数输入!$B$143)/MAX(1,核心参数输入!$B$108)*(1+核心参数输入!$B$48)^INT((49-(核心参数输入!$B$16*4+(核心参数输入!$B$148))-1)/4)/4,0),0)</f>
        <v>89.631942646673295</v>
      </c>
      <c r="BB37" s="9">
        <f>IF(50&lt;=核心参数输入!$B$9*4,IF(AND((核心参数输入!$B$10*核心参数输入!$B$11*核心参数输入!$B$12*核心参数输入!$B$143)&gt;0,50&gt;(核心参数输入!$B$16*4+(核心参数输入!$B$148))),核心参数输入!$B$47*(核心参数输入!$B$10*核心参数输入!$B$11*核心参数输入!$B$12*核心参数输入!$B$143)/MAX(1,核心参数输入!$B$108)*(1+核心参数输入!$B$48)^INT((50-(核心参数输入!$B$16*4+(核心参数输入!$B$148))-1)/4)/4,0),0)</f>
        <v>89.631942646673295</v>
      </c>
      <c r="BC37" s="9">
        <f>IF(51&lt;=核心参数输入!$B$9*4,IF(AND((核心参数输入!$B$10*核心参数输入!$B$11*核心参数输入!$B$12*核心参数输入!$B$143)&gt;0,51&gt;(核心参数输入!$B$16*4+(核心参数输入!$B$148))),核心参数输入!$B$47*(核心参数输入!$B$10*核心参数输入!$B$11*核心参数输入!$B$12*核心参数输入!$B$143)/MAX(1,核心参数输入!$B$108)*(1+核心参数输入!$B$48)^INT((51-(核心参数输入!$B$16*4+(核心参数输入!$B$148))-1)/4)/4,0),0)</f>
        <v>89.631942646673295</v>
      </c>
      <c r="BD37" s="9">
        <f>IF(52&lt;=核心参数输入!$B$9*4,IF(AND((核心参数输入!$B$10*核心参数输入!$B$11*核心参数输入!$B$12*核心参数输入!$B$143)&gt;0,52&gt;(核心参数输入!$B$16*4+(核心参数输入!$B$148))),核心参数输入!$B$47*(核心参数输入!$B$10*核心参数输入!$B$11*核心参数输入!$B$12*核心参数输入!$B$143)/MAX(1,核心参数输入!$B$108)*(1+核心参数输入!$B$48)^INT((52-(核心参数输入!$B$16*4+(核心参数输入!$B$148))-1)/4)/4,0),0)</f>
        <v>89.631942646673295</v>
      </c>
      <c r="BE37" s="9">
        <f>IF(53&lt;=核心参数输入!$B$9*4,IF(AND((核心参数输入!$B$10*核心参数输入!$B$11*核心参数输入!$B$12*核心参数输入!$B$143)&gt;0,53&gt;(核心参数输入!$B$16*4+(核心参数输入!$B$148))),核心参数输入!$B$47*(核心参数输入!$B$10*核心参数输入!$B$11*核心参数输入!$B$12*核心参数输入!$B$143)/MAX(1,核心参数输入!$B$108)*(1+核心参数输入!$B$48)^INT((53-(核心参数输入!$B$16*4+(核心参数输入!$B$148))-1)/4)/4,0),0)</f>
        <v>91.424581499606759</v>
      </c>
      <c r="BF37" s="9">
        <f>IF(54&lt;=核心参数输入!$B$9*4,IF(AND((核心参数输入!$B$10*核心参数输入!$B$11*核心参数输入!$B$12*核心参数输入!$B$143)&gt;0,54&gt;(核心参数输入!$B$16*4+(核心参数输入!$B$148))),核心参数输入!$B$47*(核心参数输入!$B$10*核心参数输入!$B$11*核心参数输入!$B$12*核心参数输入!$B$143)/MAX(1,核心参数输入!$B$108)*(1+核心参数输入!$B$48)^INT((54-(核心参数输入!$B$16*4+(核心参数输入!$B$148))-1)/4)/4,0),0)</f>
        <v>91.424581499606759</v>
      </c>
      <c r="BG37" s="9">
        <f>IF(55&lt;=核心参数输入!$B$9*4,IF(AND((核心参数输入!$B$10*核心参数输入!$B$11*核心参数输入!$B$12*核心参数输入!$B$143)&gt;0,55&gt;(核心参数输入!$B$16*4+(核心参数输入!$B$148))),核心参数输入!$B$47*(核心参数输入!$B$10*核心参数输入!$B$11*核心参数输入!$B$12*核心参数输入!$B$143)/MAX(1,核心参数输入!$B$108)*(1+核心参数输入!$B$48)^INT((55-(核心参数输入!$B$16*4+(核心参数输入!$B$148))-1)/4)/4,0),0)</f>
        <v>91.424581499606759</v>
      </c>
      <c r="BH37" s="9">
        <f>IF(56&lt;=核心参数输入!$B$9*4,IF(AND((核心参数输入!$B$10*核心参数输入!$B$11*核心参数输入!$B$12*核心参数输入!$B$143)&gt;0,56&gt;(核心参数输入!$B$16*4+(核心参数输入!$B$148))),核心参数输入!$B$47*(核心参数输入!$B$10*核心参数输入!$B$11*核心参数输入!$B$12*核心参数输入!$B$143)/MAX(1,核心参数输入!$B$108)*(1+核心参数输入!$B$48)^INT((56-(核心参数输入!$B$16*4+(核心参数输入!$B$148))-1)/4)/4,0),0)</f>
        <v>91.424581499606759</v>
      </c>
      <c r="BI37" s="9">
        <f>IF(57&lt;=核心参数输入!$B$9*4,IF(AND((核心参数输入!$B$10*核心参数输入!$B$11*核心参数输入!$B$12*核心参数输入!$B$143)&gt;0,57&gt;(核心参数输入!$B$16*4+(核心参数输入!$B$148))),核心参数输入!$B$47*(核心参数输入!$B$10*核心参数输入!$B$11*核心参数输入!$B$12*核心参数输入!$B$143)/MAX(1,核心参数输入!$B$108)*(1+核心参数输入!$B$48)^INT((57-(核心参数输入!$B$16*4+(核心参数输入!$B$148))-1)/4)/4,0),0)</f>
        <v>93.253073129598889</v>
      </c>
      <c r="BJ37" s="9">
        <f>IF(58&lt;=核心参数输入!$B$9*4,IF(AND((核心参数输入!$B$10*核心参数输入!$B$11*核心参数输入!$B$12*核心参数输入!$B$143)&gt;0,58&gt;(核心参数输入!$B$16*4+(核心参数输入!$B$148))),核心参数输入!$B$47*(核心参数输入!$B$10*核心参数输入!$B$11*核心参数输入!$B$12*核心参数输入!$B$143)/MAX(1,核心参数输入!$B$108)*(1+核心参数输入!$B$48)^INT((58-(核心参数输入!$B$16*4+(核心参数输入!$B$148))-1)/4)/4,0),0)</f>
        <v>93.253073129598889</v>
      </c>
      <c r="BK37" s="9">
        <f>IF(59&lt;=核心参数输入!$B$9*4,IF(AND((核心参数输入!$B$10*核心参数输入!$B$11*核心参数输入!$B$12*核心参数输入!$B$143)&gt;0,59&gt;(核心参数输入!$B$16*4+(核心参数输入!$B$148))),核心参数输入!$B$47*(核心参数输入!$B$10*核心参数输入!$B$11*核心参数输入!$B$12*核心参数输入!$B$143)/MAX(1,核心参数输入!$B$108)*(1+核心参数输入!$B$48)^INT((59-(核心参数输入!$B$16*4+(核心参数输入!$B$148))-1)/4)/4,0),0)</f>
        <v>93.253073129598889</v>
      </c>
      <c r="BL37" s="9">
        <f>IF(60&lt;=核心参数输入!$B$9*4,IF(AND((核心参数输入!$B$10*核心参数输入!$B$11*核心参数输入!$B$12*核心参数输入!$B$143)&gt;0,60&gt;(核心参数输入!$B$16*4+(核心参数输入!$B$148))),核心参数输入!$B$47*(核心参数输入!$B$10*核心参数输入!$B$11*核心参数输入!$B$12*核心参数输入!$B$143)/MAX(1,核心参数输入!$B$108)*(1+核心参数输入!$B$48)^INT((60-(核心参数输入!$B$16*4+(核心参数输入!$B$148))-1)/4)/4,0),0)</f>
        <v>93.253073129598889</v>
      </c>
      <c r="BM37" s="9">
        <f>IF(61&lt;=核心参数输入!$B$9*4,IF(AND((核心参数输入!$B$10*核心参数输入!$B$11*核心参数输入!$B$12*核心参数输入!$B$143)&gt;0,61&gt;(核心参数输入!$B$16*4+(核心参数输入!$B$148))),核心参数输入!$B$47*(核心参数输入!$B$10*核心参数输入!$B$11*核心参数输入!$B$12*核心参数输入!$B$143)/MAX(1,核心参数输入!$B$108)*(1+核心参数输入!$B$48)^INT((61-(核心参数输入!$B$16*4+(核心参数输入!$B$148))-1)/4)/4,0),0)</f>
        <v>95.11813459219087</v>
      </c>
      <c r="BN37" s="9">
        <f>IF(62&lt;=核心参数输入!$B$9*4,IF(AND((核心参数输入!$B$10*核心参数输入!$B$11*核心参数输入!$B$12*核心参数输入!$B$143)&gt;0,62&gt;(核心参数输入!$B$16*4+(核心参数输入!$B$148))),核心参数输入!$B$47*(核心参数输入!$B$10*核心参数输入!$B$11*核心参数输入!$B$12*核心参数输入!$B$143)/MAX(1,核心参数输入!$B$108)*(1+核心参数输入!$B$48)^INT((62-(核心参数输入!$B$16*4+(核心参数输入!$B$148))-1)/4)/4,0),0)</f>
        <v>95.11813459219087</v>
      </c>
      <c r="BO37" s="9">
        <f>IF(63&lt;=核心参数输入!$B$9*4,IF(AND((核心参数输入!$B$10*核心参数输入!$B$11*核心参数输入!$B$12*核心参数输入!$B$143)&gt;0,63&gt;(核心参数输入!$B$16*4+(核心参数输入!$B$148))),核心参数输入!$B$47*(核心参数输入!$B$10*核心参数输入!$B$11*核心参数输入!$B$12*核心参数输入!$B$143)/MAX(1,核心参数输入!$B$108)*(1+核心参数输入!$B$48)^INT((63-(核心参数输入!$B$16*4+(核心参数输入!$B$148))-1)/4)/4,0),0)</f>
        <v>95.11813459219087</v>
      </c>
      <c r="BP37" s="9">
        <f>IF(64&lt;=核心参数输入!$B$9*4,IF(AND((核心参数输入!$B$10*核心参数输入!$B$11*核心参数输入!$B$12*核心参数输入!$B$143)&gt;0,64&gt;(核心参数输入!$B$16*4+(核心参数输入!$B$148))),核心参数输入!$B$47*(核心参数输入!$B$10*核心参数输入!$B$11*核心参数输入!$B$12*核心参数输入!$B$143)/MAX(1,核心参数输入!$B$108)*(1+核心参数输入!$B$48)^INT((64-(核心参数输入!$B$16*4+(核心参数输入!$B$148))-1)/4)/4,0),0)</f>
        <v>95.11813459219087</v>
      </c>
      <c r="BQ37" s="9">
        <f>IF(65&lt;=核心参数输入!$B$9*4,IF(AND((核心参数输入!$B$10*核心参数输入!$B$11*核心参数输入!$B$12*核心参数输入!$B$143)&gt;0,65&gt;(核心参数输入!$B$16*4+(核心参数输入!$B$148))),核心参数输入!$B$47*(核心参数输入!$B$10*核心参数输入!$B$11*核心参数输入!$B$12*核心参数输入!$B$143)/MAX(1,核心参数输入!$B$108)*(1+核心参数输入!$B$48)^INT((65-(核心参数输入!$B$16*4+(核心参数输入!$B$148))-1)/4)/4,0),0)</f>
        <v>97.02049728403469</v>
      </c>
      <c r="BR37" s="9">
        <f>IF(66&lt;=核心参数输入!$B$9*4,IF(AND((核心参数输入!$B$10*核心参数输入!$B$11*核心参数输入!$B$12*核心参数输入!$B$143)&gt;0,66&gt;(核心参数输入!$B$16*4+(核心参数输入!$B$148))),核心参数输入!$B$47*(核心参数输入!$B$10*核心参数输入!$B$11*核心参数输入!$B$12*核心参数输入!$B$143)/MAX(1,核心参数输入!$B$108)*(1+核心参数输入!$B$48)^INT((66-(核心参数输入!$B$16*4+(核心参数输入!$B$148))-1)/4)/4,0),0)</f>
        <v>97.02049728403469</v>
      </c>
      <c r="BS37" s="9">
        <f>IF(67&lt;=核心参数输入!$B$9*4,IF(AND((核心参数输入!$B$10*核心参数输入!$B$11*核心参数输入!$B$12*核心参数输入!$B$143)&gt;0,67&gt;(核心参数输入!$B$16*4+(核心参数输入!$B$148))),核心参数输入!$B$47*(核心参数输入!$B$10*核心参数输入!$B$11*核心参数输入!$B$12*核心参数输入!$B$143)/MAX(1,核心参数输入!$B$108)*(1+核心参数输入!$B$48)^INT((67-(核心参数输入!$B$16*4+(核心参数输入!$B$148))-1)/4)/4,0),0)</f>
        <v>97.02049728403469</v>
      </c>
      <c r="BT37" s="9">
        <f>IF(68&lt;=核心参数输入!$B$9*4,IF(AND((核心参数输入!$B$10*核心参数输入!$B$11*核心参数输入!$B$12*核心参数输入!$B$143)&gt;0,68&gt;(核心参数输入!$B$16*4+(核心参数输入!$B$148))),核心参数输入!$B$47*(核心参数输入!$B$10*核心参数输入!$B$11*核心参数输入!$B$12*核心参数输入!$B$143)/MAX(1,核心参数输入!$B$108)*(1+核心参数输入!$B$48)^INT((68-(核心参数输入!$B$16*4+(核心参数输入!$B$148))-1)/4)/4,0),0)</f>
        <v>97.02049728403469</v>
      </c>
      <c r="BU37" s="9">
        <f>IF(69&lt;=核心参数输入!$B$9*4,IF(AND((核心参数输入!$B$10*核心参数输入!$B$11*核心参数输入!$B$12*核心参数输入!$B$143)&gt;0,69&gt;(核心参数输入!$B$16*4+(核心参数输入!$B$148))),核心参数输入!$B$47*(核心参数输入!$B$10*核心参数输入!$B$11*核心参数输入!$B$12*核心参数输入!$B$143)/MAX(1,核心参数输入!$B$108)*(1+核心参数输入!$B$48)^INT((69-(核心参数输入!$B$16*4+(核心参数输入!$B$148))-1)/4)/4,0),0)</f>
        <v>98.960907229715389</v>
      </c>
      <c r="BV37" s="9">
        <f>IF(70&lt;=核心参数输入!$B$9*4,IF(AND((核心参数输入!$B$10*核心参数输入!$B$11*核心参数输入!$B$12*核心参数输入!$B$143)&gt;0,70&gt;(核心参数输入!$B$16*4+(核心参数输入!$B$148))),核心参数输入!$B$47*(核心参数输入!$B$10*核心参数输入!$B$11*核心参数输入!$B$12*核心参数输入!$B$143)/MAX(1,核心参数输入!$B$108)*(1+核心参数输入!$B$48)^INT((70-(核心参数输入!$B$16*4+(核心参数输入!$B$148))-1)/4)/4,0),0)</f>
        <v>98.960907229715389</v>
      </c>
      <c r="BW37" s="9">
        <f>IF(71&lt;=核心参数输入!$B$9*4,IF(AND((核心参数输入!$B$10*核心参数输入!$B$11*核心参数输入!$B$12*核心参数输入!$B$143)&gt;0,71&gt;(核心参数输入!$B$16*4+(核心参数输入!$B$148))),核心参数输入!$B$47*(核心参数输入!$B$10*核心参数输入!$B$11*核心参数输入!$B$12*核心参数输入!$B$143)/MAX(1,核心参数输入!$B$108)*(1+核心参数输入!$B$48)^INT((71-(核心参数输入!$B$16*4+(核心参数输入!$B$148))-1)/4)/4,0),0)</f>
        <v>98.960907229715389</v>
      </c>
      <c r="BX37" s="9">
        <f>IF(72&lt;=核心参数输入!$B$9*4,IF(AND((核心参数输入!$B$10*核心参数输入!$B$11*核心参数输入!$B$12*核心参数输入!$B$143)&gt;0,72&gt;(核心参数输入!$B$16*4+(核心参数输入!$B$148))),核心参数输入!$B$47*(核心参数输入!$B$10*核心参数输入!$B$11*核心参数输入!$B$12*核心参数输入!$B$143)/MAX(1,核心参数输入!$B$108)*(1+核心参数输入!$B$48)^INT((72-(核心参数输入!$B$16*4+(核心参数输入!$B$148))-1)/4)/4,0),0)</f>
        <v>98.960907229715389</v>
      </c>
      <c r="BY37" s="9">
        <f>IF(73&lt;=核心参数输入!$B$9*4,IF(AND((核心参数输入!$B$10*核心参数输入!$B$11*核心参数输入!$B$12*核心参数输入!$B$143)&gt;0,73&gt;(核心参数输入!$B$16*4+(核心参数输入!$B$148))),核心参数输入!$B$47*(核心参数输入!$B$10*核心参数输入!$B$11*核心参数输入!$B$12*核心参数输入!$B$143)/MAX(1,核心参数输入!$B$108)*(1+核心参数输入!$B$48)^INT((73-(核心参数输入!$B$16*4+(核心参数输入!$B$148))-1)/4)/4,0),0)</f>
        <v>100.94012537430967</v>
      </c>
      <c r="BZ37" s="9">
        <f>IF(74&lt;=核心参数输入!$B$9*4,IF(AND((核心参数输入!$B$10*核心参数输入!$B$11*核心参数输入!$B$12*核心参数输入!$B$143)&gt;0,74&gt;(核心参数输入!$B$16*4+(核心参数输入!$B$148))),核心参数输入!$B$47*(核心参数输入!$B$10*核心参数输入!$B$11*核心参数输入!$B$12*核心参数输入!$B$143)/MAX(1,核心参数输入!$B$108)*(1+核心参数输入!$B$48)^INT((74-(核心参数输入!$B$16*4+(核心参数输入!$B$148))-1)/4)/4,0),0)</f>
        <v>100.94012537430967</v>
      </c>
      <c r="CA37" s="9">
        <f>IF(75&lt;=核心参数输入!$B$9*4,IF(AND((核心参数输入!$B$10*核心参数输入!$B$11*核心参数输入!$B$12*核心参数输入!$B$143)&gt;0,75&gt;(核心参数输入!$B$16*4+(核心参数输入!$B$148))),核心参数输入!$B$47*(核心参数输入!$B$10*核心参数输入!$B$11*核心参数输入!$B$12*核心参数输入!$B$143)/MAX(1,核心参数输入!$B$108)*(1+核心参数输入!$B$48)^INT((75-(核心参数输入!$B$16*4+(核心参数输入!$B$148))-1)/4)/4,0),0)</f>
        <v>100.94012537430967</v>
      </c>
      <c r="CB37" s="9">
        <f>IF(76&lt;=核心参数输入!$B$9*4,IF(AND((核心参数输入!$B$10*核心参数输入!$B$11*核心参数输入!$B$12*核心参数输入!$B$143)&gt;0,76&gt;(核心参数输入!$B$16*4+(核心参数输入!$B$148))),核心参数输入!$B$47*(核心参数输入!$B$10*核心参数输入!$B$11*核心参数输入!$B$12*核心参数输入!$B$143)/MAX(1,核心参数输入!$B$108)*(1+核心参数输入!$B$48)^INT((76-(核心参数输入!$B$16*4+(核心参数输入!$B$148))-1)/4)/4,0),0)</f>
        <v>100.94012537430967</v>
      </c>
      <c r="CC37" s="9">
        <f>IF(77&lt;=核心参数输入!$B$9*4,IF(AND((核心参数输入!$B$10*核心参数输入!$B$11*核心参数输入!$B$12*核心参数输入!$B$143)&gt;0,77&gt;(核心参数输入!$B$16*4+(核心参数输入!$B$148))),核心参数输入!$B$47*(核心参数输入!$B$10*核心参数输入!$B$11*核心参数输入!$B$12*核心参数输入!$B$143)/MAX(1,核心参数输入!$B$108)*(1+核心参数输入!$B$48)^INT((77-(核心参数输入!$B$16*4+(核心参数输入!$B$148))-1)/4)/4,0),0)</f>
        <v>102.95892788179589</v>
      </c>
      <c r="CD37" s="9">
        <f>IF(78&lt;=核心参数输入!$B$9*4,IF(AND((核心参数输入!$B$10*核心参数输入!$B$11*核心参数输入!$B$12*核心参数输入!$B$143)&gt;0,78&gt;(核心参数输入!$B$16*4+(核心参数输入!$B$148))),核心参数输入!$B$47*(核心参数输入!$B$10*核心参数输入!$B$11*核心参数输入!$B$12*核心参数输入!$B$143)/MAX(1,核心参数输入!$B$108)*(1+核心参数输入!$B$48)^INT((78-(核心参数输入!$B$16*4+(核心参数输入!$B$148))-1)/4)/4,0),0)</f>
        <v>102.95892788179589</v>
      </c>
      <c r="CE37" s="9">
        <f>IF(79&lt;=核心参数输入!$B$9*4,IF(AND((核心参数输入!$B$10*核心参数输入!$B$11*核心参数输入!$B$12*核心参数输入!$B$143)&gt;0,79&gt;(核心参数输入!$B$16*4+(核心参数输入!$B$148))),核心参数输入!$B$47*(核心参数输入!$B$10*核心参数输入!$B$11*核心参数输入!$B$12*核心参数输入!$B$143)/MAX(1,核心参数输入!$B$108)*(1+核心参数输入!$B$48)^INT((79-(核心参数输入!$B$16*4+(核心参数输入!$B$148))-1)/4)/4,0),0)</f>
        <v>102.95892788179589</v>
      </c>
      <c r="CF37" s="9">
        <f>IF(80&lt;=核心参数输入!$B$9*4,IF(AND((核心参数输入!$B$10*核心参数输入!$B$11*核心参数输入!$B$12*核心参数输入!$B$143)&gt;0,80&gt;(核心参数输入!$B$16*4+(核心参数输入!$B$148))),核心参数输入!$B$47*(核心参数输入!$B$10*核心参数输入!$B$11*核心参数输入!$B$12*核心参数输入!$B$143)/MAX(1,核心参数输入!$B$108)*(1+核心参数输入!$B$48)^INT((80-(核心参数输入!$B$16*4+(核心参数输入!$B$148))-1)/4)/4,0),0)</f>
        <v>102.95892788179589</v>
      </c>
      <c r="CG37" s="9">
        <f>IF(81&lt;=核心参数输入!$B$9*4,IF(AND((核心参数输入!$B$10*核心参数输入!$B$11*核心参数输入!$B$12*核心参数输入!$B$143)&gt;0,81&gt;(核心参数输入!$B$16*4+(核心参数输入!$B$148))),核心参数输入!$B$47*(核心参数输入!$B$10*核心参数输入!$B$11*核心参数输入!$B$12*核心参数输入!$B$143)/MAX(1,核心参数输入!$B$108)*(1+核心参数输入!$B$48)^INT((81-(核心参数输入!$B$16*4+(核心参数输入!$B$148))-1)/4)/4,0),0)</f>
        <v>0</v>
      </c>
      <c r="CH37" s="9">
        <f>IF(82&lt;=核心参数输入!$B$9*4,IF(AND((核心参数输入!$B$10*核心参数输入!$B$11*核心参数输入!$B$12*核心参数输入!$B$143)&gt;0,82&gt;(核心参数输入!$B$16*4+(核心参数输入!$B$148))),核心参数输入!$B$47*(核心参数输入!$B$10*核心参数输入!$B$11*核心参数输入!$B$12*核心参数输入!$B$143)/MAX(1,核心参数输入!$B$108)*(1+核心参数输入!$B$48)^INT((82-(核心参数输入!$B$16*4+(核心参数输入!$B$148))-1)/4)/4,0),0)</f>
        <v>0</v>
      </c>
      <c r="CI37" s="9">
        <f>IF(83&lt;=核心参数输入!$B$9*4,IF(AND((核心参数输入!$B$10*核心参数输入!$B$11*核心参数输入!$B$12*核心参数输入!$B$143)&gt;0,83&gt;(核心参数输入!$B$16*4+(核心参数输入!$B$148))),核心参数输入!$B$47*(核心参数输入!$B$10*核心参数输入!$B$11*核心参数输入!$B$12*核心参数输入!$B$143)/MAX(1,核心参数输入!$B$108)*(1+核心参数输入!$B$48)^INT((83-(核心参数输入!$B$16*4+(核心参数输入!$B$148))-1)/4)/4,0),0)</f>
        <v>0</v>
      </c>
      <c r="CJ37" s="9">
        <f>IF(84&lt;=核心参数输入!$B$9*4,IF(AND((核心参数输入!$B$10*核心参数输入!$B$11*核心参数输入!$B$12*核心参数输入!$B$143)&gt;0,84&gt;(核心参数输入!$B$16*4+(核心参数输入!$B$148))),核心参数输入!$B$47*(核心参数输入!$B$10*核心参数输入!$B$11*核心参数输入!$B$12*核心参数输入!$B$143)/MAX(1,核心参数输入!$B$108)*(1+核心参数输入!$B$48)^INT((84-(核心参数输入!$B$16*4+(核心参数输入!$B$148))-1)/4)/4,0),0)</f>
        <v>0</v>
      </c>
      <c r="CK37" s="9">
        <f>IF(85&lt;=核心参数输入!$B$9*4,IF(AND((核心参数输入!$B$10*核心参数输入!$B$11*核心参数输入!$B$12*核心参数输入!$B$143)&gt;0,85&gt;(核心参数输入!$B$16*4+(核心参数输入!$B$148))),核心参数输入!$B$47*(核心参数输入!$B$10*核心参数输入!$B$11*核心参数输入!$B$12*核心参数输入!$B$143)/MAX(1,核心参数输入!$B$108)*(1+核心参数输入!$B$48)^INT((85-(核心参数输入!$B$16*4+(核心参数输入!$B$148))-1)/4)/4,0),0)</f>
        <v>0</v>
      </c>
      <c r="CL37" s="9">
        <f>IF(86&lt;=核心参数输入!$B$9*4,IF(AND((核心参数输入!$B$10*核心参数输入!$B$11*核心参数输入!$B$12*核心参数输入!$B$143)&gt;0,86&gt;(核心参数输入!$B$16*4+(核心参数输入!$B$148))),核心参数输入!$B$47*(核心参数输入!$B$10*核心参数输入!$B$11*核心参数输入!$B$12*核心参数输入!$B$143)/MAX(1,核心参数输入!$B$108)*(1+核心参数输入!$B$48)^INT((86-(核心参数输入!$B$16*4+(核心参数输入!$B$148))-1)/4)/4,0),0)</f>
        <v>0</v>
      </c>
      <c r="CM37" s="9">
        <f>IF(87&lt;=核心参数输入!$B$9*4,IF(AND((核心参数输入!$B$10*核心参数输入!$B$11*核心参数输入!$B$12*核心参数输入!$B$143)&gt;0,87&gt;(核心参数输入!$B$16*4+(核心参数输入!$B$148))),核心参数输入!$B$47*(核心参数输入!$B$10*核心参数输入!$B$11*核心参数输入!$B$12*核心参数输入!$B$143)/MAX(1,核心参数输入!$B$108)*(1+核心参数输入!$B$48)^INT((87-(核心参数输入!$B$16*4+(核心参数输入!$B$148))-1)/4)/4,0),0)</f>
        <v>0</v>
      </c>
      <c r="CN37" s="9">
        <f>IF(88&lt;=核心参数输入!$B$9*4,IF(AND((核心参数输入!$B$10*核心参数输入!$B$11*核心参数输入!$B$12*核心参数输入!$B$143)&gt;0,88&gt;(核心参数输入!$B$16*4+(核心参数输入!$B$148))),核心参数输入!$B$47*(核心参数输入!$B$10*核心参数输入!$B$11*核心参数输入!$B$12*核心参数输入!$B$143)/MAX(1,核心参数输入!$B$108)*(1+核心参数输入!$B$48)^INT((88-(核心参数输入!$B$16*4+(核心参数输入!$B$148))-1)/4)/4,0),0)</f>
        <v>0</v>
      </c>
      <c r="CO37" s="9">
        <f>IF(89&lt;=核心参数输入!$B$9*4,IF(AND((核心参数输入!$B$10*核心参数输入!$B$11*核心参数输入!$B$12*核心参数输入!$B$143)&gt;0,89&gt;(核心参数输入!$B$16*4+(核心参数输入!$B$148))),核心参数输入!$B$47*(核心参数输入!$B$10*核心参数输入!$B$11*核心参数输入!$B$12*核心参数输入!$B$143)/MAX(1,核心参数输入!$B$108)*(1+核心参数输入!$B$48)^INT((89-(核心参数输入!$B$16*4+(核心参数输入!$B$148))-1)/4)/4,0),0)</f>
        <v>0</v>
      </c>
      <c r="CP37" s="9">
        <f>IF(90&lt;=核心参数输入!$B$9*4,IF(AND((核心参数输入!$B$10*核心参数输入!$B$11*核心参数输入!$B$12*核心参数输入!$B$143)&gt;0,90&gt;(核心参数输入!$B$16*4+(核心参数输入!$B$148))),核心参数输入!$B$47*(核心参数输入!$B$10*核心参数输入!$B$11*核心参数输入!$B$12*核心参数输入!$B$143)/MAX(1,核心参数输入!$B$108)*(1+核心参数输入!$B$48)^INT((90-(核心参数输入!$B$16*4+(核心参数输入!$B$148))-1)/4)/4,0),0)</f>
        <v>0</v>
      </c>
      <c r="CQ37" s="9">
        <f>IF(91&lt;=核心参数输入!$B$9*4,IF(AND((核心参数输入!$B$10*核心参数输入!$B$11*核心参数输入!$B$12*核心参数输入!$B$143)&gt;0,91&gt;(核心参数输入!$B$16*4+(核心参数输入!$B$148))),核心参数输入!$B$47*(核心参数输入!$B$10*核心参数输入!$B$11*核心参数输入!$B$12*核心参数输入!$B$143)/MAX(1,核心参数输入!$B$108)*(1+核心参数输入!$B$48)^INT((91-(核心参数输入!$B$16*4+(核心参数输入!$B$148))-1)/4)/4,0),0)</f>
        <v>0</v>
      </c>
      <c r="CR37" s="9">
        <f>IF(92&lt;=核心参数输入!$B$9*4,IF(AND((核心参数输入!$B$10*核心参数输入!$B$11*核心参数输入!$B$12*核心参数输入!$B$143)&gt;0,92&gt;(核心参数输入!$B$16*4+(核心参数输入!$B$148))),核心参数输入!$B$47*(核心参数输入!$B$10*核心参数输入!$B$11*核心参数输入!$B$12*核心参数输入!$B$143)/MAX(1,核心参数输入!$B$108)*(1+核心参数输入!$B$48)^INT((92-(核心参数输入!$B$16*4+(核心参数输入!$B$148))-1)/4)/4,0),0)</f>
        <v>0</v>
      </c>
      <c r="CS37" s="9">
        <f>IF(93&lt;=核心参数输入!$B$9*4,IF(AND((核心参数输入!$B$10*核心参数输入!$B$11*核心参数输入!$B$12*核心参数输入!$B$143)&gt;0,93&gt;(核心参数输入!$B$16*4+(核心参数输入!$B$148))),核心参数输入!$B$47*(核心参数输入!$B$10*核心参数输入!$B$11*核心参数输入!$B$12*核心参数输入!$B$143)/MAX(1,核心参数输入!$B$108)*(1+核心参数输入!$B$48)^INT((93-(核心参数输入!$B$16*4+(核心参数输入!$B$148))-1)/4)/4,0),0)</f>
        <v>0</v>
      </c>
      <c r="CT37" s="9">
        <f>IF(94&lt;=核心参数输入!$B$9*4,IF(AND((核心参数输入!$B$10*核心参数输入!$B$11*核心参数输入!$B$12*核心参数输入!$B$143)&gt;0,94&gt;(核心参数输入!$B$16*4+(核心参数输入!$B$148))),核心参数输入!$B$47*(核心参数输入!$B$10*核心参数输入!$B$11*核心参数输入!$B$12*核心参数输入!$B$143)/MAX(1,核心参数输入!$B$108)*(1+核心参数输入!$B$48)^INT((94-(核心参数输入!$B$16*4+(核心参数输入!$B$148))-1)/4)/4,0),0)</f>
        <v>0</v>
      </c>
      <c r="CU37" s="9">
        <f>IF(95&lt;=核心参数输入!$B$9*4,IF(AND((核心参数输入!$B$10*核心参数输入!$B$11*核心参数输入!$B$12*核心参数输入!$B$143)&gt;0,95&gt;(核心参数输入!$B$16*4+(核心参数输入!$B$148))),核心参数输入!$B$47*(核心参数输入!$B$10*核心参数输入!$B$11*核心参数输入!$B$12*核心参数输入!$B$143)/MAX(1,核心参数输入!$B$108)*(1+核心参数输入!$B$48)^INT((95-(核心参数输入!$B$16*4+(核心参数输入!$B$148))-1)/4)/4,0),0)</f>
        <v>0</v>
      </c>
      <c r="CV37" s="9">
        <f>IF(96&lt;=核心参数输入!$B$9*4,IF(AND((核心参数输入!$B$10*核心参数输入!$B$11*核心参数输入!$B$12*核心参数输入!$B$143)&gt;0,96&gt;(核心参数输入!$B$16*4+(核心参数输入!$B$148))),核心参数输入!$B$47*(核心参数输入!$B$10*核心参数输入!$B$11*核心参数输入!$B$12*核心参数输入!$B$143)/MAX(1,核心参数输入!$B$108)*(1+核心参数输入!$B$48)^INT((96-(核心参数输入!$B$16*4+(核心参数输入!$B$148))-1)/4)/4,0),0)</f>
        <v>0</v>
      </c>
      <c r="CW37" s="9">
        <f>IF(97&lt;=核心参数输入!$B$9*4,IF(AND((核心参数输入!$B$10*核心参数输入!$B$11*核心参数输入!$B$12*核心参数输入!$B$143)&gt;0,97&gt;(核心参数输入!$B$16*4+(核心参数输入!$B$148))),核心参数输入!$B$47*(核心参数输入!$B$10*核心参数输入!$B$11*核心参数输入!$B$12*核心参数输入!$B$143)/MAX(1,核心参数输入!$B$108)*(1+核心参数输入!$B$48)^INT((97-(核心参数输入!$B$16*4+(核心参数输入!$B$148))-1)/4)/4,0),0)</f>
        <v>0</v>
      </c>
      <c r="CX37" s="9">
        <f>IF(98&lt;=核心参数输入!$B$9*4,IF(AND((核心参数输入!$B$10*核心参数输入!$B$11*核心参数输入!$B$12*核心参数输入!$B$143)&gt;0,98&gt;(核心参数输入!$B$16*4+(核心参数输入!$B$148))),核心参数输入!$B$47*(核心参数输入!$B$10*核心参数输入!$B$11*核心参数输入!$B$12*核心参数输入!$B$143)/MAX(1,核心参数输入!$B$108)*(1+核心参数输入!$B$48)^INT((98-(核心参数输入!$B$16*4+(核心参数输入!$B$148))-1)/4)/4,0),0)</f>
        <v>0</v>
      </c>
      <c r="CY37" s="9">
        <f>IF(99&lt;=核心参数输入!$B$9*4,IF(AND((核心参数输入!$B$10*核心参数输入!$B$11*核心参数输入!$B$12*核心参数输入!$B$143)&gt;0,99&gt;(核心参数输入!$B$16*4+(核心参数输入!$B$148))),核心参数输入!$B$47*(核心参数输入!$B$10*核心参数输入!$B$11*核心参数输入!$B$12*核心参数输入!$B$143)/MAX(1,核心参数输入!$B$108)*(1+核心参数输入!$B$48)^INT((99-(核心参数输入!$B$16*4+(核心参数输入!$B$148))-1)/4)/4,0),0)</f>
        <v>0</v>
      </c>
      <c r="CZ37" s="9">
        <f>IF(100&lt;=核心参数输入!$B$9*4,IF(AND((核心参数输入!$B$10*核心参数输入!$B$11*核心参数输入!$B$12*核心参数输入!$B$143)&gt;0,100&gt;(核心参数输入!$B$16*4+(核心参数输入!$B$148))),核心参数输入!$B$47*(核心参数输入!$B$10*核心参数输入!$B$11*核心参数输入!$B$12*核心参数输入!$B$143)/MAX(1,核心参数输入!$B$108)*(1+核心参数输入!$B$48)^INT((100-(核心参数输入!$B$16*4+(核心参数输入!$B$148))-1)/4)/4,0),0)</f>
        <v>0</v>
      </c>
      <c r="DA37" s="9">
        <f>IF(101&lt;=核心参数输入!$B$9*4,IF(AND((核心参数输入!$B$10*核心参数输入!$B$11*核心参数输入!$B$12*核心参数输入!$B$143)&gt;0,101&gt;(核心参数输入!$B$16*4+(核心参数输入!$B$148))),核心参数输入!$B$47*(核心参数输入!$B$10*核心参数输入!$B$11*核心参数输入!$B$12*核心参数输入!$B$143)/MAX(1,核心参数输入!$B$108)*(1+核心参数输入!$B$48)^INT((101-(核心参数输入!$B$16*4+(核心参数输入!$B$148))-1)/4)/4,0),0)</f>
        <v>0</v>
      </c>
      <c r="DB37" s="9">
        <f>IF(102&lt;=核心参数输入!$B$9*4,IF(AND((核心参数输入!$B$10*核心参数输入!$B$11*核心参数输入!$B$12*核心参数输入!$B$143)&gt;0,102&gt;(核心参数输入!$B$16*4+(核心参数输入!$B$148))),核心参数输入!$B$47*(核心参数输入!$B$10*核心参数输入!$B$11*核心参数输入!$B$12*核心参数输入!$B$143)/MAX(1,核心参数输入!$B$108)*(1+核心参数输入!$B$48)^INT((102-(核心参数输入!$B$16*4+(核心参数输入!$B$148))-1)/4)/4,0),0)</f>
        <v>0</v>
      </c>
      <c r="DC37" s="9">
        <f>IF(103&lt;=核心参数输入!$B$9*4,IF(AND((核心参数输入!$B$10*核心参数输入!$B$11*核心参数输入!$B$12*核心参数输入!$B$143)&gt;0,103&gt;(核心参数输入!$B$16*4+(核心参数输入!$B$148))),核心参数输入!$B$47*(核心参数输入!$B$10*核心参数输入!$B$11*核心参数输入!$B$12*核心参数输入!$B$143)/MAX(1,核心参数输入!$B$108)*(1+核心参数输入!$B$48)^INT((103-(核心参数输入!$B$16*4+(核心参数输入!$B$148))-1)/4)/4,0),0)</f>
        <v>0</v>
      </c>
      <c r="DD37" s="9">
        <f>IF(104&lt;=核心参数输入!$B$9*4,IF(AND((核心参数输入!$B$10*核心参数输入!$B$11*核心参数输入!$B$12*核心参数输入!$B$143)&gt;0,104&gt;(核心参数输入!$B$16*4+(核心参数输入!$B$148))),核心参数输入!$B$47*(核心参数输入!$B$10*核心参数输入!$B$11*核心参数输入!$B$12*核心参数输入!$B$143)/MAX(1,核心参数输入!$B$108)*(1+核心参数输入!$B$48)^INT((104-(核心参数输入!$B$16*4+(核心参数输入!$B$148))-1)/4)/4,0),0)</f>
        <v>0</v>
      </c>
      <c r="DE37" s="9">
        <f>IF(105&lt;=核心参数输入!$B$9*4,IF(AND((核心参数输入!$B$10*核心参数输入!$B$11*核心参数输入!$B$12*核心参数输入!$B$143)&gt;0,105&gt;(核心参数输入!$B$16*4+(核心参数输入!$B$148))),核心参数输入!$B$47*(核心参数输入!$B$10*核心参数输入!$B$11*核心参数输入!$B$12*核心参数输入!$B$143)/MAX(1,核心参数输入!$B$108)*(1+核心参数输入!$B$48)^INT((105-(核心参数输入!$B$16*4+(核心参数输入!$B$148))-1)/4)/4,0),0)</f>
        <v>0</v>
      </c>
      <c r="DF37" s="9">
        <f>IF(106&lt;=核心参数输入!$B$9*4,IF(AND((核心参数输入!$B$10*核心参数输入!$B$11*核心参数输入!$B$12*核心参数输入!$B$143)&gt;0,106&gt;(核心参数输入!$B$16*4+(核心参数输入!$B$148))),核心参数输入!$B$47*(核心参数输入!$B$10*核心参数输入!$B$11*核心参数输入!$B$12*核心参数输入!$B$143)/MAX(1,核心参数输入!$B$108)*(1+核心参数输入!$B$48)^INT((106-(核心参数输入!$B$16*4+(核心参数输入!$B$148))-1)/4)/4,0),0)</f>
        <v>0</v>
      </c>
      <c r="DG37" s="9">
        <f>IF(107&lt;=核心参数输入!$B$9*4,IF(AND((核心参数输入!$B$10*核心参数输入!$B$11*核心参数输入!$B$12*核心参数输入!$B$143)&gt;0,107&gt;(核心参数输入!$B$16*4+(核心参数输入!$B$148))),核心参数输入!$B$47*(核心参数输入!$B$10*核心参数输入!$B$11*核心参数输入!$B$12*核心参数输入!$B$143)/MAX(1,核心参数输入!$B$108)*(1+核心参数输入!$B$48)^INT((107-(核心参数输入!$B$16*4+(核心参数输入!$B$148))-1)/4)/4,0),0)</f>
        <v>0</v>
      </c>
      <c r="DH37" s="9">
        <f>IF(108&lt;=核心参数输入!$B$9*4,IF(AND((核心参数输入!$B$10*核心参数输入!$B$11*核心参数输入!$B$12*核心参数输入!$B$143)&gt;0,108&gt;(核心参数输入!$B$16*4+(核心参数输入!$B$148))),核心参数输入!$B$47*(核心参数输入!$B$10*核心参数输入!$B$11*核心参数输入!$B$12*核心参数输入!$B$143)/MAX(1,核心参数输入!$B$108)*(1+核心参数输入!$B$48)^INT((108-(核心参数输入!$B$16*4+(核心参数输入!$B$148))-1)/4)/4,0),0)</f>
        <v>0</v>
      </c>
      <c r="DI37" s="9">
        <f>IF(109&lt;=核心参数输入!$B$9*4,IF(AND((核心参数输入!$B$10*核心参数输入!$B$11*核心参数输入!$B$12*核心参数输入!$B$143)&gt;0,109&gt;(核心参数输入!$B$16*4+(核心参数输入!$B$148))),核心参数输入!$B$47*(核心参数输入!$B$10*核心参数输入!$B$11*核心参数输入!$B$12*核心参数输入!$B$143)/MAX(1,核心参数输入!$B$108)*(1+核心参数输入!$B$48)^INT((109-(核心参数输入!$B$16*4+(核心参数输入!$B$148))-1)/4)/4,0),0)</f>
        <v>0</v>
      </c>
      <c r="DJ37" s="9">
        <f>IF(110&lt;=核心参数输入!$B$9*4,IF(AND((核心参数输入!$B$10*核心参数输入!$B$11*核心参数输入!$B$12*核心参数输入!$B$143)&gt;0,110&gt;(核心参数输入!$B$16*4+(核心参数输入!$B$148))),核心参数输入!$B$47*(核心参数输入!$B$10*核心参数输入!$B$11*核心参数输入!$B$12*核心参数输入!$B$143)/MAX(1,核心参数输入!$B$108)*(1+核心参数输入!$B$48)^INT((110-(核心参数输入!$B$16*4+(核心参数输入!$B$148))-1)/4)/4,0),0)</f>
        <v>0</v>
      </c>
      <c r="DK37" s="9">
        <f>IF(111&lt;=核心参数输入!$B$9*4,IF(AND((核心参数输入!$B$10*核心参数输入!$B$11*核心参数输入!$B$12*核心参数输入!$B$143)&gt;0,111&gt;(核心参数输入!$B$16*4+(核心参数输入!$B$148))),核心参数输入!$B$47*(核心参数输入!$B$10*核心参数输入!$B$11*核心参数输入!$B$12*核心参数输入!$B$143)/MAX(1,核心参数输入!$B$108)*(1+核心参数输入!$B$48)^INT((111-(核心参数输入!$B$16*4+(核心参数输入!$B$148))-1)/4)/4,0),0)</f>
        <v>0</v>
      </c>
      <c r="DL37" s="9">
        <f>IF(112&lt;=核心参数输入!$B$9*4,IF(AND((核心参数输入!$B$10*核心参数输入!$B$11*核心参数输入!$B$12*核心参数输入!$B$143)&gt;0,112&gt;(核心参数输入!$B$16*4+(核心参数输入!$B$148))),核心参数输入!$B$47*(核心参数输入!$B$10*核心参数输入!$B$11*核心参数输入!$B$12*核心参数输入!$B$143)/MAX(1,核心参数输入!$B$108)*(1+核心参数输入!$B$48)^INT((112-(核心参数输入!$B$16*4+(核心参数输入!$B$148))-1)/4)/4,0),0)</f>
        <v>0</v>
      </c>
      <c r="DM37" s="9">
        <f>IF(113&lt;=核心参数输入!$B$9*4,IF(AND((核心参数输入!$B$10*核心参数输入!$B$11*核心参数输入!$B$12*核心参数输入!$B$143)&gt;0,113&gt;(核心参数输入!$B$16*4+(核心参数输入!$B$148))),核心参数输入!$B$47*(核心参数输入!$B$10*核心参数输入!$B$11*核心参数输入!$B$12*核心参数输入!$B$143)/MAX(1,核心参数输入!$B$108)*(1+核心参数输入!$B$48)^INT((113-(核心参数输入!$B$16*4+(核心参数输入!$B$148))-1)/4)/4,0),0)</f>
        <v>0</v>
      </c>
      <c r="DN37" s="9">
        <f>IF(114&lt;=核心参数输入!$B$9*4,IF(AND((核心参数输入!$B$10*核心参数输入!$B$11*核心参数输入!$B$12*核心参数输入!$B$143)&gt;0,114&gt;(核心参数输入!$B$16*4+(核心参数输入!$B$148))),核心参数输入!$B$47*(核心参数输入!$B$10*核心参数输入!$B$11*核心参数输入!$B$12*核心参数输入!$B$143)/MAX(1,核心参数输入!$B$108)*(1+核心参数输入!$B$48)^INT((114-(核心参数输入!$B$16*4+(核心参数输入!$B$148))-1)/4)/4,0),0)</f>
        <v>0</v>
      </c>
      <c r="DO37" s="9">
        <f>IF(115&lt;=核心参数输入!$B$9*4,IF(AND((核心参数输入!$B$10*核心参数输入!$B$11*核心参数输入!$B$12*核心参数输入!$B$143)&gt;0,115&gt;(核心参数输入!$B$16*4+(核心参数输入!$B$148))),核心参数输入!$B$47*(核心参数输入!$B$10*核心参数输入!$B$11*核心参数输入!$B$12*核心参数输入!$B$143)/MAX(1,核心参数输入!$B$108)*(1+核心参数输入!$B$48)^INT((115-(核心参数输入!$B$16*4+(核心参数输入!$B$148))-1)/4)/4,0),0)</f>
        <v>0</v>
      </c>
      <c r="DP37" s="9">
        <f>IF(116&lt;=核心参数输入!$B$9*4,IF(AND((核心参数输入!$B$10*核心参数输入!$B$11*核心参数输入!$B$12*核心参数输入!$B$143)&gt;0,116&gt;(核心参数输入!$B$16*4+(核心参数输入!$B$148))),核心参数输入!$B$47*(核心参数输入!$B$10*核心参数输入!$B$11*核心参数输入!$B$12*核心参数输入!$B$143)/MAX(1,核心参数输入!$B$108)*(1+核心参数输入!$B$48)^INT((116-(核心参数输入!$B$16*4+(核心参数输入!$B$148))-1)/4)/4,0),0)</f>
        <v>0</v>
      </c>
      <c r="DQ37" s="9">
        <f>IF(117&lt;=核心参数输入!$B$9*4,IF(AND((核心参数输入!$B$10*核心参数输入!$B$11*核心参数输入!$B$12*核心参数输入!$B$143)&gt;0,117&gt;(核心参数输入!$B$16*4+(核心参数输入!$B$148))),核心参数输入!$B$47*(核心参数输入!$B$10*核心参数输入!$B$11*核心参数输入!$B$12*核心参数输入!$B$143)/MAX(1,核心参数输入!$B$108)*(1+核心参数输入!$B$48)^INT((117-(核心参数输入!$B$16*4+(核心参数输入!$B$148))-1)/4)/4,0),0)</f>
        <v>0</v>
      </c>
      <c r="DR37" s="9">
        <f>IF(118&lt;=核心参数输入!$B$9*4,IF(AND((核心参数输入!$B$10*核心参数输入!$B$11*核心参数输入!$B$12*核心参数输入!$B$143)&gt;0,118&gt;(核心参数输入!$B$16*4+(核心参数输入!$B$148))),核心参数输入!$B$47*(核心参数输入!$B$10*核心参数输入!$B$11*核心参数输入!$B$12*核心参数输入!$B$143)/MAX(1,核心参数输入!$B$108)*(1+核心参数输入!$B$48)^INT((118-(核心参数输入!$B$16*4+(核心参数输入!$B$148))-1)/4)/4,0),0)</f>
        <v>0</v>
      </c>
      <c r="DS37" s="9">
        <f>IF(119&lt;=核心参数输入!$B$9*4,IF(AND((核心参数输入!$B$10*核心参数输入!$B$11*核心参数输入!$B$12*核心参数输入!$B$143)&gt;0,119&gt;(核心参数输入!$B$16*4+(核心参数输入!$B$148))),核心参数输入!$B$47*(核心参数输入!$B$10*核心参数输入!$B$11*核心参数输入!$B$12*核心参数输入!$B$143)/MAX(1,核心参数输入!$B$108)*(1+核心参数输入!$B$48)^INT((119-(核心参数输入!$B$16*4+(核心参数输入!$B$148))-1)/4)/4,0),0)</f>
        <v>0</v>
      </c>
      <c r="DT37" s="9">
        <f>IF(120&lt;=核心参数输入!$B$9*4,IF(AND((核心参数输入!$B$10*核心参数输入!$B$11*核心参数输入!$B$12*核心参数输入!$B$143)&gt;0,120&gt;(核心参数输入!$B$16*4+(核心参数输入!$B$148))),核心参数输入!$B$47*(核心参数输入!$B$10*核心参数输入!$B$11*核心参数输入!$B$12*核心参数输入!$B$143)/MAX(1,核心参数输入!$B$108)*(1+核心参数输入!$B$48)^INT((120-(核心参数输入!$B$16*4+(核心参数输入!$B$148))-1)/4)/4,0),0)</f>
        <v>0</v>
      </c>
    </row>
    <row r="38" spans="1:124" ht="21" customHeight="1">
      <c r="A38" s="8" t="s">
        <v>470</v>
      </c>
      <c r="B38" s="8" t="s">
        <v>39</v>
      </c>
      <c r="C38" s="8"/>
      <c r="D38" s="9">
        <f>IF(0&lt;=核心参数输入!$B$9*4,(D33-D24)*核心参数输入!$B$49,0)</f>
        <v>0</v>
      </c>
      <c r="E38" s="9">
        <f>IF(1&lt;=核心参数输入!$B$9*4,(E33-E24)*核心参数输入!$B$49,0)</f>
        <v>0</v>
      </c>
      <c r="F38" s="9">
        <f>IF(2&lt;=核心参数输入!$B$9*4,(F33-F24)*核心参数输入!$B$49,0)</f>
        <v>0</v>
      </c>
      <c r="G38" s="9">
        <f>IF(3&lt;=核心参数输入!$B$9*4,(G33-G24)*核心参数输入!$B$49,0)</f>
        <v>0</v>
      </c>
      <c r="H38" s="9">
        <f>IF(4&lt;=核心参数输入!$B$9*4,(H33-H24)*核心参数输入!$B$49,0)</f>
        <v>0</v>
      </c>
      <c r="I38" s="9">
        <f>IF(5&lt;=核心参数输入!$B$9*4,(I33-I24)*核心参数输入!$B$49,0)</f>
        <v>0</v>
      </c>
      <c r="J38" s="9">
        <f>IF(6&lt;=核心参数输入!$B$9*4,(J33-J24)*核心参数输入!$B$49,0)</f>
        <v>0</v>
      </c>
      <c r="K38" s="9">
        <f>IF(7&lt;=核心参数输入!$B$9*4,(K33-K24)*核心参数输入!$B$49,0)</f>
        <v>0</v>
      </c>
      <c r="L38" s="9">
        <f>IF(8&lt;=核心参数输入!$B$9*4,(L33-L24)*核心参数输入!$B$49,0)</f>
        <v>0</v>
      </c>
      <c r="M38" s="9">
        <f>IF(9&lt;=核心参数输入!$B$9*4,(M33-M24)*核心参数输入!$B$49,0)</f>
        <v>0</v>
      </c>
      <c r="N38" s="9">
        <f>IF(10&lt;=核心参数输入!$B$9*4,(N33-N24)*核心参数输入!$B$49,0)</f>
        <v>0</v>
      </c>
      <c r="O38" s="9">
        <f>IF(11&lt;=核心参数输入!$B$9*4,(O33-O24)*核心参数输入!$B$49,0)</f>
        <v>0</v>
      </c>
      <c r="P38" s="9">
        <f>IF(12&lt;=核心参数输入!$B$9*4,(P33-P24)*核心参数输入!$B$49,0)</f>
        <v>0</v>
      </c>
      <c r="Q38" s="9">
        <f>IF(13&lt;=核心参数输入!$B$9*4,(Q33-Q24)*核心参数输入!$B$49,0)</f>
        <v>0</v>
      </c>
      <c r="R38" s="9">
        <f>IF(14&lt;=核心参数输入!$B$9*4,(R33-R24)*核心参数输入!$B$49,0)</f>
        <v>3.6569373749999992</v>
      </c>
      <c r="S38" s="9">
        <f>IF(15&lt;=核心参数输入!$B$9*4,(S33-S24)*核心参数输入!$B$49,0)</f>
        <v>10.970812124999997</v>
      </c>
      <c r="T38" s="9">
        <f>IF(16&lt;=核心参数输入!$B$9*4,(T33-T24)*核心参数输入!$B$49,0)</f>
        <v>18.284686874999995</v>
      </c>
      <c r="U38" s="9">
        <f>IF(17&lt;=核心参数输入!$B$9*4,(U33-U24)*核心参数输入!$B$49,0)</f>
        <v>25.982540049374993</v>
      </c>
      <c r="V38" s="9">
        <f>IF(18&lt;=核心参数输入!$B$9*4,(V33-V24)*核心参数输入!$B$49,0)</f>
        <v>31.17904805925</v>
      </c>
      <c r="W38" s="9">
        <f>IF(19&lt;=核心参数输入!$B$9*4,(W33-W24)*核心参数输入!$B$49,0)</f>
        <v>34.148481207749988</v>
      </c>
      <c r="X38" s="9">
        <f>IF(20&lt;=核心参数输入!$B$9*4,(X33-X24)*核心参数输入!$B$49,0)</f>
        <v>37.117914356249983</v>
      </c>
      <c r="Y38" s="9">
        <f>IF(21&lt;=核心参数输入!$B$9*4,(Y33-Y24)*核心参数输入!$B$49,0)</f>
        <v>40.688657717321227</v>
      </c>
      <c r="Z38" s="9">
        <f>IF(22&lt;=核心参数输入!$B$9*4,(Z33-Z24)*核心参数输入!$B$49,0)</f>
        <v>43.325885532332791</v>
      </c>
      <c r="AA38" s="9">
        <f>IF(23&lt;=核心参数输入!$B$9*4,(AA33-AA24)*核心参数输入!$B$49,0)</f>
        <v>45.586366516628416</v>
      </c>
      <c r="AB38" s="9">
        <f>IF(24&lt;=核心参数输入!$B$9*4,(AB33-AB24)*核心参数输入!$B$49,0)</f>
        <v>47.846847500924042</v>
      </c>
      <c r="AC38" s="9">
        <f>IF(25&lt;=核心参数输入!$B$9*4,(AC33-AC24)*核心参数输入!$B$49,0)</f>
        <v>50.85893841249797</v>
      </c>
      <c r="AD38" s="9">
        <f>IF(26&lt;=核心参数输入!$B$9*4,(AD33-AD24)*核心参数输入!$B$49,0)</f>
        <v>52.388530545204659</v>
      </c>
      <c r="AE38" s="9">
        <f>IF(27&lt;=核心参数输入!$B$9*4,(AE33-AE24)*核心参数输入!$B$49,0)</f>
        <v>53.153326611558015</v>
      </c>
      <c r="AF38" s="9">
        <f>IF(28&lt;=核心参数输入!$B$9*4,(AF33-AF24)*核心参数输入!$B$49,0)</f>
        <v>53.918122677911363</v>
      </c>
      <c r="AG38" s="9">
        <f>IF(29&lt;=核心参数输入!$B$9*4,(AG33-AG24)*核心参数输入!$B$49,0)</f>
        <v>55.503162525428678</v>
      </c>
      <c r="AH38" s="9">
        <f>IF(30&lt;=核心参数输入!$B$9*4,(AH33-AH24)*核心参数输入!$B$49,0)</f>
        <v>55.891296529103009</v>
      </c>
      <c r="AI38" s="9">
        <f>IF(31&lt;=核心参数输入!$B$9*4,(AI33-AI24)*核心参数输入!$B$49,0)</f>
        <v>55.891296529103009</v>
      </c>
      <c r="AJ38" s="9">
        <f>IF(32&lt;=核心参数输入!$B$9*4,(AJ33-AJ24)*核心参数输入!$B$49,0)</f>
        <v>55.891296529103009</v>
      </c>
      <c r="AK38" s="9">
        <f>IF(33&lt;=核心参数输入!$B$9*4,(AK33-AK24)*核心参数输入!$B$49,0)</f>
        <v>56.729665977039545</v>
      </c>
      <c r="AL38" s="9">
        <f>IF(34&lt;=核心参数输入!$B$9*4,(AL33-AL24)*核心参数输入!$B$49,0)</f>
        <v>56.729665977039545</v>
      </c>
      <c r="AM38" s="9">
        <f>IF(35&lt;=核心参数输入!$B$9*4,(AM33-AM24)*核心参数输入!$B$49,0)</f>
        <v>56.729665977039545</v>
      </c>
      <c r="AN38" s="9">
        <f>IF(36&lt;=核心参数输入!$B$9*4,(AN33-AN24)*核心参数输入!$B$49,0)</f>
        <v>56.729665977039545</v>
      </c>
      <c r="AO38" s="9">
        <f>IF(37&lt;=核心参数输入!$B$9*4,(AO33-AO24)*核心参数输入!$B$49,0)</f>
        <v>57.580610966695126</v>
      </c>
      <c r="AP38" s="9">
        <f>IF(38&lt;=核心参数输入!$B$9*4,(AP33-AP24)*核心参数输入!$B$49,0)</f>
        <v>57.580610966695126</v>
      </c>
      <c r="AQ38" s="9">
        <f>IF(39&lt;=核心参数输入!$B$9*4,(AQ33-AQ24)*核心参数输入!$B$49,0)</f>
        <v>57.580610966695126</v>
      </c>
      <c r="AR38" s="9">
        <f>IF(40&lt;=核心参数输入!$B$9*4,(AR33-AR24)*核心参数输入!$B$49,0)</f>
        <v>57.580610966695126</v>
      </c>
      <c r="AS38" s="9">
        <f>IF(41&lt;=核心参数输入!$B$9*4,(AS33-AS24)*核心参数输入!$B$49,0)</f>
        <v>58.444320131195546</v>
      </c>
      <c r="AT38" s="9">
        <f>IF(42&lt;=核心参数输入!$B$9*4,(AT33-AT24)*核心参数输入!$B$49,0)</f>
        <v>58.444320131195546</v>
      </c>
      <c r="AU38" s="9">
        <f>IF(43&lt;=核心参数输入!$B$9*4,(AU33-AU24)*核心参数输入!$B$49,0)</f>
        <v>58.444320131195546</v>
      </c>
      <c r="AV38" s="9">
        <f>IF(44&lt;=核心参数输入!$B$9*4,(AV33-AV24)*核心参数输入!$B$49,0)</f>
        <v>58.444320131195546</v>
      </c>
      <c r="AW38" s="9">
        <f>IF(45&lt;=核心参数输入!$B$9*4,(AW33-AW24)*核心参数输入!$B$49,0)</f>
        <v>59.320984933163473</v>
      </c>
      <c r="AX38" s="9">
        <f>IF(46&lt;=核心参数输入!$B$9*4,(AX33-AX24)*核心参数输入!$B$49,0)</f>
        <v>59.320984933163473</v>
      </c>
      <c r="AY38" s="9">
        <f>IF(47&lt;=核心参数输入!$B$9*4,(AY33-AY24)*核心参数输入!$B$49,0)</f>
        <v>59.320984933163473</v>
      </c>
      <c r="AZ38" s="9">
        <f>IF(48&lt;=核心参数输入!$B$9*4,(AZ33-AZ24)*核心参数输入!$B$49,0)</f>
        <v>59.320984933163473</v>
      </c>
      <c r="BA38" s="9">
        <f>IF(49&lt;=核心参数输入!$B$9*4,(BA33-BA24)*核心参数输入!$B$49,0)</f>
        <v>60.210799707160916</v>
      </c>
      <c r="BB38" s="9">
        <f>IF(50&lt;=核心参数输入!$B$9*4,(BB33-BB24)*核心参数输入!$B$49,0)</f>
        <v>60.210799707160916</v>
      </c>
      <c r="BC38" s="9">
        <f>IF(51&lt;=核心参数输入!$B$9*4,(BC33-BC24)*核心参数输入!$B$49,0)</f>
        <v>60.210799707160916</v>
      </c>
      <c r="BD38" s="9">
        <f>IF(52&lt;=核心参数输入!$B$9*4,(BD33-BD24)*核心参数输入!$B$49,0)</f>
        <v>60.210799707160916</v>
      </c>
      <c r="BE38" s="9">
        <f>IF(53&lt;=核心参数输入!$B$9*4,(BE33-BE24)*核心参数输入!$B$49,0)</f>
        <v>61.113961702768322</v>
      </c>
      <c r="BF38" s="9">
        <f>IF(54&lt;=核心参数输入!$B$9*4,(BF33-BF24)*核心参数输入!$B$49,0)</f>
        <v>61.113961702768322</v>
      </c>
      <c r="BG38" s="9">
        <f>IF(55&lt;=核心参数输入!$B$9*4,(BG33-BG24)*核心参数输入!$B$49,0)</f>
        <v>61.113961702768322</v>
      </c>
      <c r="BH38" s="9">
        <f>IF(56&lt;=核心参数输入!$B$9*4,(BH33-BH24)*核心参数输入!$B$49,0)</f>
        <v>61.113961702768322</v>
      </c>
      <c r="BI38" s="9">
        <f>IF(57&lt;=核心参数输入!$B$9*4,(BI33-BI24)*核心参数输入!$B$49,0)</f>
        <v>62.030671128309848</v>
      </c>
      <c r="BJ38" s="9">
        <f>IF(58&lt;=核心参数输入!$B$9*4,(BJ33-BJ24)*核心参数输入!$B$49,0)</f>
        <v>62.030671128309848</v>
      </c>
      <c r="BK38" s="9">
        <f>IF(59&lt;=核心参数输入!$B$9*4,(BK33-BK24)*核心参数输入!$B$49,0)</f>
        <v>62.030671128309848</v>
      </c>
      <c r="BL38" s="9">
        <f>IF(60&lt;=核心参数输入!$B$9*4,(BL33-BL24)*核心参数输入!$B$49,0)</f>
        <v>62.030671128309848</v>
      </c>
      <c r="BM38" s="9">
        <f>IF(61&lt;=核心参数输入!$B$9*4,(BM33-BM24)*核心参数输入!$B$49,0)</f>
        <v>62.961131195234472</v>
      </c>
      <c r="BN38" s="9">
        <f>IF(62&lt;=核心参数输入!$B$9*4,(BN33-BN24)*核心参数输入!$B$49,0)</f>
        <v>62.961131195234472</v>
      </c>
      <c r="BO38" s="9">
        <f>IF(63&lt;=核心参数输入!$B$9*4,(BO33-BO24)*核心参数输入!$B$49,0)</f>
        <v>62.961131195234472</v>
      </c>
      <c r="BP38" s="9">
        <f>IF(64&lt;=核心参数输入!$B$9*4,(BP33-BP24)*核心参数输入!$B$49,0)</f>
        <v>62.961131195234472</v>
      </c>
      <c r="BQ38" s="9">
        <f>IF(65&lt;=核心参数输入!$B$9*4,(BQ33-BQ24)*核心参数输入!$B$49,0)</f>
        <v>63.905548163162997</v>
      </c>
      <c r="BR38" s="9">
        <f>IF(66&lt;=核心参数输入!$B$9*4,(BR33-BR24)*核心参数输入!$B$49,0)</f>
        <v>63.905548163162997</v>
      </c>
      <c r="BS38" s="9">
        <f>IF(67&lt;=核心参数输入!$B$9*4,(BS33-BS24)*核心参数输入!$B$49,0)</f>
        <v>63.905548163162997</v>
      </c>
      <c r="BT38" s="9">
        <f>IF(68&lt;=核心参数输入!$B$9*4,(BT33-BT24)*核心参数输入!$B$49,0)</f>
        <v>63.905548163162997</v>
      </c>
      <c r="BU38" s="9">
        <f>IF(69&lt;=核心参数输入!$B$9*4,(BU33-BU24)*核心参数输入!$B$49,0)</f>
        <v>64.864131385610435</v>
      </c>
      <c r="BV38" s="9">
        <f>IF(70&lt;=核心参数输入!$B$9*4,(BV33-BV24)*核心参数输入!$B$49,0)</f>
        <v>64.864131385610435</v>
      </c>
      <c r="BW38" s="9">
        <f>IF(71&lt;=核心参数输入!$B$9*4,(BW33-BW24)*核心参数输入!$B$49,0)</f>
        <v>64.864131385610435</v>
      </c>
      <c r="BX38" s="9">
        <f>IF(72&lt;=核心参数输入!$B$9*4,(BX33-BX24)*核心参数输入!$B$49,0)</f>
        <v>64.864131385610435</v>
      </c>
      <c r="BY38" s="9">
        <f>IF(73&lt;=核心参数输入!$B$9*4,(BY33-BY24)*核心参数输入!$B$49,0)</f>
        <v>65.837093356394561</v>
      </c>
      <c r="BZ38" s="9">
        <f>IF(74&lt;=核心参数输入!$B$9*4,(BZ33-BZ24)*核心参数输入!$B$49,0)</f>
        <v>65.837093356394561</v>
      </c>
      <c r="CA38" s="9">
        <f>IF(75&lt;=核心参数输入!$B$9*4,(CA33-CA24)*核心参数输入!$B$49,0)</f>
        <v>65.837093356394561</v>
      </c>
      <c r="CB38" s="9">
        <f>IF(76&lt;=核心参数输入!$B$9*4,(CB33-CB24)*核心参数输入!$B$49,0)</f>
        <v>65.837093356394561</v>
      </c>
      <c r="CC38" s="9">
        <f>IF(77&lt;=核心参数输入!$B$9*4,(CC33-CC24)*核心参数输入!$B$49,0)</f>
        <v>66.82464975674047</v>
      </c>
      <c r="CD38" s="9">
        <f>IF(78&lt;=核心参数输入!$B$9*4,(CD33-CD24)*核心参数输入!$B$49,0)</f>
        <v>66.82464975674047</v>
      </c>
      <c r="CE38" s="9">
        <f>IF(79&lt;=核心参数输入!$B$9*4,(CE33-CE24)*核心参数输入!$B$49,0)</f>
        <v>66.82464975674047</v>
      </c>
      <c r="CF38" s="9">
        <f>IF(80&lt;=核心参数输入!$B$9*4,(CF33-CF24)*核心参数输入!$B$49,0)</f>
        <v>66.82464975674047</v>
      </c>
      <c r="CG38" s="9">
        <f>IF(81&lt;=核心参数输入!$B$9*4,(CG33-CG24)*核心参数输入!$B$49,0)</f>
        <v>0</v>
      </c>
      <c r="CH38" s="9">
        <f>IF(82&lt;=核心参数输入!$B$9*4,(CH33-CH24)*核心参数输入!$B$49,0)</f>
        <v>0</v>
      </c>
      <c r="CI38" s="9">
        <f>IF(83&lt;=核心参数输入!$B$9*4,(CI33-CI24)*核心参数输入!$B$49,0)</f>
        <v>0</v>
      </c>
      <c r="CJ38" s="9">
        <f>IF(84&lt;=核心参数输入!$B$9*4,(CJ33-CJ24)*核心参数输入!$B$49,0)</f>
        <v>0</v>
      </c>
      <c r="CK38" s="9">
        <f>IF(85&lt;=核心参数输入!$B$9*4,(CK33-CK24)*核心参数输入!$B$49,0)</f>
        <v>0</v>
      </c>
      <c r="CL38" s="9">
        <f>IF(86&lt;=核心参数输入!$B$9*4,(CL33-CL24)*核心参数输入!$B$49,0)</f>
        <v>0</v>
      </c>
      <c r="CM38" s="9">
        <f>IF(87&lt;=核心参数输入!$B$9*4,(CM33-CM24)*核心参数输入!$B$49,0)</f>
        <v>0</v>
      </c>
      <c r="CN38" s="9">
        <f>IF(88&lt;=核心参数输入!$B$9*4,(CN33-CN24)*核心参数输入!$B$49,0)</f>
        <v>0</v>
      </c>
      <c r="CO38" s="9">
        <f>IF(89&lt;=核心参数输入!$B$9*4,(CO33-CO24)*核心参数输入!$B$49,0)</f>
        <v>0</v>
      </c>
      <c r="CP38" s="9">
        <f>IF(90&lt;=核心参数输入!$B$9*4,(CP33-CP24)*核心参数输入!$B$49,0)</f>
        <v>0</v>
      </c>
      <c r="CQ38" s="9">
        <f>IF(91&lt;=核心参数输入!$B$9*4,(CQ33-CQ24)*核心参数输入!$B$49,0)</f>
        <v>0</v>
      </c>
      <c r="CR38" s="9">
        <f>IF(92&lt;=核心参数输入!$B$9*4,(CR33-CR24)*核心参数输入!$B$49,0)</f>
        <v>0</v>
      </c>
      <c r="CS38" s="9">
        <f>IF(93&lt;=核心参数输入!$B$9*4,(CS33-CS24)*核心参数输入!$B$49,0)</f>
        <v>0</v>
      </c>
      <c r="CT38" s="9">
        <f>IF(94&lt;=核心参数输入!$B$9*4,(CT33-CT24)*核心参数输入!$B$49,0)</f>
        <v>0</v>
      </c>
      <c r="CU38" s="9">
        <f>IF(95&lt;=核心参数输入!$B$9*4,(CU33-CU24)*核心参数输入!$B$49,0)</f>
        <v>0</v>
      </c>
      <c r="CV38" s="9">
        <f>IF(96&lt;=核心参数输入!$B$9*4,(CV33-CV24)*核心参数输入!$B$49,0)</f>
        <v>0</v>
      </c>
      <c r="CW38" s="9">
        <f>IF(97&lt;=核心参数输入!$B$9*4,(CW33-CW24)*核心参数输入!$B$49,0)</f>
        <v>0</v>
      </c>
      <c r="CX38" s="9">
        <f>IF(98&lt;=核心参数输入!$B$9*4,(CX33-CX24)*核心参数输入!$B$49,0)</f>
        <v>0</v>
      </c>
      <c r="CY38" s="9">
        <f>IF(99&lt;=核心参数输入!$B$9*4,(CY33-CY24)*核心参数输入!$B$49,0)</f>
        <v>0</v>
      </c>
      <c r="CZ38" s="9">
        <f>IF(100&lt;=核心参数输入!$B$9*4,(CZ33-CZ24)*核心参数输入!$B$49,0)</f>
        <v>0</v>
      </c>
      <c r="DA38" s="9">
        <f>IF(101&lt;=核心参数输入!$B$9*4,(DA33-DA24)*核心参数输入!$B$49,0)</f>
        <v>0</v>
      </c>
      <c r="DB38" s="9">
        <f>IF(102&lt;=核心参数输入!$B$9*4,(DB33-DB24)*核心参数输入!$B$49,0)</f>
        <v>0</v>
      </c>
      <c r="DC38" s="9">
        <f>IF(103&lt;=核心参数输入!$B$9*4,(DC33-DC24)*核心参数输入!$B$49,0)</f>
        <v>0</v>
      </c>
      <c r="DD38" s="9">
        <f>IF(104&lt;=核心参数输入!$B$9*4,(DD33-DD24)*核心参数输入!$B$49,0)</f>
        <v>0</v>
      </c>
      <c r="DE38" s="9">
        <f>IF(105&lt;=核心参数输入!$B$9*4,(DE33-DE24)*核心参数输入!$B$49,0)</f>
        <v>0</v>
      </c>
      <c r="DF38" s="9">
        <f>IF(106&lt;=核心参数输入!$B$9*4,(DF33-DF24)*核心参数输入!$B$49,0)</f>
        <v>0</v>
      </c>
      <c r="DG38" s="9">
        <f>IF(107&lt;=核心参数输入!$B$9*4,(DG33-DG24)*核心参数输入!$B$49,0)</f>
        <v>0</v>
      </c>
      <c r="DH38" s="9">
        <f>IF(108&lt;=核心参数输入!$B$9*4,(DH33-DH24)*核心参数输入!$B$49,0)</f>
        <v>0</v>
      </c>
      <c r="DI38" s="9">
        <f>IF(109&lt;=核心参数输入!$B$9*4,(DI33-DI24)*核心参数输入!$B$49,0)</f>
        <v>0</v>
      </c>
      <c r="DJ38" s="9">
        <f>IF(110&lt;=核心参数输入!$B$9*4,(DJ33-DJ24)*核心参数输入!$B$49,0)</f>
        <v>0</v>
      </c>
      <c r="DK38" s="9">
        <f>IF(111&lt;=核心参数输入!$B$9*4,(DK33-DK24)*核心参数输入!$B$49,0)</f>
        <v>0</v>
      </c>
      <c r="DL38" s="9">
        <f>IF(112&lt;=核心参数输入!$B$9*4,(DL33-DL24)*核心参数输入!$B$49,0)</f>
        <v>0</v>
      </c>
      <c r="DM38" s="9">
        <f>IF(113&lt;=核心参数输入!$B$9*4,(DM33-DM24)*核心参数输入!$B$49,0)</f>
        <v>0</v>
      </c>
      <c r="DN38" s="9">
        <f>IF(114&lt;=核心参数输入!$B$9*4,(DN33-DN24)*核心参数输入!$B$49,0)</f>
        <v>0</v>
      </c>
      <c r="DO38" s="9">
        <f>IF(115&lt;=核心参数输入!$B$9*4,(DO33-DO24)*核心参数输入!$B$49,0)</f>
        <v>0</v>
      </c>
      <c r="DP38" s="9">
        <f>IF(116&lt;=核心参数输入!$B$9*4,(DP33-DP24)*核心参数输入!$B$49,0)</f>
        <v>0</v>
      </c>
      <c r="DQ38" s="9">
        <f>IF(117&lt;=核心参数输入!$B$9*4,(DQ33-DQ24)*核心参数输入!$B$49,0)</f>
        <v>0</v>
      </c>
      <c r="DR38" s="9">
        <f>IF(118&lt;=核心参数输入!$B$9*4,(DR33-DR24)*核心参数输入!$B$49,0)</f>
        <v>0</v>
      </c>
      <c r="DS38" s="9">
        <f>IF(119&lt;=核心参数输入!$B$9*4,(DS33-DS24)*核心参数输入!$B$49,0)</f>
        <v>0</v>
      </c>
      <c r="DT38" s="9">
        <f>IF(120&lt;=核心参数输入!$B$9*4,(DT33-DT24)*核心参数输入!$B$49,0)</f>
        <v>0</v>
      </c>
    </row>
    <row r="39" spans="1:124" ht="21" customHeight="1">
      <c r="A39" s="8" t="s">
        <v>471</v>
      </c>
      <c r="B39" s="8" t="s">
        <v>39</v>
      </c>
      <c r="C39" s="8"/>
      <c r="D39" s="9">
        <f>IF(0&lt;=核心参数输入!$B$9*4,IF(AND((核心参数输入!$B$10*核心参数输入!$B$11*核心参数输入!$B$12*核心参数输入!$B$143)&gt;0,0&gt;(核心参数输入!$B$16*4+(核心参数输入!$B$148))),核心参数输入!$B$50*(核心参数输入!$B$10*核心参数输入!$B$11*核心参数输入!$B$12*核心参数输入!$B$143)/MAX(1,核心参数输入!$B$108)/4+IF(0=核心参数输入!$B$116*4,核心参数输入!$B$117,0),0),0)</f>
        <v>0</v>
      </c>
      <c r="E39" s="9">
        <f>IF(1&lt;=核心参数输入!$B$9*4,IF(AND((核心参数输入!$B$10*核心参数输入!$B$11*核心参数输入!$B$12*核心参数输入!$B$143)&gt;0,1&gt;(核心参数输入!$B$16*4+(核心参数输入!$B$148))),核心参数输入!$B$50*(核心参数输入!$B$10*核心参数输入!$B$11*核心参数输入!$B$12*核心参数输入!$B$143)/MAX(1,核心参数输入!$B$108)/4+IF(1=核心参数输入!$B$116*4,核心参数输入!$B$117,0),0),0)</f>
        <v>0</v>
      </c>
      <c r="F39" s="9">
        <f>IF(2&lt;=核心参数输入!$B$9*4,IF(AND((核心参数输入!$B$10*核心参数输入!$B$11*核心参数输入!$B$12*核心参数输入!$B$143)&gt;0,2&gt;(核心参数输入!$B$16*4+(核心参数输入!$B$148))),核心参数输入!$B$50*(核心参数输入!$B$10*核心参数输入!$B$11*核心参数输入!$B$12*核心参数输入!$B$143)/MAX(1,核心参数输入!$B$108)/4+IF(2=核心参数输入!$B$116*4,核心参数输入!$B$117,0),0),0)</f>
        <v>0</v>
      </c>
      <c r="G39" s="9">
        <f>IF(3&lt;=核心参数输入!$B$9*4,IF(AND((核心参数输入!$B$10*核心参数输入!$B$11*核心参数输入!$B$12*核心参数输入!$B$143)&gt;0,3&gt;(核心参数输入!$B$16*4+(核心参数输入!$B$148))),核心参数输入!$B$50*(核心参数输入!$B$10*核心参数输入!$B$11*核心参数输入!$B$12*核心参数输入!$B$143)/MAX(1,核心参数输入!$B$108)/4+IF(3=核心参数输入!$B$116*4,核心参数输入!$B$117,0),0),0)</f>
        <v>0</v>
      </c>
      <c r="H39" s="9">
        <f>IF(4&lt;=核心参数输入!$B$9*4,IF(AND((核心参数输入!$B$10*核心参数输入!$B$11*核心参数输入!$B$12*核心参数输入!$B$143)&gt;0,4&gt;(核心参数输入!$B$16*4+(核心参数输入!$B$148))),核心参数输入!$B$50*(核心参数输入!$B$10*核心参数输入!$B$11*核心参数输入!$B$12*核心参数输入!$B$143)/MAX(1,核心参数输入!$B$108)/4+IF(4=核心参数输入!$B$116*4,核心参数输入!$B$117,0),0),0)</f>
        <v>0</v>
      </c>
      <c r="I39" s="9">
        <f>IF(5&lt;=核心参数输入!$B$9*4,IF(AND((核心参数输入!$B$10*核心参数输入!$B$11*核心参数输入!$B$12*核心参数输入!$B$143)&gt;0,5&gt;(核心参数输入!$B$16*4+(核心参数输入!$B$148))),核心参数输入!$B$50*(核心参数输入!$B$10*核心参数输入!$B$11*核心参数输入!$B$12*核心参数输入!$B$143)/MAX(1,核心参数输入!$B$108)/4+IF(5=核心参数输入!$B$116*4,核心参数输入!$B$117,0),0),0)</f>
        <v>0</v>
      </c>
      <c r="J39" s="9">
        <f>IF(6&lt;=核心参数输入!$B$9*4,IF(AND((核心参数输入!$B$10*核心参数输入!$B$11*核心参数输入!$B$12*核心参数输入!$B$143)&gt;0,6&gt;(核心参数输入!$B$16*4+(核心参数输入!$B$148))),核心参数输入!$B$50*(核心参数输入!$B$10*核心参数输入!$B$11*核心参数输入!$B$12*核心参数输入!$B$143)/MAX(1,核心参数输入!$B$108)/4+IF(6=核心参数输入!$B$116*4,核心参数输入!$B$117,0),0),0)</f>
        <v>0</v>
      </c>
      <c r="K39" s="9">
        <f>IF(7&lt;=核心参数输入!$B$9*4,IF(AND((核心参数输入!$B$10*核心参数输入!$B$11*核心参数输入!$B$12*核心参数输入!$B$143)&gt;0,7&gt;(核心参数输入!$B$16*4+(核心参数输入!$B$148))),核心参数输入!$B$50*(核心参数输入!$B$10*核心参数输入!$B$11*核心参数输入!$B$12*核心参数输入!$B$143)/MAX(1,核心参数输入!$B$108)/4+IF(7=核心参数输入!$B$116*4,核心参数输入!$B$117,0),0),0)</f>
        <v>0</v>
      </c>
      <c r="L39" s="9">
        <f>IF(8&lt;=核心参数输入!$B$9*4,IF(AND((核心参数输入!$B$10*核心参数输入!$B$11*核心参数输入!$B$12*核心参数输入!$B$143)&gt;0,8&gt;(核心参数输入!$B$16*4+(核心参数输入!$B$148))),核心参数输入!$B$50*(核心参数输入!$B$10*核心参数输入!$B$11*核心参数输入!$B$12*核心参数输入!$B$143)/MAX(1,核心参数输入!$B$108)/4+IF(8=核心参数输入!$B$116*4,核心参数输入!$B$117,0),0),0)</f>
        <v>0</v>
      </c>
      <c r="M39" s="9">
        <f>IF(9&lt;=核心参数输入!$B$9*4,IF(AND((核心参数输入!$B$10*核心参数输入!$B$11*核心参数输入!$B$12*核心参数输入!$B$143)&gt;0,9&gt;(核心参数输入!$B$16*4+(核心参数输入!$B$148))),核心参数输入!$B$50*(核心参数输入!$B$10*核心参数输入!$B$11*核心参数输入!$B$12*核心参数输入!$B$143)/MAX(1,核心参数输入!$B$108)/4+IF(9=核心参数输入!$B$116*4,核心参数输入!$B$117,0),0),0)</f>
        <v>0</v>
      </c>
      <c r="N39" s="9">
        <f>IF(10&lt;=核心参数输入!$B$9*4,IF(AND((核心参数输入!$B$10*核心参数输入!$B$11*核心参数输入!$B$12*核心参数输入!$B$143)&gt;0,10&gt;(核心参数输入!$B$16*4+(核心参数输入!$B$148))),核心参数输入!$B$50*(核心参数输入!$B$10*核心参数输入!$B$11*核心参数输入!$B$12*核心参数输入!$B$143)/MAX(1,核心参数输入!$B$108)/4+IF(10=核心参数输入!$B$116*4,核心参数输入!$B$117,0),0),0)</f>
        <v>0</v>
      </c>
      <c r="O39" s="9">
        <f>IF(11&lt;=核心参数输入!$B$9*4,IF(AND((核心参数输入!$B$10*核心参数输入!$B$11*核心参数输入!$B$12*核心参数输入!$B$143)&gt;0,11&gt;(核心参数输入!$B$16*4+(核心参数输入!$B$148))),核心参数输入!$B$50*(核心参数输入!$B$10*核心参数输入!$B$11*核心参数输入!$B$12*核心参数输入!$B$143)/MAX(1,核心参数输入!$B$108)/4+IF(11=核心参数输入!$B$116*4,核心参数输入!$B$117,0),0),0)</f>
        <v>0</v>
      </c>
      <c r="P39" s="9">
        <f>IF(12&lt;=核心参数输入!$B$9*4,IF(AND((核心参数输入!$B$10*核心参数输入!$B$11*核心参数输入!$B$12*核心参数输入!$B$143)&gt;0,12&gt;(核心参数输入!$B$16*4+(核心参数输入!$B$148))),核心参数输入!$B$50*(核心参数输入!$B$10*核心参数输入!$B$11*核心参数输入!$B$12*核心参数输入!$B$143)/MAX(1,核心参数输入!$B$108)/4+IF(12=核心参数输入!$B$116*4,核心参数输入!$B$117,0),0),0)</f>
        <v>0</v>
      </c>
      <c r="Q39" s="9">
        <f>IF(13&lt;=核心参数输入!$B$9*4,IF(AND((核心参数输入!$B$10*核心参数输入!$B$11*核心参数输入!$B$12*核心参数输入!$B$143)&gt;0,13&gt;(核心参数输入!$B$16*4+(核心参数输入!$B$148))),核心参数输入!$B$50*(核心参数输入!$B$10*核心参数输入!$B$11*核心参数输入!$B$12*核心参数输入!$B$143)/MAX(1,核心参数输入!$B$108)/4+IF(13=核心参数输入!$B$116*4,核心参数输入!$B$117,0),0),0)</f>
        <v>44.999999999999993</v>
      </c>
      <c r="R39" s="9">
        <f>IF(14&lt;=核心参数输入!$B$9*4,IF(AND((核心参数输入!$B$10*核心参数输入!$B$11*核心参数输入!$B$12*核心参数输入!$B$143)&gt;0,14&gt;(核心参数输入!$B$16*4+(核心参数输入!$B$148))),核心参数输入!$B$50*(核心参数输入!$B$10*核心参数输入!$B$11*核心参数输入!$B$12*核心参数输入!$B$143)/MAX(1,核心参数输入!$B$108)/4+IF(14=核心参数输入!$B$116*4,核心参数输入!$B$117,0),0),0)</f>
        <v>44.999999999999993</v>
      </c>
      <c r="S39" s="9">
        <f>IF(15&lt;=核心参数输入!$B$9*4,IF(AND((核心参数输入!$B$10*核心参数输入!$B$11*核心参数输入!$B$12*核心参数输入!$B$143)&gt;0,15&gt;(核心参数输入!$B$16*4+(核心参数输入!$B$148))),核心参数输入!$B$50*(核心参数输入!$B$10*核心参数输入!$B$11*核心参数输入!$B$12*核心参数输入!$B$143)/MAX(1,核心参数输入!$B$108)/4+IF(15=核心参数输入!$B$116*4,核心参数输入!$B$117,0),0),0)</f>
        <v>44.999999999999993</v>
      </c>
      <c r="T39" s="9">
        <f>IF(16&lt;=核心参数输入!$B$9*4,IF(AND((核心参数输入!$B$10*核心参数输入!$B$11*核心参数输入!$B$12*核心参数输入!$B$143)&gt;0,16&gt;(核心参数输入!$B$16*4+(核心参数输入!$B$148))),核心参数输入!$B$50*(核心参数输入!$B$10*核心参数输入!$B$11*核心参数输入!$B$12*核心参数输入!$B$143)/MAX(1,核心参数输入!$B$108)/4+IF(16=核心参数输入!$B$116*4,核心参数输入!$B$117,0),0),0)</f>
        <v>44.999999999999993</v>
      </c>
      <c r="U39" s="9">
        <f>IF(17&lt;=核心参数输入!$B$9*4,IF(AND((核心参数输入!$B$10*核心参数输入!$B$11*核心参数输入!$B$12*核心参数输入!$B$143)&gt;0,17&gt;(核心参数输入!$B$16*4+(核心参数输入!$B$148))),核心参数输入!$B$50*(核心参数输入!$B$10*核心参数输入!$B$11*核心参数输入!$B$12*核心参数输入!$B$143)/MAX(1,核心参数输入!$B$108)/4+IF(17=核心参数输入!$B$116*4,核心参数输入!$B$117,0),0),0)</f>
        <v>44.999999999999993</v>
      </c>
      <c r="V39" s="9">
        <f>IF(18&lt;=核心参数输入!$B$9*4,IF(AND((核心参数输入!$B$10*核心参数输入!$B$11*核心参数输入!$B$12*核心参数输入!$B$143)&gt;0,18&gt;(核心参数输入!$B$16*4+(核心参数输入!$B$148))),核心参数输入!$B$50*(核心参数输入!$B$10*核心参数输入!$B$11*核心参数输入!$B$12*核心参数输入!$B$143)/MAX(1,核心参数输入!$B$108)/4+IF(18=核心参数输入!$B$116*4,核心参数输入!$B$117,0),0),0)</f>
        <v>44.999999999999993</v>
      </c>
      <c r="W39" s="9">
        <f>IF(19&lt;=核心参数输入!$B$9*4,IF(AND((核心参数输入!$B$10*核心参数输入!$B$11*核心参数输入!$B$12*核心参数输入!$B$143)&gt;0,19&gt;(核心参数输入!$B$16*4+(核心参数输入!$B$148))),核心参数输入!$B$50*(核心参数输入!$B$10*核心参数输入!$B$11*核心参数输入!$B$12*核心参数输入!$B$143)/MAX(1,核心参数输入!$B$108)/4+IF(19=核心参数输入!$B$116*4,核心参数输入!$B$117,0),0),0)</f>
        <v>44.999999999999993</v>
      </c>
      <c r="X39" s="9">
        <f>IF(20&lt;=核心参数输入!$B$9*4,IF(AND((核心参数输入!$B$10*核心参数输入!$B$11*核心参数输入!$B$12*核心参数输入!$B$143)&gt;0,20&gt;(核心参数输入!$B$16*4+(核心参数输入!$B$148))),核心参数输入!$B$50*(核心参数输入!$B$10*核心参数输入!$B$11*核心参数输入!$B$12*核心参数输入!$B$143)/MAX(1,核心参数输入!$B$108)/4+IF(20=核心参数输入!$B$116*4,核心参数输入!$B$117,0),0),0)</f>
        <v>44.999999999999993</v>
      </c>
      <c r="Y39" s="9">
        <f>IF(21&lt;=核心参数输入!$B$9*4,IF(AND((核心参数输入!$B$10*核心参数输入!$B$11*核心参数输入!$B$12*核心参数输入!$B$143)&gt;0,21&gt;(核心参数输入!$B$16*4+(核心参数输入!$B$148))),核心参数输入!$B$50*(核心参数输入!$B$10*核心参数输入!$B$11*核心参数输入!$B$12*核心参数输入!$B$143)/MAX(1,核心参数输入!$B$108)/4+IF(21=核心参数输入!$B$116*4,核心参数输入!$B$117,0),0),0)</f>
        <v>44.999999999999993</v>
      </c>
      <c r="Z39" s="9">
        <f>IF(22&lt;=核心参数输入!$B$9*4,IF(AND((核心参数输入!$B$10*核心参数输入!$B$11*核心参数输入!$B$12*核心参数输入!$B$143)&gt;0,22&gt;(核心参数输入!$B$16*4+(核心参数输入!$B$148))),核心参数输入!$B$50*(核心参数输入!$B$10*核心参数输入!$B$11*核心参数输入!$B$12*核心参数输入!$B$143)/MAX(1,核心参数输入!$B$108)/4+IF(22=核心参数输入!$B$116*4,核心参数输入!$B$117,0),0),0)</f>
        <v>44.999999999999993</v>
      </c>
      <c r="AA39" s="9">
        <f>IF(23&lt;=核心参数输入!$B$9*4,IF(AND((核心参数输入!$B$10*核心参数输入!$B$11*核心参数输入!$B$12*核心参数输入!$B$143)&gt;0,23&gt;(核心参数输入!$B$16*4+(核心参数输入!$B$148))),核心参数输入!$B$50*(核心参数输入!$B$10*核心参数输入!$B$11*核心参数输入!$B$12*核心参数输入!$B$143)/MAX(1,核心参数输入!$B$108)/4+IF(23=核心参数输入!$B$116*4,核心参数输入!$B$117,0),0),0)</f>
        <v>44.999999999999993</v>
      </c>
      <c r="AB39" s="9">
        <f>IF(24&lt;=核心参数输入!$B$9*4,IF(AND((核心参数输入!$B$10*核心参数输入!$B$11*核心参数输入!$B$12*核心参数输入!$B$143)&gt;0,24&gt;(核心参数输入!$B$16*4+(核心参数输入!$B$148))),核心参数输入!$B$50*(核心参数输入!$B$10*核心参数输入!$B$11*核心参数输入!$B$12*核心参数输入!$B$143)/MAX(1,核心参数输入!$B$108)/4+IF(24=核心参数输入!$B$116*4,核心参数输入!$B$117,0),0),0)</f>
        <v>44.999999999999993</v>
      </c>
      <c r="AC39" s="9">
        <f>IF(25&lt;=核心参数输入!$B$9*4,IF(AND((核心参数输入!$B$10*核心参数输入!$B$11*核心参数输入!$B$12*核心参数输入!$B$143)&gt;0,25&gt;(核心参数输入!$B$16*4+(核心参数输入!$B$148))),核心参数输入!$B$50*(核心参数输入!$B$10*核心参数输入!$B$11*核心参数输入!$B$12*核心参数输入!$B$143)/MAX(1,核心参数输入!$B$108)/4+IF(25=核心参数输入!$B$116*4,核心参数输入!$B$117,0),0),0)</f>
        <v>44.999999999999993</v>
      </c>
      <c r="AD39" s="9">
        <f>IF(26&lt;=核心参数输入!$B$9*4,IF(AND((核心参数输入!$B$10*核心参数输入!$B$11*核心参数输入!$B$12*核心参数输入!$B$143)&gt;0,26&gt;(核心参数输入!$B$16*4+(核心参数输入!$B$148))),核心参数输入!$B$50*(核心参数输入!$B$10*核心参数输入!$B$11*核心参数输入!$B$12*核心参数输入!$B$143)/MAX(1,核心参数输入!$B$108)/4+IF(26=核心参数输入!$B$116*4,核心参数输入!$B$117,0),0),0)</f>
        <v>44.999999999999993</v>
      </c>
      <c r="AE39" s="9">
        <f>IF(27&lt;=核心参数输入!$B$9*4,IF(AND((核心参数输入!$B$10*核心参数输入!$B$11*核心参数输入!$B$12*核心参数输入!$B$143)&gt;0,27&gt;(核心参数输入!$B$16*4+(核心参数输入!$B$148))),核心参数输入!$B$50*(核心参数输入!$B$10*核心参数输入!$B$11*核心参数输入!$B$12*核心参数输入!$B$143)/MAX(1,核心参数输入!$B$108)/4+IF(27=核心参数输入!$B$116*4,核心参数输入!$B$117,0),0),0)</f>
        <v>44.999999999999993</v>
      </c>
      <c r="AF39" s="9">
        <f>IF(28&lt;=核心参数输入!$B$9*4,IF(AND((核心参数输入!$B$10*核心参数输入!$B$11*核心参数输入!$B$12*核心参数输入!$B$143)&gt;0,28&gt;(核心参数输入!$B$16*4+(核心参数输入!$B$148))),核心参数输入!$B$50*(核心参数输入!$B$10*核心参数输入!$B$11*核心参数输入!$B$12*核心参数输入!$B$143)/MAX(1,核心参数输入!$B$108)/4+IF(28=核心参数输入!$B$116*4,核心参数输入!$B$117,0),0),0)</f>
        <v>44.999999999999993</v>
      </c>
      <c r="AG39" s="9">
        <f>IF(29&lt;=核心参数输入!$B$9*4,IF(AND((核心参数输入!$B$10*核心参数输入!$B$11*核心参数输入!$B$12*核心参数输入!$B$143)&gt;0,29&gt;(核心参数输入!$B$16*4+(核心参数输入!$B$148))),核心参数输入!$B$50*(核心参数输入!$B$10*核心参数输入!$B$11*核心参数输入!$B$12*核心参数输入!$B$143)/MAX(1,核心参数输入!$B$108)/4+IF(29=核心参数输入!$B$116*4,核心参数输入!$B$117,0),0),0)</f>
        <v>44.999999999999993</v>
      </c>
      <c r="AH39" s="9">
        <f>IF(30&lt;=核心参数输入!$B$9*4,IF(AND((核心参数输入!$B$10*核心参数输入!$B$11*核心参数输入!$B$12*核心参数输入!$B$143)&gt;0,30&gt;(核心参数输入!$B$16*4+(核心参数输入!$B$148))),核心参数输入!$B$50*(核心参数输入!$B$10*核心参数输入!$B$11*核心参数输入!$B$12*核心参数输入!$B$143)/MAX(1,核心参数输入!$B$108)/4+IF(30=核心参数输入!$B$116*4,核心参数输入!$B$117,0),0),0)</f>
        <v>44.999999999999993</v>
      </c>
      <c r="AI39" s="9">
        <f>IF(31&lt;=核心参数输入!$B$9*4,IF(AND((核心参数输入!$B$10*核心参数输入!$B$11*核心参数输入!$B$12*核心参数输入!$B$143)&gt;0,31&gt;(核心参数输入!$B$16*4+(核心参数输入!$B$148))),核心参数输入!$B$50*(核心参数输入!$B$10*核心参数输入!$B$11*核心参数输入!$B$12*核心参数输入!$B$143)/MAX(1,核心参数输入!$B$108)/4+IF(31=核心参数输入!$B$116*4,核心参数输入!$B$117,0),0),0)</f>
        <v>44.999999999999993</v>
      </c>
      <c r="AJ39" s="9">
        <f>IF(32&lt;=核心参数输入!$B$9*4,IF(AND((核心参数输入!$B$10*核心参数输入!$B$11*核心参数输入!$B$12*核心参数输入!$B$143)&gt;0,32&gt;(核心参数输入!$B$16*4+(核心参数输入!$B$148))),核心参数输入!$B$50*(核心参数输入!$B$10*核心参数输入!$B$11*核心参数输入!$B$12*核心参数输入!$B$143)/MAX(1,核心参数输入!$B$108)/4+IF(32=核心参数输入!$B$116*4,核心参数输入!$B$117,0),0),0)</f>
        <v>44.999999999999993</v>
      </c>
      <c r="AK39" s="9">
        <f>IF(33&lt;=核心参数输入!$B$9*4,IF(AND((核心参数输入!$B$10*核心参数输入!$B$11*核心参数输入!$B$12*核心参数输入!$B$143)&gt;0,33&gt;(核心参数输入!$B$16*4+(核心参数输入!$B$148))),核心参数输入!$B$50*(核心参数输入!$B$10*核心参数输入!$B$11*核心参数输入!$B$12*核心参数输入!$B$143)/MAX(1,核心参数输入!$B$108)/4+IF(33=核心参数输入!$B$116*4,核心参数输入!$B$117,0),0),0)</f>
        <v>44.999999999999993</v>
      </c>
      <c r="AL39" s="9">
        <f>IF(34&lt;=核心参数输入!$B$9*4,IF(AND((核心参数输入!$B$10*核心参数输入!$B$11*核心参数输入!$B$12*核心参数输入!$B$143)&gt;0,34&gt;(核心参数输入!$B$16*4+(核心参数输入!$B$148))),核心参数输入!$B$50*(核心参数输入!$B$10*核心参数输入!$B$11*核心参数输入!$B$12*核心参数输入!$B$143)/MAX(1,核心参数输入!$B$108)/4+IF(34=核心参数输入!$B$116*4,核心参数输入!$B$117,0),0),0)</f>
        <v>44.999999999999993</v>
      </c>
      <c r="AM39" s="9">
        <f>IF(35&lt;=核心参数输入!$B$9*4,IF(AND((核心参数输入!$B$10*核心参数输入!$B$11*核心参数输入!$B$12*核心参数输入!$B$143)&gt;0,35&gt;(核心参数输入!$B$16*4+(核心参数输入!$B$148))),核心参数输入!$B$50*(核心参数输入!$B$10*核心参数输入!$B$11*核心参数输入!$B$12*核心参数输入!$B$143)/MAX(1,核心参数输入!$B$108)/4+IF(35=核心参数输入!$B$116*4,核心参数输入!$B$117,0),0),0)</f>
        <v>44.999999999999993</v>
      </c>
      <c r="AN39" s="9">
        <f>IF(36&lt;=核心参数输入!$B$9*4,IF(AND((核心参数输入!$B$10*核心参数输入!$B$11*核心参数输入!$B$12*核心参数输入!$B$143)&gt;0,36&gt;(核心参数输入!$B$16*4+(核心参数输入!$B$148))),核心参数输入!$B$50*(核心参数输入!$B$10*核心参数输入!$B$11*核心参数输入!$B$12*核心参数输入!$B$143)/MAX(1,核心参数输入!$B$108)/4+IF(36=核心参数输入!$B$116*4,核心参数输入!$B$117,0),0),0)</f>
        <v>44.999999999999993</v>
      </c>
      <c r="AO39" s="9">
        <f>IF(37&lt;=核心参数输入!$B$9*4,IF(AND((核心参数输入!$B$10*核心参数输入!$B$11*核心参数输入!$B$12*核心参数输入!$B$143)&gt;0,37&gt;(核心参数输入!$B$16*4+(核心参数输入!$B$148))),核心参数输入!$B$50*(核心参数输入!$B$10*核心参数输入!$B$11*核心参数输入!$B$12*核心参数输入!$B$143)/MAX(1,核心参数输入!$B$108)/4+IF(37=核心参数输入!$B$116*4,核心参数输入!$B$117,0),0),0)</f>
        <v>44.999999999999993</v>
      </c>
      <c r="AP39" s="9">
        <f>IF(38&lt;=核心参数输入!$B$9*4,IF(AND((核心参数输入!$B$10*核心参数输入!$B$11*核心参数输入!$B$12*核心参数输入!$B$143)&gt;0,38&gt;(核心参数输入!$B$16*4+(核心参数输入!$B$148))),核心参数输入!$B$50*(核心参数输入!$B$10*核心参数输入!$B$11*核心参数输入!$B$12*核心参数输入!$B$143)/MAX(1,核心参数输入!$B$108)/4+IF(38=核心参数输入!$B$116*4,核心参数输入!$B$117,0),0),0)</f>
        <v>44.999999999999993</v>
      </c>
      <c r="AQ39" s="9">
        <f>IF(39&lt;=核心参数输入!$B$9*4,IF(AND((核心参数输入!$B$10*核心参数输入!$B$11*核心参数输入!$B$12*核心参数输入!$B$143)&gt;0,39&gt;(核心参数输入!$B$16*4+(核心参数输入!$B$148))),核心参数输入!$B$50*(核心参数输入!$B$10*核心参数输入!$B$11*核心参数输入!$B$12*核心参数输入!$B$143)/MAX(1,核心参数输入!$B$108)/4+IF(39=核心参数输入!$B$116*4,核心参数输入!$B$117,0),0),0)</f>
        <v>44.999999999999993</v>
      </c>
      <c r="AR39" s="9">
        <f>IF(40&lt;=核心参数输入!$B$9*4,IF(AND((核心参数输入!$B$10*核心参数输入!$B$11*核心参数输入!$B$12*核心参数输入!$B$143)&gt;0,40&gt;(核心参数输入!$B$16*4+(核心参数输入!$B$148))),核心参数输入!$B$50*(核心参数输入!$B$10*核心参数输入!$B$11*核心参数输入!$B$12*核心参数输入!$B$143)/MAX(1,核心参数输入!$B$108)/4+IF(40=核心参数输入!$B$116*4,核心参数输入!$B$117,0),0),0)</f>
        <v>44.999999999999993</v>
      </c>
      <c r="AS39" s="9">
        <f>IF(41&lt;=核心参数输入!$B$9*4,IF(AND((核心参数输入!$B$10*核心参数输入!$B$11*核心参数输入!$B$12*核心参数输入!$B$143)&gt;0,41&gt;(核心参数输入!$B$16*4+(核心参数输入!$B$148))),核心参数输入!$B$50*(核心参数输入!$B$10*核心参数输入!$B$11*核心参数输入!$B$12*核心参数输入!$B$143)/MAX(1,核心参数输入!$B$108)/4+IF(41=核心参数输入!$B$116*4,核心参数输入!$B$117,0),0),0)</f>
        <v>44.999999999999993</v>
      </c>
      <c r="AT39" s="9">
        <f>IF(42&lt;=核心参数输入!$B$9*4,IF(AND((核心参数输入!$B$10*核心参数输入!$B$11*核心参数输入!$B$12*核心参数输入!$B$143)&gt;0,42&gt;(核心参数输入!$B$16*4+(核心参数输入!$B$148))),核心参数输入!$B$50*(核心参数输入!$B$10*核心参数输入!$B$11*核心参数输入!$B$12*核心参数输入!$B$143)/MAX(1,核心参数输入!$B$108)/4+IF(42=核心参数输入!$B$116*4,核心参数输入!$B$117,0),0),0)</f>
        <v>44.999999999999993</v>
      </c>
      <c r="AU39" s="9">
        <f>IF(43&lt;=核心参数输入!$B$9*4,IF(AND((核心参数输入!$B$10*核心参数输入!$B$11*核心参数输入!$B$12*核心参数输入!$B$143)&gt;0,43&gt;(核心参数输入!$B$16*4+(核心参数输入!$B$148))),核心参数输入!$B$50*(核心参数输入!$B$10*核心参数输入!$B$11*核心参数输入!$B$12*核心参数输入!$B$143)/MAX(1,核心参数输入!$B$108)/4+IF(43=核心参数输入!$B$116*4,核心参数输入!$B$117,0),0),0)</f>
        <v>44.999999999999993</v>
      </c>
      <c r="AV39" s="9">
        <f>IF(44&lt;=核心参数输入!$B$9*4,IF(AND((核心参数输入!$B$10*核心参数输入!$B$11*核心参数输入!$B$12*核心参数输入!$B$143)&gt;0,44&gt;(核心参数输入!$B$16*4+(核心参数输入!$B$148))),核心参数输入!$B$50*(核心参数输入!$B$10*核心参数输入!$B$11*核心参数输入!$B$12*核心参数输入!$B$143)/MAX(1,核心参数输入!$B$108)/4+IF(44=核心参数输入!$B$116*4,核心参数输入!$B$117,0),0),0)</f>
        <v>44.999999999999993</v>
      </c>
      <c r="AW39" s="9">
        <f>IF(45&lt;=核心参数输入!$B$9*4,IF(AND((核心参数输入!$B$10*核心参数输入!$B$11*核心参数输入!$B$12*核心参数输入!$B$143)&gt;0,45&gt;(核心参数输入!$B$16*4+(核心参数输入!$B$148))),核心参数输入!$B$50*(核心参数输入!$B$10*核心参数输入!$B$11*核心参数输入!$B$12*核心参数输入!$B$143)/MAX(1,核心参数输入!$B$108)/4+IF(45=核心参数输入!$B$116*4,核心参数输入!$B$117,0),0),0)</f>
        <v>44.999999999999993</v>
      </c>
      <c r="AX39" s="9">
        <f>IF(46&lt;=核心参数输入!$B$9*4,IF(AND((核心参数输入!$B$10*核心参数输入!$B$11*核心参数输入!$B$12*核心参数输入!$B$143)&gt;0,46&gt;(核心参数输入!$B$16*4+(核心参数输入!$B$148))),核心参数输入!$B$50*(核心参数输入!$B$10*核心参数输入!$B$11*核心参数输入!$B$12*核心参数输入!$B$143)/MAX(1,核心参数输入!$B$108)/4+IF(46=核心参数输入!$B$116*4,核心参数输入!$B$117,0),0),0)</f>
        <v>44.999999999999993</v>
      </c>
      <c r="AY39" s="9">
        <f>IF(47&lt;=核心参数输入!$B$9*4,IF(AND((核心参数输入!$B$10*核心参数输入!$B$11*核心参数输入!$B$12*核心参数输入!$B$143)&gt;0,47&gt;(核心参数输入!$B$16*4+(核心参数输入!$B$148))),核心参数输入!$B$50*(核心参数输入!$B$10*核心参数输入!$B$11*核心参数输入!$B$12*核心参数输入!$B$143)/MAX(1,核心参数输入!$B$108)/4+IF(47=核心参数输入!$B$116*4,核心参数输入!$B$117,0),0),0)</f>
        <v>44.999999999999993</v>
      </c>
      <c r="AZ39" s="9">
        <f>IF(48&lt;=核心参数输入!$B$9*4,IF(AND((核心参数输入!$B$10*核心参数输入!$B$11*核心参数输入!$B$12*核心参数输入!$B$143)&gt;0,48&gt;(核心参数输入!$B$16*4+(核心参数输入!$B$148))),核心参数输入!$B$50*(核心参数输入!$B$10*核心参数输入!$B$11*核心参数输入!$B$12*核心参数输入!$B$143)/MAX(1,核心参数输入!$B$108)/4+IF(48=核心参数输入!$B$116*4,核心参数输入!$B$117,0),0),0)</f>
        <v>44.999999999999993</v>
      </c>
      <c r="BA39" s="9">
        <f>IF(49&lt;=核心参数输入!$B$9*4,IF(AND((核心参数输入!$B$10*核心参数输入!$B$11*核心参数输入!$B$12*核心参数输入!$B$143)&gt;0,49&gt;(核心参数输入!$B$16*4+(核心参数输入!$B$148))),核心参数输入!$B$50*(核心参数输入!$B$10*核心参数输入!$B$11*核心参数输入!$B$12*核心参数输入!$B$143)/MAX(1,核心参数输入!$B$108)/4+IF(49=核心参数输入!$B$116*4,核心参数输入!$B$117,0),0),0)</f>
        <v>44.999999999999993</v>
      </c>
      <c r="BB39" s="9">
        <f>IF(50&lt;=核心参数输入!$B$9*4,IF(AND((核心参数输入!$B$10*核心参数输入!$B$11*核心参数输入!$B$12*核心参数输入!$B$143)&gt;0,50&gt;(核心参数输入!$B$16*4+(核心参数输入!$B$148))),核心参数输入!$B$50*(核心参数输入!$B$10*核心参数输入!$B$11*核心参数输入!$B$12*核心参数输入!$B$143)/MAX(1,核心参数输入!$B$108)/4+IF(50=核心参数输入!$B$116*4,核心参数输入!$B$117,0),0),0)</f>
        <v>44.999999999999993</v>
      </c>
      <c r="BC39" s="9">
        <f>IF(51&lt;=核心参数输入!$B$9*4,IF(AND((核心参数输入!$B$10*核心参数输入!$B$11*核心参数输入!$B$12*核心参数输入!$B$143)&gt;0,51&gt;(核心参数输入!$B$16*4+(核心参数输入!$B$148))),核心参数输入!$B$50*(核心参数输入!$B$10*核心参数输入!$B$11*核心参数输入!$B$12*核心参数输入!$B$143)/MAX(1,核心参数输入!$B$108)/4+IF(51=核心参数输入!$B$116*4,核心参数输入!$B$117,0),0),0)</f>
        <v>44.999999999999993</v>
      </c>
      <c r="BD39" s="9">
        <f>IF(52&lt;=核心参数输入!$B$9*4,IF(AND((核心参数输入!$B$10*核心参数输入!$B$11*核心参数输入!$B$12*核心参数输入!$B$143)&gt;0,52&gt;(核心参数输入!$B$16*4+(核心参数输入!$B$148))),核心参数输入!$B$50*(核心参数输入!$B$10*核心参数输入!$B$11*核心参数输入!$B$12*核心参数输入!$B$143)/MAX(1,核心参数输入!$B$108)/4+IF(52=核心参数输入!$B$116*4,核心参数输入!$B$117,0),0),0)</f>
        <v>44.999999999999993</v>
      </c>
      <c r="BE39" s="9">
        <f>IF(53&lt;=核心参数输入!$B$9*4,IF(AND((核心参数输入!$B$10*核心参数输入!$B$11*核心参数输入!$B$12*核心参数输入!$B$143)&gt;0,53&gt;(核心参数输入!$B$16*4+(核心参数输入!$B$148))),核心参数输入!$B$50*(核心参数输入!$B$10*核心参数输入!$B$11*核心参数输入!$B$12*核心参数输入!$B$143)/MAX(1,核心参数输入!$B$108)/4+IF(53=核心参数输入!$B$116*4,核心参数输入!$B$117,0),0),0)</f>
        <v>44.999999999999993</v>
      </c>
      <c r="BF39" s="9">
        <f>IF(54&lt;=核心参数输入!$B$9*4,IF(AND((核心参数输入!$B$10*核心参数输入!$B$11*核心参数输入!$B$12*核心参数输入!$B$143)&gt;0,54&gt;(核心参数输入!$B$16*4+(核心参数输入!$B$148))),核心参数输入!$B$50*(核心参数输入!$B$10*核心参数输入!$B$11*核心参数输入!$B$12*核心参数输入!$B$143)/MAX(1,核心参数输入!$B$108)/4+IF(54=核心参数输入!$B$116*4,核心参数输入!$B$117,0),0),0)</f>
        <v>44.999999999999993</v>
      </c>
      <c r="BG39" s="9">
        <f>IF(55&lt;=核心参数输入!$B$9*4,IF(AND((核心参数输入!$B$10*核心参数输入!$B$11*核心参数输入!$B$12*核心参数输入!$B$143)&gt;0,55&gt;(核心参数输入!$B$16*4+(核心参数输入!$B$148))),核心参数输入!$B$50*(核心参数输入!$B$10*核心参数输入!$B$11*核心参数输入!$B$12*核心参数输入!$B$143)/MAX(1,核心参数输入!$B$108)/4+IF(55=核心参数输入!$B$116*4,核心参数输入!$B$117,0),0),0)</f>
        <v>44.999999999999993</v>
      </c>
      <c r="BH39" s="9">
        <f>IF(56&lt;=核心参数输入!$B$9*4,IF(AND((核心参数输入!$B$10*核心参数输入!$B$11*核心参数输入!$B$12*核心参数输入!$B$143)&gt;0,56&gt;(核心参数输入!$B$16*4+(核心参数输入!$B$148))),核心参数输入!$B$50*(核心参数输入!$B$10*核心参数输入!$B$11*核心参数输入!$B$12*核心参数输入!$B$143)/MAX(1,核心参数输入!$B$108)/4+IF(56=核心参数输入!$B$116*4,核心参数输入!$B$117,0),0),0)</f>
        <v>44.999999999999993</v>
      </c>
      <c r="BI39" s="9">
        <f>IF(57&lt;=核心参数输入!$B$9*4,IF(AND((核心参数输入!$B$10*核心参数输入!$B$11*核心参数输入!$B$12*核心参数输入!$B$143)&gt;0,57&gt;(核心参数输入!$B$16*4+(核心参数输入!$B$148))),核心参数输入!$B$50*(核心参数输入!$B$10*核心参数输入!$B$11*核心参数输入!$B$12*核心参数输入!$B$143)/MAX(1,核心参数输入!$B$108)/4+IF(57=核心参数输入!$B$116*4,核心参数输入!$B$117,0),0),0)</f>
        <v>44.999999999999993</v>
      </c>
      <c r="BJ39" s="9">
        <f>IF(58&lt;=核心参数输入!$B$9*4,IF(AND((核心参数输入!$B$10*核心参数输入!$B$11*核心参数输入!$B$12*核心参数输入!$B$143)&gt;0,58&gt;(核心参数输入!$B$16*4+(核心参数输入!$B$148))),核心参数输入!$B$50*(核心参数输入!$B$10*核心参数输入!$B$11*核心参数输入!$B$12*核心参数输入!$B$143)/MAX(1,核心参数输入!$B$108)/4+IF(58=核心参数输入!$B$116*4,核心参数输入!$B$117,0),0),0)</f>
        <v>44.999999999999993</v>
      </c>
      <c r="BK39" s="9">
        <f>IF(59&lt;=核心参数输入!$B$9*4,IF(AND((核心参数输入!$B$10*核心参数输入!$B$11*核心参数输入!$B$12*核心参数输入!$B$143)&gt;0,59&gt;(核心参数输入!$B$16*4+(核心参数输入!$B$148))),核心参数输入!$B$50*(核心参数输入!$B$10*核心参数输入!$B$11*核心参数输入!$B$12*核心参数输入!$B$143)/MAX(1,核心参数输入!$B$108)/4+IF(59=核心参数输入!$B$116*4,核心参数输入!$B$117,0),0),0)</f>
        <v>44.999999999999993</v>
      </c>
      <c r="BL39" s="9">
        <f>IF(60&lt;=核心参数输入!$B$9*4,IF(AND((核心参数输入!$B$10*核心参数输入!$B$11*核心参数输入!$B$12*核心参数输入!$B$143)&gt;0,60&gt;(核心参数输入!$B$16*4+(核心参数输入!$B$148))),核心参数输入!$B$50*(核心参数输入!$B$10*核心参数输入!$B$11*核心参数输入!$B$12*核心参数输入!$B$143)/MAX(1,核心参数输入!$B$108)/4+IF(60=核心参数输入!$B$116*4,核心参数输入!$B$117,0),0),0)</f>
        <v>44.999999999999993</v>
      </c>
      <c r="BM39" s="9">
        <f>IF(61&lt;=核心参数输入!$B$9*4,IF(AND((核心参数输入!$B$10*核心参数输入!$B$11*核心参数输入!$B$12*核心参数输入!$B$143)&gt;0,61&gt;(核心参数输入!$B$16*4+(核心参数输入!$B$148))),核心参数输入!$B$50*(核心参数输入!$B$10*核心参数输入!$B$11*核心参数输入!$B$12*核心参数输入!$B$143)/MAX(1,核心参数输入!$B$108)/4+IF(61=核心参数输入!$B$116*4,核心参数输入!$B$117,0),0),0)</f>
        <v>44.999999999999993</v>
      </c>
      <c r="BN39" s="9">
        <f>IF(62&lt;=核心参数输入!$B$9*4,IF(AND((核心参数输入!$B$10*核心参数输入!$B$11*核心参数输入!$B$12*核心参数输入!$B$143)&gt;0,62&gt;(核心参数输入!$B$16*4+(核心参数输入!$B$148))),核心参数输入!$B$50*(核心参数输入!$B$10*核心参数输入!$B$11*核心参数输入!$B$12*核心参数输入!$B$143)/MAX(1,核心参数输入!$B$108)/4+IF(62=核心参数输入!$B$116*4,核心参数输入!$B$117,0),0),0)</f>
        <v>44.999999999999993</v>
      </c>
      <c r="BO39" s="9">
        <f>IF(63&lt;=核心参数输入!$B$9*4,IF(AND((核心参数输入!$B$10*核心参数输入!$B$11*核心参数输入!$B$12*核心参数输入!$B$143)&gt;0,63&gt;(核心参数输入!$B$16*4+(核心参数输入!$B$148))),核心参数输入!$B$50*(核心参数输入!$B$10*核心参数输入!$B$11*核心参数输入!$B$12*核心参数输入!$B$143)/MAX(1,核心参数输入!$B$108)/4+IF(63=核心参数输入!$B$116*4,核心参数输入!$B$117,0),0),0)</f>
        <v>44.999999999999993</v>
      </c>
      <c r="BP39" s="9">
        <f>IF(64&lt;=核心参数输入!$B$9*4,IF(AND((核心参数输入!$B$10*核心参数输入!$B$11*核心参数输入!$B$12*核心参数输入!$B$143)&gt;0,64&gt;(核心参数输入!$B$16*4+(核心参数输入!$B$148))),核心参数输入!$B$50*(核心参数输入!$B$10*核心参数输入!$B$11*核心参数输入!$B$12*核心参数输入!$B$143)/MAX(1,核心参数输入!$B$108)/4+IF(64=核心参数输入!$B$116*4,核心参数输入!$B$117,0),0),0)</f>
        <v>44.999999999999993</v>
      </c>
      <c r="BQ39" s="9">
        <f>IF(65&lt;=核心参数输入!$B$9*4,IF(AND((核心参数输入!$B$10*核心参数输入!$B$11*核心参数输入!$B$12*核心参数输入!$B$143)&gt;0,65&gt;(核心参数输入!$B$16*4+(核心参数输入!$B$148))),核心参数输入!$B$50*(核心参数输入!$B$10*核心参数输入!$B$11*核心参数输入!$B$12*核心参数输入!$B$143)/MAX(1,核心参数输入!$B$108)/4+IF(65=核心参数输入!$B$116*4,核心参数输入!$B$117,0),0),0)</f>
        <v>44.999999999999993</v>
      </c>
      <c r="BR39" s="9">
        <f>IF(66&lt;=核心参数输入!$B$9*4,IF(AND((核心参数输入!$B$10*核心参数输入!$B$11*核心参数输入!$B$12*核心参数输入!$B$143)&gt;0,66&gt;(核心参数输入!$B$16*4+(核心参数输入!$B$148))),核心参数输入!$B$50*(核心参数输入!$B$10*核心参数输入!$B$11*核心参数输入!$B$12*核心参数输入!$B$143)/MAX(1,核心参数输入!$B$108)/4+IF(66=核心参数输入!$B$116*4,核心参数输入!$B$117,0),0),0)</f>
        <v>44.999999999999993</v>
      </c>
      <c r="BS39" s="9">
        <f>IF(67&lt;=核心参数输入!$B$9*4,IF(AND((核心参数输入!$B$10*核心参数输入!$B$11*核心参数输入!$B$12*核心参数输入!$B$143)&gt;0,67&gt;(核心参数输入!$B$16*4+(核心参数输入!$B$148))),核心参数输入!$B$50*(核心参数输入!$B$10*核心参数输入!$B$11*核心参数输入!$B$12*核心参数输入!$B$143)/MAX(1,核心参数输入!$B$108)/4+IF(67=核心参数输入!$B$116*4,核心参数输入!$B$117,0),0),0)</f>
        <v>44.999999999999993</v>
      </c>
      <c r="BT39" s="9">
        <f>IF(68&lt;=核心参数输入!$B$9*4,IF(AND((核心参数输入!$B$10*核心参数输入!$B$11*核心参数输入!$B$12*核心参数输入!$B$143)&gt;0,68&gt;(核心参数输入!$B$16*4+(核心参数输入!$B$148))),核心参数输入!$B$50*(核心参数输入!$B$10*核心参数输入!$B$11*核心参数输入!$B$12*核心参数输入!$B$143)/MAX(1,核心参数输入!$B$108)/4+IF(68=核心参数输入!$B$116*4,核心参数输入!$B$117,0),0),0)</f>
        <v>44.999999999999993</v>
      </c>
      <c r="BU39" s="9">
        <f>IF(69&lt;=核心参数输入!$B$9*4,IF(AND((核心参数输入!$B$10*核心参数输入!$B$11*核心参数输入!$B$12*核心参数输入!$B$143)&gt;0,69&gt;(核心参数输入!$B$16*4+(核心参数输入!$B$148))),核心参数输入!$B$50*(核心参数输入!$B$10*核心参数输入!$B$11*核心参数输入!$B$12*核心参数输入!$B$143)/MAX(1,核心参数输入!$B$108)/4+IF(69=核心参数输入!$B$116*4,核心参数输入!$B$117,0),0),0)</f>
        <v>44.999999999999993</v>
      </c>
      <c r="BV39" s="9">
        <f>IF(70&lt;=核心参数输入!$B$9*4,IF(AND((核心参数输入!$B$10*核心参数输入!$B$11*核心参数输入!$B$12*核心参数输入!$B$143)&gt;0,70&gt;(核心参数输入!$B$16*4+(核心参数输入!$B$148))),核心参数输入!$B$50*(核心参数输入!$B$10*核心参数输入!$B$11*核心参数输入!$B$12*核心参数输入!$B$143)/MAX(1,核心参数输入!$B$108)/4+IF(70=核心参数输入!$B$116*4,核心参数输入!$B$117,0),0),0)</f>
        <v>44.999999999999993</v>
      </c>
      <c r="BW39" s="9">
        <f>IF(71&lt;=核心参数输入!$B$9*4,IF(AND((核心参数输入!$B$10*核心参数输入!$B$11*核心参数输入!$B$12*核心参数输入!$B$143)&gt;0,71&gt;(核心参数输入!$B$16*4+(核心参数输入!$B$148))),核心参数输入!$B$50*(核心参数输入!$B$10*核心参数输入!$B$11*核心参数输入!$B$12*核心参数输入!$B$143)/MAX(1,核心参数输入!$B$108)/4+IF(71=核心参数输入!$B$116*4,核心参数输入!$B$117,0),0),0)</f>
        <v>44.999999999999993</v>
      </c>
      <c r="BX39" s="9">
        <f>IF(72&lt;=核心参数输入!$B$9*4,IF(AND((核心参数输入!$B$10*核心参数输入!$B$11*核心参数输入!$B$12*核心参数输入!$B$143)&gt;0,72&gt;(核心参数输入!$B$16*4+(核心参数输入!$B$148))),核心参数输入!$B$50*(核心参数输入!$B$10*核心参数输入!$B$11*核心参数输入!$B$12*核心参数输入!$B$143)/MAX(1,核心参数输入!$B$108)/4+IF(72=核心参数输入!$B$116*4,核心参数输入!$B$117,0),0),0)</f>
        <v>44.999999999999993</v>
      </c>
      <c r="BY39" s="9">
        <f>IF(73&lt;=核心参数输入!$B$9*4,IF(AND((核心参数输入!$B$10*核心参数输入!$B$11*核心参数输入!$B$12*核心参数输入!$B$143)&gt;0,73&gt;(核心参数输入!$B$16*4+(核心参数输入!$B$148))),核心参数输入!$B$50*(核心参数输入!$B$10*核心参数输入!$B$11*核心参数输入!$B$12*核心参数输入!$B$143)/MAX(1,核心参数输入!$B$108)/4+IF(73=核心参数输入!$B$116*4,核心参数输入!$B$117,0),0),0)</f>
        <v>44.999999999999993</v>
      </c>
      <c r="BZ39" s="9">
        <f>IF(74&lt;=核心参数输入!$B$9*4,IF(AND((核心参数输入!$B$10*核心参数输入!$B$11*核心参数输入!$B$12*核心参数输入!$B$143)&gt;0,74&gt;(核心参数输入!$B$16*4+(核心参数输入!$B$148))),核心参数输入!$B$50*(核心参数输入!$B$10*核心参数输入!$B$11*核心参数输入!$B$12*核心参数输入!$B$143)/MAX(1,核心参数输入!$B$108)/4+IF(74=核心参数输入!$B$116*4,核心参数输入!$B$117,0),0),0)</f>
        <v>44.999999999999993</v>
      </c>
      <c r="CA39" s="9">
        <f>IF(75&lt;=核心参数输入!$B$9*4,IF(AND((核心参数输入!$B$10*核心参数输入!$B$11*核心参数输入!$B$12*核心参数输入!$B$143)&gt;0,75&gt;(核心参数输入!$B$16*4+(核心参数输入!$B$148))),核心参数输入!$B$50*(核心参数输入!$B$10*核心参数输入!$B$11*核心参数输入!$B$12*核心参数输入!$B$143)/MAX(1,核心参数输入!$B$108)/4+IF(75=核心参数输入!$B$116*4,核心参数输入!$B$117,0),0),0)</f>
        <v>44.999999999999993</v>
      </c>
      <c r="CB39" s="9">
        <f>IF(76&lt;=核心参数输入!$B$9*4,IF(AND((核心参数输入!$B$10*核心参数输入!$B$11*核心参数输入!$B$12*核心参数输入!$B$143)&gt;0,76&gt;(核心参数输入!$B$16*4+(核心参数输入!$B$148))),核心参数输入!$B$50*(核心参数输入!$B$10*核心参数输入!$B$11*核心参数输入!$B$12*核心参数输入!$B$143)/MAX(1,核心参数输入!$B$108)/4+IF(76=核心参数输入!$B$116*4,核心参数输入!$B$117,0),0),0)</f>
        <v>44.999999999999993</v>
      </c>
      <c r="CC39" s="9">
        <f>IF(77&lt;=核心参数输入!$B$9*4,IF(AND((核心参数输入!$B$10*核心参数输入!$B$11*核心参数输入!$B$12*核心参数输入!$B$143)&gt;0,77&gt;(核心参数输入!$B$16*4+(核心参数输入!$B$148))),核心参数输入!$B$50*(核心参数输入!$B$10*核心参数输入!$B$11*核心参数输入!$B$12*核心参数输入!$B$143)/MAX(1,核心参数输入!$B$108)/4+IF(77=核心参数输入!$B$116*4,核心参数输入!$B$117,0),0),0)</f>
        <v>44.999999999999993</v>
      </c>
      <c r="CD39" s="9">
        <f>IF(78&lt;=核心参数输入!$B$9*4,IF(AND((核心参数输入!$B$10*核心参数输入!$B$11*核心参数输入!$B$12*核心参数输入!$B$143)&gt;0,78&gt;(核心参数输入!$B$16*4+(核心参数输入!$B$148))),核心参数输入!$B$50*(核心参数输入!$B$10*核心参数输入!$B$11*核心参数输入!$B$12*核心参数输入!$B$143)/MAX(1,核心参数输入!$B$108)/4+IF(78=核心参数输入!$B$116*4,核心参数输入!$B$117,0),0),0)</f>
        <v>44.999999999999993</v>
      </c>
      <c r="CE39" s="9">
        <f>IF(79&lt;=核心参数输入!$B$9*4,IF(AND((核心参数输入!$B$10*核心参数输入!$B$11*核心参数输入!$B$12*核心参数输入!$B$143)&gt;0,79&gt;(核心参数输入!$B$16*4+(核心参数输入!$B$148))),核心参数输入!$B$50*(核心参数输入!$B$10*核心参数输入!$B$11*核心参数输入!$B$12*核心参数输入!$B$143)/MAX(1,核心参数输入!$B$108)/4+IF(79=核心参数输入!$B$116*4,核心参数输入!$B$117,0),0),0)</f>
        <v>44.999999999999993</v>
      </c>
      <c r="CF39" s="9">
        <f>IF(80&lt;=核心参数输入!$B$9*4,IF(AND((核心参数输入!$B$10*核心参数输入!$B$11*核心参数输入!$B$12*核心参数输入!$B$143)&gt;0,80&gt;(核心参数输入!$B$16*4+(核心参数输入!$B$148))),核心参数输入!$B$50*(核心参数输入!$B$10*核心参数输入!$B$11*核心参数输入!$B$12*核心参数输入!$B$143)/MAX(1,核心参数输入!$B$108)/4+IF(80=核心参数输入!$B$116*4,核心参数输入!$B$117,0),0),0)</f>
        <v>44.999999999999993</v>
      </c>
      <c r="CG39" s="9">
        <f>IF(81&lt;=核心参数输入!$B$9*4,IF(AND((核心参数输入!$B$10*核心参数输入!$B$11*核心参数输入!$B$12*核心参数输入!$B$143)&gt;0,81&gt;(核心参数输入!$B$16*4+(核心参数输入!$B$148))),核心参数输入!$B$50*(核心参数输入!$B$10*核心参数输入!$B$11*核心参数输入!$B$12*核心参数输入!$B$143)/MAX(1,核心参数输入!$B$108)/4+IF(81=核心参数输入!$B$116*4,核心参数输入!$B$117,0),0),0)</f>
        <v>0</v>
      </c>
      <c r="CH39" s="9">
        <f>IF(82&lt;=核心参数输入!$B$9*4,IF(AND((核心参数输入!$B$10*核心参数输入!$B$11*核心参数输入!$B$12*核心参数输入!$B$143)&gt;0,82&gt;(核心参数输入!$B$16*4+(核心参数输入!$B$148))),核心参数输入!$B$50*(核心参数输入!$B$10*核心参数输入!$B$11*核心参数输入!$B$12*核心参数输入!$B$143)/MAX(1,核心参数输入!$B$108)/4+IF(82=核心参数输入!$B$116*4,核心参数输入!$B$117,0),0),0)</f>
        <v>0</v>
      </c>
      <c r="CI39" s="9">
        <f>IF(83&lt;=核心参数输入!$B$9*4,IF(AND((核心参数输入!$B$10*核心参数输入!$B$11*核心参数输入!$B$12*核心参数输入!$B$143)&gt;0,83&gt;(核心参数输入!$B$16*4+(核心参数输入!$B$148))),核心参数输入!$B$50*(核心参数输入!$B$10*核心参数输入!$B$11*核心参数输入!$B$12*核心参数输入!$B$143)/MAX(1,核心参数输入!$B$108)/4+IF(83=核心参数输入!$B$116*4,核心参数输入!$B$117,0),0),0)</f>
        <v>0</v>
      </c>
      <c r="CJ39" s="9">
        <f>IF(84&lt;=核心参数输入!$B$9*4,IF(AND((核心参数输入!$B$10*核心参数输入!$B$11*核心参数输入!$B$12*核心参数输入!$B$143)&gt;0,84&gt;(核心参数输入!$B$16*4+(核心参数输入!$B$148))),核心参数输入!$B$50*(核心参数输入!$B$10*核心参数输入!$B$11*核心参数输入!$B$12*核心参数输入!$B$143)/MAX(1,核心参数输入!$B$108)/4+IF(84=核心参数输入!$B$116*4,核心参数输入!$B$117,0),0),0)</f>
        <v>0</v>
      </c>
      <c r="CK39" s="9">
        <f>IF(85&lt;=核心参数输入!$B$9*4,IF(AND((核心参数输入!$B$10*核心参数输入!$B$11*核心参数输入!$B$12*核心参数输入!$B$143)&gt;0,85&gt;(核心参数输入!$B$16*4+(核心参数输入!$B$148))),核心参数输入!$B$50*(核心参数输入!$B$10*核心参数输入!$B$11*核心参数输入!$B$12*核心参数输入!$B$143)/MAX(1,核心参数输入!$B$108)/4+IF(85=核心参数输入!$B$116*4,核心参数输入!$B$117,0),0),0)</f>
        <v>0</v>
      </c>
      <c r="CL39" s="9">
        <f>IF(86&lt;=核心参数输入!$B$9*4,IF(AND((核心参数输入!$B$10*核心参数输入!$B$11*核心参数输入!$B$12*核心参数输入!$B$143)&gt;0,86&gt;(核心参数输入!$B$16*4+(核心参数输入!$B$148))),核心参数输入!$B$50*(核心参数输入!$B$10*核心参数输入!$B$11*核心参数输入!$B$12*核心参数输入!$B$143)/MAX(1,核心参数输入!$B$108)/4+IF(86=核心参数输入!$B$116*4,核心参数输入!$B$117,0),0),0)</f>
        <v>0</v>
      </c>
      <c r="CM39" s="9">
        <f>IF(87&lt;=核心参数输入!$B$9*4,IF(AND((核心参数输入!$B$10*核心参数输入!$B$11*核心参数输入!$B$12*核心参数输入!$B$143)&gt;0,87&gt;(核心参数输入!$B$16*4+(核心参数输入!$B$148))),核心参数输入!$B$50*(核心参数输入!$B$10*核心参数输入!$B$11*核心参数输入!$B$12*核心参数输入!$B$143)/MAX(1,核心参数输入!$B$108)/4+IF(87=核心参数输入!$B$116*4,核心参数输入!$B$117,0),0),0)</f>
        <v>0</v>
      </c>
      <c r="CN39" s="9">
        <f>IF(88&lt;=核心参数输入!$B$9*4,IF(AND((核心参数输入!$B$10*核心参数输入!$B$11*核心参数输入!$B$12*核心参数输入!$B$143)&gt;0,88&gt;(核心参数输入!$B$16*4+(核心参数输入!$B$148))),核心参数输入!$B$50*(核心参数输入!$B$10*核心参数输入!$B$11*核心参数输入!$B$12*核心参数输入!$B$143)/MAX(1,核心参数输入!$B$108)/4+IF(88=核心参数输入!$B$116*4,核心参数输入!$B$117,0),0),0)</f>
        <v>0</v>
      </c>
      <c r="CO39" s="9">
        <f>IF(89&lt;=核心参数输入!$B$9*4,IF(AND((核心参数输入!$B$10*核心参数输入!$B$11*核心参数输入!$B$12*核心参数输入!$B$143)&gt;0,89&gt;(核心参数输入!$B$16*4+(核心参数输入!$B$148))),核心参数输入!$B$50*(核心参数输入!$B$10*核心参数输入!$B$11*核心参数输入!$B$12*核心参数输入!$B$143)/MAX(1,核心参数输入!$B$108)/4+IF(89=核心参数输入!$B$116*4,核心参数输入!$B$117,0),0),0)</f>
        <v>0</v>
      </c>
      <c r="CP39" s="9">
        <f>IF(90&lt;=核心参数输入!$B$9*4,IF(AND((核心参数输入!$B$10*核心参数输入!$B$11*核心参数输入!$B$12*核心参数输入!$B$143)&gt;0,90&gt;(核心参数输入!$B$16*4+(核心参数输入!$B$148))),核心参数输入!$B$50*(核心参数输入!$B$10*核心参数输入!$B$11*核心参数输入!$B$12*核心参数输入!$B$143)/MAX(1,核心参数输入!$B$108)/4+IF(90=核心参数输入!$B$116*4,核心参数输入!$B$117,0),0),0)</f>
        <v>0</v>
      </c>
      <c r="CQ39" s="9">
        <f>IF(91&lt;=核心参数输入!$B$9*4,IF(AND((核心参数输入!$B$10*核心参数输入!$B$11*核心参数输入!$B$12*核心参数输入!$B$143)&gt;0,91&gt;(核心参数输入!$B$16*4+(核心参数输入!$B$148))),核心参数输入!$B$50*(核心参数输入!$B$10*核心参数输入!$B$11*核心参数输入!$B$12*核心参数输入!$B$143)/MAX(1,核心参数输入!$B$108)/4+IF(91=核心参数输入!$B$116*4,核心参数输入!$B$117,0),0),0)</f>
        <v>0</v>
      </c>
      <c r="CR39" s="9">
        <f>IF(92&lt;=核心参数输入!$B$9*4,IF(AND((核心参数输入!$B$10*核心参数输入!$B$11*核心参数输入!$B$12*核心参数输入!$B$143)&gt;0,92&gt;(核心参数输入!$B$16*4+(核心参数输入!$B$148))),核心参数输入!$B$50*(核心参数输入!$B$10*核心参数输入!$B$11*核心参数输入!$B$12*核心参数输入!$B$143)/MAX(1,核心参数输入!$B$108)/4+IF(92=核心参数输入!$B$116*4,核心参数输入!$B$117,0),0),0)</f>
        <v>0</v>
      </c>
      <c r="CS39" s="9">
        <f>IF(93&lt;=核心参数输入!$B$9*4,IF(AND((核心参数输入!$B$10*核心参数输入!$B$11*核心参数输入!$B$12*核心参数输入!$B$143)&gt;0,93&gt;(核心参数输入!$B$16*4+(核心参数输入!$B$148))),核心参数输入!$B$50*(核心参数输入!$B$10*核心参数输入!$B$11*核心参数输入!$B$12*核心参数输入!$B$143)/MAX(1,核心参数输入!$B$108)/4+IF(93=核心参数输入!$B$116*4,核心参数输入!$B$117,0),0),0)</f>
        <v>0</v>
      </c>
      <c r="CT39" s="9">
        <f>IF(94&lt;=核心参数输入!$B$9*4,IF(AND((核心参数输入!$B$10*核心参数输入!$B$11*核心参数输入!$B$12*核心参数输入!$B$143)&gt;0,94&gt;(核心参数输入!$B$16*4+(核心参数输入!$B$148))),核心参数输入!$B$50*(核心参数输入!$B$10*核心参数输入!$B$11*核心参数输入!$B$12*核心参数输入!$B$143)/MAX(1,核心参数输入!$B$108)/4+IF(94=核心参数输入!$B$116*4,核心参数输入!$B$117,0),0),0)</f>
        <v>0</v>
      </c>
      <c r="CU39" s="9">
        <f>IF(95&lt;=核心参数输入!$B$9*4,IF(AND((核心参数输入!$B$10*核心参数输入!$B$11*核心参数输入!$B$12*核心参数输入!$B$143)&gt;0,95&gt;(核心参数输入!$B$16*4+(核心参数输入!$B$148))),核心参数输入!$B$50*(核心参数输入!$B$10*核心参数输入!$B$11*核心参数输入!$B$12*核心参数输入!$B$143)/MAX(1,核心参数输入!$B$108)/4+IF(95=核心参数输入!$B$116*4,核心参数输入!$B$117,0),0),0)</f>
        <v>0</v>
      </c>
      <c r="CV39" s="9">
        <f>IF(96&lt;=核心参数输入!$B$9*4,IF(AND((核心参数输入!$B$10*核心参数输入!$B$11*核心参数输入!$B$12*核心参数输入!$B$143)&gt;0,96&gt;(核心参数输入!$B$16*4+(核心参数输入!$B$148))),核心参数输入!$B$50*(核心参数输入!$B$10*核心参数输入!$B$11*核心参数输入!$B$12*核心参数输入!$B$143)/MAX(1,核心参数输入!$B$108)/4+IF(96=核心参数输入!$B$116*4,核心参数输入!$B$117,0),0),0)</f>
        <v>0</v>
      </c>
      <c r="CW39" s="9">
        <f>IF(97&lt;=核心参数输入!$B$9*4,IF(AND((核心参数输入!$B$10*核心参数输入!$B$11*核心参数输入!$B$12*核心参数输入!$B$143)&gt;0,97&gt;(核心参数输入!$B$16*4+(核心参数输入!$B$148))),核心参数输入!$B$50*(核心参数输入!$B$10*核心参数输入!$B$11*核心参数输入!$B$12*核心参数输入!$B$143)/MAX(1,核心参数输入!$B$108)/4+IF(97=核心参数输入!$B$116*4,核心参数输入!$B$117,0),0),0)</f>
        <v>0</v>
      </c>
      <c r="CX39" s="9">
        <f>IF(98&lt;=核心参数输入!$B$9*4,IF(AND((核心参数输入!$B$10*核心参数输入!$B$11*核心参数输入!$B$12*核心参数输入!$B$143)&gt;0,98&gt;(核心参数输入!$B$16*4+(核心参数输入!$B$148))),核心参数输入!$B$50*(核心参数输入!$B$10*核心参数输入!$B$11*核心参数输入!$B$12*核心参数输入!$B$143)/MAX(1,核心参数输入!$B$108)/4+IF(98=核心参数输入!$B$116*4,核心参数输入!$B$117,0),0),0)</f>
        <v>0</v>
      </c>
      <c r="CY39" s="9">
        <f>IF(99&lt;=核心参数输入!$B$9*4,IF(AND((核心参数输入!$B$10*核心参数输入!$B$11*核心参数输入!$B$12*核心参数输入!$B$143)&gt;0,99&gt;(核心参数输入!$B$16*4+(核心参数输入!$B$148))),核心参数输入!$B$50*(核心参数输入!$B$10*核心参数输入!$B$11*核心参数输入!$B$12*核心参数输入!$B$143)/MAX(1,核心参数输入!$B$108)/4+IF(99=核心参数输入!$B$116*4,核心参数输入!$B$117,0),0),0)</f>
        <v>0</v>
      </c>
      <c r="CZ39" s="9">
        <f>IF(100&lt;=核心参数输入!$B$9*4,IF(AND((核心参数输入!$B$10*核心参数输入!$B$11*核心参数输入!$B$12*核心参数输入!$B$143)&gt;0,100&gt;(核心参数输入!$B$16*4+(核心参数输入!$B$148))),核心参数输入!$B$50*(核心参数输入!$B$10*核心参数输入!$B$11*核心参数输入!$B$12*核心参数输入!$B$143)/MAX(1,核心参数输入!$B$108)/4+IF(100=核心参数输入!$B$116*4,核心参数输入!$B$117,0),0),0)</f>
        <v>0</v>
      </c>
      <c r="DA39" s="9">
        <f>IF(101&lt;=核心参数输入!$B$9*4,IF(AND((核心参数输入!$B$10*核心参数输入!$B$11*核心参数输入!$B$12*核心参数输入!$B$143)&gt;0,101&gt;(核心参数输入!$B$16*4+(核心参数输入!$B$148))),核心参数输入!$B$50*(核心参数输入!$B$10*核心参数输入!$B$11*核心参数输入!$B$12*核心参数输入!$B$143)/MAX(1,核心参数输入!$B$108)/4+IF(101=核心参数输入!$B$116*4,核心参数输入!$B$117,0),0),0)</f>
        <v>0</v>
      </c>
      <c r="DB39" s="9">
        <f>IF(102&lt;=核心参数输入!$B$9*4,IF(AND((核心参数输入!$B$10*核心参数输入!$B$11*核心参数输入!$B$12*核心参数输入!$B$143)&gt;0,102&gt;(核心参数输入!$B$16*4+(核心参数输入!$B$148))),核心参数输入!$B$50*(核心参数输入!$B$10*核心参数输入!$B$11*核心参数输入!$B$12*核心参数输入!$B$143)/MAX(1,核心参数输入!$B$108)/4+IF(102=核心参数输入!$B$116*4,核心参数输入!$B$117,0),0),0)</f>
        <v>0</v>
      </c>
      <c r="DC39" s="9">
        <f>IF(103&lt;=核心参数输入!$B$9*4,IF(AND((核心参数输入!$B$10*核心参数输入!$B$11*核心参数输入!$B$12*核心参数输入!$B$143)&gt;0,103&gt;(核心参数输入!$B$16*4+(核心参数输入!$B$148))),核心参数输入!$B$50*(核心参数输入!$B$10*核心参数输入!$B$11*核心参数输入!$B$12*核心参数输入!$B$143)/MAX(1,核心参数输入!$B$108)/4+IF(103=核心参数输入!$B$116*4,核心参数输入!$B$117,0),0),0)</f>
        <v>0</v>
      </c>
      <c r="DD39" s="9">
        <f>IF(104&lt;=核心参数输入!$B$9*4,IF(AND((核心参数输入!$B$10*核心参数输入!$B$11*核心参数输入!$B$12*核心参数输入!$B$143)&gt;0,104&gt;(核心参数输入!$B$16*4+(核心参数输入!$B$148))),核心参数输入!$B$50*(核心参数输入!$B$10*核心参数输入!$B$11*核心参数输入!$B$12*核心参数输入!$B$143)/MAX(1,核心参数输入!$B$108)/4+IF(104=核心参数输入!$B$116*4,核心参数输入!$B$117,0),0),0)</f>
        <v>0</v>
      </c>
      <c r="DE39" s="9">
        <f>IF(105&lt;=核心参数输入!$B$9*4,IF(AND((核心参数输入!$B$10*核心参数输入!$B$11*核心参数输入!$B$12*核心参数输入!$B$143)&gt;0,105&gt;(核心参数输入!$B$16*4+(核心参数输入!$B$148))),核心参数输入!$B$50*(核心参数输入!$B$10*核心参数输入!$B$11*核心参数输入!$B$12*核心参数输入!$B$143)/MAX(1,核心参数输入!$B$108)/4+IF(105=核心参数输入!$B$116*4,核心参数输入!$B$117,0),0),0)</f>
        <v>0</v>
      </c>
      <c r="DF39" s="9">
        <f>IF(106&lt;=核心参数输入!$B$9*4,IF(AND((核心参数输入!$B$10*核心参数输入!$B$11*核心参数输入!$B$12*核心参数输入!$B$143)&gt;0,106&gt;(核心参数输入!$B$16*4+(核心参数输入!$B$148))),核心参数输入!$B$50*(核心参数输入!$B$10*核心参数输入!$B$11*核心参数输入!$B$12*核心参数输入!$B$143)/MAX(1,核心参数输入!$B$108)/4+IF(106=核心参数输入!$B$116*4,核心参数输入!$B$117,0),0),0)</f>
        <v>0</v>
      </c>
      <c r="DG39" s="9">
        <f>IF(107&lt;=核心参数输入!$B$9*4,IF(AND((核心参数输入!$B$10*核心参数输入!$B$11*核心参数输入!$B$12*核心参数输入!$B$143)&gt;0,107&gt;(核心参数输入!$B$16*4+(核心参数输入!$B$148))),核心参数输入!$B$50*(核心参数输入!$B$10*核心参数输入!$B$11*核心参数输入!$B$12*核心参数输入!$B$143)/MAX(1,核心参数输入!$B$108)/4+IF(107=核心参数输入!$B$116*4,核心参数输入!$B$117,0),0),0)</f>
        <v>0</v>
      </c>
      <c r="DH39" s="9">
        <f>IF(108&lt;=核心参数输入!$B$9*4,IF(AND((核心参数输入!$B$10*核心参数输入!$B$11*核心参数输入!$B$12*核心参数输入!$B$143)&gt;0,108&gt;(核心参数输入!$B$16*4+(核心参数输入!$B$148))),核心参数输入!$B$50*(核心参数输入!$B$10*核心参数输入!$B$11*核心参数输入!$B$12*核心参数输入!$B$143)/MAX(1,核心参数输入!$B$108)/4+IF(108=核心参数输入!$B$116*4,核心参数输入!$B$117,0),0),0)</f>
        <v>0</v>
      </c>
      <c r="DI39" s="9">
        <f>IF(109&lt;=核心参数输入!$B$9*4,IF(AND((核心参数输入!$B$10*核心参数输入!$B$11*核心参数输入!$B$12*核心参数输入!$B$143)&gt;0,109&gt;(核心参数输入!$B$16*4+(核心参数输入!$B$148))),核心参数输入!$B$50*(核心参数输入!$B$10*核心参数输入!$B$11*核心参数输入!$B$12*核心参数输入!$B$143)/MAX(1,核心参数输入!$B$108)/4+IF(109=核心参数输入!$B$116*4,核心参数输入!$B$117,0),0),0)</f>
        <v>0</v>
      </c>
      <c r="DJ39" s="9">
        <f>IF(110&lt;=核心参数输入!$B$9*4,IF(AND((核心参数输入!$B$10*核心参数输入!$B$11*核心参数输入!$B$12*核心参数输入!$B$143)&gt;0,110&gt;(核心参数输入!$B$16*4+(核心参数输入!$B$148))),核心参数输入!$B$50*(核心参数输入!$B$10*核心参数输入!$B$11*核心参数输入!$B$12*核心参数输入!$B$143)/MAX(1,核心参数输入!$B$108)/4+IF(110=核心参数输入!$B$116*4,核心参数输入!$B$117,0),0),0)</f>
        <v>0</v>
      </c>
      <c r="DK39" s="9">
        <f>IF(111&lt;=核心参数输入!$B$9*4,IF(AND((核心参数输入!$B$10*核心参数输入!$B$11*核心参数输入!$B$12*核心参数输入!$B$143)&gt;0,111&gt;(核心参数输入!$B$16*4+(核心参数输入!$B$148))),核心参数输入!$B$50*(核心参数输入!$B$10*核心参数输入!$B$11*核心参数输入!$B$12*核心参数输入!$B$143)/MAX(1,核心参数输入!$B$108)/4+IF(111=核心参数输入!$B$116*4,核心参数输入!$B$117,0),0),0)</f>
        <v>0</v>
      </c>
      <c r="DL39" s="9">
        <f>IF(112&lt;=核心参数输入!$B$9*4,IF(AND((核心参数输入!$B$10*核心参数输入!$B$11*核心参数输入!$B$12*核心参数输入!$B$143)&gt;0,112&gt;(核心参数输入!$B$16*4+(核心参数输入!$B$148))),核心参数输入!$B$50*(核心参数输入!$B$10*核心参数输入!$B$11*核心参数输入!$B$12*核心参数输入!$B$143)/MAX(1,核心参数输入!$B$108)/4+IF(112=核心参数输入!$B$116*4,核心参数输入!$B$117,0),0),0)</f>
        <v>0</v>
      </c>
      <c r="DM39" s="9">
        <f>IF(113&lt;=核心参数输入!$B$9*4,IF(AND((核心参数输入!$B$10*核心参数输入!$B$11*核心参数输入!$B$12*核心参数输入!$B$143)&gt;0,113&gt;(核心参数输入!$B$16*4+(核心参数输入!$B$148))),核心参数输入!$B$50*(核心参数输入!$B$10*核心参数输入!$B$11*核心参数输入!$B$12*核心参数输入!$B$143)/MAX(1,核心参数输入!$B$108)/4+IF(113=核心参数输入!$B$116*4,核心参数输入!$B$117,0),0),0)</f>
        <v>0</v>
      </c>
      <c r="DN39" s="9">
        <f>IF(114&lt;=核心参数输入!$B$9*4,IF(AND((核心参数输入!$B$10*核心参数输入!$B$11*核心参数输入!$B$12*核心参数输入!$B$143)&gt;0,114&gt;(核心参数输入!$B$16*4+(核心参数输入!$B$148))),核心参数输入!$B$50*(核心参数输入!$B$10*核心参数输入!$B$11*核心参数输入!$B$12*核心参数输入!$B$143)/MAX(1,核心参数输入!$B$108)/4+IF(114=核心参数输入!$B$116*4,核心参数输入!$B$117,0),0),0)</f>
        <v>0</v>
      </c>
      <c r="DO39" s="9">
        <f>IF(115&lt;=核心参数输入!$B$9*4,IF(AND((核心参数输入!$B$10*核心参数输入!$B$11*核心参数输入!$B$12*核心参数输入!$B$143)&gt;0,115&gt;(核心参数输入!$B$16*4+(核心参数输入!$B$148))),核心参数输入!$B$50*(核心参数输入!$B$10*核心参数输入!$B$11*核心参数输入!$B$12*核心参数输入!$B$143)/MAX(1,核心参数输入!$B$108)/4+IF(115=核心参数输入!$B$116*4,核心参数输入!$B$117,0),0),0)</f>
        <v>0</v>
      </c>
      <c r="DP39" s="9">
        <f>IF(116&lt;=核心参数输入!$B$9*4,IF(AND((核心参数输入!$B$10*核心参数输入!$B$11*核心参数输入!$B$12*核心参数输入!$B$143)&gt;0,116&gt;(核心参数输入!$B$16*4+(核心参数输入!$B$148))),核心参数输入!$B$50*(核心参数输入!$B$10*核心参数输入!$B$11*核心参数输入!$B$12*核心参数输入!$B$143)/MAX(1,核心参数输入!$B$108)/4+IF(116=核心参数输入!$B$116*4,核心参数输入!$B$117,0),0),0)</f>
        <v>0</v>
      </c>
      <c r="DQ39" s="9">
        <f>IF(117&lt;=核心参数输入!$B$9*4,IF(AND((核心参数输入!$B$10*核心参数输入!$B$11*核心参数输入!$B$12*核心参数输入!$B$143)&gt;0,117&gt;(核心参数输入!$B$16*4+(核心参数输入!$B$148))),核心参数输入!$B$50*(核心参数输入!$B$10*核心参数输入!$B$11*核心参数输入!$B$12*核心参数输入!$B$143)/MAX(1,核心参数输入!$B$108)/4+IF(117=核心参数输入!$B$116*4,核心参数输入!$B$117,0),0),0)</f>
        <v>0</v>
      </c>
      <c r="DR39" s="9">
        <f>IF(118&lt;=核心参数输入!$B$9*4,IF(AND((核心参数输入!$B$10*核心参数输入!$B$11*核心参数输入!$B$12*核心参数输入!$B$143)&gt;0,118&gt;(核心参数输入!$B$16*4+(核心参数输入!$B$148))),核心参数输入!$B$50*(核心参数输入!$B$10*核心参数输入!$B$11*核心参数输入!$B$12*核心参数输入!$B$143)/MAX(1,核心参数输入!$B$108)/4+IF(118=核心参数输入!$B$116*4,核心参数输入!$B$117,0),0),0)</f>
        <v>0</v>
      </c>
      <c r="DS39" s="9">
        <f>IF(119&lt;=核心参数输入!$B$9*4,IF(AND((核心参数输入!$B$10*核心参数输入!$B$11*核心参数输入!$B$12*核心参数输入!$B$143)&gt;0,119&gt;(核心参数输入!$B$16*4+(核心参数输入!$B$148))),核心参数输入!$B$50*(核心参数输入!$B$10*核心参数输入!$B$11*核心参数输入!$B$12*核心参数输入!$B$143)/MAX(1,核心参数输入!$B$108)/4+IF(119=核心参数输入!$B$116*4,核心参数输入!$B$117,0),0),0)</f>
        <v>0</v>
      </c>
      <c r="DT39" s="9">
        <f>IF(120&lt;=核心参数输入!$B$9*4,IF(AND((核心参数输入!$B$10*核心参数输入!$B$11*核心参数输入!$B$12*核心参数输入!$B$143)&gt;0,120&gt;(核心参数输入!$B$16*4+(核心参数输入!$B$148))),核心参数输入!$B$50*(核心参数输入!$B$10*核心参数输入!$B$11*核心参数输入!$B$12*核心参数输入!$B$143)/MAX(1,核心参数输入!$B$108)/4+IF(120=核心参数输入!$B$116*4,核心参数输入!$B$117,0),0),0)</f>
        <v>0</v>
      </c>
    </row>
    <row r="40" spans="1:124" ht="21" customHeight="1">
      <c r="A40" s="8" t="s">
        <v>472</v>
      </c>
      <c r="B40" s="8" t="s">
        <v>39</v>
      </c>
      <c r="C40" s="8"/>
      <c r="D40" s="9">
        <f>IF(0&lt;=核心参数输入!$B$9*4,(D23+D27)*IF(核心参数输入!$B$96=1,核心参数输入!$B$51,核心参数输入!$B$122),0)</f>
        <v>0</v>
      </c>
      <c r="E40" s="9">
        <f>IF(1&lt;=核心参数输入!$B$9*4,(E23+E27)*IF(核心参数输入!$B$96=1,核心参数输入!$B$51,核心参数输入!$B$122),0)</f>
        <v>0</v>
      </c>
      <c r="F40" s="9">
        <f>IF(2&lt;=核心参数输入!$B$9*4,(F23+F27)*IF(核心参数输入!$B$96=1,核心参数输入!$B$51,核心参数输入!$B$122),0)</f>
        <v>0</v>
      </c>
      <c r="G40" s="9">
        <f>IF(3&lt;=核心参数输入!$B$9*4,(G23+G27)*IF(核心参数输入!$B$96=1,核心参数输入!$B$51,核心参数输入!$B$122),0)</f>
        <v>0</v>
      </c>
      <c r="H40" s="9">
        <f>IF(4&lt;=核心参数输入!$B$9*4,(H23+H27)*IF(核心参数输入!$B$96=1,核心参数输入!$B$51,核心参数输入!$B$122),0)</f>
        <v>0</v>
      </c>
      <c r="I40" s="9">
        <f>IF(5&lt;=核心参数输入!$B$9*4,(I23+I27)*IF(核心参数输入!$B$96=1,核心参数输入!$B$51,核心参数输入!$B$122),0)</f>
        <v>0</v>
      </c>
      <c r="J40" s="9">
        <f>IF(6&lt;=核心参数输入!$B$9*4,(J23+J27)*IF(核心参数输入!$B$96=1,核心参数输入!$B$51,核心参数输入!$B$122),0)</f>
        <v>0</v>
      </c>
      <c r="K40" s="9">
        <f>IF(7&lt;=核心参数输入!$B$9*4,(K23+K27)*IF(核心参数输入!$B$96=1,核心参数输入!$B$51,核心参数输入!$B$122),0)</f>
        <v>0</v>
      </c>
      <c r="L40" s="9">
        <f>IF(8&lt;=核心参数输入!$B$9*4,(L23+L27)*IF(核心参数输入!$B$96=1,核心参数输入!$B$51,核心参数输入!$B$122),0)</f>
        <v>0</v>
      </c>
      <c r="M40" s="9">
        <f>IF(9&lt;=核心参数输入!$B$9*4,(M23+M27)*IF(核心参数输入!$B$96=1,核心参数输入!$B$51,核心参数输入!$B$122),0)</f>
        <v>0</v>
      </c>
      <c r="N40" s="9">
        <f>IF(10&lt;=核心参数输入!$B$9*4,(N23+N27)*IF(核心参数输入!$B$96=1,核心参数输入!$B$51,核心参数输入!$B$122),0)</f>
        <v>0</v>
      </c>
      <c r="O40" s="9">
        <f>IF(11&lt;=核心参数输入!$B$9*4,(O23+O27)*IF(核心参数输入!$B$96=1,核心参数输入!$B$51,核心参数输入!$B$122),0)</f>
        <v>0</v>
      </c>
      <c r="P40" s="9">
        <f>IF(12&lt;=核心参数输入!$B$9*4,(P23+P27)*IF(核心参数输入!$B$96=1,核心参数输入!$B$51,核心参数输入!$B$122),0)</f>
        <v>0</v>
      </c>
      <c r="Q40" s="9">
        <f>IF(13&lt;=核心参数输入!$B$9*4,(Q23+Q27)*IF(核心参数输入!$B$96=1,核心参数输入!$B$51,核心参数输入!$B$122),0)</f>
        <v>0</v>
      </c>
      <c r="R40" s="9">
        <f>IF(14&lt;=核心参数输入!$B$9*4,(R23+R27)*IF(核心参数输入!$B$96=1,核心参数输入!$B$51,核心参数输入!$B$122),0)</f>
        <v>1.8640074374999998</v>
      </c>
      <c r="S40" s="9">
        <f>IF(15&lt;=核心参数输入!$B$9*4,(S23+S27)*IF(核心参数输入!$B$96=1,核心参数输入!$B$51,核心参数输入!$B$122),0)</f>
        <v>5.5920223124999984</v>
      </c>
      <c r="T40" s="9">
        <f>IF(16&lt;=核心参数输入!$B$9*4,(T23+T27)*IF(核心参数输入!$B$96=1,核心参数输入!$B$51,核心参数输入!$B$122),0)</f>
        <v>9.320037187499997</v>
      </c>
      <c r="U40" s="9">
        <f>IF(17&lt;=核心参数输入!$B$9*4,(U23+U27)*IF(核心参数输入!$B$96=1,核心参数输入!$B$51,核心参数输入!$B$122),0)</f>
        <v>13.243772843437497</v>
      </c>
      <c r="V40" s="9">
        <f>IF(18&lt;=核心参数输入!$B$9*4,(V23+V27)*IF(核心参数输入!$B$96=1,核心参数输入!$B$51,核心参数输入!$B$122),0)</f>
        <v>15.892527412125</v>
      </c>
      <c r="W40" s="9">
        <f>IF(19&lt;=核心参数输入!$B$9*4,(W23+W27)*IF(核心参数输入!$B$96=1,核心参数输入!$B$51,核心参数输入!$B$122),0)</f>
        <v>17.406101451374997</v>
      </c>
      <c r="X40" s="9">
        <f>IF(20&lt;=核心参数输入!$B$9*4,(X23+X27)*IF(核心参数输入!$B$96=1,核心参数输入!$B$51,核心参数输入!$B$122),0)</f>
        <v>18.919675490624993</v>
      </c>
      <c r="Y40" s="9">
        <f>IF(21&lt;=核心参数输入!$B$9*4,(Y23+Y27)*IF(核心参数输入!$B$96=1,核心参数输入!$B$51,核心参数输入!$B$122),0)</f>
        <v>20.739748272823118</v>
      </c>
      <c r="Z40" s="9">
        <f>IF(22&lt;=核心参数输入!$B$9*4,(Z23+Z27)*IF(核心参数输入!$B$96=1,核心参数输入!$B$51,核心参数输入!$B$122),0)</f>
        <v>22.083991216432018</v>
      </c>
      <c r="AA40" s="9">
        <f>IF(23&lt;=核心参数输入!$B$9*4,(AA23+AA27)*IF(核心参数输入!$B$96=1,核心参数输入!$B$51,核心参数输入!$B$122),0)</f>
        <v>23.236199453811086</v>
      </c>
      <c r="AB40" s="9">
        <f>IF(24&lt;=核心参数输入!$B$9*4,(AB23+AB27)*IF(核心参数输入!$B$96=1,核心参数输入!$B$51,核心参数输入!$B$122),0)</f>
        <v>24.388407691190146</v>
      </c>
      <c r="AC40" s="9">
        <f>IF(25&lt;=核心参数输入!$B$9*4,(AC23+AC27)*IF(核心参数输入!$B$96=1,核心参数输入!$B$51,核心参数输入!$B$122),0)</f>
        <v>25.92372516749775</v>
      </c>
      <c r="AD40" s="9">
        <f>IF(26&lt;=核心参数输入!$B$9*4,(AD23+AD27)*IF(核心参数输入!$B$96=1,核心参数输入!$B$51,核心参数输入!$B$122),0)</f>
        <v>26.70338607479091</v>
      </c>
      <c r="AE40" s="9">
        <f>IF(27&lt;=核心参数输入!$B$9*4,(AE23+AE27)*IF(核心参数输入!$B$96=1,核心参数输入!$B$51,核心参数输入!$B$122),0)</f>
        <v>27.093216528437491</v>
      </c>
      <c r="AF40" s="9">
        <f>IF(28&lt;=核心参数输入!$B$9*4,(AF23+AF27)*IF(核心参数输入!$B$96=1,核心参数输入!$B$51,核心参数输入!$B$122),0)</f>
        <v>27.483046982084073</v>
      </c>
      <c r="AG40" s="9">
        <f>IF(29&lt;=核心参数输入!$B$9*4,(AG23+AG27)*IF(核心参数输入!$B$96=1,核心参数输入!$B$51,核心参数输入!$B$122),0)</f>
        <v>28.290970597266607</v>
      </c>
      <c r="AH40" s="9">
        <f>IF(30&lt;=核心参数输入!$B$9*4,(AH23+AH27)*IF(核心参数输入!$B$96=1,核心参数输入!$B$51,核心参数输入!$B$122),0)</f>
        <v>28.488809552492249</v>
      </c>
      <c r="AI40" s="9">
        <f>IF(31&lt;=核心参数输入!$B$9*4,(AI23+AI27)*IF(核心参数输入!$B$96=1,核心参数输入!$B$51,核心参数输入!$B$122),0)</f>
        <v>28.488809552492249</v>
      </c>
      <c r="AJ40" s="9">
        <f>IF(32&lt;=核心参数输入!$B$9*4,(AJ23+AJ27)*IF(核心参数输入!$B$96=1,核心参数输入!$B$51,核心参数输入!$B$122),0)</f>
        <v>28.488809552492249</v>
      </c>
      <c r="AK40" s="9">
        <f>IF(33&lt;=核心参数输入!$B$9*4,(AK23+AK27)*IF(核心参数输入!$B$96=1,核心参数输入!$B$51,核心参数输入!$B$122),0)</f>
        <v>28.916141695779633</v>
      </c>
      <c r="AL40" s="9">
        <f>IF(34&lt;=核心参数输入!$B$9*4,(AL23+AL27)*IF(核心参数输入!$B$96=1,核心参数输入!$B$51,核心参数输入!$B$122),0)</f>
        <v>28.916141695779633</v>
      </c>
      <c r="AM40" s="9">
        <f>IF(35&lt;=核心参数输入!$B$9*4,(AM23+AM27)*IF(核心参数输入!$B$96=1,核心参数输入!$B$51,核心参数输入!$B$122),0)</f>
        <v>28.916141695779633</v>
      </c>
      <c r="AN40" s="9">
        <f>IF(36&lt;=核心参数输入!$B$9*4,(AN23+AN27)*IF(核心参数输入!$B$96=1,核心参数输入!$B$51,核心参数输入!$B$122),0)</f>
        <v>28.916141695779633</v>
      </c>
      <c r="AO40" s="9">
        <f>IF(37&lt;=核心参数输入!$B$9*4,(AO23+AO27)*IF(核心参数输入!$B$96=1,核心参数输入!$B$51,核心参数输入!$B$122),0)</f>
        <v>29.34988382121632</v>
      </c>
      <c r="AP40" s="9">
        <f>IF(38&lt;=核心参数输入!$B$9*4,(AP23+AP27)*IF(核心参数输入!$B$96=1,核心参数输入!$B$51,核心参数输入!$B$122),0)</f>
        <v>29.34988382121632</v>
      </c>
      <c r="AQ40" s="9">
        <f>IF(39&lt;=核心参数输入!$B$9*4,(AQ23+AQ27)*IF(核心参数输入!$B$96=1,核心参数输入!$B$51,核心参数输入!$B$122),0)</f>
        <v>29.34988382121632</v>
      </c>
      <c r="AR40" s="9">
        <f>IF(40&lt;=核心参数输入!$B$9*4,(AR23+AR27)*IF(核心参数输入!$B$96=1,核心参数输入!$B$51,核心参数输入!$B$122),0)</f>
        <v>29.34988382121632</v>
      </c>
      <c r="AS40" s="9">
        <f>IF(41&lt;=核心参数输入!$B$9*4,(AS23+AS27)*IF(核心参数输入!$B$96=1,核心参数输入!$B$51,核心参数输入!$B$122),0)</f>
        <v>29.790132078534562</v>
      </c>
      <c r="AT40" s="9">
        <f>IF(42&lt;=核心参数输入!$B$9*4,(AT23+AT27)*IF(核心参数输入!$B$96=1,核心参数输入!$B$51,核心参数输入!$B$122),0)</f>
        <v>29.790132078534562</v>
      </c>
      <c r="AU40" s="9">
        <f>IF(43&lt;=核心参数输入!$B$9*4,(AU23+AU27)*IF(核心参数输入!$B$96=1,核心参数输入!$B$51,核心参数输入!$B$122),0)</f>
        <v>29.790132078534562</v>
      </c>
      <c r="AV40" s="9">
        <f>IF(44&lt;=核心参数输入!$B$9*4,(AV23+AV27)*IF(核心参数输入!$B$96=1,核心参数输入!$B$51,核心参数输入!$B$122),0)</f>
        <v>29.790132078534562</v>
      </c>
      <c r="AW40" s="9">
        <f>IF(45&lt;=核心参数输入!$B$9*4,(AW23+AW27)*IF(核心参数输入!$B$96=1,核心参数输入!$B$51,核心参数输入!$B$122),0)</f>
        <v>30.236984059712579</v>
      </c>
      <c r="AX40" s="9">
        <f>IF(46&lt;=核心参数输入!$B$9*4,(AX23+AX27)*IF(核心参数输入!$B$96=1,核心参数输入!$B$51,核心参数输入!$B$122),0)</f>
        <v>30.236984059712579</v>
      </c>
      <c r="AY40" s="9">
        <f>IF(47&lt;=核心参数输入!$B$9*4,(AY23+AY27)*IF(核心参数输入!$B$96=1,核心参数输入!$B$51,核心参数输入!$B$122),0)</f>
        <v>30.236984059712579</v>
      </c>
      <c r="AZ40" s="9">
        <f>IF(48&lt;=核心参数输入!$B$9*4,(AZ23+AZ27)*IF(核心参数输入!$B$96=1,核心参数输入!$B$51,核心参数输入!$B$122),0)</f>
        <v>30.236984059712579</v>
      </c>
      <c r="BA40" s="9">
        <f>IF(49&lt;=核心参数输入!$B$9*4,(BA23+BA27)*IF(核心参数输入!$B$96=1,核心参数输入!$B$51,核心参数输入!$B$122),0)</f>
        <v>30.690538820608264</v>
      </c>
      <c r="BB40" s="9">
        <f>IF(50&lt;=核心参数输入!$B$9*4,(BB23+BB27)*IF(核心参数输入!$B$96=1,核心参数输入!$B$51,核心参数输入!$B$122),0)</f>
        <v>30.690538820608264</v>
      </c>
      <c r="BC40" s="9">
        <f>IF(51&lt;=核心参数输入!$B$9*4,(BC23+BC27)*IF(核心参数输入!$B$96=1,核心参数输入!$B$51,核心参数输入!$B$122),0)</f>
        <v>30.690538820608264</v>
      </c>
      <c r="BD40" s="9">
        <f>IF(52&lt;=核心参数输入!$B$9*4,(BD23+BD27)*IF(核心参数输入!$B$96=1,核心参数输入!$B$51,核心参数输入!$B$122),0)</f>
        <v>30.690538820608264</v>
      </c>
      <c r="BE40" s="9">
        <f>IF(53&lt;=核心参数输入!$B$9*4,(BE23+BE27)*IF(核心参数输入!$B$96=1,核心参数输入!$B$51,核心参数输入!$B$122),0)</f>
        <v>31.150896902917381</v>
      </c>
      <c r="BF40" s="9">
        <f>IF(54&lt;=核心参数输入!$B$9*4,(BF23+BF27)*IF(核心参数输入!$B$96=1,核心参数输入!$B$51,核心参数输入!$B$122),0)</f>
        <v>31.150896902917381</v>
      </c>
      <c r="BG40" s="9">
        <f>IF(55&lt;=核心参数输入!$B$9*4,(BG23+BG27)*IF(核心参数输入!$B$96=1,核心参数输入!$B$51,核心参数输入!$B$122),0)</f>
        <v>31.150896902917381</v>
      </c>
      <c r="BH40" s="9">
        <f>IF(56&lt;=核心参数输入!$B$9*4,(BH23+BH27)*IF(核心参数输入!$B$96=1,核心参数输入!$B$51,核心参数输入!$B$122),0)</f>
        <v>31.150896902917381</v>
      </c>
      <c r="BI40" s="9">
        <f>IF(57&lt;=核心参数输入!$B$9*4,(BI23+BI27)*IF(核心参数输入!$B$96=1,核心参数输入!$B$51,核心参数输入!$B$122),0)</f>
        <v>31.618160356461139</v>
      </c>
      <c r="BJ40" s="9">
        <f>IF(58&lt;=核心参数输入!$B$9*4,(BJ23+BJ27)*IF(核心参数输入!$B$96=1,核心参数输入!$B$51,核心参数输入!$B$122),0)</f>
        <v>31.618160356461139</v>
      </c>
      <c r="BK40" s="9">
        <f>IF(59&lt;=核心参数输入!$B$9*4,(BK23+BK27)*IF(核心参数输入!$B$96=1,核心参数输入!$B$51,核心参数输入!$B$122),0)</f>
        <v>31.618160356461139</v>
      </c>
      <c r="BL40" s="9">
        <f>IF(60&lt;=核心参数输入!$B$9*4,(BL23+BL27)*IF(核心参数输入!$B$96=1,核心参数输入!$B$51,核心参数输入!$B$122),0)</f>
        <v>31.618160356461139</v>
      </c>
      <c r="BM40" s="9">
        <f>IF(61&lt;=核心参数输入!$B$9*4,(BM23+BM27)*IF(核心参数输入!$B$96=1,核心参数输入!$B$51,核心参数输入!$B$122),0)</f>
        <v>32.092432761808048</v>
      </c>
      <c r="BN40" s="9">
        <f>IF(62&lt;=核心参数输入!$B$9*4,(BN23+BN27)*IF(核心参数输入!$B$96=1,核心参数输入!$B$51,核心参数输入!$B$122),0)</f>
        <v>32.092432761808048</v>
      </c>
      <c r="BO40" s="9">
        <f>IF(63&lt;=核心参数输入!$B$9*4,(BO23+BO27)*IF(核心参数输入!$B$96=1,核心参数输入!$B$51,核心参数输入!$B$122),0)</f>
        <v>32.092432761808048</v>
      </c>
      <c r="BP40" s="9">
        <f>IF(64&lt;=核心参数输入!$B$9*4,(BP23+BP27)*IF(核心参数输入!$B$96=1,核心参数输入!$B$51,核心参数输入!$B$122),0)</f>
        <v>32.092432761808048</v>
      </c>
      <c r="BQ40" s="9">
        <f>IF(65&lt;=核心参数输入!$B$9*4,(BQ23+BQ27)*IF(核心参数输入!$B$96=1,核心参数输入!$B$51,核心参数输入!$B$122),0)</f>
        <v>32.573819253235172</v>
      </c>
      <c r="BR40" s="9">
        <f>IF(66&lt;=核心参数输入!$B$9*4,(BR23+BR27)*IF(核心参数输入!$B$96=1,核心参数输入!$B$51,核心参数输入!$B$122),0)</f>
        <v>32.573819253235172</v>
      </c>
      <c r="BS40" s="9">
        <f>IF(67&lt;=核心参数输入!$B$9*4,(BS23+BS27)*IF(核心参数输入!$B$96=1,核心参数输入!$B$51,核心参数输入!$B$122),0)</f>
        <v>32.573819253235172</v>
      </c>
      <c r="BT40" s="9">
        <f>IF(68&lt;=核心参数输入!$B$9*4,(BT23+BT27)*IF(核心参数输入!$B$96=1,核心参数输入!$B$51,核心参数输入!$B$122),0)</f>
        <v>32.573819253235172</v>
      </c>
      <c r="BU40" s="9">
        <f>IF(69&lt;=核心参数输入!$B$9*4,(BU23+BU27)*IF(核心参数输入!$B$96=1,核心参数输入!$B$51,核心参数输入!$B$122),0)</f>
        <v>33.062426542033691</v>
      </c>
      <c r="BV40" s="9">
        <f>IF(70&lt;=核心参数输入!$B$9*4,(BV23+BV27)*IF(核心参数输入!$B$96=1,核心参数输入!$B$51,核心参数输入!$B$122),0)</f>
        <v>33.062426542033691</v>
      </c>
      <c r="BW40" s="9">
        <f>IF(71&lt;=核心参数输入!$B$9*4,(BW23+BW27)*IF(核心参数输入!$B$96=1,核心参数输入!$B$51,核心参数输入!$B$122),0)</f>
        <v>33.062426542033691</v>
      </c>
      <c r="BX40" s="9">
        <f>IF(72&lt;=核心参数输入!$B$9*4,(BX23+BX27)*IF(核心参数输入!$B$96=1,核心参数输入!$B$51,核心参数输入!$B$122),0)</f>
        <v>33.062426542033691</v>
      </c>
      <c r="BY40" s="9">
        <f>IF(73&lt;=核心参数输入!$B$9*4,(BY23+BY27)*IF(核心参数输入!$B$96=1,核心参数输入!$B$51,核心参数输入!$B$122),0)</f>
        <v>33.558362940164187</v>
      </c>
      <c r="BZ40" s="9">
        <f>IF(74&lt;=核心参数输入!$B$9*4,(BZ23+BZ27)*IF(核心参数输入!$B$96=1,核心参数输入!$B$51,核心参数输入!$B$122),0)</f>
        <v>33.558362940164187</v>
      </c>
      <c r="CA40" s="9">
        <f>IF(75&lt;=核心参数输入!$B$9*4,(CA23+CA27)*IF(核心参数输入!$B$96=1,核心参数输入!$B$51,核心参数输入!$B$122),0)</f>
        <v>33.558362940164187</v>
      </c>
      <c r="CB40" s="9">
        <f>IF(76&lt;=核心参数输入!$B$9*4,(CB23+CB27)*IF(核心参数输入!$B$96=1,核心参数输入!$B$51,核心参数输入!$B$122),0)</f>
        <v>33.558362940164187</v>
      </c>
      <c r="CC40" s="9">
        <f>IF(77&lt;=核心参数输入!$B$9*4,(CC23+CC27)*IF(核心参数输入!$B$96=1,核心参数输入!$B$51,核心参数输入!$B$122),0)</f>
        <v>34.06173838426664</v>
      </c>
      <c r="CD40" s="9">
        <f>IF(78&lt;=核心参数输入!$B$9*4,(CD23+CD27)*IF(核心参数输入!$B$96=1,核心参数输入!$B$51,核心参数输入!$B$122),0)</f>
        <v>34.06173838426664</v>
      </c>
      <c r="CE40" s="9">
        <f>IF(79&lt;=核心参数输入!$B$9*4,(CE23+CE27)*IF(核心参数输入!$B$96=1,核心参数输入!$B$51,核心参数输入!$B$122),0)</f>
        <v>34.06173838426664</v>
      </c>
      <c r="CF40" s="9">
        <f>IF(80&lt;=核心参数输入!$B$9*4,(CF23+CF27)*IF(核心参数输入!$B$96=1,核心参数输入!$B$51,核心参数输入!$B$122),0)</f>
        <v>34.06173838426664</v>
      </c>
      <c r="CG40" s="9">
        <f>IF(81&lt;=核心参数输入!$B$9*4,(CG23+CG27)*IF(核心参数输入!$B$96=1,核心参数输入!$B$51,核心参数输入!$B$122),0)</f>
        <v>0</v>
      </c>
      <c r="CH40" s="9">
        <f>IF(82&lt;=核心参数输入!$B$9*4,(CH23+CH27)*IF(核心参数输入!$B$96=1,核心参数输入!$B$51,核心参数输入!$B$122),0)</f>
        <v>0</v>
      </c>
      <c r="CI40" s="9">
        <f>IF(83&lt;=核心参数输入!$B$9*4,(CI23+CI27)*IF(核心参数输入!$B$96=1,核心参数输入!$B$51,核心参数输入!$B$122),0)</f>
        <v>0</v>
      </c>
      <c r="CJ40" s="9">
        <f>IF(84&lt;=核心参数输入!$B$9*4,(CJ23+CJ27)*IF(核心参数输入!$B$96=1,核心参数输入!$B$51,核心参数输入!$B$122),0)</f>
        <v>0</v>
      </c>
      <c r="CK40" s="9">
        <f>IF(85&lt;=核心参数输入!$B$9*4,(CK23+CK27)*IF(核心参数输入!$B$96=1,核心参数输入!$B$51,核心参数输入!$B$122),0)</f>
        <v>0</v>
      </c>
      <c r="CL40" s="9">
        <f>IF(86&lt;=核心参数输入!$B$9*4,(CL23+CL27)*IF(核心参数输入!$B$96=1,核心参数输入!$B$51,核心参数输入!$B$122),0)</f>
        <v>0</v>
      </c>
      <c r="CM40" s="9">
        <f>IF(87&lt;=核心参数输入!$B$9*4,(CM23+CM27)*IF(核心参数输入!$B$96=1,核心参数输入!$B$51,核心参数输入!$B$122),0)</f>
        <v>0</v>
      </c>
      <c r="CN40" s="9">
        <f>IF(88&lt;=核心参数输入!$B$9*4,(CN23+CN27)*IF(核心参数输入!$B$96=1,核心参数输入!$B$51,核心参数输入!$B$122),0)</f>
        <v>0</v>
      </c>
      <c r="CO40" s="9">
        <f>IF(89&lt;=核心参数输入!$B$9*4,(CO23+CO27)*IF(核心参数输入!$B$96=1,核心参数输入!$B$51,核心参数输入!$B$122),0)</f>
        <v>0</v>
      </c>
      <c r="CP40" s="9">
        <f>IF(90&lt;=核心参数输入!$B$9*4,(CP23+CP27)*IF(核心参数输入!$B$96=1,核心参数输入!$B$51,核心参数输入!$B$122),0)</f>
        <v>0</v>
      </c>
      <c r="CQ40" s="9">
        <f>IF(91&lt;=核心参数输入!$B$9*4,(CQ23+CQ27)*IF(核心参数输入!$B$96=1,核心参数输入!$B$51,核心参数输入!$B$122),0)</f>
        <v>0</v>
      </c>
      <c r="CR40" s="9">
        <f>IF(92&lt;=核心参数输入!$B$9*4,(CR23+CR27)*IF(核心参数输入!$B$96=1,核心参数输入!$B$51,核心参数输入!$B$122),0)</f>
        <v>0</v>
      </c>
      <c r="CS40" s="9">
        <f>IF(93&lt;=核心参数输入!$B$9*4,(CS23+CS27)*IF(核心参数输入!$B$96=1,核心参数输入!$B$51,核心参数输入!$B$122),0)</f>
        <v>0</v>
      </c>
      <c r="CT40" s="9">
        <f>IF(94&lt;=核心参数输入!$B$9*4,(CT23+CT27)*IF(核心参数输入!$B$96=1,核心参数输入!$B$51,核心参数输入!$B$122),0)</f>
        <v>0</v>
      </c>
      <c r="CU40" s="9">
        <f>IF(95&lt;=核心参数输入!$B$9*4,(CU23+CU27)*IF(核心参数输入!$B$96=1,核心参数输入!$B$51,核心参数输入!$B$122),0)</f>
        <v>0</v>
      </c>
      <c r="CV40" s="9">
        <f>IF(96&lt;=核心参数输入!$B$9*4,(CV23+CV27)*IF(核心参数输入!$B$96=1,核心参数输入!$B$51,核心参数输入!$B$122),0)</f>
        <v>0</v>
      </c>
      <c r="CW40" s="9">
        <f>IF(97&lt;=核心参数输入!$B$9*4,(CW23+CW27)*IF(核心参数输入!$B$96=1,核心参数输入!$B$51,核心参数输入!$B$122),0)</f>
        <v>0</v>
      </c>
      <c r="CX40" s="9">
        <f>IF(98&lt;=核心参数输入!$B$9*4,(CX23+CX27)*IF(核心参数输入!$B$96=1,核心参数输入!$B$51,核心参数输入!$B$122),0)</f>
        <v>0</v>
      </c>
      <c r="CY40" s="9">
        <f>IF(99&lt;=核心参数输入!$B$9*4,(CY23+CY27)*IF(核心参数输入!$B$96=1,核心参数输入!$B$51,核心参数输入!$B$122),0)</f>
        <v>0</v>
      </c>
      <c r="CZ40" s="9">
        <f>IF(100&lt;=核心参数输入!$B$9*4,(CZ23+CZ27)*IF(核心参数输入!$B$96=1,核心参数输入!$B$51,核心参数输入!$B$122),0)</f>
        <v>0</v>
      </c>
      <c r="DA40" s="9">
        <f>IF(101&lt;=核心参数输入!$B$9*4,(DA23+DA27)*IF(核心参数输入!$B$96=1,核心参数输入!$B$51,核心参数输入!$B$122),0)</f>
        <v>0</v>
      </c>
      <c r="DB40" s="9">
        <f>IF(102&lt;=核心参数输入!$B$9*4,(DB23+DB27)*IF(核心参数输入!$B$96=1,核心参数输入!$B$51,核心参数输入!$B$122),0)</f>
        <v>0</v>
      </c>
      <c r="DC40" s="9">
        <f>IF(103&lt;=核心参数输入!$B$9*4,(DC23+DC27)*IF(核心参数输入!$B$96=1,核心参数输入!$B$51,核心参数输入!$B$122),0)</f>
        <v>0</v>
      </c>
      <c r="DD40" s="9">
        <f>IF(104&lt;=核心参数输入!$B$9*4,(DD23+DD27)*IF(核心参数输入!$B$96=1,核心参数输入!$B$51,核心参数输入!$B$122),0)</f>
        <v>0</v>
      </c>
      <c r="DE40" s="9">
        <f>IF(105&lt;=核心参数输入!$B$9*4,(DE23+DE27)*IF(核心参数输入!$B$96=1,核心参数输入!$B$51,核心参数输入!$B$122),0)</f>
        <v>0</v>
      </c>
      <c r="DF40" s="9">
        <f>IF(106&lt;=核心参数输入!$B$9*4,(DF23+DF27)*IF(核心参数输入!$B$96=1,核心参数输入!$B$51,核心参数输入!$B$122),0)</f>
        <v>0</v>
      </c>
      <c r="DG40" s="9">
        <f>IF(107&lt;=核心参数输入!$B$9*4,(DG23+DG27)*IF(核心参数输入!$B$96=1,核心参数输入!$B$51,核心参数输入!$B$122),0)</f>
        <v>0</v>
      </c>
      <c r="DH40" s="9">
        <f>IF(108&lt;=核心参数输入!$B$9*4,(DH23+DH27)*IF(核心参数输入!$B$96=1,核心参数输入!$B$51,核心参数输入!$B$122),0)</f>
        <v>0</v>
      </c>
      <c r="DI40" s="9">
        <f>IF(109&lt;=核心参数输入!$B$9*4,(DI23+DI27)*IF(核心参数输入!$B$96=1,核心参数输入!$B$51,核心参数输入!$B$122),0)</f>
        <v>0</v>
      </c>
      <c r="DJ40" s="9">
        <f>IF(110&lt;=核心参数输入!$B$9*4,(DJ23+DJ27)*IF(核心参数输入!$B$96=1,核心参数输入!$B$51,核心参数输入!$B$122),0)</f>
        <v>0</v>
      </c>
      <c r="DK40" s="9">
        <f>IF(111&lt;=核心参数输入!$B$9*4,(DK23+DK27)*IF(核心参数输入!$B$96=1,核心参数输入!$B$51,核心参数输入!$B$122),0)</f>
        <v>0</v>
      </c>
      <c r="DL40" s="9">
        <f>IF(112&lt;=核心参数输入!$B$9*4,(DL23+DL27)*IF(核心参数输入!$B$96=1,核心参数输入!$B$51,核心参数输入!$B$122),0)</f>
        <v>0</v>
      </c>
      <c r="DM40" s="9">
        <f>IF(113&lt;=核心参数输入!$B$9*4,(DM23+DM27)*IF(核心参数输入!$B$96=1,核心参数输入!$B$51,核心参数输入!$B$122),0)</f>
        <v>0</v>
      </c>
      <c r="DN40" s="9">
        <f>IF(114&lt;=核心参数输入!$B$9*4,(DN23+DN27)*IF(核心参数输入!$B$96=1,核心参数输入!$B$51,核心参数输入!$B$122),0)</f>
        <v>0</v>
      </c>
      <c r="DO40" s="9">
        <f>IF(115&lt;=核心参数输入!$B$9*4,(DO23+DO27)*IF(核心参数输入!$B$96=1,核心参数输入!$B$51,核心参数输入!$B$122),0)</f>
        <v>0</v>
      </c>
      <c r="DP40" s="9">
        <f>IF(116&lt;=核心参数输入!$B$9*4,(DP23+DP27)*IF(核心参数输入!$B$96=1,核心参数输入!$B$51,核心参数输入!$B$122),0)</f>
        <v>0</v>
      </c>
      <c r="DQ40" s="9">
        <f>IF(117&lt;=核心参数输入!$B$9*4,(DQ23+DQ27)*IF(核心参数输入!$B$96=1,核心参数输入!$B$51,核心参数输入!$B$122),0)</f>
        <v>0</v>
      </c>
      <c r="DR40" s="9">
        <f>IF(118&lt;=核心参数输入!$B$9*4,(DR23+DR27)*IF(核心参数输入!$B$96=1,核心参数输入!$B$51,核心参数输入!$B$122),0)</f>
        <v>0</v>
      </c>
      <c r="DS40" s="9">
        <f>IF(119&lt;=核心参数输入!$B$9*4,(DS23+DS27)*IF(核心参数输入!$B$96=1,核心参数输入!$B$51,核心参数输入!$B$122),0)</f>
        <v>0</v>
      </c>
      <c r="DT40" s="9">
        <f>IF(120&lt;=核心参数输入!$B$9*4,(DT23+DT27)*IF(核心参数输入!$B$96=1,核心参数输入!$B$51,核心参数输入!$B$122),0)</f>
        <v>0</v>
      </c>
    </row>
    <row r="41" spans="1:124" ht="21" customHeight="1">
      <c r="A41" s="8" t="s">
        <v>473</v>
      </c>
      <c r="B41" s="8" t="s">
        <v>39</v>
      </c>
      <c r="C41" s="8"/>
      <c r="D41" s="9">
        <f>IF(0&lt;=核心参数输入!$B$9*4,IF(AND(0&gt;(核心参数输入!$B$16*4+(核心参数输入!$B$148)),0&lt;=(核心参数输入!$B$16*4+(核心参数输入!$B$148))+核心参数输入!$B$53*4),季度投融资!$B$23*(1-核心参数输入!$B$54)/核心参数输入!$B$53/4,0),0)</f>
        <v>0</v>
      </c>
      <c r="E41" s="9">
        <f>IF(1&lt;=核心参数输入!$B$9*4,IF(AND(1&gt;(核心参数输入!$B$16*4+(核心参数输入!$B$148)),1&lt;=(核心参数输入!$B$16*4+(核心参数输入!$B$148))+核心参数输入!$B$53*4),季度投融资!$B$23*(1-核心参数输入!$B$54)/核心参数输入!$B$53/4,0),0)</f>
        <v>0</v>
      </c>
      <c r="F41" s="9">
        <f>IF(2&lt;=核心参数输入!$B$9*4,IF(AND(2&gt;(核心参数输入!$B$16*4+(核心参数输入!$B$148)),2&lt;=(核心参数输入!$B$16*4+(核心参数输入!$B$148))+核心参数输入!$B$53*4),季度投融资!$B$23*(1-核心参数输入!$B$54)/核心参数输入!$B$53/4,0),0)</f>
        <v>0</v>
      </c>
      <c r="G41" s="9">
        <f>IF(3&lt;=核心参数输入!$B$9*4,IF(AND(3&gt;(核心参数输入!$B$16*4+(核心参数输入!$B$148)),3&lt;=(核心参数输入!$B$16*4+(核心参数输入!$B$148))+核心参数输入!$B$53*4),季度投融资!$B$23*(1-核心参数输入!$B$54)/核心参数输入!$B$53/4,0),0)</f>
        <v>0</v>
      </c>
      <c r="H41" s="9">
        <f>IF(4&lt;=核心参数输入!$B$9*4,IF(AND(4&gt;(核心参数输入!$B$16*4+(核心参数输入!$B$148)),4&lt;=(核心参数输入!$B$16*4+(核心参数输入!$B$148))+核心参数输入!$B$53*4),季度投融资!$B$23*(1-核心参数输入!$B$54)/核心参数输入!$B$53/4,0),0)</f>
        <v>0</v>
      </c>
      <c r="I41" s="9">
        <f>IF(5&lt;=核心参数输入!$B$9*4,IF(AND(5&gt;(核心参数输入!$B$16*4+(核心参数输入!$B$148)),5&lt;=(核心参数输入!$B$16*4+(核心参数输入!$B$148))+核心参数输入!$B$53*4),季度投融资!$B$23*(1-核心参数输入!$B$54)/核心参数输入!$B$53/4,0),0)</f>
        <v>0</v>
      </c>
      <c r="J41" s="9">
        <f>IF(6&lt;=核心参数输入!$B$9*4,IF(AND(6&gt;(核心参数输入!$B$16*4+(核心参数输入!$B$148)),6&lt;=(核心参数输入!$B$16*4+(核心参数输入!$B$148))+核心参数输入!$B$53*4),季度投融资!$B$23*(1-核心参数输入!$B$54)/核心参数输入!$B$53/4,0),0)</f>
        <v>0</v>
      </c>
      <c r="K41" s="9">
        <f>IF(7&lt;=核心参数输入!$B$9*4,IF(AND(7&gt;(核心参数输入!$B$16*4+(核心参数输入!$B$148)),7&lt;=(核心参数输入!$B$16*4+(核心参数输入!$B$148))+核心参数输入!$B$53*4),季度投融资!$B$23*(1-核心参数输入!$B$54)/核心参数输入!$B$53/4,0),0)</f>
        <v>0</v>
      </c>
      <c r="L41" s="9">
        <f>IF(8&lt;=核心参数输入!$B$9*4,IF(AND(8&gt;(核心参数输入!$B$16*4+(核心参数输入!$B$148)),8&lt;=(核心参数输入!$B$16*4+(核心参数输入!$B$148))+核心参数输入!$B$53*4),季度投融资!$B$23*(1-核心参数输入!$B$54)/核心参数输入!$B$53/4,0),0)</f>
        <v>0</v>
      </c>
      <c r="M41" s="9">
        <f>IF(9&lt;=核心参数输入!$B$9*4,IF(AND(9&gt;(核心参数输入!$B$16*4+(核心参数输入!$B$148)),9&lt;=(核心参数输入!$B$16*4+(核心参数输入!$B$148))+核心参数输入!$B$53*4),季度投融资!$B$23*(1-核心参数输入!$B$54)/核心参数输入!$B$53/4,0),0)</f>
        <v>0</v>
      </c>
      <c r="N41" s="9">
        <f>IF(10&lt;=核心参数输入!$B$9*4,IF(AND(10&gt;(核心参数输入!$B$16*4+(核心参数输入!$B$148)),10&lt;=(核心参数输入!$B$16*4+(核心参数输入!$B$148))+核心参数输入!$B$53*4),季度投融资!$B$23*(1-核心参数输入!$B$54)/核心参数输入!$B$53/4,0),0)</f>
        <v>0</v>
      </c>
      <c r="O41" s="9">
        <f>IF(11&lt;=核心参数输入!$B$9*4,IF(AND(11&gt;(核心参数输入!$B$16*4+(核心参数输入!$B$148)),11&lt;=(核心参数输入!$B$16*4+(核心参数输入!$B$148))+核心参数输入!$B$53*4),季度投融资!$B$23*(1-核心参数输入!$B$54)/核心参数输入!$B$53/4,0),0)</f>
        <v>0</v>
      </c>
      <c r="P41" s="9">
        <f>IF(12&lt;=核心参数输入!$B$9*4,IF(AND(12&gt;(核心参数输入!$B$16*4+(核心参数输入!$B$148)),12&lt;=(核心参数输入!$B$16*4+(核心参数输入!$B$148))+核心参数输入!$B$53*4),季度投融资!$B$23*(1-核心参数输入!$B$54)/核心参数输入!$B$53/4,0),0)</f>
        <v>0</v>
      </c>
      <c r="Q41" s="9">
        <f>IF(13&lt;=核心参数输入!$B$9*4,IF(AND(13&gt;(核心参数输入!$B$16*4+(核心参数输入!$B$148)),13&lt;=(核心参数输入!$B$16*4+(核心参数输入!$B$148))+核心参数输入!$B$53*4),季度投融资!$B$23*(1-核心参数输入!$B$54)/核心参数输入!$B$53/4,0),0)</f>
        <v>188.52749999999997</v>
      </c>
      <c r="R41" s="9">
        <f>IF(14&lt;=核心参数输入!$B$9*4,IF(AND(14&gt;(核心参数输入!$B$16*4+(核心参数输入!$B$148)),14&lt;=(核心参数输入!$B$16*4+(核心参数输入!$B$148))+核心参数输入!$B$53*4),季度投融资!$B$23*(1-核心参数输入!$B$54)/核心参数输入!$B$53/4,0),0)</f>
        <v>188.52749999999997</v>
      </c>
      <c r="S41" s="9">
        <f>IF(15&lt;=核心参数输入!$B$9*4,IF(AND(15&gt;(核心参数输入!$B$16*4+(核心参数输入!$B$148)),15&lt;=(核心参数输入!$B$16*4+(核心参数输入!$B$148))+核心参数输入!$B$53*4),季度投融资!$B$23*(1-核心参数输入!$B$54)/核心参数输入!$B$53/4,0),0)</f>
        <v>188.52749999999997</v>
      </c>
      <c r="T41" s="9">
        <f>IF(16&lt;=核心参数输入!$B$9*4,IF(AND(16&gt;(核心参数输入!$B$16*4+(核心参数输入!$B$148)),16&lt;=(核心参数输入!$B$16*4+(核心参数输入!$B$148))+核心参数输入!$B$53*4),季度投融资!$B$23*(1-核心参数输入!$B$54)/核心参数输入!$B$53/4,0),0)</f>
        <v>188.52749999999997</v>
      </c>
      <c r="U41" s="9">
        <f>IF(17&lt;=核心参数输入!$B$9*4,IF(AND(17&gt;(核心参数输入!$B$16*4+(核心参数输入!$B$148)),17&lt;=(核心参数输入!$B$16*4+(核心参数输入!$B$148))+核心参数输入!$B$53*4),季度投融资!$B$23*(1-核心参数输入!$B$54)/核心参数输入!$B$53/4,0),0)</f>
        <v>188.52749999999997</v>
      </c>
      <c r="V41" s="9">
        <f>IF(18&lt;=核心参数输入!$B$9*4,IF(AND(18&gt;(核心参数输入!$B$16*4+(核心参数输入!$B$148)),18&lt;=(核心参数输入!$B$16*4+(核心参数输入!$B$148))+核心参数输入!$B$53*4),季度投融资!$B$23*(1-核心参数输入!$B$54)/核心参数输入!$B$53/4,0),0)</f>
        <v>188.52749999999997</v>
      </c>
      <c r="W41" s="9">
        <f>IF(19&lt;=核心参数输入!$B$9*4,IF(AND(19&gt;(核心参数输入!$B$16*4+(核心参数输入!$B$148)),19&lt;=(核心参数输入!$B$16*4+(核心参数输入!$B$148))+核心参数输入!$B$53*4),季度投融资!$B$23*(1-核心参数输入!$B$54)/核心参数输入!$B$53/4,0),0)</f>
        <v>188.52749999999997</v>
      </c>
      <c r="X41" s="9">
        <f>IF(20&lt;=核心参数输入!$B$9*4,IF(AND(20&gt;(核心参数输入!$B$16*4+(核心参数输入!$B$148)),20&lt;=(核心参数输入!$B$16*4+(核心参数输入!$B$148))+核心参数输入!$B$53*4),季度投融资!$B$23*(1-核心参数输入!$B$54)/核心参数输入!$B$53/4,0),0)</f>
        <v>188.52749999999997</v>
      </c>
      <c r="Y41" s="9">
        <f>IF(21&lt;=核心参数输入!$B$9*4,IF(AND(21&gt;(核心参数输入!$B$16*4+(核心参数输入!$B$148)),21&lt;=(核心参数输入!$B$16*4+(核心参数输入!$B$148))+核心参数输入!$B$53*4),季度投融资!$B$23*(1-核心参数输入!$B$54)/核心参数输入!$B$53/4,0),0)</f>
        <v>188.52749999999997</v>
      </c>
      <c r="Z41" s="9">
        <f>IF(22&lt;=核心参数输入!$B$9*4,IF(AND(22&gt;(核心参数输入!$B$16*4+(核心参数输入!$B$148)),22&lt;=(核心参数输入!$B$16*4+(核心参数输入!$B$148))+核心参数输入!$B$53*4),季度投融资!$B$23*(1-核心参数输入!$B$54)/核心参数输入!$B$53/4,0),0)</f>
        <v>188.52749999999997</v>
      </c>
      <c r="AA41" s="9">
        <f>IF(23&lt;=核心参数输入!$B$9*4,IF(AND(23&gt;(核心参数输入!$B$16*4+(核心参数输入!$B$148)),23&lt;=(核心参数输入!$B$16*4+(核心参数输入!$B$148))+核心参数输入!$B$53*4),季度投融资!$B$23*(1-核心参数输入!$B$54)/核心参数输入!$B$53/4,0),0)</f>
        <v>188.52749999999997</v>
      </c>
      <c r="AB41" s="9">
        <f>IF(24&lt;=核心参数输入!$B$9*4,IF(AND(24&gt;(核心参数输入!$B$16*4+(核心参数输入!$B$148)),24&lt;=(核心参数输入!$B$16*4+(核心参数输入!$B$148))+核心参数输入!$B$53*4),季度投融资!$B$23*(1-核心参数输入!$B$54)/核心参数输入!$B$53/4,0),0)</f>
        <v>188.52749999999997</v>
      </c>
      <c r="AC41" s="9">
        <f>IF(25&lt;=核心参数输入!$B$9*4,IF(AND(25&gt;(核心参数输入!$B$16*4+(核心参数输入!$B$148)),25&lt;=(核心参数输入!$B$16*4+(核心参数输入!$B$148))+核心参数输入!$B$53*4),季度投融资!$B$23*(1-核心参数输入!$B$54)/核心参数输入!$B$53/4,0),0)</f>
        <v>188.52749999999997</v>
      </c>
      <c r="AD41" s="9">
        <f>IF(26&lt;=核心参数输入!$B$9*4,IF(AND(26&gt;(核心参数输入!$B$16*4+(核心参数输入!$B$148)),26&lt;=(核心参数输入!$B$16*4+(核心参数输入!$B$148))+核心参数输入!$B$53*4),季度投融资!$B$23*(1-核心参数输入!$B$54)/核心参数输入!$B$53/4,0),0)</f>
        <v>188.52749999999997</v>
      </c>
      <c r="AE41" s="9">
        <f>IF(27&lt;=核心参数输入!$B$9*4,IF(AND(27&gt;(核心参数输入!$B$16*4+(核心参数输入!$B$148)),27&lt;=(核心参数输入!$B$16*4+(核心参数输入!$B$148))+核心参数输入!$B$53*4),季度投融资!$B$23*(1-核心参数输入!$B$54)/核心参数输入!$B$53/4,0),0)</f>
        <v>188.52749999999997</v>
      </c>
      <c r="AF41" s="9">
        <f>IF(28&lt;=核心参数输入!$B$9*4,IF(AND(28&gt;(核心参数输入!$B$16*4+(核心参数输入!$B$148)),28&lt;=(核心参数输入!$B$16*4+(核心参数输入!$B$148))+核心参数输入!$B$53*4),季度投融资!$B$23*(1-核心参数输入!$B$54)/核心参数输入!$B$53/4,0),0)</f>
        <v>188.52749999999997</v>
      </c>
      <c r="AG41" s="9">
        <f>IF(29&lt;=核心参数输入!$B$9*4,IF(AND(29&gt;(核心参数输入!$B$16*4+(核心参数输入!$B$148)),29&lt;=(核心参数输入!$B$16*4+(核心参数输入!$B$148))+核心参数输入!$B$53*4),季度投融资!$B$23*(1-核心参数输入!$B$54)/核心参数输入!$B$53/4,0),0)</f>
        <v>188.52749999999997</v>
      </c>
      <c r="AH41" s="9">
        <f>IF(30&lt;=核心参数输入!$B$9*4,IF(AND(30&gt;(核心参数输入!$B$16*4+(核心参数输入!$B$148)),30&lt;=(核心参数输入!$B$16*4+(核心参数输入!$B$148))+核心参数输入!$B$53*4),季度投融资!$B$23*(1-核心参数输入!$B$54)/核心参数输入!$B$53/4,0),0)</f>
        <v>188.52749999999997</v>
      </c>
      <c r="AI41" s="9">
        <f>IF(31&lt;=核心参数输入!$B$9*4,IF(AND(31&gt;(核心参数输入!$B$16*4+(核心参数输入!$B$148)),31&lt;=(核心参数输入!$B$16*4+(核心参数输入!$B$148))+核心参数输入!$B$53*4),季度投融资!$B$23*(1-核心参数输入!$B$54)/核心参数输入!$B$53/4,0),0)</f>
        <v>188.52749999999997</v>
      </c>
      <c r="AJ41" s="9">
        <f>IF(32&lt;=核心参数输入!$B$9*4,IF(AND(32&gt;(核心参数输入!$B$16*4+(核心参数输入!$B$148)),32&lt;=(核心参数输入!$B$16*4+(核心参数输入!$B$148))+核心参数输入!$B$53*4),季度投融资!$B$23*(1-核心参数输入!$B$54)/核心参数输入!$B$53/4,0),0)</f>
        <v>188.52749999999997</v>
      </c>
      <c r="AK41" s="9">
        <f>IF(33&lt;=核心参数输入!$B$9*4,IF(AND(33&gt;(核心参数输入!$B$16*4+(核心参数输入!$B$148)),33&lt;=(核心参数输入!$B$16*4+(核心参数输入!$B$148))+核心参数输入!$B$53*4),季度投融资!$B$23*(1-核心参数输入!$B$54)/核心参数输入!$B$53/4,0),0)</f>
        <v>188.52749999999997</v>
      </c>
      <c r="AL41" s="9">
        <f>IF(34&lt;=核心参数输入!$B$9*4,IF(AND(34&gt;(核心参数输入!$B$16*4+(核心参数输入!$B$148)),34&lt;=(核心参数输入!$B$16*4+(核心参数输入!$B$148))+核心参数输入!$B$53*4),季度投融资!$B$23*(1-核心参数输入!$B$54)/核心参数输入!$B$53/4,0),0)</f>
        <v>188.52749999999997</v>
      </c>
      <c r="AM41" s="9">
        <f>IF(35&lt;=核心参数输入!$B$9*4,IF(AND(35&gt;(核心参数输入!$B$16*4+(核心参数输入!$B$148)),35&lt;=(核心参数输入!$B$16*4+(核心参数输入!$B$148))+核心参数输入!$B$53*4),季度投融资!$B$23*(1-核心参数输入!$B$54)/核心参数输入!$B$53/4,0),0)</f>
        <v>188.52749999999997</v>
      </c>
      <c r="AN41" s="9">
        <f>IF(36&lt;=核心参数输入!$B$9*4,IF(AND(36&gt;(核心参数输入!$B$16*4+(核心参数输入!$B$148)),36&lt;=(核心参数输入!$B$16*4+(核心参数输入!$B$148))+核心参数输入!$B$53*4),季度投融资!$B$23*(1-核心参数输入!$B$54)/核心参数输入!$B$53/4,0),0)</f>
        <v>188.52749999999997</v>
      </c>
      <c r="AO41" s="9">
        <f>IF(37&lt;=核心参数输入!$B$9*4,IF(AND(37&gt;(核心参数输入!$B$16*4+(核心参数输入!$B$148)),37&lt;=(核心参数输入!$B$16*4+(核心参数输入!$B$148))+核心参数输入!$B$53*4),季度投融资!$B$23*(1-核心参数输入!$B$54)/核心参数输入!$B$53/4,0),0)</f>
        <v>188.52749999999997</v>
      </c>
      <c r="AP41" s="9">
        <f>IF(38&lt;=核心参数输入!$B$9*4,IF(AND(38&gt;(核心参数输入!$B$16*4+(核心参数输入!$B$148)),38&lt;=(核心参数输入!$B$16*4+(核心参数输入!$B$148))+核心参数输入!$B$53*4),季度投融资!$B$23*(1-核心参数输入!$B$54)/核心参数输入!$B$53/4,0),0)</f>
        <v>188.52749999999997</v>
      </c>
      <c r="AQ41" s="9">
        <f>IF(39&lt;=核心参数输入!$B$9*4,IF(AND(39&gt;(核心参数输入!$B$16*4+(核心参数输入!$B$148)),39&lt;=(核心参数输入!$B$16*4+(核心参数输入!$B$148))+核心参数输入!$B$53*4),季度投融资!$B$23*(1-核心参数输入!$B$54)/核心参数输入!$B$53/4,0),0)</f>
        <v>188.52749999999997</v>
      </c>
      <c r="AR41" s="9">
        <f>IF(40&lt;=核心参数输入!$B$9*4,IF(AND(40&gt;(核心参数输入!$B$16*4+(核心参数输入!$B$148)),40&lt;=(核心参数输入!$B$16*4+(核心参数输入!$B$148))+核心参数输入!$B$53*4),季度投融资!$B$23*(1-核心参数输入!$B$54)/核心参数输入!$B$53/4,0),0)</f>
        <v>188.52749999999997</v>
      </c>
      <c r="AS41" s="9">
        <f>IF(41&lt;=核心参数输入!$B$9*4,IF(AND(41&gt;(核心参数输入!$B$16*4+(核心参数输入!$B$148)),41&lt;=(核心参数输入!$B$16*4+(核心参数输入!$B$148))+核心参数输入!$B$53*4),季度投融资!$B$23*(1-核心参数输入!$B$54)/核心参数输入!$B$53/4,0),0)</f>
        <v>188.52749999999997</v>
      </c>
      <c r="AT41" s="9">
        <f>IF(42&lt;=核心参数输入!$B$9*4,IF(AND(42&gt;(核心参数输入!$B$16*4+(核心参数输入!$B$148)),42&lt;=(核心参数输入!$B$16*4+(核心参数输入!$B$148))+核心参数输入!$B$53*4),季度投融资!$B$23*(1-核心参数输入!$B$54)/核心参数输入!$B$53/4,0),0)</f>
        <v>188.52749999999997</v>
      </c>
      <c r="AU41" s="9">
        <f>IF(43&lt;=核心参数输入!$B$9*4,IF(AND(43&gt;(核心参数输入!$B$16*4+(核心参数输入!$B$148)),43&lt;=(核心参数输入!$B$16*4+(核心参数输入!$B$148))+核心参数输入!$B$53*4),季度投融资!$B$23*(1-核心参数输入!$B$54)/核心参数输入!$B$53/4,0),0)</f>
        <v>188.52749999999997</v>
      </c>
      <c r="AV41" s="9">
        <f>IF(44&lt;=核心参数输入!$B$9*4,IF(AND(44&gt;(核心参数输入!$B$16*4+(核心参数输入!$B$148)),44&lt;=(核心参数输入!$B$16*4+(核心参数输入!$B$148))+核心参数输入!$B$53*4),季度投融资!$B$23*(1-核心参数输入!$B$54)/核心参数输入!$B$53/4,0),0)</f>
        <v>188.52749999999997</v>
      </c>
      <c r="AW41" s="9">
        <f>IF(45&lt;=核心参数输入!$B$9*4,IF(AND(45&gt;(核心参数输入!$B$16*4+(核心参数输入!$B$148)),45&lt;=(核心参数输入!$B$16*4+(核心参数输入!$B$148))+核心参数输入!$B$53*4),季度投融资!$B$23*(1-核心参数输入!$B$54)/核心参数输入!$B$53/4,0),0)</f>
        <v>188.52749999999997</v>
      </c>
      <c r="AX41" s="9">
        <f>IF(46&lt;=核心参数输入!$B$9*4,IF(AND(46&gt;(核心参数输入!$B$16*4+(核心参数输入!$B$148)),46&lt;=(核心参数输入!$B$16*4+(核心参数输入!$B$148))+核心参数输入!$B$53*4),季度投融资!$B$23*(1-核心参数输入!$B$54)/核心参数输入!$B$53/4,0),0)</f>
        <v>188.52749999999997</v>
      </c>
      <c r="AY41" s="9">
        <f>IF(47&lt;=核心参数输入!$B$9*4,IF(AND(47&gt;(核心参数输入!$B$16*4+(核心参数输入!$B$148)),47&lt;=(核心参数输入!$B$16*4+(核心参数输入!$B$148))+核心参数输入!$B$53*4),季度投融资!$B$23*(1-核心参数输入!$B$54)/核心参数输入!$B$53/4,0),0)</f>
        <v>188.52749999999997</v>
      </c>
      <c r="AZ41" s="9">
        <f>IF(48&lt;=核心参数输入!$B$9*4,IF(AND(48&gt;(核心参数输入!$B$16*4+(核心参数输入!$B$148)),48&lt;=(核心参数输入!$B$16*4+(核心参数输入!$B$148))+核心参数输入!$B$53*4),季度投融资!$B$23*(1-核心参数输入!$B$54)/核心参数输入!$B$53/4,0),0)</f>
        <v>188.52749999999997</v>
      </c>
      <c r="BA41" s="9">
        <f>IF(49&lt;=核心参数输入!$B$9*4,IF(AND(49&gt;(核心参数输入!$B$16*4+(核心参数输入!$B$148)),49&lt;=(核心参数输入!$B$16*4+(核心参数输入!$B$148))+核心参数输入!$B$53*4),季度投融资!$B$23*(1-核心参数输入!$B$54)/核心参数输入!$B$53/4,0),0)</f>
        <v>188.52749999999997</v>
      </c>
      <c r="BB41" s="9">
        <f>IF(50&lt;=核心参数输入!$B$9*4,IF(AND(50&gt;(核心参数输入!$B$16*4+(核心参数输入!$B$148)),50&lt;=(核心参数输入!$B$16*4+(核心参数输入!$B$148))+核心参数输入!$B$53*4),季度投融资!$B$23*(1-核心参数输入!$B$54)/核心参数输入!$B$53/4,0),0)</f>
        <v>188.52749999999997</v>
      </c>
      <c r="BC41" s="9">
        <f>IF(51&lt;=核心参数输入!$B$9*4,IF(AND(51&gt;(核心参数输入!$B$16*4+(核心参数输入!$B$148)),51&lt;=(核心参数输入!$B$16*4+(核心参数输入!$B$148))+核心参数输入!$B$53*4),季度投融资!$B$23*(1-核心参数输入!$B$54)/核心参数输入!$B$53/4,0),0)</f>
        <v>188.52749999999997</v>
      </c>
      <c r="BD41" s="9">
        <f>IF(52&lt;=核心参数输入!$B$9*4,IF(AND(52&gt;(核心参数输入!$B$16*4+(核心参数输入!$B$148)),52&lt;=(核心参数输入!$B$16*4+(核心参数输入!$B$148))+核心参数输入!$B$53*4),季度投融资!$B$23*(1-核心参数输入!$B$54)/核心参数输入!$B$53/4,0),0)</f>
        <v>188.52749999999997</v>
      </c>
      <c r="BE41" s="9">
        <f>IF(53&lt;=核心参数输入!$B$9*4,IF(AND(53&gt;(核心参数输入!$B$16*4+(核心参数输入!$B$148)),53&lt;=(核心参数输入!$B$16*4+(核心参数输入!$B$148))+核心参数输入!$B$53*4),季度投融资!$B$23*(1-核心参数输入!$B$54)/核心参数输入!$B$53/4,0),0)</f>
        <v>188.52749999999997</v>
      </c>
      <c r="BF41" s="9">
        <f>IF(54&lt;=核心参数输入!$B$9*4,IF(AND(54&gt;(核心参数输入!$B$16*4+(核心参数输入!$B$148)),54&lt;=(核心参数输入!$B$16*4+(核心参数输入!$B$148))+核心参数输入!$B$53*4),季度投融资!$B$23*(1-核心参数输入!$B$54)/核心参数输入!$B$53/4,0),0)</f>
        <v>188.52749999999997</v>
      </c>
      <c r="BG41" s="9">
        <f>IF(55&lt;=核心参数输入!$B$9*4,IF(AND(55&gt;(核心参数输入!$B$16*4+(核心参数输入!$B$148)),55&lt;=(核心参数输入!$B$16*4+(核心参数输入!$B$148))+核心参数输入!$B$53*4),季度投融资!$B$23*(1-核心参数输入!$B$54)/核心参数输入!$B$53/4,0),0)</f>
        <v>188.52749999999997</v>
      </c>
      <c r="BH41" s="9">
        <f>IF(56&lt;=核心参数输入!$B$9*4,IF(AND(56&gt;(核心参数输入!$B$16*4+(核心参数输入!$B$148)),56&lt;=(核心参数输入!$B$16*4+(核心参数输入!$B$148))+核心参数输入!$B$53*4),季度投融资!$B$23*(1-核心参数输入!$B$54)/核心参数输入!$B$53/4,0),0)</f>
        <v>188.52749999999997</v>
      </c>
      <c r="BI41" s="9">
        <f>IF(57&lt;=核心参数输入!$B$9*4,IF(AND(57&gt;(核心参数输入!$B$16*4+(核心参数输入!$B$148)),57&lt;=(核心参数输入!$B$16*4+(核心参数输入!$B$148))+核心参数输入!$B$53*4),季度投融资!$B$23*(1-核心参数输入!$B$54)/核心参数输入!$B$53/4,0),0)</f>
        <v>188.52749999999997</v>
      </c>
      <c r="BJ41" s="9">
        <f>IF(58&lt;=核心参数输入!$B$9*4,IF(AND(58&gt;(核心参数输入!$B$16*4+(核心参数输入!$B$148)),58&lt;=(核心参数输入!$B$16*4+(核心参数输入!$B$148))+核心参数输入!$B$53*4),季度投融资!$B$23*(1-核心参数输入!$B$54)/核心参数输入!$B$53/4,0),0)</f>
        <v>188.52749999999997</v>
      </c>
      <c r="BK41" s="9">
        <f>IF(59&lt;=核心参数输入!$B$9*4,IF(AND(59&gt;(核心参数输入!$B$16*4+(核心参数输入!$B$148)),59&lt;=(核心参数输入!$B$16*4+(核心参数输入!$B$148))+核心参数输入!$B$53*4),季度投融资!$B$23*(1-核心参数输入!$B$54)/核心参数输入!$B$53/4,0),0)</f>
        <v>188.52749999999997</v>
      </c>
      <c r="BL41" s="9">
        <f>IF(60&lt;=核心参数输入!$B$9*4,IF(AND(60&gt;(核心参数输入!$B$16*4+(核心参数输入!$B$148)),60&lt;=(核心参数输入!$B$16*4+(核心参数输入!$B$148))+核心参数输入!$B$53*4),季度投融资!$B$23*(1-核心参数输入!$B$54)/核心参数输入!$B$53/4,0),0)</f>
        <v>188.52749999999997</v>
      </c>
      <c r="BM41" s="9">
        <f>IF(61&lt;=核心参数输入!$B$9*4,IF(AND(61&gt;(核心参数输入!$B$16*4+(核心参数输入!$B$148)),61&lt;=(核心参数输入!$B$16*4+(核心参数输入!$B$148))+核心参数输入!$B$53*4),季度投融资!$B$23*(1-核心参数输入!$B$54)/核心参数输入!$B$53/4,0),0)</f>
        <v>188.52749999999997</v>
      </c>
      <c r="BN41" s="9">
        <f>IF(62&lt;=核心参数输入!$B$9*4,IF(AND(62&gt;(核心参数输入!$B$16*4+(核心参数输入!$B$148)),62&lt;=(核心参数输入!$B$16*4+(核心参数输入!$B$148))+核心参数输入!$B$53*4),季度投融资!$B$23*(1-核心参数输入!$B$54)/核心参数输入!$B$53/4,0),0)</f>
        <v>188.52749999999997</v>
      </c>
      <c r="BO41" s="9">
        <f>IF(63&lt;=核心参数输入!$B$9*4,IF(AND(63&gt;(核心参数输入!$B$16*4+(核心参数输入!$B$148)),63&lt;=(核心参数输入!$B$16*4+(核心参数输入!$B$148))+核心参数输入!$B$53*4),季度投融资!$B$23*(1-核心参数输入!$B$54)/核心参数输入!$B$53/4,0),0)</f>
        <v>188.52749999999997</v>
      </c>
      <c r="BP41" s="9">
        <f>IF(64&lt;=核心参数输入!$B$9*4,IF(AND(64&gt;(核心参数输入!$B$16*4+(核心参数输入!$B$148)),64&lt;=(核心参数输入!$B$16*4+(核心参数输入!$B$148))+核心参数输入!$B$53*4),季度投融资!$B$23*(1-核心参数输入!$B$54)/核心参数输入!$B$53/4,0),0)</f>
        <v>188.52749999999997</v>
      </c>
      <c r="BQ41" s="9">
        <f>IF(65&lt;=核心参数输入!$B$9*4,IF(AND(65&gt;(核心参数输入!$B$16*4+(核心参数输入!$B$148)),65&lt;=(核心参数输入!$B$16*4+(核心参数输入!$B$148))+核心参数输入!$B$53*4),季度投融资!$B$23*(1-核心参数输入!$B$54)/核心参数输入!$B$53/4,0),0)</f>
        <v>188.52749999999997</v>
      </c>
      <c r="BR41" s="9">
        <f>IF(66&lt;=核心参数输入!$B$9*4,IF(AND(66&gt;(核心参数输入!$B$16*4+(核心参数输入!$B$148)),66&lt;=(核心参数输入!$B$16*4+(核心参数输入!$B$148))+核心参数输入!$B$53*4),季度投融资!$B$23*(1-核心参数输入!$B$54)/核心参数输入!$B$53/4,0),0)</f>
        <v>188.52749999999997</v>
      </c>
      <c r="BS41" s="9">
        <f>IF(67&lt;=核心参数输入!$B$9*4,IF(AND(67&gt;(核心参数输入!$B$16*4+(核心参数输入!$B$148)),67&lt;=(核心参数输入!$B$16*4+(核心参数输入!$B$148))+核心参数输入!$B$53*4),季度投融资!$B$23*(1-核心参数输入!$B$54)/核心参数输入!$B$53/4,0),0)</f>
        <v>188.52749999999997</v>
      </c>
      <c r="BT41" s="9">
        <f>IF(68&lt;=核心参数输入!$B$9*4,IF(AND(68&gt;(核心参数输入!$B$16*4+(核心参数输入!$B$148)),68&lt;=(核心参数输入!$B$16*4+(核心参数输入!$B$148))+核心参数输入!$B$53*4),季度投融资!$B$23*(1-核心参数输入!$B$54)/核心参数输入!$B$53/4,0),0)</f>
        <v>188.52749999999997</v>
      </c>
      <c r="BU41" s="9">
        <f>IF(69&lt;=核心参数输入!$B$9*4,IF(AND(69&gt;(核心参数输入!$B$16*4+(核心参数输入!$B$148)),69&lt;=(核心参数输入!$B$16*4+(核心参数输入!$B$148))+核心参数输入!$B$53*4),季度投融资!$B$23*(1-核心参数输入!$B$54)/核心参数输入!$B$53/4,0),0)</f>
        <v>188.52749999999997</v>
      </c>
      <c r="BV41" s="9">
        <f>IF(70&lt;=核心参数输入!$B$9*4,IF(AND(70&gt;(核心参数输入!$B$16*4+(核心参数输入!$B$148)),70&lt;=(核心参数输入!$B$16*4+(核心参数输入!$B$148))+核心参数输入!$B$53*4),季度投融资!$B$23*(1-核心参数输入!$B$54)/核心参数输入!$B$53/4,0),0)</f>
        <v>188.52749999999997</v>
      </c>
      <c r="BW41" s="9">
        <f>IF(71&lt;=核心参数输入!$B$9*4,IF(AND(71&gt;(核心参数输入!$B$16*4+(核心参数输入!$B$148)),71&lt;=(核心参数输入!$B$16*4+(核心参数输入!$B$148))+核心参数输入!$B$53*4),季度投融资!$B$23*(1-核心参数输入!$B$54)/核心参数输入!$B$53/4,0),0)</f>
        <v>188.52749999999997</v>
      </c>
      <c r="BX41" s="9">
        <f>IF(72&lt;=核心参数输入!$B$9*4,IF(AND(72&gt;(核心参数输入!$B$16*4+(核心参数输入!$B$148)),72&lt;=(核心参数输入!$B$16*4+(核心参数输入!$B$148))+核心参数输入!$B$53*4),季度投融资!$B$23*(1-核心参数输入!$B$54)/核心参数输入!$B$53/4,0),0)</f>
        <v>188.52749999999997</v>
      </c>
      <c r="BY41" s="9">
        <f>IF(73&lt;=核心参数输入!$B$9*4,IF(AND(73&gt;(核心参数输入!$B$16*4+(核心参数输入!$B$148)),73&lt;=(核心参数输入!$B$16*4+(核心参数输入!$B$148))+核心参数输入!$B$53*4),季度投融资!$B$23*(1-核心参数输入!$B$54)/核心参数输入!$B$53/4,0),0)</f>
        <v>188.52749999999997</v>
      </c>
      <c r="BZ41" s="9">
        <f>IF(74&lt;=核心参数输入!$B$9*4,IF(AND(74&gt;(核心参数输入!$B$16*4+(核心参数输入!$B$148)),74&lt;=(核心参数输入!$B$16*4+(核心参数输入!$B$148))+核心参数输入!$B$53*4),季度投融资!$B$23*(1-核心参数输入!$B$54)/核心参数输入!$B$53/4,0),0)</f>
        <v>188.52749999999997</v>
      </c>
      <c r="CA41" s="9">
        <f>IF(75&lt;=核心参数输入!$B$9*4,IF(AND(75&gt;(核心参数输入!$B$16*4+(核心参数输入!$B$148)),75&lt;=(核心参数输入!$B$16*4+(核心参数输入!$B$148))+核心参数输入!$B$53*4),季度投融资!$B$23*(1-核心参数输入!$B$54)/核心参数输入!$B$53/4,0),0)</f>
        <v>188.52749999999997</v>
      </c>
      <c r="CB41" s="9">
        <f>IF(76&lt;=核心参数输入!$B$9*4,IF(AND(76&gt;(核心参数输入!$B$16*4+(核心参数输入!$B$148)),76&lt;=(核心参数输入!$B$16*4+(核心参数输入!$B$148))+核心参数输入!$B$53*4),季度投融资!$B$23*(1-核心参数输入!$B$54)/核心参数输入!$B$53/4,0),0)</f>
        <v>188.52749999999997</v>
      </c>
      <c r="CC41" s="9">
        <f>IF(77&lt;=核心参数输入!$B$9*4,IF(AND(77&gt;(核心参数输入!$B$16*4+(核心参数输入!$B$148)),77&lt;=(核心参数输入!$B$16*4+(核心参数输入!$B$148))+核心参数输入!$B$53*4),季度投融资!$B$23*(1-核心参数输入!$B$54)/核心参数输入!$B$53/4,0),0)</f>
        <v>188.52749999999997</v>
      </c>
      <c r="CD41" s="9">
        <f>IF(78&lt;=核心参数输入!$B$9*4,IF(AND(78&gt;(核心参数输入!$B$16*4+(核心参数输入!$B$148)),78&lt;=(核心参数输入!$B$16*4+(核心参数输入!$B$148))+核心参数输入!$B$53*4),季度投融资!$B$23*(1-核心参数输入!$B$54)/核心参数输入!$B$53/4,0),0)</f>
        <v>188.52749999999997</v>
      </c>
      <c r="CE41" s="9">
        <f>IF(79&lt;=核心参数输入!$B$9*4,IF(AND(79&gt;(核心参数输入!$B$16*4+(核心参数输入!$B$148)),79&lt;=(核心参数输入!$B$16*4+(核心参数输入!$B$148))+核心参数输入!$B$53*4),季度投融资!$B$23*(1-核心参数输入!$B$54)/核心参数输入!$B$53/4,0),0)</f>
        <v>188.52749999999997</v>
      </c>
      <c r="CF41" s="9">
        <f>IF(80&lt;=核心参数输入!$B$9*4,IF(AND(80&gt;(核心参数输入!$B$16*4+(核心参数输入!$B$148)),80&lt;=(核心参数输入!$B$16*4+(核心参数输入!$B$148))+核心参数输入!$B$53*4),季度投融资!$B$23*(1-核心参数输入!$B$54)/核心参数输入!$B$53/4,0),0)</f>
        <v>188.52749999999997</v>
      </c>
      <c r="CG41" s="9">
        <f>IF(81&lt;=核心参数输入!$B$9*4,IF(AND(81&gt;(核心参数输入!$B$16*4+(核心参数输入!$B$148)),81&lt;=(核心参数输入!$B$16*4+(核心参数输入!$B$148))+核心参数输入!$B$53*4),季度投融资!$B$23*(1-核心参数输入!$B$54)/核心参数输入!$B$53/4,0),0)</f>
        <v>0</v>
      </c>
      <c r="CH41" s="9">
        <f>IF(82&lt;=核心参数输入!$B$9*4,IF(AND(82&gt;(核心参数输入!$B$16*4+(核心参数输入!$B$148)),82&lt;=(核心参数输入!$B$16*4+(核心参数输入!$B$148))+核心参数输入!$B$53*4),季度投融资!$B$23*(1-核心参数输入!$B$54)/核心参数输入!$B$53/4,0),0)</f>
        <v>0</v>
      </c>
      <c r="CI41" s="9">
        <f>IF(83&lt;=核心参数输入!$B$9*4,IF(AND(83&gt;(核心参数输入!$B$16*4+(核心参数输入!$B$148)),83&lt;=(核心参数输入!$B$16*4+(核心参数输入!$B$148))+核心参数输入!$B$53*4),季度投融资!$B$23*(1-核心参数输入!$B$54)/核心参数输入!$B$53/4,0),0)</f>
        <v>0</v>
      </c>
      <c r="CJ41" s="9">
        <f>IF(84&lt;=核心参数输入!$B$9*4,IF(AND(84&gt;(核心参数输入!$B$16*4+(核心参数输入!$B$148)),84&lt;=(核心参数输入!$B$16*4+(核心参数输入!$B$148))+核心参数输入!$B$53*4),季度投融资!$B$23*(1-核心参数输入!$B$54)/核心参数输入!$B$53/4,0),0)</f>
        <v>0</v>
      </c>
      <c r="CK41" s="9">
        <f>IF(85&lt;=核心参数输入!$B$9*4,IF(AND(85&gt;(核心参数输入!$B$16*4+(核心参数输入!$B$148)),85&lt;=(核心参数输入!$B$16*4+(核心参数输入!$B$148))+核心参数输入!$B$53*4),季度投融资!$B$23*(1-核心参数输入!$B$54)/核心参数输入!$B$53/4,0),0)</f>
        <v>0</v>
      </c>
      <c r="CL41" s="9">
        <f>IF(86&lt;=核心参数输入!$B$9*4,IF(AND(86&gt;(核心参数输入!$B$16*4+(核心参数输入!$B$148)),86&lt;=(核心参数输入!$B$16*4+(核心参数输入!$B$148))+核心参数输入!$B$53*4),季度投融资!$B$23*(1-核心参数输入!$B$54)/核心参数输入!$B$53/4,0),0)</f>
        <v>0</v>
      </c>
      <c r="CM41" s="9">
        <f>IF(87&lt;=核心参数输入!$B$9*4,IF(AND(87&gt;(核心参数输入!$B$16*4+(核心参数输入!$B$148)),87&lt;=(核心参数输入!$B$16*4+(核心参数输入!$B$148))+核心参数输入!$B$53*4),季度投融资!$B$23*(1-核心参数输入!$B$54)/核心参数输入!$B$53/4,0),0)</f>
        <v>0</v>
      </c>
      <c r="CN41" s="9">
        <f>IF(88&lt;=核心参数输入!$B$9*4,IF(AND(88&gt;(核心参数输入!$B$16*4+(核心参数输入!$B$148)),88&lt;=(核心参数输入!$B$16*4+(核心参数输入!$B$148))+核心参数输入!$B$53*4),季度投融资!$B$23*(1-核心参数输入!$B$54)/核心参数输入!$B$53/4,0),0)</f>
        <v>0</v>
      </c>
      <c r="CO41" s="9">
        <f>IF(89&lt;=核心参数输入!$B$9*4,IF(AND(89&gt;(核心参数输入!$B$16*4+(核心参数输入!$B$148)),89&lt;=(核心参数输入!$B$16*4+(核心参数输入!$B$148))+核心参数输入!$B$53*4),季度投融资!$B$23*(1-核心参数输入!$B$54)/核心参数输入!$B$53/4,0),0)</f>
        <v>0</v>
      </c>
      <c r="CP41" s="9">
        <f>IF(90&lt;=核心参数输入!$B$9*4,IF(AND(90&gt;(核心参数输入!$B$16*4+(核心参数输入!$B$148)),90&lt;=(核心参数输入!$B$16*4+(核心参数输入!$B$148))+核心参数输入!$B$53*4),季度投融资!$B$23*(1-核心参数输入!$B$54)/核心参数输入!$B$53/4,0),0)</f>
        <v>0</v>
      </c>
      <c r="CQ41" s="9">
        <f>IF(91&lt;=核心参数输入!$B$9*4,IF(AND(91&gt;(核心参数输入!$B$16*4+(核心参数输入!$B$148)),91&lt;=(核心参数输入!$B$16*4+(核心参数输入!$B$148))+核心参数输入!$B$53*4),季度投融资!$B$23*(1-核心参数输入!$B$54)/核心参数输入!$B$53/4,0),0)</f>
        <v>0</v>
      </c>
      <c r="CR41" s="9">
        <f>IF(92&lt;=核心参数输入!$B$9*4,IF(AND(92&gt;(核心参数输入!$B$16*4+(核心参数输入!$B$148)),92&lt;=(核心参数输入!$B$16*4+(核心参数输入!$B$148))+核心参数输入!$B$53*4),季度投融资!$B$23*(1-核心参数输入!$B$54)/核心参数输入!$B$53/4,0),0)</f>
        <v>0</v>
      </c>
      <c r="CS41" s="9">
        <f>IF(93&lt;=核心参数输入!$B$9*4,IF(AND(93&gt;(核心参数输入!$B$16*4+(核心参数输入!$B$148)),93&lt;=(核心参数输入!$B$16*4+(核心参数输入!$B$148))+核心参数输入!$B$53*4),季度投融资!$B$23*(1-核心参数输入!$B$54)/核心参数输入!$B$53/4,0),0)</f>
        <v>0</v>
      </c>
      <c r="CT41" s="9">
        <f>IF(94&lt;=核心参数输入!$B$9*4,IF(AND(94&gt;(核心参数输入!$B$16*4+(核心参数输入!$B$148)),94&lt;=(核心参数输入!$B$16*4+(核心参数输入!$B$148))+核心参数输入!$B$53*4),季度投融资!$B$23*(1-核心参数输入!$B$54)/核心参数输入!$B$53/4,0),0)</f>
        <v>0</v>
      </c>
      <c r="CU41" s="9">
        <f>IF(95&lt;=核心参数输入!$B$9*4,IF(AND(95&gt;(核心参数输入!$B$16*4+(核心参数输入!$B$148)),95&lt;=(核心参数输入!$B$16*4+(核心参数输入!$B$148))+核心参数输入!$B$53*4),季度投融资!$B$23*(1-核心参数输入!$B$54)/核心参数输入!$B$53/4,0),0)</f>
        <v>0</v>
      </c>
      <c r="CV41" s="9">
        <f>IF(96&lt;=核心参数输入!$B$9*4,IF(AND(96&gt;(核心参数输入!$B$16*4+(核心参数输入!$B$148)),96&lt;=(核心参数输入!$B$16*4+(核心参数输入!$B$148))+核心参数输入!$B$53*4),季度投融资!$B$23*(1-核心参数输入!$B$54)/核心参数输入!$B$53/4,0),0)</f>
        <v>0</v>
      </c>
      <c r="CW41" s="9">
        <f>IF(97&lt;=核心参数输入!$B$9*4,IF(AND(97&gt;(核心参数输入!$B$16*4+(核心参数输入!$B$148)),97&lt;=(核心参数输入!$B$16*4+(核心参数输入!$B$148))+核心参数输入!$B$53*4),季度投融资!$B$23*(1-核心参数输入!$B$54)/核心参数输入!$B$53/4,0),0)</f>
        <v>0</v>
      </c>
      <c r="CX41" s="9">
        <f>IF(98&lt;=核心参数输入!$B$9*4,IF(AND(98&gt;(核心参数输入!$B$16*4+(核心参数输入!$B$148)),98&lt;=(核心参数输入!$B$16*4+(核心参数输入!$B$148))+核心参数输入!$B$53*4),季度投融资!$B$23*(1-核心参数输入!$B$54)/核心参数输入!$B$53/4,0),0)</f>
        <v>0</v>
      </c>
      <c r="CY41" s="9">
        <f>IF(99&lt;=核心参数输入!$B$9*4,IF(AND(99&gt;(核心参数输入!$B$16*4+(核心参数输入!$B$148)),99&lt;=(核心参数输入!$B$16*4+(核心参数输入!$B$148))+核心参数输入!$B$53*4),季度投融资!$B$23*(1-核心参数输入!$B$54)/核心参数输入!$B$53/4,0),0)</f>
        <v>0</v>
      </c>
      <c r="CZ41" s="9">
        <f>IF(100&lt;=核心参数输入!$B$9*4,IF(AND(100&gt;(核心参数输入!$B$16*4+(核心参数输入!$B$148)),100&lt;=(核心参数输入!$B$16*4+(核心参数输入!$B$148))+核心参数输入!$B$53*4),季度投融资!$B$23*(1-核心参数输入!$B$54)/核心参数输入!$B$53/4,0),0)</f>
        <v>0</v>
      </c>
      <c r="DA41" s="9">
        <f>IF(101&lt;=核心参数输入!$B$9*4,IF(AND(101&gt;(核心参数输入!$B$16*4+(核心参数输入!$B$148)),101&lt;=(核心参数输入!$B$16*4+(核心参数输入!$B$148))+核心参数输入!$B$53*4),季度投融资!$B$23*(1-核心参数输入!$B$54)/核心参数输入!$B$53/4,0),0)</f>
        <v>0</v>
      </c>
      <c r="DB41" s="9">
        <f>IF(102&lt;=核心参数输入!$B$9*4,IF(AND(102&gt;(核心参数输入!$B$16*4+(核心参数输入!$B$148)),102&lt;=(核心参数输入!$B$16*4+(核心参数输入!$B$148))+核心参数输入!$B$53*4),季度投融资!$B$23*(1-核心参数输入!$B$54)/核心参数输入!$B$53/4,0),0)</f>
        <v>0</v>
      </c>
      <c r="DC41" s="9">
        <f>IF(103&lt;=核心参数输入!$B$9*4,IF(AND(103&gt;(核心参数输入!$B$16*4+(核心参数输入!$B$148)),103&lt;=(核心参数输入!$B$16*4+(核心参数输入!$B$148))+核心参数输入!$B$53*4),季度投融资!$B$23*(1-核心参数输入!$B$54)/核心参数输入!$B$53/4,0),0)</f>
        <v>0</v>
      </c>
      <c r="DD41" s="9">
        <f>IF(104&lt;=核心参数输入!$B$9*4,IF(AND(104&gt;(核心参数输入!$B$16*4+(核心参数输入!$B$148)),104&lt;=(核心参数输入!$B$16*4+(核心参数输入!$B$148))+核心参数输入!$B$53*4),季度投融资!$B$23*(1-核心参数输入!$B$54)/核心参数输入!$B$53/4,0),0)</f>
        <v>0</v>
      </c>
      <c r="DE41" s="9">
        <f>IF(105&lt;=核心参数输入!$B$9*4,IF(AND(105&gt;(核心参数输入!$B$16*4+(核心参数输入!$B$148)),105&lt;=(核心参数输入!$B$16*4+(核心参数输入!$B$148))+核心参数输入!$B$53*4),季度投融资!$B$23*(1-核心参数输入!$B$54)/核心参数输入!$B$53/4,0),0)</f>
        <v>0</v>
      </c>
      <c r="DF41" s="9">
        <f>IF(106&lt;=核心参数输入!$B$9*4,IF(AND(106&gt;(核心参数输入!$B$16*4+(核心参数输入!$B$148)),106&lt;=(核心参数输入!$B$16*4+(核心参数输入!$B$148))+核心参数输入!$B$53*4),季度投融资!$B$23*(1-核心参数输入!$B$54)/核心参数输入!$B$53/4,0),0)</f>
        <v>0</v>
      </c>
      <c r="DG41" s="9">
        <f>IF(107&lt;=核心参数输入!$B$9*4,IF(AND(107&gt;(核心参数输入!$B$16*4+(核心参数输入!$B$148)),107&lt;=(核心参数输入!$B$16*4+(核心参数输入!$B$148))+核心参数输入!$B$53*4),季度投融资!$B$23*(1-核心参数输入!$B$54)/核心参数输入!$B$53/4,0),0)</f>
        <v>0</v>
      </c>
      <c r="DH41" s="9">
        <f>IF(108&lt;=核心参数输入!$B$9*4,IF(AND(108&gt;(核心参数输入!$B$16*4+(核心参数输入!$B$148)),108&lt;=(核心参数输入!$B$16*4+(核心参数输入!$B$148))+核心参数输入!$B$53*4),季度投融资!$B$23*(1-核心参数输入!$B$54)/核心参数输入!$B$53/4,0),0)</f>
        <v>0</v>
      </c>
      <c r="DI41" s="9">
        <f>IF(109&lt;=核心参数输入!$B$9*4,IF(AND(109&gt;(核心参数输入!$B$16*4+(核心参数输入!$B$148)),109&lt;=(核心参数输入!$B$16*4+(核心参数输入!$B$148))+核心参数输入!$B$53*4),季度投融资!$B$23*(1-核心参数输入!$B$54)/核心参数输入!$B$53/4,0),0)</f>
        <v>0</v>
      </c>
      <c r="DJ41" s="9">
        <f>IF(110&lt;=核心参数输入!$B$9*4,IF(AND(110&gt;(核心参数输入!$B$16*4+(核心参数输入!$B$148)),110&lt;=(核心参数输入!$B$16*4+(核心参数输入!$B$148))+核心参数输入!$B$53*4),季度投融资!$B$23*(1-核心参数输入!$B$54)/核心参数输入!$B$53/4,0),0)</f>
        <v>0</v>
      </c>
      <c r="DK41" s="9">
        <f>IF(111&lt;=核心参数输入!$B$9*4,IF(AND(111&gt;(核心参数输入!$B$16*4+(核心参数输入!$B$148)),111&lt;=(核心参数输入!$B$16*4+(核心参数输入!$B$148))+核心参数输入!$B$53*4),季度投融资!$B$23*(1-核心参数输入!$B$54)/核心参数输入!$B$53/4,0),0)</f>
        <v>0</v>
      </c>
      <c r="DL41" s="9">
        <f>IF(112&lt;=核心参数输入!$B$9*4,IF(AND(112&gt;(核心参数输入!$B$16*4+(核心参数输入!$B$148)),112&lt;=(核心参数输入!$B$16*4+(核心参数输入!$B$148))+核心参数输入!$B$53*4),季度投融资!$B$23*(1-核心参数输入!$B$54)/核心参数输入!$B$53/4,0),0)</f>
        <v>0</v>
      </c>
      <c r="DM41" s="9">
        <f>IF(113&lt;=核心参数输入!$B$9*4,IF(AND(113&gt;(核心参数输入!$B$16*4+(核心参数输入!$B$148)),113&lt;=(核心参数输入!$B$16*4+(核心参数输入!$B$148))+核心参数输入!$B$53*4),季度投融资!$B$23*(1-核心参数输入!$B$54)/核心参数输入!$B$53/4,0),0)</f>
        <v>0</v>
      </c>
      <c r="DN41" s="9">
        <f>IF(114&lt;=核心参数输入!$B$9*4,IF(AND(114&gt;(核心参数输入!$B$16*4+(核心参数输入!$B$148)),114&lt;=(核心参数输入!$B$16*4+(核心参数输入!$B$148))+核心参数输入!$B$53*4),季度投融资!$B$23*(1-核心参数输入!$B$54)/核心参数输入!$B$53/4,0),0)</f>
        <v>0</v>
      </c>
      <c r="DO41" s="9">
        <f>IF(115&lt;=核心参数输入!$B$9*4,IF(AND(115&gt;(核心参数输入!$B$16*4+(核心参数输入!$B$148)),115&lt;=(核心参数输入!$B$16*4+(核心参数输入!$B$148))+核心参数输入!$B$53*4),季度投融资!$B$23*(1-核心参数输入!$B$54)/核心参数输入!$B$53/4,0),0)</f>
        <v>0</v>
      </c>
      <c r="DP41" s="9">
        <f>IF(116&lt;=核心参数输入!$B$9*4,IF(AND(116&gt;(核心参数输入!$B$16*4+(核心参数输入!$B$148)),116&lt;=(核心参数输入!$B$16*4+(核心参数输入!$B$148))+核心参数输入!$B$53*4),季度投融资!$B$23*(1-核心参数输入!$B$54)/核心参数输入!$B$53/4,0),0)</f>
        <v>0</v>
      </c>
      <c r="DQ41" s="9">
        <f>IF(117&lt;=核心参数输入!$B$9*4,IF(AND(117&gt;(核心参数输入!$B$16*4+(核心参数输入!$B$148)),117&lt;=(核心参数输入!$B$16*4+(核心参数输入!$B$148))+核心参数输入!$B$53*4),季度投融资!$B$23*(1-核心参数输入!$B$54)/核心参数输入!$B$53/4,0),0)</f>
        <v>0</v>
      </c>
      <c r="DR41" s="9">
        <f>IF(118&lt;=核心参数输入!$B$9*4,IF(AND(118&gt;(核心参数输入!$B$16*4+(核心参数输入!$B$148)),118&lt;=(核心参数输入!$B$16*4+(核心参数输入!$B$148))+核心参数输入!$B$53*4),季度投融资!$B$23*(1-核心参数输入!$B$54)/核心参数输入!$B$53/4,0),0)</f>
        <v>0</v>
      </c>
      <c r="DS41" s="9">
        <f>IF(119&lt;=核心参数输入!$B$9*4,IF(AND(119&gt;(核心参数输入!$B$16*4+(核心参数输入!$B$148)),119&lt;=(核心参数输入!$B$16*4+(核心参数输入!$B$148))+核心参数输入!$B$53*4),季度投融资!$B$23*(1-核心参数输入!$B$54)/核心参数输入!$B$53/4,0),0)</f>
        <v>0</v>
      </c>
      <c r="DT41" s="9">
        <f>IF(120&lt;=核心参数输入!$B$9*4,IF(AND(120&gt;(核心参数输入!$B$16*4+(核心参数输入!$B$148)),120&lt;=(核心参数输入!$B$16*4+(核心参数输入!$B$148))+核心参数输入!$B$53*4),季度投融资!$B$23*(1-核心参数输入!$B$54)/核心参数输入!$B$53/4,0),0)</f>
        <v>0</v>
      </c>
    </row>
    <row r="42" spans="1:124" ht="21" customHeight="1">
      <c r="A42" s="8" t="s">
        <v>474</v>
      </c>
      <c r="B42" s="8" t="s">
        <v>39</v>
      </c>
      <c r="C42" s="8"/>
      <c r="D42" s="9">
        <f>IF(0&lt;=核心参数输入!$B$9*4,IF(AND(0&gt;(核心参数输入!$B$16*4+(核心参数输入!$B$148)),0&lt;=(核心参数输入!$B$16*4+(核心参数输入!$B$148))+核心参数输入!$B$53*4),季度投融资!$B$26*(1-核心参数输入!$B$54)/核心参数输入!$B$53/4,0),0)</f>
        <v>0</v>
      </c>
      <c r="E42" s="9">
        <f>IF(1&lt;=核心参数输入!$B$9*4,IF(AND(1&gt;(核心参数输入!$B$16*4+(核心参数输入!$B$148)),1&lt;=(核心参数输入!$B$16*4+(核心参数输入!$B$148))+核心参数输入!$B$53*4),季度投融资!$B$26*(1-核心参数输入!$B$54)/核心参数输入!$B$53/4,0),0)</f>
        <v>0</v>
      </c>
      <c r="F42" s="9">
        <f>IF(2&lt;=核心参数输入!$B$9*4,IF(AND(2&gt;(核心参数输入!$B$16*4+(核心参数输入!$B$148)),2&lt;=(核心参数输入!$B$16*4+(核心参数输入!$B$148))+核心参数输入!$B$53*4),季度投融资!$B$26*(1-核心参数输入!$B$54)/核心参数输入!$B$53/4,0),0)</f>
        <v>0</v>
      </c>
      <c r="G42" s="9">
        <f>IF(3&lt;=核心参数输入!$B$9*4,IF(AND(3&gt;(核心参数输入!$B$16*4+(核心参数输入!$B$148)),3&lt;=(核心参数输入!$B$16*4+(核心参数输入!$B$148))+核心参数输入!$B$53*4),季度投融资!$B$26*(1-核心参数输入!$B$54)/核心参数输入!$B$53/4,0),0)</f>
        <v>0</v>
      </c>
      <c r="H42" s="9">
        <f>IF(4&lt;=核心参数输入!$B$9*4,IF(AND(4&gt;(核心参数输入!$B$16*4+(核心参数输入!$B$148)),4&lt;=(核心参数输入!$B$16*4+(核心参数输入!$B$148))+核心参数输入!$B$53*4),季度投融资!$B$26*(1-核心参数输入!$B$54)/核心参数输入!$B$53/4,0),0)</f>
        <v>0</v>
      </c>
      <c r="I42" s="9">
        <f>IF(5&lt;=核心参数输入!$B$9*4,IF(AND(5&gt;(核心参数输入!$B$16*4+(核心参数输入!$B$148)),5&lt;=(核心参数输入!$B$16*4+(核心参数输入!$B$148))+核心参数输入!$B$53*4),季度投融资!$B$26*(1-核心参数输入!$B$54)/核心参数输入!$B$53/4,0),0)</f>
        <v>0</v>
      </c>
      <c r="J42" s="9">
        <f>IF(6&lt;=核心参数输入!$B$9*4,IF(AND(6&gt;(核心参数输入!$B$16*4+(核心参数输入!$B$148)),6&lt;=(核心参数输入!$B$16*4+(核心参数输入!$B$148))+核心参数输入!$B$53*4),季度投融资!$B$26*(1-核心参数输入!$B$54)/核心参数输入!$B$53/4,0),0)</f>
        <v>0</v>
      </c>
      <c r="K42" s="9">
        <f>IF(7&lt;=核心参数输入!$B$9*4,IF(AND(7&gt;(核心参数输入!$B$16*4+(核心参数输入!$B$148)),7&lt;=(核心参数输入!$B$16*4+(核心参数输入!$B$148))+核心参数输入!$B$53*4),季度投融资!$B$26*(1-核心参数输入!$B$54)/核心参数输入!$B$53/4,0),0)</f>
        <v>0</v>
      </c>
      <c r="L42" s="9">
        <f>IF(8&lt;=核心参数输入!$B$9*4,IF(AND(8&gt;(核心参数输入!$B$16*4+(核心参数输入!$B$148)),8&lt;=(核心参数输入!$B$16*4+(核心参数输入!$B$148))+核心参数输入!$B$53*4),季度投融资!$B$26*(1-核心参数输入!$B$54)/核心参数输入!$B$53/4,0),0)</f>
        <v>0</v>
      </c>
      <c r="M42" s="9">
        <f>IF(9&lt;=核心参数输入!$B$9*4,IF(AND(9&gt;(核心参数输入!$B$16*4+(核心参数输入!$B$148)),9&lt;=(核心参数输入!$B$16*4+(核心参数输入!$B$148))+核心参数输入!$B$53*4),季度投融资!$B$26*(1-核心参数输入!$B$54)/核心参数输入!$B$53/4,0),0)</f>
        <v>0</v>
      </c>
      <c r="N42" s="9">
        <f>IF(10&lt;=核心参数输入!$B$9*4,IF(AND(10&gt;(核心参数输入!$B$16*4+(核心参数输入!$B$148)),10&lt;=(核心参数输入!$B$16*4+(核心参数输入!$B$148))+核心参数输入!$B$53*4),季度投融资!$B$26*(1-核心参数输入!$B$54)/核心参数输入!$B$53/4,0),0)</f>
        <v>0</v>
      </c>
      <c r="O42" s="9">
        <f>IF(11&lt;=核心参数输入!$B$9*4,IF(AND(11&gt;(核心参数输入!$B$16*4+(核心参数输入!$B$148)),11&lt;=(核心参数输入!$B$16*4+(核心参数输入!$B$148))+核心参数输入!$B$53*4),季度投融资!$B$26*(1-核心参数输入!$B$54)/核心参数输入!$B$53/4,0),0)</f>
        <v>0</v>
      </c>
      <c r="P42" s="9">
        <f>IF(12&lt;=核心参数输入!$B$9*4,IF(AND(12&gt;(核心参数输入!$B$16*4+(核心参数输入!$B$148)),12&lt;=(核心参数输入!$B$16*4+(核心参数输入!$B$148))+核心参数输入!$B$53*4),季度投融资!$B$26*(1-核心参数输入!$B$54)/核心参数输入!$B$53/4,0),0)</f>
        <v>0</v>
      </c>
      <c r="Q42" s="9">
        <f>IF(13&lt;=核心参数输入!$B$9*4,IF(AND(13&gt;(核心参数输入!$B$16*4+(核心参数输入!$B$148)),13&lt;=(核心参数输入!$B$16*4+(核心参数输入!$B$148))+核心参数输入!$B$53*4),季度投融资!$B$26*(1-核心参数输入!$B$54)/核心参数输入!$B$53/4,0),0)</f>
        <v>195.26062499999995</v>
      </c>
      <c r="R42" s="9">
        <f>IF(14&lt;=核心参数输入!$B$9*4,IF(AND(14&gt;(核心参数输入!$B$16*4+(核心参数输入!$B$148)),14&lt;=(核心参数输入!$B$16*4+(核心参数输入!$B$148))+核心参数输入!$B$53*4),季度投融资!$B$26*(1-核心参数输入!$B$54)/核心参数输入!$B$53/4,0),0)</f>
        <v>195.26062499999995</v>
      </c>
      <c r="S42" s="9">
        <f>IF(15&lt;=核心参数输入!$B$9*4,IF(AND(15&gt;(核心参数输入!$B$16*4+(核心参数输入!$B$148)),15&lt;=(核心参数输入!$B$16*4+(核心参数输入!$B$148))+核心参数输入!$B$53*4),季度投融资!$B$26*(1-核心参数输入!$B$54)/核心参数输入!$B$53/4,0),0)</f>
        <v>195.26062499999995</v>
      </c>
      <c r="T42" s="9">
        <f>IF(16&lt;=核心参数输入!$B$9*4,IF(AND(16&gt;(核心参数输入!$B$16*4+(核心参数输入!$B$148)),16&lt;=(核心参数输入!$B$16*4+(核心参数输入!$B$148))+核心参数输入!$B$53*4),季度投融资!$B$26*(1-核心参数输入!$B$54)/核心参数输入!$B$53/4,0),0)</f>
        <v>195.26062499999995</v>
      </c>
      <c r="U42" s="9">
        <f>IF(17&lt;=核心参数输入!$B$9*4,IF(AND(17&gt;(核心参数输入!$B$16*4+(核心参数输入!$B$148)),17&lt;=(核心参数输入!$B$16*4+(核心参数输入!$B$148))+核心参数输入!$B$53*4),季度投融资!$B$26*(1-核心参数输入!$B$54)/核心参数输入!$B$53/4,0),0)</f>
        <v>195.26062499999995</v>
      </c>
      <c r="V42" s="9">
        <f>IF(18&lt;=核心参数输入!$B$9*4,IF(AND(18&gt;(核心参数输入!$B$16*4+(核心参数输入!$B$148)),18&lt;=(核心参数输入!$B$16*4+(核心参数输入!$B$148))+核心参数输入!$B$53*4),季度投融资!$B$26*(1-核心参数输入!$B$54)/核心参数输入!$B$53/4,0),0)</f>
        <v>195.26062499999995</v>
      </c>
      <c r="W42" s="9">
        <f>IF(19&lt;=核心参数输入!$B$9*4,IF(AND(19&gt;(核心参数输入!$B$16*4+(核心参数输入!$B$148)),19&lt;=(核心参数输入!$B$16*4+(核心参数输入!$B$148))+核心参数输入!$B$53*4),季度投融资!$B$26*(1-核心参数输入!$B$54)/核心参数输入!$B$53/4,0),0)</f>
        <v>195.26062499999995</v>
      </c>
      <c r="X42" s="9">
        <f>IF(20&lt;=核心参数输入!$B$9*4,IF(AND(20&gt;(核心参数输入!$B$16*4+(核心参数输入!$B$148)),20&lt;=(核心参数输入!$B$16*4+(核心参数输入!$B$148))+核心参数输入!$B$53*4),季度投融资!$B$26*(1-核心参数输入!$B$54)/核心参数输入!$B$53/4,0),0)</f>
        <v>195.26062499999995</v>
      </c>
      <c r="Y42" s="9">
        <f>IF(21&lt;=核心参数输入!$B$9*4,IF(AND(21&gt;(核心参数输入!$B$16*4+(核心参数输入!$B$148)),21&lt;=(核心参数输入!$B$16*4+(核心参数输入!$B$148))+核心参数输入!$B$53*4),季度投融资!$B$26*(1-核心参数输入!$B$54)/核心参数输入!$B$53/4,0),0)</f>
        <v>195.26062499999995</v>
      </c>
      <c r="Z42" s="9">
        <f>IF(22&lt;=核心参数输入!$B$9*4,IF(AND(22&gt;(核心参数输入!$B$16*4+(核心参数输入!$B$148)),22&lt;=(核心参数输入!$B$16*4+(核心参数输入!$B$148))+核心参数输入!$B$53*4),季度投融资!$B$26*(1-核心参数输入!$B$54)/核心参数输入!$B$53/4,0),0)</f>
        <v>195.26062499999995</v>
      </c>
      <c r="AA42" s="9">
        <f>IF(23&lt;=核心参数输入!$B$9*4,IF(AND(23&gt;(核心参数输入!$B$16*4+(核心参数输入!$B$148)),23&lt;=(核心参数输入!$B$16*4+(核心参数输入!$B$148))+核心参数输入!$B$53*4),季度投融资!$B$26*(1-核心参数输入!$B$54)/核心参数输入!$B$53/4,0),0)</f>
        <v>195.26062499999995</v>
      </c>
      <c r="AB42" s="9">
        <f>IF(24&lt;=核心参数输入!$B$9*4,IF(AND(24&gt;(核心参数输入!$B$16*4+(核心参数输入!$B$148)),24&lt;=(核心参数输入!$B$16*4+(核心参数输入!$B$148))+核心参数输入!$B$53*4),季度投融资!$B$26*(1-核心参数输入!$B$54)/核心参数输入!$B$53/4,0),0)</f>
        <v>195.26062499999995</v>
      </c>
      <c r="AC42" s="9">
        <f>IF(25&lt;=核心参数输入!$B$9*4,IF(AND(25&gt;(核心参数输入!$B$16*4+(核心参数输入!$B$148)),25&lt;=(核心参数输入!$B$16*4+(核心参数输入!$B$148))+核心参数输入!$B$53*4),季度投融资!$B$26*(1-核心参数输入!$B$54)/核心参数输入!$B$53/4,0),0)</f>
        <v>195.26062499999995</v>
      </c>
      <c r="AD42" s="9">
        <f>IF(26&lt;=核心参数输入!$B$9*4,IF(AND(26&gt;(核心参数输入!$B$16*4+(核心参数输入!$B$148)),26&lt;=(核心参数输入!$B$16*4+(核心参数输入!$B$148))+核心参数输入!$B$53*4),季度投融资!$B$26*(1-核心参数输入!$B$54)/核心参数输入!$B$53/4,0),0)</f>
        <v>195.26062499999995</v>
      </c>
      <c r="AE42" s="9">
        <f>IF(27&lt;=核心参数输入!$B$9*4,IF(AND(27&gt;(核心参数输入!$B$16*4+(核心参数输入!$B$148)),27&lt;=(核心参数输入!$B$16*4+(核心参数输入!$B$148))+核心参数输入!$B$53*4),季度投融资!$B$26*(1-核心参数输入!$B$54)/核心参数输入!$B$53/4,0),0)</f>
        <v>195.26062499999995</v>
      </c>
      <c r="AF42" s="9">
        <f>IF(28&lt;=核心参数输入!$B$9*4,IF(AND(28&gt;(核心参数输入!$B$16*4+(核心参数输入!$B$148)),28&lt;=(核心参数输入!$B$16*4+(核心参数输入!$B$148))+核心参数输入!$B$53*4),季度投融资!$B$26*(1-核心参数输入!$B$54)/核心参数输入!$B$53/4,0),0)</f>
        <v>195.26062499999995</v>
      </c>
      <c r="AG42" s="9">
        <f>IF(29&lt;=核心参数输入!$B$9*4,IF(AND(29&gt;(核心参数输入!$B$16*4+(核心参数输入!$B$148)),29&lt;=(核心参数输入!$B$16*4+(核心参数输入!$B$148))+核心参数输入!$B$53*4),季度投融资!$B$26*(1-核心参数输入!$B$54)/核心参数输入!$B$53/4,0),0)</f>
        <v>195.26062499999995</v>
      </c>
      <c r="AH42" s="9">
        <f>IF(30&lt;=核心参数输入!$B$9*4,IF(AND(30&gt;(核心参数输入!$B$16*4+(核心参数输入!$B$148)),30&lt;=(核心参数输入!$B$16*4+(核心参数输入!$B$148))+核心参数输入!$B$53*4),季度投融资!$B$26*(1-核心参数输入!$B$54)/核心参数输入!$B$53/4,0),0)</f>
        <v>195.26062499999995</v>
      </c>
      <c r="AI42" s="9">
        <f>IF(31&lt;=核心参数输入!$B$9*4,IF(AND(31&gt;(核心参数输入!$B$16*4+(核心参数输入!$B$148)),31&lt;=(核心参数输入!$B$16*4+(核心参数输入!$B$148))+核心参数输入!$B$53*4),季度投融资!$B$26*(1-核心参数输入!$B$54)/核心参数输入!$B$53/4,0),0)</f>
        <v>195.26062499999995</v>
      </c>
      <c r="AJ42" s="9">
        <f>IF(32&lt;=核心参数输入!$B$9*4,IF(AND(32&gt;(核心参数输入!$B$16*4+(核心参数输入!$B$148)),32&lt;=(核心参数输入!$B$16*4+(核心参数输入!$B$148))+核心参数输入!$B$53*4),季度投融资!$B$26*(1-核心参数输入!$B$54)/核心参数输入!$B$53/4,0),0)</f>
        <v>195.26062499999995</v>
      </c>
      <c r="AK42" s="9">
        <f>IF(33&lt;=核心参数输入!$B$9*4,IF(AND(33&gt;(核心参数输入!$B$16*4+(核心参数输入!$B$148)),33&lt;=(核心参数输入!$B$16*4+(核心参数输入!$B$148))+核心参数输入!$B$53*4),季度投融资!$B$26*(1-核心参数输入!$B$54)/核心参数输入!$B$53/4,0),0)</f>
        <v>195.26062499999995</v>
      </c>
      <c r="AL42" s="9">
        <f>IF(34&lt;=核心参数输入!$B$9*4,IF(AND(34&gt;(核心参数输入!$B$16*4+(核心参数输入!$B$148)),34&lt;=(核心参数输入!$B$16*4+(核心参数输入!$B$148))+核心参数输入!$B$53*4),季度投融资!$B$26*(1-核心参数输入!$B$54)/核心参数输入!$B$53/4,0),0)</f>
        <v>195.26062499999995</v>
      </c>
      <c r="AM42" s="9">
        <f>IF(35&lt;=核心参数输入!$B$9*4,IF(AND(35&gt;(核心参数输入!$B$16*4+(核心参数输入!$B$148)),35&lt;=(核心参数输入!$B$16*4+(核心参数输入!$B$148))+核心参数输入!$B$53*4),季度投融资!$B$26*(1-核心参数输入!$B$54)/核心参数输入!$B$53/4,0),0)</f>
        <v>195.26062499999995</v>
      </c>
      <c r="AN42" s="9">
        <f>IF(36&lt;=核心参数输入!$B$9*4,IF(AND(36&gt;(核心参数输入!$B$16*4+(核心参数输入!$B$148)),36&lt;=(核心参数输入!$B$16*4+(核心参数输入!$B$148))+核心参数输入!$B$53*4),季度投融资!$B$26*(1-核心参数输入!$B$54)/核心参数输入!$B$53/4,0),0)</f>
        <v>195.26062499999995</v>
      </c>
      <c r="AO42" s="9">
        <f>IF(37&lt;=核心参数输入!$B$9*4,IF(AND(37&gt;(核心参数输入!$B$16*4+(核心参数输入!$B$148)),37&lt;=(核心参数输入!$B$16*4+(核心参数输入!$B$148))+核心参数输入!$B$53*4),季度投融资!$B$26*(1-核心参数输入!$B$54)/核心参数输入!$B$53/4,0),0)</f>
        <v>195.26062499999995</v>
      </c>
      <c r="AP42" s="9">
        <f>IF(38&lt;=核心参数输入!$B$9*4,IF(AND(38&gt;(核心参数输入!$B$16*4+(核心参数输入!$B$148)),38&lt;=(核心参数输入!$B$16*4+(核心参数输入!$B$148))+核心参数输入!$B$53*4),季度投融资!$B$26*(1-核心参数输入!$B$54)/核心参数输入!$B$53/4,0),0)</f>
        <v>195.26062499999995</v>
      </c>
      <c r="AQ42" s="9">
        <f>IF(39&lt;=核心参数输入!$B$9*4,IF(AND(39&gt;(核心参数输入!$B$16*4+(核心参数输入!$B$148)),39&lt;=(核心参数输入!$B$16*4+(核心参数输入!$B$148))+核心参数输入!$B$53*4),季度投融资!$B$26*(1-核心参数输入!$B$54)/核心参数输入!$B$53/4,0),0)</f>
        <v>195.26062499999995</v>
      </c>
      <c r="AR42" s="9">
        <f>IF(40&lt;=核心参数输入!$B$9*4,IF(AND(40&gt;(核心参数输入!$B$16*4+(核心参数输入!$B$148)),40&lt;=(核心参数输入!$B$16*4+(核心参数输入!$B$148))+核心参数输入!$B$53*4),季度投融资!$B$26*(1-核心参数输入!$B$54)/核心参数输入!$B$53/4,0),0)</f>
        <v>195.26062499999995</v>
      </c>
      <c r="AS42" s="9">
        <f>IF(41&lt;=核心参数输入!$B$9*4,IF(AND(41&gt;(核心参数输入!$B$16*4+(核心参数输入!$B$148)),41&lt;=(核心参数输入!$B$16*4+(核心参数输入!$B$148))+核心参数输入!$B$53*4),季度投融资!$B$26*(1-核心参数输入!$B$54)/核心参数输入!$B$53/4,0),0)</f>
        <v>195.26062499999995</v>
      </c>
      <c r="AT42" s="9">
        <f>IF(42&lt;=核心参数输入!$B$9*4,IF(AND(42&gt;(核心参数输入!$B$16*4+(核心参数输入!$B$148)),42&lt;=(核心参数输入!$B$16*4+(核心参数输入!$B$148))+核心参数输入!$B$53*4),季度投融资!$B$26*(1-核心参数输入!$B$54)/核心参数输入!$B$53/4,0),0)</f>
        <v>195.26062499999995</v>
      </c>
      <c r="AU42" s="9">
        <f>IF(43&lt;=核心参数输入!$B$9*4,IF(AND(43&gt;(核心参数输入!$B$16*4+(核心参数输入!$B$148)),43&lt;=(核心参数输入!$B$16*4+(核心参数输入!$B$148))+核心参数输入!$B$53*4),季度投融资!$B$26*(1-核心参数输入!$B$54)/核心参数输入!$B$53/4,0),0)</f>
        <v>195.26062499999995</v>
      </c>
      <c r="AV42" s="9">
        <f>IF(44&lt;=核心参数输入!$B$9*4,IF(AND(44&gt;(核心参数输入!$B$16*4+(核心参数输入!$B$148)),44&lt;=(核心参数输入!$B$16*4+(核心参数输入!$B$148))+核心参数输入!$B$53*4),季度投融资!$B$26*(1-核心参数输入!$B$54)/核心参数输入!$B$53/4,0),0)</f>
        <v>195.26062499999995</v>
      </c>
      <c r="AW42" s="9">
        <f>IF(45&lt;=核心参数输入!$B$9*4,IF(AND(45&gt;(核心参数输入!$B$16*4+(核心参数输入!$B$148)),45&lt;=(核心参数输入!$B$16*4+(核心参数输入!$B$148))+核心参数输入!$B$53*4),季度投融资!$B$26*(1-核心参数输入!$B$54)/核心参数输入!$B$53/4,0),0)</f>
        <v>195.26062499999995</v>
      </c>
      <c r="AX42" s="9">
        <f>IF(46&lt;=核心参数输入!$B$9*4,IF(AND(46&gt;(核心参数输入!$B$16*4+(核心参数输入!$B$148)),46&lt;=(核心参数输入!$B$16*4+(核心参数输入!$B$148))+核心参数输入!$B$53*4),季度投融资!$B$26*(1-核心参数输入!$B$54)/核心参数输入!$B$53/4,0),0)</f>
        <v>195.26062499999995</v>
      </c>
      <c r="AY42" s="9">
        <f>IF(47&lt;=核心参数输入!$B$9*4,IF(AND(47&gt;(核心参数输入!$B$16*4+(核心参数输入!$B$148)),47&lt;=(核心参数输入!$B$16*4+(核心参数输入!$B$148))+核心参数输入!$B$53*4),季度投融资!$B$26*(1-核心参数输入!$B$54)/核心参数输入!$B$53/4,0),0)</f>
        <v>195.26062499999995</v>
      </c>
      <c r="AZ42" s="9">
        <f>IF(48&lt;=核心参数输入!$B$9*4,IF(AND(48&gt;(核心参数输入!$B$16*4+(核心参数输入!$B$148)),48&lt;=(核心参数输入!$B$16*4+(核心参数输入!$B$148))+核心参数输入!$B$53*4),季度投融资!$B$26*(1-核心参数输入!$B$54)/核心参数输入!$B$53/4,0),0)</f>
        <v>195.26062499999995</v>
      </c>
      <c r="BA42" s="9">
        <f>IF(49&lt;=核心参数输入!$B$9*4,IF(AND(49&gt;(核心参数输入!$B$16*4+(核心参数输入!$B$148)),49&lt;=(核心参数输入!$B$16*4+(核心参数输入!$B$148))+核心参数输入!$B$53*4),季度投融资!$B$26*(1-核心参数输入!$B$54)/核心参数输入!$B$53/4,0),0)</f>
        <v>195.26062499999995</v>
      </c>
      <c r="BB42" s="9">
        <f>IF(50&lt;=核心参数输入!$B$9*4,IF(AND(50&gt;(核心参数输入!$B$16*4+(核心参数输入!$B$148)),50&lt;=(核心参数输入!$B$16*4+(核心参数输入!$B$148))+核心参数输入!$B$53*4),季度投融资!$B$26*(1-核心参数输入!$B$54)/核心参数输入!$B$53/4,0),0)</f>
        <v>195.26062499999995</v>
      </c>
      <c r="BC42" s="9">
        <f>IF(51&lt;=核心参数输入!$B$9*4,IF(AND(51&gt;(核心参数输入!$B$16*4+(核心参数输入!$B$148)),51&lt;=(核心参数输入!$B$16*4+(核心参数输入!$B$148))+核心参数输入!$B$53*4),季度投融资!$B$26*(1-核心参数输入!$B$54)/核心参数输入!$B$53/4,0),0)</f>
        <v>195.26062499999995</v>
      </c>
      <c r="BD42" s="9">
        <f>IF(52&lt;=核心参数输入!$B$9*4,IF(AND(52&gt;(核心参数输入!$B$16*4+(核心参数输入!$B$148)),52&lt;=(核心参数输入!$B$16*4+(核心参数输入!$B$148))+核心参数输入!$B$53*4),季度投融资!$B$26*(1-核心参数输入!$B$54)/核心参数输入!$B$53/4,0),0)</f>
        <v>195.26062499999995</v>
      </c>
      <c r="BE42" s="9">
        <f>IF(53&lt;=核心参数输入!$B$9*4,IF(AND(53&gt;(核心参数输入!$B$16*4+(核心参数输入!$B$148)),53&lt;=(核心参数输入!$B$16*4+(核心参数输入!$B$148))+核心参数输入!$B$53*4),季度投融资!$B$26*(1-核心参数输入!$B$54)/核心参数输入!$B$53/4,0),0)</f>
        <v>195.26062499999995</v>
      </c>
      <c r="BF42" s="9">
        <f>IF(54&lt;=核心参数输入!$B$9*4,IF(AND(54&gt;(核心参数输入!$B$16*4+(核心参数输入!$B$148)),54&lt;=(核心参数输入!$B$16*4+(核心参数输入!$B$148))+核心参数输入!$B$53*4),季度投融资!$B$26*(1-核心参数输入!$B$54)/核心参数输入!$B$53/4,0),0)</f>
        <v>195.26062499999995</v>
      </c>
      <c r="BG42" s="9">
        <f>IF(55&lt;=核心参数输入!$B$9*4,IF(AND(55&gt;(核心参数输入!$B$16*4+(核心参数输入!$B$148)),55&lt;=(核心参数输入!$B$16*4+(核心参数输入!$B$148))+核心参数输入!$B$53*4),季度投融资!$B$26*(1-核心参数输入!$B$54)/核心参数输入!$B$53/4,0),0)</f>
        <v>195.26062499999995</v>
      </c>
      <c r="BH42" s="9">
        <f>IF(56&lt;=核心参数输入!$B$9*4,IF(AND(56&gt;(核心参数输入!$B$16*4+(核心参数输入!$B$148)),56&lt;=(核心参数输入!$B$16*4+(核心参数输入!$B$148))+核心参数输入!$B$53*4),季度投融资!$B$26*(1-核心参数输入!$B$54)/核心参数输入!$B$53/4,0),0)</f>
        <v>195.26062499999995</v>
      </c>
      <c r="BI42" s="9">
        <f>IF(57&lt;=核心参数输入!$B$9*4,IF(AND(57&gt;(核心参数输入!$B$16*4+(核心参数输入!$B$148)),57&lt;=(核心参数输入!$B$16*4+(核心参数输入!$B$148))+核心参数输入!$B$53*4),季度投融资!$B$26*(1-核心参数输入!$B$54)/核心参数输入!$B$53/4,0),0)</f>
        <v>195.26062499999995</v>
      </c>
      <c r="BJ42" s="9">
        <f>IF(58&lt;=核心参数输入!$B$9*4,IF(AND(58&gt;(核心参数输入!$B$16*4+(核心参数输入!$B$148)),58&lt;=(核心参数输入!$B$16*4+(核心参数输入!$B$148))+核心参数输入!$B$53*4),季度投融资!$B$26*(1-核心参数输入!$B$54)/核心参数输入!$B$53/4,0),0)</f>
        <v>195.26062499999995</v>
      </c>
      <c r="BK42" s="9">
        <f>IF(59&lt;=核心参数输入!$B$9*4,IF(AND(59&gt;(核心参数输入!$B$16*4+(核心参数输入!$B$148)),59&lt;=(核心参数输入!$B$16*4+(核心参数输入!$B$148))+核心参数输入!$B$53*4),季度投融资!$B$26*(1-核心参数输入!$B$54)/核心参数输入!$B$53/4,0),0)</f>
        <v>195.26062499999995</v>
      </c>
      <c r="BL42" s="9">
        <f>IF(60&lt;=核心参数输入!$B$9*4,IF(AND(60&gt;(核心参数输入!$B$16*4+(核心参数输入!$B$148)),60&lt;=(核心参数输入!$B$16*4+(核心参数输入!$B$148))+核心参数输入!$B$53*4),季度投融资!$B$26*(1-核心参数输入!$B$54)/核心参数输入!$B$53/4,0),0)</f>
        <v>195.26062499999995</v>
      </c>
      <c r="BM42" s="9">
        <f>IF(61&lt;=核心参数输入!$B$9*4,IF(AND(61&gt;(核心参数输入!$B$16*4+(核心参数输入!$B$148)),61&lt;=(核心参数输入!$B$16*4+(核心参数输入!$B$148))+核心参数输入!$B$53*4),季度投融资!$B$26*(1-核心参数输入!$B$54)/核心参数输入!$B$53/4,0),0)</f>
        <v>195.26062499999995</v>
      </c>
      <c r="BN42" s="9">
        <f>IF(62&lt;=核心参数输入!$B$9*4,IF(AND(62&gt;(核心参数输入!$B$16*4+(核心参数输入!$B$148)),62&lt;=(核心参数输入!$B$16*4+(核心参数输入!$B$148))+核心参数输入!$B$53*4),季度投融资!$B$26*(1-核心参数输入!$B$54)/核心参数输入!$B$53/4,0),0)</f>
        <v>195.26062499999995</v>
      </c>
      <c r="BO42" s="9">
        <f>IF(63&lt;=核心参数输入!$B$9*4,IF(AND(63&gt;(核心参数输入!$B$16*4+(核心参数输入!$B$148)),63&lt;=(核心参数输入!$B$16*4+(核心参数输入!$B$148))+核心参数输入!$B$53*4),季度投融资!$B$26*(1-核心参数输入!$B$54)/核心参数输入!$B$53/4,0),0)</f>
        <v>195.26062499999995</v>
      </c>
      <c r="BP42" s="9">
        <f>IF(64&lt;=核心参数输入!$B$9*4,IF(AND(64&gt;(核心参数输入!$B$16*4+(核心参数输入!$B$148)),64&lt;=(核心参数输入!$B$16*4+(核心参数输入!$B$148))+核心参数输入!$B$53*4),季度投融资!$B$26*(1-核心参数输入!$B$54)/核心参数输入!$B$53/4,0),0)</f>
        <v>195.26062499999995</v>
      </c>
      <c r="BQ42" s="9">
        <f>IF(65&lt;=核心参数输入!$B$9*4,IF(AND(65&gt;(核心参数输入!$B$16*4+(核心参数输入!$B$148)),65&lt;=(核心参数输入!$B$16*4+(核心参数输入!$B$148))+核心参数输入!$B$53*4),季度投融资!$B$26*(1-核心参数输入!$B$54)/核心参数输入!$B$53/4,0),0)</f>
        <v>195.26062499999995</v>
      </c>
      <c r="BR42" s="9">
        <f>IF(66&lt;=核心参数输入!$B$9*4,IF(AND(66&gt;(核心参数输入!$B$16*4+(核心参数输入!$B$148)),66&lt;=(核心参数输入!$B$16*4+(核心参数输入!$B$148))+核心参数输入!$B$53*4),季度投融资!$B$26*(1-核心参数输入!$B$54)/核心参数输入!$B$53/4,0),0)</f>
        <v>195.26062499999995</v>
      </c>
      <c r="BS42" s="9">
        <f>IF(67&lt;=核心参数输入!$B$9*4,IF(AND(67&gt;(核心参数输入!$B$16*4+(核心参数输入!$B$148)),67&lt;=(核心参数输入!$B$16*4+(核心参数输入!$B$148))+核心参数输入!$B$53*4),季度投融资!$B$26*(1-核心参数输入!$B$54)/核心参数输入!$B$53/4,0),0)</f>
        <v>195.26062499999995</v>
      </c>
      <c r="BT42" s="9">
        <f>IF(68&lt;=核心参数输入!$B$9*4,IF(AND(68&gt;(核心参数输入!$B$16*4+(核心参数输入!$B$148)),68&lt;=(核心参数输入!$B$16*4+(核心参数输入!$B$148))+核心参数输入!$B$53*4),季度投融资!$B$26*(1-核心参数输入!$B$54)/核心参数输入!$B$53/4,0),0)</f>
        <v>195.26062499999995</v>
      </c>
      <c r="BU42" s="9">
        <f>IF(69&lt;=核心参数输入!$B$9*4,IF(AND(69&gt;(核心参数输入!$B$16*4+(核心参数输入!$B$148)),69&lt;=(核心参数输入!$B$16*4+(核心参数输入!$B$148))+核心参数输入!$B$53*4),季度投融资!$B$26*(1-核心参数输入!$B$54)/核心参数输入!$B$53/4,0),0)</f>
        <v>195.26062499999995</v>
      </c>
      <c r="BV42" s="9">
        <f>IF(70&lt;=核心参数输入!$B$9*4,IF(AND(70&gt;(核心参数输入!$B$16*4+(核心参数输入!$B$148)),70&lt;=(核心参数输入!$B$16*4+(核心参数输入!$B$148))+核心参数输入!$B$53*4),季度投融资!$B$26*(1-核心参数输入!$B$54)/核心参数输入!$B$53/4,0),0)</f>
        <v>195.26062499999995</v>
      </c>
      <c r="BW42" s="9">
        <f>IF(71&lt;=核心参数输入!$B$9*4,IF(AND(71&gt;(核心参数输入!$B$16*4+(核心参数输入!$B$148)),71&lt;=(核心参数输入!$B$16*4+(核心参数输入!$B$148))+核心参数输入!$B$53*4),季度投融资!$B$26*(1-核心参数输入!$B$54)/核心参数输入!$B$53/4,0),0)</f>
        <v>195.26062499999995</v>
      </c>
      <c r="BX42" s="9">
        <f>IF(72&lt;=核心参数输入!$B$9*4,IF(AND(72&gt;(核心参数输入!$B$16*4+(核心参数输入!$B$148)),72&lt;=(核心参数输入!$B$16*4+(核心参数输入!$B$148))+核心参数输入!$B$53*4),季度投融资!$B$26*(1-核心参数输入!$B$54)/核心参数输入!$B$53/4,0),0)</f>
        <v>195.26062499999995</v>
      </c>
      <c r="BY42" s="9">
        <f>IF(73&lt;=核心参数输入!$B$9*4,IF(AND(73&gt;(核心参数输入!$B$16*4+(核心参数输入!$B$148)),73&lt;=(核心参数输入!$B$16*4+(核心参数输入!$B$148))+核心参数输入!$B$53*4),季度投融资!$B$26*(1-核心参数输入!$B$54)/核心参数输入!$B$53/4,0),0)</f>
        <v>195.26062499999995</v>
      </c>
      <c r="BZ42" s="9">
        <f>IF(74&lt;=核心参数输入!$B$9*4,IF(AND(74&gt;(核心参数输入!$B$16*4+(核心参数输入!$B$148)),74&lt;=(核心参数输入!$B$16*4+(核心参数输入!$B$148))+核心参数输入!$B$53*4),季度投融资!$B$26*(1-核心参数输入!$B$54)/核心参数输入!$B$53/4,0),0)</f>
        <v>195.26062499999995</v>
      </c>
      <c r="CA42" s="9">
        <f>IF(75&lt;=核心参数输入!$B$9*4,IF(AND(75&gt;(核心参数输入!$B$16*4+(核心参数输入!$B$148)),75&lt;=(核心参数输入!$B$16*4+(核心参数输入!$B$148))+核心参数输入!$B$53*4),季度投融资!$B$26*(1-核心参数输入!$B$54)/核心参数输入!$B$53/4,0),0)</f>
        <v>195.26062499999995</v>
      </c>
      <c r="CB42" s="9">
        <f>IF(76&lt;=核心参数输入!$B$9*4,IF(AND(76&gt;(核心参数输入!$B$16*4+(核心参数输入!$B$148)),76&lt;=(核心参数输入!$B$16*4+(核心参数输入!$B$148))+核心参数输入!$B$53*4),季度投融资!$B$26*(1-核心参数输入!$B$54)/核心参数输入!$B$53/4,0),0)</f>
        <v>195.26062499999995</v>
      </c>
      <c r="CC42" s="9">
        <f>IF(77&lt;=核心参数输入!$B$9*4,IF(AND(77&gt;(核心参数输入!$B$16*4+(核心参数输入!$B$148)),77&lt;=(核心参数输入!$B$16*4+(核心参数输入!$B$148))+核心参数输入!$B$53*4),季度投融资!$B$26*(1-核心参数输入!$B$54)/核心参数输入!$B$53/4,0),0)</f>
        <v>195.26062499999995</v>
      </c>
      <c r="CD42" s="9">
        <f>IF(78&lt;=核心参数输入!$B$9*4,IF(AND(78&gt;(核心参数输入!$B$16*4+(核心参数输入!$B$148)),78&lt;=(核心参数输入!$B$16*4+(核心参数输入!$B$148))+核心参数输入!$B$53*4),季度投融资!$B$26*(1-核心参数输入!$B$54)/核心参数输入!$B$53/4,0),0)</f>
        <v>195.26062499999995</v>
      </c>
      <c r="CE42" s="9">
        <f>IF(79&lt;=核心参数输入!$B$9*4,IF(AND(79&gt;(核心参数输入!$B$16*4+(核心参数输入!$B$148)),79&lt;=(核心参数输入!$B$16*4+(核心参数输入!$B$148))+核心参数输入!$B$53*4),季度投融资!$B$26*(1-核心参数输入!$B$54)/核心参数输入!$B$53/4,0),0)</f>
        <v>195.26062499999995</v>
      </c>
      <c r="CF42" s="9">
        <f>IF(80&lt;=核心参数输入!$B$9*4,IF(AND(80&gt;(核心参数输入!$B$16*4+(核心参数输入!$B$148)),80&lt;=(核心参数输入!$B$16*4+(核心参数输入!$B$148))+核心参数输入!$B$53*4),季度投融资!$B$26*(1-核心参数输入!$B$54)/核心参数输入!$B$53/4,0),0)</f>
        <v>195.26062499999995</v>
      </c>
      <c r="CG42" s="9">
        <f>IF(81&lt;=核心参数输入!$B$9*4,IF(AND(81&gt;(核心参数输入!$B$16*4+(核心参数输入!$B$148)),81&lt;=(核心参数输入!$B$16*4+(核心参数输入!$B$148))+核心参数输入!$B$53*4),季度投融资!$B$26*(1-核心参数输入!$B$54)/核心参数输入!$B$53/4,0),0)</f>
        <v>0</v>
      </c>
      <c r="CH42" s="9">
        <f>IF(82&lt;=核心参数输入!$B$9*4,IF(AND(82&gt;(核心参数输入!$B$16*4+(核心参数输入!$B$148)),82&lt;=(核心参数输入!$B$16*4+(核心参数输入!$B$148))+核心参数输入!$B$53*4),季度投融资!$B$26*(1-核心参数输入!$B$54)/核心参数输入!$B$53/4,0),0)</f>
        <v>0</v>
      </c>
      <c r="CI42" s="9">
        <f>IF(83&lt;=核心参数输入!$B$9*4,IF(AND(83&gt;(核心参数输入!$B$16*4+(核心参数输入!$B$148)),83&lt;=(核心参数输入!$B$16*4+(核心参数输入!$B$148))+核心参数输入!$B$53*4),季度投融资!$B$26*(1-核心参数输入!$B$54)/核心参数输入!$B$53/4,0),0)</f>
        <v>0</v>
      </c>
      <c r="CJ42" s="9">
        <f>IF(84&lt;=核心参数输入!$B$9*4,IF(AND(84&gt;(核心参数输入!$B$16*4+(核心参数输入!$B$148)),84&lt;=(核心参数输入!$B$16*4+(核心参数输入!$B$148))+核心参数输入!$B$53*4),季度投融资!$B$26*(1-核心参数输入!$B$54)/核心参数输入!$B$53/4,0),0)</f>
        <v>0</v>
      </c>
      <c r="CK42" s="9">
        <f>IF(85&lt;=核心参数输入!$B$9*4,IF(AND(85&gt;(核心参数输入!$B$16*4+(核心参数输入!$B$148)),85&lt;=(核心参数输入!$B$16*4+(核心参数输入!$B$148))+核心参数输入!$B$53*4),季度投融资!$B$26*(1-核心参数输入!$B$54)/核心参数输入!$B$53/4,0),0)</f>
        <v>0</v>
      </c>
      <c r="CL42" s="9">
        <f>IF(86&lt;=核心参数输入!$B$9*4,IF(AND(86&gt;(核心参数输入!$B$16*4+(核心参数输入!$B$148)),86&lt;=(核心参数输入!$B$16*4+(核心参数输入!$B$148))+核心参数输入!$B$53*4),季度投融资!$B$26*(1-核心参数输入!$B$54)/核心参数输入!$B$53/4,0),0)</f>
        <v>0</v>
      </c>
      <c r="CM42" s="9">
        <f>IF(87&lt;=核心参数输入!$B$9*4,IF(AND(87&gt;(核心参数输入!$B$16*4+(核心参数输入!$B$148)),87&lt;=(核心参数输入!$B$16*4+(核心参数输入!$B$148))+核心参数输入!$B$53*4),季度投融资!$B$26*(1-核心参数输入!$B$54)/核心参数输入!$B$53/4,0),0)</f>
        <v>0</v>
      </c>
      <c r="CN42" s="9">
        <f>IF(88&lt;=核心参数输入!$B$9*4,IF(AND(88&gt;(核心参数输入!$B$16*4+(核心参数输入!$B$148)),88&lt;=(核心参数输入!$B$16*4+(核心参数输入!$B$148))+核心参数输入!$B$53*4),季度投融资!$B$26*(1-核心参数输入!$B$54)/核心参数输入!$B$53/4,0),0)</f>
        <v>0</v>
      </c>
      <c r="CO42" s="9">
        <f>IF(89&lt;=核心参数输入!$B$9*4,IF(AND(89&gt;(核心参数输入!$B$16*4+(核心参数输入!$B$148)),89&lt;=(核心参数输入!$B$16*4+(核心参数输入!$B$148))+核心参数输入!$B$53*4),季度投融资!$B$26*(1-核心参数输入!$B$54)/核心参数输入!$B$53/4,0),0)</f>
        <v>0</v>
      </c>
      <c r="CP42" s="9">
        <f>IF(90&lt;=核心参数输入!$B$9*4,IF(AND(90&gt;(核心参数输入!$B$16*4+(核心参数输入!$B$148)),90&lt;=(核心参数输入!$B$16*4+(核心参数输入!$B$148))+核心参数输入!$B$53*4),季度投融资!$B$26*(1-核心参数输入!$B$54)/核心参数输入!$B$53/4,0),0)</f>
        <v>0</v>
      </c>
      <c r="CQ42" s="9">
        <f>IF(91&lt;=核心参数输入!$B$9*4,IF(AND(91&gt;(核心参数输入!$B$16*4+(核心参数输入!$B$148)),91&lt;=(核心参数输入!$B$16*4+(核心参数输入!$B$148))+核心参数输入!$B$53*4),季度投融资!$B$26*(1-核心参数输入!$B$54)/核心参数输入!$B$53/4,0),0)</f>
        <v>0</v>
      </c>
      <c r="CR42" s="9">
        <f>IF(92&lt;=核心参数输入!$B$9*4,IF(AND(92&gt;(核心参数输入!$B$16*4+(核心参数输入!$B$148)),92&lt;=(核心参数输入!$B$16*4+(核心参数输入!$B$148))+核心参数输入!$B$53*4),季度投融资!$B$26*(1-核心参数输入!$B$54)/核心参数输入!$B$53/4,0),0)</f>
        <v>0</v>
      </c>
      <c r="CS42" s="9">
        <f>IF(93&lt;=核心参数输入!$B$9*4,IF(AND(93&gt;(核心参数输入!$B$16*4+(核心参数输入!$B$148)),93&lt;=(核心参数输入!$B$16*4+(核心参数输入!$B$148))+核心参数输入!$B$53*4),季度投融资!$B$26*(1-核心参数输入!$B$54)/核心参数输入!$B$53/4,0),0)</f>
        <v>0</v>
      </c>
      <c r="CT42" s="9">
        <f>IF(94&lt;=核心参数输入!$B$9*4,IF(AND(94&gt;(核心参数输入!$B$16*4+(核心参数输入!$B$148)),94&lt;=(核心参数输入!$B$16*4+(核心参数输入!$B$148))+核心参数输入!$B$53*4),季度投融资!$B$26*(1-核心参数输入!$B$54)/核心参数输入!$B$53/4,0),0)</f>
        <v>0</v>
      </c>
      <c r="CU42" s="9">
        <f>IF(95&lt;=核心参数输入!$B$9*4,IF(AND(95&gt;(核心参数输入!$B$16*4+(核心参数输入!$B$148)),95&lt;=(核心参数输入!$B$16*4+(核心参数输入!$B$148))+核心参数输入!$B$53*4),季度投融资!$B$26*(1-核心参数输入!$B$54)/核心参数输入!$B$53/4,0),0)</f>
        <v>0</v>
      </c>
      <c r="CV42" s="9">
        <f>IF(96&lt;=核心参数输入!$B$9*4,IF(AND(96&gt;(核心参数输入!$B$16*4+(核心参数输入!$B$148)),96&lt;=(核心参数输入!$B$16*4+(核心参数输入!$B$148))+核心参数输入!$B$53*4),季度投融资!$B$26*(1-核心参数输入!$B$54)/核心参数输入!$B$53/4,0),0)</f>
        <v>0</v>
      </c>
      <c r="CW42" s="9">
        <f>IF(97&lt;=核心参数输入!$B$9*4,IF(AND(97&gt;(核心参数输入!$B$16*4+(核心参数输入!$B$148)),97&lt;=(核心参数输入!$B$16*4+(核心参数输入!$B$148))+核心参数输入!$B$53*4),季度投融资!$B$26*(1-核心参数输入!$B$54)/核心参数输入!$B$53/4,0),0)</f>
        <v>0</v>
      </c>
      <c r="CX42" s="9">
        <f>IF(98&lt;=核心参数输入!$B$9*4,IF(AND(98&gt;(核心参数输入!$B$16*4+(核心参数输入!$B$148)),98&lt;=(核心参数输入!$B$16*4+(核心参数输入!$B$148))+核心参数输入!$B$53*4),季度投融资!$B$26*(1-核心参数输入!$B$54)/核心参数输入!$B$53/4,0),0)</f>
        <v>0</v>
      </c>
      <c r="CY42" s="9">
        <f>IF(99&lt;=核心参数输入!$B$9*4,IF(AND(99&gt;(核心参数输入!$B$16*4+(核心参数输入!$B$148)),99&lt;=(核心参数输入!$B$16*4+(核心参数输入!$B$148))+核心参数输入!$B$53*4),季度投融资!$B$26*(1-核心参数输入!$B$54)/核心参数输入!$B$53/4,0),0)</f>
        <v>0</v>
      </c>
      <c r="CZ42" s="9">
        <f>IF(100&lt;=核心参数输入!$B$9*4,IF(AND(100&gt;(核心参数输入!$B$16*4+(核心参数输入!$B$148)),100&lt;=(核心参数输入!$B$16*4+(核心参数输入!$B$148))+核心参数输入!$B$53*4),季度投融资!$B$26*(1-核心参数输入!$B$54)/核心参数输入!$B$53/4,0),0)</f>
        <v>0</v>
      </c>
      <c r="DA42" s="9">
        <f>IF(101&lt;=核心参数输入!$B$9*4,IF(AND(101&gt;(核心参数输入!$B$16*4+(核心参数输入!$B$148)),101&lt;=(核心参数输入!$B$16*4+(核心参数输入!$B$148))+核心参数输入!$B$53*4),季度投融资!$B$26*(1-核心参数输入!$B$54)/核心参数输入!$B$53/4,0),0)</f>
        <v>0</v>
      </c>
      <c r="DB42" s="9">
        <f>IF(102&lt;=核心参数输入!$B$9*4,IF(AND(102&gt;(核心参数输入!$B$16*4+(核心参数输入!$B$148)),102&lt;=(核心参数输入!$B$16*4+(核心参数输入!$B$148))+核心参数输入!$B$53*4),季度投融资!$B$26*(1-核心参数输入!$B$54)/核心参数输入!$B$53/4,0),0)</f>
        <v>0</v>
      </c>
      <c r="DC42" s="9">
        <f>IF(103&lt;=核心参数输入!$B$9*4,IF(AND(103&gt;(核心参数输入!$B$16*4+(核心参数输入!$B$148)),103&lt;=(核心参数输入!$B$16*4+(核心参数输入!$B$148))+核心参数输入!$B$53*4),季度投融资!$B$26*(1-核心参数输入!$B$54)/核心参数输入!$B$53/4,0),0)</f>
        <v>0</v>
      </c>
      <c r="DD42" s="9">
        <f>IF(104&lt;=核心参数输入!$B$9*4,IF(AND(104&gt;(核心参数输入!$B$16*4+(核心参数输入!$B$148)),104&lt;=(核心参数输入!$B$16*4+(核心参数输入!$B$148))+核心参数输入!$B$53*4),季度投融资!$B$26*(1-核心参数输入!$B$54)/核心参数输入!$B$53/4,0),0)</f>
        <v>0</v>
      </c>
      <c r="DE42" s="9">
        <f>IF(105&lt;=核心参数输入!$B$9*4,IF(AND(105&gt;(核心参数输入!$B$16*4+(核心参数输入!$B$148)),105&lt;=(核心参数输入!$B$16*4+(核心参数输入!$B$148))+核心参数输入!$B$53*4),季度投融资!$B$26*(1-核心参数输入!$B$54)/核心参数输入!$B$53/4,0),0)</f>
        <v>0</v>
      </c>
      <c r="DF42" s="9">
        <f>IF(106&lt;=核心参数输入!$B$9*4,IF(AND(106&gt;(核心参数输入!$B$16*4+(核心参数输入!$B$148)),106&lt;=(核心参数输入!$B$16*4+(核心参数输入!$B$148))+核心参数输入!$B$53*4),季度投融资!$B$26*(1-核心参数输入!$B$54)/核心参数输入!$B$53/4,0),0)</f>
        <v>0</v>
      </c>
      <c r="DG42" s="9">
        <f>IF(107&lt;=核心参数输入!$B$9*4,IF(AND(107&gt;(核心参数输入!$B$16*4+(核心参数输入!$B$148)),107&lt;=(核心参数输入!$B$16*4+(核心参数输入!$B$148))+核心参数输入!$B$53*4),季度投融资!$B$26*(1-核心参数输入!$B$54)/核心参数输入!$B$53/4,0),0)</f>
        <v>0</v>
      </c>
      <c r="DH42" s="9">
        <f>IF(108&lt;=核心参数输入!$B$9*4,IF(AND(108&gt;(核心参数输入!$B$16*4+(核心参数输入!$B$148)),108&lt;=(核心参数输入!$B$16*4+(核心参数输入!$B$148))+核心参数输入!$B$53*4),季度投融资!$B$26*(1-核心参数输入!$B$54)/核心参数输入!$B$53/4,0),0)</f>
        <v>0</v>
      </c>
      <c r="DI42" s="9">
        <f>IF(109&lt;=核心参数输入!$B$9*4,IF(AND(109&gt;(核心参数输入!$B$16*4+(核心参数输入!$B$148)),109&lt;=(核心参数输入!$B$16*4+(核心参数输入!$B$148))+核心参数输入!$B$53*4),季度投融资!$B$26*(1-核心参数输入!$B$54)/核心参数输入!$B$53/4,0),0)</f>
        <v>0</v>
      </c>
      <c r="DJ42" s="9">
        <f>IF(110&lt;=核心参数输入!$B$9*4,IF(AND(110&gt;(核心参数输入!$B$16*4+(核心参数输入!$B$148)),110&lt;=(核心参数输入!$B$16*4+(核心参数输入!$B$148))+核心参数输入!$B$53*4),季度投融资!$B$26*(1-核心参数输入!$B$54)/核心参数输入!$B$53/4,0),0)</f>
        <v>0</v>
      </c>
      <c r="DK42" s="9">
        <f>IF(111&lt;=核心参数输入!$B$9*4,IF(AND(111&gt;(核心参数输入!$B$16*4+(核心参数输入!$B$148)),111&lt;=(核心参数输入!$B$16*4+(核心参数输入!$B$148))+核心参数输入!$B$53*4),季度投融资!$B$26*(1-核心参数输入!$B$54)/核心参数输入!$B$53/4,0),0)</f>
        <v>0</v>
      </c>
      <c r="DL42" s="9">
        <f>IF(112&lt;=核心参数输入!$B$9*4,IF(AND(112&gt;(核心参数输入!$B$16*4+(核心参数输入!$B$148)),112&lt;=(核心参数输入!$B$16*4+(核心参数输入!$B$148))+核心参数输入!$B$53*4),季度投融资!$B$26*(1-核心参数输入!$B$54)/核心参数输入!$B$53/4,0),0)</f>
        <v>0</v>
      </c>
      <c r="DM42" s="9">
        <f>IF(113&lt;=核心参数输入!$B$9*4,IF(AND(113&gt;(核心参数输入!$B$16*4+(核心参数输入!$B$148)),113&lt;=(核心参数输入!$B$16*4+(核心参数输入!$B$148))+核心参数输入!$B$53*4),季度投融资!$B$26*(1-核心参数输入!$B$54)/核心参数输入!$B$53/4,0),0)</f>
        <v>0</v>
      </c>
      <c r="DN42" s="9">
        <f>IF(114&lt;=核心参数输入!$B$9*4,IF(AND(114&gt;(核心参数输入!$B$16*4+(核心参数输入!$B$148)),114&lt;=(核心参数输入!$B$16*4+(核心参数输入!$B$148))+核心参数输入!$B$53*4),季度投融资!$B$26*(1-核心参数输入!$B$54)/核心参数输入!$B$53/4,0),0)</f>
        <v>0</v>
      </c>
      <c r="DO42" s="9">
        <f>IF(115&lt;=核心参数输入!$B$9*4,IF(AND(115&gt;(核心参数输入!$B$16*4+(核心参数输入!$B$148)),115&lt;=(核心参数输入!$B$16*4+(核心参数输入!$B$148))+核心参数输入!$B$53*4),季度投融资!$B$26*(1-核心参数输入!$B$54)/核心参数输入!$B$53/4,0),0)</f>
        <v>0</v>
      </c>
      <c r="DP42" s="9">
        <f>IF(116&lt;=核心参数输入!$B$9*4,IF(AND(116&gt;(核心参数输入!$B$16*4+(核心参数输入!$B$148)),116&lt;=(核心参数输入!$B$16*4+(核心参数输入!$B$148))+核心参数输入!$B$53*4),季度投融资!$B$26*(1-核心参数输入!$B$54)/核心参数输入!$B$53/4,0),0)</f>
        <v>0</v>
      </c>
      <c r="DQ42" s="9">
        <f>IF(117&lt;=核心参数输入!$B$9*4,IF(AND(117&gt;(核心参数输入!$B$16*4+(核心参数输入!$B$148)),117&lt;=(核心参数输入!$B$16*4+(核心参数输入!$B$148))+核心参数输入!$B$53*4),季度投融资!$B$26*(1-核心参数输入!$B$54)/核心参数输入!$B$53/4,0),0)</f>
        <v>0</v>
      </c>
      <c r="DR42" s="9">
        <f>IF(118&lt;=核心参数输入!$B$9*4,IF(AND(118&gt;(核心参数输入!$B$16*4+(核心参数输入!$B$148)),118&lt;=(核心参数输入!$B$16*4+(核心参数输入!$B$148))+核心参数输入!$B$53*4),季度投融资!$B$26*(1-核心参数输入!$B$54)/核心参数输入!$B$53/4,0),0)</f>
        <v>0</v>
      </c>
      <c r="DS42" s="9">
        <f>IF(119&lt;=核心参数输入!$B$9*4,IF(AND(119&gt;(核心参数输入!$B$16*4+(核心参数输入!$B$148)),119&lt;=(核心参数输入!$B$16*4+(核心参数输入!$B$148))+核心参数输入!$B$53*4),季度投融资!$B$26*(1-核心参数输入!$B$54)/核心参数输入!$B$53/4,0),0)</f>
        <v>0</v>
      </c>
      <c r="DT42" s="9">
        <f>IF(120&lt;=核心参数输入!$B$9*4,IF(AND(120&gt;(核心参数输入!$B$16*4+(核心参数输入!$B$148)),120&lt;=(核心参数输入!$B$16*4+(核心参数输入!$B$148))+核心参数输入!$B$53*4),季度投融资!$B$26*(1-核心参数输入!$B$54)/核心参数输入!$B$53/4,0),0)</f>
        <v>0</v>
      </c>
    </row>
    <row r="43" spans="1:124" ht="21" customHeight="1">
      <c r="A43" s="8" t="s">
        <v>475</v>
      </c>
      <c r="B43" s="8" t="s">
        <v>39</v>
      </c>
      <c r="C43" s="8"/>
      <c r="D43" s="9">
        <f>IF(0&lt;=核心参数输入!$B$9*4,IF(AND(核心参数输入!$B$98=1,0&gt;(核心参数输入!$B$16*4+(核心参数输入!$B$148)),0&lt;=(核心参数输入!$B$16*4+(核心参数输入!$B$148))+核心参数输入!$B$99*4),季度投融资!$B$24/MAX(1,核心参数输入!$B$99)/4,0),0)</f>
        <v>0</v>
      </c>
      <c r="E43" s="9">
        <f>IF(1&lt;=核心参数输入!$B$9*4,IF(AND(核心参数输入!$B$98=1,1&gt;(核心参数输入!$B$16*4+(核心参数输入!$B$148)),1&lt;=(核心参数输入!$B$16*4+(核心参数输入!$B$148))+核心参数输入!$B$99*4),季度投融资!$B$24/MAX(1,核心参数输入!$B$99)/4,0),0)</f>
        <v>0</v>
      </c>
      <c r="F43" s="9">
        <f>IF(2&lt;=核心参数输入!$B$9*4,IF(AND(核心参数输入!$B$98=1,2&gt;(核心参数输入!$B$16*4+(核心参数输入!$B$148)),2&lt;=(核心参数输入!$B$16*4+(核心参数输入!$B$148))+核心参数输入!$B$99*4),季度投融资!$B$24/MAX(1,核心参数输入!$B$99)/4,0),0)</f>
        <v>0</v>
      </c>
      <c r="G43" s="9">
        <f>IF(3&lt;=核心参数输入!$B$9*4,IF(AND(核心参数输入!$B$98=1,3&gt;(核心参数输入!$B$16*4+(核心参数输入!$B$148)),3&lt;=(核心参数输入!$B$16*4+(核心参数输入!$B$148))+核心参数输入!$B$99*4),季度投融资!$B$24/MAX(1,核心参数输入!$B$99)/4,0),0)</f>
        <v>0</v>
      </c>
      <c r="H43" s="9">
        <f>IF(4&lt;=核心参数输入!$B$9*4,IF(AND(核心参数输入!$B$98=1,4&gt;(核心参数输入!$B$16*4+(核心参数输入!$B$148)),4&lt;=(核心参数输入!$B$16*4+(核心参数输入!$B$148))+核心参数输入!$B$99*4),季度投融资!$B$24/MAX(1,核心参数输入!$B$99)/4,0),0)</f>
        <v>0</v>
      </c>
      <c r="I43" s="9">
        <f>IF(5&lt;=核心参数输入!$B$9*4,IF(AND(核心参数输入!$B$98=1,5&gt;(核心参数输入!$B$16*4+(核心参数输入!$B$148)),5&lt;=(核心参数输入!$B$16*4+(核心参数输入!$B$148))+核心参数输入!$B$99*4),季度投融资!$B$24/MAX(1,核心参数输入!$B$99)/4,0),0)</f>
        <v>0</v>
      </c>
      <c r="J43" s="9">
        <f>IF(6&lt;=核心参数输入!$B$9*4,IF(AND(核心参数输入!$B$98=1,6&gt;(核心参数输入!$B$16*4+(核心参数输入!$B$148)),6&lt;=(核心参数输入!$B$16*4+(核心参数输入!$B$148))+核心参数输入!$B$99*4),季度投融资!$B$24/MAX(1,核心参数输入!$B$99)/4,0),0)</f>
        <v>0</v>
      </c>
      <c r="K43" s="9">
        <f>IF(7&lt;=核心参数输入!$B$9*4,IF(AND(核心参数输入!$B$98=1,7&gt;(核心参数输入!$B$16*4+(核心参数输入!$B$148)),7&lt;=(核心参数输入!$B$16*4+(核心参数输入!$B$148))+核心参数输入!$B$99*4),季度投融资!$B$24/MAX(1,核心参数输入!$B$99)/4,0),0)</f>
        <v>0</v>
      </c>
      <c r="L43" s="9">
        <f>IF(8&lt;=核心参数输入!$B$9*4,IF(AND(核心参数输入!$B$98=1,8&gt;(核心参数输入!$B$16*4+(核心参数输入!$B$148)),8&lt;=(核心参数输入!$B$16*4+(核心参数输入!$B$148))+核心参数输入!$B$99*4),季度投融资!$B$24/MAX(1,核心参数输入!$B$99)/4,0),0)</f>
        <v>0</v>
      </c>
      <c r="M43" s="9">
        <f>IF(9&lt;=核心参数输入!$B$9*4,IF(AND(核心参数输入!$B$98=1,9&gt;(核心参数输入!$B$16*4+(核心参数输入!$B$148)),9&lt;=(核心参数输入!$B$16*4+(核心参数输入!$B$148))+核心参数输入!$B$99*4),季度投融资!$B$24/MAX(1,核心参数输入!$B$99)/4,0),0)</f>
        <v>0</v>
      </c>
      <c r="N43" s="9">
        <f>IF(10&lt;=核心参数输入!$B$9*4,IF(AND(核心参数输入!$B$98=1,10&gt;(核心参数输入!$B$16*4+(核心参数输入!$B$148)),10&lt;=(核心参数输入!$B$16*4+(核心参数输入!$B$148))+核心参数输入!$B$99*4),季度投融资!$B$24/MAX(1,核心参数输入!$B$99)/4,0),0)</f>
        <v>0</v>
      </c>
      <c r="O43" s="9">
        <f>IF(11&lt;=核心参数输入!$B$9*4,IF(AND(核心参数输入!$B$98=1,11&gt;(核心参数输入!$B$16*4+(核心参数输入!$B$148)),11&lt;=(核心参数输入!$B$16*4+(核心参数输入!$B$148))+核心参数输入!$B$99*4),季度投融资!$B$24/MAX(1,核心参数输入!$B$99)/4,0),0)</f>
        <v>0</v>
      </c>
      <c r="P43" s="9">
        <f>IF(12&lt;=核心参数输入!$B$9*4,IF(AND(核心参数输入!$B$98=1,12&gt;(核心参数输入!$B$16*4+(核心参数输入!$B$148)),12&lt;=(核心参数输入!$B$16*4+(核心参数输入!$B$148))+核心参数输入!$B$99*4),季度投融资!$B$24/MAX(1,核心参数输入!$B$99)/4,0),0)</f>
        <v>0</v>
      </c>
      <c r="Q43" s="9">
        <f>IF(13&lt;=核心参数输入!$B$9*4,IF(AND(核心参数输入!$B$98=1,13&gt;(核心参数输入!$B$16*4+(核心参数输入!$B$148)),13&lt;=(核心参数输入!$B$16*4+(核心参数输入!$B$148))+核心参数输入!$B$99*4),季度投融资!$B$24/MAX(1,核心参数输入!$B$99)/4,0),0)</f>
        <v>17.999999999999996</v>
      </c>
      <c r="R43" s="9">
        <f>IF(14&lt;=核心参数输入!$B$9*4,IF(AND(核心参数输入!$B$98=1,14&gt;(核心参数输入!$B$16*4+(核心参数输入!$B$148)),14&lt;=(核心参数输入!$B$16*4+(核心参数输入!$B$148))+核心参数输入!$B$99*4),季度投融资!$B$24/MAX(1,核心参数输入!$B$99)/4,0),0)</f>
        <v>17.999999999999996</v>
      </c>
      <c r="S43" s="9">
        <f>IF(15&lt;=核心参数输入!$B$9*4,IF(AND(核心参数输入!$B$98=1,15&gt;(核心参数输入!$B$16*4+(核心参数输入!$B$148)),15&lt;=(核心参数输入!$B$16*4+(核心参数输入!$B$148))+核心参数输入!$B$99*4),季度投融资!$B$24/MAX(1,核心参数输入!$B$99)/4,0),0)</f>
        <v>17.999999999999996</v>
      </c>
      <c r="T43" s="9">
        <f>IF(16&lt;=核心参数输入!$B$9*4,IF(AND(核心参数输入!$B$98=1,16&gt;(核心参数输入!$B$16*4+(核心参数输入!$B$148)),16&lt;=(核心参数输入!$B$16*4+(核心参数输入!$B$148))+核心参数输入!$B$99*4),季度投融资!$B$24/MAX(1,核心参数输入!$B$99)/4,0),0)</f>
        <v>17.999999999999996</v>
      </c>
      <c r="U43" s="9">
        <f>IF(17&lt;=核心参数输入!$B$9*4,IF(AND(核心参数输入!$B$98=1,17&gt;(核心参数输入!$B$16*4+(核心参数输入!$B$148)),17&lt;=(核心参数输入!$B$16*4+(核心参数输入!$B$148))+核心参数输入!$B$99*4),季度投融资!$B$24/MAX(1,核心参数输入!$B$99)/4,0),0)</f>
        <v>17.999999999999996</v>
      </c>
      <c r="V43" s="9">
        <f>IF(18&lt;=核心参数输入!$B$9*4,IF(AND(核心参数输入!$B$98=1,18&gt;(核心参数输入!$B$16*4+(核心参数输入!$B$148)),18&lt;=(核心参数输入!$B$16*4+(核心参数输入!$B$148))+核心参数输入!$B$99*4),季度投融资!$B$24/MAX(1,核心参数输入!$B$99)/4,0),0)</f>
        <v>17.999999999999996</v>
      </c>
      <c r="W43" s="9">
        <f>IF(19&lt;=核心参数输入!$B$9*4,IF(AND(核心参数输入!$B$98=1,19&gt;(核心参数输入!$B$16*4+(核心参数输入!$B$148)),19&lt;=(核心参数输入!$B$16*4+(核心参数输入!$B$148))+核心参数输入!$B$99*4),季度投融资!$B$24/MAX(1,核心参数输入!$B$99)/4,0),0)</f>
        <v>17.999999999999996</v>
      </c>
      <c r="X43" s="9">
        <f>IF(20&lt;=核心参数输入!$B$9*4,IF(AND(核心参数输入!$B$98=1,20&gt;(核心参数输入!$B$16*4+(核心参数输入!$B$148)),20&lt;=(核心参数输入!$B$16*4+(核心参数输入!$B$148))+核心参数输入!$B$99*4),季度投融资!$B$24/MAX(1,核心参数输入!$B$99)/4,0),0)</f>
        <v>17.999999999999996</v>
      </c>
      <c r="Y43" s="9">
        <f>IF(21&lt;=核心参数输入!$B$9*4,IF(AND(核心参数输入!$B$98=1,21&gt;(核心参数输入!$B$16*4+(核心参数输入!$B$148)),21&lt;=(核心参数输入!$B$16*4+(核心参数输入!$B$148))+核心参数输入!$B$99*4),季度投融资!$B$24/MAX(1,核心参数输入!$B$99)/4,0),0)</f>
        <v>17.999999999999996</v>
      </c>
      <c r="Z43" s="9">
        <f>IF(22&lt;=核心参数输入!$B$9*4,IF(AND(核心参数输入!$B$98=1,22&gt;(核心参数输入!$B$16*4+(核心参数输入!$B$148)),22&lt;=(核心参数输入!$B$16*4+(核心参数输入!$B$148))+核心参数输入!$B$99*4),季度投融资!$B$24/MAX(1,核心参数输入!$B$99)/4,0),0)</f>
        <v>17.999999999999996</v>
      </c>
      <c r="AA43" s="9">
        <f>IF(23&lt;=核心参数输入!$B$9*4,IF(AND(核心参数输入!$B$98=1,23&gt;(核心参数输入!$B$16*4+(核心参数输入!$B$148)),23&lt;=(核心参数输入!$B$16*4+(核心参数输入!$B$148))+核心参数输入!$B$99*4),季度投融资!$B$24/MAX(1,核心参数输入!$B$99)/4,0),0)</f>
        <v>17.999999999999996</v>
      </c>
      <c r="AB43" s="9">
        <f>IF(24&lt;=核心参数输入!$B$9*4,IF(AND(核心参数输入!$B$98=1,24&gt;(核心参数输入!$B$16*4+(核心参数输入!$B$148)),24&lt;=(核心参数输入!$B$16*4+(核心参数输入!$B$148))+核心参数输入!$B$99*4),季度投融资!$B$24/MAX(1,核心参数输入!$B$99)/4,0),0)</f>
        <v>17.999999999999996</v>
      </c>
      <c r="AC43" s="9">
        <f>IF(25&lt;=核心参数输入!$B$9*4,IF(AND(核心参数输入!$B$98=1,25&gt;(核心参数输入!$B$16*4+(核心参数输入!$B$148)),25&lt;=(核心参数输入!$B$16*4+(核心参数输入!$B$148))+核心参数输入!$B$99*4),季度投融资!$B$24/MAX(1,核心参数输入!$B$99)/4,0),0)</f>
        <v>17.999999999999996</v>
      </c>
      <c r="AD43" s="9">
        <f>IF(26&lt;=核心参数输入!$B$9*4,IF(AND(核心参数输入!$B$98=1,26&gt;(核心参数输入!$B$16*4+(核心参数输入!$B$148)),26&lt;=(核心参数输入!$B$16*4+(核心参数输入!$B$148))+核心参数输入!$B$99*4),季度投融资!$B$24/MAX(1,核心参数输入!$B$99)/4,0),0)</f>
        <v>17.999999999999996</v>
      </c>
      <c r="AE43" s="9">
        <f>IF(27&lt;=核心参数输入!$B$9*4,IF(AND(核心参数输入!$B$98=1,27&gt;(核心参数输入!$B$16*4+(核心参数输入!$B$148)),27&lt;=(核心参数输入!$B$16*4+(核心参数输入!$B$148))+核心参数输入!$B$99*4),季度投融资!$B$24/MAX(1,核心参数输入!$B$99)/4,0),0)</f>
        <v>17.999999999999996</v>
      </c>
      <c r="AF43" s="9">
        <f>IF(28&lt;=核心参数输入!$B$9*4,IF(AND(核心参数输入!$B$98=1,28&gt;(核心参数输入!$B$16*4+(核心参数输入!$B$148)),28&lt;=(核心参数输入!$B$16*4+(核心参数输入!$B$148))+核心参数输入!$B$99*4),季度投融资!$B$24/MAX(1,核心参数输入!$B$99)/4,0),0)</f>
        <v>17.999999999999996</v>
      </c>
      <c r="AG43" s="9">
        <f>IF(29&lt;=核心参数输入!$B$9*4,IF(AND(核心参数输入!$B$98=1,29&gt;(核心参数输入!$B$16*4+(核心参数输入!$B$148)),29&lt;=(核心参数输入!$B$16*4+(核心参数输入!$B$148))+核心参数输入!$B$99*4),季度投融资!$B$24/MAX(1,核心参数输入!$B$99)/4,0),0)</f>
        <v>17.999999999999996</v>
      </c>
      <c r="AH43" s="9">
        <f>IF(30&lt;=核心参数输入!$B$9*4,IF(AND(核心参数输入!$B$98=1,30&gt;(核心参数输入!$B$16*4+(核心参数输入!$B$148)),30&lt;=(核心参数输入!$B$16*4+(核心参数输入!$B$148))+核心参数输入!$B$99*4),季度投融资!$B$24/MAX(1,核心参数输入!$B$99)/4,0),0)</f>
        <v>17.999999999999996</v>
      </c>
      <c r="AI43" s="9">
        <f>IF(31&lt;=核心参数输入!$B$9*4,IF(AND(核心参数输入!$B$98=1,31&gt;(核心参数输入!$B$16*4+(核心参数输入!$B$148)),31&lt;=(核心参数输入!$B$16*4+(核心参数输入!$B$148))+核心参数输入!$B$99*4),季度投融资!$B$24/MAX(1,核心参数输入!$B$99)/4,0),0)</f>
        <v>17.999999999999996</v>
      </c>
      <c r="AJ43" s="9">
        <f>IF(32&lt;=核心参数输入!$B$9*4,IF(AND(核心参数输入!$B$98=1,32&gt;(核心参数输入!$B$16*4+(核心参数输入!$B$148)),32&lt;=(核心参数输入!$B$16*4+(核心参数输入!$B$148))+核心参数输入!$B$99*4),季度投融资!$B$24/MAX(1,核心参数输入!$B$99)/4,0),0)</f>
        <v>17.999999999999996</v>
      </c>
      <c r="AK43" s="9">
        <f>IF(33&lt;=核心参数输入!$B$9*4,IF(AND(核心参数输入!$B$98=1,33&gt;(核心参数输入!$B$16*4+(核心参数输入!$B$148)),33&lt;=(核心参数输入!$B$16*4+(核心参数输入!$B$148))+核心参数输入!$B$99*4),季度投融资!$B$24/MAX(1,核心参数输入!$B$99)/4,0),0)</f>
        <v>17.999999999999996</v>
      </c>
      <c r="AL43" s="9">
        <f>IF(34&lt;=核心参数输入!$B$9*4,IF(AND(核心参数输入!$B$98=1,34&gt;(核心参数输入!$B$16*4+(核心参数输入!$B$148)),34&lt;=(核心参数输入!$B$16*4+(核心参数输入!$B$148))+核心参数输入!$B$99*4),季度投融资!$B$24/MAX(1,核心参数输入!$B$99)/4,0),0)</f>
        <v>17.999999999999996</v>
      </c>
      <c r="AM43" s="9">
        <f>IF(35&lt;=核心参数输入!$B$9*4,IF(AND(核心参数输入!$B$98=1,35&gt;(核心参数输入!$B$16*4+(核心参数输入!$B$148)),35&lt;=(核心参数输入!$B$16*4+(核心参数输入!$B$148))+核心参数输入!$B$99*4),季度投融资!$B$24/MAX(1,核心参数输入!$B$99)/4,0),0)</f>
        <v>17.999999999999996</v>
      </c>
      <c r="AN43" s="9">
        <f>IF(36&lt;=核心参数输入!$B$9*4,IF(AND(核心参数输入!$B$98=1,36&gt;(核心参数输入!$B$16*4+(核心参数输入!$B$148)),36&lt;=(核心参数输入!$B$16*4+(核心参数输入!$B$148))+核心参数输入!$B$99*4),季度投融资!$B$24/MAX(1,核心参数输入!$B$99)/4,0),0)</f>
        <v>17.999999999999996</v>
      </c>
      <c r="AO43" s="9">
        <f>IF(37&lt;=核心参数输入!$B$9*4,IF(AND(核心参数输入!$B$98=1,37&gt;(核心参数输入!$B$16*4+(核心参数输入!$B$148)),37&lt;=(核心参数输入!$B$16*4+(核心参数输入!$B$148))+核心参数输入!$B$99*4),季度投融资!$B$24/MAX(1,核心参数输入!$B$99)/4,0),0)</f>
        <v>17.999999999999996</v>
      </c>
      <c r="AP43" s="9">
        <f>IF(38&lt;=核心参数输入!$B$9*4,IF(AND(核心参数输入!$B$98=1,38&gt;(核心参数输入!$B$16*4+(核心参数输入!$B$148)),38&lt;=(核心参数输入!$B$16*4+(核心参数输入!$B$148))+核心参数输入!$B$99*4),季度投融资!$B$24/MAX(1,核心参数输入!$B$99)/4,0),0)</f>
        <v>17.999999999999996</v>
      </c>
      <c r="AQ43" s="9">
        <f>IF(39&lt;=核心参数输入!$B$9*4,IF(AND(核心参数输入!$B$98=1,39&gt;(核心参数输入!$B$16*4+(核心参数输入!$B$148)),39&lt;=(核心参数输入!$B$16*4+(核心参数输入!$B$148))+核心参数输入!$B$99*4),季度投融资!$B$24/MAX(1,核心参数输入!$B$99)/4,0),0)</f>
        <v>17.999999999999996</v>
      </c>
      <c r="AR43" s="9">
        <f>IF(40&lt;=核心参数输入!$B$9*4,IF(AND(核心参数输入!$B$98=1,40&gt;(核心参数输入!$B$16*4+(核心参数输入!$B$148)),40&lt;=(核心参数输入!$B$16*4+(核心参数输入!$B$148))+核心参数输入!$B$99*4),季度投融资!$B$24/MAX(1,核心参数输入!$B$99)/4,0),0)</f>
        <v>17.999999999999996</v>
      </c>
      <c r="AS43" s="9">
        <f>IF(41&lt;=核心参数输入!$B$9*4,IF(AND(核心参数输入!$B$98=1,41&gt;(核心参数输入!$B$16*4+(核心参数输入!$B$148)),41&lt;=(核心参数输入!$B$16*4+(核心参数输入!$B$148))+核心参数输入!$B$99*4),季度投融资!$B$24/MAX(1,核心参数输入!$B$99)/4,0),0)</f>
        <v>17.999999999999996</v>
      </c>
      <c r="AT43" s="9">
        <f>IF(42&lt;=核心参数输入!$B$9*4,IF(AND(核心参数输入!$B$98=1,42&gt;(核心参数输入!$B$16*4+(核心参数输入!$B$148)),42&lt;=(核心参数输入!$B$16*4+(核心参数输入!$B$148))+核心参数输入!$B$99*4),季度投融资!$B$24/MAX(1,核心参数输入!$B$99)/4,0),0)</f>
        <v>17.999999999999996</v>
      </c>
      <c r="AU43" s="9">
        <f>IF(43&lt;=核心参数输入!$B$9*4,IF(AND(核心参数输入!$B$98=1,43&gt;(核心参数输入!$B$16*4+(核心参数输入!$B$148)),43&lt;=(核心参数输入!$B$16*4+(核心参数输入!$B$148))+核心参数输入!$B$99*4),季度投融资!$B$24/MAX(1,核心参数输入!$B$99)/4,0),0)</f>
        <v>17.999999999999996</v>
      </c>
      <c r="AV43" s="9">
        <f>IF(44&lt;=核心参数输入!$B$9*4,IF(AND(核心参数输入!$B$98=1,44&gt;(核心参数输入!$B$16*4+(核心参数输入!$B$148)),44&lt;=(核心参数输入!$B$16*4+(核心参数输入!$B$148))+核心参数输入!$B$99*4),季度投融资!$B$24/MAX(1,核心参数输入!$B$99)/4,0),0)</f>
        <v>17.999999999999996</v>
      </c>
      <c r="AW43" s="9">
        <f>IF(45&lt;=核心参数输入!$B$9*4,IF(AND(核心参数输入!$B$98=1,45&gt;(核心参数输入!$B$16*4+(核心参数输入!$B$148)),45&lt;=(核心参数输入!$B$16*4+(核心参数输入!$B$148))+核心参数输入!$B$99*4),季度投融资!$B$24/MAX(1,核心参数输入!$B$99)/4,0),0)</f>
        <v>17.999999999999996</v>
      </c>
      <c r="AX43" s="9">
        <f>IF(46&lt;=核心参数输入!$B$9*4,IF(AND(核心参数输入!$B$98=1,46&gt;(核心参数输入!$B$16*4+(核心参数输入!$B$148)),46&lt;=(核心参数输入!$B$16*4+(核心参数输入!$B$148))+核心参数输入!$B$99*4),季度投融资!$B$24/MAX(1,核心参数输入!$B$99)/4,0),0)</f>
        <v>17.999999999999996</v>
      </c>
      <c r="AY43" s="9">
        <f>IF(47&lt;=核心参数输入!$B$9*4,IF(AND(核心参数输入!$B$98=1,47&gt;(核心参数输入!$B$16*4+(核心参数输入!$B$148)),47&lt;=(核心参数输入!$B$16*4+(核心参数输入!$B$148))+核心参数输入!$B$99*4),季度投融资!$B$24/MAX(1,核心参数输入!$B$99)/4,0),0)</f>
        <v>17.999999999999996</v>
      </c>
      <c r="AZ43" s="9">
        <f>IF(48&lt;=核心参数输入!$B$9*4,IF(AND(核心参数输入!$B$98=1,48&gt;(核心参数输入!$B$16*4+(核心参数输入!$B$148)),48&lt;=(核心参数输入!$B$16*4+(核心参数输入!$B$148))+核心参数输入!$B$99*4),季度投融资!$B$24/MAX(1,核心参数输入!$B$99)/4,0),0)</f>
        <v>17.999999999999996</v>
      </c>
      <c r="BA43" s="9">
        <f>IF(49&lt;=核心参数输入!$B$9*4,IF(AND(核心参数输入!$B$98=1,49&gt;(核心参数输入!$B$16*4+(核心参数输入!$B$148)),49&lt;=(核心参数输入!$B$16*4+(核心参数输入!$B$148))+核心参数输入!$B$99*4),季度投融资!$B$24/MAX(1,核心参数输入!$B$99)/4,0),0)</f>
        <v>17.999999999999996</v>
      </c>
      <c r="BB43" s="9">
        <f>IF(50&lt;=核心参数输入!$B$9*4,IF(AND(核心参数输入!$B$98=1,50&gt;(核心参数输入!$B$16*4+(核心参数输入!$B$148)),50&lt;=(核心参数输入!$B$16*4+(核心参数输入!$B$148))+核心参数输入!$B$99*4),季度投融资!$B$24/MAX(1,核心参数输入!$B$99)/4,0),0)</f>
        <v>17.999999999999996</v>
      </c>
      <c r="BC43" s="9">
        <f>IF(51&lt;=核心参数输入!$B$9*4,IF(AND(核心参数输入!$B$98=1,51&gt;(核心参数输入!$B$16*4+(核心参数输入!$B$148)),51&lt;=(核心参数输入!$B$16*4+(核心参数输入!$B$148))+核心参数输入!$B$99*4),季度投融资!$B$24/MAX(1,核心参数输入!$B$99)/4,0),0)</f>
        <v>17.999999999999996</v>
      </c>
      <c r="BD43" s="9">
        <f>IF(52&lt;=核心参数输入!$B$9*4,IF(AND(核心参数输入!$B$98=1,52&gt;(核心参数输入!$B$16*4+(核心参数输入!$B$148)),52&lt;=(核心参数输入!$B$16*4+(核心参数输入!$B$148))+核心参数输入!$B$99*4),季度投融资!$B$24/MAX(1,核心参数输入!$B$99)/4,0),0)</f>
        <v>17.999999999999996</v>
      </c>
      <c r="BE43" s="9">
        <f>IF(53&lt;=核心参数输入!$B$9*4,IF(AND(核心参数输入!$B$98=1,53&gt;(核心参数输入!$B$16*4+(核心参数输入!$B$148)),53&lt;=(核心参数输入!$B$16*4+(核心参数输入!$B$148))+核心参数输入!$B$99*4),季度投融资!$B$24/MAX(1,核心参数输入!$B$99)/4,0),0)</f>
        <v>17.999999999999996</v>
      </c>
      <c r="BF43" s="9">
        <f>IF(54&lt;=核心参数输入!$B$9*4,IF(AND(核心参数输入!$B$98=1,54&gt;(核心参数输入!$B$16*4+(核心参数输入!$B$148)),54&lt;=(核心参数输入!$B$16*4+(核心参数输入!$B$148))+核心参数输入!$B$99*4),季度投融资!$B$24/MAX(1,核心参数输入!$B$99)/4,0),0)</f>
        <v>17.999999999999996</v>
      </c>
      <c r="BG43" s="9">
        <f>IF(55&lt;=核心参数输入!$B$9*4,IF(AND(核心参数输入!$B$98=1,55&gt;(核心参数输入!$B$16*4+(核心参数输入!$B$148)),55&lt;=(核心参数输入!$B$16*4+(核心参数输入!$B$148))+核心参数输入!$B$99*4),季度投融资!$B$24/MAX(1,核心参数输入!$B$99)/4,0),0)</f>
        <v>17.999999999999996</v>
      </c>
      <c r="BH43" s="9">
        <f>IF(56&lt;=核心参数输入!$B$9*4,IF(AND(核心参数输入!$B$98=1,56&gt;(核心参数输入!$B$16*4+(核心参数输入!$B$148)),56&lt;=(核心参数输入!$B$16*4+(核心参数输入!$B$148))+核心参数输入!$B$99*4),季度投融资!$B$24/MAX(1,核心参数输入!$B$99)/4,0),0)</f>
        <v>17.999999999999996</v>
      </c>
      <c r="BI43" s="9">
        <f>IF(57&lt;=核心参数输入!$B$9*4,IF(AND(核心参数输入!$B$98=1,57&gt;(核心参数输入!$B$16*4+(核心参数输入!$B$148)),57&lt;=(核心参数输入!$B$16*4+(核心参数输入!$B$148))+核心参数输入!$B$99*4),季度投融资!$B$24/MAX(1,核心参数输入!$B$99)/4,0),0)</f>
        <v>17.999999999999996</v>
      </c>
      <c r="BJ43" s="9">
        <f>IF(58&lt;=核心参数输入!$B$9*4,IF(AND(核心参数输入!$B$98=1,58&gt;(核心参数输入!$B$16*4+(核心参数输入!$B$148)),58&lt;=(核心参数输入!$B$16*4+(核心参数输入!$B$148))+核心参数输入!$B$99*4),季度投融资!$B$24/MAX(1,核心参数输入!$B$99)/4,0),0)</f>
        <v>17.999999999999996</v>
      </c>
      <c r="BK43" s="9">
        <f>IF(59&lt;=核心参数输入!$B$9*4,IF(AND(核心参数输入!$B$98=1,59&gt;(核心参数输入!$B$16*4+(核心参数输入!$B$148)),59&lt;=(核心参数输入!$B$16*4+(核心参数输入!$B$148))+核心参数输入!$B$99*4),季度投融资!$B$24/MAX(1,核心参数输入!$B$99)/4,0),0)</f>
        <v>17.999999999999996</v>
      </c>
      <c r="BL43" s="9">
        <f>IF(60&lt;=核心参数输入!$B$9*4,IF(AND(核心参数输入!$B$98=1,60&gt;(核心参数输入!$B$16*4+(核心参数输入!$B$148)),60&lt;=(核心参数输入!$B$16*4+(核心参数输入!$B$148))+核心参数输入!$B$99*4),季度投融资!$B$24/MAX(1,核心参数输入!$B$99)/4,0),0)</f>
        <v>17.999999999999996</v>
      </c>
      <c r="BM43" s="9">
        <f>IF(61&lt;=核心参数输入!$B$9*4,IF(AND(核心参数输入!$B$98=1,61&gt;(核心参数输入!$B$16*4+(核心参数输入!$B$148)),61&lt;=(核心参数输入!$B$16*4+(核心参数输入!$B$148))+核心参数输入!$B$99*4),季度投融资!$B$24/MAX(1,核心参数输入!$B$99)/4,0),0)</f>
        <v>17.999999999999996</v>
      </c>
      <c r="BN43" s="9">
        <f>IF(62&lt;=核心参数输入!$B$9*4,IF(AND(核心参数输入!$B$98=1,62&gt;(核心参数输入!$B$16*4+(核心参数输入!$B$148)),62&lt;=(核心参数输入!$B$16*4+(核心参数输入!$B$148))+核心参数输入!$B$99*4),季度投融资!$B$24/MAX(1,核心参数输入!$B$99)/4,0),0)</f>
        <v>17.999999999999996</v>
      </c>
      <c r="BO43" s="9">
        <f>IF(63&lt;=核心参数输入!$B$9*4,IF(AND(核心参数输入!$B$98=1,63&gt;(核心参数输入!$B$16*4+(核心参数输入!$B$148)),63&lt;=(核心参数输入!$B$16*4+(核心参数输入!$B$148))+核心参数输入!$B$99*4),季度投融资!$B$24/MAX(1,核心参数输入!$B$99)/4,0),0)</f>
        <v>17.999999999999996</v>
      </c>
      <c r="BP43" s="9">
        <f>IF(64&lt;=核心参数输入!$B$9*4,IF(AND(核心参数输入!$B$98=1,64&gt;(核心参数输入!$B$16*4+(核心参数输入!$B$148)),64&lt;=(核心参数输入!$B$16*4+(核心参数输入!$B$148))+核心参数输入!$B$99*4),季度投融资!$B$24/MAX(1,核心参数输入!$B$99)/4,0),0)</f>
        <v>17.999999999999996</v>
      </c>
      <c r="BQ43" s="9">
        <f>IF(65&lt;=核心参数输入!$B$9*4,IF(AND(核心参数输入!$B$98=1,65&gt;(核心参数输入!$B$16*4+(核心参数输入!$B$148)),65&lt;=(核心参数输入!$B$16*4+(核心参数输入!$B$148))+核心参数输入!$B$99*4),季度投融资!$B$24/MAX(1,核心参数输入!$B$99)/4,0),0)</f>
        <v>17.999999999999996</v>
      </c>
      <c r="BR43" s="9">
        <f>IF(66&lt;=核心参数输入!$B$9*4,IF(AND(核心参数输入!$B$98=1,66&gt;(核心参数输入!$B$16*4+(核心参数输入!$B$148)),66&lt;=(核心参数输入!$B$16*4+(核心参数输入!$B$148))+核心参数输入!$B$99*4),季度投融资!$B$24/MAX(1,核心参数输入!$B$99)/4,0),0)</f>
        <v>17.999999999999996</v>
      </c>
      <c r="BS43" s="9">
        <f>IF(67&lt;=核心参数输入!$B$9*4,IF(AND(核心参数输入!$B$98=1,67&gt;(核心参数输入!$B$16*4+(核心参数输入!$B$148)),67&lt;=(核心参数输入!$B$16*4+(核心参数输入!$B$148))+核心参数输入!$B$99*4),季度投融资!$B$24/MAX(1,核心参数输入!$B$99)/4,0),0)</f>
        <v>17.999999999999996</v>
      </c>
      <c r="BT43" s="9">
        <f>IF(68&lt;=核心参数输入!$B$9*4,IF(AND(核心参数输入!$B$98=1,68&gt;(核心参数输入!$B$16*4+(核心参数输入!$B$148)),68&lt;=(核心参数输入!$B$16*4+(核心参数输入!$B$148))+核心参数输入!$B$99*4),季度投融资!$B$24/MAX(1,核心参数输入!$B$99)/4,0),0)</f>
        <v>17.999999999999996</v>
      </c>
      <c r="BU43" s="9">
        <f>IF(69&lt;=核心参数输入!$B$9*4,IF(AND(核心参数输入!$B$98=1,69&gt;(核心参数输入!$B$16*4+(核心参数输入!$B$148)),69&lt;=(核心参数输入!$B$16*4+(核心参数输入!$B$148))+核心参数输入!$B$99*4),季度投融资!$B$24/MAX(1,核心参数输入!$B$99)/4,0),0)</f>
        <v>17.999999999999996</v>
      </c>
      <c r="BV43" s="9">
        <f>IF(70&lt;=核心参数输入!$B$9*4,IF(AND(核心参数输入!$B$98=1,70&gt;(核心参数输入!$B$16*4+(核心参数输入!$B$148)),70&lt;=(核心参数输入!$B$16*4+(核心参数输入!$B$148))+核心参数输入!$B$99*4),季度投融资!$B$24/MAX(1,核心参数输入!$B$99)/4,0),0)</f>
        <v>17.999999999999996</v>
      </c>
      <c r="BW43" s="9">
        <f>IF(71&lt;=核心参数输入!$B$9*4,IF(AND(核心参数输入!$B$98=1,71&gt;(核心参数输入!$B$16*4+(核心参数输入!$B$148)),71&lt;=(核心参数输入!$B$16*4+(核心参数输入!$B$148))+核心参数输入!$B$99*4),季度投融资!$B$24/MAX(1,核心参数输入!$B$99)/4,0),0)</f>
        <v>17.999999999999996</v>
      </c>
      <c r="BX43" s="9">
        <f>IF(72&lt;=核心参数输入!$B$9*4,IF(AND(核心参数输入!$B$98=1,72&gt;(核心参数输入!$B$16*4+(核心参数输入!$B$148)),72&lt;=(核心参数输入!$B$16*4+(核心参数输入!$B$148))+核心参数输入!$B$99*4),季度投融资!$B$24/MAX(1,核心参数输入!$B$99)/4,0),0)</f>
        <v>17.999999999999996</v>
      </c>
      <c r="BY43" s="9">
        <f>IF(73&lt;=核心参数输入!$B$9*4,IF(AND(核心参数输入!$B$98=1,73&gt;(核心参数输入!$B$16*4+(核心参数输入!$B$148)),73&lt;=(核心参数输入!$B$16*4+(核心参数输入!$B$148))+核心参数输入!$B$99*4),季度投融资!$B$24/MAX(1,核心参数输入!$B$99)/4,0),0)</f>
        <v>17.999999999999996</v>
      </c>
      <c r="BZ43" s="9">
        <f>IF(74&lt;=核心参数输入!$B$9*4,IF(AND(核心参数输入!$B$98=1,74&gt;(核心参数输入!$B$16*4+(核心参数输入!$B$148)),74&lt;=(核心参数输入!$B$16*4+(核心参数输入!$B$148))+核心参数输入!$B$99*4),季度投融资!$B$24/MAX(1,核心参数输入!$B$99)/4,0),0)</f>
        <v>17.999999999999996</v>
      </c>
      <c r="CA43" s="9">
        <f>IF(75&lt;=核心参数输入!$B$9*4,IF(AND(核心参数输入!$B$98=1,75&gt;(核心参数输入!$B$16*4+(核心参数输入!$B$148)),75&lt;=(核心参数输入!$B$16*4+(核心参数输入!$B$148))+核心参数输入!$B$99*4),季度投融资!$B$24/MAX(1,核心参数输入!$B$99)/4,0),0)</f>
        <v>17.999999999999996</v>
      </c>
      <c r="CB43" s="9">
        <f>IF(76&lt;=核心参数输入!$B$9*4,IF(AND(核心参数输入!$B$98=1,76&gt;(核心参数输入!$B$16*4+(核心参数输入!$B$148)),76&lt;=(核心参数输入!$B$16*4+(核心参数输入!$B$148))+核心参数输入!$B$99*4),季度投融资!$B$24/MAX(1,核心参数输入!$B$99)/4,0),0)</f>
        <v>17.999999999999996</v>
      </c>
      <c r="CC43" s="9">
        <f>IF(77&lt;=核心参数输入!$B$9*4,IF(AND(核心参数输入!$B$98=1,77&gt;(核心参数输入!$B$16*4+(核心参数输入!$B$148)),77&lt;=(核心参数输入!$B$16*4+(核心参数输入!$B$148))+核心参数输入!$B$99*4),季度投融资!$B$24/MAX(1,核心参数输入!$B$99)/4,0),0)</f>
        <v>17.999999999999996</v>
      </c>
      <c r="CD43" s="9">
        <f>IF(78&lt;=核心参数输入!$B$9*4,IF(AND(核心参数输入!$B$98=1,78&gt;(核心参数输入!$B$16*4+(核心参数输入!$B$148)),78&lt;=(核心参数输入!$B$16*4+(核心参数输入!$B$148))+核心参数输入!$B$99*4),季度投融资!$B$24/MAX(1,核心参数输入!$B$99)/4,0),0)</f>
        <v>17.999999999999996</v>
      </c>
      <c r="CE43" s="9">
        <f>IF(79&lt;=核心参数输入!$B$9*4,IF(AND(核心参数输入!$B$98=1,79&gt;(核心参数输入!$B$16*4+(核心参数输入!$B$148)),79&lt;=(核心参数输入!$B$16*4+(核心参数输入!$B$148))+核心参数输入!$B$99*4),季度投融资!$B$24/MAX(1,核心参数输入!$B$99)/4,0),0)</f>
        <v>17.999999999999996</v>
      </c>
      <c r="CF43" s="9">
        <f>IF(80&lt;=核心参数输入!$B$9*4,IF(AND(核心参数输入!$B$98=1,80&gt;(核心参数输入!$B$16*4+(核心参数输入!$B$148)),80&lt;=(核心参数输入!$B$16*4+(核心参数输入!$B$148))+核心参数输入!$B$99*4),季度投融资!$B$24/MAX(1,核心参数输入!$B$99)/4,0),0)</f>
        <v>17.999999999999996</v>
      </c>
      <c r="CG43" s="9">
        <f>IF(81&lt;=核心参数输入!$B$9*4,IF(AND(核心参数输入!$B$98=1,81&gt;(核心参数输入!$B$16*4+(核心参数输入!$B$148)),81&lt;=(核心参数输入!$B$16*4+(核心参数输入!$B$148))+核心参数输入!$B$99*4),季度投融资!$B$24/MAX(1,核心参数输入!$B$99)/4,0),0)</f>
        <v>0</v>
      </c>
      <c r="CH43" s="9">
        <f>IF(82&lt;=核心参数输入!$B$9*4,IF(AND(核心参数输入!$B$98=1,82&gt;(核心参数输入!$B$16*4+(核心参数输入!$B$148)),82&lt;=(核心参数输入!$B$16*4+(核心参数输入!$B$148))+核心参数输入!$B$99*4),季度投融资!$B$24/MAX(1,核心参数输入!$B$99)/4,0),0)</f>
        <v>0</v>
      </c>
      <c r="CI43" s="9">
        <f>IF(83&lt;=核心参数输入!$B$9*4,IF(AND(核心参数输入!$B$98=1,83&gt;(核心参数输入!$B$16*4+(核心参数输入!$B$148)),83&lt;=(核心参数输入!$B$16*4+(核心参数输入!$B$148))+核心参数输入!$B$99*4),季度投融资!$B$24/MAX(1,核心参数输入!$B$99)/4,0),0)</f>
        <v>0</v>
      </c>
      <c r="CJ43" s="9">
        <f>IF(84&lt;=核心参数输入!$B$9*4,IF(AND(核心参数输入!$B$98=1,84&gt;(核心参数输入!$B$16*4+(核心参数输入!$B$148)),84&lt;=(核心参数输入!$B$16*4+(核心参数输入!$B$148))+核心参数输入!$B$99*4),季度投融资!$B$24/MAX(1,核心参数输入!$B$99)/4,0),0)</f>
        <v>0</v>
      </c>
      <c r="CK43" s="9">
        <f>IF(85&lt;=核心参数输入!$B$9*4,IF(AND(核心参数输入!$B$98=1,85&gt;(核心参数输入!$B$16*4+(核心参数输入!$B$148)),85&lt;=(核心参数输入!$B$16*4+(核心参数输入!$B$148))+核心参数输入!$B$99*4),季度投融资!$B$24/MAX(1,核心参数输入!$B$99)/4,0),0)</f>
        <v>0</v>
      </c>
      <c r="CL43" s="9">
        <f>IF(86&lt;=核心参数输入!$B$9*4,IF(AND(核心参数输入!$B$98=1,86&gt;(核心参数输入!$B$16*4+(核心参数输入!$B$148)),86&lt;=(核心参数输入!$B$16*4+(核心参数输入!$B$148))+核心参数输入!$B$99*4),季度投融资!$B$24/MAX(1,核心参数输入!$B$99)/4,0),0)</f>
        <v>0</v>
      </c>
      <c r="CM43" s="9">
        <f>IF(87&lt;=核心参数输入!$B$9*4,IF(AND(核心参数输入!$B$98=1,87&gt;(核心参数输入!$B$16*4+(核心参数输入!$B$148)),87&lt;=(核心参数输入!$B$16*4+(核心参数输入!$B$148))+核心参数输入!$B$99*4),季度投融资!$B$24/MAX(1,核心参数输入!$B$99)/4,0),0)</f>
        <v>0</v>
      </c>
      <c r="CN43" s="9">
        <f>IF(88&lt;=核心参数输入!$B$9*4,IF(AND(核心参数输入!$B$98=1,88&gt;(核心参数输入!$B$16*4+(核心参数输入!$B$148)),88&lt;=(核心参数输入!$B$16*4+(核心参数输入!$B$148))+核心参数输入!$B$99*4),季度投融资!$B$24/MAX(1,核心参数输入!$B$99)/4,0),0)</f>
        <v>0</v>
      </c>
      <c r="CO43" s="9">
        <f>IF(89&lt;=核心参数输入!$B$9*4,IF(AND(核心参数输入!$B$98=1,89&gt;(核心参数输入!$B$16*4+(核心参数输入!$B$148)),89&lt;=(核心参数输入!$B$16*4+(核心参数输入!$B$148))+核心参数输入!$B$99*4),季度投融资!$B$24/MAX(1,核心参数输入!$B$99)/4,0),0)</f>
        <v>0</v>
      </c>
      <c r="CP43" s="9">
        <f>IF(90&lt;=核心参数输入!$B$9*4,IF(AND(核心参数输入!$B$98=1,90&gt;(核心参数输入!$B$16*4+(核心参数输入!$B$148)),90&lt;=(核心参数输入!$B$16*4+(核心参数输入!$B$148))+核心参数输入!$B$99*4),季度投融资!$B$24/MAX(1,核心参数输入!$B$99)/4,0),0)</f>
        <v>0</v>
      </c>
      <c r="CQ43" s="9">
        <f>IF(91&lt;=核心参数输入!$B$9*4,IF(AND(核心参数输入!$B$98=1,91&gt;(核心参数输入!$B$16*4+(核心参数输入!$B$148)),91&lt;=(核心参数输入!$B$16*4+(核心参数输入!$B$148))+核心参数输入!$B$99*4),季度投融资!$B$24/MAX(1,核心参数输入!$B$99)/4,0),0)</f>
        <v>0</v>
      </c>
      <c r="CR43" s="9">
        <f>IF(92&lt;=核心参数输入!$B$9*4,IF(AND(核心参数输入!$B$98=1,92&gt;(核心参数输入!$B$16*4+(核心参数输入!$B$148)),92&lt;=(核心参数输入!$B$16*4+(核心参数输入!$B$148))+核心参数输入!$B$99*4),季度投融资!$B$24/MAX(1,核心参数输入!$B$99)/4,0),0)</f>
        <v>0</v>
      </c>
      <c r="CS43" s="9">
        <f>IF(93&lt;=核心参数输入!$B$9*4,IF(AND(核心参数输入!$B$98=1,93&gt;(核心参数输入!$B$16*4+(核心参数输入!$B$148)),93&lt;=(核心参数输入!$B$16*4+(核心参数输入!$B$148))+核心参数输入!$B$99*4),季度投融资!$B$24/MAX(1,核心参数输入!$B$99)/4,0),0)</f>
        <v>0</v>
      </c>
      <c r="CT43" s="9">
        <f>IF(94&lt;=核心参数输入!$B$9*4,IF(AND(核心参数输入!$B$98=1,94&gt;(核心参数输入!$B$16*4+(核心参数输入!$B$148)),94&lt;=(核心参数输入!$B$16*4+(核心参数输入!$B$148))+核心参数输入!$B$99*4),季度投融资!$B$24/MAX(1,核心参数输入!$B$99)/4,0),0)</f>
        <v>0</v>
      </c>
      <c r="CU43" s="9">
        <f>IF(95&lt;=核心参数输入!$B$9*4,IF(AND(核心参数输入!$B$98=1,95&gt;(核心参数输入!$B$16*4+(核心参数输入!$B$148)),95&lt;=(核心参数输入!$B$16*4+(核心参数输入!$B$148))+核心参数输入!$B$99*4),季度投融资!$B$24/MAX(1,核心参数输入!$B$99)/4,0),0)</f>
        <v>0</v>
      </c>
      <c r="CV43" s="9">
        <f>IF(96&lt;=核心参数输入!$B$9*4,IF(AND(核心参数输入!$B$98=1,96&gt;(核心参数输入!$B$16*4+(核心参数输入!$B$148)),96&lt;=(核心参数输入!$B$16*4+(核心参数输入!$B$148))+核心参数输入!$B$99*4),季度投融资!$B$24/MAX(1,核心参数输入!$B$99)/4,0),0)</f>
        <v>0</v>
      </c>
      <c r="CW43" s="9">
        <f>IF(97&lt;=核心参数输入!$B$9*4,IF(AND(核心参数输入!$B$98=1,97&gt;(核心参数输入!$B$16*4+(核心参数输入!$B$148)),97&lt;=(核心参数输入!$B$16*4+(核心参数输入!$B$148))+核心参数输入!$B$99*4),季度投融资!$B$24/MAX(1,核心参数输入!$B$99)/4,0),0)</f>
        <v>0</v>
      </c>
      <c r="CX43" s="9">
        <f>IF(98&lt;=核心参数输入!$B$9*4,IF(AND(核心参数输入!$B$98=1,98&gt;(核心参数输入!$B$16*4+(核心参数输入!$B$148)),98&lt;=(核心参数输入!$B$16*4+(核心参数输入!$B$148))+核心参数输入!$B$99*4),季度投融资!$B$24/MAX(1,核心参数输入!$B$99)/4,0),0)</f>
        <v>0</v>
      </c>
      <c r="CY43" s="9">
        <f>IF(99&lt;=核心参数输入!$B$9*4,IF(AND(核心参数输入!$B$98=1,99&gt;(核心参数输入!$B$16*4+(核心参数输入!$B$148)),99&lt;=(核心参数输入!$B$16*4+(核心参数输入!$B$148))+核心参数输入!$B$99*4),季度投融资!$B$24/MAX(1,核心参数输入!$B$99)/4,0),0)</f>
        <v>0</v>
      </c>
      <c r="CZ43" s="9">
        <f>IF(100&lt;=核心参数输入!$B$9*4,IF(AND(核心参数输入!$B$98=1,100&gt;(核心参数输入!$B$16*4+(核心参数输入!$B$148)),100&lt;=(核心参数输入!$B$16*4+(核心参数输入!$B$148))+核心参数输入!$B$99*4),季度投融资!$B$24/MAX(1,核心参数输入!$B$99)/4,0),0)</f>
        <v>0</v>
      </c>
      <c r="DA43" s="9">
        <f>IF(101&lt;=核心参数输入!$B$9*4,IF(AND(核心参数输入!$B$98=1,101&gt;(核心参数输入!$B$16*4+(核心参数输入!$B$148)),101&lt;=(核心参数输入!$B$16*4+(核心参数输入!$B$148))+核心参数输入!$B$99*4),季度投融资!$B$24/MAX(1,核心参数输入!$B$99)/4,0),0)</f>
        <v>0</v>
      </c>
      <c r="DB43" s="9">
        <f>IF(102&lt;=核心参数输入!$B$9*4,IF(AND(核心参数输入!$B$98=1,102&gt;(核心参数输入!$B$16*4+(核心参数输入!$B$148)),102&lt;=(核心参数输入!$B$16*4+(核心参数输入!$B$148))+核心参数输入!$B$99*4),季度投融资!$B$24/MAX(1,核心参数输入!$B$99)/4,0),0)</f>
        <v>0</v>
      </c>
      <c r="DC43" s="9">
        <f>IF(103&lt;=核心参数输入!$B$9*4,IF(AND(核心参数输入!$B$98=1,103&gt;(核心参数输入!$B$16*4+(核心参数输入!$B$148)),103&lt;=(核心参数输入!$B$16*4+(核心参数输入!$B$148))+核心参数输入!$B$99*4),季度投融资!$B$24/MAX(1,核心参数输入!$B$99)/4,0),0)</f>
        <v>0</v>
      </c>
      <c r="DD43" s="9">
        <f>IF(104&lt;=核心参数输入!$B$9*4,IF(AND(核心参数输入!$B$98=1,104&gt;(核心参数输入!$B$16*4+(核心参数输入!$B$148)),104&lt;=(核心参数输入!$B$16*4+(核心参数输入!$B$148))+核心参数输入!$B$99*4),季度投融资!$B$24/MAX(1,核心参数输入!$B$99)/4,0),0)</f>
        <v>0</v>
      </c>
      <c r="DE43" s="9">
        <f>IF(105&lt;=核心参数输入!$B$9*4,IF(AND(核心参数输入!$B$98=1,105&gt;(核心参数输入!$B$16*4+(核心参数输入!$B$148)),105&lt;=(核心参数输入!$B$16*4+(核心参数输入!$B$148))+核心参数输入!$B$99*4),季度投融资!$B$24/MAX(1,核心参数输入!$B$99)/4,0),0)</f>
        <v>0</v>
      </c>
      <c r="DF43" s="9">
        <f>IF(106&lt;=核心参数输入!$B$9*4,IF(AND(核心参数输入!$B$98=1,106&gt;(核心参数输入!$B$16*4+(核心参数输入!$B$148)),106&lt;=(核心参数输入!$B$16*4+(核心参数输入!$B$148))+核心参数输入!$B$99*4),季度投融资!$B$24/MAX(1,核心参数输入!$B$99)/4,0),0)</f>
        <v>0</v>
      </c>
      <c r="DG43" s="9">
        <f>IF(107&lt;=核心参数输入!$B$9*4,IF(AND(核心参数输入!$B$98=1,107&gt;(核心参数输入!$B$16*4+(核心参数输入!$B$148)),107&lt;=(核心参数输入!$B$16*4+(核心参数输入!$B$148))+核心参数输入!$B$99*4),季度投融资!$B$24/MAX(1,核心参数输入!$B$99)/4,0),0)</f>
        <v>0</v>
      </c>
      <c r="DH43" s="9">
        <f>IF(108&lt;=核心参数输入!$B$9*4,IF(AND(核心参数输入!$B$98=1,108&gt;(核心参数输入!$B$16*4+(核心参数输入!$B$148)),108&lt;=(核心参数输入!$B$16*4+(核心参数输入!$B$148))+核心参数输入!$B$99*4),季度投融资!$B$24/MAX(1,核心参数输入!$B$99)/4,0),0)</f>
        <v>0</v>
      </c>
      <c r="DI43" s="9">
        <f>IF(109&lt;=核心参数输入!$B$9*4,IF(AND(核心参数输入!$B$98=1,109&gt;(核心参数输入!$B$16*4+(核心参数输入!$B$148)),109&lt;=(核心参数输入!$B$16*4+(核心参数输入!$B$148))+核心参数输入!$B$99*4),季度投融资!$B$24/MAX(1,核心参数输入!$B$99)/4,0),0)</f>
        <v>0</v>
      </c>
      <c r="DJ43" s="9">
        <f>IF(110&lt;=核心参数输入!$B$9*4,IF(AND(核心参数输入!$B$98=1,110&gt;(核心参数输入!$B$16*4+(核心参数输入!$B$148)),110&lt;=(核心参数输入!$B$16*4+(核心参数输入!$B$148))+核心参数输入!$B$99*4),季度投融资!$B$24/MAX(1,核心参数输入!$B$99)/4,0),0)</f>
        <v>0</v>
      </c>
      <c r="DK43" s="9">
        <f>IF(111&lt;=核心参数输入!$B$9*4,IF(AND(核心参数输入!$B$98=1,111&gt;(核心参数输入!$B$16*4+(核心参数输入!$B$148)),111&lt;=(核心参数输入!$B$16*4+(核心参数输入!$B$148))+核心参数输入!$B$99*4),季度投融资!$B$24/MAX(1,核心参数输入!$B$99)/4,0),0)</f>
        <v>0</v>
      </c>
      <c r="DL43" s="9">
        <f>IF(112&lt;=核心参数输入!$B$9*4,IF(AND(核心参数输入!$B$98=1,112&gt;(核心参数输入!$B$16*4+(核心参数输入!$B$148)),112&lt;=(核心参数输入!$B$16*4+(核心参数输入!$B$148))+核心参数输入!$B$99*4),季度投融资!$B$24/MAX(1,核心参数输入!$B$99)/4,0),0)</f>
        <v>0</v>
      </c>
      <c r="DM43" s="9">
        <f>IF(113&lt;=核心参数输入!$B$9*4,IF(AND(核心参数输入!$B$98=1,113&gt;(核心参数输入!$B$16*4+(核心参数输入!$B$148)),113&lt;=(核心参数输入!$B$16*4+(核心参数输入!$B$148))+核心参数输入!$B$99*4),季度投融资!$B$24/MAX(1,核心参数输入!$B$99)/4,0),0)</f>
        <v>0</v>
      </c>
      <c r="DN43" s="9">
        <f>IF(114&lt;=核心参数输入!$B$9*4,IF(AND(核心参数输入!$B$98=1,114&gt;(核心参数输入!$B$16*4+(核心参数输入!$B$148)),114&lt;=(核心参数输入!$B$16*4+(核心参数输入!$B$148))+核心参数输入!$B$99*4),季度投融资!$B$24/MAX(1,核心参数输入!$B$99)/4,0),0)</f>
        <v>0</v>
      </c>
      <c r="DO43" s="9">
        <f>IF(115&lt;=核心参数输入!$B$9*4,IF(AND(核心参数输入!$B$98=1,115&gt;(核心参数输入!$B$16*4+(核心参数输入!$B$148)),115&lt;=(核心参数输入!$B$16*4+(核心参数输入!$B$148))+核心参数输入!$B$99*4),季度投融资!$B$24/MAX(1,核心参数输入!$B$99)/4,0),0)</f>
        <v>0</v>
      </c>
      <c r="DP43" s="9">
        <f>IF(116&lt;=核心参数输入!$B$9*4,IF(AND(核心参数输入!$B$98=1,116&gt;(核心参数输入!$B$16*4+(核心参数输入!$B$148)),116&lt;=(核心参数输入!$B$16*4+(核心参数输入!$B$148))+核心参数输入!$B$99*4),季度投融资!$B$24/MAX(1,核心参数输入!$B$99)/4,0),0)</f>
        <v>0</v>
      </c>
      <c r="DQ43" s="9">
        <f>IF(117&lt;=核心参数输入!$B$9*4,IF(AND(核心参数输入!$B$98=1,117&gt;(核心参数输入!$B$16*4+(核心参数输入!$B$148)),117&lt;=(核心参数输入!$B$16*4+(核心参数输入!$B$148))+核心参数输入!$B$99*4),季度投融资!$B$24/MAX(1,核心参数输入!$B$99)/4,0),0)</f>
        <v>0</v>
      </c>
      <c r="DR43" s="9">
        <f>IF(118&lt;=核心参数输入!$B$9*4,IF(AND(核心参数输入!$B$98=1,118&gt;(核心参数输入!$B$16*4+(核心参数输入!$B$148)),118&lt;=(核心参数输入!$B$16*4+(核心参数输入!$B$148))+核心参数输入!$B$99*4),季度投融资!$B$24/MAX(1,核心参数输入!$B$99)/4,0),0)</f>
        <v>0</v>
      </c>
      <c r="DS43" s="9">
        <f>IF(119&lt;=核心参数输入!$B$9*4,IF(AND(核心参数输入!$B$98=1,119&gt;(核心参数输入!$B$16*4+(核心参数输入!$B$148)),119&lt;=(核心参数输入!$B$16*4+(核心参数输入!$B$148))+核心参数输入!$B$99*4),季度投融资!$B$24/MAX(1,核心参数输入!$B$99)/4,0),0)</f>
        <v>0</v>
      </c>
      <c r="DT43" s="9">
        <f>IF(120&lt;=核心参数输入!$B$9*4,IF(AND(核心参数输入!$B$98=1,120&gt;(核心参数输入!$B$16*4+(核心参数输入!$B$148)),120&lt;=(核心参数输入!$B$16*4+(核心参数输入!$B$148))+核心参数输入!$B$99*4),季度投融资!$B$24/MAX(1,核心参数输入!$B$99)/4,0),0)</f>
        <v>0</v>
      </c>
    </row>
    <row r="44" spans="1:124" ht="21" customHeight="1">
      <c r="A44" s="8" t="s">
        <v>476</v>
      </c>
      <c r="B44" s="8" t="s">
        <v>39</v>
      </c>
      <c r="C44" s="8"/>
      <c r="D44" s="9">
        <f>IF(0&lt;=核心参数输入!$B$9*4,季度投融资!$B$22*季度计划!D15,0)</f>
        <v>0</v>
      </c>
      <c r="E44" s="9">
        <f>IF(1&lt;=核心参数输入!$B$9*4,季度投融资!$B$22*季度计划!E15,0)</f>
        <v>0</v>
      </c>
      <c r="F44" s="9">
        <f>IF(2&lt;=核心参数输入!$B$9*4,季度投融资!$B$22*季度计划!F15,0)</f>
        <v>0</v>
      </c>
      <c r="G44" s="9">
        <f>IF(3&lt;=核心参数输入!$B$9*4,季度投融资!$B$22*季度计划!G15,0)</f>
        <v>0</v>
      </c>
      <c r="H44" s="9">
        <f>IF(4&lt;=核心参数输入!$B$9*4,季度投融资!$B$22*季度计划!H15,0)</f>
        <v>0</v>
      </c>
      <c r="I44" s="9">
        <f>IF(5&lt;=核心参数输入!$B$9*4,季度投融资!$B$22*季度计划!I15,0)</f>
        <v>0</v>
      </c>
      <c r="J44" s="9">
        <f>IF(6&lt;=核心参数输入!$B$9*4,季度投融资!$B$22*季度计划!J15,0)</f>
        <v>0</v>
      </c>
      <c r="K44" s="9">
        <f>IF(7&lt;=核心参数输入!$B$9*4,季度投融资!$B$22*季度计划!K15,0)</f>
        <v>0</v>
      </c>
      <c r="L44" s="9">
        <f>IF(8&lt;=核心参数输入!$B$9*4,季度投融资!$B$22*季度计划!L15,0)</f>
        <v>0</v>
      </c>
      <c r="M44" s="9">
        <f>IF(9&lt;=核心参数输入!$B$9*4,季度投融资!$B$22*季度计划!M15,0)</f>
        <v>0</v>
      </c>
      <c r="N44" s="9">
        <f>IF(10&lt;=核心参数输入!$B$9*4,季度投融资!$B$22*季度计划!N15,0)</f>
        <v>0</v>
      </c>
      <c r="O44" s="9">
        <f>IF(11&lt;=核心参数输入!$B$9*4,季度投融资!$B$22*季度计划!O15,0)</f>
        <v>0</v>
      </c>
      <c r="P44" s="9">
        <f>IF(12&lt;=核心参数输入!$B$9*4,季度投融资!$B$22*季度计划!P15,0)</f>
        <v>0</v>
      </c>
      <c r="Q44" s="9">
        <f>IF(13&lt;=核心参数输入!$B$9*4,季度投融资!$B$22*季度计划!Q15,0)</f>
        <v>2512.9499999999998</v>
      </c>
      <c r="R44" s="9">
        <f>IF(14&lt;=核心参数输入!$B$9*4,季度投融资!$B$22*季度计划!R15,0)</f>
        <v>2512.9499999999998</v>
      </c>
      <c r="S44" s="9">
        <f>IF(15&lt;=核心参数输入!$B$9*4,季度投融资!$B$22*季度计划!S15,0)</f>
        <v>2512.9499999999998</v>
      </c>
      <c r="T44" s="9">
        <f>IF(16&lt;=核心参数输入!$B$9*4,季度投融资!$B$22*季度计划!T15,0)</f>
        <v>2512.9499999999998</v>
      </c>
      <c r="U44" s="9">
        <f>IF(17&lt;=核心参数输入!$B$9*4,季度投融资!$B$22*季度计划!U15,0)</f>
        <v>3350.6000000000004</v>
      </c>
      <c r="V44" s="9">
        <f>IF(18&lt;=核心参数输入!$B$9*4,季度投融资!$B$22*季度计划!V15,0)</f>
        <v>3350.6000000000004</v>
      </c>
      <c r="W44" s="9">
        <f>IF(19&lt;=核心参数输入!$B$9*4,季度投融资!$B$22*季度计划!W15,0)</f>
        <v>3350.6000000000004</v>
      </c>
      <c r="X44" s="9">
        <f>IF(20&lt;=核心参数输入!$B$9*4,季度投融资!$B$22*季度计划!X15,0)</f>
        <v>3350.6000000000004</v>
      </c>
      <c r="Y44" s="9">
        <f>IF(21&lt;=核心参数输入!$B$9*4,季度投融资!$B$22*季度计划!Y15,0)</f>
        <v>2512.9499999999998</v>
      </c>
      <c r="Z44" s="9">
        <f>IF(22&lt;=核心参数输入!$B$9*4,季度投融资!$B$22*季度计划!Z15,0)</f>
        <v>2512.9499999999998</v>
      </c>
      <c r="AA44" s="9">
        <f>IF(23&lt;=核心参数输入!$B$9*4,季度投融资!$B$22*季度计划!AA15,0)</f>
        <v>2512.9499999999998</v>
      </c>
      <c r="AB44" s="9">
        <f>IF(24&lt;=核心参数输入!$B$9*4,季度投融资!$B$22*季度计划!AB15,0)</f>
        <v>2512.9499999999998</v>
      </c>
      <c r="AC44" s="9">
        <f>IF(25&lt;=核心参数输入!$B$9*4,季度投融资!$B$22*季度计划!AC15,0)</f>
        <v>0</v>
      </c>
      <c r="AD44" s="9">
        <f>IF(26&lt;=核心参数输入!$B$9*4,季度投融资!$B$22*季度计划!AD15,0)</f>
        <v>0</v>
      </c>
      <c r="AE44" s="9">
        <f>IF(27&lt;=核心参数输入!$B$9*4,季度投融资!$B$22*季度计划!AE15,0)</f>
        <v>0</v>
      </c>
      <c r="AF44" s="9">
        <f>IF(28&lt;=核心参数输入!$B$9*4,季度投融资!$B$22*季度计划!AF15,0)</f>
        <v>0</v>
      </c>
      <c r="AG44" s="9">
        <f>IF(29&lt;=核心参数输入!$B$9*4,季度投融资!$B$22*季度计划!AG15,0)</f>
        <v>0</v>
      </c>
      <c r="AH44" s="9">
        <f>IF(30&lt;=核心参数输入!$B$9*4,季度投融资!$B$22*季度计划!AH15,0)</f>
        <v>0</v>
      </c>
      <c r="AI44" s="9">
        <f>IF(31&lt;=核心参数输入!$B$9*4,季度投融资!$B$22*季度计划!AI15,0)</f>
        <v>0</v>
      </c>
      <c r="AJ44" s="9">
        <f>IF(32&lt;=核心参数输入!$B$9*4,季度投融资!$B$22*季度计划!AJ15,0)</f>
        <v>0</v>
      </c>
      <c r="AK44" s="9">
        <f>IF(33&lt;=核心参数输入!$B$9*4,季度投融资!$B$22*季度计划!AK15,0)</f>
        <v>0</v>
      </c>
      <c r="AL44" s="9">
        <f>IF(34&lt;=核心参数输入!$B$9*4,季度投融资!$B$22*季度计划!AL15,0)</f>
        <v>0</v>
      </c>
      <c r="AM44" s="9">
        <f>IF(35&lt;=核心参数输入!$B$9*4,季度投融资!$B$22*季度计划!AM15,0)</f>
        <v>0</v>
      </c>
      <c r="AN44" s="9">
        <f>IF(36&lt;=核心参数输入!$B$9*4,季度投融资!$B$22*季度计划!AN15,0)</f>
        <v>0</v>
      </c>
      <c r="AO44" s="9">
        <f>IF(37&lt;=核心参数输入!$B$9*4,季度投融资!$B$22*季度计划!AO15,0)</f>
        <v>0</v>
      </c>
      <c r="AP44" s="9">
        <f>IF(38&lt;=核心参数输入!$B$9*4,季度投融资!$B$22*季度计划!AP15,0)</f>
        <v>0</v>
      </c>
      <c r="AQ44" s="9">
        <f>IF(39&lt;=核心参数输入!$B$9*4,季度投融资!$B$22*季度计划!AQ15,0)</f>
        <v>0</v>
      </c>
      <c r="AR44" s="9">
        <f>IF(40&lt;=核心参数输入!$B$9*4,季度投融资!$B$22*季度计划!AR15,0)</f>
        <v>0</v>
      </c>
      <c r="AS44" s="9">
        <f>IF(41&lt;=核心参数输入!$B$9*4,季度投融资!$B$22*季度计划!AS15,0)</f>
        <v>0</v>
      </c>
      <c r="AT44" s="9">
        <f>IF(42&lt;=核心参数输入!$B$9*4,季度投融资!$B$22*季度计划!AT15,0)</f>
        <v>0</v>
      </c>
      <c r="AU44" s="9">
        <f>IF(43&lt;=核心参数输入!$B$9*4,季度投融资!$B$22*季度计划!AU15,0)</f>
        <v>0</v>
      </c>
      <c r="AV44" s="9">
        <f>IF(44&lt;=核心参数输入!$B$9*4,季度投融资!$B$22*季度计划!AV15,0)</f>
        <v>0</v>
      </c>
      <c r="AW44" s="9">
        <f>IF(45&lt;=核心参数输入!$B$9*4,季度投融资!$B$22*季度计划!AW15,0)</f>
        <v>0</v>
      </c>
      <c r="AX44" s="9">
        <f>IF(46&lt;=核心参数输入!$B$9*4,季度投融资!$B$22*季度计划!AX15,0)</f>
        <v>0</v>
      </c>
      <c r="AY44" s="9">
        <f>IF(47&lt;=核心参数输入!$B$9*4,季度投融资!$B$22*季度计划!AY15,0)</f>
        <v>0</v>
      </c>
      <c r="AZ44" s="9">
        <f>IF(48&lt;=核心参数输入!$B$9*4,季度投融资!$B$22*季度计划!AZ15,0)</f>
        <v>0</v>
      </c>
      <c r="BA44" s="9">
        <f>IF(49&lt;=核心参数输入!$B$9*4,季度投融资!$B$22*季度计划!BA15,0)</f>
        <v>0</v>
      </c>
      <c r="BB44" s="9">
        <f>IF(50&lt;=核心参数输入!$B$9*4,季度投融资!$B$22*季度计划!BB15,0)</f>
        <v>0</v>
      </c>
      <c r="BC44" s="9">
        <f>IF(51&lt;=核心参数输入!$B$9*4,季度投融资!$B$22*季度计划!BC15,0)</f>
        <v>0</v>
      </c>
      <c r="BD44" s="9">
        <f>IF(52&lt;=核心参数输入!$B$9*4,季度投融资!$B$22*季度计划!BD15,0)</f>
        <v>0</v>
      </c>
      <c r="BE44" s="9">
        <f>IF(53&lt;=核心参数输入!$B$9*4,季度投融资!$B$22*季度计划!BE15,0)</f>
        <v>0</v>
      </c>
      <c r="BF44" s="9">
        <f>IF(54&lt;=核心参数输入!$B$9*4,季度投融资!$B$22*季度计划!BF15,0)</f>
        <v>0</v>
      </c>
      <c r="BG44" s="9">
        <f>IF(55&lt;=核心参数输入!$B$9*4,季度投融资!$B$22*季度计划!BG15,0)</f>
        <v>0</v>
      </c>
      <c r="BH44" s="9">
        <f>IF(56&lt;=核心参数输入!$B$9*4,季度投融资!$B$22*季度计划!BH15,0)</f>
        <v>0</v>
      </c>
      <c r="BI44" s="9">
        <f>IF(57&lt;=核心参数输入!$B$9*4,季度投融资!$B$22*季度计划!BI15,0)</f>
        <v>0</v>
      </c>
      <c r="BJ44" s="9">
        <f>IF(58&lt;=核心参数输入!$B$9*4,季度投融资!$B$22*季度计划!BJ15,0)</f>
        <v>0</v>
      </c>
      <c r="BK44" s="9">
        <f>IF(59&lt;=核心参数输入!$B$9*4,季度投融资!$B$22*季度计划!BK15,0)</f>
        <v>0</v>
      </c>
      <c r="BL44" s="9">
        <f>IF(60&lt;=核心参数输入!$B$9*4,季度投融资!$B$22*季度计划!BL15,0)</f>
        <v>0</v>
      </c>
      <c r="BM44" s="9">
        <f>IF(61&lt;=核心参数输入!$B$9*4,季度投融资!$B$22*季度计划!BM15,0)</f>
        <v>0</v>
      </c>
      <c r="BN44" s="9">
        <f>IF(62&lt;=核心参数输入!$B$9*4,季度投融资!$B$22*季度计划!BN15,0)</f>
        <v>0</v>
      </c>
      <c r="BO44" s="9">
        <f>IF(63&lt;=核心参数输入!$B$9*4,季度投融资!$B$22*季度计划!BO15,0)</f>
        <v>0</v>
      </c>
      <c r="BP44" s="9">
        <f>IF(64&lt;=核心参数输入!$B$9*4,季度投融资!$B$22*季度计划!BP15,0)</f>
        <v>0</v>
      </c>
      <c r="BQ44" s="9">
        <f>IF(65&lt;=核心参数输入!$B$9*4,季度投融资!$B$22*季度计划!BQ15,0)</f>
        <v>0</v>
      </c>
      <c r="BR44" s="9">
        <f>IF(66&lt;=核心参数输入!$B$9*4,季度投融资!$B$22*季度计划!BR15,0)</f>
        <v>0</v>
      </c>
      <c r="BS44" s="9">
        <f>IF(67&lt;=核心参数输入!$B$9*4,季度投融资!$B$22*季度计划!BS15,0)</f>
        <v>0</v>
      </c>
      <c r="BT44" s="9">
        <f>IF(68&lt;=核心参数输入!$B$9*4,季度投融资!$B$22*季度计划!BT15,0)</f>
        <v>0</v>
      </c>
      <c r="BU44" s="9">
        <f>IF(69&lt;=核心参数输入!$B$9*4,季度投融资!$B$22*季度计划!BU15,0)</f>
        <v>0</v>
      </c>
      <c r="BV44" s="9">
        <f>IF(70&lt;=核心参数输入!$B$9*4,季度投融资!$B$22*季度计划!BV15,0)</f>
        <v>0</v>
      </c>
      <c r="BW44" s="9">
        <f>IF(71&lt;=核心参数输入!$B$9*4,季度投融资!$B$22*季度计划!BW15,0)</f>
        <v>0</v>
      </c>
      <c r="BX44" s="9">
        <f>IF(72&lt;=核心参数输入!$B$9*4,季度投融资!$B$22*季度计划!BX15,0)</f>
        <v>0</v>
      </c>
      <c r="BY44" s="9">
        <f>IF(73&lt;=核心参数输入!$B$9*4,季度投融资!$B$22*季度计划!BY15,0)</f>
        <v>0</v>
      </c>
      <c r="BZ44" s="9">
        <f>IF(74&lt;=核心参数输入!$B$9*4,季度投融资!$B$22*季度计划!BZ15,0)</f>
        <v>0</v>
      </c>
      <c r="CA44" s="9">
        <f>IF(75&lt;=核心参数输入!$B$9*4,季度投融资!$B$22*季度计划!CA15,0)</f>
        <v>0</v>
      </c>
      <c r="CB44" s="9">
        <f>IF(76&lt;=核心参数输入!$B$9*4,季度投融资!$B$22*季度计划!CB15,0)</f>
        <v>0</v>
      </c>
      <c r="CC44" s="9">
        <f>IF(77&lt;=核心参数输入!$B$9*4,季度投融资!$B$22*季度计划!CC15,0)</f>
        <v>0</v>
      </c>
      <c r="CD44" s="9">
        <f>IF(78&lt;=核心参数输入!$B$9*4,季度投融资!$B$22*季度计划!CD15,0)</f>
        <v>0</v>
      </c>
      <c r="CE44" s="9">
        <f>IF(79&lt;=核心参数输入!$B$9*4,季度投融资!$B$22*季度计划!CE15,0)</f>
        <v>0</v>
      </c>
      <c r="CF44" s="9">
        <f>IF(80&lt;=核心参数输入!$B$9*4,季度投融资!$B$22*季度计划!CF15,0)</f>
        <v>0</v>
      </c>
      <c r="CG44" s="9">
        <f>IF(81&lt;=核心参数输入!$B$9*4,季度投融资!$B$22*季度计划!CG15,0)</f>
        <v>0</v>
      </c>
      <c r="CH44" s="9">
        <f>IF(82&lt;=核心参数输入!$B$9*4,季度投融资!$B$22*季度计划!CH15,0)</f>
        <v>0</v>
      </c>
      <c r="CI44" s="9">
        <f>IF(83&lt;=核心参数输入!$B$9*4,季度投融资!$B$22*季度计划!CI15,0)</f>
        <v>0</v>
      </c>
      <c r="CJ44" s="9">
        <f>IF(84&lt;=核心参数输入!$B$9*4,季度投融资!$B$22*季度计划!CJ15,0)</f>
        <v>0</v>
      </c>
      <c r="CK44" s="9">
        <f>IF(85&lt;=核心参数输入!$B$9*4,季度投融资!$B$22*季度计划!CK15,0)</f>
        <v>0</v>
      </c>
      <c r="CL44" s="9">
        <f>IF(86&lt;=核心参数输入!$B$9*4,季度投融资!$B$22*季度计划!CL15,0)</f>
        <v>0</v>
      </c>
      <c r="CM44" s="9">
        <f>IF(87&lt;=核心参数输入!$B$9*4,季度投融资!$B$22*季度计划!CM15,0)</f>
        <v>0</v>
      </c>
      <c r="CN44" s="9">
        <f>IF(88&lt;=核心参数输入!$B$9*4,季度投融资!$B$22*季度计划!CN15,0)</f>
        <v>0</v>
      </c>
      <c r="CO44" s="9">
        <f>IF(89&lt;=核心参数输入!$B$9*4,季度投融资!$B$22*季度计划!CO15,0)</f>
        <v>0</v>
      </c>
      <c r="CP44" s="9">
        <f>IF(90&lt;=核心参数输入!$B$9*4,季度投融资!$B$22*季度计划!CP15,0)</f>
        <v>0</v>
      </c>
      <c r="CQ44" s="9">
        <f>IF(91&lt;=核心参数输入!$B$9*4,季度投融资!$B$22*季度计划!CQ15,0)</f>
        <v>0</v>
      </c>
      <c r="CR44" s="9">
        <f>IF(92&lt;=核心参数输入!$B$9*4,季度投融资!$B$22*季度计划!CR15,0)</f>
        <v>0</v>
      </c>
      <c r="CS44" s="9">
        <f>IF(93&lt;=核心参数输入!$B$9*4,季度投融资!$B$22*季度计划!CS15,0)</f>
        <v>0</v>
      </c>
      <c r="CT44" s="9">
        <f>IF(94&lt;=核心参数输入!$B$9*4,季度投融资!$B$22*季度计划!CT15,0)</f>
        <v>0</v>
      </c>
      <c r="CU44" s="9">
        <f>IF(95&lt;=核心参数输入!$B$9*4,季度投融资!$B$22*季度计划!CU15,0)</f>
        <v>0</v>
      </c>
      <c r="CV44" s="9">
        <f>IF(96&lt;=核心参数输入!$B$9*4,季度投融资!$B$22*季度计划!CV15,0)</f>
        <v>0</v>
      </c>
      <c r="CW44" s="9">
        <f>IF(97&lt;=核心参数输入!$B$9*4,季度投融资!$B$22*季度计划!CW15,0)</f>
        <v>0</v>
      </c>
      <c r="CX44" s="9">
        <f>IF(98&lt;=核心参数输入!$B$9*4,季度投融资!$B$22*季度计划!CX15,0)</f>
        <v>0</v>
      </c>
      <c r="CY44" s="9">
        <f>IF(99&lt;=核心参数输入!$B$9*4,季度投融资!$B$22*季度计划!CY15,0)</f>
        <v>0</v>
      </c>
      <c r="CZ44" s="9">
        <f>IF(100&lt;=核心参数输入!$B$9*4,季度投融资!$B$22*季度计划!CZ15,0)</f>
        <v>0</v>
      </c>
      <c r="DA44" s="9">
        <f>IF(101&lt;=核心参数输入!$B$9*4,季度投融资!$B$22*季度计划!DA15,0)</f>
        <v>0</v>
      </c>
      <c r="DB44" s="9">
        <f>IF(102&lt;=核心参数输入!$B$9*4,季度投融资!$B$22*季度计划!DB15,0)</f>
        <v>0</v>
      </c>
      <c r="DC44" s="9">
        <f>IF(103&lt;=核心参数输入!$B$9*4,季度投融资!$B$22*季度计划!DC15,0)</f>
        <v>0</v>
      </c>
      <c r="DD44" s="9">
        <f>IF(104&lt;=核心参数输入!$B$9*4,季度投融资!$B$22*季度计划!DD15,0)</f>
        <v>0</v>
      </c>
      <c r="DE44" s="9">
        <f>IF(105&lt;=核心参数输入!$B$9*4,季度投融资!$B$22*季度计划!DE15,0)</f>
        <v>0</v>
      </c>
      <c r="DF44" s="9">
        <f>IF(106&lt;=核心参数输入!$B$9*4,季度投融资!$B$22*季度计划!DF15,0)</f>
        <v>0</v>
      </c>
      <c r="DG44" s="9">
        <f>IF(107&lt;=核心参数输入!$B$9*4,季度投融资!$B$22*季度计划!DG15,0)</f>
        <v>0</v>
      </c>
      <c r="DH44" s="9">
        <f>IF(108&lt;=核心参数输入!$B$9*4,季度投融资!$B$22*季度计划!DH15,0)</f>
        <v>0</v>
      </c>
      <c r="DI44" s="9">
        <f>IF(109&lt;=核心参数输入!$B$9*4,季度投融资!$B$22*季度计划!DI15,0)</f>
        <v>0</v>
      </c>
      <c r="DJ44" s="9">
        <f>IF(110&lt;=核心参数输入!$B$9*4,季度投融资!$B$22*季度计划!DJ15,0)</f>
        <v>0</v>
      </c>
      <c r="DK44" s="9">
        <f>IF(111&lt;=核心参数输入!$B$9*4,季度投融资!$B$22*季度计划!DK15,0)</f>
        <v>0</v>
      </c>
      <c r="DL44" s="9">
        <f>IF(112&lt;=核心参数输入!$B$9*4,季度投融资!$B$22*季度计划!DL15,0)</f>
        <v>0</v>
      </c>
      <c r="DM44" s="9">
        <f>IF(113&lt;=核心参数输入!$B$9*4,季度投融资!$B$22*季度计划!DM15,0)</f>
        <v>0</v>
      </c>
      <c r="DN44" s="9">
        <f>IF(114&lt;=核心参数输入!$B$9*4,季度投融资!$B$22*季度计划!DN15,0)</f>
        <v>0</v>
      </c>
      <c r="DO44" s="9">
        <f>IF(115&lt;=核心参数输入!$B$9*4,季度投融资!$B$22*季度计划!DO15,0)</f>
        <v>0</v>
      </c>
      <c r="DP44" s="9">
        <f>IF(116&lt;=核心参数输入!$B$9*4,季度投融资!$B$22*季度计划!DP15,0)</f>
        <v>0</v>
      </c>
      <c r="DQ44" s="9">
        <f>IF(117&lt;=核心参数输入!$B$9*4,季度投融资!$B$22*季度计划!DQ15,0)</f>
        <v>0</v>
      </c>
      <c r="DR44" s="9">
        <f>IF(118&lt;=核心参数输入!$B$9*4,季度投融资!$B$22*季度计划!DR15,0)</f>
        <v>0</v>
      </c>
      <c r="DS44" s="9">
        <f>IF(119&lt;=核心参数输入!$B$9*4,季度投融资!$B$22*季度计划!DS15,0)</f>
        <v>0</v>
      </c>
      <c r="DT44" s="9">
        <f>IF(120&lt;=核心参数输入!$B$9*4,季度投融资!$B$22*季度计划!DT15,0)</f>
        <v>0</v>
      </c>
    </row>
    <row r="45" spans="1:124" ht="21" customHeight="1">
      <c r="A45" s="8" t="s">
        <v>477</v>
      </c>
      <c r="B45" s="8" t="s">
        <v>39</v>
      </c>
      <c r="C45" s="8"/>
      <c r="D45" s="9">
        <f>IF(0&lt;=核心参数输入!$B$9*4,季度投融资!$B$25*季度计划!D15,0)</f>
        <v>0</v>
      </c>
      <c r="E45" s="9">
        <f>IF(1&lt;=核心参数输入!$B$9*4,季度投融资!$B$25*季度计划!E15,0)</f>
        <v>0</v>
      </c>
      <c r="F45" s="9">
        <f>IF(2&lt;=核心参数输入!$B$9*4,季度投融资!$B$25*季度计划!F15,0)</f>
        <v>0</v>
      </c>
      <c r="G45" s="9">
        <f>IF(3&lt;=核心参数输入!$B$9*4,季度投融资!$B$25*季度计划!G15,0)</f>
        <v>0</v>
      </c>
      <c r="H45" s="9">
        <f>IF(4&lt;=核心参数输入!$B$9*4,季度投融资!$B$25*季度计划!H15,0)</f>
        <v>0</v>
      </c>
      <c r="I45" s="9">
        <f>IF(5&lt;=核心参数输入!$B$9*4,季度投融资!$B$25*季度计划!I15,0)</f>
        <v>0</v>
      </c>
      <c r="J45" s="9">
        <f>IF(6&lt;=核心参数输入!$B$9*4,季度投融资!$B$25*季度计划!J15,0)</f>
        <v>0</v>
      </c>
      <c r="K45" s="9">
        <f>IF(7&lt;=核心参数输入!$B$9*4,季度投融资!$B$25*季度计划!K15,0)</f>
        <v>0</v>
      </c>
      <c r="L45" s="9">
        <f>IF(8&lt;=核心参数输入!$B$9*4,季度投融资!$B$25*季度计划!L15,0)</f>
        <v>0</v>
      </c>
      <c r="M45" s="9">
        <f>IF(9&lt;=核心参数输入!$B$9*4,季度投融资!$B$25*季度计划!M15,0)</f>
        <v>0</v>
      </c>
      <c r="N45" s="9">
        <f>IF(10&lt;=核心参数输入!$B$9*4,季度投融资!$B$25*季度计划!N15,0)</f>
        <v>0</v>
      </c>
      <c r="O45" s="9">
        <f>IF(11&lt;=核心参数输入!$B$9*4,季度投融资!$B$25*季度计划!O15,0)</f>
        <v>0</v>
      </c>
      <c r="P45" s="9">
        <f>IF(12&lt;=核心参数输入!$B$9*4,季度投融资!$B$25*季度计划!P15,0)</f>
        <v>0</v>
      </c>
      <c r="Q45" s="9">
        <f>IF(13&lt;=核心参数输入!$B$9*4,季度投融资!$B$25*季度计划!Q15,0)</f>
        <v>2590.9124999999999</v>
      </c>
      <c r="R45" s="9">
        <f>IF(14&lt;=核心参数输入!$B$9*4,季度投融资!$B$25*季度计划!R15,0)</f>
        <v>2590.9124999999999</v>
      </c>
      <c r="S45" s="9">
        <f>IF(15&lt;=核心参数输入!$B$9*4,季度投融资!$B$25*季度计划!S15,0)</f>
        <v>2590.9124999999999</v>
      </c>
      <c r="T45" s="9">
        <f>IF(16&lt;=核心参数输入!$B$9*4,季度投融资!$B$25*季度计划!T15,0)</f>
        <v>2590.9124999999999</v>
      </c>
      <c r="U45" s="9">
        <f>IF(17&lt;=核心参数输入!$B$9*4,季度投融资!$B$25*季度计划!U15,0)</f>
        <v>3454.55</v>
      </c>
      <c r="V45" s="9">
        <f>IF(18&lt;=核心参数输入!$B$9*4,季度投融资!$B$25*季度计划!V15,0)</f>
        <v>3454.55</v>
      </c>
      <c r="W45" s="9">
        <f>IF(19&lt;=核心参数输入!$B$9*4,季度投融资!$B$25*季度计划!W15,0)</f>
        <v>3454.55</v>
      </c>
      <c r="X45" s="9">
        <f>IF(20&lt;=核心参数输入!$B$9*4,季度投融资!$B$25*季度计划!X15,0)</f>
        <v>3454.55</v>
      </c>
      <c r="Y45" s="9">
        <f>IF(21&lt;=核心参数输入!$B$9*4,季度投融资!$B$25*季度计划!Y15,0)</f>
        <v>2590.9124999999999</v>
      </c>
      <c r="Z45" s="9">
        <f>IF(22&lt;=核心参数输入!$B$9*4,季度投融资!$B$25*季度计划!Z15,0)</f>
        <v>2590.9124999999999</v>
      </c>
      <c r="AA45" s="9">
        <f>IF(23&lt;=核心参数输入!$B$9*4,季度投融资!$B$25*季度计划!AA15,0)</f>
        <v>2590.9124999999999</v>
      </c>
      <c r="AB45" s="9">
        <f>IF(24&lt;=核心参数输入!$B$9*4,季度投融资!$B$25*季度计划!AB15,0)</f>
        <v>2590.9124999999999</v>
      </c>
      <c r="AC45" s="9">
        <f>IF(25&lt;=核心参数输入!$B$9*4,季度投融资!$B$25*季度计划!AC15,0)</f>
        <v>0</v>
      </c>
      <c r="AD45" s="9">
        <f>IF(26&lt;=核心参数输入!$B$9*4,季度投融资!$B$25*季度计划!AD15,0)</f>
        <v>0</v>
      </c>
      <c r="AE45" s="9">
        <f>IF(27&lt;=核心参数输入!$B$9*4,季度投融资!$B$25*季度计划!AE15,0)</f>
        <v>0</v>
      </c>
      <c r="AF45" s="9">
        <f>IF(28&lt;=核心参数输入!$B$9*4,季度投融资!$B$25*季度计划!AF15,0)</f>
        <v>0</v>
      </c>
      <c r="AG45" s="9">
        <f>IF(29&lt;=核心参数输入!$B$9*4,季度投融资!$B$25*季度计划!AG15,0)</f>
        <v>0</v>
      </c>
      <c r="AH45" s="9">
        <f>IF(30&lt;=核心参数输入!$B$9*4,季度投融资!$B$25*季度计划!AH15,0)</f>
        <v>0</v>
      </c>
      <c r="AI45" s="9">
        <f>IF(31&lt;=核心参数输入!$B$9*4,季度投融资!$B$25*季度计划!AI15,0)</f>
        <v>0</v>
      </c>
      <c r="AJ45" s="9">
        <f>IF(32&lt;=核心参数输入!$B$9*4,季度投融资!$B$25*季度计划!AJ15,0)</f>
        <v>0</v>
      </c>
      <c r="AK45" s="9">
        <f>IF(33&lt;=核心参数输入!$B$9*4,季度投融资!$B$25*季度计划!AK15,0)</f>
        <v>0</v>
      </c>
      <c r="AL45" s="9">
        <f>IF(34&lt;=核心参数输入!$B$9*4,季度投融资!$B$25*季度计划!AL15,0)</f>
        <v>0</v>
      </c>
      <c r="AM45" s="9">
        <f>IF(35&lt;=核心参数输入!$B$9*4,季度投融资!$B$25*季度计划!AM15,0)</f>
        <v>0</v>
      </c>
      <c r="AN45" s="9">
        <f>IF(36&lt;=核心参数输入!$B$9*4,季度投融资!$B$25*季度计划!AN15,0)</f>
        <v>0</v>
      </c>
      <c r="AO45" s="9">
        <f>IF(37&lt;=核心参数输入!$B$9*4,季度投融资!$B$25*季度计划!AO15,0)</f>
        <v>0</v>
      </c>
      <c r="AP45" s="9">
        <f>IF(38&lt;=核心参数输入!$B$9*4,季度投融资!$B$25*季度计划!AP15,0)</f>
        <v>0</v>
      </c>
      <c r="AQ45" s="9">
        <f>IF(39&lt;=核心参数输入!$B$9*4,季度投融资!$B$25*季度计划!AQ15,0)</f>
        <v>0</v>
      </c>
      <c r="AR45" s="9">
        <f>IF(40&lt;=核心参数输入!$B$9*4,季度投融资!$B$25*季度计划!AR15,0)</f>
        <v>0</v>
      </c>
      <c r="AS45" s="9">
        <f>IF(41&lt;=核心参数输入!$B$9*4,季度投融资!$B$25*季度计划!AS15,0)</f>
        <v>0</v>
      </c>
      <c r="AT45" s="9">
        <f>IF(42&lt;=核心参数输入!$B$9*4,季度投融资!$B$25*季度计划!AT15,0)</f>
        <v>0</v>
      </c>
      <c r="AU45" s="9">
        <f>IF(43&lt;=核心参数输入!$B$9*4,季度投融资!$B$25*季度计划!AU15,0)</f>
        <v>0</v>
      </c>
      <c r="AV45" s="9">
        <f>IF(44&lt;=核心参数输入!$B$9*4,季度投融资!$B$25*季度计划!AV15,0)</f>
        <v>0</v>
      </c>
      <c r="AW45" s="9">
        <f>IF(45&lt;=核心参数输入!$B$9*4,季度投融资!$B$25*季度计划!AW15,0)</f>
        <v>0</v>
      </c>
      <c r="AX45" s="9">
        <f>IF(46&lt;=核心参数输入!$B$9*4,季度投融资!$B$25*季度计划!AX15,0)</f>
        <v>0</v>
      </c>
      <c r="AY45" s="9">
        <f>IF(47&lt;=核心参数输入!$B$9*4,季度投融资!$B$25*季度计划!AY15,0)</f>
        <v>0</v>
      </c>
      <c r="AZ45" s="9">
        <f>IF(48&lt;=核心参数输入!$B$9*4,季度投融资!$B$25*季度计划!AZ15,0)</f>
        <v>0</v>
      </c>
      <c r="BA45" s="9">
        <f>IF(49&lt;=核心参数输入!$B$9*4,季度投融资!$B$25*季度计划!BA15,0)</f>
        <v>0</v>
      </c>
      <c r="BB45" s="9">
        <f>IF(50&lt;=核心参数输入!$B$9*4,季度投融资!$B$25*季度计划!BB15,0)</f>
        <v>0</v>
      </c>
      <c r="BC45" s="9">
        <f>IF(51&lt;=核心参数输入!$B$9*4,季度投融资!$B$25*季度计划!BC15,0)</f>
        <v>0</v>
      </c>
      <c r="BD45" s="9">
        <f>IF(52&lt;=核心参数输入!$B$9*4,季度投融资!$B$25*季度计划!BD15,0)</f>
        <v>0</v>
      </c>
      <c r="BE45" s="9">
        <f>IF(53&lt;=核心参数输入!$B$9*4,季度投融资!$B$25*季度计划!BE15,0)</f>
        <v>0</v>
      </c>
      <c r="BF45" s="9">
        <f>IF(54&lt;=核心参数输入!$B$9*4,季度投融资!$B$25*季度计划!BF15,0)</f>
        <v>0</v>
      </c>
      <c r="BG45" s="9">
        <f>IF(55&lt;=核心参数输入!$B$9*4,季度投融资!$B$25*季度计划!BG15,0)</f>
        <v>0</v>
      </c>
      <c r="BH45" s="9">
        <f>IF(56&lt;=核心参数输入!$B$9*4,季度投融资!$B$25*季度计划!BH15,0)</f>
        <v>0</v>
      </c>
      <c r="BI45" s="9">
        <f>IF(57&lt;=核心参数输入!$B$9*4,季度投融资!$B$25*季度计划!BI15,0)</f>
        <v>0</v>
      </c>
      <c r="BJ45" s="9">
        <f>IF(58&lt;=核心参数输入!$B$9*4,季度投融资!$B$25*季度计划!BJ15,0)</f>
        <v>0</v>
      </c>
      <c r="BK45" s="9">
        <f>IF(59&lt;=核心参数输入!$B$9*4,季度投融资!$B$25*季度计划!BK15,0)</f>
        <v>0</v>
      </c>
      <c r="BL45" s="9">
        <f>IF(60&lt;=核心参数输入!$B$9*4,季度投融资!$B$25*季度计划!BL15,0)</f>
        <v>0</v>
      </c>
      <c r="BM45" s="9">
        <f>IF(61&lt;=核心参数输入!$B$9*4,季度投融资!$B$25*季度计划!BM15,0)</f>
        <v>0</v>
      </c>
      <c r="BN45" s="9">
        <f>IF(62&lt;=核心参数输入!$B$9*4,季度投融资!$B$25*季度计划!BN15,0)</f>
        <v>0</v>
      </c>
      <c r="BO45" s="9">
        <f>IF(63&lt;=核心参数输入!$B$9*4,季度投融资!$B$25*季度计划!BO15,0)</f>
        <v>0</v>
      </c>
      <c r="BP45" s="9">
        <f>IF(64&lt;=核心参数输入!$B$9*4,季度投融资!$B$25*季度计划!BP15,0)</f>
        <v>0</v>
      </c>
      <c r="BQ45" s="9">
        <f>IF(65&lt;=核心参数输入!$B$9*4,季度投融资!$B$25*季度计划!BQ15,0)</f>
        <v>0</v>
      </c>
      <c r="BR45" s="9">
        <f>IF(66&lt;=核心参数输入!$B$9*4,季度投融资!$B$25*季度计划!BR15,0)</f>
        <v>0</v>
      </c>
      <c r="BS45" s="9">
        <f>IF(67&lt;=核心参数输入!$B$9*4,季度投融资!$B$25*季度计划!BS15,0)</f>
        <v>0</v>
      </c>
      <c r="BT45" s="9">
        <f>IF(68&lt;=核心参数输入!$B$9*4,季度投融资!$B$25*季度计划!BT15,0)</f>
        <v>0</v>
      </c>
      <c r="BU45" s="9">
        <f>IF(69&lt;=核心参数输入!$B$9*4,季度投融资!$B$25*季度计划!BU15,0)</f>
        <v>0</v>
      </c>
      <c r="BV45" s="9">
        <f>IF(70&lt;=核心参数输入!$B$9*4,季度投融资!$B$25*季度计划!BV15,0)</f>
        <v>0</v>
      </c>
      <c r="BW45" s="9">
        <f>IF(71&lt;=核心参数输入!$B$9*4,季度投融资!$B$25*季度计划!BW15,0)</f>
        <v>0</v>
      </c>
      <c r="BX45" s="9">
        <f>IF(72&lt;=核心参数输入!$B$9*4,季度投融资!$B$25*季度计划!BX15,0)</f>
        <v>0</v>
      </c>
      <c r="BY45" s="9">
        <f>IF(73&lt;=核心参数输入!$B$9*4,季度投融资!$B$25*季度计划!BY15,0)</f>
        <v>0</v>
      </c>
      <c r="BZ45" s="9">
        <f>IF(74&lt;=核心参数输入!$B$9*4,季度投融资!$B$25*季度计划!BZ15,0)</f>
        <v>0</v>
      </c>
      <c r="CA45" s="9">
        <f>IF(75&lt;=核心参数输入!$B$9*4,季度投融资!$B$25*季度计划!CA15,0)</f>
        <v>0</v>
      </c>
      <c r="CB45" s="9">
        <f>IF(76&lt;=核心参数输入!$B$9*4,季度投融资!$B$25*季度计划!CB15,0)</f>
        <v>0</v>
      </c>
      <c r="CC45" s="9">
        <f>IF(77&lt;=核心参数输入!$B$9*4,季度投融资!$B$25*季度计划!CC15,0)</f>
        <v>0</v>
      </c>
      <c r="CD45" s="9">
        <f>IF(78&lt;=核心参数输入!$B$9*4,季度投融资!$B$25*季度计划!CD15,0)</f>
        <v>0</v>
      </c>
      <c r="CE45" s="9">
        <f>IF(79&lt;=核心参数输入!$B$9*4,季度投融资!$B$25*季度计划!CE15,0)</f>
        <v>0</v>
      </c>
      <c r="CF45" s="9">
        <f>IF(80&lt;=核心参数输入!$B$9*4,季度投融资!$B$25*季度计划!CF15,0)</f>
        <v>0</v>
      </c>
      <c r="CG45" s="9">
        <f>IF(81&lt;=核心参数输入!$B$9*4,季度投融资!$B$25*季度计划!CG15,0)</f>
        <v>0</v>
      </c>
      <c r="CH45" s="9">
        <f>IF(82&lt;=核心参数输入!$B$9*4,季度投融资!$B$25*季度计划!CH15,0)</f>
        <v>0</v>
      </c>
      <c r="CI45" s="9">
        <f>IF(83&lt;=核心参数输入!$B$9*4,季度投融资!$B$25*季度计划!CI15,0)</f>
        <v>0</v>
      </c>
      <c r="CJ45" s="9">
        <f>IF(84&lt;=核心参数输入!$B$9*4,季度投融资!$B$25*季度计划!CJ15,0)</f>
        <v>0</v>
      </c>
      <c r="CK45" s="9">
        <f>IF(85&lt;=核心参数输入!$B$9*4,季度投融资!$B$25*季度计划!CK15,0)</f>
        <v>0</v>
      </c>
      <c r="CL45" s="9">
        <f>IF(86&lt;=核心参数输入!$B$9*4,季度投融资!$B$25*季度计划!CL15,0)</f>
        <v>0</v>
      </c>
      <c r="CM45" s="9">
        <f>IF(87&lt;=核心参数输入!$B$9*4,季度投融资!$B$25*季度计划!CM15,0)</f>
        <v>0</v>
      </c>
      <c r="CN45" s="9">
        <f>IF(88&lt;=核心参数输入!$B$9*4,季度投融资!$B$25*季度计划!CN15,0)</f>
        <v>0</v>
      </c>
      <c r="CO45" s="9">
        <f>IF(89&lt;=核心参数输入!$B$9*4,季度投融资!$B$25*季度计划!CO15,0)</f>
        <v>0</v>
      </c>
      <c r="CP45" s="9">
        <f>IF(90&lt;=核心参数输入!$B$9*4,季度投融资!$B$25*季度计划!CP15,0)</f>
        <v>0</v>
      </c>
      <c r="CQ45" s="9">
        <f>IF(91&lt;=核心参数输入!$B$9*4,季度投融资!$B$25*季度计划!CQ15,0)</f>
        <v>0</v>
      </c>
      <c r="CR45" s="9">
        <f>IF(92&lt;=核心参数输入!$B$9*4,季度投融资!$B$25*季度计划!CR15,0)</f>
        <v>0</v>
      </c>
      <c r="CS45" s="9">
        <f>IF(93&lt;=核心参数输入!$B$9*4,季度投融资!$B$25*季度计划!CS15,0)</f>
        <v>0</v>
      </c>
      <c r="CT45" s="9">
        <f>IF(94&lt;=核心参数输入!$B$9*4,季度投融资!$B$25*季度计划!CT15,0)</f>
        <v>0</v>
      </c>
      <c r="CU45" s="9">
        <f>IF(95&lt;=核心参数输入!$B$9*4,季度投融资!$B$25*季度计划!CU15,0)</f>
        <v>0</v>
      </c>
      <c r="CV45" s="9">
        <f>IF(96&lt;=核心参数输入!$B$9*4,季度投融资!$B$25*季度计划!CV15,0)</f>
        <v>0</v>
      </c>
      <c r="CW45" s="9">
        <f>IF(97&lt;=核心参数输入!$B$9*4,季度投融资!$B$25*季度计划!CW15,0)</f>
        <v>0</v>
      </c>
      <c r="CX45" s="9">
        <f>IF(98&lt;=核心参数输入!$B$9*4,季度投融资!$B$25*季度计划!CX15,0)</f>
        <v>0</v>
      </c>
      <c r="CY45" s="9">
        <f>IF(99&lt;=核心参数输入!$B$9*4,季度投融资!$B$25*季度计划!CY15,0)</f>
        <v>0</v>
      </c>
      <c r="CZ45" s="9">
        <f>IF(100&lt;=核心参数输入!$B$9*4,季度投融资!$B$25*季度计划!CZ15,0)</f>
        <v>0</v>
      </c>
      <c r="DA45" s="9">
        <f>IF(101&lt;=核心参数输入!$B$9*4,季度投融资!$B$25*季度计划!DA15,0)</f>
        <v>0</v>
      </c>
      <c r="DB45" s="9">
        <f>IF(102&lt;=核心参数输入!$B$9*4,季度投融资!$B$25*季度计划!DB15,0)</f>
        <v>0</v>
      </c>
      <c r="DC45" s="9">
        <f>IF(103&lt;=核心参数输入!$B$9*4,季度投融资!$B$25*季度计划!DC15,0)</f>
        <v>0</v>
      </c>
      <c r="DD45" s="9">
        <f>IF(104&lt;=核心参数输入!$B$9*4,季度投融资!$B$25*季度计划!DD15,0)</f>
        <v>0</v>
      </c>
      <c r="DE45" s="9">
        <f>IF(105&lt;=核心参数输入!$B$9*4,季度投融资!$B$25*季度计划!DE15,0)</f>
        <v>0</v>
      </c>
      <c r="DF45" s="9">
        <f>IF(106&lt;=核心参数输入!$B$9*4,季度投融资!$B$25*季度计划!DF15,0)</f>
        <v>0</v>
      </c>
      <c r="DG45" s="9">
        <f>IF(107&lt;=核心参数输入!$B$9*4,季度投融资!$B$25*季度计划!DG15,0)</f>
        <v>0</v>
      </c>
      <c r="DH45" s="9">
        <f>IF(108&lt;=核心参数输入!$B$9*4,季度投融资!$B$25*季度计划!DH15,0)</f>
        <v>0</v>
      </c>
      <c r="DI45" s="9">
        <f>IF(109&lt;=核心参数输入!$B$9*4,季度投融资!$B$25*季度计划!DI15,0)</f>
        <v>0</v>
      </c>
      <c r="DJ45" s="9">
        <f>IF(110&lt;=核心参数输入!$B$9*4,季度投融资!$B$25*季度计划!DJ15,0)</f>
        <v>0</v>
      </c>
      <c r="DK45" s="9">
        <f>IF(111&lt;=核心参数输入!$B$9*4,季度投融资!$B$25*季度计划!DK15,0)</f>
        <v>0</v>
      </c>
      <c r="DL45" s="9">
        <f>IF(112&lt;=核心参数输入!$B$9*4,季度投融资!$B$25*季度计划!DL15,0)</f>
        <v>0</v>
      </c>
      <c r="DM45" s="9">
        <f>IF(113&lt;=核心参数输入!$B$9*4,季度投融资!$B$25*季度计划!DM15,0)</f>
        <v>0</v>
      </c>
      <c r="DN45" s="9">
        <f>IF(114&lt;=核心参数输入!$B$9*4,季度投融资!$B$25*季度计划!DN15,0)</f>
        <v>0</v>
      </c>
      <c r="DO45" s="9">
        <f>IF(115&lt;=核心参数输入!$B$9*4,季度投融资!$B$25*季度计划!DO15,0)</f>
        <v>0</v>
      </c>
      <c r="DP45" s="9">
        <f>IF(116&lt;=核心参数输入!$B$9*4,季度投融资!$B$25*季度计划!DP15,0)</f>
        <v>0</v>
      </c>
      <c r="DQ45" s="9">
        <f>IF(117&lt;=核心参数输入!$B$9*4,季度投融资!$B$25*季度计划!DQ15,0)</f>
        <v>0</v>
      </c>
      <c r="DR45" s="9">
        <f>IF(118&lt;=核心参数输入!$B$9*4,季度投融资!$B$25*季度计划!DR15,0)</f>
        <v>0</v>
      </c>
      <c r="DS45" s="9">
        <f>IF(119&lt;=核心参数输入!$B$9*4,季度投融资!$B$25*季度计划!DS15,0)</f>
        <v>0</v>
      </c>
      <c r="DT45" s="9">
        <f>IF(120&lt;=核心参数输入!$B$9*4,季度投融资!$B$25*季度计划!DT15,0)</f>
        <v>0</v>
      </c>
    </row>
    <row r="46" spans="1:124" ht="21" customHeight="1">
      <c r="A46" s="8" t="s">
        <v>478</v>
      </c>
      <c r="B46" s="8" t="s">
        <v>39</v>
      </c>
      <c r="C46" s="8"/>
      <c r="D46" s="9">
        <f>IF(0&lt;=核心参数输入!$B$9*4,D34-SUM(D35:D41)-D43-D44-D24,0)</f>
        <v>0</v>
      </c>
      <c r="E46" s="9">
        <f>IF(1&lt;=核心参数输入!$B$9*4,E34-SUM(E35:E41)-E43-E44-E24,0)</f>
        <v>0</v>
      </c>
      <c r="F46" s="9">
        <f>IF(2&lt;=核心参数输入!$B$9*4,F34-SUM(F35:F41)-F43-F44-F24,0)</f>
        <v>0</v>
      </c>
      <c r="G46" s="9">
        <f>IF(3&lt;=核心参数输入!$B$9*4,G34-SUM(G35:G41)-G43-G44-G24,0)</f>
        <v>0</v>
      </c>
      <c r="H46" s="9">
        <f>IF(4&lt;=核心参数输入!$B$9*4,H34-SUM(H35:H41)-H43-H44-H24,0)</f>
        <v>0</v>
      </c>
      <c r="I46" s="9">
        <f>IF(5&lt;=核心参数输入!$B$9*4,I34-SUM(I35:I41)-I43-I44-I24,0)</f>
        <v>0</v>
      </c>
      <c r="J46" s="9">
        <f>IF(6&lt;=核心参数输入!$B$9*4,J34-SUM(J35:J41)-J43-J44-J24,0)</f>
        <v>0</v>
      </c>
      <c r="K46" s="9">
        <f>IF(7&lt;=核心参数输入!$B$9*4,K34-SUM(K35:K41)-K43-K44-K24,0)</f>
        <v>0</v>
      </c>
      <c r="L46" s="9">
        <f>IF(8&lt;=核心参数输入!$B$9*4,L34-SUM(L35:L41)-L43-L44-L24,0)</f>
        <v>0</v>
      </c>
      <c r="M46" s="9">
        <f>IF(9&lt;=核心参数输入!$B$9*4,M34-SUM(M35:M41)-M43-M44-M24,0)</f>
        <v>0</v>
      </c>
      <c r="N46" s="9">
        <f>IF(10&lt;=核心参数输入!$B$9*4,N34-SUM(N35:N41)-N43-N44-N24,0)</f>
        <v>0</v>
      </c>
      <c r="O46" s="9">
        <f>IF(11&lt;=核心参数输入!$B$9*4,O34-SUM(O35:O41)-O43-O44-O24,0)</f>
        <v>0</v>
      </c>
      <c r="P46" s="9">
        <f>IF(12&lt;=核心参数输入!$B$9*4,P34-SUM(P35:P41)-P43-P44-P24,0)</f>
        <v>0</v>
      </c>
      <c r="Q46" s="9">
        <f>IF(13&lt;=核心参数输入!$B$9*4,Q34-SUM(Q35:Q41)-Q43-Q44-Q24,0)</f>
        <v>400.14281250000022</v>
      </c>
      <c r="R46" s="9">
        <f>IF(14&lt;=核心参数输入!$B$9*4,R34-SUM(R35:R41)-R43-R44-R24,0)</f>
        <v>425.0963458125006</v>
      </c>
      <c r="S46" s="9">
        <f>IF(15&lt;=核心参数输入!$B$9*4,S34-SUM(S35:S41)-S43-S44-S24,0)</f>
        <v>475.00341243750046</v>
      </c>
      <c r="T46" s="9">
        <f>IF(16&lt;=核心参数输入!$B$9*4,T34-SUM(T35:T41)-T43-T44-T24,0)</f>
        <v>524.91047906250026</v>
      </c>
      <c r="U46" s="9">
        <f>IF(17&lt;=核心参数输入!$B$9*4,U34-SUM(U35:U41)-U43-U44-U24,0)</f>
        <v>818.16110418531264</v>
      </c>
      <c r="V46" s="9">
        <f>IF(18&lt;=核心参数输入!$B$9*4,V34-SUM(V35:V41)-V43-V44-V24,0)</f>
        <v>853.62007502237441</v>
      </c>
      <c r="W46" s="9">
        <f>IF(19&lt;=核心参数输入!$B$9*4,W34-SUM(W35:W41)-W43-W44-W24,0)</f>
        <v>873.88234407212462</v>
      </c>
      <c r="X46" s="9">
        <f>IF(20&lt;=核心参数输入!$B$9*4,X34-SUM(X35:X41)-X43-X44-X24,0)</f>
        <v>894.14461312187473</v>
      </c>
      <c r="Y46" s="9">
        <f>IF(21&lt;=核心参数输入!$B$9*4,Y34-SUM(Y35:Y41)-Y43-Y44-Y24,0)</f>
        <v>674.75655415419988</v>
      </c>
      <c r="Z46" s="9">
        <f>IF(22&lt;=核心参数输入!$B$9*4,Z34-SUM(Z35:Z41)-Z43-Z44-Z24,0)</f>
        <v>692.7519818540087</v>
      </c>
      <c r="AA46" s="9">
        <f>IF(23&lt;=核心参数输入!$B$9*4,AA34-SUM(AA35:AA41)-AA43-AA44-AA24,0)</f>
        <v>708.17663416813139</v>
      </c>
      <c r="AB46" s="9">
        <f>IF(24&lt;=核心参数输入!$B$9*4,AB34-SUM(AB35:AB41)-AB43-AB44-AB24,0)</f>
        <v>723.60128648225316</v>
      </c>
      <c r="AC46" s="9">
        <f>IF(25&lt;=核心参数输入!$B$9*4,AC34-SUM(AC35:AC41)-AC43-AC44-AC24,0)</f>
        <v>15.923723190820727</v>
      </c>
      <c r="AD46" s="9">
        <f>IF(26&lt;=核心参数输入!$B$9*4,AD34-SUM(AD35:AD41)-AD43-AD44-AD24,0)</f>
        <v>26.361071256710026</v>
      </c>
      <c r="AE46" s="9">
        <f>IF(27&lt;=核心参数输入!$B$9*4,AE34-SUM(AE35:AE41)-AE43-AE44-AE24,0)</f>
        <v>31.579745289654678</v>
      </c>
      <c r="AF46" s="9">
        <f>IF(28&lt;=核心参数输入!$B$9*4,AF34-SUM(AF35:AF41)-AF43-AF44-AF24,0)</f>
        <v>36.798419322599273</v>
      </c>
      <c r="AG46" s="9">
        <f>IF(29&lt;=核心参数输入!$B$9*4,AG34-SUM(AG35:AG41)-AG43-AG44-AG24,0)</f>
        <v>46.022309255877076</v>
      </c>
      <c r="AH46" s="9">
        <f>IF(30&lt;=核心参数输入!$B$9*4,AH34-SUM(AH35:AH41)-AH43-AH44-AH24,0)</f>
        <v>48.670786327596524</v>
      </c>
      <c r="AI46" s="9">
        <f>IF(31&lt;=核心参数输入!$B$9*4,AI34-SUM(AI35:AI41)-AI43-AI44-AI24,0)</f>
        <v>48.670786327596524</v>
      </c>
      <c r="AJ46" s="9">
        <f>IF(32&lt;=核心参数输入!$B$9*4,AJ34-SUM(AJ35:AJ41)-AJ43-AJ44-AJ24,0)</f>
        <v>48.670786327596524</v>
      </c>
      <c r="AK46" s="9">
        <f>IF(33&lt;=核心参数输入!$B$9*4,AK34-SUM(AK35:AK41)-AK43-AK44-AK24,0)</f>
        <v>52.76784856251038</v>
      </c>
      <c r="AL46" s="9">
        <f>IF(34&lt;=核心参数输入!$B$9*4,AL34-SUM(AL35:AL41)-AL43-AL44-AL24,0)</f>
        <v>52.76784856251038</v>
      </c>
      <c r="AM46" s="9">
        <f>IF(35&lt;=核心参数输入!$B$9*4,AM34-SUM(AM35:AM41)-AM43-AM44-AM24,0)</f>
        <v>52.76784856251038</v>
      </c>
      <c r="AN46" s="9">
        <f>IF(36&lt;=核心参数输入!$B$9*4,AN34-SUM(AN35:AN41)-AN43-AN44-AN24,0)</f>
        <v>52.76784856251038</v>
      </c>
      <c r="AO46" s="9">
        <f>IF(37&lt;=核心参数输入!$B$9*4,AO34-SUM(AO35:AO41)-AO43-AO44-AO24,0)</f>
        <v>56.918248489747988</v>
      </c>
      <c r="AP46" s="9">
        <f>IF(38&lt;=核心参数输入!$B$9*4,AP34-SUM(AP35:AP41)-AP43-AP44-AP24,0)</f>
        <v>56.918248489747988</v>
      </c>
      <c r="AQ46" s="9">
        <f>IF(39&lt;=核心参数输入!$B$9*4,AQ34-SUM(AQ35:AQ41)-AQ43-AQ44-AQ24,0)</f>
        <v>56.918248489747988</v>
      </c>
      <c r="AR46" s="9">
        <f>IF(40&lt;=核心参数输入!$B$9*4,AR34-SUM(AR35:AR41)-AR43-AR44-AR24,0)</f>
        <v>56.918248489747988</v>
      </c>
      <c r="AS46" s="9">
        <f>IF(41&lt;=核心参数输入!$B$9*4,AS34-SUM(AS35:AS41)-AS43-AS44-AS24,0)</f>
        <v>61.122623809870191</v>
      </c>
      <c r="AT46" s="9">
        <f>IF(42&lt;=核心参数输入!$B$9*4,AT34-SUM(AT35:AT41)-AT43-AT44-AT24,0)</f>
        <v>61.122623809870191</v>
      </c>
      <c r="AU46" s="9">
        <f>IF(43&lt;=核心参数输入!$B$9*4,AU34-SUM(AU35:AU41)-AU43-AU44-AU24,0)</f>
        <v>61.122623809870191</v>
      </c>
      <c r="AV46" s="9">
        <f>IF(44&lt;=核心参数输入!$B$9*4,AV34-SUM(AV35:AV41)-AV43-AV44-AV24,0)</f>
        <v>61.122623809870191</v>
      </c>
      <c r="AW46" s="9">
        <f>IF(45&lt;=核心参数输入!$B$9*4,AW34-SUM(AW35:AW41)-AW43-AW44-AW24,0)</f>
        <v>65.381618541649701</v>
      </c>
      <c r="AX46" s="9">
        <f>IF(46&lt;=核心参数输入!$B$9*4,AX34-SUM(AX35:AX41)-AX43-AX44-AX24,0)</f>
        <v>65.381618541649701</v>
      </c>
      <c r="AY46" s="9">
        <f>IF(47&lt;=核心参数输入!$B$9*4,AY34-SUM(AY35:AY41)-AY43-AY44-AY24,0)</f>
        <v>65.381618541649701</v>
      </c>
      <c r="AZ46" s="9">
        <f>IF(48&lt;=核心参数输入!$B$9*4,AZ34-SUM(AZ35:AZ41)-AZ43-AZ44-AZ24,0)</f>
        <v>65.381618541649701</v>
      </c>
      <c r="BA46" s="9">
        <f>IF(49&lt;=核心参数输入!$B$9*4,BA34-SUM(BA35:BA41)-BA43-BA44-BA24,0)</f>
        <v>69.695883051898562</v>
      </c>
      <c r="BB46" s="9">
        <f>IF(50&lt;=核心参数输入!$B$9*4,BB34-SUM(BB35:BB41)-BB43-BB44-BB24,0)</f>
        <v>69.695883051898562</v>
      </c>
      <c r="BC46" s="9">
        <f>IF(51&lt;=核心参数输入!$B$9*4,BC34-SUM(BC35:BC41)-BC43-BC44-BC24,0)</f>
        <v>69.695883051898562</v>
      </c>
      <c r="BD46" s="9">
        <f>IF(52&lt;=核心参数输入!$B$9*4,BD34-SUM(BD35:BD41)-BD43-BD44-BD24,0)</f>
        <v>69.695883051898562</v>
      </c>
      <c r="BE46" s="9">
        <f>IF(53&lt;=核心参数输入!$B$9*4,BE34-SUM(BE35:BE41)-BE43-BE44-BE24,0)</f>
        <v>74.066074084443571</v>
      </c>
      <c r="BF46" s="9">
        <f>IF(54&lt;=核心参数输入!$B$9*4,BF34-SUM(BF35:BF41)-BF43-BF44-BF24,0)</f>
        <v>74.066074084443571</v>
      </c>
      <c r="BG46" s="9">
        <f>IF(55&lt;=核心参数输入!$B$9*4,BG34-SUM(BG35:BG41)-BG43-BG44-BG24,0)</f>
        <v>74.066074084443571</v>
      </c>
      <c r="BH46" s="9">
        <f>IF(56&lt;=核心参数输入!$B$9*4,BH34-SUM(BH35:BH41)-BH43-BH44-BH24,0)</f>
        <v>74.066074084443571</v>
      </c>
      <c r="BI46" s="9">
        <f>IF(57&lt;=核心参数输入!$B$9*4,BI34-SUM(BI35:BI41)-BI43-BI44-BI24,0)</f>
        <v>78.492854788212213</v>
      </c>
      <c r="BJ46" s="9">
        <f>IF(58&lt;=核心参数输入!$B$9*4,BJ34-SUM(BJ35:BJ41)-BJ43-BJ44-BJ24,0)</f>
        <v>78.492854788212213</v>
      </c>
      <c r="BK46" s="9">
        <f>IF(59&lt;=核心参数输入!$B$9*4,BK34-SUM(BK35:BK41)-BK43-BK44-BK24,0)</f>
        <v>78.492854788212213</v>
      </c>
      <c r="BL46" s="9">
        <f>IF(60&lt;=核心参数输入!$B$9*4,BL34-SUM(BL35:BL41)-BL43-BL44-BL24,0)</f>
        <v>78.492854788212213</v>
      </c>
      <c r="BM46" s="9">
        <f>IF(61&lt;=核心参数输入!$B$9*4,BM34-SUM(BM35:BM41)-BM43-BM44-BM24,0)</f>
        <v>82.976894744387224</v>
      </c>
      <c r="BN46" s="9">
        <f>IF(62&lt;=核心参数输入!$B$9*4,BN34-SUM(BN35:BN41)-BN43-BN44-BN24,0)</f>
        <v>82.976894744387224</v>
      </c>
      <c r="BO46" s="9">
        <f>IF(63&lt;=核心参数输入!$B$9*4,BO34-SUM(BO35:BO41)-BO43-BO44-BO24,0)</f>
        <v>82.976894744387224</v>
      </c>
      <c r="BP46" s="9">
        <f>IF(64&lt;=核心参数输入!$B$9*4,BP34-SUM(BP35:BP41)-BP43-BP44-BP24,0)</f>
        <v>82.976894744387224</v>
      </c>
      <c r="BQ46" s="9">
        <f>IF(65&lt;=核心参数输入!$B$9*4,BQ34-SUM(BQ35:BQ41)-BQ43-BQ44-BQ24,0)</f>
        <v>87.51886999259213</v>
      </c>
      <c r="BR46" s="9">
        <f>IF(66&lt;=核心参数输入!$B$9*4,BR34-SUM(BR35:BR41)-BR43-BR44-BR24,0)</f>
        <v>87.51886999259213</v>
      </c>
      <c r="BS46" s="9">
        <f>IF(67&lt;=核心参数输入!$B$9*4,BS34-SUM(BS35:BS41)-BS43-BS44-BS24,0)</f>
        <v>87.51886999259213</v>
      </c>
      <c r="BT46" s="9">
        <f>IF(68&lt;=核心参数输入!$B$9*4,BT34-SUM(BT35:BT41)-BT43-BT44-BT24,0)</f>
        <v>87.51886999259213</v>
      </c>
      <c r="BU46" s="9">
        <f>IF(69&lt;=核心参数输入!$B$9*4,BU34-SUM(BU35:BU41)-BU43-BU44-BU24,0)</f>
        <v>92.119463056060809</v>
      </c>
      <c r="BV46" s="9">
        <f>IF(70&lt;=核心参数输入!$B$9*4,BV34-SUM(BV35:BV41)-BV43-BV44-BV24,0)</f>
        <v>92.119463056060809</v>
      </c>
      <c r="BW46" s="9">
        <f>IF(71&lt;=核心参数输入!$B$9*4,BW34-SUM(BW35:BW41)-BW43-BW44-BW24,0)</f>
        <v>92.119463056060809</v>
      </c>
      <c r="BX46" s="9">
        <f>IF(72&lt;=核心参数输入!$B$9*4,BX34-SUM(BX35:BX41)-BX43-BX44-BX24,0)</f>
        <v>92.119463056060809</v>
      </c>
      <c r="BY46" s="9">
        <f>IF(73&lt;=核心参数输入!$B$9*4,BY34-SUM(BY35:BY41)-BY43-BY44-BY24,0)</f>
        <v>96.779362965752995</v>
      </c>
      <c r="BZ46" s="9">
        <f>IF(74&lt;=核心参数输入!$B$9*4,BZ34-SUM(BZ35:BZ41)-BZ43-BZ44-BZ24,0)</f>
        <v>96.779362965752995</v>
      </c>
      <c r="CA46" s="9">
        <f>IF(75&lt;=核心参数输入!$B$9*4,CA34-SUM(CA35:CA41)-CA43-CA44-CA24,0)</f>
        <v>96.779362965752995</v>
      </c>
      <c r="CB46" s="9">
        <f>IF(76&lt;=核心参数输入!$B$9*4,CB34-SUM(CB35:CB41)-CB43-CB44-CB24,0)</f>
        <v>96.779362965752995</v>
      </c>
      <c r="CC46" s="9">
        <f>IF(77&lt;=核心参数输入!$B$9*4,CC34-SUM(CC35:CC41)-CC43-CC44-CC24,0)</f>
        <v>101.49926528336751</v>
      </c>
      <c r="CD46" s="9">
        <f>IF(78&lt;=核心参数输入!$B$9*4,CD34-SUM(CD35:CD41)-CD43-CD44-CD24,0)</f>
        <v>101.49926528336751</v>
      </c>
      <c r="CE46" s="9">
        <f>IF(79&lt;=核心参数输入!$B$9*4,CE34-SUM(CE35:CE41)-CE43-CE44-CE24,0)</f>
        <v>101.49926528336751</v>
      </c>
      <c r="CF46" s="9">
        <f>IF(80&lt;=核心参数输入!$B$9*4,CF34-SUM(CF35:CF41)-CF43-CF44-CF24,0)</f>
        <v>101.49926528336751</v>
      </c>
      <c r="CG46" s="9">
        <f>IF(81&lt;=核心参数输入!$B$9*4,CG34-SUM(CG35:CG41)-CG43-CG44-CG24,0)</f>
        <v>0</v>
      </c>
      <c r="CH46" s="9">
        <f>IF(82&lt;=核心参数输入!$B$9*4,CH34-SUM(CH35:CH41)-CH43-CH44-CH24,0)</f>
        <v>0</v>
      </c>
      <c r="CI46" s="9">
        <f>IF(83&lt;=核心参数输入!$B$9*4,CI34-SUM(CI35:CI41)-CI43-CI44-CI24,0)</f>
        <v>0</v>
      </c>
      <c r="CJ46" s="9">
        <f>IF(84&lt;=核心参数输入!$B$9*4,CJ34-SUM(CJ35:CJ41)-CJ43-CJ44-CJ24,0)</f>
        <v>0</v>
      </c>
      <c r="CK46" s="9">
        <f>IF(85&lt;=核心参数输入!$B$9*4,CK34-SUM(CK35:CK41)-CK43-CK44-CK24,0)</f>
        <v>0</v>
      </c>
      <c r="CL46" s="9">
        <f>IF(86&lt;=核心参数输入!$B$9*4,CL34-SUM(CL35:CL41)-CL43-CL44-CL24,0)</f>
        <v>0</v>
      </c>
      <c r="CM46" s="9">
        <f>IF(87&lt;=核心参数输入!$B$9*4,CM34-SUM(CM35:CM41)-CM43-CM44-CM24,0)</f>
        <v>0</v>
      </c>
      <c r="CN46" s="9">
        <f>IF(88&lt;=核心参数输入!$B$9*4,CN34-SUM(CN35:CN41)-CN43-CN44-CN24,0)</f>
        <v>0</v>
      </c>
      <c r="CO46" s="9">
        <f>IF(89&lt;=核心参数输入!$B$9*4,CO34-SUM(CO35:CO41)-CO43-CO44-CO24,0)</f>
        <v>0</v>
      </c>
      <c r="CP46" s="9">
        <f>IF(90&lt;=核心参数输入!$B$9*4,CP34-SUM(CP35:CP41)-CP43-CP44-CP24,0)</f>
        <v>0</v>
      </c>
      <c r="CQ46" s="9">
        <f>IF(91&lt;=核心参数输入!$B$9*4,CQ34-SUM(CQ35:CQ41)-CQ43-CQ44-CQ24,0)</f>
        <v>0</v>
      </c>
      <c r="CR46" s="9">
        <f>IF(92&lt;=核心参数输入!$B$9*4,CR34-SUM(CR35:CR41)-CR43-CR44-CR24,0)</f>
        <v>0</v>
      </c>
      <c r="CS46" s="9">
        <f>IF(93&lt;=核心参数输入!$B$9*4,CS34-SUM(CS35:CS41)-CS43-CS44-CS24,0)</f>
        <v>0</v>
      </c>
      <c r="CT46" s="9">
        <f>IF(94&lt;=核心参数输入!$B$9*4,CT34-SUM(CT35:CT41)-CT43-CT44-CT24,0)</f>
        <v>0</v>
      </c>
      <c r="CU46" s="9">
        <f>IF(95&lt;=核心参数输入!$B$9*4,CU34-SUM(CU35:CU41)-CU43-CU44-CU24,0)</f>
        <v>0</v>
      </c>
      <c r="CV46" s="9">
        <f>IF(96&lt;=核心参数输入!$B$9*4,CV34-SUM(CV35:CV41)-CV43-CV44-CV24,0)</f>
        <v>0</v>
      </c>
      <c r="CW46" s="9">
        <f>IF(97&lt;=核心参数输入!$B$9*4,CW34-SUM(CW35:CW41)-CW43-CW44-CW24,0)</f>
        <v>0</v>
      </c>
      <c r="CX46" s="9">
        <f>IF(98&lt;=核心参数输入!$B$9*4,CX34-SUM(CX35:CX41)-CX43-CX44-CX24,0)</f>
        <v>0</v>
      </c>
      <c r="CY46" s="9">
        <f>IF(99&lt;=核心参数输入!$B$9*4,CY34-SUM(CY35:CY41)-CY43-CY44-CY24,0)</f>
        <v>0</v>
      </c>
      <c r="CZ46" s="9">
        <f>IF(100&lt;=核心参数输入!$B$9*4,CZ34-SUM(CZ35:CZ41)-CZ43-CZ44-CZ24,0)</f>
        <v>0</v>
      </c>
      <c r="DA46" s="9">
        <f>IF(101&lt;=核心参数输入!$B$9*4,DA34-SUM(DA35:DA41)-DA43-DA44-DA24,0)</f>
        <v>0</v>
      </c>
      <c r="DB46" s="9">
        <f>IF(102&lt;=核心参数输入!$B$9*4,DB34-SUM(DB35:DB41)-DB43-DB44-DB24,0)</f>
        <v>0</v>
      </c>
      <c r="DC46" s="9">
        <f>IF(103&lt;=核心参数输入!$B$9*4,DC34-SUM(DC35:DC41)-DC43-DC44-DC24,0)</f>
        <v>0</v>
      </c>
      <c r="DD46" s="9">
        <f>IF(104&lt;=核心参数输入!$B$9*4,DD34-SUM(DD35:DD41)-DD43-DD44-DD24,0)</f>
        <v>0</v>
      </c>
      <c r="DE46" s="9">
        <f>IF(105&lt;=核心参数输入!$B$9*4,DE34-SUM(DE35:DE41)-DE43-DE44-DE24,0)</f>
        <v>0</v>
      </c>
      <c r="DF46" s="9">
        <f>IF(106&lt;=核心参数输入!$B$9*4,DF34-SUM(DF35:DF41)-DF43-DF44-DF24,0)</f>
        <v>0</v>
      </c>
      <c r="DG46" s="9">
        <f>IF(107&lt;=核心参数输入!$B$9*4,DG34-SUM(DG35:DG41)-DG43-DG44-DG24,0)</f>
        <v>0</v>
      </c>
      <c r="DH46" s="9">
        <f>IF(108&lt;=核心参数输入!$B$9*4,DH34-SUM(DH35:DH41)-DH43-DH44-DH24,0)</f>
        <v>0</v>
      </c>
      <c r="DI46" s="9">
        <f>IF(109&lt;=核心参数输入!$B$9*4,DI34-SUM(DI35:DI41)-DI43-DI44-DI24,0)</f>
        <v>0</v>
      </c>
      <c r="DJ46" s="9">
        <f>IF(110&lt;=核心参数输入!$B$9*4,DJ34-SUM(DJ35:DJ41)-DJ43-DJ44-DJ24,0)</f>
        <v>0</v>
      </c>
      <c r="DK46" s="9">
        <f>IF(111&lt;=核心参数输入!$B$9*4,DK34-SUM(DK35:DK41)-DK43-DK44-DK24,0)</f>
        <v>0</v>
      </c>
      <c r="DL46" s="9">
        <f>IF(112&lt;=核心参数输入!$B$9*4,DL34-SUM(DL35:DL41)-DL43-DL44-DL24,0)</f>
        <v>0</v>
      </c>
      <c r="DM46" s="9">
        <f>IF(113&lt;=核心参数输入!$B$9*4,DM34-SUM(DM35:DM41)-DM43-DM44-DM24,0)</f>
        <v>0</v>
      </c>
      <c r="DN46" s="9">
        <f>IF(114&lt;=核心参数输入!$B$9*4,DN34-SUM(DN35:DN41)-DN43-DN44-DN24,0)</f>
        <v>0</v>
      </c>
      <c r="DO46" s="9">
        <f>IF(115&lt;=核心参数输入!$B$9*4,DO34-SUM(DO35:DO41)-DO43-DO44-DO24,0)</f>
        <v>0</v>
      </c>
      <c r="DP46" s="9">
        <f>IF(116&lt;=核心参数输入!$B$9*4,DP34-SUM(DP35:DP41)-DP43-DP44-DP24,0)</f>
        <v>0</v>
      </c>
      <c r="DQ46" s="9">
        <f>IF(117&lt;=核心参数输入!$B$9*4,DQ34-SUM(DQ35:DQ41)-DQ43-DQ44-DQ24,0)</f>
        <v>0</v>
      </c>
      <c r="DR46" s="9">
        <f>IF(118&lt;=核心参数输入!$B$9*4,DR34-SUM(DR35:DR41)-DR43-DR44-DR24,0)</f>
        <v>0</v>
      </c>
      <c r="DS46" s="9">
        <f>IF(119&lt;=核心参数输入!$B$9*4,DS34-SUM(DS35:DS41)-DS43-DS44-DS24,0)</f>
        <v>0</v>
      </c>
      <c r="DT46" s="9">
        <f>IF(120&lt;=核心参数输入!$B$9*4,DT34-SUM(DT35:DT41)-DT43-DT44-DT24,0)</f>
        <v>0</v>
      </c>
    </row>
    <row r="47" spans="1:124" ht="21" customHeight="1">
      <c r="A47" s="8" t="s">
        <v>479</v>
      </c>
      <c r="B47" s="8" t="s">
        <v>39</v>
      </c>
      <c r="C47" s="8"/>
      <c r="D47" s="9">
        <f>IF(0&lt;=核心参数输入!$B$9*4,D34-SUM(D35:D40)-D42-D43-D45-D24-季度投融资!D45,0)</f>
        <v>0</v>
      </c>
      <c r="E47" s="9">
        <f>IF(1&lt;=核心参数输入!$B$9*4,E34-SUM(E35:E40)-E42-E43-E45-E24-季度投融资!E45,0)</f>
        <v>0</v>
      </c>
      <c r="F47" s="9">
        <f>IF(2&lt;=核心参数输入!$B$9*4,F34-SUM(F35:F40)-F42-F43-F45-F24-季度投融资!F45,0)</f>
        <v>0</v>
      </c>
      <c r="G47" s="9">
        <f>IF(3&lt;=核心参数输入!$B$9*4,G34-SUM(G35:G40)-G42-G43-G45-G24-季度投融资!G45,0)</f>
        <v>0</v>
      </c>
      <c r="H47" s="9">
        <f>IF(4&lt;=核心参数输入!$B$9*4,H34-SUM(H35:H40)-H42-H43-H45-H24-季度投融资!H45,0)</f>
        <v>0</v>
      </c>
      <c r="I47" s="9">
        <f>IF(5&lt;=核心参数输入!$B$9*4,I34-SUM(I35:I40)-I42-I43-I45-I24-季度投融资!I45,0)</f>
        <v>0</v>
      </c>
      <c r="J47" s="9">
        <f>IF(6&lt;=核心参数输入!$B$9*4,J34-SUM(J35:J40)-J42-J43-J45-J24-季度投融资!J45,0)</f>
        <v>0</v>
      </c>
      <c r="K47" s="9">
        <f>IF(7&lt;=核心参数输入!$B$9*4,K34-SUM(K35:K40)-K42-K43-K45-K24-季度投融资!K45,0)</f>
        <v>0</v>
      </c>
      <c r="L47" s="9">
        <f>IF(8&lt;=核心参数输入!$B$9*4,L34-SUM(L35:L40)-L42-L43-L45-L24-季度投融资!L45,0)</f>
        <v>0</v>
      </c>
      <c r="M47" s="9">
        <f>IF(9&lt;=核心参数输入!$B$9*4,M34-SUM(M35:M40)-M42-M43-M45-M24-季度投融资!M45,0)</f>
        <v>0</v>
      </c>
      <c r="N47" s="9">
        <f>IF(10&lt;=核心参数输入!$B$9*4,N34-SUM(N35:N40)-N42-N43-N45-N24-季度投融资!N45,0)</f>
        <v>0</v>
      </c>
      <c r="O47" s="9">
        <f>IF(11&lt;=核心参数输入!$B$9*4,O34-SUM(O35:O40)-O42-O43-O45-O24-季度投融资!O45,0)</f>
        <v>0</v>
      </c>
      <c r="P47" s="9">
        <f>IF(12&lt;=核心参数输入!$B$9*4,P34-SUM(P35:P40)-P42-P43-P45-P24-季度投融资!P45,0)</f>
        <v>0</v>
      </c>
      <c r="Q47" s="9">
        <f>IF(13&lt;=核心参数输入!$B$9*4,Q34-SUM(Q35:Q40)-Q42-Q43-Q45-Q24-季度投融资!Q45,0)</f>
        <v>0.44718750000038199</v>
      </c>
      <c r="R47" s="9">
        <f>IF(14&lt;=核心参数输入!$B$9*4,R34-SUM(R35:R40)-R42-R43-R45-R24-季度投融资!R45,0)</f>
        <v>25.40072081250031</v>
      </c>
      <c r="S47" s="9">
        <f>IF(15&lt;=核心参数输入!$B$9*4,S34-SUM(S35:S40)-S42-S43-S45-S24-季度投融资!S45,0)</f>
        <v>75.307787437500622</v>
      </c>
      <c r="T47" s="9">
        <f>IF(16&lt;=核心参数输入!$B$9*4,T34-SUM(T35:T40)-T42-T43-T45-T24-季度投融资!T45,0)</f>
        <v>147.71485406249991</v>
      </c>
      <c r="U47" s="9">
        <f>IF(17&lt;=核心参数输入!$B$9*4,U34-SUM(U35:U40)-U42-U43-U45-U24-季度投融资!U45,0)</f>
        <v>437.47797918531307</v>
      </c>
      <c r="V47" s="9">
        <f>IF(18&lt;=核心参数输入!$B$9*4,V34-SUM(V35:V40)-V42-V43-V45-V24-季度投融资!V45,0)</f>
        <v>472.93695002237484</v>
      </c>
      <c r="W47" s="9">
        <f>IF(19&lt;=核心参数输入!$B$9*4,W34-SUM(W35:W40)-W42-W43-W45-W24-季度投融资!W45,0)</f>
        <v>493.19921907212415</v>
      </c>
      <c r="X47" s="9">
        <f>IF(20&lt;=核心参数输入!$B$9*4,X34-SUM(X35:X40)-X42-X43-X45-X24-季度投融资!X45,0)</f>
        <v>535.96148812187516</v>
      </c>
      <c r="Y47" s="9">
        <f>IF(21&lt;=核心参数输入!$B$9*4,Y34-SUM(Y35:Y40)-Y42-Y43-Y45-Y24-季度投融资!Y45,0)</f>
        <v>365.06092915419958</v>
      </c>
      <c r="Z47" s="9">
        <f>IF(22&lt;=核心参数输入!$B$9*4,Z34-SUM(Z35:Z40)-Z42-Z43-Z45-Z24-季度投融资!Z45,0)</f>
        <v>383.05635685400841</v>
      </c>
      <c r="AA47" s="9">
        <f>IF(23&lt;=核心参数输入!$B$9*4,AA34-SUM(AA35:AA40)-AA42-AA43-AA45-AA24-季度投融资!AA45,0)</f>
        <v>398.4810091681311</v>
      </c>
      <c r="AB47" s="9">
        <f>IF(24&lt;=核心参数输入!$B$9*4,AB34-SUM(AB35:AB40)-AB42-AB43-AB45-AB24-季度投融资!AB45,0)</f>
        <v>436.40566148225287</v>
      </c>
      <c r="AC47" s="9">
        <f>IF(25&lt;=核心参数输入!$B$9*4,AC34-SUM(AC35:AC40)-AC42-AC43-AC45-AC24-季度投融资!AC45,0)</f>
        <v>-170.80940180917923</v>
      </c>
      <c r="AD47" s="9">
        <f>IF(26&lt;=核心参数输入!$B$9*4,AD34-SUM(AD35:AD40)-AD42-AD43-AD45-AD24-季度投融资!AD45,0)</f>
        <v>-160.37205374328997</v>
      </c>
      <c r="AE47" s="9">
        <f>IF(27&lt;=核心参数输入!$B$9*4,AE34-SUM(AE35:AE40)-AE42-AE43-AE45-AE24-季度投融资!AE45,0)</f>
        <v>-155.15337971034529</v>
      </c>
      <c r="AF47" s="9">
        <f>IF(28&lt;=核心参数输入!$B$9*4,AF34-SUM(AF35:AF40)-AF42-AF43-AF45-AF24-季度投融资!AF45,0)</f>
        <v>-127.43470567740067</v>
      </c>
      <c r="AG47" s="9">
        <f>IF(29&lt;=核心参数输入!$B$9*4,AG34-SUM(AG35:AG40)-AG42-AG43-AG45-AG24-季度投融资!AG45,0)</f>
        <v>-95.710815744122897</v>
      </c>
      <c r="AH47" s="9">
        <f>IF(30&lt;=核心参数输入!$B$9*4,AH34-SUM(AH35:AH40)-AH42-AH43-AH45-AH24-季度投融资!AH45,0)</f>
        <v>-93.062338672403456</v>
      </c>
      <c r="AI47" s="9">
        <f>IF(31&lt;=核心参数输入!$B$9*4,AI34-SUM(AI35:AI40)-AI42-AI43-AI45-AI24-季度投融资!AI45,0)</f>
        <v>-93.062338672403456</v>
      </c>
      <c r="AJ47" s="9">
        <f>IF(32&lt;=核心参数输入!$B$9*4,AJ34-SUM(AJ35:AJ40)-AJ42-AJ43-AJ45-AJ24-季度投融资!AJ45,0)</f>
        <v>-70.562338672403428</v>
      </c>
      <c r="AK47" s="9">
        <f>IF(33&lt;=核心参数输入!$B$9*4,AK34-SUM(AK35:AK40)-AK42-AK43-AK45-AK24-季度投融资!AK45,0)</f>
        <v>-43.965276437489564</v>
      </c>
      <c r="AL47" s="9">
        <f>IF(34&lt;=核心参数输入!$B$9*4,AL34-SUM(AL35:AL40)-AL42-AL43-AL45-AL24-季度投融资!AL45,0)</f>
        <v>-43.965276437489564</v>
      </c>
      <c r="AM47" s="9">
        <f>IF(35&lt;=核心参数输入!$B$9*4,AM34-SUM(AM35:AM40)-AM42-AM43-AM45-AM24-季度投融资!AM45,0)</f>
        <v>-43.965276437489564</v>
      </c>
      <c r="AN47" s="9">
        <f>IF(36&lt;=核心参数输入!$B$9*4,AN34-SUM(AN35:AN40)-AN42-AN43-AN45-AN24-季度投融资!AN45,0)</f>
        <v>-21.465276437489564</v>
      </c>
      <c r="AO47" s="9">
        <f>IF(37&lt;=核心参数输入!$B$9*4,AO34-SUM(AO35:AO40)-AO42-AO43-AO45-AO24-季度投融资!AO45,0)</f>
        <v>5.1851234897480367</v>
      </c>
      <c r="AP47" s="9">
        <f>IF(38&lt;=核心参数输入!$B$9*4,AP34-SUM(AP35:AP40)-AP42-AP43-AP45-AP24-季度投融资!AP45,0)</f>
        <v>5.1851234897480367</v>
      </c>
      <c r="AQ47" s="9">
        <f>IF(39&lt;=核心参数输入!$B$9*4,AQ34-SUM(AQ35:AQ40)-AQ42-AQ43-AQ45-AQ24-季度投融资!AQ45,0)</f>
        <v>5.1851234897480367</v>
      </c>
      <c r="AR47" s="9">
        <f>IF(40&lt;=核心参数输入!$B$9*4,AR34-SUM(AR35:AR40)-AR42-AR43-AR45-AR24-季度投融资!AR45,0)</f>
        <v>27.685123489748026</v>
      </c>
      <c r="AS47" s="9">
        <f>IF(41&lt;=核心参数输入!$B$9*4,AS34-SUM(AS35:AS40)-AS42-AS43-AS45-AS24-季度投融资!AS45,0)</f>
        <v>54.389498809870219</v>
      </c>
      <c r="AT47" s="9">
        <f>IF(42&lt;=核心参数输入!$B$9*4,AT34-SUM(AT35:AT40)-AT42-AT43-AT45-AT24-季度投融资!AT45,0)</f>
        <v>54.389498809870219</v>
      </c>
      <c r="AU47" s="9">
        <f>IF(43&lt;=核心参数输入!$B$9*4,AU34-SUM(AU35:AU40)-AU42-AU43-AU45-AU24-季度投融资!AU45,0)</f>
        <v>54.389498809870219</v>
      </c>
      <c r="AV47" s="9">
        <f>IF(44&lt;=核心参数输入!$B$9*4,AV34-SUM(AV35:AV40)-AV42-AV43-AV45-AV24-季度投融资!AV45,0)</f>
        <v>54.389498809870219</v>
      </c>
      <c r="AW47" s="9">
        <f>IF(45&lt;=核心参数输入!$B$9*4,AW34-SUM(AW35:AW40)-AW42-AW43-AW45-AW24-季度投融资!AW45,0)</f>
        <v>58.648493541649728</v>
      </c>
      <c r="AX47" s="9">
        <f>IF(46&lt;=核心参数输入!$B$9*4,AX34-SUM(AX35:AX40)-AX42-AX43-AX45-AX24-季度投融资!AX45,0)</f>
        <v>58.648493541649728</v>
      </c>
      <c r="AY47" s="9">
        <f>IF(47&lt;=核心参数输入!$B$9*4,AY34-SUM(AY35:AY40)-AY42-AY43-AY45-AY24-季度投融资!AY45,0)</f>
        <v>58.648493541649728</v>
      </c>
      <c r="AZ47" s="9">
        <f>IF(48&lt;=核心参数输入!$B$9*4,AZ34-SUM(AZ35:AZ40)-AZ42-AZ43-AZ45-AZ24-季度投融资!AZ45,0)</f>
        <v>58.648493541649728</v>
      </c>
      <c r="BA47" s="9">
        <f>IF(49&lt;=核心参数输入!$B$9*4,BA34-SUM(BA35:BA40)-BA42-BA43-BA45-BA24-季度投融资!BA45,0)</f>
        <v>62.962758051898639</v>
      </c>
      <c r="BB47" s="9">
        <f>IF(50&lt;=核心参数输入!$B$9*4,BB34-SUM(BB35:BB40)-BB42-BB43-BB45-BB24-季度投融资!BB45,0)</f>
        <v>62.962758051898639</v>
      </c>
      <c r="BC47" s="9">
        <f>IF(51&lt;=核心参数输入!$B$9*4,BC34-SUM(BC35:BC40)-BC42-BC43-BC45-BC24-季度投融资!BC45,0)</f>
        <v>62.962758051898639</v>
      </c>
      <c r="BD47" s="9">
        <f>IF(52&lt;=核心参数输入!$B$9*4,BD34-SUM(BD35:BD40)-BD42-BD43-BD45-BD24-季度投融资!BD45,0)</f>
        <v>62.962758051898639</v>
      </c>
      <c r="BE47" s="9">
        <f>IF(53&lt;=核心参数输入!$B$9*4,BE34-SUM(BE35:BE40)-BE42-BE43-BE45-BE24-季度投融资!BE45,0)</f>
        <v>67.332949084443598</v>
      </c>
      <c r="BF47" s="9">
        <f>IF(54&lt;=核心参数输入!$B$9*4,BF34-SUM(BF35:BF40)-BF42-BF43-BF45-BF24-季度投融资!BF45,0)</f>
        <v>67.332949084443598</v>
      </c>
      <c r="BG47" s="9">
        <f>IF(55&lt;=核心参数输入!$B$9*4,BG34-SUM(BG35:BG40)-BG42-BG43-BG45-BG24-季度投融资!BG45,0)</f>
        <v>67.332949084443598</v>
      </c>
      <c r="BH47" s="9">
        <f>IF(56&lt;=核心参数输入!$B$9*4,BH34-SUM(BH35:BH40)-BH42-BH43-BH45-BH24-季度投融资!BH45,0)</f>
        <v>67.332949084443598</v>
      </c>
      <c r="BI47" s="9">
        <f>IF(57&lt;=核心参数输入!$B$9*4,BI34-SUM(BI35:BI40)-BI42-BI43-BI45-BI24-季度投融资!BI45,0)</f>
        <v>71.75972978821224</v>
      </c>
      <c r="BJ47" s="9">
        <f>IF(58&lt;=核心参数输入!$B$9*4,BJ34-SUM(BJ35:BJ40)-BJ42-BJ43-BJ45-BJ24-季度投融资!BJ45,0)</f>
        <v>71.75972978821224</v>
      </c>
      <c r="BK47" s="9">
        <f>IF(59&lt;=核心参数输入!$B$9*4,BK34-SUM(BK35:BK40)-BK42-BK43-BK45-BK24-季度投融资!BK45,0)</f>
        <v>71.75972978821224</v>
      </c>
      <c r="BL47" s="9">
        <f>IF(60&lt;=核心参数输入!$B$9*4,BL34-SUM(BL35:BL40)-BL42-BL43-BL45-BL24-季度投融资!BL45,0)</f>
        <v>71.75972978821224</v>
      </c>
      <c r="BM47" s="9">
        <f>IF(61&lt;=核心参数输入!$B$9*4,BM34-SUM(BM35:BM40)-BM42-BM43-BM45-BM24-季度投融资!BM45,0)</f>
        <v>76.243769744387308</v>
      </c>
      <c r="BN47" s="9">
        <f>IF(62&lt;=核心参数输入!$B$9*4,BN34-SUM(BN35:BN40)-BN42-BN43-BN45-BN24-季度投融资!BN45,0)</f>
        <v>76.243769744387308</v>
      </c>
      <c r="BO47" s="9">
        <f>IF(63&lt;=核心参数输入!$B$9*4,BO34-SUM(BO35:BO40)-BO42-BO43-BO45-BO24-季度投融资!BO45,0)</f>
        <v>76.243769744387308</v>
      </c>
      <c r="BP47" s="9">
        <f>IF(64&lt;=核心参数输入!$B$9*4,BP34-SUM(BP35:BP40)-BP42-BP43-BP45-BP24-季度投融资!BP45,0)</f>
        <v>76.243769744387308</v>
      </c>
      <c r="BQ47" s="9">
        <f>IF(65&lt;=核心参数输入!$B$9*4,BQ34-SUM(BQ35:BQ40)-BQ42-BQ43-BQ45-BQ24-季度投融资!BQ45,0)</f>
        <v>80.785744992592157</v>
      </c>
      <c r="BR47" s="9">
        <f>IF(66&lt;=核心参数输入!$B$9*4,BR34-SUM(BR35:BR40)-BR42-BR43-BR45-BR24-季度投融资!BR45,0)</f>
        <v>80.785744992592157</v>
      </c>
      <c r="BS47" s="9">
        <f>IF(67&lt;=核心参数输入!$B$9*4,BS34-SUM(BS35:BS40)-BS42-BS43-BS45-BS24-季度投融资!BS45,0)</f>
        <v>80.785744992592157</v>
      </c>
      <c r="BT47" s="9">
        <f>IF(68&lt;=核心参数输入!$B$9*4,BT34-SUM(BT35:BT40)-BT42-BT43-BT45-BT24-季度投融资!BT45,0)</f>
        <v>80.785744992592157</v>
      </c>
      <c r="BU47" s="9">
        <f>IF(69&lt;=核心参数输入!$B$9*4,BU34-SUM(BU35:BU40)-BU42-BU43-BU45-BU24-季度投融资!BU45,0)</f>
        <v>85.386338056060836</v>
      </c>
      <c r="BV47" s="9">
        <f>IF(70&lt;=核心参数输入!$B$9*4,BV34-SUM(BV35:BV40)-BV42-BV43-BV45-BV24-季度投融资!BV45,0)</f>
        <v>85.386338056060836</v>
      </c>
      <c r="BW47" s="9">
        <f>IF(71&lt;=核心参数输入!$B$9*4,BW34-SUM(BW35:BW40)-BW42-BW43-BW45-BW24-季度投融资!BW45,0)</f>
        <v>85.386338056060836</v>
      </c>
      <c r="BX47" s="9">
        <f>IF(72&lt;=核心参数输入!$B$9*4,BX34-SUM(BX35:BX40)-BX42-BX43-BX45-BX24-季度投融资!BX45,0)</f>
        <v>85.386338056060836</v>
      </c>
      <c r="BY47" s="9">
        <f>IF(73&lt;=核心参数输入!$B$9*4,BY34-SUM(BY35:BY40)-BY42-BY43-BY45-BY24-季度投融资!BY45,0)</f>
        <v>90.046237965752965</v>
      </c>
      <c r="BZ47" s="9">
        <f>IF(74&lt;=核心参数输入!$B$9*4,BZ34-SUM(BZ35:BZ40)-BZ42-BZ43-BZ45-BZ24-季度投融资!BZ45,0)</f>
        <v>90.046237965752965</v>
      </c>
      <c r="CA47" s="9">
        <f>IF(75&lt;=核心参数输入!$B$9*4,CA34-SUM(CA35:CA40)-CA42-CA43-CA45-CA24-季度投融资!CA45,0)</f>
        <v>90.046237965752965</v>
      </c>
      <c r="CB47" s="9">
        <f>IF(76&lt;=核心参数输入!$B$9*4,CB34-SUM(CB35:CB40)-CB42-CB43-CB45-CB24-季度投融资!CB45,0)</f>
        <v>90.046237965752965</v>
      </c>
      <c r="CC47" s="9">
        <f>IF(77&lt;=核心参数输入!$B$9*4,CC34-SUM(CC35:CC40)-CC42-CC43-CC45-CC24-季度投融资!CC45,0)</f>
        <v>94.766140283367591</v>
      </c>
      <c r="CD47" s="9">
        <f>IF(78&lt;=核心参数输入!$B$9*4,CD34-SUM(CD35:CD40)-CD42-CD43-CD45-CD24-季度投融资!CD45,0)</f>
        <v>94.766140283367591</v>
      </c>
      <c r="CE47" s="9">
        <f>IF(79&lt;=核心参数输入!$B$9*4,CE34-SUM(CE35:CE40)-CE42-CE43-CE45-CE24-季度投融资!CE45,0)</f>
        <v>94.766140283367591</v>
      </c>
      <c r="CF47" s="9">
        <f>IF(80&lt;=核心参数输入!$B$9*4,CF34-SUM(CF35:CF40)-CF42-CF43-CF45-CF24-季度投融资!CF45,0)</f>
        <v>94.766140283367591</v>
      </c>
      <c r="CG47" s="9">
        <f>IF(81&lt;=核心参数输入!$B$9*4,CG34-SUM(CG35:CG40)-CG42-CG43-CG45-CG24-季度投融资!CG45,0)</f>
        <v>0</v>
      </c>
      <c r="CH47" s="9">
        <f>IF(82&lt;=核心参数输入!$B$9*4,CH34-SUM(CH35:CH40)-CH42-CH43-CH45-CH24-季度投融资!CH45,0)</f>
        <v>0</v>
      </c>
      <c r="CI47" s="9">
        <f>IF(83&lt;=核心参数输入!$B$9*4,CI34-SUM(CI35:CI40)-CI42-CI43-CI45-CI24-季度投融资!CI45,0)</f>
        <v>0</v>
      </c>
      <c r="CJ47" s="9">
        <f>IF(84&lt;=核心参数输入!$B$9*4,CJ34-SUM(CJ35:CJ40)-CJ42-CJ43-CJ45-CJ24-季度投融资!CJ45,0)</f>
        <v>0</v>
      </c>
      <c r="CK47" s="9">
        <f>IF(85&lt;=核心参数输入!$B$9*4,CK34-SUM(CK35:CK40)-CK42-CK43-CK45-CK24-季度投融资!CK45,0)</f>
        <v>0</v>
      </c>
      <c r="CL47" s="9">
        <f>IF(86&lt;=核心参数输入!$B$9*4,CL34-SUM(CL35:CL40)-CL42-CL43-CL45-CL24-季度投融资!CL45,0)</f>
        <v>0</v>
      </c>
      <c r="CM47" s="9">
        <f>IF(87&lt;=核心参数输入!$B$9*4,CM34-SUM(CM35:CM40)-CM42-CM43-CM45-CM24-季度投融资!CM45,0)</f>
        <v>0</v>
      </c>
      <c r="CN47" s="9">
        <f>IF(88&lt;=核心参数输入!$B$9*4,CN34-SUM(CN35:CN40)-CN42-CN43-CN45-CN24-季度投融资!CN45,0)</f>
        <v>0</v>
      </c>
      <c r="CO47" s="9">
        <f>IF(89&lt;=核心参数输入!$B$9*4,CO34-SUM(CO35:CO40)-CO42-CO43-CO45-CO24-季度投融资!CO45,0)</f>
        <v>0</v>
      </c>
      <c r="CP47" s="9">
        <f>IF(90&lt;=核心参数输入!$B$9*4,CP34-SUM(CP35:CP40)-CP42-CP43-CP45-CP24-季度投融资!CP45,0)</f>
        <v>0</v>
      </c>
      <c r="CQ47" s="9">
        <f>IF(91&lt;=核心参数输入!$B$9*4,CQ34-SUM(CQ35:CQ40)-CQ42-CQ43-CQ45-CQ24-季度投融资!CQ45,0)</f>
        <v>0</v>
      </c>
      <c r="CR47" s="9">
        <f>IF(92&lt;=核心参数输入!$B$9*4,CR34-SUM(CR35:CR40)-CR42-CR43-CR45-CR24-季度投融资!CR45,0)</f>
        <v>0</v>
      </c>
      <c r="CS47" s="9">
        <f>IF(93&lt;=核心参数输入!$B$9*4,CS34-SUM(CS35:CS40)-CS42-CS43-CS45-CS24-季度投融资!CS45,0)</f>
        <v>0</v>
      </c>
      <c r="CT47" s="9">
        <f>IF(94&lt;=核心参数输入!$B$9*4,CT34-SUM(CT35:CT40)-CT42-CT43-CT45-CT24-季度投融资!CT45,0)</f>
        <v>0</v>
      </c>
      <c r="CU47" s="9">
        <f>IF(95&lt;=核心参数输入!$B$9*4,CU34-SUM(CU35:CU40)-CU42-CU43-CU45-CU24-季度投融资!CU45,0)</f>
        <v>0</v>
      </c>
      <c r="CV47" s="9">
        <f>IF(96&lt;=核心参数输入!$B$9*4,CV34-SUM(CV35:CV40)-CV42-CV43-CV45-CV24-季度投融资!CV45,0)</f>
        <v>0</v>
      </c>
      <c r="CW47" s="9">
        <f>IF(97&lt;=核心参数输入!$B$9*4,CW34-SUM(CW35:CW40)-CW42-CW43-CW45-CW24-季度投融资!CW45,0)</f>
        <v>0</v>
      </c>
      <c r="CX47" s="9">
        <f>IF(98&lt;=核心参数输入!$B$9*4,CX34-SUM(CX35:CX40)-CX42-CX43-CX45-CX24-季度投融资!CX45,0)</f>
        <v>0</v>
      </c>
      <c r="CY47" s="9">
        <f>IF(99&lt;=核心参数输入!$B$9*4,CY34-SUM(CY35:CY40)-CY42-CY43-CY45-CY24-季度投融资!CY45,0)</f>
        <v>0</v>
      </c>
      <c r="CZ47" s="9">
        <f>IF(100&lt;=核心参数输入!$B$9*4,CZ34-SUM(CZ35:CZ40)-CZ42-CZ43-CZ45-CZ24-季度投融资!CZ45,0)</f>
        <v>0</v>
      </c>
      <c r="DA47" s="9">
        <f>IF(101&lt;=核心参数输入!$B$9*4,DA34-SUM(DA35:DA40)-DA42-DA43-DA45-DA24-季度投融资!DA45,0)</f>
        <v>0</v>
      </c>
      <c r="DB47" s="9">
        <f>IF(102&lt;=核心参数输入!$B$9*4,DB34-SUM(DB35:DB40)-DB42-DB43-DB45-DB24-季度投融资!DB45,0)</f>
        <v>0</v>
      </c>
      <c r="DC47" s="9">
        <f>IF(103&lt;=核心参数输入!$B$9*4,DC34-SUM(DC35:DC40)-DC42-DC43-DC45-DC24-季度投融资!DC45,0)</f>
        <v>0</v>
      </c>
      <c r="DD47" s="9">
        <f>IF(104&lt;=核心参数输入!$B$9*4,DD34-SUM(DD35:DD40)-DD42-DD43-DD45-DD24-季度投融资!DD45,0)</f>
        <v>0</v>
      </c>
      <c r="DE47" s="9">
        <f>IF(105&lt;=核心参数输入!$B$9*4,DE34-SUM(DE35:DE40)-DE42-DE43-DE45-DE24-季度投融资!DE45,0)</f>
        <v>0</v>
      </c>
      <c r="DF47" s="9">
        <f>IF(106&lt;=核心参数输入!$B$9*4,DF34-SUM(DF35:DF40)-DF42-DF43-DF45-DF24-季度投融资!DF45,0)</f>
        <v>0</v>
      </c>
      <c r="DG47" s="9">
        <f>IF(107&lt;=核心参数输入!$B$9*4,DG34-SUM(DG35:DG40)-DG42-DG43-DG45-DG24-季度投融资!DG45,0)</f>
        <v>0</v>
      </c>
      <c r="DH47" s="9">
        <f>IF(108&lt;=核心参数输入!$B$9*4,DH34-SUM(DH35:DH40)-DH42-DH43-DH45-DH24-季度投融资!DH45,0)</f>
        <v>0</v>
      </c>
      <c r="DI47" s="9">
        <f>IF(109&lt;=核心参数输入!$B$9*4,DI34-SUM(DI35:DI40)-DI42-DI43-DI45-DI24-季度投融资!DI45,0)</f>
        <v>0</v>
      </c>
      <c r="DJ47" s="9">
        <f>IF(110&lt;=核心参数输入!$B$9*4,DJ34-SUM(DJ35:DJ40)-DJ42-DJ43-DJ45-DJ24-季度投融资!DJ45,0)</f>
        <v>0</v>
      </c>
      <c r="DK47" s="9">
        <f>IF(111&lt;=核心参数输入!$B$9*4,DK34-SUM(DK35:DK40)-DK42-DK43-DK45-DK24-季度投融资!DK45,0)</f>
        <v>0</v>
      </c>
      <c r="DL47" s="9">
        <f>IF(112&lt;=核心参数输入!$B$9*4,DL34-SUM(DL35:DL40)-DL42-DL43-DL45-DL24-季度投融资!DL45,0)</f>
        <v>0</v>
      </c>
      <c r="DM47" s="9">
        <f>IF(113&lt;=核心参数输入!$B$9*4,DM34-SUM(DM35:DM40)-DM42-DM43-DM45-DM24-季度投融资!DM45,0)</f>
        <v>0</v>
      </c>
      <c r="DN47" s="9">
        <f>IF(114&lt;=核心参数输入!$B$9*4,DN34-SUM(DN35:DN40)-DN42-DN43-DN45-DN24-季度投融资!DN45,0)</f>
        <v>0</v>
      </c>
      <c r="DO47" s="9">
        <f>IF(115&lt;=核心参数输入!$B$9*4,DO34-SUM(DO35:DO40)-DO42-DO43-DO45-DO24-季度投融资!DO45,0)</f>
        <v>0</v>
      </c>
      <c r="DP47" s="9">
        <f>IF(116&lt;=核心参数输入!$B$9*4,DP34-SUM(DP35:DP40)-DP42-DP43-DP45-DP24-季度投融资!DP45,0)</f>
        <v>0</v>
      </c>
      <c r="DQ47" s="9">
        <f>IF(117&lt;=核心参数输入!$B$9*4,DQ34-SUM(DQ35:DQ40)-DQ42-DQ43-DQ45-DQ24-季度投融资!DQ45,0)</f>
        <v>0</v>
      </c>
      <c r="DR47" s="9">
        <f>IF(118&lt;=核心参数输入!$B$9*4,DR34-SUM(DR35:DR40)-DR42-DR43-DR45-DR24-季度投融资!DR45,0)</f>
        <v>0</v>
      </c>
      <c r="DS47" s="9">
        <f>IF(119&lt;=核心参数输入!$B$9*4,DS34-SUM(DS35:DS40)-DS42-DS43-DS45-DS24-季度投融资!DS45,0)</f>
        <v>0</v>
      </c>
      <c r="DT47" s="9">
        <f>IF(120&lt;=核心参数输入!$B$9*4,DT34-SUM(DT35:DT40)-DT42-DT43-DT45-DT24-季度投融资!DT45,0)</f>
        <v>0</v>
      </c>
    </row>
    <row r="48" spans="1:124" ht="21" customHeight="1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</row>
    <row r="49" spans="1:124" ht="21" customHeight="1">
      <c r="A49" s="8" t="s">
        <v>480</v>
      </c>
      <c r="B49" s="8" t="s">
        <v>39</v>
      </c>
      <c r="C49" s="8"/>
      <c r="D49" s="9">
        <f>IF(0&lt;=核心参数输入!$B$9*4,IF(核心参数输入!$B$96=2,季度投融资!D37*核心参数输入!$B$120,0),0)</f>
        <v>0</v>
      </c>
      <c r="E49" s="9">
        <f>IF(1&lt;=核心参数输入!$B$9*4,IF(核心参数输入!$B$96=2,季度投融资!E37*核心参数输入!$B$120,0),0)</f>
        <v>0</v>
      </c>
      <c r="F49" s="9">
        <f>IF(2&lt;=核心参数输入!$B$9*4,IF(核心参数输入!$B$96=2,季度投融资!F37*核心参数输入!$B$120,0),0)</f>
        <v>0</v>
      </c>
      <c r="G49" s="9">
        <f>IF(3&lt;=核心参数输入!$B$9*4,IF(核心参数输入!$B$96=2,季度投融资!G37*核心参数输入!$B$120,0),0)</f>
        <v>0</v>
      </c>
      <c r="H49" s="9">
        <f>IF(4&lt;=核心参数输入!$B$9*4,IF(核心参数输入!$B$96=2,季度投融资!H37*核心参数输入!$B$120,0),0)</f>
        <v>0</v>
      </c>
      <c r="I49" s="9">
        <f>IF(5&lt;=核心参数输入!$B$9*4,IF(核心参数输入!$B$96=2,季度投融资!I37*核心参数输入!$B$120,0),0)</f>
        <v>0</v>
      </c>
      <c r="J49" s="9">
        <f>IF(6&lt;=核心参数输入!$B$9*4,IF(核心参数输入!$B$96=2,季度投融资!J37*核心参数输入!$B$120,0),0)</f>
        <v>0</v>
      </c>
      <c r="K49" s="9">
        <f>IF(7&lt;=核心参数输入!$B$9*4,IF(核心参数输入!$B$96=2,季度投融资!K37*核心参数输入!$B$120,0),0)</f>
        <v>0</v>
      </c>
      <c r="L49" s="9">
        <f>IF(8&lt;=核心参数输入!$B$9*4,IF(核心参数输入!$B$96=2,季度投融资!L37*核心参数输入!$B$120,0),0)</f>
        <v>0</v>
      </c>
      <c r="M49" s="9">
        <f>IF(9&lt;=核心参数输入!$B$9*4,IF(核心参数输入!$B$96=2,季度投融资!M37*核心参数输入!$B$120,0),0)</f>
        <v>0</v>
      </c>
      <c r="N49" s="9">
        <f>IF(10&lt;=核心参数输入!$B$9*4,IF(核心参数输入!$B$96=2,季度投融资!N37*核心参数输入!$B$120,0),0)</f>
        <v>0</v>
      </c>
      <c r="O49" s="9">
        <f>IF(11&lt;=核心参数输入!$B$9*4,IF(核心参数输入!$B$96=2,季度投融资!O37*核心参数输入!$B$120,0),0)</f>
        <v>0</v>
      </c>
      <c r="P49" s="9">
        <f>IF(12&lt;=核心参数输入!$B$9*4,IF(核心参数输入!$B$96=2,季度投融资!P37*核心参数输入!$B$120,0),0)</f>
        <v>0</v>
      </c>
      <c r="Q49" s="9">
        <f>IF(13&lt;=核心参数输入!$B$9*4,IF(核心参数输入!$B$96=2,季度投融资!Q37*核心参数输入!$B$120,0),0)</f>
        <v>0</v>
      </c>
      <c r="R49" s="9">
        <f>IF(14&lt;=核心参数输入!$B$9*4,IF(核心参数输入!$B$96=2,季度投融资!R37*核心参数输入!$B$120,0),0)</f>
        <v>0</v>
      </c>
      <c r="S49" s="9">
        <f>IF(15&lt;=核心参数输入!$B$9*4,IF(核心参数输入!$B$96=2,季度投融资!S37*核心参数输入!$B$120,0),0)</f>
        <v>0</v>
      </c>
      <c r="T49" s="9">
        <f>IF(16&lt;=核心参数输入!$B$9*4,IF(核心参数输入!$B$96=2,季度投融资!T37*核心参数输入!$B$120,0),0)</f>
        <v>0</v>
      </c>
      <c r="U49" s="9">
        <f>IF(17&lt;=核心参数输入!$B$9*4,IF(核心参数输入!$B$96=2,季度投融资!U37*核心参数输入!$B$120,0),0)</f>
        <v>0</v>
      </c>
      <c r="V49" s="9">
        <f>IF(18&lt;=核心参数输入!$B$9*4,IF(核心参数输入!$B$96=2,季度投融资!V37*核心参数输入!$B$120,0),0)</f>
        <v>0</v>
      </c>
      <c r="W49" s="9">
        <f>IF(19&lt;=核心参数输入!$B$9*4,IF(核心参数输入!$B$96=2,季度投融资!W37*核心参数输入!$B$120,0),0)</f>
        <v>0</v>
      </c>
      <c r="X49" s="9">
        <f>IF(20&lt;=核心参数输入!$B$9*4,IF(核心参数输入!$B$96=2,季度投融资!X37*核心参数输入!$B$120,0),0)</f>
        <v>0</v>
      </c>
      <c r="Y49" s="9">
        <f>IF(21&lt;=核心参数输入!$B$9*4,IF(核心参数输入!$B$96=2,季度投融资!Y37*核心参数输入!$B$120,0),0)</f>
        <v>0</v>
      </c>
      <c r="Z49" s="9">
        <f>IF(22&lt;=核心参数输入!$B$9*4,IF(核心参数输入!$B$96=2,季度投融资!Z37*核心参数输入!$B$120,0),0)</f>
        <v>0</v>
      </c>
      <c r="AA49" s="9">
        <f>IF(23&lt;=核心参数输入!$B$9*4,IF(核心参数输入!$B$96=2,季度投融资!AA37*核心参数输入!$B$120,0),0)</f>
        <v>0</v>
      </c>
      <c r="AB49" s="9">
        <f>IF(24&lt;=核心参数输入!$B$9*4,IF(核心参数输入!$B$96=2,季度投融资!AB37*核心参数输入!$B$120,0),0)</f>
        <v>0</v>
      </c>
      <c r="AC49" s="9">
        <f>IF(25&lt;=核心参数输入!$B$9*4,IF(核心参数输入!$B$96=2,季度投融资!AC37*核心参数输入!$B$120,0),0)</f>
        <v>0</v>
      </c>
      <c r="AD49" s="9">
        <f>IF(26&lt;=核心参数输入!$B$9*4,IF(核心参数输入!$B$96=2,季度投融资!AD37*核心参数输入!$B$120,0),0)</f>
        <v>0</v>
      </c>
      <c r="AE49" s="9">
        <f>IF(27&lt;=核心参数输入!$B$9*4,IF(核心参数输入!$B$96=2,季度投融资!AE37*核心参数输入!$B$120,0),0)</f>
        <v>0</v>
      </c>
      <c r="AF49" s="9">
        <f>IF(28&lt;=核心参数输入!$B$9*4,IF(核心参数输入!$B$96=2,季度投融资!AF37*核心参数输入!$B$120,0),0)</f>
        <v>0</v>
      </c>
      <c r="AG49" s="9">
        <f>IF(29&lt;=核心参数输入!$B$9*4,IF(核心参数输入!$B$96=2,季度投融资!AG37*核心参数输入!$B$120,0),0)</f>
        <v>0</v>
      </c>
      <c r="AH49" s="9">
        <f>IF(30&lt;=核心参数输入!$B$9*4,IF(核心参数输入!$B$96=2,季度投融资!AH37*核心参数输入!$B$120,0),0)</f>
        <v>0</v>
      </c>
      <c r="AI49" s="9">
        <f>IF(31&lt;=核心参数输入!$B$9*4,IF(核心参数输入!$B$96=2,季度投融资!AI37*核心参数输入!$B$120,0),0)</f>
        <v>0</v>
      </c>
      <c r="AJ49" s="9">
        <f>IF(32&lt;=核心参数输入!$B$9*4,IF(核心参数输入!$B$96=2,季度投融资!AJ37*核心参数输入!$B$120,0),0)</f>
        <v>0</v>
      </c>
      <c r="AK49" s="9">
        <f>IF(33&lt;=核心参数输入!$B$9*4,IF(核心参数输入!$B$96=2,季度投融资!AK37*核心参数输入!$B$120,0),0)</f>
        <v>0</v>
      </c>
      <c r="AL49" s="9">
        <f>IF(34&lt;=核心参数输入!$B$9*4,IF(核心参数输入!$B$96=2,季度投融资!AL37*核心参数输入!$B$120,0),0)</f>
        <v>0</v>
      </c>
      <c r="AM49" s="9">
        <f>IF(35&lt;=核心参数输入!$B$9*4,IF(核心参数输入!$B$96=2,季度投融资!AM37*核心参数输入!$B$120,0),0)</f>
        <v>0</v>
      </c>
      <c r="AN49" s="9">
        <f>IF(36&lt;=核心参数输入!$B$9*4,IF(核心参数输入!$B$96=2,季度投融资!AN37*核心参数输入!$B$120,0),0)</f>
        <v>0</v>
      </c>
      <c r="AO49" s="9">
        <f>IF(37&lt;=核心参数输入!$B$9*4,IF(核心参数输入!$B$96=2,季度投融资!AO37*核心参数输入!$B$120,0),0)</f>
        <v>0</v>
      </c>
      <c r="AP49" s="9">
        <f>IF(38&lt;=核心参数输入!$B$9*4,IF(核心参数输入!$B$96=2,季度投融资!AP37*核心参数输入!$B$120,0),0)</f>
        <v>0</v>
      </c>
      <c r="AQ49" s="9">
        <f>IF(39&lt;=核心参数输入!$B$9*4,IF(核心参数输入!$B$96=2,季度投融资!AQ37*核心参数输入!$B$120,0),0)</f>
        <v>0</v>
      </c>
      <c r="AR49" s="9">
        <f>IF(40&lt;=核心参数输入!$B$9*4,IF(核心参数输入!$B$96=2,季度投融资!AR37*核心参数输入!$B$120,0),0)</f>
        <v>0</v>
      </c>
      <c r="AS49" s="9">
        <f>IF(41&lt;=核心参数输入!$B$9*4,IF(核心参数输入!$B$96=2,季度投融资!AS37*核心参数输入!$B$120,0),0)</f>
        <v>0</v>
      </c>
      <c r="AT49" s="9">
        <f>IF(42&lt;=核心参数输入!$B$9*4,IF(核心参数输入!$B$96=2,季度投融资!AT37*核心参数输入!$B$120,0),0)</f>
        <v>0</v>
      </c>
      <c r="AU49" s="9">
        <f>IF(43&lt;=核心参数输入!$B$9*4,IF(核心参数输入!$B$96=2,季度投融资!AU37*核心参数输入!$B$120,0),0)</f>
        <v>0</v>
      </c>
      <c r="AV49" s="9">
        <f>IF(44&lt;=核心参数输入!$B$9*4,IF(核心参数输入!$B$96=2,季度投融资!AV37*核心参数输入!$B$120,0),0)</f>
        <v>0</v>
      </c>
      <c r="AW49" s="9">
        <f>IF(45&lt;=核心参数输入!$B$9*4,IF(核心参数输入!$B$96=2,季度投融资!AW37*核心参数输入!$B$120,0),0)</f>
        <v>0</v>
      </c>
      <c r="AX49" s="9">
        <f>IF(46&lt;=核心参数输入!$B$9*4,IF(核心参数输入!$B$96=2,季度投融资!AX37*核心参数输入!$B$120,0),0)</f>
        <v>0</v>
      </c>
      <c r="AY49" s="9">
        <f>IF(47&lt;=核心参数输入!$B$9*4,IF(核心参数输入!$B$96=2,季度投融资!AY37*核心参数输入!$B$120,0),0)</f>
        <v>0</v>
      </c>
      <c r="AZ49" s="9">
        <f>IF(48&lt;=核心参数输入!$B$9*4,IF(核心参数输入!$B$96=2,季度投融资!AZ37*核心参数输入!$B$120,0),0)</f>
        <v>0</v>
      </c>
      <c r="BA49" s="9">
        <f>IF(49&lt;=核心参数输入!$B$9*4,IF(核心参数输入!$B$96=2,季度投融资!BA37*核心参数输入!$B$120,0),0)</f>
        <v>0</v>
      </c>
      <c r="BB49" s="9">
        <f>IF(50&lt;=核心参数输入!$B$9*4,IF(核心参数输入!$B$96=2,季度投融资!BB37*核心参数输入!$B$120,0),0)</f>
        <v>0</v>
      </c>
      <c r="BC49" s="9">
        <f>IF(51&lt;=核心参数输入!$B$9*4,IF(核心参数输入!$B$96=2,季度投融资!BC37*核心参数输入!$B$120,0),0)</f>
        <v>0</v>
      </c>
      <c r="BD49" s="9">
        <f>IF(52&lt;=核心参数输入!$B$9*4,IF(核心参数输入!$B$96=2,季度投融资!BD37*核心参数输入!$B$120,0),0)</f>
        <v>0</v>
      </c>
      <c r="BE49" s="9">
        <f>IF(53&lt;=核心参数输入!$B$9*4,IF(核心参数输入!$B$96=2,季度投融资!BE37*核心参数输入!$B$120,0),0)</f>
        <v>0</v>
      </c>
      <c r="BF49" s="9">
        <f>IF(54&lt;=核心参数输入!$B$9*4,IF(核心参数输入!$B$96=2,季度投融资!BF37*核心参数输入!$B$120,0),0)</f>
        <v>0</v>
      </c>
      <c r="BG49" s="9">
        <f>IF(55&lt;=核心参数输入!$B$9*4,IF(核心参数输入!$B$96=2,季度投融资!BG37*核心参数输入!$B$120,0),0)</f>
        <v>0</v>
      </c>
      <c r="BH49" s="9">
        <f>IF(56&lt;=核心参数输入!$B$9*4,IF(核心参数输入!$B$96=2,季度投融资!BH37*核心参数输入!$B$120,0),0)</f>
        <v>0</v>
      </c>
      <c r="BI49" s="9">
        <f>IF(57&lt;=核心参数输入!$B$9*4,IF(核心参数输入!$B$96=2,季度投融资!BI37*核心参数输入!$B$120,0),0)</f>
        <v>0</v>
      </c>
      <c r="BJ49" s="9">
        <f>IF(58&lt;=核心参数输入!$B$9*4,IF(核心参数输入!$B$96=2,季度投融资!BJ37*核心参数输入!$B$120,0),0)</f>
        <v>0</v>
      </c>
      <c r="BK49" s="9">
        <f>IF(59&lt;=核心参数输入!$B$9*4,IF(核心参数输入!$B$96=2,季度投融资!BK37*核心参数输入!$B$120,0),0)</f>
        <v>0</v>
      </c>
      <c r="BL49" s="9">
        <f>IF(60&lt;=核心参数输入!$B$9*4,IF(核心参数输入!$B$96=2,季度投融资!BL37*核心参数输入!$B$120,0),0)</f>
        <v>0</v>
      </c>
      <c r="BM49" s="9">
        <f>IF(61&lt;=核心参数输入!$B$9*4,IF(核心参数输入!$B$96=2,季度投融资!BM37*核心参数输入!$B$120,0),0)</f>
        <v>0</v>
      </c>
      <c r="BN49" s="9">
        <f>IF(62&lt;=核心参数输入!$B$9*4,IF(核心参数输入!$B$96=2,季度投融资!BN37*核心参数输入!$B$120,0),0)</f>
        <v>0</v>
      </c>
      <c r="BO49" s="9">
        <f>IF(63&lt;=核心参数输入!$B$9*4,IF(核心参数输入!$B$96=2,季度投融资!BO37*核心参数输入!$B$120,0),0)</f>
        <v>0</v>
      </c>
      <c r="BP49" s="9">
        <f>IF(64&lt;=核心参数输入!$B$9*4,IF(核心参数输入!$B$96=2,季度投融资!BP37*核心参数输入!$B$120,0),0)</f>
        <v>0</v>
      </c>
      <c r="BQ49" s="9">
        <f>IF(65&lt;=核心参数输入!$B$9*4,IF(核心参数输入!$B$96=2,季度投融资!BQ37*核心参数输入!$B$120,0),0)</f>
        <v>0</v>
      </c>
      <c r="BR49" s="9">
        <f>IF(66&lt;=核心参数输入!$B$9*4,IF(核心参数输入!$B$96=2,季度投融资!BR37*核心参数输入!$B$120,0),0)</f>
        <v>0</v>
      </c>
      <c r="BS49" s="9">
        <f>IF(67&lt;=核心参数输入!$B$9*4,IF(核心参数输入!$B$96=2,季度投融资!BS37*核心参数输入!$B$120,0),0)</f>
        <v>0</v>
      </c>
      <c r="BT49" s="9">
        <f>IF(68&lt;=核心参数输入!$B$9*4,IF(核心参数输入!$B$96=2,季度投融资!BT37*核心参数输入!$B$120,0),0)</f>
        <v>0</v>
      </c>
      <c r="BU49" s="9">
        <f>IF(69&lt;=核心参数输入!$B$9*4,IF(核心参数输入!$B$96=2,季度投融资!BU37*核心参数输入!$B$120,0),0)</f>
        <v>0</v>
      </c>
      <c r="BV49" s="9">
        <f>IF(70&lt;=核心参数输入!$B$9*4,IF(核心参数输入!$B$96=2,季度投融资!BV37*核心参数输入!$B$120,0),0)</f>
        <v>0</v>
      </c>
      <c r="BW49" s="9">
        <f>IF(71&lt;=核心参数输入!$B$9*4,IF(核心参数输入!$B$96=2,季度投融资!BW37*核心参数输入!$B$120,0),0)</f>
        <v>0</v>
      </c>
      <c r="BX49" s="9">
        <f>IF(72&lt;=核心参数输入!$B$9*4,IF(核心参数输入!$B$96=2,季度投融资!BX37*核心参数输入!$B$120,0),0)</f>
        <v>0</v>
      </c>
      <c r="BY49" s="9">
        <f>IF(73&lt;=核心参数输入!$B$9*4,IF(核心参数输入!$B$96=2,季度投融资!BY37*核心参数输入!$B$120,0),0)</f>
        <v>0</v>
      </c>
      <c r="BZ49" s="9">
        <f>IF(74&lt;=核心参数输入!$B$9*4,IF(核心参数输入!$B$96=2,季度投融资!BZ37*核心参数输入!$B$120,0),0)</f>
        <v>0</v>
      </c>
      <c r="CA49" s="9">
        <f>IF(75&lt;=核心参数输入!$B$9*4,IF(核心参数输入!$B$96=2,季度投融资!CA37*核心参数输入!$B$120,0),0)</f>
        <v>0</v>
      </c>
      <c r="CB49" s="9">
        <f>IF(76&lt;=核心参数输入!$B$9*4,IF(核心参数输入!$B$96=2,季度投融资!CB37*核心参数输入!$B$120,0),0)</f>
        <v>0</v>
      </c>
      <c r="CC49" s="9">
        <f>IF(77&lt;=核心参数输入!$B$9*4,IF(核心参数输入!$B$96=2,季度投融资!CC37*核心参数输入!$B$120,0),0)</f>
        <v>0</v>
      </c>
      <c r="CD49" s="9">
        <f>IF(78&lt;=核心参数输入!$B$9*4,IF(核心参数输入!$B$96=2,季度投融资!CD37*核心参数输入!$B$120,0),0)</f>
        <v>0</v>
      </c>
      <c r="CE49" s="9">
        <f>IF(79&lt;=核心参数输入!$B$9*4,IF(核心参数输入!$B$96=2,季度投融资!CE37*核心参数输入!$B$120,0),0)</f>
        <v>0</v>
      </c>
      <c r="CF49" s="9">
        <f>IF(80&lt;=核心参数输入!$B$9*4,IF(核心参数输入!$B$96=2,季度投融资!CF37*核心参数输入!$B$120,0),0)</f>
        <v>0</v>
      </c>
      <c r="CG49" s="9">
        <f>IF(81&lt;=核心参数输入!$B$9*4,IF(核心参数输入!$B$96=2,季度投融资!CG37*核心参数输入!$B$120,0),0)</f>
        <v>0</v>
      </c>
      <c r="CH49" s="9">
        <f>IF(82&lt;=核心参数输入!$B$9*4,IF(核心参数输入!$B$96=2,季度投融资!CH37*核心参数输入!$B$120,0),0)</f>
        <v>0</v>
      </c>
      <c r="CI49" s="9">
        <f>IF(83&lt;=核心参数输入!$B$9*4,IF(核心参数输入!$B$96=2,季度投融资!CI37*核心参数输入!$B$120,0),0)</f>
        <v>0</v>
      </c>
      <c r="CJ49" s="9">
        <f>IF(84&lt;=核心参数输入!$B$9*4,IF(核心参数输入!$B$96=2,季度投融资!CJ37*核心参数输入!$B$120,0),0)</f>
        <v>0</v>
      </c>
      <c r="CK49" s="9">
        <f>IF(85&lt;=核心参数输入!$B$9*4,IF(核心参数输入!$B$96=2,季度投融资!CK37*核心参数输入!$B$120,0),0)</f>
        <v>0</v>
      </c>
      <c r="CL49" s="9">
        <f>IF(86&lt;=核心参数输入!$B$9*4,IF(核心参数输入!$B$96=2,季度投融资!CL37*核心参数输入!$B$120,0),0)</f>
        <v>0</v>
      </c>
      <c r="CM49" s="9">
        <f>IF(87&lt;=核心参数输入!$B$9*4,IF(核心参数输入!$B$96=2,季度投融资!CM37*核心参数输入!$B$120,0),0)</f>
        <v>0</v>
      </c>
      <c r="CN49" s="9">
        <f>IF(88&lt;=核心参数输入!$B$9*4,IF(核心参数输入!$B$96=2,季度投融资!CN37*核心参数输入!$B$120,0),0)</f>
        <v>0</v>
      </c>
      <c r="CO49" s="9">
        <f>IF(89&lt;=核心参数输入!$B$9*4,IF(核心参数输入!$B$96=2,季度投融资!CO37*核心参数输入!$B$120,0),0)</f>
        <v>0</v>
      </c>
      <c r="CP49" s="9">
        <f>IF(90&lt;=核心参数输入!$B$9*4,IF(核心参数输入!$B$96=2,季度投融资!CP37*核心参数输入!$B$120,0),0)</f>
        <v>0</v>
      </c>
      <c r="CQ49" s="9">
        <f>IF(91&lt;=核心参数输入!$B$9*4,IF(核心参数输入!$B$96=2,季度投融资!CQ37*核心参数输入!$B$120,0),0)</f>
        <v>0</v>
      </c>
      <c r="CR49" s="9">
        <f>IF(92&lt;=核心参数输入!$B$9*4,IF(核心参数输入!$B$96=2,季度投融资!CR37*核心参数输入!$B$120,0),0)</f>
        <v>0</v>
      </c>
      <c r="CS49" s="9">
        <f>IF(93&lt;=核心参数输入!$B$9*4,IF(核心参数输入!$B$96=2,季度投融资!CS37*核心参数输入!$B$120,0),0)</f>
        <v>0</v>
      </c>
      <c r="CT49" s="9">
        <f>IF(94&lt;=核心参数输入!$B$9*4,IF(核心参数输入!$B$96=2,季度投融资!CT37*核心参数输入!$B$120,0),0)</f>
        <v>0</v>
      </c>
      <c r="CU49" s="9">
        <f>IF(95&lt;=核心参数输入!$B$9*4,IF(核心参数输入!$B$96=2,季度投融资!CU37*核心参数输入!$B$120,0),0)</f>
        <v>0</v>
      </c>
      <c r="CV49" s="9">
        <f>IF(96&lt;=核心参数输入!$B$9*4,IF(核心参数输入!$B$96=2,季度投融资!CV37*核心参数输入!$B$120,0),0)</f>
        <v>0</v>
      </c>
      <c r="CW49" s="9">
        <f>IF(97&lt;=核心参数输入!$B$9*4,IF(核心参数输入!$B$96=2,季度投融资!CW37*核心参数输入!$B$120,0),0)</f>
        <v>0</v>
      </c>
      <c r="CX49" s="9">
        <f>IF(98&lt;=核心参数输入!$B$9*4,IF(核心参数输入!$B$96=2,季度投融资!CX37*核心参数输入!$B$120,0),0)</f>
        <v>0</v>
      </c>
      <c r="CY49" s="9">
        <f>IF(99&lt;=核心参数输入!$B$9*4,IF(核心参数输入!$B$96=2,季度投融资!CY37*核心参数输入!$B$120,0),0)</f>
        <v>0</v>
      </c>
      <c r="CZ49" s="9">
        <f>IF(100&lt;=核心参数输入!$B$9*4,IF(核心参数输入!$B$96=2,季度投融资!CZ37*核心参数输入!$B$120,0),0)</f>
        <v>0</v>
      </c>
      <c r="DA49" s="9">
        <f>IF(101&lt;=核心参数输入!$B$9*4,IF(核心参数输入!$B$96=2,季度投融资!DA37*核心参数输入!$B$120,0),0)</f>
        <v>0</v>
      </c>
      <c r="DB49" s="9">
        <f>IF(102&lt;=核心参数输入!$B$9*4,IF(核心参数输入!$B$96=2,季度投融资!DB37*核心参数输入!$B$120,0),0)</f>
        <v>0</v>
      </c>
      <c r="DC49" s="9">
        <f>IF(103&lt;=核心参数输入!$B$9*4,IF(核心参数输入!$B$96=2,季度投融资!DC37*核心参数输入!$B$120,0),0)</f>
        <v>0</v>
      </c>
      <c r="DD49" s="9">
        <f>IF(104&lt;=核心参数输入!$B$9*4,IF(核心参数输入!$B$96=2,季度投融资!DD37*核心参数输入!$B$120,0),0)</f>
        <v>0</v>
      </c>
      <c r="DE49" s="9">
        <f>IF(105&lt;=核心参数输入!$B$9*4,IF(核心参数输入!$B$96=2,季度投融资!DE37*核心参数输入!$B$120,0),0)</f>
        <v>0</v>
      </c>
      <c r="DF49" s="9">
        <f>IF(106&lt;=核心参数输入!$B$9*4,IF(核心参数输入!$B$96=2,季度投融资!DF37*核心参数输入!$B$120,0),0)</f>
        <v>0</v>
      </c>
      <c r="DG49" s="9">
        <f>IF(107&lt;=核心参数输入!$B$9*4,IF(核心参数输入!$B$96=2,季度投融资!DG37*核心参数输入!$B$120,0),0)</f>
        <v>0</v>
      </c>
      <c r="DH49" s="9">
        <f>IF(108&lt;=核心参数输入!$B$9*4,IF(核心参数输入!$B$96=2,季度投融资!DH37*核心参数输入!$B$120,0),0)</f>
        <v>0</v>
      </c>
      <c r="DI49" s="9">
        <f>IF(109&lt;=核心参数输入!$B$9*4,IF(核心参数输入!$B$96=2,季度投融资!DI37*核心参数输入!$B$120,0),0)</f>
        <v>0</v>
      </c>
      <c r="DJ49" s="9">
        <f>IF(110&lt;=核心参数输入!$B$9*4,IF(核心参数输入!$B$96=2,季度投融资!DJ37*核心参数输入!$B$120,0),0)</f>
        <v>0</v>
      </c>
      <c r="DK49" s="9">
        <f>IF(111&lt;=核心参数输入!$B$9*4,IF(核心参数输入!$B$96=2,季度投融资!DK37*核心参数输入!$B$120,0),0)</f>
        <v>0</v>
      </c>
      <c r="DL49" s="9">
        <f>IF(112&lt;=核心参数输入!$B$9*4,IF(核心参数输入!$B$96=2,季度投融资!DL37*核心参数输入!$B$120,0),0)</f>
        <v>0</v>
      </c>
      <c r="DM49" s="9">
        <f>IF(113&lt;=核心参数输入!$B$9*4,IF(核心参数输入!$B$96=2,季度投融资!DM37*核心参数输入!$B$120,0),0)</f>
        <v>0</v>
      </c>
      <c r="DN49" s="9">
        <f>IF(114&lt;=核心参数输入!$B$9*4,IF(核心参数输入!$B$96=2,季度投融资!DN37*核心参数输入!$B$120,0),0)</f>
        <v>0</v>
      </c>
      <c r="DO49" s="9">
        <f>IF(115&lt;=核心参数输入!$B$9*4,IF(核心参数输入!$B$96=2,季度投融资!DO37*核心参数输入!$B$120,0),0)</f>
        <v>0</v>
      </c>
      <c r="DP49" s="9">
        <f>IF(116&lt;=核心参数输入!$B$9*4,IF(核心参数输入!$B$96=2,季度投融资!DP37*核心参数输入!$B$120,0),0)</f>
        <v>0</v>
      </c>
      <c r="DQ49" s="9">
        <f>IF(117&lt;=核心参数输入!$B$9*4,IF(核心参数输入!$B$96=2,季度投融资!DQ37*核心参数输入!$B$120,0),0)</f>
        <v>0</v>
      </c>
      <c r="DR49" s="9">
        <f>IF(118&lt;=核心参数输入!$B$9*4,IF(核心参数输入!$B$96=2,季度投融资!DR37*核心参数输入!$B$120,0),0)</f>
        <v>0</v>
      </c>
      <c r="DS49" s="9">
        <f>IF(119&lt;=核心参数输入!$B$9*4,IF(核心参数输入!$B$96=2,季度投融资!DS37*核心参数输入!$B$120,0),0)</f>
        <v>0</v>
      </c>
      <c r="DT49" s="9">
        <f>IF(120&lt;=核心参数输入!$B$9*4,IF(核心参数输入!$B$96=2,季度投融资!DT37*核心参数输入!$B$120,0),0)</f>
        <v>0</v>
      </c>
    </row>
    <row r="50" spans="1:124" ht="21" customHeight="1">
      <c r="A50" s="8" t="s">
        <v>481</v>
      </c>
      <c r="B50" s="8" t="s">
        <v>39</v>
      </c>
      <c r="C50" s="8"/>
      <c r="D50" s="9">
        <f>IF(0&lt;=核心参数输入!$B$9*4,0,0)</f>
        <v>0</v>
      </c>
      <c r="E50" s="9">
        <f>IF(1&lt;=核心参数输入!$B$9*4,季度经营税费!D52,0)</f>
        <v>0</v>
      </c>
      <c r="F50" s="9">
        <f>IF(2&lt;=核心参数输入!$B$9*4,季度经营税费!E52,0)</f>
        <v>0</v>
      </c>
      <c r="G50" s="9">
        <f>IF(3&lt;=核心参数输入!$B$9*4,季度经营税费!F52,0)</f>
        <v>0</v>
      </c>
      <c r="H50" s="9">
        <f>IF(4&lt;=核心参数输入!$B$9*4,季度经营税费!G52,0)</f>
        <v>0</v>
      </c>
      <c r="I50" s="9">
        <f>IF(5&lt;=核心参数输入!$B$9*4,季度经营税费!H52,0)</f>
        <v>0</v>
      </c>
      <c r="J50" s="9">
        <f>IF(6&lt;=核心参数输入!$B$9*4,季度经营税费!I52,0)</f>
        <v>0</v>
      </c>
      <c r="K50" s="9">
        <f>IF(7&lt;=核心参数输入!$B$9*4,季度经营税费!J52,0)</f>
        <v>0</v>
      </c>
      <c r="L50" s="9">
        <f>IF(8&lt;=核心参数输入!$B$9*4,季度经营税费!K52,0)</f>
        <v>0</v>
      </c>
      <c r="M50" s="9">
        <f>IF(9&lt;=核心参数输入!$B$9*4,季度经营税费!L52,0)</f>
        <v>0</v>
      </c>
      <c r="N50" s="9">
        <f>IF(10&lt;=核心参数输入!$B$9*4,季度经营税费!M52,0)</f>
        <v>0</v>
      </c>
      <c r="O50" s="9">
        <f>IF(11&lt;=核心参数输入!$B$9*4,季度经营税费!N52,0)</f>
        <v>0</v>
      </c>
      <c r="P50" s="9">
        <f>IF(12&lt;=核心参数输入!$B$9*4,季度经营税费!O52,0)</f>
        <v>0</v>
      </c>
      <c r="Q50" s="9">
        <f>IF(13&lt;=核心参数输入!$B$9*4,季度经营税费!P52,0)</f>
        <v>0</v>
      </c>
      <c r="R50" s="9">
        <f>IF(14&lt;=核心参数输入!$B$9*4,季度经营税费!Q52,0)</f>
        <v>0</v>
      </c>
      <c r="S50" s="9">
        <f>IF(15&lt;=核心参数输入!$B$9*4,季度经营税费!R52,0)</f>
        <v>0</v>
      </c>
      <c r="T50" s="9">
        <f>IF(16&lt;=核心参数输入!$B$9*4,季度经营税费!S52,0)</f>
        <v>0</v>
      </c>
      <c r="U50" s="9">
        <f>IF(17&lt;=核心参数输入!$B$9*4,季度经营税费!T52,0)</f>
        <v>0</v>
      </c>
      <c r="V50" s="9">
        <f>IF(18&lt;=核心参数输入!$B$9*4,季度经营税费!U52,0)</f>
        <v>0</v>
      </c>
      <c r="W50" s="9">
        <f>IF(19&lt;=核心参数输入!$B$9*4,季度经营税费!V52,0)</f>
        <v>0</v>
      </c>
      <c r="X50" s="9">
        <f>IF(20&lt;=核心参数输入!$B$9*4,季度经营税费!W52,0)</f>
        <v>0</v>
      </c>
      <c r="Y50" s="9">
        <f>IF(21&lt;=核心参数输入!$B$9*4,季度经营税费!X52,0)</f>
        <v>0</v>
      </c>
      <c r="Z50" s="9">
        <f>IF(22&lt;=核心参数输入!$B$9*4,季度经营税费!Y52,0)</f>
        <v>0</v>
      </c>
      <c r="AA50" s="9">
        <f>IF(23&lt;=核心参数输入!$B$9*4,季度经营税费!Z52,0)</f>
        <v>0</v>
      </c>
      <c r="AB50" s="9">
        <f>IF(24&lt;=核心参数输入!$B$9*4,季度经营税费!AA52,0)</f>
        <v>0</v>
      </c>
      <c r="AC50" s="9">
        <f>IF(25&lt;=核心参数输入!$B$9*4,季度经营税费!AB52,0)</f>
        <v>0</v>
      </c>
      <c r="AD50" s="9">
        <f>IF(26&lt;=核心参数输入!$B$9*4,季度经营税费!AC52,0)</f>
        <v>0</v>
      </c>
      <c r="AE50" s="9">
        <f>IF(27&lt;=核心参数输入!$B$9*4,季度经营税费!AD52,0)</f>
        <v>0</v>
      </c>
      <c r="AF50" s="9">
        <f>IF(28&lt;=核心参数输入!$B$9*4,季度经营税费!AE52,0)</f>
        <v>0</v>
      </c>
      <c r="AG50" s="9">
        <f>IF(29&lt;=核心参数输入!$B$9*4,季度经营税费!AF52,0)</f>
        <v>0</v>
      </c>
      <c r="AH50" s="9">
        <f>IF(30&lt;=核心参数输入!$B$9*4,季度经营税费!AG52,0)</f>
        <v>0</v>
      </c>
      <c r="AI50" s="9">
        <f>IF(31&lt;=核心参数输入!$B$9*4,季度经营税费!AH52,0)</f>
        <v>0</v>
      </c>
      <c r="AJ50" s="9">
        <f>IF(32&lt;=核心参数输入!$B$9*4,季度经营税费!AI52,0)</f>
        <v>0</v>
      </c>
      <c r="AK50" s="9">
        <f>IF(33&lt;=核心参数输入!$B$9*4,季度经营税费!AJ52,0)</f>
        <v>0</v>
      </c>
      <c r="AL50" s="9">
        <f>IF(34&lt;=核心参数输入!$B$9*4,季度经营税费!AK52,0)</f>
        <v>0</v>
      </c>
      <c r="AM50" s="9">
        <f>IF(35&lt;=核心参数输入!$B$9*4,季度经营税费!AL52,0)</f>
        <v>0</v>
      </c>
      <c r="AN50" s="9">
        <f>IF(36&lt;=核心参数输入!$B$9*4,季度经营税费!AM52,0)</f>
        <v>0</v>
      </c>
      <c r="AO50" s="9">
        <f>IF(37&lt;=核心参数输入!$B$9*4,季度经营税费!AN52,0)</f>
        <v>0</v>
      </c>
      <c r="AP50" s="9">
        <f>IF(38&lt;=核心参数输入!$B$9*4,季度经营税费!AO52,0)</f>
        <v>0</v>
      </c>
      <c r="AQ50" s="9">
        <f>IF(39&lt;=核心参数输入!$B$9*4,季度经营税费!AP52,0)</f>
        <v>0</v>
      </c>
      <c r="AR50" s="9">
        <f>IF(40&lt;=核心参数输入!$B$9*4,季度经营税费!AQ52,0)</f>
        <v>0</v>
      </c>
      <c r="AS50" s="9">
        <f>IF(41&lt;=核心参数输入!$B$9*4,季度经营税费!AR52,0)</f>
        <v>0</v>
      </c>
      <c r="AT50" s="9">
        <f>IF(42&lt;=核心参数输入!$B$9*4,季度经营税费!AS52,0)</f>
        <v>0</v>
      </c>
      <c r="AU50" s="9">
        <f>IF(43&lt;=核心参数输入!$B$9*4,季度经营税费!AT52,0)</f>
        <v>0</v>
      </c>
      <c r="AV50" s="9">
        <f>IF(44&lt;=核心参数输入!$B$9*4,季度经营税费!AU52,0)</f>
        <v>0</v>
      </c>
      <c r="AW50" s="9">
        <f>IF(45&lt;=核心参数输入!$B$9*4,季度经营税费!AV52,0)</f>
        <v>0</v>
      </c>
      <c r="AX50" s="9">
        <f>IF(46&lt;=核心参数输入!$B$9*4,季度经营税费!AW52,0)</f>
        <v>0</v>
      </c>
      <c r="AY50" s="9">
        <f>IF(47&lt;=核心参数输入!$B$9*4,季度经营税费!AX52,0)</f>
        <v>0</v>
      </c>
      <c r="AZ50" s="9">
        <f>IF(48&lt;=核心参数输入!$B$9*4,季度经营税费!AY52,0)</f>
        <v>0</v>
      </c>
      <c r="BA50" s="9">
        <f>IF(49&lt;=核心参数输入!$B$9*4,季度经营税费!AZ52,0)</f>
        <v>0</v>
      </c>
      <c r="BB50" s="9">
        <f>IF(50&lt;=核心参数输入!$B$9*4,季度经营税费!BA52,0)</f>
        <v>0</v>
      </c>
      <c r="BC50" s="9">
        <f>IF(51&lt;=核心参数输入!$B$9*4,季度经营税费!BB52,0)</f>
        <v>0</v>
      </c>
      <c r="BD50" s="9">
        <f>IF(52&lt;=核心参数输入!$B$9*4,季度经营税费!BC52,0)</f>
        <v>0</v>
      </c>
      <c r="BE50" s="9">
        <f>IF(53&lt;=核心参数输入!$B$9*4,季度经营税费!BD52,0)</f>
        <v>0</v>
      </c>
      <c r="BF50" s="9">
        <f>IF(54&lt;=核心参数输入!$B$9*4,季度经营税费!BE52,0)</f>
        <v>0</v>
      </c>
      <c r="BG50" s="9">
        <f>IF(55&lt;=核心参数输入!$B$9*4,季度经营税费!BF52,0)</f>
        <v>0</v>
      </c>
      <c r="BH50" s="9">
        <f>IF(56&lt;=核心参数输入!$B$9*4,季度经营税费!BG52,0)</f>
        <v>0</v>
      </c>
      <c r="BI50" s="9">
        <f>IF(57&lt;=核心参数输入!$B$9*4,季度经营税费!BH52,0)</f>
        <v>0</v>
      </c>
      <c r="BJ50" s="9">
        <f>IF(58&lt;=核心参数输入!$B$9*4,季度经营税费!BI52,0)</f>
        <v>0</v>
      </c>
      <c r="BK50" s="9">
        <f>IF(59&lt;=核心参数输入!$B$9*4,季度经营税费!BJ52,0)</f>
        <v>0</v>
      </c>
      <c r="BL50" s="9">
        <f>IF(60&lt;=核心参数输入!$B$9*4,季度经营税费!BK52,0)</f>
        <v>0</v>
      </c>
      <c r="BM50" s="9">
        <f>IF(61&lt;=核心参数输入!$B$9*4,季度经营税费!BL52,0)</f>
        <v>0</v>
      </c>
      <c r="BN50" s="9">
        <f>IF(62&lt;=核心参数输入!$B$9*4,季度经营税费!BM52,0)</f>
        <v>0</v>
      </c>
      <c r="BO50" s="9">
        <f>IF(63&lt;=核心参数输入!$B$9*4,季度经营税费!BN52,0)</f>
        <v>0</v>
      </c>
      <c r="BP50" s="9">
        <f>IF(64&lt;=核心参数输入!$B$9*4,季度经营税费!BO52,0)</f>
        <v>0</v>
      </c>
      <c r="BQ50" s="9">
        <f>IF(65&lt;=核心参数输入!$B$9*4,季度经营税费!BP52,0)</f>
        <v>0</v>
      </c>
      <c r="BR50" s="9">
        <f>IF(66&lt;=核心参数输入!$B$9*4,季度经营税费!BQ52,0)</f>
        <v>0</v>
      </c>
      <c r="BS50" s="9">
        <f>IF(67&lt;=核心参数输入!$B$9*4,季度经营税费!BR52,0)</f>
        <v>0</v>
      </c>
      <c r="BT50" s="9">
        <f>IF(68&lt;=核心参数输入!$B$9*4,季度经营税费!BS52,0)</f>
        <v>0</v>
      </c>
      <c r="BU50" s="9">
        <f>IF(69&lt;=核心参数输入!$B$9*4,季度经营税费!BT52,0)</f>
        <v>0</v>
      </c>
      <c r="BV50" s="9">
        <f>IF(70&lt;=核心参数输入!$B$9*4,季度经营税费!BU52,0)</f>
        <v>0</v>
      </c>
      <c r="BW50" s="9">
        <f>IF(71&lt;=核心参数输入!$B$9*4,季度经营税费!BV52,0)</f>
        <v>0</v>
      </c>
      <c r="BX50" s="9">
        <f>IF(72&lt;=核心参数输入!$B$9*4,季度经营税费!BW52,0)</f>
        <v>0</v>
      </c>
      <c r="BY50" s="9">
        <f>IF(73&lt;=核心参数输入!$B$9*4,季度经营税费!BX52,0)</f>
        <v>0</v>
      </c>
      <c r="BZ50" s="9">
        <f>IF(74&lt;=核心参数输入!$B$9*4,季度经营税费!BY52,0)</f>
        <v>0</v>
      </c>
      <c r="CA50" s="9">
        <f>IF(75&lt;=核心参数输入!$B$9*4,季度经营税费!BZ52,0)</f>
        <v>0</v>
      </c>
      <c r="CB50" s="9">
        <f>IF(76&lt;=核心参数输入!$B$9*4,季度经营税费!CA52,0)</f>
        <v>0</v>
      </c>
      <c r="CC50" s="9">
        <f>IF(77&lt;=核心参数输入!$B$9*4,季度经营税费!CB52,0)</f>
        <v>0</v>
      </c>
      <c r="CD50" s="9">
        <f>IF(78&lt;=核心参数输入!$B$9*4,季度经营税费!CC52,0)</f>
        <v>0</v>
      </c>
      <c r="CE50" s="9">
        <f>IF(79&lt;=核心参数输入!$B$9*4,季度经营税费!CD52,0)</f>
        <v>0</v>
      </c>
      <c r="CF50" s="9">
        <f>IF(80&lt;=核心参数输入!$B$9*4,季度经营税费!CE52,0)</f>
        <v>0</v>
      </c>
      <c r="CG50" s="9">
        <f>IF(81&lt;=核心参数输入!$B$9*4,季度经营税费!CF52,0)</f>
        <v>0</v>
      </c>
      <c r="CH50" s="9">
        <f>IF(82&lt;=核心参数输入!$B$9*4,季度经营税费!CG52,0)</f>
        <v>0</v>
      </c>
      <c r="CI50" s="9">
        <f>IF(83&lt;=核心参数输入!$B$9*4,季度经营税费!CH52,0)</f>
        <v>0</v>
      </c>
      <c r="CJ50" s="9">
        <f>IF(84&lt;=核心参数输入!$B$9*4,季度经营税费!CI52,0)</f>
        <v>0</v>
      </c>
      <c r="CK50" s="9">
        <f>IF(85&lt;=核心参数输入!$B$9*4,季度经营税费!CJ52,0)</f>
        <v>0</v>
      </c>
      <c r="CL50" s="9">
        <f>IF(86&lt;=核心参数输入!$B$9*4,季度经营税费!CK52,0)</f>
        <v>0</v>
      </c>
      <c r="CM50" s="9">
        <f>IF(87&lt;=核心参数输入!$B$9*4,季度经营税费!CL52,0)</f>
        <v>0</v>
      </c>
      <c r="CN50" s="9">
        <f>IF(88&lt;=核心参数输入!$B$9*4,季度经营税费!CM52,0)</f>
        <v>0</v>
      </c>
      <c r="CO50" s="9">
        <f>IF(89&lt;=核心参数输入!$B$9*4,季度经营税费!CN52,0)</f>
        <v>0</v>
      </c>
      <c r="CP50" s="9">
        <f>IF(90&lt;=核心参数输入!$B$9*4,季度经营税费!CO52,0)</f>
        <v>0</v>
      </c>
      <c r="CQ50" s="9">
        <f>IF(91&lt;=核心参数输入!$B$9*4,季度经营税费!CP52,0)</f>
        <v>0</v>
      </c>
      <c r="CR50" s="9">
        <f>IF(92&lt;=核心参数输入!$B$9*4,季度经营税费!CQ52,0)</f>
        <v>0</v>
      </c>
      <c r="CS50" s="9">
        <f>IF(93&lt;=核心参数输入!$B$9*4,季度经营税费!CR52,0)</f>
        <v>0</v>
      </c>
      <c r="CT50" s="9">
        <f>IF(94&lt;=核心参数输入!$B$9*4,季度经营税费!CS52,0)</f>
        <v>0</v>
      </c>
      <c r="CU50" s="9">
        <f>IF(95&lt;=核心参数输入!$B$9*4,季度经营税费!CT52,0)</f>
        <v>0</v>
      </c>
      <c r="CV50" s="9">
        <f>IF(96&lt;=核心参数输入!$B$9*4,季度经营税费!CU52,0)</f>
        <v>0</v>
      </c>
      <c r="CW50" s="9">
        <f>IF(97&lt;=核心参数输入!$B$9*4,季度经营税费!CV52,0)</f>
        <v>0</v>
      </c>
      <c r="CX50" s="9">
        <f>IF(98&lt;=核心参数输入!$B$9*4,季度经营税费!CW52,0)</f>
        <v>0</v>
      </c>
      <c r="CY50" s="9">
        <f>IF(99&lt;=核心参数输入!$B$9*4,季度经营税费!CX52,0)</f>
        <v>0</v>
      </c>
      <c r="CZ50" s="9">
        <f>IF(100&lt;=核心参数输入!$B$9*4,季度经营税费!CY52,0)</f>
        <v>0</v>
      </c>
      <c r="DA50" s="9">
        <f>IF(101&lt;=核心参数输入!$B$9*4,季度经营税费!CZ52,0)</f>
        <v>0</v>
      </c>
      <c r="DB50" s="9">
        <f>IF(102&lt;=核心参数输入!$B$9*4,季度经营税费!DA52,0)</f>
        <v>0</v>
      </c>
      <c r="DC50" s="9">
        <f>IF(103&lt;=核心参数输入!$B$9*4,季度经营税费!DB52,0)</f>
        <v>0</v>
      </c>
      <c r="DD50" s="9">
        <f>IF(104&lt;=核心参数输入!$B$9*4,季度经营税费!DC52,0)</f>
        <v>0</v>
      </c>
      <c r="DE50" s="9">
        <f>IF(105&lt;=核心参数输入!$B$9*4,季度经营税费!DD52,0)</f>
        <v>0</v>
      </c>
      <c r="DF50" s="9">
        <f>IF(106&lt;=核心参数输入!$B$9*4,季度经营税费!DE52,0)</f>
        <v>0</v>
      </c>
      <c r="DG50" s="9">
        <f>IF(107&lt;=核心参数输入!$B$9*4,季度经营税费!DF52,0)</f>
        <v>0</v>
      </c>
      <c r="DH50" s="9">
        <f>IF(108&lt;=核心参数输入!$B$9*4,季度经营税费!DG52,0)</f>
        <v>0</v>
      </c>
      <c r="DI50" s="9">
        <f>IF(109&lt;=核心参数输入!$B$9*4,季度经营税费!DH52,0)</f>
        <v>0</v>
      </c>
      <c r="DJ50" s="9">
        <f>IF(110&lt;=核心参数输入!$B$9*4,季度经营税费!DI52,0)</f>
        <v>0</v>
      </c>
      <c r="DK50" s="9">
        <f>IF(111&lt;=核心参数输入!$B$9*4,季度经营税费!DJ52,0)</f>
        <v>0</v>
      </c>
      <c r="DL50" s="9">
        <f>IF(112&lt;=核心参数输入!$B$9*4,季度经营税费!DK52,0)</f>
        <v>0</v>
      </c>
      <c r="DM50" s="9">
        <f>IF(113&lt;=核心参数输入!$B$9*4,季度经营税费!DL52,0)</f>
        <v>0</v>
      </c>
      <c r="DN50" s="9">
        <f>IF(114&lt;=核心参数输入!$B$9*4,季度经营税费!DM52,0)</f>
        <v>0</v>
      </c>
      <c r="DO50" s="9">
        <f>IF(115&lt;=核心参数输入!$B$9*4,季度经营税费!DN52,0)</f>
        <v>0</v>
      </c>
      <c r="DP50" s="9">
        <f>IF(116&lt;=核心参数输入!$B$9*4,季度经营税费!DO52,0)</f>
        <v>0</v>
      </c>
      <c r="DQ50" s="9">
        <f>IF(117&lt;=核心参数输入!$B$9*4,季度经营税费!DP52,0)</f>
        <v>0</v>
      </c>
      <c r="DR50" s="9">
        <f>IF(118&lt;=核心参数输入!$B$9*4,季度经营税费!DQ52,0)</f>
        <v>0</v>
      </c>
      <c r="DS50" s="9">
        <f>IF(119&lt;=核心参数输入!$B$9*4,季度经营税费!DR52,0)</f>
        <v>0</v>
      </c>
      <c r="DT50" s="9">
        <f>IF(120&lt;=核心参数输入!$B$9*4,季度经营税费!DS52,0)</f>
        <v>0</v>
      </c>
    </row>
    <row r="51" spans="1:124" ht="21" customHeight="1">
      <c r="A51" s="8" t="s">
        <v>482</v>
      </c>
      <c r="B51" s="8" t="s">
        <v>39</v>
      </c>
      <c r="C51" s="8"/>
      <c r="D51" s="9">
        <f>IF(0&lt;=核心参数输入!$B$9*4,MAX(0,SUM(D29:D31)-D49-D50),0)</f>
        <v>0</v>
      </c>
      <c r="E51" s="9">
        <f>IF(1&lt;=核心参数输入!$B$9*4,MAX(0,SUM(E29:E31)-E49-E50),0)</f>
        <v>0</v>
      </c>
      <c r="F51" s="9">
        <f>IF(2&lt;=核心参数输入!$B$9*4,MAX(0,SUM(F29:F31)-F49-F50),0)</f>
        <v>0</v>
      </c>
      <c r="G51" s="9">
        <f>IF(3&lt;=核心参数输入!$B$9*4,MAX(0,SUM(G29:G31)-G49-G50),0)</f>
        <v>0</v>
      </c>
      <c r="H51" s="9">
        <f>IF(4&lt;=核心参数输入!$B$9*4,MAX(0,SUM(H29:H31)-H49-H50),0)</f>
        <v>0</v>
      </c>
      <c r="I51" s="9">
        <f>IF(5&lt;=核心参数输入!$B$9*4,MAX(0,SUM(I29:I31)-I49-I50),0)</f>
        <v>0</v>
      </c>
      <c r="J51" s="9">
        <f>IF(6&lt;=核心参数输入!$B$9*4,MAX(0,SUM(J29:J31)-J49-J50),0)</f>
        <v>0</v>
      </c>
      <c r="K51" s="9">
        <f>IF(7&lt;=核心参数输入!$B$9*4,MAX(0,SUM(K29:K31)-K49-K50),0)</f>
        <v>0</v>
      </c>
      <c r="L51" s="9">
        <f>IF(8&lt;=核心参数输入!$B$9*4,MAX(0,SUM(L29:L31)-L49-L50),0)</f>
        <v>0</v>
      </c>
      <c r="M51" s="9">
        <f>IF(9&lt;=核心参数输入!$B$9*4,MAX(0,SUM(M29:M31)-M49-M50),0)</f>
        <v>0</v>
      </c>
      <c r="N51" s="9">
        <f>IF(10&lt;=核心参数输入!$B$9*4,MAX(0,SUM(N29:N31)-N49-N50),0)</f>
        <v>0</v>
      </c>
      <c r="O51" s="9">
        <f>IF(11&lt;=核心参数输入!$B$9*4,MAX(0,SUM(O29:O31)-O49-O50),0)</f>
        <v>0</v>
      </c>
      <c r="P51" s="9">
        <f>IF(12&lt;=核心参数输入!$B$9*4,MAX(0,SUM(P29:P31)-P49-P50),0)</f>
        <v>0</v>
      </c>
      <c r="Q51" s="9">
        <f>IF(13&lt;=核心参数输入!$B$9*4,MAX(0,SUM(Q29:Q31)-Q49-Q50),0)</f>
        <v>0</v>
      </c>
      <c r="R51" s="9">
        <f>IF(14&lt;=核心参数输入!$B$9*4,MAX(0,SUM(R29:R31)-R49-R50),0)</f>
        <v>0</v>
      </c>
      <c r="S51" s="9">
        <f>IF(15&lt;=核心参数输入!$B$9*4,MAX(0,SUM(S29:S31)-S49-S50),0)</f>
        <v>0</v>
      </c>
      <c r="T51" s="9">
        <f>IF(16&lt;=核心参数输入!$B$9*4,MAX(0,SUM(T29:T31)-T49-T50),0)</f>
        <v>0</v>
      </c>
      <c r="U51" s="9">
        <f>IF(17&lt;=核心参数输入!$B$9*4,MAX(0,SUM(U29:U31)-U49-U50),0)</f>
        <v>0</v>
      </c>
      <c r="V51" s="9">
        <f>IF(18&lt;=核心参数输入!$B$9*4,MAX(0,SUM(V29:V31)-V49-V50),0)</f>
        <v>0</v>
      </c>
      <c r="W51" s="9">
        <f>IF(19&lt;=核心参数输入!$B$9*4,MAX(0,SUM(W29:W31)-W49-W50),0)</f>
        <v>0</v>
      </c>
      <c r="X51" s="9">
        <f>IF(20&lt;=核心参数输入!$B$9*4,MAX(0,SUM(X29:X31)-X49-X50),0)</f>
        <v>0</v>
      </c>
      <c r="Y51" s="9">
        <f>IF(21&lt;=核心参数输入!$B$9*4,MAX(0,SUM(Y29:Y31)-Y49-Y50),0)</f>
        <v>0</v>
      </c>
      <c r="Z51" s="9">
        <f>IF(22&lt;=核心参数输入!$B$9*4,MAX(0,SUM(Z29:Z31)-Z49-Z50),0)</f>
        <v>0</v>
      </c>
      <c r="AA51" s="9">
        <f>IF(23&lt;=核心参数输入!$B$9*4,MAX(0,SUM(AA29:AA31)-AA49-AA50),0)</f>
        <v>0</v>
      </c>
      <c r="AB51" s="9">
        <f>IF(24&lt;=核心参数输入!$B$9*4,MAX(0,SUM(AB29:AB31)-AB49-AB50),0)</f>
        <v>0</v>
      </c>
      <c r="AC51" s="9">
        <f>IF(25&lt;=核心参数输入!$B$9*4,MAX(0,SUM(AC29:AC31)-AC49-AC50),0)</f>
        <v>0</v>
      </c>
      <c r="AD51" s="9">
        <f>IF(26&lt;=核心参数输入!$B$9*4,MAX(0,SUM(AD29:AD31)-AD49-AD50),0)</f>
        <v>0</v>
      </c>
      <c r="AE51" s="9">
        <f>IF(27&lt;=核心参数输入!$B$9*4,MAX(0,SUM(AE29:AE31)-AE49-AE50),0)</f>
        <v>0</v>
      </c>
      <c r="AF51" s="9">
        <f>IF(28&lt;=核心参数输入!$B$9*4,MAX(0,SUM(AF29:AF31)-AF49-AF50),0)</f>
        <v>0</v>
      </c>
      <c r="AG51" s="9">
        <f>IF(29&lt;=核心参数输入!$B$9*4,MAX(0,SUM(AG29:AG31)-AG49-AG50),0)</f>
        <v>0</v>
      </c>
      <c r="AH51" s="9">
        <f>IF(30&lt;=核心参数输入!$B$9*4,MAX(0,SUM(AH29:AH31)-AH49-AH50),0)</f>
        <v>0</v>
      </c>
      <c r="AI51" s="9">
        <f>IF(31&lt;=核心参数输入!$B$9*4,MAX(0,SUM(AI29:AI31)-AI49-AI50),0)</f>
        <v>0</v>
      </c>
      <c r="AJ51" s="9">
        <f>IF(32&lt;=核心参数输入!$B$9*4,MAX(0,SUM(AJ29:AJ31)-AJ49-AJ50),0)</f>
        <v>0</v>
      </c>
      <c r="AK51" s="9">
        <f>IF(33&lt;=核心参数输入!$B$9*4,MAX(0,SUM(AK29:AK31)-AK49-AK50),0)</f>
        <v>0</v>
      </c>
      <c r="AL51" s="9">
        <f>IF(34&lt;=核心参数输入!$B$9*4,MAX(0,SUM(AL29:AL31)-AL49-AL50),0)</f>
        <v>0</v>
      </c>
      <c r="AM51" s="9">
        <f>IF(35&lt;=核心参数输入!$B$9*4,MAX(0,SUM(AM29:AM31)-AM49-AM50),0)</f>
        <v>0</v>
      </c>
      <c r="AN51" s="9">
        <f>IF(36&lt;=核心参数输入!$B$9*4,MAX(0,SUM(AN29:AN31)-AN49-AN50),0)</f>
        <v>0</v>
      </c>
      <c r="AO51" s="9">
        <f>IF(37&lt;=核心参数输入!$B$9*4,MAX(0,SUM(AO29:AO31)-AO49-AO50),0)</f>
        <v>0</v>
      </c>
      <c r="AP51" s="9">
        <f>IF(38&lt;=核心参数输入!$B$9*4,MAX(0,SUM(AP29:AP31)-AP49-AP50),0)</f>
        <v>0</v>
      </c>
      <c r="AQ51" s="9">
        <f>IF(39&lt;=核心参数输入!$B$9*4,MAX(0,SUM(AQ29:AQ31)-AQ49-AQ50),0)</f>
        <v>0</v>
      </c>
      <c r="AR51" s="9">
        <f>IF(40&lt;=核心参数输入!$B$9*4,MAX(0,SUM(AR29:AR31)-AR49-AR50),0)</f>
        <v>0</v>
      </c>
      <c r="AS51" s="9">
        <f>IF(41&lt;=核心参数输入!$B$9*4,MAX(0,SUM(AS29:AS31)-AS49-AS50),0)</f>
        <v>0</v>
      </c>
      <c r="AT51" s="9">
        <f>IF(42&lt;=核心参数输入!$B$9*4,MAX(0,SUM(AT29:AT31)-AT49-AT50),0)</f>
        <v>0</v>
      </c>
      <c r="AU51" s="9">
        <f>IF(43&lt;=核心参数输入!$B$9*4,MAX(0,SUM(AU29:AU31)-AU49-AU50),0)</f>
        <v>0</v>
      </c>
      <c r="AV51" s="9">
        <f>IF(44&lt;=核心参数输入!$B$9*4,MAX(0,SUM(AV29:AV31)-AV49-AV50),0)</f>
        <v>0</v>
      </c>
      <c r="AW51" s="9">
        <f>IF(45&lt;=核心参数输入!$B$9*4,MAX(0,SUM(AW29:AW31)-AW49-AW50),0)</f>
        <v>0</v>
      </c>
      <c r="AX51" s="9">
        <f>IF(46&lt;=核心参数输入!$B$9*4,MAX(0,SUM(AX29:AX31)-AX49-AX50),0)</f>
        <v>0</v>
      </c>
      <c r="AY51" s="9">
        <f>IF(47&lt;=核心参数输入!$B$9*4,MAX(0,SUM(AY29:AY31)-AY49-AY50),0)</f>
        <v>0</v>
      </c>
      <c r="AZ51" s="9">
        <f>IF(48&lt;=核心参数输入!$B$9*4,MAX(0,SUM(AZ29:AZ31)-AZ49-AZ50),0)</f>
        <v>0</v>
      </c>
      <c r="BA51" s="9">
        <f>IF(49&lt;=核心参数输入!$B$9*4,MAX(0,SUM(BA29:BA31)-BA49-BA50),0)</f>
        <v>0</v>
      </c>
      <c r="BB51" s="9">
        <f>IF(50&lt;=核心参数输入!$B$9*4,MAX(0,SUM(BB29:BB31)-BB49-BB50),0)</f>
        <v>0</v>
      </c>
      <c r="BC51" s="9">
        <f>IF(51&lt;=核心参数输入!$B$9*4,MAX(0,SUM(BC29:BC31)-BC49-BC50),0)</f>
        <v>0</v>
      </c>
      <c r="BD51" s="9">
        <f>IF(52&lt;=核心参数输入!$B$9*4,MAX(0,SUM(BD29:BD31)-BD49-BD50),0)</f>
        <v>0</v>
      </c>
      <c r="BE51" s="9">
        <f>IF(53&lt;=核心参数输入!$B$9*4,MAX(0,SUM(BE29:BE31)-BE49-BE50),0)</f>
        <v>0</v>
      </c>
      <c r="BF51" s="9">
        <f>IF(54&lt;=核心参数输入!$B$9*4,MAX(0,SUM(BF29:BF31)-BF49-BF50),0)</f>
        <v>0</v>
      </c>
      <c r="BG51" s="9">
        <f>IF(55&lt;=核心参数输入!$B$9*4,MAX(0,SUM(BG29:BG31)-BG49-BG50),0)</f>
        <v>0</v>
      </c>
      <c r="BH51" s="9">
        <f>IF(56&lt;=核心参数输入!$B$9*4,MAX(0,SUM(BH29:BH31)-BH49-BH50),0)</f>
        <v>0</v>
      </c>
      <c r="BI51" s="9">
        <f>IF(57&lt;=核心参数输入!$B$9*4,MAX(0,SUM(BI29:BI31)-BI49-BI50),0)</f>
        <v>0</v>
      </c>
      <c r="BJ51" s="9">
        <f>IF(58&lt;=核心参数输入!$B$9*4,MAX(0,SUM(BJ29:BJ31)-BJ49-BJ50),0)</f>
        <v>0</v>
      </c>
      <c r="BK51" s="9">
        <f>IF(59&lt;=核心参数输入!$B$9*4,MAX(0,SUM(BK29:BK31)-BK49-BK50),0)</f>
        <v>0</v>
      </c>
      <c r="BL51" s="9">
        <f>IF(60&lt;=核心参数输入!$B$9*4,MAX(0,SUM(BL29:BL31)-BL49-BL50),0)</f>
        <v>0</v>
      </c>
      <c r="BM51" s="9">
        <f>IF(61&lt;=核心参数输入!$B$9*4,MAX(0,SUM(BM29:BM31)-BM49-BM50),0)</f>
        <v>0</v>
      </c>
      <c r="BN51" s="9">
        <f>IF(62&lt;=核心参数输入!$B$9*4,MAX(0,SUM(BN29:BN31)-BN49-BN50),0)</f>
        <v>0</v>
      </c>
      <c r="BO51" s="9">
        <f>IF(63&lt;=核心参数输入!$B$9*4,MAX(0,SUM(BO29:BO31)-BO49-BO50),0)</f>
        <v>0</v>
      </c>
      <c r="BP51" s="9">
        <f>IF(64&lt;=核心参数输入!$B$9*4,MAX(0,SUM(BP29:BP31)-BP49-BP50),0)</f>
        <v>0</v>
      </c>
      <c r="BQ51" s="9">
        <f>IF(65&lt;=核心参数输入!$B$9*4,MAX(0,SUM(BQ29:BQ31)-BQ49-BQ50),0)</f>
        <v>0</v>
      </c>
      <c r="BR51" s="9">
        <f>IF(66&lt;=核心参数输入!$B$9*4,MAX(0,SUM(BR29:BR31)-BR49-BR50),0)</f>
        <v>0</v>
      </c>
      <c r="BS51" s="9">
        <f>IF(67&lt;=核心参数输入!$B$9*4,MAX(0,SUM(BS29:BS31)-BS49-BS50),0)</f>
        <v>0</v>
      </c>
      <c r="BT51" s="9">
        <f>IF(68&lt;=核心参数输入!$B$9*4,MAX(0,SUM(BT29:BT31)-BT49-BT50),0)</f>
        <v>0</v>
      </c>
      <c r="BU51" s="9">
        <f>IF(69&lt;=核心参数输入!$B$9*4,MAX(0,SUM(BU29:BU31)-BU49-BU50),0)</f>
        <v>0</v>
      </c>
      <c r="BV51" s="9">
        <f>IF(70&lt;=核心参数输入!$B$9*4,MAX(0,SUM(BV29:BV31)-BV49-BV50),0)</f>
        <v>0</v>
      </c>
      <c r="BW51" s="9">
        <f>IF(71&lt;=核心参数输入!$B$9*4,MAX(0,SUM(BW29:BW31)-BW49-BW50),0)</f>
        <v>0</v>
      </c>
      <c r="BX51" s="9">
        <f>IF(72&lt;=核心参数输入!$B$9*4,MAX(0,SUM(BX29:BX31)-BX49-BX50),0)</f>
        <v>0</v>
      </c>
      <c r="BY51" s="9">
        <f>IF(73&lt;=核心参数输入!$B$9*4,MAX(0,SUM(BY29:BY31)-BY49-BY50),0)</f>
        <v>0</v>
      </c>
      <c r="BZ51" s="9">
        <f>IF(74&lt;=核心参数输入!$B$9*4,MAX(0,SUM(BZ29:BZ31)-BZ49-BZ50),0)</f>
        <v>0</v>
      </c>
      <c r="CA51" s="9">
        <f>IF(75&lt;=核心参数输入!$B$9*4,MAX(0,SUM(CA29:CA31)-CA49-CA50),0)</f>
        <v>0</v>
      </c>
      <c r="CB51" s="9">
        <f>IF(76&lt;=核心参数输入!$B$9*4,MAX(0,SUM(CB29:CB31)-CB49-CB50),0)</f>
        <v>0</v>
      </c>
      <c r="CC51" s="9">
        <f>IF(77&lt;=核心参数输入!$B$9*4,MAX(0,SUM(CC29:CC31)-CC49-CC50),0)</f>
        <v>0</v>
      </c>
      <c r="CD51" s="9">
        <f>IF(78&lt;=核心参数输入!$B$9*4,MAX(0,SUM(CD29:CD31)-CD49-CD50),0)</f>
        <v>0</v>
      </c>
      <c r="CE51" s="9">
        <f>IF(79&lt;=核心参数输入!$B$9*4,MAX(0,SUM(CE29:CE31)-CE49-CE50),0)</f>
        <v>0</v>
      </c>
      <c r="CF51" s="9">
        <f>IF(80&lt;=核心参数输入!$B$9*4,MAX(0,SUM(CF29:CF31)-CF49-CF50),0)</f>
        <v>0</v>
      </c>
      <c r="CG51" s="9">
        <f>IF(81&lt;=核心参数输入!$B$9*4,MAX(0,SUM(CG29:CG31)-CG49-CG50),0)</f>
        <v>0</v>
      </c>
      <c r="CH51" s="9">
        <f>IF(82&lt;=核心参数输入!$B$9*4,MAX(0,SUM(CH29:CH31)-CH49-CH50),0)</f>
        <v>0</v>
      </c>
      <c r="CI51" s="9">
        <f>IF(83&lt;=核心参数输入!$B$9*4,MAX(0,SUM(CI29:CI31)-CI49-CI50),0)</f>
        <v>0</v>
      </c>
      <c r="CJ51" s="9">
        <f>IF(84&lt;=核心参数输入!$B$9*4,MAX(0,SUM(CJ29:CJ31)-CJ49-CJ50),0)</f>
        <v>0</v>
      </c>
      <c r="CK51" s="9">
        <f>IF(85&lt;=核心参数输入!$B$9*4,MAX(0,SUM(CK29:CK31)-CK49-CK50),0)</f>
        <v>0</v>
      </c>
      <c r="CL51" s="9">
        <f>IF(86&lt;=核心参数输入!$B$9*4,MAX(0,SUM(CL29:CL31)-CL49-CL50),0)</f>
        <v>0</v>
      </c>
      <c r="CM51" s="9">
        <f>IF(87&lt;=核心参数输入!$B$9*4,MAX(0,SUM(CM29:CM31)-CM49-CM50),0)</f>
        <v>0</v>
      </c>
      <c r="CN51" s="9">
        <f>IF(88&lt;=核心参数输入!$B$9*4,MAX(0,SUM(CN29:CN31)-CN49-CN50),0)</f>
        <v>0</v>
      </c>
      <c r="CO51" s="9">
        <f>IF(89&lt;=核心参数输入!$B$9*4,MAX(0,SUM(CO29:CO31)-CO49-CO50),0)</f>
        <v>0</v>
      </c>
      <c r="CP51" s="9">
        <f>IF(90&lt;=核心参数输入!$B$9*4,MAX(0,SUM(CP29:CP31)-CP49-CP50),0)</f>
        <v>0</v>
      </c>
      <c r="CQ51" s="9">
        <f>IF(91&lt;=核心参数输入!$B$9*4,MAX(0,SUM(CQ29:CQ31)-CQ49-CQ50),0)</f>
        <v>0</v>
      </c>
      <c r="CR51" s="9">
        <f>IF(92&lt;=核心参数输入!$B$9*4,MAX(0,SUM(CR29:CR31)-CR49-CR50),0)</f>
        <v>0</v>
      </c>
      <c r="CS51" s="9">
        <f>IF(93&lt;=核心参数输入!$B$9*4,MAX(0,SUM(CS29:CS31)-CS49-CS50),0)</f>
        <v>0</v>
      </c>
      <c r="CT51" s="9">
        <f>IF(94&lt;=核心参数输入!$B$9*4,MAX(0,SUM(CT29:CT31)-CT49-CT50),0)</f>
        <v>0</v>
      </c>
      <c r="CU51" s="9">
        <f>IF(95&lt;=核心参数输入!$B$9*4,MAX(0,SUM(CU29:CU31)-CU49-CU50),0)</f>
        <v>0</v>
      </c>
      <c r="CV51" s="9">
        <f>IF(96&lt;=核心参数输入!$B$9*4,MAX(0,SUM(CV29:CV31)-CV49-CV50),0)</f>
        <v>0</v>
      </c>
      <c r="CW51" s="9">
        <f>IF(97&lt;=核心参数输入!$B$9*4,MAX(0,SUM(CW29:CW31)-CW49-CW50),0)</f>
        <v>0</v>
      </c>
      <c r="CX51" s="9">
        <f>IF(98&lt;=核心参数输入!$B$9*4,MAX(0,SUM(CX29:CX31)-CX49-CX50),0)</f>
        <v>0</v>
      </c>
      <c r="CY51" s="9">
        <f>IF(99&lt;=核心参数输入!$B$9*4,MAX(0,SUM(CY29:CY31)-CY49-CY50),0)</f>
        <v>0</v>
      </c>
      <c r="CZ51" s="9">
        <f>IF(100&lt;=核心参数输入!$B$9*4,MAX(0,SUM(CZ29:CZ31)-CZ49-CZ50),0)</f>
        <v>0</v>
      </c>
      <c r="DA51" s="9">
        <f>IF(101&lt;=核心参数输入!$B$9*4,MAX(0,SUM(DA29:DA31)-DA49-DA50),0)</f>
        <v>0</v>
      </c>
      <c r="DB51" s="9">
        <f>IF(102&lt;=核心参数输入!$B$9*4,MAX(0,SUM(DB29:DB31)-DB49-DB50),0)</f>
        <v>0</v>
      </c>
      <c r="DC51" s="9">
        <f>IF(103&lt;=核心参数输入!$B$9*4,MAX(0,SUM(DC29:DC31)-DC49-DC50),0)</f>
        <v>0</v>
      </c>
      <c r="DD51" s="9">
        <f>IF(104&lt;=核心参数输入!$B$9*4,MAX(0,SUM(DD29:DD31)-DD49-DD50),0)</f>
        <v>0</v>
      </c>
      <c r="DE51" s="9">
        <f>IF(105&lt;=核心参数输入!$B$9*4,MAX(0,SUM(DE29:DE31)-DE49-DE50),0)</f>
        <v>0</v>
      </c>
      <c r="DF51" s="9">
        <f>IF(106&lt;=核心参数输入!$B$9*4,MAX(0,SUM(DF29:DF31)-DF49-DF50),0)</f>
        <v>0</v>
      </c>
      <c r="DG51" s="9">
        <f>IF(107&lt;=核心参数输入!$B$9*4,MAX(0,SUM(DG29:DG31)-DG49-DG50),0)</f>
        <v>0</v>
      </c>
      <c r="DH51" s="9">
        <f>IF(108&lt;=核心参数输入!$B$9*4,MAX(0,SUM(DH29:DH31)-DH49-DH50),0)</f>
        <v>0</v>
      </c>
      <c r="DI51" s="9">
        <f>IF(109&lt;=核心参数输入!$B$9*4,MAX(0,SUM(DI29:DI31)-DI49-DI50),0)</f>
        <v>0</v>
      </c>
      <c r="DJ51" s="9">
        <f>IF(110&lt;=核心参数输入!$B$9*4,MAX(0,SUM(DJ29:DJ31)-DJ49-DJ50),0)</f>
        <v>0</v>
      </c>
      <c r="DK51" s="9">
        <f>IF(111&lt;=核心参数输入!$B$9*4,MAX(0,SUM(DK29:DK31)-DK49-DK50),0)</f>
        <v>0</v>
      </c>
      <c r="DL51" s="9">
        <f>IF(112&lt;=核心参数输入!$B$9*4,MAX(0,SUM(DL29:DL31)-DL49-DL50),0)</f>
        <v>0</v>
      </c>
      <c r="DM51" s="9">
        <f>IF(113&lt;=核心参数输入!$B$9*4,MAX(0,SUM(DM29:DM31)-DM49-DM50),0)</f>
        <v>0</v>
      </c>
      <c r="DN51" s="9">
        <f>IF(114&lt;=核心参数输入!$B$9*4,MAX(0,SUM(DN29:DN31)-DN49-DN50),0)</f>
        <v>0</v>
      </c>
      <c r="DO51" s="9">
        <f>IF(115&lt;=核心参数输入!$B$9*4,MAX(0,SUM(DO29:DO31)-DO49-DO50),0)</f>
        <v>0</v>
      </c>
      <c r="DP51" s="9">
        <f>IF(116&lt;=核心参数输入!$B$9*4,MAX(0,SUM(DP29:DP31)-DP49-DP50),0)</f>
        <v>0</v>
      </c>
      <c r="DQ51" s="9">
        <f>IF(117&lt;=核心参数输入!$B$9*4,MAX(0,SUM(DQ29:DQ31)-DQ49-DQ50),0)</f>
        <v>0</v>
      </c>
      <c r="DR51" s="9">
        <f>IF(118&lt;=核心参数输入!$B$9*4,MAX(0,SUM(DR29:DR31)-DR49-DR50),0)</f>
        <v>0</v>
      </c>
      <c r="DS51" s="9">
        <f>IF(119&lt;=核心参数输入!$B$9*4,MAX(0,SUM(DS29:DS31)-DS49-DS50),0)</f>
        <v>0</v>
      </c>
      <c r="DT51" s="9">
        <f>IF(120&lt;=核心参数输入!$B$9*4,MAX(0,SUM(DT29:DT31)-DT49-DT50),0)</f>
        <v>0</v>
      </c>
    </row>
    <row r="52" spans="1:124" ht="21" customHeight="1">
      <c r="A52" s="8" t="s">
        <v>483</v>
      </c>
      <c r="B52" s="8" t="s">
        <v>39</v>
      </c>
      <c r="C52" s="8"/>
      <c r="D52" s="9">
        <f>IF(0&lt;=核心参数输入!$B$9*4,MAX(0,D49+D50-SUM(D29:D31)),0)</f>
        <v>0</v>
      </c>
      <c r="E52" s="9">
        <f>IF(1&lt;=核心参数输入!$B$9*4,MAX(0,E49+E50-SUM(E29:E31)),0)</f>
        <v>0</v>
      </c>
      <c r="F52" s="9">
        <f>IF(2&lt;=核心参数输入!$B$9*4,MAX(0,F49+F50-SUM(F29:F31)),0)</f>
        <v>0</v>
      </c>
      <c r="G52" s="9">
        <f>IF(3&lt;=核心参数输入!$B$9*4,MAX(0,G49+G50-SUM(G29:G31)),0)</f>
        <v>0</v>
      </c>
      <c r="H52" s="9">
        <f>IF(4&lt;=核心参数输入!$B$9*4,MAX(0,H49+H50-SUM(H29:H31)),0)</f>
        <v>0</v>
      </c>
      <c r="I52" s="9">
        <f>IF(5&lt;=核心参数输入!$B$9*4,MAX(0,I49+I50-SUM(I29:I31)),0)</f>
        <v>0</v>
      </c>
      <c r="J52" s="9">
        <f>IF(6&lt;=核心参数输入!$B$9*4,MAX(0,J49+J50-SUM(J29:J31)),0)</f>
        <v>0</v>
      </c>
      <c r="K52" s="9">
        <f>IF(7&lt;=核心参数输入!$B$9*4,MAX(0,K49+K50-SUM(K29:K31)),0)</f>
        <v>0</v>
      </c>
      <c r="L52" s="9">
        <f>IF(8&lt;=核心参数输入!$B$9*4,MAX(0,L49+L50-SUM(L29:L31)),0)</f>
        <v>0</v>
      </c>
      <c r="M52" s="9">
        <f>IF(9&lt;=核心参数输入!$B$9*4,MAX(0,M49+M50-SUM(M29:M31)),0)</f>
        <v>0</v>
      </c>
      <c r="N52" s="9">
        <f>IF(10&lt;=核心参数输入!$B$9*4,MAX(0,N49+N50-SUM(N29:N31)),0)</f>
        <v>0</v>
      </c>
      <c r="O52" s="9">
        <f>IF(11&lt;=核心参数输入!$B$9*4,MAX(0,O49+O50-SUM(O29:O31)),0)</f>
        <v>0</v>
      </c>
      <c r="P52" s="9">
        <f>IF(12&lt;=核心参数输入!$B$9*4,MAX(0,P49+P50-SUM(P29:P31)),0)</f>
        <v>0</v>
      </c>
      <c r="Q52" s="9">
        <f>IF(13&lt;=核心参数输入!$B$9*4,MAX(0,Q49+Q50-SUM(Q29:Q31)),0)</f>
        <v>0</v>
      </c>
      <c r="R52" s="9">
        <f>IF(14&lt;=核心参数输入!$B$9*4,MAX(0,R49+R50-SUM(R29:R31)),0)</f>
        <v>0</v>
      </c>
      <c r="S52" s="9">
        <f>IF(15&lt;=核心参数输入!$B$9*4,MAX(0,S49+S50-SUM(S29:S31)),0)</f>
        <v>0</v>
      </c>
      <c r="T52" s="9">
        <f>IF(16&lt;=核心参数输入!$B$9*4,MAX(0,T49+T50-SUM(T29:T31)),0)</f>
        <v>0</v>
      </c>
      <c r="U52" s="9">
        <f>IF(17&lt;=核心参数输入!$B$9*4,MAX(0,U49+U50-SUM(U29:U31)),0)</f>
        <v>0</v>
      </c>
      <c r="V52" s="9">
        <f>IF(18&lt;=核心参数输入!$B$9*4,MAX(0,V49+V50-SUM(V29:V31)),0)</f>
        <v>0</v>
      </c>
      <c r="W52" s="9">
        <f>IF(19&lt;=核心参数输入!$B$9*4,MAX(0,W49+W50-SUM(W29:W31)),0)</f>
        <v>0</v>
      </c>
      <c r="X52" s="9">
        <f>IF(20&lt;=核心参数输入!$B$9*4,MAX(0,X49+X50-SUM(X29:X31)),0)</f>
        <v>0</v>
      </c>
      <c r="Y52" s="9">
        <f>IF(21&lt;=核心参数输入!$B$9*4,MAX(0,Y49+Y50-SUM(Y29:Y31)),0)</f>
        <v>0</v>
      </c>
      <c r="Z52" s="9">
        <f>IF(22&lt;=核心参数输入!$B$9*4,MAX(0,Z49+Z50-SUM(Z29:Z31)),0)</f>
        <v>0</v>
      </c>
      <c r="AA52" s="9">
        <f>IF(23&lt;=核心参数输入!$B$9*4,MAX(0,AA49+AA50-SUM(AA29:AA31)),0)</f>
        <v>0</v>
      </c>
      <c r="AB52" s="9">
        <f>IF(24&lt;=核心参数输入!$B$9*4,MAX(0,AB49+AB50-SUM(AB29:AB31)),0)</f>
        <v>0</v>
      </c>
      <c r="AC52" s="9">
        <f>IF(25&lt;=核心参数输入!$B$9*4,MAX(0,AC49+AC50-SUM(AC29:AC31)),0)</f>
        <v>0</v>
      </c>
      <c r="AD52" s="9">
        <f>IF(26&lt;=核心参数输入!$B$9*4,MAX(0,AD49+AD50-SUM(AD29:AD31)),0)</f>
        <v>0</v>
      </c>
      <c r="AE52" s="9">
        <f>IF(27&lt;=核心参数输入!$B$9*4,MAX(0,AE49+AE50-SUM(AE29:AE31)),0)</f>
        <v>0</v>
      </c>
      <c r="AF52" s="9">
        <f>IF(28&lt;=核心参数输入!$B$9*4,MAX(0,AF49+AF50-SUM(AF29:AF31)),0)</f>
        <v>0</v>
      </c>
      <c r="AG52" s="9">
        <f>IF(29&lt;=核心参数输入!$B$9*4,MAX(0,AG49+AG50-SUM(AG29:AG31)),0)</f>
        <v>0</v>
      </c>
      <c r="AH52" s="9">
        <f>IF(30&lt;=核心参数输入!$B$9*4,MAX(0,AH49+AH50-SUM(AH29:AH31)),0)</f>
        <v>0</v>
      </c>
      <c r="AI52" s="9">
        <f>IF(31&lt;=核心参数输入!$B$9*4,MAX(0,AI49+AI50-SUM(AI29:AI31)),0)</f>
        <v>0</v>
      </c>
      <c r="AJ52" s="9">
        <f>IF(32&lt;=核心参数输入!$B$9*4,MAX(0,AJ49+AJ50-SUM(AJ29:AJ31)),0)</f>
        <v>0</v>
      </c>
      <c r="AK52" s="9">
        <f>IF(33&lt;=核心参数输入!$B$9*4,MAX(0,AK49+AK50-SUM(AK29:AK31)),0)</f>
        <v>0</v>
      </c>
      <c r="AL52" s="9">
        <f>IF(34&lt;=核心参数输入!$B$9*4,MAX(0,AL49+AL50-SUM(AL29:AL31)),0)</f>
        <v>0</v>
      </c>
      <c r="AM52" s="9">
        <f>IF(35&lt;=核心参数输入!$B$9*4,MAX(0,AM49+AM50-SUM(AM29:AM31)),0)</f>
        <v>0</v>
      </c>
      <c r="AN52" s="9">
        <f>IF(36&lt;=核心参数输入!$B$9*4,MAX(0,AN49+AN50-SUM(AN29:AN31)),0)</f>
        <v>0</v>
      </c>
      <c r="AO52" s="9">
        <f>IF(37&lt;=核心参数输入!$B$9*4,MAX(0,AO49+AO50-SUM(AO29:AO31)),0)</f>
        <v>0</v>
      </c>
      <c r="AP52" s="9">
        <f>IF(38&lt;=核心参数输入!$B$9*4,MAX(0,AP49+AP50-SUM(AP29:AP31)),0)</f>
        <v>0</v>
      </c>
      <c r="AQ52" s="9">
        <f>IF(39&lt;=核心参数输入!$B$9*4,MAX(0,AQ49+AQ50-SUM(AQ29:AQ31)),0)</f>
        <v>0</v>
      </c>
      <c r="AR52" s="9">
        <f>IF(40&lt;=核心参数输入!$B$9*4,MAX(0,AR49+AR50-SUM(AR29:AR31)),0)</f>
        <v>0</v>
      </c>
      <c r="AS52" s="9">
        <f>IF(41&lt;=核心参数输入!$B$9*4,MAX(0,AS49+AS50-SUM(AS29:AS31)),0)</f>
        <v>0</v>
      </c>
      <c r="AT52" s="9">
        <f>IF(42&lt;=核心参数输入!$B$9*4,MAX(0,AT49+AT50-SUM(AT29:AT31)),0)</f>
        <v>0</v>
      </c>
      <c r="AU52" s="9">
        <f>IF(43&lt;=核心参数输入!$B$9*4,MAX(0,AU49+AU50-SUM(AU29:AU31)),0)</f>
        <v>0</v>
      </c>
      <c r="AV52" s="9">
        <f>IF(44&lt;=核心参数输入!$B$9*4,MAX(0,AV49+AV50-SUM(AV29:AV31)),0)</f>
        <v>0</v>
      </c>
      <c r="AW52" s="9">
        <f>IF(45&lt;=核心参数输入!$B$9*4,MAX(0,AW49+AW50-SUM(AW29:AW31)),0)</f>
        <v>0</v>
      </c>
      <c r="AX52" s="9">
        <f>IF(46&lt;=核心参数输入!$B$9*4,MAX(0,AX49+AX50-SUM(AX29:AX31)),0)</f>
        <v>0</v>
      </c>
      <c r="AY52" s="9">
        <f>IF(47&lt;=核心参数输入!$B$9*4,MAX(0,AY49+AY50-SUM(AY29:AY31)),0)</f>
        <v>0</v>
      </c>
      <c r="AZ52" s="9">
        <f>IF(48&lt;=核心参数输入!$B$9*4,MAX(0,AZ49+AZ50-SUM(AZ29:AZ31)),0)</f>
        <v>0</v>
      </c>
      <c r="BA52" s="9">
        <f>IF(49&lt;=核心参数输入!$B$9*4,MAX(0,BA49+BA50-SUM(BA29:BA31)),0)</f>
        <v>0</v>
      </c>
      <c r="BB52" s="9">
        <f>IF(50&lt;=核心参数输入!$B$9*4,MAX(0,BB49+BB50-SUM(BB29:BB31)),0)</f>
        <v>0</v>
      </c>
      <c r="BC52" s="9">
        <f>IF(51&lt;=核心参数输入!$B$9*4,MAX(0,BC49+BC50-SUM(BC29:BC31)),0)</f>
        <v>0</v>
      </c>
      <c r="BD52" s="9">
        <f>IF(52&lt;=核心参数输入!$B$9*4,MAX(0,BD49+BD50-SUM(BD29:BD31)),0)</f>
        <v>0</v>
      </c>
      <c r="BE52" s="9">
        <f>IF(53&lt;=核心参数输入!$B$9*4,MAX(0,BE49+BE50-SUM(BE29:BE31)),0)</f>
        <v>0</v>
      </c>
      <c r="BF52" s="9">
        <f>IF(54&lt;=核心参数输入!$B$9*4,MAX(0,BF49+BF50-SUM(BF29:BF31)),0)</f>
        <v>0</v>
      </c>
      <c r="BG52" s="9">
        <f>IF(55&lt;=核心参数输入!$B$9*4,MAX(0,BG49+BG50-SUM(BG29:BG31)),0)</f>
        <v>0</v>
      </c>
      <c r="BH52" s="9">
        <f>IF(56&lt;=核心参数输入!$B$9*4,MAX(0,BH49+BH50-SUM(BH29:BH31)),0)</f>
        <v>0</v>
      </c>
      <c r="BI52" s="9">
        <f>IF(57&lt;=核心参数输入!$B$9*4,MAX(0,BI49+BI50-SUM(BI29:BI31)),0)</f>
        <v>0</v>
      </c>
      <c r="BJ52" s="9">
        <f>IF(58&lt;=核心参数输入!$B$9*4,MAX(0,BJ49+BJ50-SUM(BJ29:BJ31)),0)</f>
        <v>0</v>
      </c>
      <c r="BK52" s="9">
        <f>IF(59&lt;=核心参数输入!$B$9*4,MAX(0,BK49+BK50-SUM(BK29:BK31)),0)</f>
        <v>0</v>
      </c>
      <c r="BL52" s="9">
        <f>IF(60&lt;=核心参数输入!$B$9*4,MAX(0,BL49+BL50-SUM(BL29:BL31)),0)</f>
        <v>0</v>
      </c>
      <c r="BM52" s="9">
        <f>IF(61&lt;=核心参数输入!$B$9*4,MAX(0,BM49+BM50-SUM(BM29:BM31)),0)</f>
        <v>0</v>
      </c>
      <c r="BN52" s="9">
        <f>IF(62&lt;=核心参数输入!$B$9*4,MAX(0,BN49+BN50-SUM(BN29:BN31)),0)</f>
        <v>0</v>
      </c>
      <c r="BO52" s="9">
        <f>IF(63&lt;=核心参数输入!$B$9*4,MAX(0,BO49+BO50-SUM(BO29:BO31)),0)</f>
        <v>0</v>
      </c>
      <c r="BP52" s="9">
        <f>IF(64&lt;=核心参数输入!$B$9*4,MAX(0,BP49+BP50-SUM(BP29:BP31)),0)</f>
        <v>0</v>
      </c>
      <c r="BQ52" s="9">
        <f>IF(65&lt;=核心参数输入!$B$9*4,MAX(0,BQ49+BQ50-SUM(BQ29:BQ31)),0)</f>
        <v>0</v>
      </c>
      <c r="BR52" s="9">
        <f>IF(66&lt;=核心参数输入!$B$9*4,MAX(0,BR49+BR50-SUM(BR29:BR31)),0)</f>
        <v>0</v>
      </c>
      <c r="BS52" s="9">
        <f>IF(67&lt;=核心参数输入!$B$9*4,MAX(0,BS49+BS50-SUM(BS29:BS31)),0)</f>
        <v>0</v>
      </c>
      <c r="BT52" s="9">
        <f>IF(68&lt;=核心参数输入!$B$9*4,MAX(0,BT49+BT50-SUM(BT29:BT31)),0)</f>
        <v>0</v>
      </c>
      <c r="BU52" s="9">
        <f>IF(69&lt;=核心参数输入!$B$9*4,MAX(0,BU49+BU50-SUM(BU29:BU31)),0)</f>
        <v>0</v>
      </c>
      <c r="BV52" s="9">
        <f>IF(70&lt;=核心参数输入!$B$9*4,MAX(0,BV49+BV50-SUM(BV29:BV31)),0)</f>
        <v>0</v>
      </c>
      <c r="BW52" s="9">
        <f>IF(71&lt;=核心参数输入!$B$9*4,MAX(0,BW49+BW50-SUM(BW29:BW31)),0)</f>
        <v>0</v>
      </c>
      <c r="BX52" s="9">
        <f>IF(72&lt;=核心参数输入!$B$9*4,MAX(0,BX49+BX50-SUM(BX29:BX31)),0)</f>
        <v>0</v>
      </c>
      <c r="BY52" s="9">
        <f>IF(73&lt;=核心参数输入!$B$9*4,MAX(0,BY49+BY50-SUM(BY29:BY31)),0)</f>
        <v>0</v>
      </c>
      <c r="BZ52" s="9">
        <f>IF(74&lt;=核心参数输入!$B$9*4,MAX(0,BZ49+BZ50-SUM(BZ29:BZ31)),0)</f>
        <v>0</v>
      </c>
      <c r="CA52" s="9">
        <f>IF(75&lt;=核心参数输入!$B$9*4,MAX(0,CA49+CA50-SUM(CA29:CA31)),0)</f>
        <v>0</v>
      </c>
      <c r="CB52" s="9">
        <f>IF(76&lt;=核心参数输入!$B$9*4,MAX(0,CB49+CB50-SUM(CB29:CB31)),0)</f>
        <v>0</v>
      </c>
      <c r="CC52" s="9">
        <f>IF(77&lt;=核心参数输入!$B$9*4,MAX(0,CC49+CC50-SUM(CC29:CC31)),0)</f>
        <v>0</v>
      </c>
      <c r="CD52" s="9">
        <f>IF(78&lt;=核心参数输入!$B$9*4,MAX(0,CD49+CD50-SUM(CD29:CD31)),0)</f>
        <v>0</v>
      </c>
      <c r="CE52" s="9">
        <f>IF(79&lt;=核心参数输入!$B$9*4,MAX(0,CE49+CE50-SUM(CE29:CE31)),0)</f>
        <v>0</v>
      </c>
      <c r="CF52" s="9">
        <f>IF(80&lt;=核心参数输入!$B$9*4,MAX(0,CF49+CF50-SUM(CF29:CF31)),0)</f>
        <v>0</v>
      </c>
      <c r="CG52" s="9">
        <f>IF(81&lt;=核心参数输入!$B$9*4,MAX(0,CG49+CG50-SUM(CG29:CG31)),0)</f>
        <v>0</v>
      </c>
      <c r="CH52" s="9">
        <f>IF(82&lt;=核心参数输入!$B$9*4,MAX(0,CH49+CH50-SUM(CH29:CH31)),0)</f>
        <v>0</v>
      </c>
      <c r="CI52" s="9">
        <f>IF(83&lt;=核心参数输入!$B$9*4,MAX(0,CI49+CI50-SUM(CI29:CI31)),0)</f>
        <v>0</v>
      </c>
      <c r="CJ52" s="9">
        <f>IF(84&lt;=核心参数输入!$B$9*4,MAX(0,CJ49+CJ50-SUM(CJ29:CJ31)),0)</f>
        <v>0</v>
      </c>
      <c r="CK52" s="9">
        <f>IF(85&lt;=核心参数输入!$B$9*4,MAX(0,CK49+CK50-SUM(CK29:CK31)),0)</f>
        <v>0</v>
      </c>
      <c r="CL52" s="9">
        <f>IF(86&lt;=核心参数输入!$B$9*4,MAX(0,CL49+CL50-SUM(CL29:CL31)),0)</f>
        <v>0</v>
      </c>
      <c r="CM52" s="9">
        <f>IF(87&lt;=核心参数输入!$B$9*4,MAX(0,CM49+CM50-SUM(CM29:CM31)),0)</f>
        <v>0</v>
      </c>
      <c r="CN52" s="9">
        <f>IF(88&lt;=核心参数输入!$B$9*4,MAX(0,CN49+CN50-SUM(CN29:CN31)),0)</f>
        <v>0</v>
      </c>
      <c r="CO52" s="9">
        <f>IF(89&lt;=核心参数输入!$B$9*4,MAX(0,CO49+CO50-SUM(CO29:CO31)),0)</f>
        <v>0</v>
      </c>
      <c r="CP52" s="9">
        <f>IF(90&lt;=核心参数输入!$B$9*4,MAX(0,CP49+CP50-SUM(CP29:CP31)),0)</f>
        <v>0</v>
      </c>
      <c r="CQ52" s="9">
        <f>IF(91&lt;=核心参数输入!$B$9*4,MAX(0,CQ49+CQ50-SUM(CQ29:CQ31)),0)</f>
        <v>0</v>
      </c>
      <c r="CR52" s="9">
        <f>IF(92&lt;=核心参数输入!$B$9*4,MAX(0,CR49+CR50-SUM(CR29:CR31)),0)</f>
        <v>0</v>
      </c>
      <c r="CS52" s="9">
        <f>IF(93&lt;=核心参数输入!$B$9*4,MAX(0,CS49+CS50-SUM(CS29:CS31)),0)</f>
        <v>0</v>
      </c>
      <c r="CT52" s="9">
        <f>IF(94&lt;=核心参数输入!$B$9*4,MAX(0,CT49+CT50-SUM(CT29:CT31)),0)</f>
        <v>0</v>
      </c>
      <c r="CU52" s="9">
        <f>IF(95&lt;=核心参数输入!$B$9*4,MAX(0,CU49+CU50-SUM(CU29:CU31)),0)</f>
        <v>0</v>
      </c>
      <c r="CV52" s="9">
        <f>IF(96&lt;=核心参数输入!$B$9*4,MAX(0,CV49+CV50-SUM(CV29:CV31)),0)</f>
        <v>0</v>
      </c>
      <c r="CW52" s="9">
        <f>IF(97&lt;=核心参数输入!$B$9*4,MAX(0,CW49+CW50-SUM(CW29:CW31)),0)</f>
        <v>0</v>
      </c>
      <c r="CX52" s="9">
        <f>IF(98&lt;=核心参数输入!$B$9*4,MAX(0,CX49+CX50-SUM(CX29:CX31)),0)</f>
        <v>0</v>
      </c>
      <c r="CY52" s="9">
        <f>IF(99&lt;=核心参数输入!$B$9*4,MAX(0,CY49+CY50-SUM(CY29:CY31)),0)</f>
        <v>0</v>
      </c>
      <c r="CZ52" s="9">
        <f>IF(100&lt;=核心参数输入!$B$9*4,MAX(0,CZ49+CZ50-SUM(CZ29:CZ31)),0)</f>
        <v>0</v>
      </c>
      <c r="DA52" s="9">
        <f>IF(101&lt;=核心参数输入!$B$9*4,MAX(0,DA49+DA50-SUM(DA29:DA31)),0)</f>
        <v>0</v>
      </c>
      <c r="DB52" s="9">
        <f>IF(102&lt;=核心参数输入!$B$9*4,MAX(0,DB49+DB50-SUM(DB29:DB31)),0)</f>
        <v>0</v>
      </c>
      <c r="DC52" s="9">
        <f>IF(103&lt;=核心参数输入!$B$9*4,MAX(0,DC49+DC50-SUM(DC29:DC31)),0)</f>
        <v>0</v>
      </c>
      <c r="DD52" s="9">
        <f>IF(104&lt;=核心参数输入!$B$9*4,MAX(0,DD49+DD50-SUM(DD29:DD31)),0)</f>
        <v>0</v>
      </c>
      <c r="DE52" s="9">
        <f>IF(105&lt;=核心参数输入!$B$9*4,MAX(0,DE49+DE50-SUM(DE29:DE31)),0)</f>
        <v>0</v>
      </c>
      <c r="DF52" s="9">
        <f>IF(106&lt;=核心参数输入!$B$9*4,MAX(0,DF49+DF50-SUM(DF29:DF31)),0)</f>
        <v>0</v>
      </c>
      <c r="DG52" s="9">
        <f>IF(107&lt;=核心参数输入!$B$9*4,MAX(0,DG49+DG50-SUM(DG29:DG31)),0)</f>
        <v>0</v>
      </c>
      <c r="DH52" s="9">
        <f>IF(108&lt;=核心参数输入!$B$9*4,MAX(0,DH49+DH50-SUM(DH29:DH31)),0)</f>
        <v>0</v>
      </c>
      <c r="DI52" s="9">
        <f>IF(109&lt;=核心参数输入!$B$9*4,MAX(0,DI49+DI50-SUM(DI29:DI31)),0)</f>
        <v>0</v>
      </c>
      <c r="DJ52" s="9">
        <f>IF(110&lt;=核心参数输入!$B$9*4,MAX(0,DJ49+DJ50-SUM(DJ29:DJ31)),0)</f>
        <v>0</v>
      </c>
      <c r="DK52" s="9">
        <f>IF(111&lt;=核心参数输入!$B$9*4,MAX(0,DK49+DK50-SUM(DK29:DK31)),0)</f>
        <v>0</v>
      </c>
      <c r="DL52" s="9">
        <f>IF(112&lt;=核心参数输入!$B$9*4,MAX(0,DL49+DL50-SUM(DL29:DL31)),0)</f>
        <v>0</v>
      </c>
      <c r="DM52" s="9">
        <f>IF(113&lt;=核心参数输入!$B$9*4,MAX(0,DM49+DM50-SUM(DM29:DM31)),0)</f>
        <v>0</v>
      </c>
      <c r="DN52" s="9">
        <f>IF(114&lt;=核心参数输入!$B$9*4,MAX(0,DN49+DN50-SUM(DN29:DN31)),0)</f>
        <v>0</v>
      </c>
      <c r="DO52" s="9">
        <f>IF(115&lt;=核心参数输入!$B$9*4,MAX(0,DO49+DO50-SUM(DO29:DO31)),0)</f>
        <v>0</v>
      </c>
      <c r="DP52" s="9">
        <f>IF(116&lt;=核心参数输入!$B$9*4,MAX(0,DP49+DP50-SUM(DP29:DP31)),0)</f>
        <v>0</v>
      </c>
      <c r="DQ52" s="9">
        <f>IF(117&lt;=核心参数输入!$B$9*4,MAX(0,DQ49+DQ50-SUM(DQ29:DQ31)),0)</f>
        <v>0</v>
      </c>
      <c r="DR52" s="9">
        <f>IF(118&lt;=核心参数输入!$B$9*4,MAX(0,DR49+DR50-SUM(DR29:DR31)),0)</f>
        <v>0</v>
      </c>
      <c r="DS52" s="9">
        <f>IF(119&lt;=核心参数输入!$B$9*4,MAX(0,DS49+DS50-SUM(DS29:DS31)),0)</f>
        <v>0</v>
      </c>
      <c r="DT52" s="9">
        <f>IF(120&lt;=核心参数输入!$B$9*4,MAX(0,DT49+DT50-SUM(DT29:DT31)),0)</f>
        <v>0</v>
      </c>
    </row>
    <row r="53" spans="1:124" ht="21" customHeight="1">
      <c r="A53" s="8" t="s">
        <v>484</v>
      </c>
      <c r="B53" s="8" t="s">
        <v>39</v>
      </c>
      <c r="C53" s="8"/>
      <c r="D53" s="9">
        <f>IF(0&lt;=核心参数输入!$B$9*4,IF(AND(0-核心参数输入!$B$112&gt;=0,0-核心参数输入!$B$112&lt;=120),INDEX(季度经营税费!$D$51:$DT$51,1,MAX(1,MIN(121,0-核心参数输入!$B$112+1))),0)+IF(0=核心参数输入!$B$9*4,SUMPRODUCT(季度经营税费!$D$51:$DT$51,--(季度经营税费!$D$4:$DT$4&gt;核心参数输入!$B$9*4-核心参数输入!$B$112)),0),0)</f>
        <v>0</v>
      </c>
      <c r="E53" s="9">
        <f>IF(1&lt;=核心参数输入!$B$9*4,IF(AND(1-核心参数输入!$B$112&gt;=0,1-核心参数输入!$B$112&lt;=120),INDEX(季度经营税费!$D$51:$DT$51,1,MAX(1,MIN(121,1-核心参数输入!$B$112+1))),0)+IF(1=核心参数输入!$B$9*4,SUMPRODUCT(季度经营税费!$D$51:$DT$51,--(季度经营税费!$D$4:$DT$4&gt;核心参数输入!$B$9*4-核心参数输入!$B$112)),0),0)</f>
        <v>0</v>
      </c>
      <c r="F53" s="9">
        <f>IF(2&lt;=核心参数输入!$B$9*4,IF(AND(2-核心参数输入!$B$112&gt;=0,2-核心参数输入!$B$112&lt;=120),INDEX(季度经营税费!$D$51:$DT$51,1,MAX(1,MIN(121,2-核心参数输入!$B$112+1))),0)+IF(2=核心参数输入!$B$9*4,SUMPRODUCT(季度经营税费!$D$51:$DT$51,--(季度经营税费!$D$4:$DT$4&gt;核心参数输入!$B$9*4-核心参数输入!$B$112)),0),0)</f>
        <v>0</v>
      </c>
      <c r="G53" s="9">
        <f>IF(3&lt;=核心参数输入!$B$9*4,IF(AND(3-核心参数输入!$B$112&gt;=0,3-核心参数输入!$B$112&lt;=120),INDEX(季度经营税费!$D$51:$DT$51,1,MAX(1,MIN(121,3-核心参数输入!$B$112+1))),0)+IF(3=核心参数输入!$B$9*4,SUMPRODUCT(季度经营税费!$D$51:$DT$51,--(季度经营税费!$D$4:$DT$4&gt;核心参数输入!$B$9*4-核心参数输入!$B$112)),0),0)</f>
        <v>0</v>
      </c>
      <c r="H53" s="9">
        <f>IF(4&lt;=核心参数输入!$B$9*4,IF(AND(4-核心参数输入!$B$112&gt;=0,4-核心参数输入!$B$112&lt;=120),INDEX(季度经营税费!$D$51:$DT$51,1,MAX(1,MIN(121,4-核心参数输入!$B$112+1))),0)+IF(4=核心参数输入!$B$9*4,SUMPRODUCT(季度经营税费!$D$51:$DT$51,--(季度经营税费!$D$4:$DT$4&gt;核心参数输入!$B$9*4-核心参数输入!$B$112)),0),0)</f>
        <v>0</v>
      </c>
      <c r="I53" s="9">
        <f>IF(5&lt;=核心参数输入!$B$9*4,IF(AND(5-核心参数输入!$B$112&gt;=0,5-核心参数输入!$B$112&lt;=120),INDEX(季度经营税费!$D$51:$DT$51,1,MAX(1,MIN(121,5-核心参数输入!$B$112+1))),0)+IF(5=核心参数输入!$B$9*4,SUMPRODUCT(季度经营税费!$D$51:$DT$51,--(季度经营税费!$D$4:$DT$4&gt;核心参数输入!$B$9*4-核心参数输入!$B$112)),0),0)</f>
        <v>0</v>
      </c>
      <c r="J53" s="9">
        <f>IF(6&lt;=核心参数输入!$B$9*4,IF(AND(6-核心参数输入!$B$112&gt;=0,6-核心参数输入!$B$112&lt;=120),INDEX(季度经营税费!$D$51:$DT$51,1,MAX(1,MIN(121,6-核心参数输入!$B$112+1))),0)+IF(6=核心参数输入!$B$9*4,SUMPRODUCT(季度经营税费!$D$51:$DT$51,--(季度经营税费!$D$4:$DT$4&gt;核心参数输入!$B$9*4-核心参数输入!$B$112)),0),0)</f>
        <v>0</v>
      </c>
      <c r="K53" s="9">
        <f>IF(7&lt;=核心参数输入!$B$9*4,IF(AND(7-核心参数输入!$B$112&gt;=0,7-核心参数输入!$B$112&lt;=120),INDEX(季度经营税费!$D$51:$DT$51,1,MAX(1,MIN(121,7-核心参数输入!$B$112+1))),0)+IF(7=核心参数输入!$B$9*4,SUMPRODUCT(季度经营税费!$D$51:$DT$51,--(季度经营税费!$D$4:$DT$4&gt;核心参数输入!$B$9*4-核心参数输入!$B$112)),0),0)</f>
        <v>0</v>
      </c>
      <c r="L53" s="9">
        <f>IF(8&lt;=核心参数输入!$B$9*4,IF(AND(8-核心参数输入!$B$112&gt;=0,8-核心参数输入!$B$112&lt;=120),INDEX(季度经营税费!$D$51:$DT$51,1,MAX(1,MIN(121,8-核心参数输入!$B$112+1))),0)+IF(8=核心参数输入!$B$9*4,SUMPRODUCT(季度经营税费!$D$51:$DT$51,--(季度经营税费!$D$4:$DT$4&gt;核心参数输入!$B$9*4-核心参数输入!$B$112)),0),0)</f>
        <v>0</v>
      </c>
      <c r="M53" s="9">
        <f>IF(9&lt;=核心参数输入!$B$9*4,IF(AND(9-核心参数输入!$B$112&gt;=0,9-核心参数输入!$B$112&lt;=120),INDEX(季度经营税费!$D$51:$DT$51,1,MAX(1,MIN(121,9-核心参数输入!$B$112+1))),0)+IF(9=核心参数输入!$B$9*4,SUMPRODUCT(季度经营税费!$D$51:$DT$51,--(季度经营税费!$D$4:$DT$4&gt;核心参数输入!$B$9*4-核心参数输入!$B$112)),0),0)</f>
        <v>0</v>
      </c>
      <c r="N53" s="9">
        <f>IF(10&lt;=核心参数输入!$B$9*4,IF(AND(10-核心参数输入!$B$112&gt;=0,10-核心参数输入!$B$112&lt;=120),INDEX(季度经营税费!$D$51:$DT$51,1,MAX(1,MIN(121,10-核心参数输入!$B$112+1))),0)+IF(10=核心参数输入!$B$9*4,SUMPRODUCT(季度经营税费!$D$51:$DT$51,--(季度经营税费!$D$4:$DT$4&gt;核心参数输入!$B$9*4-核心参数输入!$B$112)),0),0)</f>
        <v>0</v>
      </c>
      <c r="O53" s="9">
        <f>IF(11&lt;=核心参数输入!$B$9*4,IF(AND(11-核心参数输入!$B$112&gt;=0,11-核心参数输入!$B$112&lt;=120),INDEX(季度经营税费!$D$51:$DT$51,1,MAX(1,MIN(121,11-核心参数输入!$B$112+1))),0)+IF(11=核心参数输入!$B$9*4,SUMPRODUCT(季度经营税费!$D$51:$DT$51,--(季度经营税费!$D$4:$DT$4&gt;核心参数输入!$B$9*4-核心参数输入!$B$112)),0),0)</f>
        <v>0</v>
      </c>
      <c r="P53" s="9">
        <f>IF(12&lt;=核心参数输入!$B$9*4,IF(AND(12-核心参数输入!$B$112&gt;=0,12-核心参数输入!$B$112&lt;=120),INDEX(季度经营税费!$D$51:$DT$51,1,MAX(1,MIN(121,12-核心参数输入!$B$112+1))),0)+IF(12=核心参数输入!$B$9*4,SUMPRODUCT(季度经营税费!$D$51:$DT$51,--(季度经营税费!$D$4:$DT$4&gt;核心参数输入!$B$9*4-核心参数输入!$B$112)),0),0)</f>
        <v>0</v>
      </c>
      <c r="Q53" s="9">
        <f>IF(13&lt;=核心参数输入!$B$9*4,IF(AND(13-核心参数输入!$B$112&gt;=0,13-核心参数输入!$B$112&lt;=120),INDEX(季度经营税费!$D$51:$DT$51,1,MAX(1,MIN(121,13-核心参数输入!$B$112+1))),0)+IF(13=核心参数输入!$B$9*4,SUMPRODUCT(季度经营税费!$D$51:$DT$51,--(季度经营税费!$D$4:$DT$4&gt;核心参数输入!$B$9*4-核心参数输入!$B$112)),0),0)</f>
        <v>0</v>
      </c>
      <c r="R53" s="9">
        <f>IF(14&lt;=核心参数输入!$B$9*4,IF(AND(14-核心参数输入!$B$112&gt;=0,14-核心参数输入!$B$112&lt;=120),INDEX(季度经营税费!$D$51:$DT$51,1,MAX(1,MIN(121,14-核心参数输入!$B$112+1))),0)+IF(14=核心参数输入!$B$9*4,SUMPRODUCT(季度经营税费!$D$51:$DT$51,--(季度经营税费!$D$4:$DT$4&gt;核心参数输入!$B$9*4-核心参数输入!$B$112)),0),0)</f>
        <v>0</v>
      </c>
      <c r="S53" s="9">
        <f>IF(15&lt;=核心参数输入!$B$9*4,IF(AND(15-核心参数输入!$B$112&gt;=0,15-核心参数输入!$B$112&lt;=120),INDEX(季度经营税费!$D$51:$DT$51,1,MAX(1,MIN(121,15-核心参数输入!$B$112+1))),0)+IF(15=核心参数输入!$B$9*4,SUMPRODUCT(季度经营税费!$D$51:$DT$51,--(季度经营税费!$D$4:$DT$4&gt;核心参数输入!$B$9*4-核心参数输入!$B$112)),0),0)</f>
        <v>0</v>
      </c>
      <c r="T53" s="9">
        <f>IF(16&lt;=核心参数输入!$B$9*4,IF(AND(16-核心参数输入!$B$112&gt;=0,16-核心参数输入!$B$112&lt;=120),INDEX(季度经营税费!$D$51:$DT$51,1,MAX(1,MIN(121,16-核心参数输入!$B$112+1))),0)+IF(16=核心参数输入!$B$9*4,SUMPRODUCT(季度经营税费!$D$51:$DT$51,--(季度经营税费!$D$4:$DT$4&gt;核心参数输入!$B$9*4-核心参数输入!$B$112)),0),0)</f>
        <v>0</v>
      </c>
      <c r="U53" s="9">
        <f>IF(17&lt;=核心参数输入!$B$9*4,IF(AND(17-核心参数输入!$B$112&gt;=0,17-核心参数输入!$B$112&lt;=120),INDEX(季度经营税费!$D$51:$DT$51,1,MAX(1,MIN(121,17-核心参数输入!$B$112+1))),0)+IF(17=核心参数输入!$B$9*4,SUMPRODUCT(季度经营税费!$D$51:$DT$51,--(季度经营税费!$D$4:$DT$4&gt;核心参数输入!$B$9*4-核心参数输入!$B$112)),0),0)</f>
        <v>0</v>
      </c>
      <c r="V53" s="9">
        <f>IF(18&lt;=核心参数输入!$B$9*4,IF(AND(18-核心参数输入!$B$112&gt;=0,18-核心参数输入!$B$112&lt;=120),INDEX(季度经营税费!$D$51:$DT$51,1,MAX(1,MIN(121,18-核心参数输入!$B$112+1))),0)+IF(18=核心参数输入!$B$9*4,SUMPRODUCT(季度经营税费!$D$51:$DT$51,--(季度经营税费!$D$4:$DT$4&gt;核心参数输入!$B$9*4-核心参数输入!$B$112)),0),0)</f>
        <v>0</v>
      </c>
      <c r="W53" s="9">
        <f>IF(19&lt;=核心参数输入!$B$9*4,IF(AND(19-核心参数输入!$B$112&gt;=0,19-核心参数输入!$B$112&lt;=120),INDEX(季度经营税费!$D$51:$DT$51,1,MAX(1,MIN(121,19-核心参数输入!$B$112+1))),0)+IF(19=核心参数输入!$B$9*4,SUMPRODUCT(季度经营税费!$D$51:$DT$51,--(季度经营税费!$D$4:$DT$4&gt;核心参数输入!$B$9*4-核心参数输入!$B$112)),0),0)</f>
        <v>0</v>
      </c>
      <c r="X53" s="9">
        <f>IF(20&lt;=核心参数输入!$B$9*4,IF(AND(20-核心参数输入!$B$112&gt;=0,20-核心参数输入!$B$112&lt;=120),INDEX(季度经营税费!$D$51:$DT$51,1,MAX(1,MIN(121,20-核心参数输入!$B$112+1))),0)+IF(20=核心参数输入!$B$9*4,SUMPRODUCT(季度经营税费!$D$51:$DT$51,--(季度经营税费!$D$4:$DT$4&gt;核心参数输入!$B$9*4-核心参数输入!$B$112)),0),0)</f>
        <v>0</v>
      </c>
      <c r="Y53" s="9">
        <f>IF(21&lt;=核心参数输入!$B$9*4,IF(AND(21-核心参数输入!$B$112&gt;=0,21-核心参数输入!$B$112&lt;=120),INDEX(季度经营税费!$D$51:$DT$51,1,MAX(1,MIN(121,21-核心参数输入!$B$112+1))),0)+IF(21=核心参数输入!$B$9*4,SUMPRODUCT(季度经营税费!$D$51:$DT$51,--(季度经营税费!$D$4:$DT$4&gt;核心参数输入!$B$9*4-核心参数输入!$B$112)),0),0)</f>
        <v>0</v>
      </c>
      <c r="Z53" s="9">
        <f>IF(22&lt;=核心参数输入!$B$9*4,IF(AND(22-核心参数输入!$B$112&gt;=0,22-核心参数输入!$B$112&lt;=120),INDEX(季度经营税费!$D$51:$DT$51,1,MAX(1,MIN(121,22-核心参数输入!$B$112+1))),0)+IF(22=核心参数输入!$B$9*4,SUMPRODUCT(季度经营税费!$D$51:$DT$51,--(季度经营税费!$D$4:$DT$4&gt;核心参数输入!$B$9*4-核心参数输入!$B$112)),0),0)</f>
        <v>0</v>
      </c>
      <c r="AA53" s="9">
        <f>IF(23&lt;=核心参数输入!$B$9*4,IF(AND(23-核心参数输入!$B$112&gt;=0,23-核心参数输入!$B$112&lt;=120),INDEX(季度经营税费!$D$51:$DT$51,1,MAX(1,MIN(121,23-核心参数输入!$B$112+1))),0)+IF(23=核心参数输入!$B$9*4,SUMPRODUCT(季度经营税费!$D$51:$DT$51,--(季度经营税费!$D$4:$DT$4&gt;核心参数输入!$B$9*4-核心参数输入!$B$112)),0),0)</f>
        <v>0</v>
      </c>
      <c r="AB53" s="9">
        <f>IF(24&lt;=核心参数输入!$B$9*4,IF(AND(24-核心参数输入!$B$112&gt;=0,24-核心参数输入!$B$112&lt;=120),INDEX(季度经营税费!$D$51:$DT$51,1,MAX(1,MIN(121,24-核心参数输入!$B$112+1))),0)+IF(24=核心参数输入!$B$9*4,SUMPRODUCT(季度经营税费!$D$51:$DT$51,--(季度经营税费!$D$4:$DT$4&gt;核心参数输入!$B$9*4-核心参数输入!$B$112)),0),0)</f>
        <v>0</v>
      </c>
      <c r="AC53" s="9">
        <f>IF(25&lt;=核心参数输入!$B$9*4,IF(AND(25-核心参数输入!$B$112&gt;=0,25-核心参数输入!$B$112&lt;=120),INDEX(季度经营税费!$D$51:$DT$51,1,MAX(1,MIN(121,25-核心参数输入!$B$112+1))),0)+IF(25=核心参数输入!$B$9*4,SUMPRODUCT(季度经营税费!$D$51:$DT$51,--(季度经营税费!$D$4:$DT$4&gt;核心参数输入!$B$9*4-核心参数输入!$B$112)),0),0)</f>
        <v>0</v>
      </c>
      <c r="AD53" s="9">
        <f>IF(26&lt;=核心参数输入!$B$9*4,IF(AND(26-核心参数输入!$B$112&gt;=0,26-核心参数输入!$B$112&lt;=120),INDEX(季度经营税费!$D$51:$DT$51,1,MAX(1,MIN(121,26-核心参数输入!$B$112+1))),0)+IF(26=核心参数输入!$B$9*4,SUMPRODUCT(季度经营税费!$D$51:$DT$51,--(季度经营税费!$D$4:$DT$4&gt;核心参数输入!$B$9*4-核心参数输入!$B$112)),0),0)</f>
        <v>0</v>
      </c>
      <c r="AE53" s="9">
        <f>IF(27&lt;=核心参数输入!$B$9*4,IF(AND(27-核心参数输入!$B$112&gt;=0,27-核心参数输入!$B$112&lt;=120),INDEX(季度经营税费!$D$51:$DT$51,1,MAX(1,MIN(121,27-核心参数输入!$B$112+1))),0)+IF(27=核心参数输入!$B$9*4,SUMPRODUCT(季度经营税费!$D$51:$DT$51,--(季度经营税费!$D$4:$DT$4&gt;核心参数输入!$B$9*4-核心参数输入!$B$112)),0),0)</f>
        <v>0</v>
      </c>
      <c r="AF53" s="9">
        <f>IF(28&lt;=核心参数输入!$B$9*4,IF(AND(28-核心参数输入!$B$112&gt;=0,28-核心参数输入!$B$112&lt;=120),INDEX(季度经营税费!$D$51:$DT$51,1,MAX(1,MIN(121,28-核心参数输入!$B$112+1))),0)+IF(28=核心参数输入!$B$9*4,SUMPRODUCT(季度经营税费!$D$51:$DT$51,--(季度经营税费!$D$4:$DT$4&gt;核心参数输入!$B$9*4-核心参数输入!$B$112)),0),0)</f>
        <v>0</v>
      </c>
      <c r="AG53" s="9">
        <f>IF(29&lt;=核心参数输入!$B$9*4,IF(AND(29-核心参数输入!$B$112&gt;=0,29-核心参数输入!$B$112&lt;=120),INDEX(季度经营税费!$D$51:$DT$51,1,MAX(1,MIN(121,29-核心参数输入!$B$112+1))),0)+IF(29=核心参数输入!$B$9*4,SUMPRODUCT(季度经营税费!$D$51:$DT$51,--(季度经营税费!$D$4:$DT$4&gt;核心参数输入!$B$9*4-核心参数输入!$B$112)),0),0)</f>
        <v>0</v>
      </c>
      <c r="AH53" s="9">
        <f>IF(30&lt;=核心参数输入!$B$9*4,IF(AND(30-核心参数输入!$B$112&gt;=0,30-核心参数输入!$B$112&lt;=120),INDEX(季度经营税费!$D$51:$DT$51,1,MAX(1,MIN(121,30-核心参数输入!$B$112+1))),0)+IF(30=核心参数输入!$B$9*4,SUMPRODUCT(季度经营税费!$D$51:$DT$51,--(季度经营税费!$D$4:$DT$4&gt;核心参数输入!$B$9*4-核心参数输入!$B$112)),0),0)</f>
        <v>0</v>
      </c>
      <c r="AI53" s="9">
        <f>IF(31&lt;=核心参数输入!$B$9*4,IF(AND(31-核心参数输入!$B$112&gt;=0,31-核心参数输入!$B$112&lt;=120),INDEX(季度经营税费!$D$51:$DT$51,1,MAX(1,MIN(121,31-核心参数输入!$B$112+1))),0)+IF(31=核心参数输入!$B$9*4,SUMPRODUCT(季度经营税费!$D$51:$DT$51,--(季度经营税费!$D$4:$DT$4&gt;核心参数输入!$B$9*4-核心参数输入!$B$112)),0),0)</f>
        <v>0</v>
      </c>
      <c r="AJ53" s="9">
        <f>IF(32&lt;=核心参数输入!$B$9*4,IF(AND(32-核心参数输入!$B$112&gt;=0,32-核心参数输入!$B$112&lt;=120),INDEX(季度经营税费!$D$51:$DT$51,1,MAX(1,MIN(121,32-核心参数输入!$B$112+1))),0)+IF(32=核心参数输入!$B$9*4,SUMPRODUCT(季度经营税费!$D$51:$DT$51,--(季度经营税费!$D$4:$DT$4&gt;核心参数输入!$B$9*4-核心参数输入!$B$112)),0),0)</f>
        <v>0</v>
      </c>
      <c r="AK53" s="9">
        <f>IF(33&lt;=核心参数输入!$B$9*4,IF(AND(33-核心参数输入!$B$112&gt;=0,33-核心参数输入!$B$112&lt;=120),INDEX(季度经营税费!$D$51:$DT$51,1,MAX(1,MIN(121,33-核心参数输入!$B$112+1))),0)+IF(33=核心参数输入!$B$9*4,SUMPRODUCT(季度经营税费!$D$51:$DT$51,--(季度经营税费!$D$4:$DT$4&gt;核心参数输入!$B$9*4-核心参数输入!$B$112)),0),0)</f>
        <v>0</v>
      </c>
      <c r="AL53" s="9">
        <f>IF(34&lt;=核心参数输入!$B$9*4,IF(AND(34-核心参数输入!$B$112&gt;=0,34-核心参数输入!$B$112&lt;=120),INDEX(季度经营税费!$D$51:$DT$51,1,MAX(1,MIN(121,34-核心参数输入!$B$112+1))),0)+IF(34=核心参数输入!$B$9*4,SUMPRODUCT(季度经营税费!$D$51:$DT$51,--(季度经营税费!$D$4:$DT$4&gt;核心参数输入!$B$9*4-核心参数输入!$B$112)),0),0)</f>
        <v>0</v>
      </c>
      <c r="AM53" s="9">
        <f>IF(35&lt;=核心参数输入!$B$9*4,IF(AND(35-核心参数输入!$B$112&gt;=0,35-核心参数输入!$B$112&lt;=120),INDEX(季度经营税费!$D$51:$DT$51,1,MAX(1,MIN(121,35-核心参数输入!$B$112+1))),0)+IF(35=核心参数输入!$B$9*4,SUMPRODUCT(季度经营税费!$D$51:$DT$51,--(季度经营税费!$D$4:$DT$4&gt;核心参数输入!$B$9*4-核心参数输入!$B$112)),0),0)</f>
        <v>0</v>
      </c>
      <c r="AN53" s="9">
        <f>IF(36&lt;=核心参数输入!$B$9*4,IF(AND(36-核心参数输入!$B$112&gt;=0,36-核心参数输入!$B$112&lt;=120),INDEX(季度经营税费!$D$51:$DT$51,1,MAX(1,MIN(121,36-核心参数输入!$B$112+1))),0)+IF(36=核心参数输入!$B$9*4,SUMPRODUCT(季度经营税费!$D$51:$DT$51,--(季度经营税费!$D$4:$DT$4&gt;核心参数输入!$B$9*4-核心参数输入!$B$112)),0),0)</f>
        <v>0</v>
      </c>
      <c r="AO53" s="9">
        <f>IF(37&lt;=核心参数输入!$B$9*4,IF(AND(37-核心参数输入!$B$112&gt;=0,37-核心参数输入!$B$112&lt;=120),INDEX(季度经营税费!$D$51:$DT$51,1,MAX(1,MIN(121,37-核心参数输入!$B$112+1))),0)+IF(37=核心参数输入!$B$9*4,SUMPRODUCT(季度经营税费!$D$51:$DT$51,--(季度经营税费!$D$4:$DT$4&gt;核心参数输入!$B$9*4-核心参数输入!$B$112)),0),0)</f>
        <v>0</v>
      </c>
      <c r="AP53" s="9">
        <f>IF(38&lt;=核心参数输入!$B$9*4,IF(AND(38-核心参数输入!$B$112&gt;=0,38-核心参数输入!$B$112&lt;=120),INDEX(季度经营税费!$D$51:$DT$51,1,MAX(1,MIN(121,38-核心参数输入!$B$112+1))),0)+IF(38=核心参数输入!$B$9*4,SUMPRODUCT(季度经营税费!$D$51:$DT$51,--(季度经营税费!$D$4:$DT$4&gt;核心参数输入!$B$9*4-核心参数输入!$B$112)),0),0)</f>
        <v>0</v>
      </c>
      <c r="AQ53" s="9">
        <f>IF(39&lt;=核心参数输入!$B$9*4,IF(AND(39-核心参数输入!$B$112&gt;=0,39-核心参数输入!$B$112&lt;=120),INDEX(季度经营税费!$D$51:$DT$51,1,MAX(1,MIN(121,39-核心参数输入!$B$112+1))),0)+IF(39=核心参数输入!$B$9*4,SUMPRODUCT(季度经营税费!$D$51:$DT$51,--(季度经营税费!$D$4:$DT$4&gt;核心参数输入!$B$9*4-核心参数输入!$B$112)),0),0)</f>
        <v>0</v>
      </c>
      <c r="AR53" s="9">
        <f>IF(40&lt;=核心参数输入!$B$9*4,IF(AND(40-核心参数输入!$B$112&gt;=0,40-核心参数输入!$B$112&lt;=120),INDEX(季度经营税费!$D$51:$DT$51,1,MAX(1,MIN(121,40-核心参数输入!$B$112+1))),0)+IF(40=核心参数输入!$B$9*4,SUMPRODUCT(季度经营税费!$D$51:$DT$51,--(季度经营税费!$D$4:$DT$4&gt;核心参数输入!$B$9*4-核心参数输入!$B$112)),0),0)</f>
        <v>0</v>
      </c>
      <c r="AS53" s="9">
        <f>IF(41&lt;=核心参数输入!$B$9*4,IF(AND(41-核心参数输入!$B$112&gt;=0,41-核心参数输入!$B$112&lt;=120),INDEX(季度经营税费!$D$51:$DT$51,1,MAX(1,MIN(121,41-核心参数输入!$B$112+1))),0)+IF(41=核心参数输入!$B$9*4,SUMPRODUCT(季度经营税费!$D$51:$DT$51,--(季度经营税费!$D$4:$DT$4&gt;核心参数输入!$B$9*4-核心参数输入!$B$112)),0),0)</f>
        <v>0</v>
      </c>
      <c r="AT53" s="9">
        <f>IF(42&lt;=核心参数输入!$B$9*4,IF(AND(42-核心参数输入!$B$112&gt;=0,42-核心参数输入!$B$112&lt;=120),INDEX(季度经营税费!$D$51:$DT$51,1,MAX(1,MIN(121,42-核心参数输入!$B$112+1))),0)+IF(42=核心参数输入!$B$9*4,SUMPRODUCT(季度经营税费!$D$51:$DT$51,--(季度经营税费!$D$4:$DT$4&gt;核心参数输入!$B$9*4-核心参数输入!$B$112)),0),0)</f>
        <v>0</v>
      </c>
      <c r="AU53" s="9">
        <f>IF(43&lt;=核心参数输入!$B$9*4,IF(AND(43-核心参数输入!$B$112&gt;=0,43-核心参数输入!$B$112&lt;=120),INDEX(季度经营税费!$D$51:$DT$51,1,MAX(1,MIN(121,43-核心参数输入!$B$112+1))),0)+IF(43=核心参数输入!$B$9*4,SUMPRODUCT(季度经营税费!$D$51:$DT$51,--(季度经营税费!$D$4:$DT$4&gt;核心参数输入!$B$9*4-核心参数输入!$B$112)),0),0)</f>
        <v>0</v>
      </c>
      <c r="AV53" s="9">
        <f>IF(44&lt;=核心参数输入!$B$9*4,IF(AND(44-核心参数输入!$B$112&gt;=0,44-核心参数输入!$B$112&lt;=120),INDEX(季度经营税费!$D$51:$DT$51,1,MAX(1,MIN(121,44-核心参数输入!$B$112+1))),0)+IF(44=核心参数输入!$B$9*4,SUMPRODUCT(季度经营税费!$D$51:$DT$51,--(季度经营税费!$D$4:$DT$4&gt;核心参数输入!$B$9*4-核心参数输入!$B$112)),0),0)</f>
        <v>0</v>
      </c>
      <c r="AW53" s="9">
        <f>IF(45&lt;=核心参数输入!$B$9*4,IF(AND(45-核心参数输入!$B$112&gt;=0,45-核心参数输入!$B$112&lt;=120),INDEX(季度经营税费!$D$51:$DT$51,1,MAX(1,MIN(121,45-核心参数输入!$B$112+1))),0)+IF(45=核心参数输入!$B$9*4,SUMPRODUCT(季度经营税费!$D$51:$DT$51,--(季度经营税费!$D$4:$DT$4&gt;核心参数输入!$B$9*4-核心参数输入!$B$112)),0),0)</f>
        <v>0</v>
      </c>
      <c r="AX53" s="9">
        <f>IF(46&lt;=核心参数输入!$B$9*4,IF(AND(46-核心参数输入!$B$112&gt;=0,46-核心参数输入!$B$112&lt;=120),INDEX(季度经营税费!$D$51:$DT$51,1,MAX(1,MIN(121,46-核心参数输入!$B$112+1))),0)+IF(46=核心参数输入!$B$9*4,SUMPRODUCT(季度经营税费!$D$51:$DT$51,--(季度经营税费!$D$4:$DT$4&gt;核心参数输入!$B$9*4-核心参数输入!$B$112)),0),0)</f>
        <v>0</v>
      </c>
      <c r="AY53" s="9">
        <f>IF(47&lt;=核心参数输入!$B$9*4,IF(AND(47-核心参数输入!$B$112&gt;=0,47-核心参数输入!$B$112&lt;=120),INDEX(季度经营税费!$D$51:$DT$51,1,MAX(1,MIN(121,47-核心参数输入!$B$112+1))),0)+IF(47=核心参数输入!$B$9*4,SUMPRODUCT(季度经营税费!$D$51:$DT$51,--(季度经营税费!$D$4:$DT$4&gt;核心参数输入!$B$9*4-核心参数输入!$B$112)),0),0)</f>
        <v>0</v>
      </c>
      <c r="AZ53" s="9">
        <f>IF(48&lt;=核心参数输入!$B$9*4,IF(AND(48-核心参数输入!$B$112&gt;=0,48-核心参数输入!$B$112&lt;=120),INDEX(季度经营税费!$D$51:$DT$51,1,MAX(1,MIN(121,48-核心参数输入!$B$112+1))),0)+IF(48=核心参数输入!$B$9*4,SUMPRODUCT(季度经营税费!$D$51:$DT$51,--(季度经营税费!$D$4:$DT$4&gt;核心参数输入!$B$9*4-核心参数输入!$B$112)),0),0)</f>
        <v>0</v>
      </c>
      <c r="BA53" s="9">
        <f>IF(49&lt;=核心参数输入!$B$9*4,IF(AND(49-核心参数输入!$B$112&gt;=0,49-核心参数输入!$B$112&lt;=120),INDEX(季度经营税费!$D$51:$DT$51,1,MAX(1,MIN(121,49-核心参数输入!$B$112+1))),0)+IF(49=核心参数输入!$B$9*4,SUMPRODUCT(季度经营税费!$D$51:$DT$51,--(季度经营税费!$D$4:$DT$4&gt;核心参数输入!$B$9*4-核心参数输入!$B$112)),0),0)</f>
        <v>0</v>
      </c>
      <c r="BB53" s="9">
        <f>IF(50&lt;=核心参数输入!$B$9*4,IF(AND(50-核心参数输入!$B$112&gt;=0,50-核心参数输入!$B$112&lt;=120),INDEX(季度经营税费!$D$51:$DT$51,1,MAX(1,MIN(121,50-核心参数输入!$B$112+1))),0)+IF(50=核心参数输入!$B$9*4,SUMPRODUCT(季度经营税费!$D$51:$DT$51,--(季度经营税费!$D$4:$DT$4&gt;核心参数输入!$B$9*4-核心参数输入!$B$112)),0),0)</f>
        <v>0</v>
      </c>
      <c r="BC53" s="9">
        <f>IF(51&lt;=核心参数输入!$B$9*4,IF(AND(51-核心参数输入!$B$112&gt;=0,51-核心参数输入!$B$112&lt;=120),INDEX(季度经营税费!$D$51:$DT$51,1,MAX(1,MIN(121,51-核心参数输入!$B$112+1))),0)+IF(51=核心参数输入!$B$9*4,SUMPRODUCT(季度经营税费!$D$51:$DT$51,--(季度经营税费!$D$4:$DT$4&gt;核心参数输入!$B$9*4-核心参数输入!$B$112)),0),0)</f>
        <v>0</v>
      </c>
      <c r="BD53" s="9">
        <f>IF(52&lt;=核心参数输入!$B$9*4,IF(AND(52-核心参数输入!$B$112&gt;=0,52-核心参数输入!$B$112&lt;=120),INDEX(季度经营税费!$D$51:$DT$51,1,MAX(1,MIN(121,52-核心参数输入!$B$112+1))),0)+IF(52=核心参数输入!$B$9*4,SUMPRODUCT(季度经营税费!$D$51:$DT$51,--(季度经营税费!$D$4:$DT$4&gt;核心参数输入!$B$9*4-核心参数输入!$B$112)),0),0)</f>
        <v>0</v>
      </c>
      <c r="BE53" s="9">
        <f>IF(53&lt;=核心参数输入!$B$9*4,IF(AND(53-核心参数输入!$B$112&gt;=0,53-核心参数输入!$B$112&lt;=120),INDEX(季度经营税费!$D$51:$DT$51,1,MAX(1,MIN(121,53-核心参数输入!$B$112+1))),0)+IF(53=核心参数输入!$B$9*4,SUMPRODUCT(季度经营税费!$D$51:$DT$51,--(季度经营税费!$D$4:$DT$4&gt;核心参数输入!$B$9*4-核心参数输入!$B$112)),0),0)</f>
        <v>0</v>
      </c>
      <c r="BF53" s="9">
        <f>IF(54&lt;=核心参数输入!$B$9*4,IF(AND(54-核心参数输入!$B$112&gt;=0,54-核心参数输入!$B$112&lt;=120),INDEX(季度经营税费!$D$51:$DT$51,1,MAX(1,MIN(121,54-核心参数输入!$B$112+1))),0)+IF(54=核心参数输入!$B$9*4,SUMPRODUCT(季度经营税费!$D$51:$DT$51,--(季度经营税费!$D$4:$DT$4&gt;核心参数输入!$B$9*4-核心参数输入!$B$112)),0),0)</f>
        <v>0</v>
      </c>
      <c r="BG53" s="9">
        <f>IF(55&lt;=核心参数输入!$B$9*4,IF(AND(55-核心参数输入!$B$112&gt;=0,55-核心参数输入!$B$112&lt;=120),INDEX(季度经营税费!$D$51:$DT$51,1,MAX(1,MIN(121,55-核心参数输入!$B$112+1))),0)+IF(55=核心参数输入!$B$9*4,SUMPRODUCT(季度经营税费!$D$51:$DT$51,--(季度经营税费!$D$4:$DT$4&gt;核心参数输入!$B$9*4-核心参数输入!$B$112)),0),0)</f>
        <v>0</v>
      </c>
      <c r="BH53" s="9">
        <f>IF(56&lt;=核心参数输入!$B$9*4,IF(AND(56-核心参数输入!$B$112&gt;=0,56-核心参数输入!$B$112&lt;=120),INDEX(季度经营税费!$D$51:$DT$51,1,MAX(1,MIN(121,56-核心参数输入!$B$112+1))),0)+IF(56=核心参数输入!$B$9*4,SUMPRODUCT(季度经营税费!$D$51:$DT$51,--(季度经营税费!$D$4:$DT$4&gt;核心参数输入!$B$9*4-核心参数输入!$B$112)),0),0)</f>
        <v>0</v>
      </c>
      <c r="BI53" s="9">
        <f>IF(57&lt;=核心参数输入!$B$9*4,IF(AND(57-核心参数输入!$B$112&gt;=0,57-核心参数输入!$B$112&lt;=120),INDEX(季度经营税费!$D$51:$DT$51,1,MAX(1,MIN(121,57-核心参数输入!$B$112+1))),0)+IF(57=核心参数输入!$B$9*4,SUMPRODUCT(季度经营税费!$D$51:$DT$51,--(季度经营税费!$D$4:$DT$4&gt;核心参数输入!$B$9*4-核心参数输入!$B$112)),0),0)</f>
        <v>0</v>
      </c>
      <c r="BJ53" s="9">
        <f>IF(58&lt;=核心参数输入!$B$9*4,IF(AND(58-核心参数输入!$B$112&gt;=0,58-核心参数输入!$B$112&lt;=120),INDEX(季度经营税费!$D$51:$DT$51,1,MAX(1,MIN(121,58-核心参数输入!$B$112+1))),0)+IF(58=核心参数输入!$B$9*4,SUMPRODUCT(季度经营税费!$D$51:$DT$51,--(季度经营税费!$D$4:$DT$4&gt;核心参数输入!$B$9*4-核心参数输入!$B$112)),0),0)</f>
        <v>0</v>
      </c>
      <c r="BK53" s="9">
        <f>IF(59&lt;=核心参数输入!$B$9*4,IF(AND(59-核心参数输入!$B$112&gt;=0,59-核心参数输入!$B$112&lt;=120),INDEX(季度经营税费!$D$51:$DT$51,1,MAX(1,MIN(121,59-核心参数输入!$B$112+1))),0)+IF(59=核心参数输入!$B$9*4,SUMPRODUCT(季度经营税费!$D$51:$DT$51,--(季度经营税费!$D$4:$DT$4&gt;核心参数输入!$B$9*4-核心参数输入!$B$112)),0),0)</f>
        <v>0</v>
      </c>
      <c r="BL53" s="9">
        <f>IF(60&lt;=核心参数输入!$B$9*4,IF(AND(60-核心参数输入!$B$112&gt;=0,60-核心参数输入!$B$112&lt;=120),INDEX(季度经营税费!$D$51:$DT$51,1,MAX(1,MIN(121,60-核心参数输入!$B$112+1))),0)+IF(60=核心参数输入!$B$9*4,SUMPRODUCT(季度经营税费!$D$51:$DT$51,--(季度经营税费!$D$4:$DT$4&gt;核心参数输入!$B$9*4-核心参数输入!$B$112)),0),0)</f>
        <v>0</v>
      </c>
      <c r="BM53" s="9">
        <f>IF(61&lt;=核心参数输入!$B$9*4,IF(AND(61-核心参数输入!$B$112&gt;=0,61-核心参数输入!$B$112&lt;=120),INDEX(季度经营税费!$D$51:$DT$51,1,MAX(1,MIN(121,61-核心参数输入!$B$112+1))),0)+IF(61=核心参数输入!$B$9*4,SUMPRODUCT(季度经营税费!$D$51:$DT$51,--(季度经营税费!$D$4:$DT$4&gt;核心参数输入!$B$9*4-核心参数输入!$B$112)),0),0)</f>
        <v>0</v>
      </c>
      <c r="BN53" s="9">
        <f>IF(62&lt;=核心参数输入!$B$9*4,IF(AND(62-核心参数输入!$B$112&gt;=0,62-核心参数输入!$B$112&lt;=120),INDEX(季度经营税费!$D$51:$DT$51,1,MAX(1,MIN(121,62-核心参数输入!$B$112+1))),0)+IF(62=核心参数输入!$B$9*4,SUMPRODUCT(季度经营税费!$D$51:$DT$51,--(季度经营税费!$D$4:$DT$4&gt;核心参数输入!$B$9*4-核心参数输入!$B$112)),0),0)</f>
        <v>0</v>
      </c>
      <c r="BO53" s="9">
        <f>IF(63&lt;=核心参数输入!$B$9*4,IF(AND(63-核心参数输入!$B$112&gt;=0,63-核心参数输入!$B$112&lt;=120),INDEX(季度经营税费!$D$51:$DT$51,1,MAX(1,MIN(121,63-核心参数输入!$B$112+1))),0)+IF(63=核心参数输入!$B$9*4,SUMPRODUCT(季度经营税费!$D$51:$DT$51,--(季度经营税费!$D$4:$DT$4&gt;核心参数输入!$B$9*4-核心参数输入!$B$112)),0),0)</f>
        <v>0</v>
      </c>
      <c r="BP53" s="9">
        <f>IF(64&lt;=核心参数输入!$B$9*4,IF(AND(64-核心参数输入!$B$112&gt;=0,64-核心参数输入!$B$112&lt;=120),INDEX(季度经营税费!$D$51:$DT$51,1,MAX(1,MIN(121,64-核心参数输入!$B$112+1))),0)+IF(64=核心参数输入!$B$9*4,SUMPRODUCT(季度经营税费!$D$51:$DT$51,--(季度经营税费!$D$4:$DT$4&gt;核心参数输入!$B$9*4-核心参数输入!$B$112)),0),0)</f>
        <v>0</v>
      </c>
      <c r="BQ53" s="9">
        <f>IF(65&lt;=核心参数输入!$B$9*4,IF(AND(65-核心参数输入!$B$112&gt;=0,65-核心参数输入!$B$112&lt;=120),INDEX(季度经营税费!$D$51:$DT$51,1,MAX(1,MIN(121,65-核心参数输入!$B$112+1))),0)+IF(65=核心参数输入!$B$9*4,SUMPRODUCT(季度经营税费!$D$51:$DT$51,--(季度经营税费!$D$4:$DT$4&gt;核心参数输入!$B$9*4-核心参数输入!$B$112)),0),0)</f>
        <v>0</v>
      </c>
      <c r="BR53" s="9">
        <f>IF(66&lt;=核心参数输入!$B$9*4,IF(AND(66-核心参数输入!$B$112&gt;=0,66-核心参数输入!$B$112&lt;=120),INDEX(季度经营税费!$D$51:$DT$51,1,MAX(1,MIN(121,66-核心参数输入!$B$112+1))),0)+IF(66=核心参数输入!$B$9*4,SUMPRODUCT(季度经营税费!$D$51:$DT$51,--(季度经营税费!$D$4:$DT$4&gt;核心参数输入!$B$9*4-核心参数输入!$B$112)),0),0)</f>
        <v>0</v>
      </c>
      <c r="BS53" s="9">
        <f>IF(67&lt;=核心参数输入!$B$9*4,IF(AND(67-核心参数输入!$B$112&gt;=0,67-核心参数输入!$B$112&lt;=120),INDEX(季度经营税费!$D$51:$DT$51,1,MAX(1,MIN(121,67-核心参数输入!$B$112+1))),0)+IF(67=核心参数输入!$B$9*4,SUMPRODUCT(季度经营税费!$D$51:$DT$51,--(季度经营税费!$D$4:$DT$4&gt;核心参数输入!$B$9*4-核心参数输入!$B$112)),0),0)</f>
        <v>0</v>
      </c>
      <c r="BT53" s="9">
        <f>IF(68&lt;=核心参数输入!$B$9*4,IF(AND(68-核心参数输入!$B$112&gt;=0,68-核心参数输入!$B$112&lt;=120),INDEX(季度经营税费!$D$51:$DT$51,1,MAX(1,MIN(121,68-核心参数输入!$B$112+1))),0)+IF(68=核心参数输入!$B$9*4,SUMPRODUCT(季度经营税费!$D$51:$DT$51,--(季度经营税费!$D$4:$DT$4&gt;核心参数输入!$B$9*4-核心参数输入!$B$112)),0),0)</f>
        <v>0</v>
      </c>
      <c r="BU53" s="9">
        <f>IF(69&lt;=核心参数输入!$B$9*4,IF(AND(69-核心参数输入!$B$112&gt;=0,69-核心参数输入!$B$112&lt;=120),INDEX(季度经营税费!$D$51:$DT$51,1,MAX(1,MIN(121,69-核心参数输入!$B$112+1))),0)+IF(69=核心参数输入!$B$9*4,SUMPRODUCT(季度经营税费!$D$51:$DT$51,--(季度经营税费!$D$4:$DT$4&gt;核心参数输入!$B$9*4-核心参数输入!$B$112)),0),0)</f>
        <v>0</v>
      </c>
      <c r="BV53" s="9">
        <f>IF(70&lt;=核心参数输入!$B$9*4,IF(AND(70-核心参数输入!$B$112&gt;=0,70-核心参数输入!$B$112&lt;=120),INDEX(季度经营税费!$D$51:$DT$51,1,MAX(1,MIN(121,70-核心参数输入!$B$112+1))),0)+IF(70=核心参数输入!$B$9*4,SUMPRODUCT(季度经营税费!$D$51:$DT$51,--(季度经营税费!$D$4:$DT$4&gt;核心参数输入!$B$9*4-核心参数输入!$B$112)),0),0)</f>
        <v>0</v>
      </c>
      <c r="BW53" s="9">
        <f>IF(71&lt;=核心参数输入!$B$9*4,IF(AND(71-核心参数输入!$B$112&gt;=0,71-核心参数输入!$B$112&lt;=120),INDEX(季度经营税费!$D$51:$DT$51,1,MAX(1,MIN(121,71-核心参数输入!$B$112+1))),0)+IF(71=核心参数输入!$B$9*4,SUMPRODUCT(季度经营税费!$D$51:$DT$51,--(季度经营税费!$D$4:$DT$4&gt;核心参数输入!$B$9*4-核心参数输入!$B$112)),0),0)</f>
        <v>0</v>
      </c>
      <c r="BX53" s="9">
        <f>IF(72&lt;=核心参数输入!$B$9*4,IF(AND(72-核心参数输入!$B$112&gt;=0,72-核心参数输入!$B$112&lt;=120),INDEX(季度经营税费!$D$51:$DT$51,1,MAX(1,MIN(121,72-核心参数输入!$B$112+1))),0)+IF(72=核心参数输入!$B$9*4,SUMPRODUCT(季度经营税费!$D$51:$DT$51,--(季度经营税费!$D$4:$DT$4&gt;核心参数输入!$B$9*4-核心参数输入!$B$112)),0),0)</f>
        <v>0</v>
      </c>
      <c r="BY53" s="9">
        <f>IF(73&lt;=核心参数输入!$B$9*4,IF(AND(73-核心参数输入!$B$112&gt;=0,73-核心参数输入!$B$112&lt;=120),INDEX(季度经营税费!$D$51:$DT$51,1,MAX(1,MIN(121,73-核心参数输入!$B$112+1))),0)+IF(73=核心参数输入!$B$9*4,SUMPRODUCT(季度经营税费!$D$51:$DT$51,--(季度经营税费!$D$4:$DT$4&gt;核心参数输入!$B$9*4-核心参数输入!$B$112)),0),0)</f>
        <v>0</v>
      </c>
      <c r="BZ53" s="9">
        <f>IF(74&lt;=核心参数输入!$B$9*4,IF(AND(74-核心参数输入!$B$112&gt;=0,74-核心参数输入!$B$112&lt;=120),INDEX(季度经营税费!$D$51:$DT$51,1,MAX(1,MIN(121,74-核心参数输入!$B$112+1))),0)+IF(74=核心参数输入!$B$9*4,SUMPRODUCT(季度经营税费!$D$51:$DT$51,--(季度经营税费!$D$4:$DT$4&gt;核心参数输入!$B$9*4-核心参数输入!$B$112)),0),0)</f>
        <v>0</v>
      </c>
      <c r="CA53" s="9">
        <f>IF(75&lt;=核心参数输入!$B$9*4,IF(AND(75-核心参数输入!$B$112&gt;=0,75-核心参数输入!$B$112&lt;=120),INDEX(季度经营税费!$D$51:$DT$51,1,MAX(1,MIN(121,75-核心参数输入!$B$112+1))),0)+IF(75=核心参数输入!$B$9*4,SUMPRODUCT(季度经营税费!$D$51:$DT$51,--(季度经营税费!$D$4:$DT$4&gt;核心参数输入!$B$9*4-核心参数输入!$B$112)),0),0)</f>
        <v>0</v>
      </c>
      <c r="CB53" s="9">
        <f>IF(76&lt;=核心参数输入!$B$9*4,IF(AND(76-核心参数输入!$B$112&gt;=0,76-核心参数输入!$B$112&lt;=120),INDEX(季度经营税费!$D$51:$DT$51,1,MAX(1,MIN(121,76-核心参数输入!$B$112+1))),0)+IF(76=核心参数输入!$B$9*4,SUMPRODUCT(季度经营税费!$D$51:$DT$51,--(季度经营税费!$D$4:$DT$4&gt;核心参数输入!$B$9*4-核心参数输入!$B$112)),0),0)</f>
        <v>0</v>
      </c>
      <c r="CC53" s="9">
        <f>IF(77&lt;=核心参数输入!$B$9*4,IF(AND(77-核心参数输入!$B$112&gt;=0,77-核心参数输入!$B$112&lt;=120),INDEX(季度经营税费!$D$51:$DT$51,1,MAX(1,MIN(121,77-核心参数输入!$B$112+1))),0)+IF(77=核心参数输入!$B$9*4,SUMPRODUCT(季度经营税费!$D$51:$DT$51,--(季度经营税费!$D$4:$DT$4&gt;核心参数输入!$B$9*4-核心参数输入!$B$112)),0),0)</f>
        <v>0</v>
      </c>
      <c r="CD53" s="9">
        <f>IF(78&lt;=核心参数输入!$B$9*4,IF(AND(78-核心参数输入!$B$112&gt;=0,78-核心参数输入!$B$112&lt;=120),INDEX(季度经营税费!$D$51:$DT$51,1,MAX(1,MIN(121,78-核心参数输入!$B$112+1))),0)+IF(78=核心参数输入!$B$9*4,SUMPRODUCT(季度经营税费!$D$51:$DT$51,--(季度经营税费!$D$4:$DT$4&gt;核心参数输入!$B$9*4-核心参数输入!$B$112)),0),0)</f>
        <v>0</v>
      </c>
      <c r="CE53" s="9">
        <f>IF(79&lt;=核心参数输入!$B$9*4,IF(AND(79-核心参数输入!$B$112&gt;=0,79-核心参数输入!$B$112&lt;=120),INDEX(季度经营税费!$D$51:$DT$51,1,MAX(1,MIN(121,79-核心参数输入!$B$112+1))),0)+IF(79=核心参数输入!$B$9*4,SUMPRODUCT(季度经营税费!$D$51:$DT$51,--(季度经营税费!$D$4:$DT$4&gt;核心参数输入!$B$9*4-核心参数输入!$B$112)),0),0)</f>
        <v>0</v>
      </c>
      <c r="CF53" s="9">
        <f>IF(80&lt;=核心参数输入!$B$9*4,IF(AND(80-核心参数输入!$B$112&gt;=0,80-核心参数输入!$B$112&lt;=120),INDEX(季度经营税费!$D$51:$DT$51,1,MAX(1,MIN(121,80-核心参数输入!$B$112+1))),0)+IF(80=核心参数输入!$B$9*4,SUMPRODUCT(季度经营税费!$D$51:$DT$51,--(季度经营税费!$D$4:$DT$4&gt;核心参数输入!$B$9*4-核心参数输入!$B$112)),0),0)</f>
        <v>0</v>
      </c>
      <c r="CG53" s="9">
        <f>IF(81&lt;=核心参数输入!$B$9*4,IF(AND(81-核心参数输入!$B$112&gt;=0,81-核心参数输入!$B$112&lt;=120),INDEX(季度经营税费!$D$51:$DT$51,1,MAX(1,MIN(121,81-核心参数输入!$B$112+1))),0)+IF(81=核心参数输入!$B$9*4,SUMPRODUCT(季度经营税费!$D$51:$DT$51,--(季度经营税费!$D$4:$DT$4&gt;核心参数输入!$B$9*4-核心参数输入!$B$112)),0),0)</f>
        <v>0</v>
      </c>
      <c r="CH53" s="9">
        <f>IF(82&lt;=核心参数输入!$B$9*4,IF(AND(82-核心参数输入!$B$112&gt;=0,82-核心参数输入!$B$112&lt;=120),INDEX(季度经营税费!$D$51:$DT$51,1,MAX(1,MIN(121,82-核心参数输入!$B$112+1))),0)+IF(82=核心参数输入!$B$9*4,SUMPRODUCT(季度经营税费!$D$51:$DT$51,--(季度经营税费!$D$4:$DT$4&gt;核心参数输入!$B$9*4-核心参数输入!$B$112)),0),0)</f>
        <v>0</v>
      </c>
      <c r="CI53" s="9">
        <f>IF(83&lt;=核心参数输入!$B$9*4,IF(AND(83-核心参数输入!$B$112&gt;=0,83-核心参数输入!$B$112&lt;=120),INDEX(季度经营税费!$D$51:$DT$51,1,MAX(1,MIN(121,83-核心参数输入!$B$112+1))),0)+IF(83=核心参数输入!$B$9*4,SUMPRODUCT(季度经营税费!$D$51:$DT$51,--(季度经营税费!$D$4:$DT$4&gt;核心参数输入!$B$9*4-核心参数输入!$B$112)),0),0)</f>
        <v>0</v>
      </c>
      <c r="CJ53" s="9">
        <f>IF(84&lt;=核心参数输入!$B$9*4,IF(AND(84-核心参数输入!$B$112&gt;=0,84-核心参数输入!$B$112&lt;=120),INDEX(季度经营税费!$D$51:$DT$51,1,MAX(1,MIN(121,84-核心参数输入!$B$112+1))),0)+IF(84=核心参数输入!$B$9*4,SUMPRODUCT(季度经营税费!$D$51:$DT$51,--(季度经营税费!$D$4:$DT$4&gt;核心参数输入!$B$9*4-核心参数输入!$B$112)),0),0)</f>
        <v>0</v>
      </c>
      <c r="CK53" s="9">
        <f>IF(85&lt;=核心参数输入!$B$9*4,IF(AND(85-核心参数输入!$B$112&gt;=0,85-核心参数输入!$B$112&lt;=120),INDEX(季度经营税费!$D$51:$DT$51,1,MAX(1,MIN(121,85-核心参数输入!$B$112+1))),0)+IF(85=核心参数输入!$B$9*4,SUMPRODUCT(季度经营税费!$D$51:$DT$51,--(季度经营税费!$D$4:$DT$4&gt;核心参数输入!$B$9*4-核心参数输入!$B$112)),0),0)</f>
        <v>0</v>
      </c>
      <c r="CL53" s="9">
        <f>IF(86&lt;=核心参数输入!$B$9*4,IF(AND(86-核心参数输入!$B$112&gt;=0,86-核心参数输入!$B$112&lt;=120),INDEX(季度经营税费!$D$51:$DT$51,1,MAX(1,MIN(121,86-核心参数输入!$B$112+1))),0)+IF(86=核心参数输入!$B$9*4,SUMPRODUCT(季度经营税费!$D$51:$DT$51,--(季度经营税费!$D$4:$DT$4&gt;核心参数输入!$B$9*4-核心参数输入!$B$112)),0),0)</f>
        <v>0</v>
      </c>
      <c r="CM53" s="9">
        <f>IF(87&lt;=核心参数输入!$B$9*4,IF(AND(87-核心参数输入!$B$112&gt;=0,87-核心参数输入!$B$112&lt;=120),INDEX(季度经营税费!$D$51:$DT$51,1,MAX(1,MIN(121,87-核心参数输入!$B$112+1))),0)+IF(87=核心参数输入!$B$9*4,SUMPRODUCT(季度经营税费!$D$51:$DT$51,--(季度经营税费!$D$4:$DT$4&gt;核心参数输入!$B$9*4-核心参数输入!$B$112)),0),0)</f>
        <v>0</v>
      </c>
      <c r="CN53" s="9">
        <f>IF(88&lt;=核心参数输入!$B$9*4,IF(AND(88-核心参数输入!$B$112&gt;=0,88-核心参数输入!$B$112&lt;=120),INDEX(季度经营税费!$D$51:$DT$51,1,MAX(1,MIN(121,88-核心参数输入!$B$112+1))),0)+IF(88=核心参数输入!$B$9*4,SUMPRODUCT(季度经营税费!$D$51:$DT$51,--(季度经营税费!$D$4:$DT$4&gt;核心参数输入!$B$9*4-核心参数输入!$B$112)),0),0)</f>
        <v>0</v>
      </c>
      <c r="CO53" s="9">
        <f>IF(89&lt;=核心参数输入!$B$9*4,IF(AND(89-核心参数输入!$B$112&gt;=0,89-核心参数输入!$B$112&lt;=120),INDEX(季度经营税费!$D$51:$DT$51,1,MAX(1,MIN(121,89-核心参数输入!$B$112+1))),0)+IF(89=核心参数输入!$B$9*4,SUMPRODUCT(季度经营税费!$D$51:$DT$51,--(季度经营税费!$D$4:$DT$4&gt;核心参数输入!$B$9*4-核心参数输入!$B$112)),0),0)</f>
        <v>0</v>
      </c>
      <c r="CP53" s="9">
        <f>IF(90&lt;=核心参数输入!$B$9*4,IF(AND(90-核心参数输入!$B$112&gt;=0,90-核心参数输入!$B$112&lt;=120),INDEX(季度经营税费!$D$51:$DT$51,1,MAX(1,MIN(121,90-核心参数输入!$B$112+1))),0)+IF(90=核心参数输入!$B$9*4,SUMPRODUCT(季度经营税费!$D$51:$DT$51,--(季度经营税费!$D$4:$DT$4&gt;核心参数输入!$B$9*4-核心参数输入!$B$112)),0),0)</f>
        <v>0</v>
      </c>
      <c r="CQ53" s="9">
        <f>IF(91&lt;=核心参数输入!$B$9*4,IF(AND(91-核心参数输入!$B$112&gt;=0,91-核心参数输入!$B$112&lt;=120),INDEX(季度经营税费!$D$51:$DT$51,1,MAX(1,MIN(121,91-核心参数输入!$B$112+1))),0)+IF(91=核心参数输入!$B$9*4,SUMPRODUCT(季度经营税费!$D$51:$DT$51,--(季度经营税费!$D$4:$DT$4&gt;核心参数输入!$B$9*4-核心参数输入!$B$112)),0),0)</f>
        <v>0</v>
      </c>
      <c r="CR53" s="9">
        <f>IF(92&lt;=核心参数输入!$B$9*4,IF(AND(92-核心参数输入!$B$112&gt;=0,92-核心参数输入!$B$112&lt;=120),INDEX(季度经营税费!$D$51:$DT$51,1,MAX(1,MIN(121,92-核心参数输入!$B$112+1))),0)+IF(92=核心参数输入!$B$9*4,SUMPRODUCT(季度经营税费!$D$51:$DT$51,--(季度经营税费!$D$4:$DT$4&gt;核心参数输入!$B$9*4-核心参数输入!$B$112)),0),0)</f>
        <v>0</v>
      </c>
      <c r="CS53" s="9">
        <f>IF(93&lt;=核心参数输入!$B$9*4,IF(AND(93-核心参数输入!$B$112&gt;=0,93-核心参数输入!$B$112&lt;=120),INDEX(季度经营税费!$D$51:$DT$51,1,MAX(1,MIN(121,93-核心参数输入!$B$112+1))),0)+IF(93=核心参数输入!$B$9*4,SUMPRODUCT(季度经营税费!$D$51:$DT$51,--(季度经营税费!$D$4:$DT$4&gt;核心参数输入!$B$9*4-核心参数输入!$B$112)),0),0)</f>
        <v>0</v>
      </c>
      <c r="CT53" s="9">
        <f>IF(94&lt;=核心参数输入!$B$9*4,IF(AND(94-核心参数输入!$B$112&gt;=0,94-核心参数输入!$B$112&lt;=120),INDEX(季度经营税费!$D$51:$DT$51,1,MAX(1,MIN(121,94-核心参数输入!$B$112+1))),0)+IF(94=核心参数输入!$B$9*4,SUMPRODUCT(季度经营税费!$D$51:$DT$51,--(季度经营税费!$D$4:$DT$4&gt;核心参数输入!$B$9*4-核心参数输入!$B$112)),0),0)</f>
        <v>0</v>
      </c>
      <c r="CU53" s="9">
        <f>IF(95&lt;=核心参数输入!$B$9*4,IF(AND(95-核心参数输入!$B$112&gt;=0,95-核心参数输入!$B$112&lt;=120),INDEX(季度经营税费!$D$51:$DT$51,1,MAX(1,MIN(121,95-核心参数输入!$B$112+1))),0)+IF(95=核心参数输入!$B$9*4,SUMPRODUCT(季度经营税费!$D$51:$DT$51,--(季度经营税费!$D$4:$DT$4&gt;核心参数输入!$B$9*4-核心参数输入!$B$112)),0),0)</f>
        <v>0</v>
      </c>
      <c r="CV53" s="9">
        <f>IF(96&lt;=核心参数输入!$B$9*4,IF(AND(96-核心参数输入!$B$112&gt;=0,96-核心参数输入!$B$112&lt;=120),INDEX(季度经营税费!$D$51:$DT$51,1,MAX(1,MIN(121,96-核心参数输入!$B$112+1))),0)+IF(96=核心参数输入!$B$9*4,SUMPRODUCT(季度经营税费!$D$51:$DT$51,--(季度经营税费!$D$4:$DT$4&gt;核心参数输入!$B$9*4-核心参数输入!$B$112)),0),0)</f>
        <v>0</v>
      </c>
      <c r="CW53" s="9">
        <f>IF(97&lt;=核心参数输入!$B$9*4,IF(AND(97-核心参数输入!$B$112&gt;=0,97-核心参数输入!$B$112&lt;=120),INDEX(季度经营税费!$D$51:$DT$51,1,MAX(1,MIN(121,97-核心参数输入!$B$112+1))),0)+IF(97=核心参数输入!$B$9*4,SUMPRODUCT(季度经营税费!$D$51:$DT$51,--(季度经营税费!$D$4:$DT$4&gt;核心参数输入!$B$9*4-核心参数输入!$B$112)),0),0)</f>
        <v>0</v>
      </c>
      <c r="CX53" s="9">
        <f>IF(98&lt;=核心参数输入!$B$9*4,IF(AND(98-核心参数输入!$B$112&gt;=0,98-核心参数输入!$B$112&lt;=120),INDEX(季度经营税费!$D$51:$DT$51,1,MAX(1,MIN(121,98-核心参数输入!$B$112+1))),0)+IF(98=核心参数输入!$B$9*4,SUMPRODUCT(季度经营税费!$D$51:$DT$51,--(季度经营税费!$D$4:$DT$4&gt;核心参数输入!$B$9*4-核心参数输入!$B$112)),0),0)</f>
        <v>0</v>
      </c>
      <c r="CY53" s="9">
        <f>IF(99&lt;=核心参数输入!$B$9*4,IF(AND(99-核心参数输入!$B$112&gt;=0,99-核心参数输入!$B$112&lt;=120),INDEX(季度经营税费!$D$51:$DT$51,1,MAX(1,MIN(121,99-核心参数输入!$B$112+1))),0)+IF(99=核心参数输入!$B$9*4,SUMPRODUCT(季度经营税费!$D$51:$DT$51,--(季度经营税费!$D$4:$DT$4&gt;核心参数输入!$B$9*4-核心参数输入!$B$112)),0),0)</f>
        <v>0</v>
      </c>
      <c r="CZ53" s="9">
        <f>IF(100&lt;=核心参数输入!$B$9*4,IF(AND(100-核心参数输入!$B$112&gt;=0,100-核心参数输入!$B$112&lt;=120),INDEX(季度经营税费!$D$51:$DT$51,1,MAX(1,MIN(121,100-核心参数输入!$B$112+1))),0)+IF(100=核心参数输入!$B$9*4,SUMPRODUCT(季度经营税费!$D$51:$DT$51,--(季度经营税费!$D$4:$DT$4&gt;核心参数输入!$B$9*4-核心参数输入!$B$112)),0),0)</f>
        <v>0</v>
      </c>
      <c r="DA53" s="9">
        <f>IF(101&lt;=核心参数输入!$B$9*4,IF(AND(101-核心参数输入!$B$112&gt;=0,101-核心参数输入!$B$112&lt;=120),INDEX(季度经营税费!$D$51:$DT$51,1,MAX(1,MIN(121,101-核心参数输入!$B$112+1))),0)+IF(101=核心参数输入!$B$9*4,SUMPRODUCT(季度经营税费!$D$51:$DT$51,--(季度经营税费!$D$4:$DT$4&gt;核心参数输入!$B$9*4-核心参数输入!$B$112)),0),0)</f>
        <v>0</v>
      </c>
      <c r="DB53" s="9">
        <f>IF(102&lt;=核心参数输入!$B$9*4,IF(AND(102-核心参数输入!$B$112&gt;=0,102-核心参数输入!$B$112&lt;=120),INDEX(季度经营税费!$D$51:$DT$51,1,MAX(1,MIN(121,102-核心参数输入!$B$112+1))),0)+IF(102=核心参数输入!$B$9*4,SUMPRODUCT(季度经营税费!$D$51:$DT$51,--(季度经营税费!$D$4:$DT$4&gt;核心参数输入!$B$9*4-核心参数输入!$B$112)),0),0)</f>
        <v>0</v>
      </c>
      <c r="DC53" s="9">
        <f>IF(103&lt;=核心参数输入!$B$9*4,IF(AND(103-核心参数输入!$B$112&gt;=0,103-核心参数输入!$B$112&lt;=120),INDEX(季度经营税费!$D$51:$DT$51,1,MAX(1,MIN(121,103-核心参数输入!$B$112+1))),0)+IF(103=核心参数输入!$B$9*4,SUMPRODUCT(季度经营税费!$D$51:$DT$51,--(季度经营税费!$D$4:$DT$4&gt;核心参数输入!$B$9*4-核心参数输入!$B$112)),0),0)</f>
        <v>0</v>
      </c>
      <c r="DD53" s="9">
        <f>IF(104&lt;=核心参数输入!$B$9*4,IF(AND(104-核心参数输入!$B$112&gt;=0,104-核心参数输入!$B$112&lt;=120),INDEX(季度经营税费!$D$51:$DT$51,1,MAX(1,MIN(121,104-核心参数输入!$B$112+1))),0)+IF(104=核心参数输入!$B$9*4,SUMPRODUCT(季度经营税费!$D$51:$DT$51,--(季度经营税费!$D$4:$DT$4&gt;核心参数输入!$B$9*4-核心参数输入!$B$112)),0),0)</f>
        <v>0</v>
      </c>
      <c r="DE53" s="9">
        <f>IF(105&lt;=核心参数输入!$B$9*4,IF(AND(105-核心参数输入!$B$112&gt;=0,105-核心参数输入!$B$112&lt;=120),INDEX(季度经营税费!$D$51:$DT$51,1,MAX(1,MIN(121,105-核心参数输入!$B$112+1))),0)+IF(105=核心参数输入!$B$9*4,SUMPRODUCT(季度经营税费!$D$51:$DT$51,--(季度经营税费!$D$4:$DT$4&gt;核心参数输入!$B$9*4-核心参数输入!$B$112)),0),0)</f>
        <v>0</v>
      </c>
      <c r="DF53" s="9">
        <f>IF(106&lt;=核心参数输入!$B$9*4,IF(AND(106-核心参数输入!$B$112&gt;=0,106-核心参数输入!$B$112&lt;=120),INDEX(季度经营税费!$D$51:$DT$51,1,MAX(1,MIN(121,106-核心参数输入!$B$112+1))),0)+IF(106=核心参数输入!$B$9*4,SUMPRODUCT(季度经营税费!$D$51:$DT$51,--(季度经营税费!$D$4:$DT$4&gt;核心参数输入!$B$9*4-核心参数输入!$B$112)),0),0)</f>
        <v>0</v>
      </c>
      <c r="DG53" s="9">
        <f>IF(107&lt;=核心参数输入!$B$9*4,IF(AND(107-核心参数输入!$B$112&gt;=0,107-核心参数输入!$B$112&lt;=120),INDEX(季度经营税费!$D$51:$DT$51,1,MAX(1,MIN(121,107-核心参数输入!$B$112+1))),0)+IF(107=核心参数输入!$B$9*4,SUMPRODUCT(季度经营税费!$D$51:$DT$51,--(季度经营税费!$D$4:$DT$4&gt;核心参数输入!$B$9*4-核心参数输入!$B$112)),0),0)</f>
        <v>0</v>
      </c>
      <c r="DH53" s="9">
        <f>IF(108&lt;=核心参数输入!$B$9*4,IF(AND(108-核心参数输入!$B$112&gt;=0,108-核心参数输入!$B$112&lt;=120),INDEX(季度经营税费!$D$51:$DT$51,1,MAX(1,MIN(121,108-核心参数输入!$B$112+1))),0)+IF(108=核心参数输入!$B$9*4,SUMPRODUCT(季度经营税费!$D$51:$DT$51,--(季度经营税费!$D$4:$DT$4&gt;核心参数输入!$B$9*4-核心参数输入!$B$112)),0),0)</f>
        <v>0</v>
      </c>
      <c r="DI53" s="9">
        <f>IF(109&lt;=核心参数输入!$B$9*4,IF(AND(109-核心参数输入!$B$112&gt;=0,109-核心参数输入!$B$112&lt;=120),INDEX(季度经营税费!$D$51:$DT$51,1,MAX(1,MIN(121,109-核心参数输入!$B$112+1))),0)+IF(109=核心参数输入!$B$9*4,SUMPRODUCT(季度经营税费!$D$51:$DT$51,--(季度经营税费!$D$4:$DT$4&gt;核心参数输入!$B$9*4-核心参数输入!$B$112)),0),0)</f>
        <v>0</v>
      </c>
      <c r="DJ53" s="9">
        <f>IF(110&lt;=核心参数输入!$B$9*4,IF(AND(110-核心参数输入!$B$112&gt;=0,110-核心参数输入!$B$112&lt;=120),INDEX(季度经营税费!$D$51:$DT$51,1,MAX(1,MIN(121,110-核心参数输入!$B$112+1))),0)+IF(110=核心参数输入!$B$9*4,SUMPRODUCT(季度经营税费!$D$51:$DT$51,--(季度经营税费!$D$4:$DT$4&gt;核心参数输入!$B$9*4-核心参数输入!$B$112)),0),0)</f>
        <v>0</v>
      </c>
      <c r="DK53" s="9">
        <f>IF(111&lt;=核心参数输入!$B$9*4,IF(AND(111-核心参数输入!$B$112&gt;=0,111-核心参数输入!$B$112&lt;=120),INDEX(季度经营税费!$D$51:$DT$51,1,MAX(1,MIN(121,111-核心参数输入!$B$112+1))),0)+IF(111=核心参数输入!$B$9*4,SUMPRODUCT(季度经营税费!$D$51:$DT$51,--(季度经营税费!$D$4:$DT$4&gt;核心参数输入!$B$9*4-核心参数输入!$B$112)),0),0)</f>
        <v>0</v>
      </c>
      <c r="DL53" s="9">
        <f>IF(112&lt;=核心参数输入!$B$9*4,IF(AND(112-核心参数输入!$B$112&gt;=0,112-核心参数输入!$B$112&lt;=120),INDEX(季度经营税费!$D$51:$DT$51,1,MAX(1,MIN(121,112-核心参数输入!$B$112+1))),0)+IF(112=核心参数输入!$B$9*4,SUMPRODUCT(季度经营税费!$D$51:$DT$51,--(季度经营税费!$D$4:$DT$4&gt;核心参数输入!$B$9*4-核心参数输入!$B$112)),0),0)</f>
        <v>0</v>
      </c>
      <c r="DM53" s="9">
        <f>IF(113&lt;=核心参数输入!$B$9*4,IF(AND(113-核心参数输入!$B$112&gt;=0,113-核心参数输入!$B$112&lt;=120),INDEX(季度经营税费!$D$51:$DT$51,1,MAX(1,MIN(121,113-核心参数输入!$B$112+1))),0)+IF(113=核心参数输入!$B$9*4,SUMPRODUCT(季度经营税费!$D$51:$DT$51,--(季度经营税费!$D$4:$DT$4&gt;核心参数输入!$B$9*4-核心参数输入!$B$112)),0),0)</f>
        <v>0</v>
      </c>
      <c r="DN53" s="9">
        <f>IF(114&lt;=核心参数输入!$B$9*4,IF(AND(114-核心参数输入!$B$112&gt;=0,114-核心参数输入!$B$112&lt;=120),INDEX(季度经营税费!$D$51:$DT$51,1,MAX(1,MIN(121,114-核心参数输入!$B$112+1))),0)+IF(114=核心参数输入!$B$9*4,SUMPRODUCT(季度经营税费!$D$51:$DT$51,--(季度经营税费!$D$4:$DT$4&gt;核心参数输入!$B$9*4-核心参数输入!$B$112)),0),0)</f>
        <v>0</v>
      </c>
      <c r="DO53" s="9">
        <f>IF(115&lt;=核心参数输入!$B$9*4,IF(AND(115-核心参数输入!$B$112&gt;=0,115-核心参数输入!$B$112&lt;=120),INDEX(季度经营税费!$D$51:$DT$51,1,MAX(1,MIN(121,115-核心参数输入!$B$112+1))),0)+IF(115=核心参数输入!$B$9*4,SUMPRODUCT(季度经营税费!$D$51:$DT$51,--(季度经营税费!$D$4:$DT$4&gt;核心参数输入!$B$9*4-核心参数输入!$B$112)),0),0)</f>
        <v>0</v>
      </c>
      <c r="DP53" s="9">
        <f>IF(116&lt;=核心参数输入!$B$9*4,IF(AND(116-核心参数输入!$B$112&gt;=0,116-核心参数输入!$B$112&lt;=120),INDEX(季度经营税费!$D$51:$DT$51,1,MAX(1,MIN(121,116-核心参数输入!$B$112+1))),0)+IF(116=核心参数输入!$B$9*4,SUMPRODUCT(季度经营税费!$D$51:$DT$51,--(季度经营税费!$D$4:$DT$4&gt;核心参数输入!$B$9*4-核心参数输入!$B$112)),0),0)</f>
        <v>0</v>
      </c>
      <c r="DQ53" s="9">
        <f>IF(117&lt;=核心参数输入!$B$9*4,IF(AND(117-核心参数输入!$B$112&gt;=0,117-核心参数输入!$B$112&lt;=120),INDEX(季度经营税费!$D$51:$DT$51,1,MAX(1,MIN(121,117-核心参数输入!$B$112+1))),0)+IF(117=核心参数输入!$B$9*4,SUMPRODUCT(季度经营税费!$D$51:$DT$51,--(季度经营税费!$D$4:$DT$4&gt;核心参数输入!$B$9*4-核心参数输入!$B$112)),0),0)</f>
        <v>0</v>
      </c>
      <c r="DR53" s="9">
        <f>IF(118&lt;=核心参数输入!$B$9*4,IF(AND(118-核心参数输入!$B$112&gt;=0,118-核心参数输入!$B$112&lt;=120),INDEX(季度经营税费!$D$51:$DT$51,1,MAX(1,MIN(121,118-核心参数输入!$B$112+1))),0)+IF(118=核心参数输入!$B$9*4,SUMPRODUCT(季度经营税费!$D$51:$DT$51,--(季度经营税费!$D$4:$DT$4&gt;核心参数输入!$B$9*4-核心参数输入!$B$112)),0),0)</f>
        <v>0</v>
      </c>
      <c r="DS53" s="9">
        <f>IF(119&lt;=核心参数输入!$B$9*4,IF(AND(119-核心参数输入!$B$112&gt;=0,119-核心参数输入!$B$112&lt;=120),INDEX(季度经营税费!$D$51:$DT$51,1,MAX(1,MIN(121,119-核心参数输入!$B$112+1))),0)+IF(119=核心参数输入!$B$9*4,SUMPRODUCT(季度经营税费!$D$51:$DT$51,--(季度经营税费!$D$4:$DT$4&gt;核心参数输入!$B$9*4-核心参数输入!$B$112)),0),0)</f>
        <v>0</v>
      </c>
      <c r="DT53" s="9">
        <f>IF(120&lt;=核心参数输入!$B$9*4,IF(AND(120-核心参数输入!$B$112&gt;=0,120-核心参数输入!$B$112&lt;=120),INDEX(季度经营税费!$D$51:$DT$51,1,MAX(1,MIN(121,120-核心参数输入!$B$112+1))),0)+IF(120=核心参数输入!$B$9*4,SUMPRODUCT(季度经营税费!$D$51:$DT$51,--(季度经营税费!$D$4:$DT$4&gt;核心参数输入!$B$9*4-核心参数输入!$B$112)),0),0)</f>
        <v>0</v>
      </c>
    </row>
    <row r="54" spans="1:124" ht="21" customHeight="1">
      <c r="A54" s="8" t="s">
        <v>485</v>
      </c>
      <c r="B54" s="8" t="s">
        <v>39</v>
      </c>
      <c r="C54" s="8"/>
      <c r="D54" s="9">
        <f>IF(0&lt;=核心参数输入!$B$9*4,IF(AND(0-核心参数输入!$B$112&gt;=0,0-核心参数输入!$B$112&lt;=120),INDEX(季度经营税费!$D$36:$DT$36,1,MAX(1,MIN(121,0-核心参数输入!$B$112+1))),0)+IF(0=核心参数输入!$B$9*4,SUMPRODUCT(季度经营税费!$D$36:$DT$36,--(季度经营税费!$D$4:$DT$4&gt;核心参数输入!$B$9*4-核心参数输入!$B$112)),0)+IF(AND(0-核心参数输入!$B$112&gt;=0,0-核心参数输入!$B$112&lt;=120),INDEX(季度经营税费!$D$40:$DT$40,1,MAX(1,MIN(121,0-核心参数输入!$B$112+1))),0)+IF(0=核心参数输入!$B$9*4,SUMPRODUCT(季度经营税费!$D$40:$DT$40,--(季度经营税费!$D$4:$DT$4&gt;核心参数输入!$B$9*4-核心参数输入!$B$112)),0),0)</f>
        <v>0</v>
      </c>
      <c r="E54" s="9">
        <f>IF(1&lt;=核心参数输入!$B$9*4,IF(AND(1-核心参数输入!$B$112&gt;=0,1-核心参数输入!$B$112&lt;=120),INDEX(季度经营税费!$D$36:$DT$36,1,MAX(1,MIN(121,1-核心参数输入!$B$112+1))),0)+IF(1=核心参数输入!$B$9*4,SUMPRODUCT(季度经营税费!$D$36:$DT$36,--(季度经营税费!$D$4:$DT$4&gt;核心参数输入!$B$9*4-核心参数输入!$B$112)),0)+IF(AND(1-核心参数输入!$B$112&gt;=0,1-核心参数输入!$B$112&lt;=120),INDEX(季度经营税费!$D$40:$DT$40,1,MAX(1,MIN(121,1-核心参数输入!$B$112+1))),0)+IF(1=核心参数输入!$B$9*4,SUMPRODUCT(季度经营税费!$D$40:$DT$40,--(季度经营税费!$D$4:$DT$4&gt;核心参数输入!$B$9*4-核心参数输入!$B$112)),0),0)</f>
        <v>0</v>
      </c>
      <c r="F54" s="9">
        <f>IF(2&lt;=核心参数输入!$B$9*4,IF(AND(2-核心参数输入!$B$112&gt;=0,2-核心参数输入!$B$112&lt;=120),INDEX(季度经营税费!$D$36:$DT$36,1,MAX(1,MIN(121,2-核心参数输入!$B$112+1))),0)+IF(2=核心参数输入!$B$9*4,SUMPRODUCT(季度经营税费!$D$36:$DT$36,--(季度经营税费!$D$4:$DT$4&gt;核心参数输入!$B$9*4-核心参数输入!$B$112)),0)+IF(AND(2-核心参数输入!$B$112&gt;=0,2-核心参数输入!$B$112&lt;=120),INDEX(季度经营税费!$D$40:$DT$40,1,MAX(1,MIN(121,2-核心参数输入!$B$112+1))),0)+IF(2=核心参数输入!$B$9*4,SUMPRODUCT(季度经营税费!$D$40:$DT$40,--(季度经营税费!$D$4:$DT$4&gt;核心参数输入!$B$9*4-核心参数输入!$B$112)),0),0)</f>
        <v>0</v>
      </c>
      <c r="G54" s="9">
        <f>IF(3&lt;=核心参数输入!$B$9*4,IF(AND(3-核心参数输入!$B$112&gt;=0,3-核心参数输入!$B$112&lt;=120),INDEX(季度经营税费!$D$36:$DT$36,1,MAX(1,MIN(121,3-核心参数输入!$B$112+1))),0)+IF(3=核心参数输入!$B$9*4,SUMPRODUCT(季度经营税费!$D$36:$DT$36,--(季度经营税费!$D$4:$DT$4&gt;核心参数输入!$B$9*4-核心参数输入!$B$112)),0)+IF(AND(3-核心参数输入!$B$112&gt;=0,3-核心参数输入!$B$112&lt;=120),INDEX(季度经营税费!$D$40:$DT$40,1,MAX(1,MIN(121,3-核心参数输入!$B$112+1))),0)+IF(3=核心参数输入!$B$9*4,SUMPRODUCT(季度经营税费!$D$40:$DT$40,--(季度经营税费!$D$4:$DT$4&gt;核心参数输入!$B$9*4-核心参数输入!$B$112)),0),0)</f>
        <v>0</v>
      </c>
      <c r="H54" s="9">
        <f>IF(4&lt;=核心参数输入!$B$9*4,IF(AND(4-核心参数输入!$B$112&gt;=0,4-核心参数输入!$B$112&lt;=120),INDEX(季度经营税费!$D$36:$DT$36,1,MAX(1,MIN(121,4-核心参数输入!$B$112+1))),0)+IF(4=核心参数输入!$B$9*4,SUMPRODUCT(季度经营税费!$D$36:$DT$36,--(季度经营税费!$D$4:$DT$4&gt;核心参数输入!$B$9*4-核心参数输入!$B$112)),0)+IF(AND(4-核心参数输入!$B$112&gt;=0,4-核心参数输入!$B$112&lt;=120),INDEX(季度经营税费!$D$40:$DT$40,1,MAX(1,MIN(121,4-核心参数输入!$B$112+1))),0)+IF(4=核心参数输入!$B$9*4,SUMPRODUCT(季度经营税费!$D$40:$DT$40,--(季度经营税费!$D$4:$DT$4&gt;核心参数输入!$B$9*4-核心参数输入!$B$112)),0),0)</f>
        <v>0</v>
      </c>
      <c r="I54" s="9">
        <f>IF(5&lt;=核心参数输入!$B$9*4,IF(AND(5-核心参数输入!$B$112&gt;=0,5-核心参数输入!$B$112&lt;=120),INDEX(季度经营税费!$D$36:$DT$36,1,MAX(1,MIN(121,5-核心参数输入!$B$112+1))),0)+IF(5=核心参数输入!$B$9*4,SUMPRODUCT(季度经营税费!$D$36:$DT$36,--(季度经营税费!$D$4:$DT$4&gt;核心参数输入!$B$9*4-核心参数输入!$B$112)),0)+IF(AND(5-核心参数输入!$B$112&gt;=0,5-核心参数输入!$B$112&lt;=120),INDEX(季度经营税费!$D$40:$DT$40,1,MAX(1,MIN(121,5-核心参数输入!$B$112+1))),0)+IF(5=核心参数输入!$B$9*4,SUMPRODUCT(季度经营税费!$D$40:$DT$40,--(季度经营税费!$D$4:$DT$4&gt;核心参数输入!$B$9*4-核心参数输入!$B$112)),0),0)</f>
        <v>0</v>
      </c>
      <c r="J54" s="9">
        <f>IF(6&lt;=核心参数输入!$B$9*4,IF(AND(6-核心参数输入!$B$112&gt;=0,6-核心参数输入!$B$112&lt;=120),INDEX(季度经营税费!$D$36:$DT$36,1,MAX(1,MIN(121,6-核心参数输入!$B$112+1))),0)+IF(6=核心参数输入!$B$9*4,SUMPRODUCT(季度经营税费!$D$36:$DT$36,--(季度经营税费!$D$4:$DT$4&gt;核心参数输入!$B$9*4-核心参数输入!$B$112)),0)+IF(AND(6-核心参数输入!$B$112&gt;=0,6-核心参数输入!$B$112&lt;=120),INDEX(季度经营税费!$D$40:$DT$40,1,MAX(1,MIN(121,6-核心参数输入!$B$112+1))),0)+IF(6=核心参数输入!$B$9*4,SUMPRODUCT(季度经营税费!$D$40:$DT$40,--(季度经营税费!$D$4:$DT$4&gt;核心参数输入!$B$9*4-核心参数输入!$B$112)),0),0)</f>
        <v>0</v>
      </c>
      <c r="K54" s="9">
        <f>IF(7&lt;=核心参数输入!$B$9*4,IF(AND(7-核心参数输入!$B$112&gt;=0,7-核心参数输入!$B$112&lt;=120),INDEX(季度经营税费!$D$36:$DT$36,1,MAX(1,MIN(121,7-核心参数输入!$B$112+1))),0)+IF(7=核心参数输入!$B$9*4,SUMPRODUCT(季度经营税费!$D$36:$DT$36,--(季度经营税费!$D$4:$DT$4&gt;核心参数输入!$B$9*4-核心参数输入!$B$112)),0)+IF(AND(7-核心参数输入!$B$112&gt;=0,7-核心参数输入!$B$112&lt;=120),INDEX(季度经营税费!$D$40:$DT$40,1,MAX(1,MIN(121,7-核心参数输入!$B$112+1))),0)+IF(7=核心参数输入!$B$9*4,SUMPRODUCT(季度经营税费!$D$40:$DT$40,--(季度经营税费!$D$4:$DT$4&gt;核心参数输入!$B$9*4-核心参数输入!$B$112)),0),0)</f>
        <v>0</v>
      </c>
      <c r="L54" s="9">
        <f>IF(8&lt;=核心参数输入!$B$9*4,IF(AND(8-核心参数输入!$B$112&gt;=0,8-核心参数输入!$B$112&lt;=120),INDEX(季度经营税费!$D$36:$DT$36,1,MAX(1,MIN(121,8-核心参数输入!$B$112+1))),0)+IF(8=核心参数输入!$B$9*4,SUMPRODUCT(季度经营税费!$D$36:$DT$36,--(季度经营税费!$D$4:$DT$4&gt;核心参数输入!$B$9*4-核心参数输入!$B$112)),0)+IF(AND(8-核心参数输入!$B$112&gt;=0,8-核心参数输入!$B$112&lt;=120),INDEX(季度经营税费!$D$40:$DT$40,1,MAX(1,MIN(121,8-核心参数输入!$B$112+1))),0)+IF(8=核心参数输入!$B$9*4,SUMPRODUCT(季度经营税费!$D$40:$DT$40,--(季度经营税费!$D$4:$DT$4&gt;核心参数输入!$B$9*4-核心参数输入!$B$112)),0),0)</f>
        <v>0</v>
      </c>
      <c r="M54" s="9">
        <f>IF(9&lt;=核心参数输入!$B$9*4,IF(AND(9-核心参数输入!$B$112&gt;=0,9-核心参数输入!$B$112&lt;=120),INDEX(季度经营税费!$D$36:$DT$36,1,MAX(1,MIN(121,9-核心参数输入!$B$112+1))),0)+IF(9=核心参数输入!$B$9*4,SUMPRODUCT(季度经营税费!$D$36:$DT$36,--(季度经营税费!$D$4:$DT$4&gt;核心参数输入!$B$9*4-核心参数输入!$B$112)),0)+IF(AND(9-核心参数输入!$B$112&gt;=0,9-核心参数输入!$B$112&lt;=120),INDEX(季度经营税费!$D$40:$DT$40,1,MAX(1,MIN(121,9-核心参数输入!$B$112+1))),0)+IF(9=核心参数输入!$B$9*4,SUMPRODUCT(季度经营税费!$D$40:$DT$40,--(季度经营税费!$D$4:$DT$4&gt;核心参数输入!$B$9*4-核心参数输入!$B$112)),0),0)</f>
        <v>0</v>
      </c>
      <c r="N54" s="9">
        <f>IF(10&lt;=核心参数输入!$B$9*4,IF(AND(10-核心参数输入!$B$112&gt;=0,10-核心参数输入!$B$112&lt;=120),INDEX(季度经营税费!$D$36:$DT$36,1,MAX(1,MIN(121,10-核心参数输入!$B$112+1))),0)+IF(10=核心参数输入!$B$9*4,SUMPRODUCT(季度经营税费!$D$36:$DT$36,--(季度经营税费!$D$4:$DT$4&gt;核心参数输入!$B$9*4-核心参数输入!$B$112)),0)+IF(AND(10-核心参数输入!$B$112&gt;=0,10-核心参数输入!$B$112&lt;=120),INDEX(季度经营税费!$D$40:$DT$40,1,MAX(1,MIN(121,10-核心参数输入!$B$112+1))),0)+IF(10=核心参数输入!$B$9*4,SUMPRODUCT(季度经营税费!$D$40:$DT$40,--(季度经营税费!$D$4:$DT$4&gt;核心参数输入!$B$9*4-核心参数输入!$B$112)),0),0)</f>
        <v>0</v>
      </c>
      <c r="O54" s="9">
        <f>IF(11&lt;=核心参数输入!$B$9*4,IF(AND(11-核心参数输入!$B$112&gt;=0,11-核心参数输入!$B$112&lt;=120),INDEX(季度经营税费!$D$36:$DT$36,1,MAX(1,MIN(121,11-核心参数输入!$B$112+1))),0)+IF(11=核心参数输入!$B$9*4,SUMPRODUCT(季度经营税费!$D$36:$DT$36,--(季度经营税费!$D$4:$DT$4&gt;核心参数输入!$B$9*4-核心参数输入!$B$112)),0)+IF(AND(11-核心参数输入!$B$112&gt;=0,11-核心参数输入!$B$112&lt;=120),INDEX(季度经营税费!$D$40:$DT$40,1,MAX(1,MIN(121,11-核心参数输入!$B$112+1))),0)+IF(11=核心参数输入!$B$9*4,SUMPRODUCT(季度经营税费!$D$40:$DT$40,--(季度经营税费!$D$4:$DT$4&gt;核心参数输入!$B$9*4-核心参数输入!$B$112)),0),0)</f>
        <v>0</v>
      </c>
      <c r="P54" s="9">
        <f>IF(12&lt;=核心参数输入!$B$9*4,IF(AND(12-核心参数输入!$B$112&gt;=0,12-核心参数输入!$B$112&lt;=120),INDEX(季度经营税费!$D$36:$DT$36,1,MAX(1,MIN(121,12-核心参数输入!$B$112+1))),0)+IF(12=核心参数输入!$B$9*4,SUMPRODUCT(季度经营税费!$D$36:$DT$36,--(季度经营税费!$D$4:$DT$4&gt;核心参数输入!$B$9*4-核心参数输入!$B$112)),0)+IF(AND(12-核心参数输入!$B$112&gt;=0,12-核心参数输入!$B$112&lt;=120),INDEX(季度经营税费!$D$40:$DT$40,1,MAX(1,MIN(121,12-核心参数输入!$B$112+1))),0)+IF(12=核心参数输入!$B$9*4,SUMPRODUCT(季度经营税费!$D$40:$DT$40,--(季度经营税费!$D$4:$DT$4&gt;核心参数输入!$B$9*4-核心参数输入!$B$112)),0),0)</f>
        <v>0</v>
      </c>
      <c r="Q54" s="9">
        <f>IF(13&lt;=核心参数输入!$B$9*4,IF(AND(13-核心参数输入!$B$112&gt;=0,13-核心参数输入!$B$112&lt;=120),INDEX(季度经营税费!$D$36:$DT$36,1,MAX(1,MIN(121,13-核心参数输入!$B$112+1))),0)+IF(13=核心参数输入!$B$9*4,SUMPRODUCT(季度经营税费!$D$36:$DT$36,--(季度经营税费!$D$4:$DT$4&gt;核心参数输入!$B$9*4-核心参数输入!$B$112)),0)+IF(AND(13-核心参数输入!$B$112&gt;=0,13-核心参数输入!$B$112&lt;=120),INDEX(季度经营税费!$D$40:$DT$40,1,MAX(1,MIN(121,13-核心参数输入!$B$112+1))),0)+IF(13=核心参数输入!$B$9*4,SUMPRODUCT(季度经营税费!$D$40:$DT$40,--(季度经营税费!$D$4:$DT$4&gt;核心参数输入!$B$9*4-核心参数输入!$B$112)),0),0)</f>
        <v>289.57499999999999</v>
      </c>
      <c r="R54" s="9">
        <f>IF(14&lt;=核心参数输入!$B$9*4,IF(AND(14-核心参数输入!$B$112&gt;=0,14-核心参数输入!$B$112&lt;=120),INDEX(季度经营税费!$D$36:$DT$36,1,MAX(1,MIN(121,14-核心参数输入!$B$112+1))),0)+IF(14=核心参数输入!$B$9*4,SUMPRODUCT(季度经营税费!$D$36:$DT$36,--(季度经营税费!$D$4:$DT$4&gt;核心参数输入!$B$9*4-核心参数输入!$B$112)),0)+IF(AND(14-核心参数输入!$B$112&gt;=0,14-核心参数输入!$B$112&lt;=120),INDEX(季度经营税费!$D$40:$DT$40,1,MAX(1,MIN(121,14-核心参数输入!$B$112+1))),0)+IF(14=核心参数输入!$B$9*4,SUMPRODUCT(季度经营税费!$D$40:$DT$40,--(季度经营税费!$D$4:$DT$4&gt;核心参数输入!$B$9*4-核心参数输入!$B$112)),0),0)</f>
        <v>291.43900743749998</v>
      </c>
      <c r="S54" s="9">
        <f>IF(15&lt;=核心参数输入!$B$9*4,IF(AND(15-核心参数输入!$B$112&gt;=0,15-核心参数输入!$B$112&lt;=120),INDEX(季度经营税费!$D$36:$DT$36,1,MAX(1,MIN(121,15-核心参数输入!$B$112+1))),0)+IF(15=核心参数输入!$B$9*4,SUMPRODUCT(季度经营税费!$D$36:$DT$36,--(季度经营税费!$D$4:$DT$4&gt;核心参数输入!$B$9*4-核心参数输入!$B$112)),0)+IF(AND(15-核心参数输入!$B$112&gt;=0,15-核心参数输入!$B$112&lt;=120),INDEX(季度经营税费!$D$40:$DT$40,1,MAX(1,MIN(121,15-核心参数输入!$B$112+1))),0)+IF(15=核心参数输入!$B$9*4,SUMPRODUCT(季度经营税费!$D$40:$DT$40,--(季度经营税费!$D$4:$DT$4&gt;核心参数输入!$B$9*4-核心参数输入!$B$112)),0),0)</f>
        <v>295.16702231249997</v>
      </c>
      <c r="T54" s="9">
        <f>IF(16&lt;=核心参数输入!$B$9*4,IF(AND(16-核心参数输入!$B$112&gt;=0,16-核心参数输入!$B$112&lt;=120),INDEX(季度经营税费!$D$36:$DT$36,1,MAX(1,MIN(121,16-核心参数输入!$B$112+1))),0)+IF(16=核心参数输入!$B$9*4,SUMPRODUCT(季度经营税费!$D$36:$DT$36,--(季度经营税费!$D$4:$DT$4&gt;核心参数输入!$B$9*4-核心参数输入!$B$112)),0)+IF(AND(16-核心参数输入!$B$112&gt;=0,16-核心参数输入!$B$112&lt;=120),INDEX(季度经营税费!$D$40:$DT$40,1,MAX(1,MIN(121,16-核心参数输入!$B$112+1))),0)+IF(16=核心参数输入!$B$9*4,SUMPRODUCT(季度经营税费!$D$40:$DT$40,--(季度经营税费!$D$4:$DT$4&gt;核心参数输入!$B$9*4-核心参数输入!$B$112)),0),0)</f>
        <v>298.89503718750001</v>
      </c>
      <c r="U54" s="9">
        <f>IF(17&lt;=核心参数输入!$B$9*4,IF(AND(17-核心参数输入!$B$112&gt;=0,17-核心参数输入!$B$112&lt;=120),INDEX(季度经营税费!$D$36:$DT$36,1,MAX(1,MIN(121,17-核心参数输入!$B$112+1))),0)+IF(17=核心参数输入!$B$9*4,SUMPRODUCT(季度经营税费!$D$36:$DT$36,--(季度经营税费!$D$4:$DT$4&gt;核心参数输入!$B$9*4-核心参数输入!$B$112)),0)+IF(AND(17-核心参数输入!$B$112&gt;=0,17-核心参数输入!$B$112&lt;=120),INDEX(季度经营税费!$D$40:$DT$40,1,MAX(1,MIN(121,17-核心参数输入!$B$112+1))),0)+IF(17=核心参数输入!$B$9*4,SUMPRODUCT(季度经营税费!$D$40:$DT$40,--(季度经营税费!$D$4:$DT$4&gt;核心参数输入!$B$9*4-核心参数输入!$B$112)),0),0)</f>
        <v>399.34377284343753</v>
      </c>
      <c r="V54" s="9">
        <f>IF(18&lt;=核心参数输入!$B$9*4,IF(AND(18-核心参数输入!$B$112&gt;=0,18-核心参数输入!$B$112&lt;=120),INDEX(季度经营税费!$D$36:$DT$36,1,MAX(1,MIN(121,18-核心参数输入!$B$112+1))),0)+IF(18=核心参数输入!$B$9*4,SUMPRODUCT(季度经营税费!$D$36:$DT$36,--(季度经营税费!$D$4:$DT$4&gt;核心参数输入!$B$9*4-核心参数输入!$B$112)),0)+IF(AND(18-核心参数输入!$B$112&gt;=0,18-核心参数输入!$B$112&lt;=120),INDEX(季度经营税费!$D$40:$DT$40,1,MAX(1,MIN(121,18-核心参数输入!$B$112+1))),0)+IF(18=核心参数输入!$B$9*4,SUMPRODUCT(季度经营税费!$D$40:$DT$40,--(季度经营税费!$D$4:$DT$4&gt;核心参数输入!$B$9*4-核心参数输入!$B$112)),0),0)</f>
        <v>401.99252741212501</v>
      </c>
      <c r="W54" s="9">
        <f>IF(19&lt;=核心参数输入!$B$9*4,IF(AND(19-核心参数输入!$B$112&gt;=0,19-核心参数输入!$B$112&lt;=120),INDEX(季度经营税费!$D$36:$DT$36,1,MAX(1,MIN(121,19-核心参数输入!$B$112+1))),0)+IF(19=核心参数输入!$B$9*4,SUMPRODUCT(季度经营税费!$D$36:$DT$36,--(季度经营税费!$D$4:$DT$4&gt;核心参数输入!$B$9*4-核心参数输入!$B$112)),0)+IF(AND(19-核心参数输入!$B$112&gt;=0,19-核心参数输入!$B$112&lt;=120),INDEX(季度经营税费!$D$40:$DT$40,1,MAX(1,MIN(121,19-核心参数输入!$B$112+1))),0)+IF(19=核心参数输入!$B$9*4,SUMPRODUCT(季度经营税费!$D$40:$DT$40,--(季度经营税费!$D$4:$DT$4&gt;核心参数输入!$B$9*4-核心参数输入!$B$112)),0),0)</f>
        <v>403.506101451375</v>
      </c>
      <c r="X54" s="9">
        <f>IF(20&lt;=核心参数输入!$B$9*4,IF(AND(20-核心参数输入!$B$112&gt;=0,20-核心参数输入!$B$112&lt;=120),INDEX(季度经营税费!$D$36:$DT$36,1,MAX(1,MIN(121,20-核心参数输入!$B$112+1))),0)+IF(20=核心参数输入!$B$9*4,SUMPRODUCT(季度经营税费!$D$36:$DT$36,--(季度经营税费!$D$4:$DT$4&gt;核心参数输入!$B$9*4-核心参数输入!$B$112)),0)+IF(AND(20-核心参数输入!$B$112&gt;=0,20-核心参数输入!$B$112&lt;=120),INDEX(季度经营税费!$D$40:$DT$40,1,MAX(1,MIN(121,20-核心参数输入!$B$112+1))),0)+IF(20=核心参数输入!$B$9*4,SUMPRODUCT(季度经营税费!$D$40:$DT$40,--(季度经营税费!$D$4:$DT$4&gt;核心参数输入!$B$9*4-核心参数输入!$B$112)),0),0)</f>
        <v>405.01967549062499</v>
      </c>
      <c r="Y54" s="9">
        <f>IF(21&lt;=核心参数输入!$B$9*4,IF(AND(21-核心参数输入!$B$112&gt;=0,21-核心参数输入!$B$112&lt;=120),INDEX(季度经营税费!$D$36:$DT$36,1,MAX(1,MIN(121,21-核心参数输入!$B$112+1))),0)+IF(21=核心参数输入!$B$9*4,SUMPRODUCT(季度经营税费!$D$36:$DT$36,--(季度经营税费!$D$4:$DT$4&gt;核心参数输入!$B$9*4-核心参数输入!$B$112)),0)+IF(AND(21-核心参数输入!$B$112&gt;=0,21-核心参数输入!$B$112&lt;=120),INDEX(季度经营税费!$D$40:$DT$40,1,MAX(1,MIN(121,21-核心参数输入!$B$112+1))),0)+IF(21=核心参数输入!$B$9*4,SUMPRODUCT(季度经营税费!$D$40:$DT$40,--(季度经营税费!$D$4:$DT$4&gt;核心参数输入!$B$9*4-核心参数输入!$B$112)),0),0)</f>
        <v>310.31474827282312</v>
      </c>
      <c r="Z54" s="9">
        <f>IF(22&lt;=核心参数输入!$B$9*4,IF(AND(22-核心参数输入!$B$112&gt;=0,22-核心参数输入!$B$112&lt;=120),INDEX(季度经营税费!$D$36:$DT$36,1,MAX(1,MIN(121,22-核心参数输入!$B$112+1))),0)+IF(22=核心参数输入!$B$9*4,SUMPRODUCT(季度经营税费!$D$36:$DT$36,--(季度经营税费!$D$4:$DT$4&gt;核心参数输入!$B$9*4-核心参数输入!$B$112)),0)+IF(AND(22-核心参数输入!$B$112&gt;=0,22-核心参数输入!$B$112&lt;=120),INDEX(季度经营税费!$D$40:$DT$40,1,MAX(1,MIN(121,22-核心参数输入!$B$112+1))),0)+IF(22=核心参数输入!$B$9*4,SUMPRODUCT(季度经营税费!$D$40:$DT$40,--(季度经营税费!$D$4:$DT$4&gt;核心参数输入!$B$9*4-核心参数输入!$B$112)),0),0)</f>
        <v>311.65899121643201</v>
      </c>
      <c r="AA54" s="9">
        <f>IF(23&lt;=核心参数输入!$B$9*4,IF(AND(23-核心参数输入!$B$112&gt;=0,23-核心参数输入!$B$112&lt;=120),INDEX(季度经营税费!$D$36:$DT$36,1,MAX(1,MIN(121,23-核心参数输入!$B$112+1))),0)+IF(23=核心参数输入!$B$9*4,SUMPRODUCT(季度经营税费!$D$36:$DT$36,--(季度经营税费!$D$4:$DT$4&gt;核心参数输入!$B$9*4-核心参数输入!$B$112)),0)+IF(AND(23-核心参数输入!$B$112&gt;=0,23-核心参数输入!$B$112&lt;=120),INDEX(季度经营税费!$D$40:$DT$40,1,MAX(1,MIN(121,23-核心参数输入!$B$112+1))),0)+IF(23=核心参数输入!$B$9*4,SUMPRODUCT(季度经营税费!$D$40:$DT$40,--(季度经营税费!$D$4:$DT$4&gt;核心参数输入!$B$9*4-核心参数输入!$B$112)),0),0)</f>
        <v>312.81119945381107</v>
      </c>
      <c r="AB54" s="9">
        <f>IF(24&lt;=核心参数输入!$B$9*4,IF(AND(24-核心参数输入!$B$112&gt;=0,24-核心参数输入!$B$112&lt;=120),INDEX(季度经营税费!$D$36:$DT$36,1,MAX(1,MIN(121,24-核心参数输入!$B$112+1))),0)+IF(24=核心参数输入!$B$9*4,SUMPRODUCT(季度经营税费!$D$36:$DT$36,--(季度经营税费!$D$4:$DT$4&gt;核心参数输入!$B$9*4-核心参数输入!$B$112)),0)+IF(AND(24-核心参数输入!$B$112&gt;=0,24-核心参数输入!$B$112&lt;=120),INDEX(季度经营税费!$D$40:$DT$40,1,MAX(1,MIN(121,24-核心参数输入!$B$112+1))),0)+IF(24=核心参数输入!$B$9*4,SUMPRODUCT(季度经营税费!$D$40:$DT$40,--(季度经营税费!$D$4:$DT$4&gt;核心参数输入!$B$9*4-核心参数输入!$B$112)),0),0)</f>
        <v>313.96340769119013</v>
      </c>
      <c r="AC54" s="9">
        <f>IF(25&lt;=核心参数输入!$B$9*4,IF(AND(25-核心参数输入!$B$112&gt;=0,25-核心参数输入!$B$112&lt;=120),INDEX(季度经营税费!$D$36:$DT$36,1,MAX(1,MIN(121,25-核心参数输入!$B$112+1))),0)+IF(25=核心参数输入!$B$9*4,SUMPRODUCT(季度经营税费!$D$36:$DT$36,--(季度经营税费!$D$4:$DT$4&gt;核心参数输入!$B$9*4-核心参数输入!$B$112)),0)+IF(AND(25-核心参数输入!$B$112&gt;=0,25-核心参数输入!$B$112&lt;=120),INDEX(季度经营税费!$D$40:$DT$40,1,MAX(1,MIN(121,25-核心参数输入!$B$112+1))),0)+IF(25=核心参数输入!$B$9*4,SUMPRODUCT(季度经营税费!$D$40:$DT$40,--(季度经营税费!$D$4:$DT$4&gt;核心参数输入!$B$9*4-核心参数输入!$B$112)),0),0)</f>
        <v>25.92372516749775</v>
      </c>
      <c r="AD54" s="9">
        <f>IF(26&lt;=核心参数输入!$B$9*4,IF(AND(26-核心参数输入!$B$112&gt;=0,26-核心参数输入!$B$112&lt;=120),INDEX(季度经营税费!$D$36:$DT$36,1,MAX(1,MIN(121,26-核心参数输入!$B$112+1))),0)+IF(26=核心参数输入!$B$9*4,SUMPRODUCT(季度经营税费!$D$36:$DT$36,--(季度经营税费!$D$4:$DT$4&gt;核心参数输入!$B$9*4-核心参数输入!$B$112)),0)+IF(AND(26-核心参数输入!$B$112&gt;=0,26-核心参数输入!$B$112&lt;=120),INDEX(季度经营税费!$D$40:$DT$40,1,MAX(1,MIN(121,26-核心参数输入!$B$112+1))),0)+IF(26=核心参数输入!$B$9*4,SUMPRODUCT(季度经营税费!$D$40:$DT$40,--(季度经营税费!$D$4:$DT$4&gt;核心参数输入!$B$9*4-核心参数输入!$B$112)),0),0)</f>
        <v>26.70338607479091</v>
      </c>
      <c r="AE54" s="9">
        <f>IF(27&lt;=核心参数输入!$B$9*4,IF(AND(27-核心参数输入!$B$112&gt;=0,27-核心参数输入!$B$112&lt;=120),INDEX(季度经营税费!$D$36:$DT$36,1,MAX(1,MIN(121,27-核心参数输入!$B$112+1))),0)+IF(27=核心参数输入!$B$9*4,SUMPRODUCT(季度经营税费!$D$36:$DT$36,--(季度经营税费!$D$4:$DT$4&gt;核心参数输入!$B$9*4-核心参数输入!$B$112)),0)+IF(AND(27-核心参数输入!$B$112&gt;=0,27-核心参数输入!$B$112&lt;=120),INDEX(季度经营税费!$D$40:$DT$40,1,MAX(1,MIN(121,27-核心参数输入!$B$112+1))),0)+IF(27=核心参数输入!$B$9*4,SUMPRODUCT(季度经营税费!$D$40:$DT$40,--(季度经营税费!$D$4:$DT$4&gt;核心参数输入!$B$9*4-核心参数输入!$B$112)),0),0)</f>
        <v>27.093216528437491</v>
      </c>
      <c r="AF54" s="9">
        <f>IF(28&lt;=核心参数输入!$B$9*4,IF(AND(28-核心参数输入!$B$112&gt;=0,28-核心参数输入!$B$112&lt;=120),INDEX(季度经营税费!$D$36:$DT$36,1,MAX(1,MIN(121,28-核心参数输入!$B$112+1))),0)+IF(28=核心参数输入!$B$9*4,SUMPRODUCT(季度经营税费!$D$36:$DT$36,--(季度经营税费!$D$4:$DT$4&gt;核心参数输入!$B$9*4-核心参数输入!$B$112)),0)+IF(AND(28-核心参数输入!$B$112&gt;=0,28-核心参数输入!$B$112&lt;=120),INDEX(季度经营税费!$D$40:$DT$40,1,MAX(1,MIN(121,28-核心参数输入!$B$112+1))),0)+IF(28=核心参数输入!$B$9*4,SUMPRODUCT(季度经营税费!$D$40:$DT$40,--(季度经营税费!$D$4:$DT$4&gt;核心参数输入!$B$9*4-核心参数输入!$B$112)),0),0)</f>
        <v>27.483046982084073</v>
      </c>
      <c r="AG54" s="9">
        <f>IF(29&lt;=核心参数输入!$B$9*4,IF(AND(29-核心参数输入!$B$112&gt;=0,29-核心参数输入!$B$112&lt;=120),INDEX(季度经营税费!$D$36:$DT$36,1,MAX(1,MIN(121,29-核心参数输入!$B$112+1))),0)+IF(29=核心参数输入!$B$9*4,SUMPRODUCT(季度经营税费!$D$36:$DT$36,--(季度经营税费!$D$4:$DT$4&gt;核心参数输入!$B$9*4-核心参数输入!$B$112)),0)+IF(AND(29-核心参数输入!$B$112&gt;=0,29-核心参数输入!$B$112&lt;=120),INDEX(季度经营税费!$D$40:$DT$40,1,MAX(1,MIN(121,29-核心参数输入!$B$112+1))),0)+IF(29=核心参数输入!$B$9*4,SUMPRODUCT(季度经营税费!$D$40:$DT$40,--(季度经营税费!$D$4:$DT$4&gt;核心参数输入!$B$9*4-核心参数输入!$B$112)),0),0)</f>
        <v>28.290970597266607</v>
      </c>
      <c r="AH54" s="9">
        <f>IF(30&lt;=核心参数输入!$B$9*4,IF(AND(30-核心参数输入!$B$112&gt;=0,30-核心参数输入!$B$112&lt;=120),INDEX(季度经营税费!$D$36:$DT$36,1,MAX(1,MIN(121,30-核心参数输入!$B$112+1))),0)+IF(30=核心参数输入!$B$9*4,SUMPRODUCT(季度经营税费!$D$36:$DT$36,--(季度经营税费!$D$4:$DT$4&gt;核心参数输入!$B$9*4-核心参数输入!$B$112)),0)+IF(AND(30-核心参数输入!$B$112&gt;=0,30-核心参数输入!$B$112&lt;=120),INDEX(季度经营税费!$D$40:$DT$40,1,MAX(1,MIN(121,30-核心参数输入!$B$112+1))),0)+IF(30=核心参数输入!$B$9*4,SUMPRODUCT(季度经营税费!$D$40:$DT$40,--(季度经营税费!$D$4:$DT$4&gt;核心参数输入!$B$9*4-核心参数输入!$B$112)),0),0)</f>
        <v>28.488809552492249</v>
      </c>
      <c r="AI54" s="9">
        <f>IF(31&lt;=核心参数输入!$B$9*4,IF(AND(31-核心参数输入!$B$112&gt;=0,31-核心参数输入!$B$112&lt;=120),INDEX(季度经营税费!$D$36:$DT$36,1,MAX(1,MIN(121,31-核心参数输入!$B$112+1))),0)+IF(31=核心参数输入!$B$9*4,SUMPRODUCT(季度经营税费!$D$36:$DT$36,--(季度经营税费!$D$4:$DT$4&gt;核心参数输入!$B$9*4-核心参数输入!$B$112)),0)+IF(AND(31-核心参数输入!$B$112&gt;=0,31-核心参数输入!$B$112&lt;=120),INDEX(季度经营税费!$D$40:$DT$40,1,MAX(1,MIN(121,31-核心参数输入!$B$112+1))),0)+IF(31=核心参数输入!$B$9*4,SUMPRODUCT(季度经营税费!$D$40:$DT$40,--(季度经营税费!$D$4:$DT$4&gt;核心参数输入!$B$9*4-核心参数输入!$B$112)),0),0)</f>
        <v>28.488809552492249</v>
      </c>
      <c r="AJ54" s="9">
        <f>IF(32&lt;=核心参数输入!$B$9*4,IF(AND(32-核心参数输入!$B$112&gt;=0,32-核心参数输入!$B$112&lt;=120),INDEX(季度经营税费!$D$36:$DT$36,1,MAX(1,MIN(121,32-核心参数输入!$B$112+1))),0)+IF(32=核心参数输入!$B$9*4,SUMPRODUCT(季度经营税费!$D$36:$DT$36,--(季度经营税费!$D$4:$DT$4&gt;核心参数输入!$B$9*4-核心参数输入!$B$112)),0)+IF(AND(32-核心参数输入!$B$112&gt;=0,32-核心参数输入!$B$112&lt;=120),INDEX(季度经营税费!$D$40:$DT$40,1,MAX(1,MIN(121,32-核心参数输入!$B$112+1))),0)+IF(32=核心参数输入!$B$9*4,SUMPRODUCT(季度经营税费!$D$40:$DT$40,--(季度经营税费!$D$4:$DT$4&gt;核心参数输入!$B$9*4-核心参数输入!$B$112)),0),0)</f>
        <v>28.488809552492249</v>
      </c>
      <c r="AK54" s="9">
        <f>IF(33&lt;=核心参数输入!$B$9*4,IF(AND(33-核心参数输入!$B$112&gt;=0,33-核心参数输入!$B$112&lt;=120),INDEX(季度经营税费!$D$36:$DT$36,1,MAX(1,MIN(121,33-核心参数输入!$B$112+1))),0)+IF(33=核心参数输入!$B$9*4,SUMPRODUCT(季度经营税费!$D$36:$DT$36,--(季度经营税费!$D$4:$DT$4&gt;核心参数输入!$B$9*4-核心参数输入!$B$112)),0)+IF(AND(33-核心参数输入!$B$112&gt;=0,33-核心参数输入!$B$112&lt;=120),INDEX(季度经营税费!$D$40:$DT$40,1,MAX(1,MIN(121,33-核心参数输入!$B$112+1))),0)+IF(33=核心参数输入!$B$9*4,SUMPRODUCT(季度经营税费!$D$40:$DT$40,--(季度经营税费!$D$4:$DT$4&gt;核心参数输入!$B$9*4-核心参数输入!$B$112)),0),0)</f>
        <v>28.916141695779633</v>
      </c>
      <c r="AL54" s="9">
        <f>IF(34&lt;=核心参数输入!$B$9*4,IF(AND(34-核心参数输入!$B$112&gt;=0,34-核心参数输入!$B$112&lt;=120),INDEX(季度经营税费!$D$36:$DT$36,1,MAX(1,MIN(121,34-核心参数输入!$B$112+1))),0)+IF(34=核心参数输入!$B$9*4,SUMPRODUCT(季度经营税费!$D$36:$DT$36,--(季度经营税费!$D$4:$DT$4&gt;核心参数输入!$B$9*4-核心参数输入!$B$112)),0)+IF(AND(34-核心参数输入!$B$112&gt;=0,34-核心参数输入!$B$112&lt;=120),INDEX(季度经营税费!$D$40:$DT$40,1,MAX(1,MIN(121,34-核心参数输入!$B$112+1))),0)+IF(34=核心参数输入!$B$9*4,SUMPRODUCT(季度经营税费!$D$40:$DT$40,--(季度经营税费!$D$4:$DT$4&gt;核心参数输入!$B$9*4-核心参数输入!$B$112)),0),0)</f>
        <v>28.916141695779633</v>
      </c>
      <c r="AM54" s="9">
        <f>IF(35&lt;=核心参数输入!$B$9*4,IF(AND(35-核心参数输入!$B$112&gt;=0,35-核心参数输入!$B$112&lt;=120),INDEX(季度经营税费!$D$36:$DT$36,1,MAX(1,MIN(121,35-核心参数输入!$B$112+1))),0)+IF(35=核心参数输入!$B$9*4,SUMPRODUCT(季度经营税费!$D$36:$DT$36,--(季度经营税费!$D$4:$DT$4&gt;核心参数输入!$B$9*4-核心参数输入!$B$112)),0)+IF(AND(35-核心参数输入!$B$112&gt;=0,35-核心参数输入!$B$112&lt;=120),INDEX(季度经营税费!$D$40:$DT$40,1,MAX(1,MIN(121,35-核心参数输入!$B$112+1))),0)+IF(35=核心参数输入!$B$9*4,SUMPRODUCT(季度经营税费!$D$40:$DT$40,--(季度经营税费!$D$4:$DT$4&gt;核心参数输入!$B$9*4-核心参数输入!$B$112)),0),0)</f>
        <v>28.916141695779633</v>
      </c>
      <c r="AN54" s="9">
        <f>IF(36&lt;=核心参数输入!$B$9*4,IF(AND(36-核心参数输入!$B$112&gt;=0,36-核心参数输入!$B$112&lt;=120),INDEX(季度经营税费!$D$36:$DT$36,1,MAX(1,MIN(121,36-核心参数输入!$B$112+1))),0)+IF(36=核心参数输入!$B$9*4,SUMPRODUCT(季度经营税费!$D$36:$DT$36,--(季度经营税费!$D$4:$DT$4&gt;核心参数输入!$B$9*4-核心参数输入!$B$112)),0)+IF(AND(36-核心参数输入!$B$112&gt;=0,36-核心参数输入!$B$112&lt;=120),INDEX(季度经营税费!$D$40:$DT$40,1,MAX(1,MIN(121,36-核心参数输入!$B$112+1))),0)+IF(36=核心参数输入!$B$9*4,SUMPRODUCT(季度经营税费!$D$40:$DT$40,--(季度经营税费!$D$4:$DT$4&gt;核心参数输入!$B$9*4-核心参数输入!$B$112)),0),0)</f>
        <v>28.916141695779633</v>
      </c>
      <c r="AO54" s="9">
        <f>IF(37&lt;=核心参数输入!$B$9*4,IF(AND(37-核心参数输入!$B$112&gt;=0,37-核心参数输入!$B$112&lt;=120),INDEX(季度经营税费!$D$36:$DT$36,1,MAX(1,MIN(121,37-核心参数输入!$B$112+1))),0)+IF(37=核心参数输入!$B$9*4,SUMPRODUCT(季度经营税费!$D$36:$DT$36,--(季度经营税费!$D$4:$DT$4&gt;核心参数输入!$B$9*4-核心参数输入!$B$112)),0)+IF(AND(37-核心参数输入!$B$112&gt;=0,37-核心参数输入!$B$112&lt;=120),INDEX(季度经营税费!$D$40:$DT$40,1,MAX(1,MIN(121,37-核心参数输入!$B$112+1))),0)+IF(37=核心参数输入!$B$9*4,SUMPRODUCT(季度经营税费!$D$40:$DT$40,--(季度经营税费!$D$4:$DT$4&gt;核心参数输入!$B$9*4-核心参数输入!$B$112)),0),0)</f>
        <v>29.34988382121632</v>
      </c>
      <c r="AP54" s="9">
        <f>IF(38&lt;=核心参数输入!$B$9*4,IF(AND(38-核心参数输入!$B$112&gt;=0,38-核心参数输入!$B$112&lt;=120),INDEX(季度经营税费!$D$36:$DT$36,1,MAX(1,MIN(121,38-核心参数输入!$B$112+1))),0)+IF(38=核心参数输入!$B$9*4,SUMPRODUCT(季度经营税费!$D$36:$DT$36,--(季度经营税费!$D$4:$DT$4&gt;核心参数输入!$B$9*4-核心参数输入!$B$112)),0)+IF(AND(38-核心参数输入!$B$112&gt;=0,38-核心参数输入!$B$112&lt;=120),INDEX(季度经营税费!$D$40:$DT$40,1,MAX(1,MIN(121,38-核心参数输入!$B$112+1))),0)+IF(38=核心参数输入!$B$9*4,SUMPRODUCT(季度经营税费!$D$40:$DT$40,--(季度经营税费!$D$4:$DT$4&gt;核心参数输入!$B$9*4-核心参数输入!$B$112)),0),0)</f>
        <v>29.34988382121632</v>
      </c>
      <c r="AQ54" s="9">
        <f>IF(39&lt;=核心参数输入!$B$9*4,IF(AND(39-核心参数输入!$B$112&gt;=0,39-核心参数输入!$B$112&lt;=120),INDEX(季度经营税费!$D$36:$DT$36,1,MAX(1,MIN(121,39-核心参数输入!$B$112+1))),0)+IF(39=核心参数输入!$B$9*4,SUMPRODUCT(季度经营税费!$D$36:$DT$36,--(季度经营税费!$D$4:$DT$4&gt;核心参数输入!$B$9*4-核心参数输入!$B$112)),0)+IF(AND(39-核心参数输入!$B$112&gt;=0,39-核心参数输入!$B$112&lt;=120),INDEX(季度经营税费!$D$40:$DT$40,1,MAX(1,MIN(121,39-核心参数输入!$B$112+1))),0)+IF(39=核心参数输入!$B$9*4,SUMPRODUCT(季度经营税费!$D$40:$DT$40,--(季度经营税费!$D$4:$DT$4&gt;核心参数输入!$B$9*4-核心参数输入!$B$112)),0),0)</f>
        <v>29.34988382121632</v>
      </c>
      <c r="AR54" s="9">
        <f>IF(40&lt;=核心参数输入!$B$9*4,IF(AND(40-核心参数输入!$B$112&gt;=0,40-核心参数输入!$B$112&lt;=120),INDEX(季度经营税费!$D$36:$DT$36,1,MAX(1,MIN(121,40-核心参数输入!$B$112+1))),0)+IF(40=核心参数输入!$B$9*4,SUMPRODUCT(季度经营税费!$D$36:$DT$36,--(季度经营税费!$D$4:$DT$4&gt;核心参数输入!$B$9*4-核心参数输入!$B$112)),0)+IF(AND(40-核心参数输入!$B$112&gt;=0,40-核心参数输入!$B$112&lt;=120),INDEX(季度经营税费!$D$40:$DT$40,1,MAX(1,MIN(121,40-核心参数输入!$B$112+1))),0)+IF(40=核心参数输入!$B$9*4,SUMPRODUCT(季度经营税费!$D$40:$DT$40,--(季度经营税费!$D$4:$DT$4&gt;核心参数输入!$B$9*4-核心参数输入!$B$112)),0),0)</f>
        <v>29.34988382121632</v>
      </c>
      <c r="AS54" s="9">
        <f>IF(41&lt;=核心参数输入!$B$9*4,IF(AND(41-核心参数输入!$B$112&gt;=0,41-核心参数输入!$B$112&lt;=120),INDEX(季度经营税费!$D$36:$DT$36,1,MAX(1,MIN(121,41-核心参数输入!$B$112+1))),0)+IF(41=核心参数输入!$B$9*4,SUMPRODUCT(季度经营税费!$D$36:$DT$36,--(季度经营税费!$D$4:$DT$4&gt;核心参数输入!$B$9*4-核心参数输入!$B$112)),0)+IF(AND(41-核心参数输入!$B$112&gt;=0,41-核心参数输入!$B$112&lt;=120),INDEX(季度经营税费!$D$40:$DT$40,1,MAX(1,MIN(121,41-核心参数输入!$B$112+1))),0)+IF(41=核心参数输入!$B$9*4,SUMPRODUCT(季度经营税费!$D$40:$DT$40,--(季度经营税费!$D$4:$DT$4&gt;核心参数输入!$B$9*4-核心参数输入!$B$112)),0),0)</f>
        <v>29.790132078534562</v>
      </c>
      <c r="AT54" s="9">
        <f>IF(42&lt;=核心参数输入!$B$9*4,IF(AND(42-核心参数输入!$B$112&gt;=0,42-核心参数输入!$B$112&lt;=120),INDEX(季度经营税费!$D$36:$DT$36,1,MAX(1,MIN(121,42-核心参数输入!$B$112+1))),0)+IF(42=核心参数输入!$B$9*4,SUMPRODUCT(季度经营税费!$D$36:$DT$36,--(季度经营税费!$D$4:$DT$4&gt;核心参数输入!$B$9*4-核心参数输入!$B$112)),0)+IF(AND(42-核心参数输入!$B$112&gt;=0,42-核心参数输入!$B$112&lt;=120),INDEX(季度经营税费!$D$40:$DT$40,1,MAX(1,MIN(121,42-核心参数输入!$B$112+1))),0)+IF(42=核心参数输入!$B$9*4,SUMPRODUCT(季度经营税费!$D$40:$DT$40,--(季度经营税费!$D$4:$DT$4&gt;核心参数输入!$B$9*4-核心参数输入!$B$112)),0),0)</f>
        <v>29.790132078534562</v>
      </c>
      <c r="AU54" s="9">
        <f>IF(43&lt;=核心参数输入!$B$9*4,IF(AND(43-核心参数输入!$B$112&gt;=0,43-核心参数输入!$B$112&lt;=120),INDEX(季度经营税费!$D$36:$DT$36,1,MAX(1,MIN(121,43-核心参数输入!$B$112+1))),0)+IF(43=核心参数输入!$B$9*4,SUMPRODUCT(季度经营税费!$D$36:$DT$36,--(季度经营税费!$D$4:$DT$4&gt;核心参数输入!$B$9*4-核心参数输入!$B$112)),0)+IF(AND(43-核心参数输入!$B$112&gt;=0,43-核心参数输入!$B$112&lt;=120),INDEX(季度经营税费!$D$40:$DT$40,1,MAX(1,MIN(121,43-核心参数输入!$B$112+1))),0)+IF(43=核心参数输入!$B$9*4,SUMPRODUCT(季度经营税费!$D$40:$DT$40,--(季度经营税费!$D$4:$DT$4&gt;核心参数输入!$B$9*4-核心参数输入!$B$112)),0),0)</f>
        <v>29.790132078534562</v>
      </c>
      <c r="AV54" s="9">
        <f>IF(44&lt;=核心参数输入!$B$9*4,IF(AND(44-核心参数输入!$B$112&gt;=0,44-核心参数输入!$B$112&lt;=120),INDEX(季度经营税费!$D$36:$DT$36,1,MAX(1,MIN(121,44-核心参数输入!$B$112+1))),0)+IF(44=核心参数输入!$B$9*4,SUMPRODUCT(季度经营税费!$D$36:$DT$36,--(季度经营税费!$D$4:$DT$4&gt;核心参数输入!$B$9*4-核心参数输入!$B$112)),0)+IF(AND(44-核心参数输入!$B$112&gt;=0,44-核心参数输入!$B$112&lt;=120),INDEX(季度经营税费!$D$40:$DT$40,1,MAX(1,MIN(121,44-核心参数输入!$B$112+1))),0)+IF(44=核心参数输入!$B$9*4,SUMPRODUCT(季度经营税费!$D$40:$DT$40,--(季度经营税费!$D$4:$DT$4&gt;核心参数输入!$B$9*4-核心参数输入!$B$112)),0),0)</f>
        <v>29.790132078534562</v>
      </c>
      <c r="AW54" s="9">
        <f>IF(45&lt;=核心参数输入!$B$9*4,IF(AND(45-核心参数输入!$B$112&gt;=0,45-核心参数输入!$B$112&lt;=120),INDEX(季度经营税费!$D$36:$DT$36,1,MAX(1,MIN(121,45-核心参数输入!$B$112+1))),0)+IF(45=核心参数输入!$B$9*4,SUMPRODUCT(季度经营税费!$D$36:$DT$36,--(季度经营税费!$D$4:$DT$4&gt;核心参数输入!$B$9*4-核心参数输入!$B$112)),0)+IF(AND(45-核心参数输入!$B$112&gt;=0,45-核心参数输入!$B$112&lt;=120),INDEX(季度经营税费!$D$40:$DT$40,1,MAX(1,MIN(121,45-核心参数输入!$B$112+1))),0)+IF(45=核心参数输入!$B$9*4,SUMPRODUCT(季度经营税费!$D$40:$DT$40,--(季度经营税费!$D$4:$DT$4&gt;核心参数输入!$B$9*4-核心参数输入!$B$112)),0),0)</f>
        <v>30.236984059712579</v>
      </c>
      <c r="AX54" s="9">
        <f>IF(46&lt;=核心参数输入!$B$9*4,IF(AND(46-核心参数输入!$B$112&gt;=0,46-核心参数输入!$B$112&lt;=120),INDEX(季度经营税费!$D$36:$DT$36,1,MAX(1,MIN(121,46-核心参数输入!$B$112+1))),0)+IF(46=核心参数输入!$B$9*4,SUMPRODUCT(季度经营税费!$D$36:$DT$36,--(季度经营税费!$D$4:$DT$4&gt;核心参数输入!$B$9*4-核心参数输入!$B$112)),0)+IF(AND(46-核心参数输入!$B$112&gt;=0,46-核心参数输入!$B$112&lt;=120),INDEX(季度经营税费!$D$40:$DT$40,1,MAX(1,MIN(121,46-核心参数输入!$B$112+1))),0)+IF(46=核心参数输入!$B$9*4,SUMPRODUCT(季度经营税费!$D$40:$DT$40,--(季度经营税费!$D$4:$DT$4&gt;核心参数输入!$B$9*4-核心参数输入!$B$112)),0),0)</f>
        <v>30.236984059712579</v>
      </c>
      <c r="AY54" s="9">
        <f>IF(47&lt;=核心参数输入!$B$9*4,IF(AND(47-核心参数输入!$B$112&gt;=0,47-核心参数输入!$B$112&lt;=120),INDEX(季度经营税费!$D$36:$DT$36,1,MAX(1,MIN(121,47-核心参数输入!$B$112+1))),0)+IF(47=核心参数输入!$B$9*4,SUMPRODUCT(季度经营税费!$D$36:$DT$36,--(季度经营税费!$D$4:$DT$4&gt;核心参数输入!$B$9*4-核心参数输入!$B$112)),0)+IF(AND(47-核心参数输入!$B$112&gt;=0,47-核心参数输入!$B$112&lt;=120),INDEX(季度经营税费!$D$40:$DT$40,1,MAX(1,MIN(121,47-核心参数输入!$B$112+1))),0)+IF(47=核心参数输入!$B$9*4,SUMPRODUCT(季度经营税费!$D$40:$DT$40,--(季度经营税费!$D$4:$DT$4&gt;核心参数输入!$B$9*4-核心参数输入!$B$112)),0),0)</f>
        <v>30.236984059712579</v>
      </c>
      <c r="AZ54" s="9">
        <f>IF(48&lt;=核心参数输入!$B$9*4,IF(AND(48-核心参数输入!$B$112&gt;=0,48-核心参数输入!$B$112&lt;=120),INDEX(季度经营税费!$D$36:$DT$36,1,MAX(1,MIN(121,48-核心参数输入!$B$112+1))),0)+IF(48=核心参数输入!$B$9*4,SUMPRODUCT(季度经营税费!$D$36:$DT$36,--(季度经营税费!$D$4:$DT$4&gt;核心参数输入!$B$9*4-核心参数输入!$B$112)),0)+IF(AND(48-核心参数输入!$B$112&gt;=0,48-核心参数输入!$B$112&lt;=120),INDEX(季度经营税费!$D$40:$DT$40,1,MAX(1,MIN(121,48-核心参数输入!$B$112+1))),0)+IF(48=核心参数输入!$B$9*4,SUMPRODUCT(季度经营税费!$D$40:$DT$40,--(季度经营税费!$D$4:$DT$4&gt;核心参数输入!$B$9*4-核心参数输入!$B$112)),0),0)</f>
        <v>30.236984059712579</v>
      </c>
      <c r="BA54" s="9">
        <f>IF(49&lt;=核心参数输入!$B$9*4,IF(AND(49-核心参数输入!$B$112&gt;=0,49-核心参数输入!$B$112&lt;=120),INDEX(季度经营税费!$D$36:$DT$36,1,MAX(1,MIN(121,49-核心参数输入!$B$112+1))),0)+IF(49=核心参数输入!$B$9*4,SUMPRODUCT(季度经营税费!$D$36:$DT$36,--(季度经营税费!$D$4:$DT$4&gt;核心参数输入!$B$9*4-核心参数输入!$B$112)),0)+IF(AND(49-核心参数输入!$B$112&gt;=0,49-核心参数输入!$B$112&lt;=120),INDEX(季度经营税费!$D$40:$DT$40,1,MAX(1,MIN(121,49-核心参数输入!$B$112+1))),0)+IF(49=核心参数输入!$B$9*4,SUMPRODUCT(季度经营税费!$D$40:$DT$40,--(季度经营税费!$D$4:$DT$4&gt;核心参数输入!$B$9*4-核心参数输入!$B$112)),0),0)</f>
        <v>30.690538820608264</v>
      </c>
      <c r="BB54" s="9">
        <f>IF(50&lt;=核心参数输入!$B$9*4,IF(AND(50-核心参数输入!$B$112&gt;=0,50-核心参数输入!$B$112&lt;=120),INDEX(季度经营税费!$D$36:$DT$36,1,MAX(1,MIN(121,50-核心参数输入!$B$112+1))),0)+IF(50=核心参数输入!$B$9*4,SUMPRODUCT(季度经营税费!$D$36:$DT$36,--(季度经营税费!$D$4:$DT$4&gt;核心参数输入!$B$9*4-核心参数输入!$B$112)),0)+IF(AND(50-核心参数输入!$B$112&gt;=0,50-核心参数输入!$B$112&lt;=120),INDEX(季度经营税费!$D$40:$DT$40,1,MAX(1,MIN(121,50-核心参数输入!$B$112+1))),0)+IF(50=核心参数输入!$B$9*4,SUMPRODUCT(季度经营税费!$D$40:$DT$40,--(季度经营税费!$D$4:$DT$4&gt;核心参数输入!$B$9*4-核心参数输入!$B$112)),0),0)</f>
        <v>30.690538820608264</v>
      </c>
      <c r="BC54" s="9">
        <f>IF(51&lt;=核心参数输入!$B$9*4,IF(AND(51-核心参数输入!$B$112&gt;=0,51-核心参数输入!$B$112&lt;=120),INDEX(季度经营税费!$D$36:$DT$36,1,MAX(1,MIN(121,51-核心参数输入!$B$112+1))),0)+IF(51=核心参数输入!$B$9*4,SUMPRODUCT(季度经营税费!$D$36:$DT$36,--(季度经营税费!$D$4:$DT$4&gt;核心参数输入!$B$9*4-核心参数输入!$B$112)),0)+IF(AND(51-核心参数输入!$B$112&gt;=0,51-核心参数输入!$B$112&lt;=120),INDEX(季度经营税费!$D$40:$DT$40,1,MAX(1,MIN(121,51-核心参数输入!$B$112+1))),0)+IF(51=核心参数输入!$B$9*4,SUMPRODUCT(季度经营税费!$D$40:$DT$40,--(季度经营税费!$D$4:$DT$4&gt;核心参数输入!$B$9*4-核心参数输入!$B$112)),0),0)</f>
        <v>30.690538820608264</v>
      </c>
      <c r="BD54" s="9">
        <f>IF(52&lt;=核心参数输入!$B$9*4,IF(AND(52-核心参数输入!$B$112&gt;=0,52-核心参数输入!$B$112&lt;=120),INDEX(季度经营税费!$D$36:$DT$36,1,MAX(1,MIN(121,52-核心参数输入!$B$112+1))),0)+IF(52=核心参数输入!$B$9*4,SUMPRODUCT(季度经营税费!$D$36:$DT$36,--(季度经营税费!$D$4:$DT$4&gt;核心参数输入!$B$9*4-核心参数输入!$B$112)),0)+IF(AND(52-核心参数输入!$B$112&gt;=0,52-核心参数输入!$B$112&lt;=120),INDEX(季度经营税费!$D$40:$DT$40,1,MAX(1,MIN(121,52-核心参数输入!$B$112+1))),0)+IF(52=核心参数输入!$B$9*4,SUMPRODUCT(季度经营税费!$D$40:$DT$40,--(季度经营税费!$D$4:$DT$4&gt;核心参数输入!$B$9*4-核心参数输入!$B$112)),0),0)</f>
        <v>30.690538820608264</v>
      </c>
      <c r="BE54" s="9">
        <f>IF(53&lt;=核心参数输入!$B$9*4,IF(AND(53-核心参数输入!$B$112&gt;=0,53-核心参数输入!$B$112&lt;=120),INDEX(季度经营税费!$D$36:$DT$36,1,MAX(1,MIN(121,53-核心参数输入!$B$112+1))),0)+IF(53=核心参数输入!$B$9*4,SUMPRODUCT(季度经营税费!$D$36:$DT$36,--(季度经营税费!$D$4:$DT$4&gt;核心参数输入!$B$9*4-核心参数输入!$B$112)),0)+IF(AND(53-核心参数输入!$B$112&gt;=0,53-核心参数输入!$B$112&lt;=120),INDEX(季度经营税费!$D$40:$DT$40,1,MAX(1,MIN(121,53-核心参数输入!$B$112+1))),0)+IF(53=核心参数输入!$B$9*4,SUMPRODUCT(季度经营税费!$D$40:$DT$40,--(季度经营税费!$D$4:$DT$4&gt;核心参数输入!$B$9*4-核心参数输入!$B$112)),0),0)</f>
        <v>31.150896902917381</v>
      </c>
      <c r="BF54" s="9">
        <f>IF(54&lt;=核心参数输入!$B$9*4,IF(AND(54-核心参数输入!$B$112&gt;=0,54-核心参数输入!$B$112&lt;=120),INDEX(季度经营税费!$D$36:$DT$36,1,MAX(1,MIN(121,54-核心参数输入!$B$112+1))),0)+IF(54=核心参数输入!$B$9*4,SUMPRODUCT(季度经营税费!$D$36:$DT$36,--(季度经营税费!$D$4:$DT$4&gt;核心参数输入!$B$9*4-核心参数输入!$B$112)),0)+IF(AND(54-核心参数输入!$B$112&gt;=0,54-核心参数输入!$B$112&lt;=120),INDEX(季度经营税费!$D$40:$DT$40,1,MAX(1,MIN(121,54-核心参数输入!$B$112+1))),0)+IF(54=核心参数输入!$B$9*4,SUMPRODUCT(季度经营税费!$D$40:$DT$40,--(季度经营税费!$D$4:$DT$4&gt;核心参数输入!$B$9*4-核心参数输入!$B$112)),0),0)</f>
        <v>31.150896902917381</v>
      </c>
      <c r="BG54" s="9">
        <f>IF(55&lt;=核心参数输入!$B$9*4,IF(AND(55-核心参数输入!$B$112&gt;=0,55-核心参数输入!$B$112&lt;=120),INDEX(季度经营税费!$D$36:$DT$36,1,MAX(1,MIN(121,55-核心参数输入!$B$112+1))),0)+IF(55=核心参数输入!$B$9*4,SUMPRODUCT(季度经营税费!$D$36:$DT$36,--(季度经营税费!$D$4:$DT$4&gt;核心参数输入!$B$9*4-核心参数输入!$B$112)),0)+IF(AND(55-核心参数输入!$B$112&gt;=0,55-核心参数输入!$B$112&lt;=120),INDEX(季度经营税费!$D$40:$DT$40,1,MAX(1,MIN(121,55-核心参数输入!$B$112+1))),0)+IF(55=核心参数输入!$B$9*4,SUMPRODUCT(季度经营税费!$D$40:$DT$40,--(季度经营税费!$D$4:$DT$4&gt;核心参数输入!$B$9*4-核心参数输入!$B$112)),0),0)</f>
        <v>31.150896902917381</v>
      </c>
      <c r="BH54" s="9">
        <f>IF(56&lt;=核心参数输入!$B$9*4,IF(AND(56-核心参数输入!$B$112&gt;=0,56-核心参数输入!$B$112&lt;=120),INDEX(季度经营税费!$D$36:$DT$36,1,MAX(1,MIN(121,56-核心参数输入!$B$112+1))),0)+IF(56=核心参数输入!$B$9*4,SUMPRODUCT(季度经营税费!$D$36:$DT$36,--(季度经营税费!$D$4:$DT$4&gt;核心参数输入!$B$9*4-核心参数输入!$B$112)),0)+IF(AND(56-核心参数输入!$B$112&gt;=0,56-核心参数输入!$B$112&lt;=120),INDEX(季度经营税费!$D$40:$DT$40,1,MAX(1,MIN(121,56-核心参数输入!$B$112+1))),0)+IF(56=核心参数输入!$B$9*4,SUMPRODUCT(季度经营税费!$D$40:$DT$40,--(季度经营税费!$D$4:$DT$4&gt;核心参数输入!$B$9*4-核心参数输入!$B$112)),0),0)</f>
        <v>31.150896902917381</v>
      </c>
      <c r="BI54" s="9">
        <f>IF(57&lt;=核心参数输入!$B$9*4,IF(AND(57-核心参数输入!$B$112&gt;=0,57-核心参数输入!$B$112&lt;=120),INDEX(季度经营税费!$D$36:$DT$36,1,MAX(1,MIN(121,57-核心参数输入!$B$112+1))),0)+IF(57=核心参数输入!$B$9*4,SUMPRODUCT(季度经营税费!$D$36:$DT$36,--(季度经营税费!$D$4:$DT$4&gt;核心参数输入!$B$9*4-核心参数输入!$B$112)),0)+IF(AND(57-核心参数输入!$B$112&gt;=0,57-核心参数输入!$B$112&lt;=120),INDEX(季度经营税费!$D$40:$DT$40,1,MAX(1,MIN(121,57-核心参数输入!$B$112+1))),0)+IF(57=核心参数输入!$B$9*4,SUMPRODUCT(季度经营税费!$D$40:$DT$40,--(季度经营税费!$D$4:$DT$4&gt;核心参数输入!$B$9*4-核心参数输入!$B$112)),0),0)</f>
        <v>31.618160356461139</v>
      </c>
      <c r="BJ54" s="9">
        <f>IF(58&lt;=核心参数输入!$B$9*4,IF(AND(58-核心参数输入!$B$112&gt;=0,58-核心参数输入!$B$112&lt;=120),INDEX(季度经营税费!$D$36:$DT$36,1,MAX(1,MIN(121,58-核心参数输入!$B$112+1))),0)+IF(58=核心参数输入!$B$9*4,SUMPRODUCT(季度经营税费!$D$36:$DT$36,--(季度经营税费!$D$4:$DT$4&gt;核心参数输入!$B$9*4-核心参数输入!$B$112)),0)+IF(AND(58-核心参数输入!$B$112&gt;=0,58-核心参数输入!$B$112&lt;=120),INDEX(季度经营税费!$D$40:$DT$40,1,MAX(1,MIN(121,58-核心参数输入!$B$112+1))),0)+IF(58=核心参数输入!$B$9*4,SUMPRODUCT(季度经营税费!$D$40:$DT$40,--(季度经营税费!$D$4:$DT$4&gt;核心参数输入!$B$9*4-核心参数输入!$B$112)),0),0)</f>
        <v>31.618160356461139</v>
      </c>
      <c r="BK54" s="9">
        <f>IF(59&lt;=核心参数输入!$B$9*4,IF(AND(59-核心参数输入!$B$112&gt;=0,59-核心参数输入!$B$112&lt;=120),INDEX(季度经营税费!$D$36:$DT$36,1,MAX(1,MIN(121,59-核心参数输入!$B$112+1))),0)+IF(59=核心参数输入!$B$9*4,SUMPRODUCT(季度经营税费!$D$36:$DT$36,--(季度经营税费!$D$4:$DT$4&gt;核心参数输入!$B$9*4-核心参数输入!$B$112)),0)+IF(AND(59-核心参数输入!$B$112&gt;=0,59-核心参数输入!$B$112&lt;=120),INDEX(季度经营税费!$D$40:$DT$40,1,MAX(1,MIN(121,59-核心参数输入!$B$112+1))),0)+IF(59=核心参数输入!$B$9*4,SUMPRODUCT(季度经营税费!$D$40:$DT$40,--(季度经营税费!$D$4:$DT$4&gt;核心参数输入!$B$9*4-核心参数输入!$B$112)),0),0)</f>
        <v>31.618160356461139</v>
      </c>
      <c r="BL54" s="9">
        <f>IF(60&lt;=核心参数输入!$B$9*4,IF(AND(60-核心参数输入!$B$112&gt;=0,60-核心参数输入!$B$112&lt;=120),INDEX(季度经营税费!$D$36:$DT$36,1,MAX(1,MIN(121,60-核心参数输入!$B$112+1))),0)+IF(60=核心参数输入!$B$9*4,SUMPRODUCT(季度经营税费!$D$36:$DT$36,--(季度经营税费!$D$4:$DT$4&gt;核心参数输入!$B$9*4-核心参数输入!$B$112)),0)+IF(AND(60-核心参数输入!$B$112&gt;=0,60-核心参数输入!$B$112&lt;=120),INDEX(季度经营税费!$D$40:$DT$40,1,MAX(1,MIN(121,60-核心参数输入!$B$112+1))),0)+IF(60=核心参数输入!$B$9*4,SUMPRODUCT(季度经营税费!$D$40:$DT$40,--(季度经营税费!$D$4:$DT$4&gt;核心参数输入!$B$9*4-核心参数输入!$B$112)),0),0)</f>
        <v>31.618160356461139</v>
      </c>
      <c r="BM54" s="9">
        <f>IF(61&lt;=核心参数输入!$B$9*4,IF(AND(61-核心参数输入!$B$112&gt;=0,61-核心参数输入!$B$112&lt;=120),INDEX(季度经营税费!$D$36:$DT$36,1,MAX(1,MIN(121,61-核心参数输入!$B$112+1))),0)+IF(61=核心参数输入!$B$9*4,SUMPRODUCT(季度经营税费!$D$36:$DT$36,--(季度经营税费!$D$4:$DT$4&gt;核心参数输入!$B$9*4-核心参数输入!$B$112)),0)+IF(AND(61-核心参数输入!$B$112&gt;=0,61-核心参数输入!$B$112&lt;=120),INDEX(季度经营税费!$D$40:$DT$40,1,MAX(1,MIN(121,61-核心参数输入!$B$112+1))),0)+IF(61=核心参数输入!$B$9*4,SUMPRODUCT(季度经营税费!$D$40:$DT$40,--(季度经营税费!$D$4:$DT$4&gt;核心参数输入!$B$9*4-核心参数输入!$B$112)),0),0)</f>
        <v>32.092432761808048</v>
      </c>
      <c r="BN54" s="9">
        <f>IF(62&lt;=核心参数输入!$B$9*4,IF(AND(62-核心参数输入!$B$112&gt;=0,62-核心参数输入!$B$112&lt;=120),INDEX(季度经营税费!$D$36:$DT$36,1,MAX(1,MIN(121,62-核心参数输入!$B$112+1))),0)+IF(62=核心参数输入!$B$9*4,SUMPRODUCT(季度经营税费!$D$36:$DT$36,--(季度经营税费!$D$4:$DT$4&gt;核心参数输入!$B$9*4-核心参数输入!$B$112)),0)+IF(AND(62-核心参数输入!$B$112&gt;=0,62-核心参数输入!$B$112&lt;=120),INDEX(季度经营税费!$D$40:$DT$40,1,MAX(1,MIN(121,62-核心参数输入!$B$112+1))),0)+IF(62=核心参数输入!$B$9*4,SUMPRODUCT(季度经营税费!$D$40:$DT$40,--(季度经营税费!$D$4:$DT$4&gt;核心参数输入!$B$9*4-核心参数输入!$B$112)),0),0)</f>
        <v>32.092432761808048</v>
      </c>
      <c r="BO54" s="9">
        <f>IF(63&lt;=核心参数输入!$B$9*4,IF(AND(63-核心参数输入!$B$112&gt;=0,63-核心参数输入!$B$112&lt;=120),INDEX(季度经营税费!$D$36:$DT$36,1,MAX(1,MIN(121,63-核心参数输入!$B$112+1))),0)+IF(63=核心参数输入!$B$9*4,SUMPRODUCT(季度经营税费!$D$36:$DT$36,--(季度经营税费!$D$4:$DT$4&gt;核心参数输入!$B$9*4-核心参数输入!$B$112)),0)+IF(AND(63-核心参数输入!$B$112&gt;=0,63-核心参数输入!$B$112&lt;=120),INDEX(季度经营税费!$D$40:$DT$40,1,MAX(1,MIN(121,63-核心参数输入!$B$112+1))),0)+IF(63=核心参数输入!$B$9*4,SUMPRODUCT(季度经营税费!$D$40:$DT$40,--(季度经营税费!$D$4:$DT$4&gt;核心参数输入!$B$9*4-核心参数输入!$B$112)),0),0)</f>
        <v>32.092432761808048</v>
      </c>
      <c r="BP54" s="9">
        <f>IF(64&lt;=核心参数输入!$B$9*4,IF(AND(64-核心参数输入!$B$112&gt;=0,64-核心参数输入!$B$112&lt;=120),INDEX(季度经营税费!$D$36:$DT$36,1,MAX(1,MIN(121,64-核心参数输入!$B$112+1))),0)+IF(64=核心参数输入!$B$9*4,SUMPRODUCT(季度经营税费!$D$36:$DT$36,--(季度经营税费!$D$4:$DT$4&gt;核心参数输入!$B$9*4-核心参数输入!$B$112)),0)+IF(AND(64-核心参数输入!$B$112&gt;=0,64-核心参数输入!$B$112&lt;=120),INDEX(季度经营税费!$D$40:$DT$40,1,MAX(1,MIN(121,64-核心参数输入!$B$112+1))),0)+IF(64=核心参数输入!$B$9*4,SUMPRODUCT(季度经营税费!$D$40:$DT$40,--(季度经营税费!$D$4:$DT$4&gt;核心参数输入!$B$9*4-核心参数输入!$B$112)),0),0)</f>
        <v>32.092432761808048</v>
      </c>
      <c r="BQ54" s="9">
        <f>IF(65&lt;=核心参数输入!$B$9*4,IF(AND(65-核心参数输入!$B$112&gt;=0,65-核心参数输入!$B$112&lt;=120),INDEX(季度经营税费!$D$36:$DT$36,1,MAX(1,MIN(121,65-核心参数输入!$B$112+1))),0)+IF(65=核心参数输入!$B$9*4,SUMPRODUCT(季度经营税费!$D$36:$DT$36,--(季度经营税费!$D$4:$DT$4&gt;核心参数输入!$B$9*4-核心参数输入!$B$112)),0)+IF(AND(65-核心参数输入!$B$112&gt;=0,65-核心参数输入!$B$112&lt;=120),INDEX(季度经营税费!$D$40:$DT$40,1,MAX(1,MIN(121,65-核心参数输入!$B$112+1))),0)+IF(65=核心参数输入!$B$9*4,SUMPRODUCT(季度经营税费!$D$40:$DT$40,--(季度经营税费!$D$4:$DT$4&gt;核心参数输入!$B$9*4-核心参数输入!$B$112)),0),0)</f>
        <v>32.573819253235172</v>
      </c>
      <c r="BR54" s="9">
        <f>IF(66&lt;=核心参数输入!$B$9*4,IF(AND(66-核心参数输入!$B$112&gt;=0,66-核心参数输入!$B$112&lt;=120),INDEX(季度经营税费!$D$36:$DT$36,1,MAX(1,MIN(121,66-核心参数输入!$B$112+1))),0)+IF(66=核心参数输入!$B$9*4,SUMPRODUCT(季度经营税费!$D$36:$DT$36,--(季度经营税费!$D$4:$DT$4&gt;核心参数输入!$B$9*4-核心参数输入!$B$112)),0)+IF(AND(66-核心参数输入!$B$112&gt;=0,66-核心参数输入!$B$112&lt;=120),INDEX(季度经营税费!$D$40:$DT$40,1,MAX(1,MIN(121,66-核心参数输入!$B$112+1))),0)+IF(66=核心参数输入!$B$9*4,SUMPRODUCT(季度经营税费!$D$40:$DT$40,--(季度经营税费!$D$4:$DT$4&gt;核心参数输入!$B$9*4-核心参数输入!$B$112)),0),0)</f>
        <v>32.573819253235172</v>
      </c>
      <c r="BS54" s="9">
        <f>IF(67&lt;=核心参数输入!$B$9*4,IF(AND(67-核心参数输入!$B$112&gt;=0,67-核心参数输入!$B$112&lt;=120),INDEX(季度经营税费!$D$36:$DT$36,1,MAX(1,MIN(121,67-核心参数输入!$B$112+1))),0)+IF(67=核心参数输入!$B$9*4,SUMPRODUCT(季度经营税费!$D$36:$DT$36,--(季度经营税费!$D$4:$DT$4&gt;核心参数输入!$B$9*4-核心参数输入!$B$112)),0)+IF(AND(67-核心参数输入!$B$112&gt;=0,67-核心参数输入!$B$112&lt;=120),INDEX(季度经营税费!$D$40:$DT$40,1,MAX(1,MIN(121,67-核心参数输入!$B$112+1))),0)+IF(67=核心参数输入!$B$9*4,SUMPRODUCT(季度经营税费!$D$40:$DT$40,--(季度经营税费!$D$4:$DT$4&gt;核心参数输入!$B$9*4-核心参数输入!$B$112)),0),0)</f>
        <v>32.573819253235172</v>
      </c>
      <c r="BT54" s="9">
        <f>IF(68&lt;=核心参数输入!$B$9*4,IF(AND(68-核心参数输入!$B$112&gt;=0,68-核心参数输入!$B$112&lt;=120),INDEX(季度经营税费!$D$36:$DT$36,1,MAX(1,MIN(121,68-核心参数输入!$B$112+1))),0)+IF(68=核心参数输入!$B$9*4,SUMPRODUCT(季度经营税费!$D$36:$DT$36,--(季度经营税费!$D$4:$DT$4&gt;核心参数输入!$B$9*4-核心参数输入!$B$112)),0)+IF(AND(68-核心参数输入!$B$112&gt;=0,68-核心参数输入!$B$112&lt;=120),INDEX(季度经营税费!$D$40:$DT$40,1,MAX(1,MIN(121,68-核心参数输入!$B$112+1))),0)+IF(68=核心参数输入!$B$9*4,SUMPRODUCT(季度经营税费!$D$40:$DT$40,--(季度经营税费!$D$4:$DT$4&gt;核心参数输入!$B$9*4-核心参数输入!$B$112)),0),0)</f>
        <v>32.573819253235172</v>
      </c>
      <c r="BU54" s="9">
        <f>IF(69&lt;=核心参数输入!$B$9*4,IF(AND(69-核心参数输入!$B$112&gt;=0,69-核心参数输入!$B$112&lt;=120),INDEX(季度经营税费!$D$36:$DT$36,1,MAX(1,MIN(121,69-核心参数输入!$B$112+1))),0)+IF(69=核心参数输入!$B$9*4,SUMPRODUCT(季度经营税费!$D$36:$DT$36,--(季度经营税费!$D$4:$DT$4&gt;核心参数输入!$B$9*4-核心参数输入!$B$112)),0)+IF(AND(69-核心参数输入!$B$112&gt;=0,69-核心参数输入!$B$112&lt;=120),INDEX(季度经营税费!$D$40:$DT$40,1,MAX(1,MIN(121,69-核心参数输入!$B$112+1))),0)+IF(69=核心参数输入!$B$9*4,SUMPRODUCT(季度经营税费!$D$40:$DT$40,--(季度经营税费!$D$4:$DT$4&gt;核心参数输入!$B$9*4-核心参数输入!$B$112)),0),0)</f>
        <v>33.062426542033691</v>
      </c>
      <c r="BV54" s="9">
        <f>IF(70&lt;=核心参数输入!$B$9*4,IF(AND(70-核心参数输入!$B$112&gt;=0,70-核心参数输入!$B$112&lt;=120),INDEX(季度经营税费!$D$36:$DT$36,1,MAX(1,MIN(121,70-核心参数输入!$B$112+1))),0)+IF(70=核心参数输入!$B$9*4,SUMPRODUCT(季度经营税费!$D$36:$DT$36,--(季度经营税费!$D$4:$DT$4&gt;核心参数输入!$B$9*4-核心参数输入!$B$112)),0)+IF(AND(70-核心参数输入!$B$112&gt;=0,70-核心参数输入!$B$112&lt;=120),INDEX(季度经营税费!$D$40:$DT$40,1,MAX(1,MIN(121,70-核心参数输入!$B$112+1))),0)+IF(70=核心参数输入!$B$9*4,SUMPRODUCT(季度经营税费!$D$40:$DT$40,--(季度经营税费!$D$4:$DT$4&gt;核心参数输入!$B$9*4-核心参数输入!$B$112)),0),0)</f>
        <v>33.062426542033691</v>
      </c>
      <c r="BW54" s="9">
        <f>IF(71&lt;=核心参数输入!$B$9*4,IF(AND(71-核心参数输入!$B$112&gt;=0,71-核心参数输入!$B$112&lt;=120),INDEX(季度经营税费!$D$36:$DT$36,1,MAX(1,MIN(121,71-核心参数输入!$B$112+1))),0)+IF(71=核心参数输入!$B$9*4,SUMPRODUCT(季度经营税费!$D$36:$DT$36,--(季度经营税费!$D$4:$DT$4&gt;核心参数输入!$B$9*4-核心参数输入!$B$112)),0)+IF(AND(71-核心参数输入!$B$112&gt;=0,71-核心参数输入!$B$112&lt;=120),INDEX(季度经营税费!$D$40:$DT$40,1,MAX(1,MIN(121,71-核心参数输入!$B$112+1))),0)+IF(71=核心参数输入!$B$9*4,SUMPRODUCT(季度经营税费!$D$40:$DT$40,--(季度经营税费!$D$4:$DT$4&gt;核心参数输入!$B$9*4-核心参数输入!$B$112)),0),0)</f>
        <v>33.062426542033691</v>
      </c>
      <c r="BX54" s="9">
        <f>IF(72&lt;=核心参数输入!$B$9*4,IF(AND(72-核心参数输入!$B$112&gt;=0,72-核心参数输入!$B$112&lt;=120),INDEX(季度经营税费!$D$36:$DT$36,1,MAX(1,MIN(121,72-核心参数输入!$B$112+1))),0)+IF(72=核心参数输入!$B$9*4,SUMPRODUCT(季度经营税费!$D$36:$DT$36,--(季度经营税费!$D$4:$DT$4&gt;核心参数输入!$B$9*4-核心参数输入!$B$112)),0)+IF(AND(72-核心参数输入!$B$112&gt;=0,72-核心参数输入!$B$112&lt;=120),INDEX(季度经营税费!$D$40:$DT$40,1,MAX(1,MIN(121,72-核心参数输入!$B$112+1))),0)+IF(72=核心参数输入!$B$9*4,SUMPRODUCT(季度经营税费!$D$40:$DT$40,--(季度经营税费!$D$4:$DT$4&gt;核心参数输入!$B$9*4-核心参数输入!$B$112)),0),0)</f>
        <v>33.062426542033691</v>
      </c>
      <c r="BY54" s="9">
        <f>IF(73&lt;=核心参数输入!$B$9*4,IF(AND(73-核心参数输入!$B$112&gt;=0,73-核心参数输入!$B$112&lt;=120),INDEX(季度经营税费!$D$36:$DT$36,1,MAX(1,MIN(121,73-核心参数输入!$B$112+1))),0)+IF(73=核心参数输入!$B$9*4,SUMPRODUCT(季度经营税费!$D$36:$DT$36,--(季度经营税费!$D$4:$DT$4&gt;核心参数输入!$B$9*4-核心参数输入!$B$112)),0)+IF(AND(73-核心参数输入!$B$112&gt;=0,73-核心参数输入!$B$112&lt;=120),INDEX(季度经营税费!$D$40:$DT$40,1,MAX(1,MIN(121,73-核心参数输入!$B$112+1))),0)+IF(73=核心参数输入!$B$9*4,SUMPRODUCT(季度经营税费!$D$40:$DT$40,--(季度经营税费!$D$4:$DT$4&gt;核心参数输入!$B$9*4-核心参数输入!$B$112)),0),0)</f>
        <v>33.558362940164187</v>
      </c>
      <c r="BZ54" s="9">
        <f>IF(74&lt;=核心参数输入!$B$9*4,IF(AND(74-核心参数输入!$B$112&gt;=0,74-核心参数输入!$B$112&lt;=120),INDEX(季度经营税费!$D$36:$DT$36,1,MAX(1,MIN(121,74-核心参数输入!$B$112+1))),0)+IF(74=核心参数输入!$B$9*4,SUMPRODUCT(季度经营税费!$D$36:$DT$36,--(季度经营税费!$D$4:$DT$4&gt;核心参数输入!$B$9*4-核心参数输入!$B$112)),0)+IF(AND(74-核心参数输入!$B$112&gt;=0,74-核心参数输入!$B$112&lt;=120),INDEX(季度经营税费!$D$40:$DT$40,1,MAX(1,MIN(121,74-核心参数输入!$B$112+1))),0)+IF(74=核心参数输入!$B$9*4,SUMPRODUCT(季度经营税费!$D$40:$DT$40,--(季度经营税费!$D$4:$DT$4&gt;核心参数输入!$B$9*4-核心参数输入!$B$112)),0),0)</f>
        <v>33.558362940164187</v>
      </c>
      <c r="CA54" s="9">
        <f>IF(75&lt;=核心参数输入!$B$9*4,IF(AND(75-核心参数输入!$B$112&gt;=0,75-核心参数输入!$B$112&lt;=120),INDEX(季度经营税费!$D$36:$DT$36,1,MAX(1,MIN(121,75-核心参数输入!$B$112+1))),0)+IF(75=核心参数输入!$B$9*4,SUMPRODUCT(季度经营税费!$D$36:$DT$36,--(季度经营税费!$D$4:$DT$4&gt;核心参数输入!$B$9*4-核心参数输入!$B$112)),0)+IF(AND(75-核心参数输入!$B$112&gt;=0,75-核心参数输入!$B$112&lt;=120),INDEX(季度经营税费!$D$40:$DT$40,1,MAX(1,MIN(121,75-核心参数输入!$B$112+1))),0)+IF(75=核心参数输入!$B$9*4,SUMPRODUCT(季度经营税费!$D$40:$DT$40,--(季度经营税费!$D$4:$DT$4&gt;核心参数输入!$B$9*4-核心参数输入!$B$112)),0),0)</f>
        <v>33.558362940164187</v>
      </c>
      <c r="CB54" s="9">
        <f>IF(76&lt;=核心参数输入!$B$9*4,IF(AND(76-核心参数输入!$B$112&gt;=0,76-核心参数输入!$B$112&lt;=120),INDEX(季度经营税费!$D$36:$DT$36,1,MAX(1,MIN(121,76-核心参数输入!$B$112+1))),0)+IF(76=核心参数输入!$B$9*4,SUMPRODUCT(季度经营税费!$D$36:$DT$36,--(季度经营税费!$D$4:$DT$4&gt;核心参数输入!$B$9*4-核心参数输入!$B$112)),0)+IF(AND(76-核心参数输入!$B$112&gt;=0,76-核心参数输入!$B$112&lt;=120),INDEX(季度经营税费!$D$40:$DT$40,1,MAX(1,MIN(121,76-核心参数输入!$B$112+1))),0)+IF(76=核心参数输入!$B$9*4,SUMPRODUCT(季度经营税费!$D$40:$DT$40,--(季度经营税费!$D$4:$DT$4&gt;核心参数输入!$B$9*4-核心参数输入!$B$112)),0),0)</f>
        <v>33.558362940164187</v>
      </c>
      <c r="CC54" s="9">
        <f>IF(77&lt;=核心参数输入!$B$9*4,IF(AND(77-核心参数输入!$B$112&gt;=0,77-核心参数输入!$B$112&lt;=120),INDEX(季度经营税费!$D$36:$DT$36,1,MAX(1,MIN(121,77-核心参数输入!$B$112+1))),0)+IF(77=核心参数输入!$B$9*4,SUMPRODUCT(季度经营税费!$D$36:$DT$36,--(季度经营税费!$D$4:$DT$4&gt;核心参数输入!$B$9*4-核心参数输入!$B$112)),0)+IF(AND(77-核心参数输入!$B$112&gt;=0,77-核心参数输入!$B$112&lt;=120),INDEX(季度经营税费!$D$40:$DT$40,1,MAX(1,MIN(121,77-核心参数输入!$B$112+1))),0)+IF(77=核心参数输入!$B$9*4,SUMPRODUCT(季度经营税费!$D$40:$DT$40,--(季度经营税费!$D$4:$DT$4&gt;核心参数输入!$B$9*4-核心参数输入!$B$112)),0),0)</f>
        <v>34.06173838426664</v>
      </c>
      <c r="CD54" s="9">
        <f>IF(78&lt;=核心参数输入!$B$9*4,IF(AND(78-核心参数输入!$B$112&gt;=0,78-核心参数输入!$B$112&lt;=120),INDEX(季度经营税费!$D$36:$DT$36,1,MAX(1,MIN(121,78-核心参数输入!$B$112+1))),0)+IF(78=核心参数输入!$B$9*4,SUMPRODUCT(季度经营税费!$D$36:$DT$36,--(季度经营税费!$D$4:$DT$4&gt;核心参数输入!$B$9*4-核心参数输入!$B$112)),0)+IF(AND(78-核心参数输入!$B$112&gt;=0,78-核心参数输入!$B$112&lt;=120),INDEX(季度经营税费!$D$40:$DT$40,1,MAX(1,MIN(121,78-核心参数输入!$B$112+1))),0)+IF(78=核心参数输入!$B$9*4,SUMPRODUCT(季度经营税费!$D$40:$DT$40,--(季度经营税费!$D$4:$DT$4&gt;核心参数输入!$B$9*4-核心参数输入!$B$112)),0),0)</f>
        <v>34.06173838426664</v>
      </c>
      <c r="CE54" s="9">
        <f>IF(79&lt;=核心参数输入!$B$9*4,IF(AND(79-核心参数输入!$B$112&gt;=0,79-核心参数输入!$B$112&lt;=120),INDEX(季度经营税费!$D$36:$DT$36,1,MAX(1,MIN(121,79-核心参数输入!$B$112+1))),0)+IF(79=核心参数输入!$B$9*4,SUMPRODUCT(季度经营税费!$D$36:$DT$36,--(季度经营税费!$D$4:$DT$4&gt;核心参数输入!$B$9*4-核心参数输入!$B$112)),0)+IF(AND(79-核心参数输入!$B$112&gt;=0,79-核心参数输入!$B$112&lt;=120),INDEX(季度经营税费!$D$40:$DT$40,1,MAX(1,MIN(121,79-核心参数输入!$B$112+1))),0)+IF(79=核心参数输入!$B$9*4,SUMPRODUCT(季度经营税费!$D$40:$DT$40,--(季度经营税费!$D$4:$DT$4&gt;核心参数输入!$B$9*4-核心参数输入!$B$112)),0),0)</f>
        <v>34.06173838426664</v>
      </c>
      <c r="CF54" s="9">
        <f>IF(80&lt;=核心参数输入!$B$9*4,IF(AND(80-核心参数输入!$B$112&gt;=0,80-核心参数输入!$B$112&lt;=120),INDEX(季度经营税费!$D$36:$DT$36,1,MAX(1,MIN(121,80-核心参数输入!$B$112+1))),0)+IF(80=核心参数输入!$B$9*4,SUMPRODUCT(季度经营税费!$D$36:$DT$36,--(季度经营税费!$D$4:$DT$4&gt;核心参数输入!$B$9*4-核心参数输入!$B$112)),0)+IF(AND(80-核心参数输入!$B$112&gt;=0,80-核心参数输入!$B$112&lt;=120),INDEX(季度经营税费!$D$40:$DT$40,1,MAX(1,MIN(121,80-核心参数输入!$B$112+1))),0)+IF(80=核心参数输入!$B$9*4,SUMPRODUCT(季度经营税费!$D$40:$DT$40,--(季度经营税费!$D$4:$DT$4&gt;核心参数输入!$B$9*4-核心参数输入!$B$112)),0),0)</f>
        <v>34.06173838426664</v>
      </c>
      <c r="CG54" s="9">
        <f>IF(81&lt;=核心参数输入!$B$9*4,IF(AND(81-核心参数输入!$B$112&gt;=0,81-核心参数输入!$B$112&lt;=120),INDEX(季度经营税费!$D$36:$DT$36,1,MAX(1,MIN(121,81-核心参数输入!$B$112+1))),0)+IF(81=核心参数输入!$B$9*4,SUMPRODUCT(季度经营税费!$D$36:$DT$36,--(季度经营税费!$D$4:$DT$4&gt;核心参数输入!$B$9*4-核心参数输入!$B$112)),0)+IF(AND(81-核心参数输入!$B$112&gt;=0,81-核心参数输入!$B$112&lt;=120),INDEX(季度经营税费!$D$40:$DT$40,1,MAX(1,MIN(121,81-核心参数输入!$B$112+1))),0)+IF(81=核心参数输入!$B$9*4,SUMPRODUCT(季度经营税费!$D$40:$DT$40,--(季度经营税费!$D$4:$DT$4&gt;核心参数输入!$B$9*4-核心参数输入!$B$112)),0),0)</f>
        <v>0</v>
      </c>
      <c r="CH54" s="9">
        <f>IF(82&lt;=核心参数输入!$B$9*4,IF(AND(82-核心参数输入!$B$112&gt;=0,82-核心参数输入!$B$112&lt;=120),INDEX(季度经营税费!$D$36:$DT$36,1,MAX(1,MIN(121,82-核心参数输入!$B$112+1))),0)+IF(82=核心参数输入!$B$9*4,SUMPRODUCT(季度经营税费!$D$36:$DT$36,--(季度经营税费!$D$4:$DT$4&gt;核心参数输入!$B$9*4-核心参数输入!$B$112)),0)+IF(AND(82-核心参数输入!$B$112&gt;=0,82-核心参数输入!$B$112&lt;=120),INDEX(季度经营税费!$D$40:$DT$40,1,MAX(1,MIN(121,82-核心参数输入!$B$112+1))),0)+IF(82=核心参数输入!$B$9*4,SUMPRODUCT(季度经营税费!$D$40:$DT$40,--(季度经营税费!$D$4:$DT$4&gt;核心参数输入!$B$9*4-核心参数输入!$B$112)),0),0)</f>
        <v>0</v>
      </c>
      <c r="CI54" s="9">
        <f>IF(83&lt;=核心参数输入!$B$9*4,IF(AND(83-核心参数输入!$B$112&gt;=0,83-核心参数输入!$B$112&lt;=120),INDEX(季度经营税费!$D$36:$DT$36,1,MAX(1,MIN(121,83-核心参数输入!$B$112+1))),0)+IF(83=核心参数输入!$B$9*4,SUMPRODUCT(季度经营税费!$D$36:$DT$36,--(季度经营税费!$D$4:$DT$4&gt;核心参数输入!$B$9*4-核心参数输入!$B$112)),0)+IF(AND(83-核心参数输入!$B$112&gt;=0,83-核心参数输入!$B$112&lt;=120),INDEX(季度经营税费!$D$40:$DT$40,1,MAX(1,MIN(121,83-核心参数输入!$B$112+1))),0)+IF(83=核心参数输入!$B$9*4,SUMPRODUCT(季度经营税费!$D$40:$DT$40,--(季度经营税费!$D$4:$DT$4&gt;核心参数输入!$B$9*4-核心参数输入!$B$112)),0),0)</f>
        <v>0</v>
      </c>
      <c r="CJ54" s="9">
        <f>IF(84&lt;=核心参数输入!$B$9*4,IF(AND(84-核心参数输入!$B$112&gt;=0,84-核心参数输入!$B$112&lt;=120),INDEX(季度经营税费!$D$36:$DT$36,1,MAX(1,MIN(121,84-核心参数输入!$B$112+1))),0)+IF(84=核心参数输入!$B$9*4,SUMPRODUCT(季度经营税费!$D$36:$DT$36,--(季度经营税费!$D$4:$DT$4&gt;核心参数输入!$B$9*4-核心参数输入!$B$112)),0)+IF(AND(84-核心参数输入!$B$112&gt;=0,84-核心参数输入!$B$112&lt;=120),INDEX(季度经营税费!$D$40:$DT$40,1,MAX(1,MIN(121,84-核心参数输入!$B$112+1))),0)+IF(84=核心参数输入!$B$9*4,SUMPRODUCT(季度经营税费!$D$40:$DT$40,--(季度经营税费!$D$4:$DT$4&gt;核心参数输入!$B$9*4-核心参数输入!$B$112)),0),0)</f>
        <v>0</v>
      </c>
      <c r="CK54" s="9">
        <f>IF(85&lt;=核心参数输入!$B$9*4,IF(AND(85-核心参数输入!$B$112&gt;=0,85-核心参数输入!$B$112&lt;=120),INDEX(季度经营税费!$D$36:$DT$36,1,MAX(1,MIN(121,85-核心参数输入!$B$112+1))),0)+IF(85=核心参数输入!$B$9*4,SUMPRODUCT(季度经营税费!$D$36:$DT$36,--(季度经营税费!$D$4:$DT$4&gt;核心参数输入!$B$9*4-核心参数输入!$B$112)),0)+IF(AND(85-核心参数输入!$B$112&gt;=0,85-核心参数输入!$B$112&lt;=120),INDEX(季度经营税费!$D$40:$DT$40,1,MAX(1,MIN(121,85-核心参数输入!$B$112+1))),0)+IF(85=核心参数输入!$B$9*4,SUMPRODUCT(季度经营税费!$D$40:$DT$40,--(季度经营税费!$D$4:$DT$4&gt;核心参数输入!$B$9*4-核心参数输入!$B$112)),0),0)</f>
        <v>0</v>
      </c>
      <c r="CL54" s="9">
        <f>IF(86&lt;=核心参数输入!$B$9*4,IF(AND(86-核心参数输入!$B$112&gt;=0,86-核心参数输入!$B$112&lt;=120),INDEX(季度经营税费!$D$36:$DT$36,1,MAX(1,MIN(121,86-核心参数输入!$B$112+1))),0)+IF(86=核心参数输入!$B$9*4,SUMPRODUCT(季度经营税费!$D$36:$DT$36,--(季度经营税费!$D$4:$DT$4&gt;核心参数输入!$B$9*4-核心参数输入!$B$112)),0)+IF(AND(86-核心参数输入!$B$112&gt;=0,86-核心参数输入!$B$112&lt;=120),INDEX(季度经营税费!$D$40:$DT$40,1,MAX(1,MIN(121,86-核心参数输入!$B$112+1))),0)+IF(86=核心参数输入!$B$9*4,SUMPRODUCT(季度经营税费!$D$40:$DT$40,--(季度经营税费!$D$4:$DT$4&gt;核心参数输入!$B$9*4-核心参数输入!$B$112)),0),0)</f>
        <v>0</v>
      </c>
      <c r="CM54" s="9">
        <f>IF(87&lt;=核心参数输入!$B$9*4,IF(AND(87-核心参数输入!$B$112&gt;=0,87-核心参数输入!$B$112&lt;=120),INDEX(季度经营税费!$D$36:$DT$36,1,MAX(1,MIN(121,87-核心参数输入!$B$112+1))),0)+IF(87=核心参数输入!$B$9*4,SUMPRODUCT(季度经营税费!$D$36:$DT$36,--(季度经营税费!$D$4:$DT$4&gt;核心参数输入!$B$9*4-核心参数输入!$B$112)),0)+IF(AND(87-核心参数输入!$B$112&gt;=0,87-核心参数输入!$B$112&lt;=120),INDEX(季度经营税费!$D$40:$DT$40,1,MAX(1,MIN(121,87-核心参数输入!$B$112+1))),0)+IF(87=核心参数输入!$B$9*4,SUMPRODUCT(季度经营税费!$D$40:$DT$40,--(季度经营税费!$D$4:$DT$4&gt;核心参数输入!$B$9*4-核心参数输入!$B$112)),0),0)</f>
        <v>0</v>
      </c>
      <c r="CN54" s="9">
        <f>IF(88&lt;=核心参数输入!$B$9*4,IF(AND(88-核心参数输入!$B$112&gt;=0,88-核心参数输入!$B$112&lt;=120),INDEX(季度经营税费!$D$36:$DT$36,1,MAX(1,MIN(121,88-核心参数输入!$B$112+1))),0)+IF(88=核心参数输入!$B$9*4,SUMPRODUCT(季度经营税费!$D$36:$DT$36,--(季度经营税费!$D$4:$DT$4&gt;核心参数输入!$B$9*4-核心参数输入!$B$112)),0)+IF(AND(88-核心参数输入!$B$112&gt;=0,88-核心参数输入!$B$112&lt;=120),INDEX(季度经营税费!$D$40:$DT$40,1,MAX(1,MIN(121,88-核心参数输入!$B$112+1))),0)+IF(88=核心参数输入!$B$9*4,SUMPRODUCT(季度经营税费!$D$40:$DT$40,--(季度经营税费!$D$4:$DT$4&gt;核心参数输入!$B$9*4-核心参数输入!$B$112)),0),0)</f>
        <v>0</v>
      </c>
      <c r="CO54" s="9">
        <f>IF(89&lt;=核心参数输入!$B$9*4,IF(AND(89-核心参数输入!$B$112&gt;=0,89-核心参数输入!$B$112&lt;=120),INDEX(季度经营税费!$D$36:$DT$36,1,MAX(1,MIN(121,89-核心参数输入!$B$112+1))),0)+IF(89=核心参数输入!$B$9*4,SUMPRODUCT(季度经营税费!$D$36:$DT$36,--(季度经营税费!$D$4:$DT$4&gt;核心参数输入!$B$9*4-核心参数输入!$B$112)),0)+IF(AND(89-核心参数输入!$B$112&gt;=0,89-核心参数输入!$B$112&lt;=120),INDEX(季度经营税费!$D$40:$DT$40,1,MAX(1,MIN(121,89-核心参数输入!$B$112+1))),0)+IF(89=核心参数输入!$B$9*4,SUMPRODUCT(季度经营税费!$D$40:$DT$40,--(季度经营税费!$D$4:$DT$4&gt;核心参数输入!$B$9*4-核心参数输入!$B$112)),0),0)</f>
        <v>0</v>
      </c>
      <c r="CP54" s="9">
        <f>IF(90&lt;=核心参数输入!$B$9*4,IF(AND(90-核心参数输入!$B$112&gt;=0,90-核心参数输入!$B$112&lt;=120),INDEX(季度经营税费!$D$36:$DT$36,1,MAX(1,MIN(121,90-核心参数输入!$B$112+1))),0)+IF(90=核心参数输入!$B$9*4,SUMPRODUCT(季度经营税费!$D$36:$DT$36,--(季度经营税费!$D$4:$DT$4&gt;核心参数输入!$B$9*4-核心参数输入!$B$112)),0)+IF(AND(90-核心参数输入!$B$112&gt;=0,90-核心参数输入!$B$112&lt;=120),INDEX(季度经营税费!$D$40:$DT$40,1,MAX(1,MIN(121,90-核心参数输入!$B$112+1))),0)+IF(90=核心参数输入!$B$9*4,SUMPRODUCT(季度经营税费!$D$40:$DT$40,--(季度经营税费!$D$4:$DT$4&gt;核心参数输入!$B$9*4-核心参数输入!$B$112)),0),0)</f>
        <v>0</v>
      </c>
      <c r="CQ54" s="9">
        <f>IF(91&lt;=核心参数输入!$B$9*4,IF(AND(91-核心参数输入!$B$112&gt;=0,91-核心参数输入!$B$112&lt;=120),INDEX(季度经营税费!$D$36:$DT$36,1,MAX(1,MIN(121,91-核心参数输入!$B$112+1))),0)+IF(91=核心参数输入!$B$9*4,SUMPRODUCT(季度经营税费!$D$36:$DT$36,--(季度经营税费!$D$4:$DT$4&gt;核心参数输入!$B$9*4-核心参数输入!$B$112)),0)+IF(AND(91-核心参数输入!$B$112&gt;=0,91-核心参数输入!$B$112&lt;=120),INDEX(季度经营税费!$D$40:$DT$40,1,MAX(1,MIN(121,91-核心参数输入!$B$112+1))),0)+IF(91=核心参数输入!$B$9*4,SUMPRODUCT(季度经营税费!$D$40:$DT$40,--(季度经营税费!$D$4:$DT$4&gt;核心参数输入!$B$9*4-核心参数输入!$B$112)),0),0)</f>
        <v>0</v>
      </c>
      <c r="CR54" s="9">
        <f>IF(92&lt;=核心参数输入!$B$9*4,IF(AND(92-核心参数输入!$B$112&gt;=0,92-核心参数输入!$B$112&lt;=120),INDEX(季度经营税费!$D$36:$DT$36,1,MAX(1,MIN(121,92-核心参数输入!$B$112+1))),0)+IF(92=核心参数输入!$B$9*4,SUMPRODUCT(季度经营税费!$D$36:$DT$36,--(季度经营税费!$D$4:$DT$4&gt;核心参数输入!$B$9*4-核心参数输入!$B$112)),0)+IF(AND(92-核心参数输入!$B$112&gt;=0,92-核心参数输入!$B$112&lt;=120),INDEX(季度经营税费!$D$40:$DT$40,1,MAX(1,MIN(121,92-核心参数输入!$B$112+1))),0)+IF(92=核心参数输入!$B$9*4,SUMPRODUCT(季度经营税费!$D$40:$DT$40,--(季度经营税费!$D$4:$DT$4&gt;核心参数输入!$B$9*4-核心参数输入!$B$112)),0),0)</f>
        <v>0</v>
      </c>
      <c r="CS54" s="9">
        <f>IF(93&lt;=核心参数输入!$B$9*4,IF(AND(93-核心参数输入!$B$112&gt;=0,93-核心参数输入!$B$112&lt;=120),INDEX(季度经营税费!$D$36:$DT$36,1,MAX(1,MIN(121,93-核心参数输入!$B$112+1))),0)+IF(93=核心参数输入!$B$9*4,SUMPRODUCT(季度经营税费!$D$36:$DT$36,--(季度经营税费!$D$4:$DT$4&gt;核心参数输入!$B$9*4-核心参数输入!$B$112)),0)+IF(AND(93-核心参数输入!$B$112&gt;=0,93-核心参数输入!$B$112&lt;=120),INDEX(季度经营税费!$D$40:$DT$40,1,MAX(1,MIN(121,93-核心参数输入!$B$112+1))),0)+IF(93=核心参数输入!$B$9*4,SUMPRODUCT(季度经营税费!$D$40:$DT$40,--(季度经营税费!$D$4:$DT$4&gt;核心参数输入!$B$9*4-核心参数输入!$B$112)),0),0)</f>
        <v>0</v>
      </c>
      <c r="CT54" s="9">
        <f>IF(94&lt;=核心参数输入!$B$9*4,IF(AND(94-核心参数输入!$B$112&gt;=0,94-核心参数输入!$B$112&lt;=120),INDEX(季度经营税费!$D$36:$DT$36,1,MAX(1,MIN(121,94-核心参数输入!$B$112+1))),0)+IF(94=核心参数输入!$B$9*4,SUMPRODUCT(季度经营税费!$D$36:$DT$36,--(季度经营税费!$D$4:$DT$4&gt;核心参数输入!$B$9*4-核心参数输入!$B$112)),0)+IF(AND(94-核心参数输入!$B$112&gt;=0,94-核心参数输入!$B$112&lt;=120),INDEX(季度经营税费!$D$40:$DT$40,1,MAX(1,MIN(121,94-核心参数输入!$B$112+1))),0)+IF(94=核心参数输入!$B$9*4,SUMPRODUCT(季度经营税费!$D$40:$DT$40,--(季度经营税费!$D$4:$DT$4&gt;核心参数输入!$B$9*4-核心参数输入!$B$112)),0),0)</f>
        <v>0</v>
      </c>
      <c r="CU54" s="9">
        <f>IF(95&lt;=核心参数输入!$B$9*4,IF(AND(95-核心参数输入!$B$112&gt;=0,95-核心参数输入!$B$112&lt;=120),INDEX(季度经营税费!$D$36:$DT$36,1,MAX(1,MIN(121,95-核心参数输入!$B$112+1))),0)+IF(95=核心参数输入!$B$9*4,SUMPRODUCT(季度经营税费!$D$36:$DT$36,--(季度经营税费!$D$4:$DT$4&gt;核心参数输入!$B$9*4-核心参数输入!$B$112)),0)+IF(AND(95-核心参数输入!$B$112&gt;=0,95-核心参数输入!$B$112&lt;=120),INDEX(季度经营税费!$D$40:$DT$40,1,MAX(1,MIN(121,95-核心参数输入!$B$112+1))),0)+IF(95=核心参数输入!$B$9*4,SUMPRODUCT(季度经营税费!$D$40:$DT$40,--(季度经营税费!$D$4:$DT$4&gt;核心参数输入!$B$9*4-核心参数输入!$B$112)),0),0)</f>
        <v>0</v>
      </c>
      <c r="CV54" s="9">
        <f>IF(96&lt;=核心参数输入!$B$9*4,IF(AND(96-核心参数输入!$B$112&gt;=0,96-核心参数输入!$B$112&lt;=120),INDEX(季度经营税费!$D$36:$DT$36,1,MAX(1,MIN(121,96-核心参数输入!$B$112+1))),0)+IF(96=核心参数输入!$B$9*4,SUMPRODUCT(季度经营税费!$D$36:$DT$36,--(季度经营税费!$D$4:$DT$4&gt;核心参数输入!$B$9*4-核心参数输入!$B$112)),0)+IF(AND(96-核心参数输入!$B$112&gt;=0,96-核心参数输入!$B$112&lt;=120),INDEX(季度经营税费!$D$40:$DT$40,1,MAX(1,MIN(121,96-核心参数输入!$B$112+1))),0)+IF(96=核心参数输入!$B$9*4,SUMPRODUCT(季度经营税费!$D$40:$DT$40,--(季度经营税费!$D$4:$DT$4&gt;核心参数输入!$B$9*4-核心参数输入!$B$112)),0),0)</f>
        <v>0</v>
      </c>
      <c r="CW54" s="9">
        <f>IF(97&lt;=核心参数输入!$B$9*4,IF(AND(97-核心参数输入!$B$112&gt;=0,97-核心参数输入!$B$112&lt;=120),INDEX(季度经营税费!$D$36:$DT$36,1,MAX(1,MIN(121,97-核心参数输入!$B$112+1))),0)+IF(97=核心参数输入!$B$9*4,SUMPRODUCT(季度经营税费!$D$36:$DT$36,--(季度经营税费!$D$4:$DT$4&gt;核心参数输入!$B$9*4-核心参数输入!$B$112)),0)+IF(AND(97-核心参数输入!$B$112&gt;=0,97-核心参数输入!$B$112&lt;=120),INDEX(季度经营税费!$D$40:$DT$40,1,MAX(1,MIN(121,97-核心参数输入!$B$112+1))),0)+IF(97=核心参数输入!$B$9*4,SUMPRODUCT(季度经营税费!$D$40:$DT$40,--(季度经营税费!$D$4:$DT$4&gt;核心参数输入!$B$9*4-核心参数输入!$B$112)),0),0)</f>
        <v>0</v>
      </c>
      <c r="CX54" s="9">
        <f>IF(98&lt;=核心参数输入!$B$9*4,IF(AND(98-核心参数输入!$B$112&gt;=0,98-核心参数输入!$B$112&lt;=120),INDEX(季度经营税费!$D$36:$DT$36,1,MAX(1,MIN(121,98-核心参数输入!$B$112+1))),0)+IF(98=核心参数输入!$B$9*4,SUMPRODUCT(季度经营税费!$D$36:$DT$36,--(季度经营税费!$D$4:$DT$4&gt;核心参数输入!$B$9*4-核心参数输入!$B$112)),0)+IF(AND(98-核心参数输入!$B$112&gt;=0,98-核心参数输入!$B$112&lt;=120),INDEX(季度经营税费!$D$40:$DT$40,1,MAX(1,MIN(121,98-核心参数输入!$B$112+1))),0)+IF(98=核心参数输入!$B$9*4,SUMPRODUCT(季度经营税费!$D$40:$DT$40,--(季度经营税费!$D$4:$DT$4&gt;核心参数输入!$B$9*4-核心参数输入!$B$112)),0),0)</f>
        <v>0</v>
      </c>
      <c r="CY54" s="9">
        <f>IF(99&lt;=核心参数输入!$B$9*4,IF(AND(99-核心参数输入!$B$112&gt;=0,99-核心参数输入!$B$112&lt;=120),INDEX(季度经营税费!$D$36:$DT$36,1,MAX(1,MIN(121,99-核心参数输入!$B$112+1))),0)+IF(99=核心参数输入!$B$9*4,SUMPRODUCT(季度经营税费!$D$36:$DT$36,--(季度经营税费!$D$4:$DT$4&gt;核心参数输入!$B$9*4-核心参数输入!$B$112)),0)+IF(AND(99-核心参数输入!$B$112&gt;=0,99-核心参数输入!$B$112&lt;=120),INDEX(季度经营税费!$D$40:$DT$40,1,MAX(1,MIN(121,99-核心参数输入!$B$112+1))),0)+IF(99=核心参数输入!$B$9*4,SUMPRODUCT(季度经营税费!$D$40:$DT$40,--(季度经营税费!$D$4:$DT$4&gt;核心参数输入!$B$9*4-核心参数输入!$B$112)),0),0)</f>
        <v>0</v>
      </c>
      <c r="CZ54" s="9">
        <f>IF(100&lt;=核心参数输入!$B$9*4,IF(AND(100-核心参数输入!$B$112&gt;=0,100-核心参数输入!$B$112&lt;=120),INDEX(季度经营税费!$D$36:$DT$36,1,MAX(1,MIN(121,100-核心参数输入!$B$112+1))),0)+IF(100=核心参数输入!$B$9*4,SUMPRODUCT(季度经营税费!$D$36:$DT$36,--(季度经营税费!$D$4:$DT$4&gt;核心参数输入!$B$9*4-核心参数输入!$B$112)),0)+IF(AND(100-核心参数输入!$B$112&gt;=0,100-核心参数输入!$B$112&lt;=120),INDEX(季度经营税费!$D$40:$DT$40,1,MAX(1,MIN(121,100-核心参数输入!$B$112+1))),0)+IF(100=核心参数输入!$B$9*4,SUMPRODUCT(季度经营税费!$D$40:$DT$40,--(季度经营税费!$D$4:$DT$4&gt;核心参数输入!$B$9*4-核心参数输入!$B$112)),0),0)</f>
        <v>0</v>
      </c>
      <c r="DA54" s="9">
        <f>IF(101&lt;=核心参数输入!$B$9*4,IF(AND(101-核心参数输入!$B$112&gt;=0,101-核心参数输入!$B$112&lt;=120),INDEX(季度经营税费!$D$36:$DT$36,1,MAX(1,MIN(121,101-核心参数输入!$B$112+1))),0)+IF(101=核心参数输入!$B$9*4,SUMPRODUCT(季度经营税费!$D$36:$DT$36,--(季度经营税费!$D$4:$DT$4&gt;核心参数输入!$B$9*4-核心参数输入!$B$112)),0)+IF(AND(101-核心参数输入!$B$112&gt;=0,101-核心参数输入!$B$112&lt;=120),INDEX(季度经营税费!$D$40:$DT$40,1,MAX(1,MIN(121,101-核心参数输入!$B$112+1))),0)+IF(101=核心参数输入!$B$9*4,SUMPRODUCT(季度经营税费!$D$40:$DT$40,--(季度经营税费!$D$4:$DT$4&gt;核心参数输入!$B$9*4-核心参数输入!$B$112)),0),0)</f>
        <v>0</v>
      </c>
      <c r="DB54" s="9">
        <f>IF(102&lt;=核心参数输入!$B$9*4,IF(AND(102-核心参数输入!$B$112&gt;=0,102-核心参数输入!$B$112&lt;=120),INDEX(季度经营税费!$D$36:$DT$36,1,MAX(1,MIN(121,102-核心参数输入!$B$112+1))),0)+IF(102=核心参数输入!$B$9*4,SUMPRODUCT(季度经营税费!$D$36:$DT$36,--(季度经营税费!$D$4:$DT$4&gt;核心参数输入!$B$9*4-核心参数输入!$B$112)),0)+IF(AND(102-核心参数输入!$B$112&gt;=0,102-核心参数输入!$B$112&lt;=120),INDEX(季度经营税费!$D$40:$DT$40,1,MAX(1,MIN(121,102-核心参数输入!$B$112+1))),0)+IF(102=核心参数输入!$B$9*4,SUMPRODUCT(季度经营税费!$D$40:$DT$40,--(季度经营税费!$D$4:$DT$4&gt;核心参数输入!$B$9*4-核心参数输入!$B$112)),0),0)</f>
        <v>0</v>
      </c>
      <c r="DC54" s="9">
        <f>IF(103&lt;=核心参数输入!$B$9*4,IF(AND(103-核心参数输入!$B$112&gt;=0,103-核心参数输入!$B$112&lt;=120),INDEX(季度经营税费!$D$36:$DT$36,1,MAX(1,MIN(121,103-核心参数输入!$B$112+1))),0)+IF(103=核心参数输入!$B$9*4,SUMPRODUCT(季度经营税费!$D$36:$DT$36,--(季度经营税费!$D$4:$DT$4&gt;核心参数输入!$B$9*4-核心参数输入!$B$112)),0)+IF(AND(103-核心参数输入!$B$112&gt;=0,103-核心参数输入!$B$112&lt;=120),INDEX(季度经营税费!$D$40:$DT$40,1,MAX(1,MIN(121,103-核心参数输入!$B$112+1))),0)+IF(103=核心参数输入!$B$9*4,SUMPRODUCT(季度经营税费!$D$40:$DT$40,--(季度经营税费!$D$4:$DT$4&gt;核心参数输入!$B$9*4-核心参数输入!$B$112)),0),0)</f>
        <v>0</v>
      </c>
      <c r="DD54" s="9">
        <f>IF(104&lt;=核心参数输入!$B$9*4,IF(AND(104-核心参数输入!$B$112&gt;=0,104-核心参数输入!$B$112&lt;=120),INDEX(季度经营税费!$D$36:$DT$36,1,MAX(1,MIN(121,104-核心参数输入!$B$112+1))),0)+IF(104=核心参数输入!$B$9*4,SUMPRODUCT(季度经营税费!$D$36:$DT$36,--(季度经营税费!$D$4:$DT$4&gt;核心参数输入!$B$9*4-核心参数输入!$B$112)),0)+IF(AND(104-核心参数输入!$B$112&gt;=0,104-核心参数输入!$B$112&lt;=120),INDEX(季度经营税费!$D$40:$DT$40,1,MAX(1,MIN(121,104-核心参数输入!$B$112+1))),0)+IF(104=核心参数输入!$B$9*4,SUMPRODUCT(季度经营税费!$D$40:$DT$40,--(季度经营税费!$D$4:$DT$4&gt;核心参数输入!$B$9*4-核心参数输入!$B$112)),0),0)</f>
        <v>0</v>
      </c>
      <c r="DE54" s="9">
        <f>IF(105&lt;=核心参数输入!$B$9*4,IF(AND(105-核心参数输入!$B$112&gt;=0,105-核心参数输入!$B$112&lt;=120),INDEX(季度经营税费!$D$36:$DT$36,1,MAX(1,MIN(121,105-核心参数输入!$B$112+1))),0)+IF(105=核心参数输入!$B$9*4,SUMPRODUCT(季度经营税费!$D$36:$DT$36,--(季度经营税费!$D$4:$DT$4&gt;核心参数输入!$B$9*4-核心参数输入!$B$112)),0)+IF(AND(105-核心参数输入!$B$112&gt;=0,105-核心参数输入!$B$112&lt;=120),INDEX(季度经营税费!$D$40:$DT$40,1,MAX(1,MIN(121,105-核心参数输入!$B$112+1))),0)+IF(105=核心参数输入!$B$9*4,SUMPRODUCT(季度经营税费!$D$40:$DT$40,--(季度经营税费!$D$4:$DT$4&gt;核心参数输入!$B$9*4-核心参数输入!$B$112)),0),0)</f>
        <v>0</v>
      </c>
      <c r="DF54" s="9">
        <f>IF(106&lt;=核心参数输入!$B$9*4,IF(AND(106-核心参数输入!$B$112&gt;=0,106-核心参数输入!$B$112&lt;=120),INDEX(季度经营税费!$D$36:$DT$36,1,MAX(1,MIN(121,106-核心参数输入!$B$112+1))),0)+IF(106=核心参数输入!$B$9*4,SUMPRODUCT(季度经营税费!$D$36:$DT$36,--(季度经营税费!$D$4:$DT$4&gt;核心参数输入!$B$9*4-核心参数输入!$B$112)),0)+IF(AND(106-核心参数输入!$B$112&gt;=0,106-核心参数输入!$B$112&lt;=120),INDEX(季度经营税费!$D$40:$DT$40,1,MAX(1,MIN(121,106-核心参数输入!$B$112+1))),0)+IF(106=核心参数输入!$B$9*4,SUMPRODUCT(季度经营税费!$D$40:$DT$40,--(季度经营税费!$D$4:$DT$4&gt;核心参数输入!$B$9*4-核心参数输入!$B$112)),0),0)</f>
        <v>0</v>
      </c>
      <c r="DG54" s="9">
        <f>IF(107&lt;=核心参数输入!$B$9*4,IF(AND(107-核心参数输入!$B$112&gt;=0,107-核心参数输入!$B$112&lt;=120),INDEX(季度经营税费!$D$36:$DT$36,1,MAX(1,MIN(121,107-核心参数输入!$B$112+1))),0)+IF(107=核心参数输入!$B$9*4,SUMPRODUCT(季度经营税费!$D$36:$DT$36,--(季度经营税费!$D$4:$DT$4&gt;核心参数输入!$B$9*4-核心参数输入!$B$112)),0)+IF(AND(107-核心参数输入!$B$112&gt;=0,107-核心参数输入!$B$112&lt;=120),INDEX(季度经营税费!$D$40:$DT$40,1,MAX(1,MIN(121,107-核心参数输入!$B$112+1))),0)+IF(107=核心参数输入!$B$9*4,SUMPRODUCT(季度经营税费!$D$40:$DT$40,--(季度经营税费!$D$4:$DT$4&gt;核心参数输入!$B$9*4-核心参数输入!$B$112)),0),0)</f>
        <v>0</v>
      </c>
      <c r="DH54" s="9">
        <f>IF(108&lt;=核心参数输入!$B$9*4,IF(AND(108-核心参数输入!$B$112&gt;=0,108-核心参数输入!$B$112&lt;=120),INDEX(季度经营税费!$D$36:$DT$36,1,MAX(1,MIN(121,108-核心参数输入!$B$112+1))),0)+IF(108=核心参数输入!$B$9*4,SUMPRODUCT(季度经营税费!$D$36:$DT$36,--(季度经营税费!$D$4:$DT$4&gt;核心参数输入!$B$9*4-核心参数输入!$B$112)),0)+IF(AND(108-核心参数输入!$B$112&gt;=0,108-核心参数输入!$B$112&lt;=120),INDEX(季度经营税费!$D$40:$DT$40,1,MAX(1,MIN(121,108-核心参数输入!$B$112+1))),0)+IF(108=核心参数输入!$B$9*4,SUMPRODUCT(季度经营税费!$D$40:$DT$40,--(季度经营税费!$D$4:$DT$4&gt;核心参数输入!$B$9*4-核心参数输入!$B$112)),0),0)</f>
        <v>0</v>
      </c>
      <c r="DI54" s="9">
        <f>IF(109&lt;=核心参数输入!$B$9*4,IF(AND(109-核心参数输入!$B$112&gt;=0,109-核心参数输入!$B$112&lt;=120),INDEX(季度经营税费!$D$36:$DT$36,1,MAX(1,MIN(121,109-核心参数输入!$B$112+1))),0)+IF(109=核心参数输入!$B$9*4,SUMPRODUCT(季度经营税费!$D$36:$DT$36,--(季度经营税费!$D$4:$DT$4&gt;核心参数输入!$B$9*4-核心参数输入!$B$112)),0)+IF(AND(109-核心参数输入!$B$112&gt;=0,109-核心参数输入!$B$112&lt;=120),INDEX(季度经营税费!$D$40:$DT$40,1,MAX(1,MIN(121,109-核心参数输入!$B$112+1))),0)+IF(109=核心参数输入!$B$9*4,SUMPRODUCT(季度经营税费!$D$40:$DT$40,--(季度经营税费!$D$4:$DT$4&gt;核心参数输入!$B$9*4-核心参数输入!$B$112)),0),0)</f>
        <v>0</v>
      </c>
      <c r="DJ54" s="9">
        <f>IF(110&lt;=核心参数输入!$B$9*4,IF(AND(110-核心参数输入!$B$112&gt;=0,110-核心参数输入!$B$112&lt;=120),INDEX(季度经营税费!$D$36:$DT$36,1,MAX(1,MIN(121,110-核心参数输入!$B$112+1))),0)+IF(110=核心参数输入!$B$9*4,SUMPRODUCT(季度经营税费!$D$36:$DT$36,--(季度经营税费!$D$4:$DT$4&gt;核心参数输入!$B$9*4-核心参数输入!$B$112)),0)+IF(AND(110-核心参数输入!$B$112&gt;=0,110-核心参数输入!$B$112&lt;=120),INDEX(季度经营税费!$D$40:$DT$40,1,MAX(1,MIN(121,110-核心参数输入!$B$112+1))),0)+IF(110=核心参数输入!$B$9*4,SUMPRODUCT(季度经营税费!$D$40:$DT$40,--(季度经营税费!$D$4:$DT$4&gt;核心参数输入!$B$9*4-核心参数输入!$B$112)),0),0)</f>
        <v>0</v>
      </c>
      <c r="DK54" s="9">
        <f>IF(111&lt;=核心参数输入!$B$9*4,IF(AND(111-核心参数输入!$B$112&gt;=0,111-核心参数输入!$B$112&lt;=120),INDEX(季度经营税费!$D$36:$DT$36,1,MAX(1,MIN(121,111-核心参数输入!$B$112+1))),0)+IF(111=核心参数输入!$B$9*4,SUMPRODUCT(季度经营税费!$D$36:$DT$36,--(季度经营税费!$D$4:$DT$4&gt;核心参数输入!$B$9*4-核心参数输入!$B$112)),0)+IF(AND(111-核心参数输入!$B$112&gt;=0,111-核心参数输入!$B$112&lt;=120),INDEX(季度经营税费!$D$40:$DT$40,1,MAX(1,MIN(121,111-核心参数输入!$B$112+1))),0)+IF(111=核心参数输入!$B$9*4,SUMPRODUCT(季度经营税费!$D$40:$DT$40,--(季度经营税费!$D$4:$DT$4&gt;核心参数输入!$B$9*4-核心参数输入!$B$112)),0),0)</f>
        <v>0</v>
      </c>
      <c r="DL54" s="9">
        <f>IF(112&lt;=核心参数输入!$B$9*4,IF(AND(112-核心参数输入!$B$112&gt;=0,112-核心参数输入!$B$112&lt;=120),INDEX(季度经营税费!$D$36:$DT$36,1,MAX(1,MIN(121,112-核心参数输入!$B$112+1))),0)+IF(112=核心参数输入!$B$9*4,SUMPRODUCT(季度经营税费!$D$36:$DT$36,--(季度经营税费!$D$4:$DT$4&gt;核心参数输入!$B$9*4-核心参数输入!$B$112)),0)+IF(AND(112-核心参数输入!$B$112&gt;=0,112-核心参数输入!$B$112&lt;=120),INDEX(季度经营税费!$D$40:$DT$40,1,MAX(1,MIN(121,112-核心参数输入!$B$112+1))),0)+IF(112=核心参数输入!$B$9*4,SUMPRODUCT(季度经营税费!$D$40:$DT$40,--(季度经营税费!$D$4:$DT$4&gt;核心参数输入!$B$9*4-核心参数输入!$B$112)),0),0)</f>
        <v>0</v>
      </c>
      <c r="DM54" s="9">
        <f>IF(113&lt;=核心参数输入!$B$9*4,IF(AND(113-核心参数输入!$B$112&gt;=0,113-核心参数输入!$B$112&lt;=120),INDEX(季度经营税费!$D$36:$DT$36,1,MAX(1,MIN(121,113-核心参数输入!$B$112+1))),0)+IF(113=核心参数输入!$B$9*4,SUMPRODUCT(季度经营税费!$D$36:$DT$36,--(季度经营税费!$D$4:$DT$4&gt;核心参数输入!$B$9*4-核心参数输入!$B$112)),0)+IF(AND(113-核心参数输入!$B$112&gt;=0,113-核心参数输入!$B$112&lt;=120),INDEX(季度经营税费!$D$40:$DT$40,1,MAX(1,MIN(121,113-核心参数输入!$B$112+1))),0)+IF(113=核心参数输入!$B$9*4,SUMPRODUCT(季度经营税费!$D$40:$DT$40,--(季度经营税费!$D$4:$DT$4&gt;核心参数输入!$B$9*4-核心参数输入!$B$112)),0),0)</f>
        <v>0</v>
      </c>
      <c r="DN54" s="9">
        <f>IF(114&lt;=核心参数输入!$B$9*4,IF(AND(114-核心参数输入!$B$112&gt;=0,114-核心参数输入!$B$112&lt;=120),INDEX(季度经营税费!$D$36:$DT$36,1,MAX(1,MIN(121,114-核心参数输入!$B$112+1))),0)+IF(114=核心参数输入!$B$9*4,SUMPRODUCT(季度经营税费!$D$36:$DT$36,--(季度经营税费!$D$4:$DT$4&gt;核心参数输入!$B$9*4-核心参数输入!$B$112)),0)+IF(AND(114-核心参数输入!$B$112&gt;=0,114-核心参数输入!$B$112&lt;=120),INDEX(季度经营税费!$D$40:$DT$40,1,MAX(1,MIN(121,114-核心参数输入!$B$112+1))),0)+IF(114=核心参数输入!$B$9*4,SUMPRODUCT(季度经营税费!$D$40:$DT$40,--(季度经营税费!$D$4:$DT$4&gt;核心参数输入!$B$9*4-核心参数输入!$B$112)),0),0)</f>
        <v>0</v>
      </c>
      <c r="DO54" s="9">
        <f>IF(115&lt;=核心参数输入!$B$9*4,IF(AND(115-核心参数输入!$B$112&gt;=0,115-核心参数输入!$B$112&lt;=120),INDEX(季度经营税费!$D$36:$DT$36,1,MAX(1,MIN(121,115-核心参数输入!$B$112+1))),0)+IF(115=核心参数输入!$B$9*4,SUMPRODUCT(季度经营税费!$D$36:$DT$36,--(季度经营税费!$D$4:$DT$4&gt;核心参数输入!$B$9*4-核心参数输入!$B$112)),0)+IF(AND(115-核心参数输入!$B$112&gt;=0,115-核心参数输入!$B$112&lt;=120),INDEX(季度经营税费!$D$40:$DT$40,1,MAX(1,MIN(121,115-核心参数输入!$B$112+1))),0)+IF(115=核心参数输入!$B$9*4,SUMPRODUCT(季度经营税费!$D$40:$DT$40,--(季度经营税费!$D$4:$DT$4&gt;核心参数输入!$B$9*4-核心参数输入!$B$112)),0),0)</f>
        <v>0</v>
      </c>
      <c r="DP54" s="9">
        <f>IF(116&lt;=核心参数输入!$B$9*4,IF(AND(116-核心参数输入!$B$112&gt;=0,116-核心参数输入!$B$112&lt;=120),INDEX(季度经营税费!$D$36:$DT$36,1,MAX(1,MIN(121,116-核心参数输入!$B$112+1))),0)+IF(116=核心参数输入!$B$9*4,SUMPRODUCT(季度经营税费!$D$36:$DT$36,--(季度经营税费!$D$4:$DT$4&gt;核心参数输入!$B$9*4-核心参数输入!$B$112)),0)+IF(AND(116-核心参数输入!$B$112&gt;=0,116-核心参数输入!$B$112&lt;=120),INDEX(季度经营税费!$D$40:$DT$40,1,MAX(1,MIN(121,116-核心参数输入!$B$112+1))),0)+IF(116=核心参数输入!$B$9*4,SUMPRODUCT(季度经营税费!$D$40:$DT$40,--(季度经营税费!$D$4:$DT$4&gt;核心参数输入!$B$9*4-核心参数输入!$B$112)),0),0)</f>
        <v>0</v>
      </c>
      <c r="DQ54" s="9">
        <f>IF(117&lt;=核心参数输入!$B$9*4,IF(AND(117-核心参数输入!$B$112&gt;=0,117-核心参数输入!$B$112&lt;=120),INDEX(季度经营税费!$D$36:$DT$36,1,MAX(1,MIN(121,117-核心参数输入!$B$112+1))),0)+IF(117=核心参数输入!$B$9*4,SUMPRODUCT(季度经营税费!$D$36:$DT$36,--(季度经营税费!$D$4:$DT$4&gt;核心参数输入!$B$9*4-核心参数输入!$B$112)),0)+IF(AND(117-核心参数输入!$B$112&gt;=0,117-核心参数输入!$B$112&lt;=120),INDEX(季度经营税费!$D$40:$DT$40,1,MAX(1,MIN(121,117-核心参数输入!$B$112+1))),0)+IF(117=核心参数输入!$B$9*4,SUMPRODUCT(季度经营税费!$D$40:$DT$40,--(季度经营税费!$D$4:$DT$4&gt;核心参数输入!$B$9*4-核心参数输入!$B$112)),0),0)</f>
        <v>0</v>
      </c>
      <c r="DR54" s="9">
        <f>IF(118&lt;=核心参数输入!$B$9*4,IF(AND(118-核心参数输入!$B$112&gt;=0,118-核心参数输入!$B$112&lt;=120),INDEX(季度经营税费!$D$36:$DT$36,1,MAX(1,MIN(121,118-核心参数输入!$B$112+1))),0)+IF(118=核心参数输入!$B$9*4,SUMPRODUCT(季度经营税费!$D$36:$DT$36,--(季度经营税费!$D$4:$DT$4&gt;核心参数输入!$B$9*4-核心参数输入!$B$112)),0)+IF(AND(118-核心参数输入!$B$112&gt;=0,118-核心参数输入!$B$112&lt;=120),INDEX(季度经营税费!$D$40:$DT$40,1,MAX(1,MIN(121,118-核心参数输入!$B$112+1))),0)+IF(118=核心参数输入!$B$9*4,SUMPRODUCT(季度经营税费!$D$40:$DT$40,--(季度经营税费!$D$4:$DT$4&gt;核心参数输入!$B$9*4-核心参数输入!$B$112)),0),0)</f>
        <v>0</v>
      </c>
      <c r="DS54" s="9">
        <f>IF(119&lt;=核心参数输入!$B$9*4,IF(AND(119-核心参数输入!$B$112&gt;=0,119-核心参数输入!$B$112&lt;=120),INDEX(季度经营税费!$D$36:$DT$36,1,MAX(1,MIN(121,119-核心参数输入!$B$112+1))),0)+IF(119=核心参数输入!$B$9*4,SUMPRODUCT(季度经营税费!$D$36:$DT$36,--(季度经营税费!$D$4:$DT$4&gt;核心参数输入!$B$9*4-核心参数输入!$B$112)),0)+IF(AND(119-核心参数输入!$B$112&gt;=0,119-核心参数输入!$B$112&lt;=120),INDEX(季度经营税费!$D$40:$DT$40,1,MAX(1,MIN(121,119-核心参数输入!$B$112+1))),0)+IF(119=核心参数输入!$B$9*4,SUMPRODUCT(季度经营税费!$D$40:$DT$40,--(季度经营税费!$D$4:$DT$4&gt;核心参数输入!$B$9*4-核心参数输入!$B$112)),0),0)</f>
        <v>0</v>
      </c>
      <c r="DT54" s="9">
        <f>IF(120&lt;=核心参数输入!$B$9*4,IF(AND(120-核心参数输入!$B$112&gt;=0,120-核心参数输入!$B$112&lt;=120),INDEX(季度经营税费!$D$36:$DT$36,1,MAX(1,MIN(121,120-核心参数输入!$B$112+1))),0)+IF(120=核心参数输入!$B$9*4,SUMPRODUCT(季度经营税费!$D$36:$DT$36,--(季度经营税费!$D$4:$DT$4&gt;核心参数输入!$B$9*4-核心参数输入!$B$112)),0)+IF(AND(120-核心参数输入!$B$112&gt;=0,120-核心参数输入!$B$112&lt;=120),INDEX(季度经营税费!$D$40:$DT$40,1,MAX(1,MIN(121,120-核心参数输入!$B$112+1))),0)+IF(120=核心参数输入!$B$9*4,SUMPRODUCT(季度经营税费!$D$40:$DT$40,--(季度经营税费!$D$4:$DT$4&gt;核心参数输入!$B$9*4-核心参数输入!$B$112)),0),0)</f>
        <v>0</v>
      </c>
    </row>
    <row r="55" spans="1:124" ht="21" customHeight="1">
      <c r="A55" s="8" t="s">
        <v>486</v>
      </c>
      <c r="B55" s="8" t="s">
        <v>39</v>
      </c>
      <c r="C55" s="8"/>
      <c r="D55" s="9">
        <f>IF(0&lt;=核心参数输入!$B$9*4,季度投融资!$B$24+季度投融资!$B$23*SUM(季度计划!$D$11:D11)-SUM($D41:D41)-SUM($D43:D43),0)</f>
        <v>3599.9999999999995</v>
      </c>
      <c r="E55" s="9">
        <f>IF(1&lt;=核心参数输入!$B$9*4,季度投融资!$B$24+季度投融资!$B$23*SUM(季度计划!$D$11:E11)-SUM($D41:E41)-SUM($D43:E43),0)</f>
        <v>5386.0499999999993</v>
      </c>
      <c r="F55" s="9">
        <f>IF(2&lt;=核心参数输入!$B$9*4,季度投融资!$B$24+季度投融资!$B$23*SUM(季度计划!$D$11:F11)-SUM($D41:F41)-SUM($D43:F43),0)</f>
        <v>7172.0999999999985</v>
      </c>
      <c r="G55" s="9">
        <f>IF(3&lt;=核心参数输入!$B$9*4,季度投融资!$B$24+季度投融资!$B$23*SUM(季度计划!$D$11:G11)-SUM($D41:G41)-SUM($D43:G43),0)</f>
        <v>8958.1499999999978</v>
      </c>
      <c r="H55" s="9">
        <f>IF(4&lt;=核心参数输入!$B$9*4,季度投融资!$B$24+季度投融资!$B$23*SUM(季度计划!$D$11:H11)-SUM($D41:H41)-SUM($D43:H43),0)</f>
        <v>10744.199999999999</v>
      </c>
      <c r="I55" s="9">
        <f>IF(5&lt;=核心参数输入!$B$9*4,季度投融资!$B$24+季度投融资!$B$23*SUM(季度计划!$D$11:I11)-SUM($D41:I41)-SUM($D43:I43),0)</f>
        <v>13125.599999999999</v>
      </c>
      <c r="J55" s="9">
        <f>IF(6&lt;=核心参数输入!$B$9*4,季度投融资!$B$24+季度投融资!$B$23*SUM(季度计划!$D$11:J11)-SUM($D41:J41)-SUM($D43:J43),0)</f>
        <v>15506.999999999998</v>
      </c>
      <c r="K55" s="9">
        <f>IF(7&lt;=核心参数输入!$B$9*4,季度投融资!$B$24+季度投融资!$B$23*SUM(季度计划!$D$11:K11)-SUM($D41:K41)-SUM($D43:K43),0)</f>
        <v>17888.399999999998</v>
      </c>
      <c r="L55" s="9">
        <f>IF(8&lt;=核心参数输入!$B$9*4,季度投融资!$B$24+季度投融资!$B$23*SUM(季度计划!$D$11:L11)-SUM($D41:L41)-SUM($D43:L43),0)</f>
        <v>20269.799999999996</v>
      </c>
      <c r="M55" s="9">
        <f>IF(9&lt;=核心参数输入!$B$9*4,季度投融资!$B$24+季度投融资!$B$23*SUM(季度计划!$D$11:M11)-SUM($D41:M41)-SUM($D43:M43),0)</f>
        <v>22055.849999999995</v>
      </c>
      <c r="N55" s="9">
        <f>IF(10&lt;=核心参数输入!$B$9*4,季度投融资!$B$24+季度投融资!$B$23*SUM(季度计划!$D$11:N11)-SUM($D41:N41)-SUM($D43:N43),0)</f>
        <v>23841.899999999994</v>
      </c>
      <c r="O55" s="9">
        <f>IF(11&lt;=核心参数输入!$B$9*4,季度投融资!$B$24+季度投融资!$B$23*SUM(季度计划!$D$11:O11)-SUM($D41:O41)-SUM($D43:O43),0)</f>
        <v>25627.949999999993</v>
      </c>
      <c r="P55" s="9">
        <f>IF(12&lt;=核心参数输入!$B$9*4,季度投融资!$B$24+季度投融资!$B$23*SUM(季度计划!$D$11:P11)-SUM($D41:P41)-SUM($D43:P43),0)</f>
        <v>27413.999999999993</v>
      </c>
      <c r="Q55" s="9">
        <f>IF(13&lt;=核心参数输入!$B$9*4,季度投融资!$B$24+季度投融资!$B$23*SUM(季度计划!$D$11:Q11)-SUM($D41:Q41)-SUM($D43:Q43),0)</f>
        <v>27207.472499999993</v>
      </c>
      <c r="R55" s="9">
        <f>IF(14&lt;=核心参数输入!$B$9*4,季度投融资!$B$24+季度投融资!$B$23*SUM(季度计划!$D$11:R11)-SUM($D41:R41)-SUM($D43:R43),0)</f>
        <v>27000.944999999992</v>
      </c>
      <c r="S55" s="9">
        <f>IF(15&lt;=核心参数输入!$B$9*4,季度投融资!$B$24+季度投融资!$B$23*SUM(季度计划!$D$11:S11)-SUM($D41:S41)-SUM($D43:S43),0)</f>
        <v>26794.417499999992</v>
      </c>
      <c r="T55" s="9">
        <f>IF(16&lt;=核心参数输入!$B$9*4,季度投融资!$B$24+季度投融资!$B$23*SUM(季度计划!$D$11:T11)-SUM($D41:T41)-SUM($D43:T43),0)</f>
        <v>26587.889999999992</v>
      </c>
      <c r="U55" s="9">
        <f>IF(17&lt;=核心参数输入!$B$9*4,季度投融资!$B$24+季度投融资!$B$23*SUM(季度计划!$D$11:U11)-SUM($D41:U41)-SUM($D43:U43),0)</f>
        <v>26381.362499999992</v>
      </c>
      <c r="V55" s="9">
        <f>IF(18&lt;=核心参数输入!$B$9*4,季度投融资!$B$24+季度投融资!$B$23*SUM(季度计划!$D$11:V11)-SUM($D41:V41)-SUM($D43:V43),0)</f>
        <v>26174.834999999992</v>
      </c>
      <c r="W55" s="9">
        <f>IF(19&lt;=核心参数输入!$B$9*4,季度投融资!$B$24+季度投融资!$B$23*SUM(季度计划!$D$11:W11)-SUM($D41:W41)-SUM($D43:W43),0)</f>
        <v>25968.307499999992</v>
      </c>
      <c r="X55" s="9">
        <f>IF(20&lt;=核心参数输入!$B$9*4,季度投融资!$B$24+季度投融资!$B$23*SUM(季度计划!$D$11:X11)-SUM($D41:X41)-SUM($D43:X43),0)</f>
        <v>25761.779999999992</v>
      </c>
      <c r="Y55" s="9">
        <f>IF(21&lt;=核心参数输入!$B$9*4,季度投融资!$B$24+季度投融资!$B$23*SUM(季度计划!$D$11:Y11)-SUM($D41:Y41)-SUM($D43:Y43),0)</f>
        <v>25555.252499999995</v>
      </c>
      <c r="Z55" s="9">
        <f>IF(22&lt;=核心参数输入!$B$9*4,季度投融资!$B$24+季度投融资!$B$23*SUM(季度计划!$D$11:Z11)-SUM($D41:Z41)-SUM($D43:Z43),0)</f>
        <v>25348.724999999995</v>
      </c>
      <c r="AA55" s="9">
        <f>IF(23&lt;=核心参数输入!$B$9*4,季度投融资!$B$24+季度投融资!$B$23*SUM(季度计划!$D$11:AA11)-SUM($D41:AA41)-SUM($D43:AA43),0)</f>
        <v>25142.197499999995</v>
      </c>
      <c r="AB55" s="9">
        <f>IF(24&lt;=核心参数输入!$B$9*4,季度投融资!$B$24+季度投融资!$B$23*SUM(季度计划!$D$11:AB11)-SUM($D41:AB41)-SUM($D43:AB43),0)</f>
        <v>24935.669999999995</v>
      </c>
      <c r="AC55" s="9">
        <f>IF(25&lt;=核心参数输入!$B$9*4,季度投融资!$B$24+季度投融资!$B$23*SUM(季度计划!$D$11:AC11)-SUM($D41:AC41)-SUM($D43:AC43),0)</f>
        <v>24729.142499999994</v>
      </c>
      <c r="AD55" s="9">
        <f>IF(26&lt;=核心参数输入!$B$9*4,季度投融资!$B$24+季度投融资!$B$23*SUM(季度计划!$D$11:AD11)-SUM($D41:AD41)-SUM($D43:AD43),0)</f>
        <v>24522.614999999994</v>
      </c>
      <c r="AE55" s="9">
        <f>IF(27&lt;=核心参数输入!$B$9*4,季度投融资!$B$24+季度投融资!$B$23*SUM(季度计划!$D$11:AE11)-SUM($D41:AE41)-SUM($D43:AE43),0)</f>
        <v>24316.087499999994</v>
      </c>
      <c r="AF55" s="9">
        <f>IF(28&lt;=核心参数输入!$B$9*4,季度投融资!$B$24+季度投融资!$B$23*SUM(季度计划!$D$11:AF11)-SUM($D41:AF41)-SUM($D43:AF43),0)</f>
        <v>24109.559999999994</v>
      </c>
      <c r="AG55" s="9">
        <f>IF(29&lt;=核心参数输入!$B$9*4,季度投融资!$B$24+季度投融资!$B$23*SUM(季度计划!$D$11:AG11)-SUM($D41:AG41)-SUM($D43:AG43),0)</f>
        <v>23903.032499999994</v>
      </c>
      <c r="AH55" s="9">
        <f>IF(30&lt;=核心参数输入!$B$9*4,季度投融资!$B$24+季度投融资!$B$23*SUM(季度计划!$D$11:AH11)-SUM($D41:AH41)-SUM($D43:AH43),0)</f>
        <v>23696.504999999994</v>
      </c>
      <c r="AI55" s="9">
        <f>IF(31&lt;=核心参数输入!$B$9*4,季度投融资!$B$24+季度投融资!$B$23*SUM(季度计划!$D$11:AI11)-SUM($D41:AI41)-SUM($D43:AI43),0)</f>
        <v>23489.977499999994</v>
      </c>
      <c r="AJ55" s="9">
        <f>IF(32&lt;=核心参数输入!$B$9*4,季度投融资!$B$24+季度投融资!$B$23*SUM(季度计划!$D$11:AJ11)-SUM($D41:AJ41)-SUM($D43:AJ43),0)</f>
        <v>23283.449999999993</v>
      </c>
      <c r="AK55" s="9">
        <f>IF(33&lt;=核心参数输入!$B$9*4,季度投融资!$B$24+季度投融资!$B$23*SUM(季度计划!$D$11:AK11)-SUM($D41:AK41)-SUM($D43:AK43),0)</f>
        <v>23076.922499999993</v>
      </c>
      <c r="AL55" s="9">
        <f>IF(34&lt;=核心参数输入!$B$9*4,季度投融资!$B$24+季度投融资!$B$23*SUM(季度计划!$D$11:AL11)-SUM($D41:AL41)-SUM($D43:AL43),0)</f>
        <v>22870.394999999993</v>
      </c>
      <c r="AM55" s="9">
        <f>IF(35&lt;=核心参数输入!$B$9*4,季度投融资!$B$24+季度投融资!$B$23*SUM(季度计划!$D$11:AM11)-SUM($D41:AM41)-SUM($D43:AM43),0)</f>
        <v>22663.867499999993</v>
      </c>
      <c r="AN55" s="9">
        <f>IF(36&lt;=核心参数输入!$B$9*4,季度投融资!$B$24+季度投融资!$B$23*SUM(季度计划!$D$11:AN11)-SUM($D41:AN41)-SUM($D43:AN43),0)</f>
        <v>22457.339999999993</v>
      </c>
      <c r="AO55" s="9">
        <f>IF(37&lt;=核心参数输入!$B$9*4,季度投融资!$B$24+季度投融资!$B$23*SUM(季度计划!$D$11:AO11)-SUM($D41:AO41)-SUM($D43:AO43),0)</f>
        <v>22250.812499999993</v>
      </c>
      <c r="AP55" s="9">
        <f>IF(38&lt;=核心参数输入!$B$9*4,季度投融资!$B$24+季度投融资!$B$23*SUM(季度计划!$D$11:AP11)-SUM($D41:AP41)-SUM($D43:AP43),0)</f>
        <v>22044.284999999993</v>
      </c>
      <c r="AQ55" s="9">
        <f>IF(39&lt;=核心参数输入!$B$9*4,季度投融资!$B$24+季度投融资!$B$23*SUM(季度计划!$D$11:AQ11)-SUM($D41:AQ41)-SUM($D43:AQ43),0)</f>
        <v>21837.757499999992</v>
      </c>
      <c r="AR55" s="9">
        <f>IF(40&lt;=核心参数输入!$B$9*4,季度投融资!$B$24+季度投融资!$B$23*SUM(季度计划!$D$11:AR11)-SUM($D41:AR41)-SUM($D43:AR43),0)</f>
        <v>21631.229999999992</v>
      </c>
      <c r="AS55" s="9">
        <f>IF(41&lt;=核心参数输入!$B$9*4,季度投融资!$B$24+季度投融资!$B$23*SUM(季度计划!$D$11:AS11)-SUM($D41:AS41)-SUM($D43:AS43),0)</f>
        <v>21424.702499999992</v>
      </c>
      <c r="AT55" s="9">
        <f>IF(42&lt;=核心参数输入!$B$9*4,季度投融资!$B$24+季度投融资!$B$23*SUM(季度计划!$D$11:AT11)-SUM($D41:AT41)-SUM($D43:AT43),0)</f>
        <v>21218.174999999992</v>
      </c>
      <c r="AU55" s="9">
        <f>IF(43&lt;=核心参数输入!$B$9*4,季度投融资!$B$24+季度投融资!$B$23*SUM(季度计划!$D$11:AU11)-SUM($D41:AU41)-SUM($D43:AU43),0)</f>
        <v>21011.647499999992</v>
      </c>
      <c r="AV55" s="9">
        <f>IF(44&lt;=核心参数输入!$B$9*4,季度投融资!$B$24+季度投融资!$B$23*SUM(季度计划!$D$11:AV11)-SUM($D41:AV41)-SUM($D43:AV43),0)</f>
        <v>20805.119999999992</v>
      </c>
      <c r="AW55" s="9">
        <f>IF(45&lt;=核心参数输入!$B$9*4,季度投融资!$B$24+季度投融资!$B$23*SUM(季度计划!$D$11:AW11)-SUM($D41:AW41)-SUM($D43:AW43),0)</f>
        <v>20598.592499999992</v>
      </c>
      <c r="AX55" s="9">
        <f>IF(46&lt;=核心参数输入!$B$9*4,季度投融资!$B$24+季度投融资!$B$23*SUM(季度计划!$D$11:AX11)-SUM($D41:AX41)-SUM($D43:AX43),0)</f>
        <v>20392.064999999991</v>
      </c>
      <c r="AY55" s="9">
        <f>IF(47&lt;=核心参数输入!$B$9*4,季度投融资!$B$24+季度投融资!$B$23*SUM(季度计划!$D$11:AY11)-SUM($D41:AY41)-SUM($D43:AY43),0)</f>
        <v>20185.537499999991</v>
      </c>
      <c r="AZ55" s="9">
        <f>IF(48&lt;=核心参数输入!$B$9*4,季度投融资!$B$24+季度投融资!$B$23*SUM(季度计划!$D$11:AZ11)-SUM($D41:AZ41)-SUM($D43:AZ43),0)</f>
        <v>19979.009999999991</v>
      </c>
      <c r="BA55" s="9">
        <f>IF(49&lt;=核心参数输入!$B$9*4,季度投融资!$B$24+季度投融资!$B$23*SUM(季度计划!$D$11:BA11)-SUM($D41:BA41)-SUM($D43:BA43),0)</f>
        <v>19772.482499999991</v>
      </c>
      <c r="BB55" s="9">
        <f>IF(50&lt;=核心参数输入!$B$9*4,季度投融资!$B$24+季度投融资!$B$23*SUM(季度计划!$D$11:BB11)-SUM($D41:BB41)-SUM($D43:BB43),0)</f>
        <v>19565.954999999991</v>
      </c>
      <c r="BC55" s="9">
        <f>IF(51&lt;=核心参数输入!$B$9*4,季度投融资!$B$24+季度投融资!$B$23*SUM(季度计划!$D$11:BC11)-SUM($D41:BC41)-SUM($D43:BC43),0)</f>
        <v>19359.427499999991</v>
      </c>
      <c r="BD55" s="9">
        <f>IF(52&lt;=核心参数输入!$B$9*4,季度投融资!$B$24+季度投融资!$B$23*SUM(季度计划!$D$11:BD11)-SUM($D41:BD41)-SUM($D43:BD43),0)</f>
        <v>19152.899999999991</v>
      </c>
      <c r="BE55" s="9">
        <f>IF(53&lt;=核心参数输入!$B$9*4,季度投融资!$B$24+季度投融资!$B$23*SUM(季度计划!$D$11:BE11)-SUM($D41:BE41)-SUM($D43:BE43),0)</f>
        <v>18946.37249999999</v>
      </c>
      <c r="BF55" s="9">
        <f>IF(54&lt;=核心参数输入!$B$9*4,季度投融资!$B$24+季度投融资!$B$23*SUM(季度计划!$D$11:BF11)-SUM($D41:BF41)-SUM($D43:BF43),0)</f>
        <v>18739.84499999999</v>
      </c>
      <c r="BG55" s="9">
        <f>IF(55&lt;=核心参数输入!$B$9*4,季度投融资!$B$24+季度投融资!$B$23*SUM(季度计划!$D$11:BG11)-SUM($D41:BG41)-SUM($D43:BG43),0)</f>
        <v>18533.31749999999</v>
      </c>
      <c r="BH55" s="9">
        <f>IF(56&lt;=核心参数输入!$B$9*4,季度投融资!$B$24+季度投融资!$B$23*SUM(季度计划!$D$11:BH11)-SUM($D41:BH41)-SUM($D43:BH43),0)</f>
        <v>18326.78999999999</v>
      </c>
      <c r="BI55" s="9">
        <f>IF(57&lt;=核心参数输入!$B$9*4,季度投融资!$B$24+季度投融资!$B$23*SUM(季度计划!$D$11:BI11)-SUM($D41:BI41)-SUM($D43:BI43),0)</f>
        <v>18120.26249999999</v>
      </c>
      <c r="BJ55" s="9">
        <f>IF(58&lt;=核心参数输入!$B$9*4,季度投融资!$B$24+季度投融资!$B$23*SUM(季度计划!$D$11:BJ11)-SUM($D41:BJ41)-SUM($D43:BJ43),0)</f>
        <v>17913.73499999999</v>
      </c>
      <c r="BK55" s="9">
        <f>IF(59&lt;=核心参数输入!$B$9*4,季度投融资!$B$24+季度投融资!$B$23*SUM(季度计划!$D$11:BK11)-SUM($D41:BK41)-SUM($D43:BK43),0)</f>
        <v>17707.20749999999</v>
      </c>
      <c r="BL55" s="9">
        <f>IF(60&lt;=核心参数输入!$B$9*4,季度投融资!$B$24+季度投融资!$B$23*SUM(季度计划!$D$11:BL11)-SUM($D41:BL41)-SUM($D43:BL43),0)</f>
        <v>17500.679999999989</v>
      </c>
      <c r="BM55" s="9">
        <f>IF(61&lt;=核心参数输入!$B$9*4,季度投融资!$B$24+季度投融资!$B$23*SUM(季度计划!$D$11:BM11)-SUM($D41:BM41)-SUM($D43:BM43),0)</f>
        <v>17294.152499999989</v>
      </c>
      <c r="BN55" s="9">
        <f>IF(62&lt;=核心参数输入!$B$9*4,季度投融资!$B$24+季度投融资!$B$23*SUM(季度计划!$D$11:BN11)-SUM($D41:BN41)-SUM($D43:BN43),0)</f>
        <v>17087.624999999989</v>
      </c>
      <c r="BO55" s="9">
        <f>IF(63&lt;=核心参数输入!$B$9*4,季度投融资!$B$24+季度投融资!$B$23*SUM(季度计划!$D$11:BO11)-SUM($D41:BO41)-SUM($D43:BO43),0)</f>
        <v>16881.097499999989</v>
      </c>
      <c r="BP55" s="9">
        <f>IF(64&lt;=核心参数输入!$B$9*4,季度投融资!$B$24+季度投融资!$B$23*SUM(季度计划!$D$11:BP11)-SUM($D41:BP41)-SUM($D43:BP43),0)</f>
        <v>16674.569999999989</v>
      </c>
      <c r="BQ55" s="9">
        <f>IF(65&lt;=核心参数输入!$B$9*4,季度投融资!$B$24+季度投融资!$B$23*SUM(季度计划!$D$11:BQ11)-SUM($D41:BQ41)-SUM($D43:BQ43),0)</f>
        <v>16468.042499999989</v>
      </c>
      <c r="BR55" s="9">
        <f>IF(66&lt;=核心参数输入!$B$9*4,季度投融资!$B$24+季度投融资!$B$23*SUM(季度计划!$D$11:BR11)-SUM($D41:BR41)-SUM($D43:BR43),0)</f>
        <v>16261.514999999989</v>
      </c>
      <c r="BS55" s="9">
        <f>IF(67&lt;=核心参数输入!$B$9*4,季度投融资!$B$24+季度投融资!$B$23*SUM(季度计划!$D$11:BS11)-SUM($D41:BS41)-SUM($D43:BS43),0)</f>
        <v>16054.987499999988</v>
      </c>
      <c r="BT55" s="9">
        <f>IF(68&lt;=核心参数输入!$B$9*4,季度投融资!$B$24+季度投融资!$B$23*SUM(季度计划!$D$11:BT11)-SUM($D41:BT41)-SUM($D43:BT43),0)</f>
        <v>15848.459999999988</v>
      </c>
      <c r="BU55" s="9">
        <f>IF(69&lt;=核心参数输入!$B$9*4,季度投融资!$B$24+季度投融资!$B$23*SUM(季度计划!$D$11:BU11)-SUM($D41:BU41)-SUM($D43:BU43),0)</f>
        <v>15641.932499999988</v>
      </c>
      <c r="BV55" s="9">
        <f>IF(70&lt;=核心参数输入!$B$9*4,季度投融资!$B$24+季度投融资!$B$23*SUM(季度计划!$D$11:BV11)-SUM($D41:BV41)-SUM($D43:BV43),0)</f>
        <v>15435.404999999988</v>
      </c>
      <c r="BW55" s="9">
        <f>IF(71&lt;=核心参数输入!$B$9*4,季度投融资!$B$24+季度投融资!$B$23*SUM(季度计划!$D$11:BW11)-SUM($D41:BW41)-SUM($D43:BW43),0)</f>
        <v>15228.877499999988</v>
      </c>
      <c r="BX55" s="9">
        <f>IF(72&lt;=核心参数输入!$B$9*4,季度投融资!$B$24+季度投融资!$B$23*SUM(季度计划!$D$11:BX11)-SUM($D41:BX41)-SUM($D43:BX43),0)</f>
        <v>15022.349999999988</v>
      </c>
      <c r="BY55" s="9">
        <f>IF(73&lt;=核心参数输入!$B$9*4,季度投融资!$B$24+季度投融资!$B$23*SUM(季度计划!$D$11:BY11)-SUM($D41:BY41)-SUM($D43:BY43),0)</f>
        <v>14815.822499999987</v>
      </c>
      <c r="BZ55" s="9">
        <f>IF(74&lt;=核心参数输入!$B$9*4,季度投融资!$B$24+季度投融资!$B$23*SUM(季度计划!$D$11:BZ11)-SUM($D41:BZ41)-SUM($D43:BZ43),0)</f>
        <v>14609.294999999987</v>
      </c>
      <c r="CA55" s="9">
        <f>IF(75&lt;=核心参数输入!$B$9*4,季度投融资!$B$24+季度投融资!$B$23*SUM(季度计划!$D$11:CA11)-SUM($D41:CA41)-SUM($D43:CA43),0)</f>
        <v>14402.767499999987</v>
      </c>
      <c r="CB55" s="9">
        <f>IF(76&lt;=核心参数输入!$B$9*4,季度投融资!$B$24+季度投融资!$B$23*SUM(季度计划!$D$11:CB11)-SUM($D41:CB41)-SUM($D43:CB43),0)</f>
        <v>14196.239999999987</v>
      </c>
      <c r="CC55" s="9">
        <f>IF(77&lt;=核心参数输入!$B$9*4,季度投融资!$B$24+季度投融资!$B$23*SUM(季度计划!$D$11:CC11)-SUM($D41:CC41)-SUM($D43:CC43),0)</f>
        <v>13989.712499999987</v>
      </c>
      <c r="CD55" s="9">
        <f>IF(78&lt;=核心参数输入!$B$9*4,季度投融资!$B$24+季度投融资!$B$23*SUM(季度计划!$D$11:CD11)-SUM($D41:CD41)-SUM($D43:CD43),0)</f>
        <v>13783.184999999987</v>
      </c>
      <c r="CE55" s="9">
        <f>IF(79&lt;=核心参数输入!$B$9*4,季度投融资!$B$24+季度投融资!$B$23*SUM(季度计划!$D$11:CE11)-SUM($D41:CE41)-SUM($D43:CE43),0)</f>
        <v>13576.657499999987</v>
      </c>
      <c r="CF55" s="9">
        <f>IF(80&lt;=核心参数输入!$B$9*4,季度投融资!$B$24+季度投融资!$B$23*SUM(季度计划!$D$11:CF11)-SUM($D41:CF41)-SUM($D43:CF43),0)</f>
        <v>13370.129999999986</v>
      </c>
      <c r="CG55" s="9">
        <f>IF(81&lt;=核心参数输入!$B$9*4,季度投融资!$B$24+季度投融资!$B$23*SUM(季度计划!$D$11:CG11)-SUM($D41:CG41)-SUM($D43:CG43),0)</f>
        <v>0</v>
      </c>
      <c r="CH55" s="9">
        <f>IF(82&lt;=核心参数输入!$B$9*4,季度投融资!$B$24+季度投融资!$B$23*SUM(季度计划!$D$11:CH11)-SUM($D41:CH41)-SUM($D43:CH43),0)</f>
        <v>0</v>
      </c>
      <c r="CI55" s="9">
        <f>IF(83&lt;=核心参数输入!$B$9*4,季度投融资!$B$24+季度投融资!$B$23*SUM(季度计划!$D$11:CI11)-SUM($D41:CI41)-SUM($D43:CI43),0)</f>
        <v>0</v>
      </c>
      <c r="CJ55" s="9">
        <f>IF(84&lt;=核心参数输入!$B$9*4,季度投融资!$B$24+季度投融资!$B$23*SUM(季度计划!$D$11:CJ11)-SUM($D41:CJ41)-SUM($D43:CJ43),0)</f>
        <v>0</v>
      </c>
      <c r="CK55" s="9">
        <f>IF(85&lt;=核心参数输入!$B$9*4,季度投融资!$B$24+季度投融资!$B$23*SUM(季度计划!$D$11:CK11)-SUM($D41:CK41)-SUM($D43:CK43),0)</f>
        <v>0</v>
      </c>
      <c r="CL55" s="9">
        <f>IF(86&lt;=核心参数输入!$B$9*4,季度投融资!$B$24+季度投融资!$B$23*SUM(季度计划!$D$11:CL11)-SUM($D41:CL41)-SUM($D43:CL43),0)</f>
        <v>0</v>
      </c>
      <c r="CM55" s="9">
        <f>IF(87&lt;=核心参数输入!$B$9*4,季度投融资!$B$24+季度投融资!$B$23*SUM(季度计划!$D$11:CM11)-SUM($D41:CM41)-SUM($D43:CM43),0)</f>
        <v>0</v>
      </c>
      <c r="CN55" s="9">
        <f>IF(88&lt;=核心参数输入!$B$9*4,季度投融资!$B$24+季度投融资!$B$23*SUM(季度计划!$D$11:CN11)-SUM($D41:CN41)-SUM($D43:CN43),0)</f>
        <v>0</v>
      </c>
      <c r="CO55" s="9">
        <f>IF(89&lt;=核心参数输入!$B$9*4,季度投融资!$B$24+季度投融资!$B$23*SUM(季度计划!$D$11:CO11)-SUM($D41:CO41)-SUM($D43:CO43),0)</f>
        <v>0</v>
      </c>
      <c r="CP55" s="9">
        <f>IF(90&lt;=核心参数输入!$B$9*4,季度投融资!$B$24+季度投融资!$B$23*SUM(季度计划!$D$11:CP11)-SUM($D41:CP41)-SUM($D43:CP43),0)</f>
        <v>0</v>
      </c>
      <c r="CQ55" s="9">
        <f>IF(91&lt;=核心参数输入!$B$9*4,季度投融资!$B$24+季度投融资!$B$23*SUM(季度计划!$D$11:CQ11)-SUM($D41:CQ41)-SUM($D43:CQ43),0)</f>
        <v>0</v>
      </c>
      <c r="CR55" s="9">
        <f>IF(92&lt;=核心参数输入!$B$9*4,季度投融资!$B$24+季度投融资!$B$23*SUM(季度计划!$D$11:CR11)-SUM($D41:CR41)-SUM($D43:CR43),0)</f>
        <v>0</v>
      </c>
      <c r="CS55" s="9">
        <f>IF(93&lt;=核心参数输入!$B$9*4,季度投融资!$B$24+季度投融资!$B$23*SUM(季度计划!$D$11:CS11)-SUM($D41:CS41)-SUM($D43:CS43),0)</f>
        <v>0</v>
      </c>
      <c r="CT55" s="9">
        <f>IF(94&lt;=核心参数输入!$B$9*4,季度投融资!$B$24+季度投融资!$B$23*SUM(季度计划!$D$11:CT11)-SUM($D41:CT41)-SUM($D43:CT43),0)</f>
        <v>0</v>
      </c>
      <c r="CU55" s="9">
        <f>IF(95&lt;=核心参数输入!$B$9*4,季度投融资!$B$24+季度投融资!$B$23*SUM(季度计划!$D$11:CU11)-SUM($D41:CU41)-SUM($D43:CU43),0)</f>
        <v>0</v>
      </c>
      <c r="CV55" s="9">
        <f>IF(96&lt;=核心参数输入!$B$9*4,季度投融资!$B$24+季度投融资!$B$23*SUM(季度计划!$D$11:CV11)-SUM($D41:CV41)-SUM($D43:CV43),0)</f>
        <v>0</v>
      </c>
      <c r="CW55" s="9">
        <f>IF(97&lt;=核心参数输入!$B$9*4,季度投融资!$B$24+季度投融资!$B$23*SUM(季度计划!$D$11:CW11)-SUM($D41:CW41)-SUM($D43:CW43),0)</f>
        <v>0</v>
      </c>
      <c r="CX55" s="9">
        <f>IF(98&lt;=核心参数输入!$B$9*4,季度投融资!$B$24+季度投融资!$B$23*SUM(季度计划!$D$11:CX11)-SUM($D41:CX41)-SUM($D43:CX43),0)</f>
        <v>0</v>
      </c>
      <c r="CY55" s="9">
        <f>IF(99&lt;=核心参数输入!$B$9*4,季度投融资!$B$24+季度投融资!$B$23*SUM(季度计划!$D$11:CY11)-SUM($D41:CY41)-SUM($D43:CY43),0)</f>
        <v>0</v>
      </c>
      <c r="CZ55" s="9">
        <f>IF(100&lt;=核心参数输入!$B$9*4,季度投融资!$B$24+季度投融资!$B$23*SUM(季度计划!$D$11:CZ11)-SUM($D41:CZ41)-SUM($D43:CZ43),0)</f>
        <v>0</v>
      </c>
      <c r="DA55" s="9">
        <f>IF(101&lt;=核心参数输入!$B$9*4,季度投融资!$B$24+季度投融资!$B$23*SUM(季度计划!$D$11:DA11)-SUM($D41:DA41)-SUM($D43:DA43),0)</f>
        <v>0</v>
      </c>
      <c r="DB55" s="9">
        <f>IF(102&lt;=核心参数输入!$B$9*4,季度投融资!$B$24+季度投融资!$B$23*SUM(季度计划!$D$11:DB11)-SUM($D41:DB41)-SUM($D43:DB43),0)</f>
        <v>0</v>
      </c>
      <c r="DC55" s="9">
        <f>IF(103&lt;=核心参数输入!$B$9*4,季度投融资!$B$24+季度投融资!$B$23*SUM(季度计划!$D$11:DC11)-SUM($D41:DC41)-SUM($D43:DC43),0)</f>
        <v>0</v>
      </c>
      <c r="DD55" s="9">
        <f>IF(104&lt;=核心参数输入!$B$9*4,季度投融资!$B$24+季度投融资!$B$23*SUM(季度计划!$D$11:DD11)-SUM($D41:DD41)-SUM($D43:DD43),0)</f>
        <v>0</v>
      </c>
      <c r="DE55" s="9">
        <f>IF(105&lt;=核心参数输入!$B$9*4,季度投融资!$B$24+季度投融资!$B$23*SUM(季度计划!$D$11:DE11)-SUM($D41:DE41)-SUM($D43:DE43),0)</f>
        <v>0</v>
      </c>
      <c r="DF55" s="9">
        <f>IF(106&lt;=核心参数输入!$B$9*4,季度投融资!$B$24+季度投融资!$B$23*SUM(季度计划!$D$11:DF11)-SUM($D41:DF41)-SUM($D43:DF43),0)</f>
        <v>0</v>
      </c>
      <c r="DG55" s="9">
        <f>IF(107&lt;=核心参数输入!$B$9*4,季度投融资!$B$24+季度投融资!$B$23*SUM(季度计划!$D$11:DG11)-SUM($D41:DG41)-SUM($D43:DG43),0)</f>
        <v>0</v>
      </c>
      <c r="DH55" s="9">
        <f>IF(108&lt;=核心参数输入!$B$9*4,季度投融资!$B$24+季度投融资!$B$23*SUM(季度计划!$D$11:DH11)-SUM($D41:DH41)-SUM($D43:DH43),0)</f>
        <v>0</v>
      </c>
      <c r="DI55" s="9">
        <f>IF(109&lt;=核心参数输入!$B$9*4,季度投融资!$B$24+季度投融资!$B$23*SUM(季度计划!$D$11:DI11)-SUM($D41:DI41)-SUM($D43:DI43),0)</f>
        <v>0</v>
      </c>
      <c r="DJ55" s="9">
        <f>IF(110&lt;=核心参数输入!$B$9*4,季度投融资!$B$24+季度投融资!$B$23*SUM(季度计划!$D$11:DJ11)-SUM($D41:DJ41)-SUM($D43:DJ43),0)</f>
        <v>0</v>
      </c>
      <c r="DK55" s="9">
        <f>IF(111&lt;=核心参数输入!$B$9*4,季度投融资!$B$24+季度投融资!$B$23*SUM(季度计划!$D$11:DK11)-SUM($D41:DK41)-SUM($D43:DK43),0)</f>
        <v>0</v>
      </c>
      <c r="DL55" s="9">
        <f>IF(112&lt;=核心参数输入!$B$9*4,季度投融资!$B$24+季度投融资!$B$23*SUM(季度计划!$D$11:DL11)-SUM($D41:DL41)-SUM($D43:DL43),0)</f>
        <v>0</v>
      </c>
      <c r="DM55" s="9">
        <f>IF(113&lt;=核心参数输入!$B$9*4,季度投融资!$B$24+季度投融资!$B$23*SUM(季度计划!$D$11:DM11)-SUM($D41:DM41)-SUM($D43:DM43),0)</f>
        <v>0</v>
      </c>
      <c r="DN55" s="9">
        <f>IF(114&lt;=核心参数输入!$B$9*4,季度投融资!$B$24+季度投融资!$B$23*SUM(季度计划!$D$11:DN11)-SUM($D41:DN41)-SUM($D43:DN43),0)</f>
        <v>0</v>
      </c>
      <c r="DO55" s="9">
        <f>IF(115&lt;=核心参数输入!$B$9*4,季度投融资!$B$24+季度投融资!$B$23*SUM(季度计划!$D$11:DO11)-SUM($D41:DO41)-SUM($D43:DO43),0)</f>
        <v>0</v>
      </c>
      <c r="DP55" s="9">
        <f>IF(116&lt;=核心参数输入!$B$9*4,季度投融资!$B$24+季度投融资!$B$23*SUM(季度计划!$D$11:DP11)-SUM($D41:DP41)-SUM($D43:DP43),0)</f>
        <v>0</v>
      </c>
      <c r="DQ55" s="9">
        <f>IF(117&lt;=核心参数输入!$B$9*4,季度投融资!$B$24+季度投融资!$B$23*SUM(季度计划!$D$11:DQ11)-SUM($D41:DQ41)-SUM($D43:DQ43),0)</f>
        <v>0</v>
      </c>
      <c r="DR55" s="9">
        <f>IF(118&lt;=核心参数输入!$B$9*4,季度投融资!$B$24+季度投融资!$B$23*SUM(季度计划!$D$11:DR11)-SUM($D41:DR41)-SUM($D43:DR43),0)</f>
        <v>0</v>
      </c>
      <c r="DS55" s="9">
        <f>IF(119&lt;=核心参数输入!$B$9*4,季度投融资!$B$24+季度投融资!$B$23*SUM(季度计划!$D$11:DS11)-SUM($D41:DS41)-SUM($D43:DS43),0)</f>
        <v>0</v>
      </c>
      <c r="DT55" s="9">
        <f>IF(120&lt;=核心参数输入!$B$9*4,季度投融资!$B$24+季度投融资!$B$23*SUM(季度计划!$D$11:DT11)-SUM($D41:DT41)-SUM($D43:DT43),0)</f>
        <v>0</v>
      </c>
    </row>
    <row r="56" spans="1:124" ht="21" customHeight="1">
      <c r="A56" s="8" t="s">
        <v>487</v>
      </c>
      <c r="B56" s="8" t="s">
        <v>39</v>
      </c>
      <c r="C56" s="8"/>
      <c r="D56" s="9">
        <f>IF(0&lt;=核心参数输入!$B$9*4,D55+SUM(季度投融资!$D$44:D44)*核心参数输入!$B$143+SUM(季度投融资!$D$49:D49)*核心参数输入!$B$143-SUM($D42:D42)+SUM($D41:D41),0)</f>
        <v>3599.9999999999995</v>
      </c>
      <c r="E56" s="9">
        <f>IF(1&lt;=核心参数输入!$B$9*4,E55+SUM(季度投融资!$D$44:E44)*核心参数输入!$B$143+SUM(季度投融资!$D$49:E49)*核心参数输入!$B$143-SUM($D42:E42)+SUM($D41:E41),0)</f>
        <v>5391.3656249999995</v>
      </c>
      <c r="F56" s="9">
        <f>IF(2&lt;=核心参数输入!$B$9*4,F55+SUM(季度投融资!$D$44:F44)*核心参数输入!$B$143+SUM(季度投融资!$D$49:F49)*核心参数输入!$B$143-SUM($D42:F42)+SUM($D41:F41),0)</f>
        <v>7193.3624999999984</v>
      </c>
      <c r="G56" s="9">
        <f>IF(3&lt;=核心参数输入!$B$9*4,G55+SUM(季度投融资!$D$44:G44)*核心参数输入!$B$143+SUM(季度投融资!$D$49:G49)*核心参数输入!$B$143-SUM($D42:G42)+SUM($D41:G41),0)</f>
        <v>9005.9906249999985</v>
      </c>
      <c r="H56" s="9">
        <f>IF(4&lt;=核心参数输入!$B$9*4,H55+SUM(季度投融资!$D$44:H44)*核心参数输入!$B$143+SUM(季度投融资!$D$49:H49)*核心参数输入!$B$143-SUM($D42:H42)+SUM($D41:H41),0)</f>
        <v>10829.249999999998</v>
      </c>
      <c r="I56" s="9">
        <f>IF(5&lt;=核心参数输入!$B$9*4,I55+SUM(季度投融资!$D$44:I44)*核心参数输入!$B$143+SUM(季度投融资!$D$49:I49)*核心参数输入!$B$143-SUM($D42:I42)+SUM($D41:I41),0)</f>
        <v>13260.262499999999</v>
      </c>
      <c r="J56" s="9">
        <f>IF(6&lt;=核心参数输入!$B$9*4,J55+SUM(季度投融资!$D$44:J44)*核心参数输入!$B$143+SUM(季度投融资!$D$49:J49)*核心参数输入!$B$143-SUM($D42:J42)+SUM($D41:J41),0)</f>
        <v>15705.449999999999</v>
      </c>
      <c r="K56" s="9">
        <f>IF(7&lt;=核心参数输入!$B$9*4,K55+SUM(季度投融资!$D$44:K44)*核心参数输入!$B$143+SUM(季度投融资!$D$49:K49)*核心参数输入!$B$143-SUM($D42:K42)+SUM($D41:K41),0)</f>
        <v>18164.812499999996</v>
      </c>
      <c r="L56" s="9">
        <f>IF(8&lt;=核心参数输入!$B$9*4,L55+SUM(季度投融资!$D$44:L44)*核心参数输入!$B$143+SUM(季度投融资!$D$49:L49)*核心参数输入!$B$143-SUM($D42:L42)+SUM($D41:L41),0)</f>
        <v>20638.349999999995</v>
      </c>
      <c r="M56" s="9">
        <f>IF(9&lt;=核心参数输入!$B$9*4,M55+SUM(季度投融资!$D$44:M44)*核心参数输入!$B$143+SUM(季度投融资!$D$49:M49)*核心参数输入!$B$143-SUM($D42:M42)+SUM($D41:M41),0)</f>
        <v>22528.940624999996</v>
      </c>
      <c r="N56" s="9">
        <f>IF(10&lt;=核心参数输入!$B$9*4,N55+SUM(季度投融资!$D$44:N44)*核心参数输入!$B$143+SUM(季度投融资!$D$49:N49)*核心参数输入!$B$143-SUM($D42:N42)+SUM($D41:N41),0)</f>
        <v>24430.162499999995</v>
      </c>
      <c r="O56" s="9">
        <f>IF(11&lt;=核心参数输入!$B$9*4,O55+SUM(季度投融资!$D$44:O44)*核心参数输入!$B$143+SUM(季度投融资!$D$49:O49)*核心参数输入!$B$143-SUM($D42:O42)+SUM($D41:O41),0)</f>
        <v>26342.015624999993</v>
      </c>
      <c r="P56" s="9">
        <f>IF(12&lt;=核心参数输入!$B$9*4,P55+SUM(季度投融资!$D$44:P44)*核心参数输入!$B$143+SUM(季度投融资!$D$49:P49)*核心参数输入!$B$143-SUM($D42:P42)+SUM($D41:P41),0)</f>
        <v>28264.499999999993</v>
      </c>
      <c r="Q56" s="9">
        <f>IF(13&lt;=核心参数输入!$B$9*4,Q55+SUM(季度投融资!$D$44:Q44)*核心参数输入!$B$143+SUM(季度投融资!$D$49:Q49)*核心参数输入!$B$143-SUM($D42:Q42)+SUM($D41:Q41),0)</f>
        <v>28051.239374999994</v>
      </c>
      <c r="R56" s="9">
        <f>IF(14&lt;=核心参数输入!$B$9*4,R55+SUM(季度投融资!$D$44:R44)*核心参数输入!$B$143+SUM(季度投融资!$D$49:R49)*核心参数输入!$B$143-SUM($D42:R42)+SUM($D41:R41),0)</f>
        <v>27837.978749999991</v>
      </c>
      <c r="S56" s="9">
        <f>IF(15&lt;=核心参数输入!$B$9*4,S55+SUM(季度投融资!$D$44:S44)*核心参数输入!$B$143+SUM(季度投融资!$D$49:S49)*核心参数输入!$B$143-SUM($D42:S42)+SUM($D41:S41),0)</f>
        <v>27624.718124999992</v>
      </c>
      <c r="T56" s="9">
        <f>IF(16&lt;=核心参数输入!$B$9*4,T55+SUM(季度投融资!$D$44:T44)*核心参数输入!$B$143+SUM(季度投融资!$D$49:T49)*核心参数输入!$B$143-SUM($D42:T42)+SUM($D41:T41),0)</f>
        <v>27411.457499999993</v>
      </c>
      <c r="U56" s="9">
        <f>IF(17&lt;=核心参数输入!$B$9*4,U55+SUM(季度投融资!$D$44:U44)*核心参数输入!$B$143+SUM(季度投融资!$D$49:U49)*核心参数输入!$B$143-SUM($D42:U42)+SUM($D41:U41),0)</f>
        <v>27198.196874999994</v>
      </c>
      <c r="V56" s="9">
        <f>IF(18&lt;=核心参数输入!$B$9*4,V55+SUM(季度投融资!$D$44:V44)*核心参数输入!$B$143+SUM(季度投融资!$D$49:V49)*核心参数输入!$B$143-SUM($D42:V42)+SUM($D41:V41),0)</f>
        <v>26984.936249999992</v>
      </c>
      <c r="W56" s="9">
        <f>IF(19&lt;=核心参数输入!$B$9*4,W55+SUM(季度投融资!$D$44:W44)*核心参数输入!$B$143+SUM(季度投融资!$D$49:W49)*核心参数输入!$B$143-SUM($D42:W42)+SUM($D41:W41),0)</f>
        <v>26771.675624999993</v>
      </c>
      <c r="X56" s="9">
        <f>IF(20&lt;=核心参数输入!$B$9*4,X55+SUM(季度投融资!$D$44:X44)*核心参数输入!$B$143+SUM(季度投融资!$D$49:X49)*核心参数输入!$B$143-SUM($D42:X42)+SUM($D41:X41),0)</f>
        <v>26558.414999999994</v>
      </c>
      <c r="Y56" s="9">
        <f>IF(21&lt;=核心参数输入!$B$9*4,Y55+SUM(季度投融资!$D$44:Y44)*核心参数输入!$B$143+SUM(季度投融资!$D$49:Y49)*核心参数输入!$B$143-SUM($D42:Y42)+SUM($D41:Y41),0)</f>
        <v>26345.154374999998</v>
      </c>
      <c r="Z56" s="9">
        <f>IF(22&lt;=核心参数输入!$B$9*4,Z55+SUM(季度投融资!$D$44:Z44)*核心参数输入!$B$143+SUM(季度投融资!$D$49:Z49)*核心参数输入!$B$143-SUM($D42:Z42)+SUM($D41:Z41),0)</f>
        <v>26131.893749999992</v>
      </c>
      <c r="AA56" s="9">
        <f>IF(23&lt;=核心参数输入!$B$9*4,AA55+SUM(季度投融资!$D$44:AA44)*核心参数输入!$B$143+SUM(季度投融资!$D$49:AA49)*核心参数输入!$B$143-SUM($D42:AA42)+SUM($D41:AA41),0)</f>
        <v>25918.633124999993</v>
      </c>
      <c r="AB56" s="9">
        <f>IF(24&lt;=核心参数输入!$B$9*4,AB55+SUM(季度投融资!$D$44:AB44)*核心参数输入!$B$143+SUM(季度投融资!$D$49:AB49)*核心参数输入!$B$143-SUM($D42:AB42)+SUM($D41:AB41),0)</f>
        <v>25705.372499999994</v>
      </c>
      <c r="AC56" s="9">
        <f>IF(25&lt;=核心参数输入!$B$9*4,AC55+SUM(季度投融资!$D$44:AC44)*核心参数输入!$B$143+SUM(季度投融资!$D$49:AC49)*核心参数输入!$B$143-SUM($D42:AC42)+SUM($D41:AC41),0)</f>
        <v>25492.111874999995</v>
      </c>
      <c r="AD56" s="9">
        <f>IF(26&lt;=核心参数输入!$B$9*4,AD55+SUM(季度投融资!$D$44:AD44)*核心参数输入!$B$143+SUM(季度投融资!$D$49:AD49)*核心参数输入!$B$143-SUM($D42:AD42)+SUM($D41:AD41),0)</f>
        <v>25278.851249999992</v>
      </c>
      <c r="AE56" s="9">
        <f>IF(27&lt;=核心参数输入!$B$9*4,AE55+SUM(季度投融资!$D$44:AE44)*核心参数输入!$B$143+SUM(季度投融资!$D$49:AE49)*核心参数输入!$B$143-SUM($D42:AE42)+SUM($D41:AE41),0)</f>
        <v>25065.590624999993</v>
      </c>
      <c r="AF56" s="9">
        <f>IF(28&lt;=核心参数输入!$B$9*4,AF55+SUM(季度投融资!$D$44:AF44)*核心参数输入!$B$143+SUM(季度投融资!$D$49:AF49)*核心参数输入!$B$143-SUM($D42:AF42)+SUM($D41:AF41),0)</f>
        <v>24852.329999999994</v>
      </c>
      <c r="AG56" s="9">
        <f>IF(29&lt;=核心参数输入!$B$9*4,AG55+SUM(季度投融资!$D$44:AG44)*核心参数输入!$B$143+SUM(季度投融资!$D$49:AG49)*核心参数输入!$B$143-SUM($D42:AG42)+SUM($D41:AG41),0)</f>
        <v>24639.069374999995</v>
      </c>
      <c r="AH56" s="9">
        <f>IF(30&lt;=核心参数输入!$B$9*4,AH55+SUM(季度投融资!$D$44:AH44)*核心参数输入!$B$143+SUM(季度投融资!$D$49:AH49)*核心参数输入!$B$143-SUM($D42:AH42)+SUM($D41:AH41),0)</f>
        <v>24425.808749999993</v>
      </c>
      <c r="AI56" s="9">
        <f>IF(31&lt;=核心参数输入!$B$9*4,AI55+SUM(季度投融资!$D$44:AI44)*核心参数输入!$B$143+SUM(季度投融资!$D$49:AI49)*核心参数输入!$B$143-SUM($D42:AI42)+SUM($D41:AI41),0)</f>
        <v>24212.548124999994</v>
      </c>
      <c r="AJ56" s="9">
        <f>IF(32&lt;=核心参数输入!$B$9*4,AJ55+SUM(季度投融资!$D$44:AJ44)*核心参数输入!$B$143+SUM(季度投融资!$D$49:AJ49)*核心参数输入!$B$143-SUM($D42:AJ42)+SUM($D41:AJ41),0)</f>
        <v>23999.287499999995</v>
      </c>
      <c r="AK56" s="9">
        <f>IF(33&lt;=核心参数输入!$B$9*4,AK55+SUM(季度投融资!$D$44:AK44)*核心参数输入!$B$143+SUM(季度投融资!$D$49:AK49)*核心参数输入!$B$143-SUM($D42:AK42)+SUM($D41:AK41),0)</f>
        <v>23786.026874999996</v>
      </c>
      <c r="AL56" s="9">
        <f>IF(34&lt;=核心参数输入!$B$9*4,AL55+SUM(季度投融资!$D$44:AL44)*核心参数输入!$B$143+SUM(季度投融资!$D$49:AL49)*核心参数输入!$B$143-SUM($D42:AL42)+SUM($D41:AL41),0)</f>
        <v>23572.766249999993</v>
      </c>
      <c r="AM56" s="9">
        <f>IF(35&lt;=核心参数输入!$B$9*4,AM55+SUM(季度投融资!$D$44:AM44)*核心参数输入!$B$143+SUM(季度投融资!$D$49:AM49)*核心参数输入!$B$143-SUM($D42:AM42)+SUM($D41:AM41),0)</f>
        <v>23359.505624999994</v>
      </c>
      <c r="AN56" s="9">
        <f>IF(36&lt;=核心参数输入!$B$9*4,AN55+SUM(季度投融资!$D$44:AN44)*核心参数输入!$B$143+SUM(季度投融资!$D$49:AN49)*核心参数输入!$B$143-SUM($D42:AN42)+SUM($D41:AN41),0)</f>
        <v>23146.244999999995</v>
      </c>
      <c r="AO56" s="9">
        <f>IF(37&lt;=核心参数输入!$B$9*4,AO55+SUM(季度投融资!$D$44:AO44)*核心参数输入!$B$143+SUM(季度投融资!$D$49:AO49)*核心参数输入!$B$143-SUM($D42:AO42)+SUM($D41:AO41),0)</f>
        <v>22932.984374999993</v>
      </c>
      <c r="AP56" s="9">
        <f>IF(38&lt;=核心参数输入!$B$9*4,AP55+SUM(季度投融资!$D$44:AP44)*核心参数输入!$B$143+SUM(季度投融资!$D$49:AP49)*核心参数输入!$B$143-SUM($D42:AP42)+SUM($D41:AP41),0)</f>
        <v>22719.723749999994</v>
      </c>
      <c r="AQ56" s="9">
        <f>IF(39&lt;=核心参数输入!$B$9*4,AQ55+SUM(季度投融资!$D$44:AQ44)*核心参数输入!$B$143+SUM(季度投融资!$D$49:AQ49)*核心参数输入!$B$143-SUM($D42:AQ42)+SUM($D41:AQ41),0)</f>
        <v>22506.463124999995</v>
      </c>
      <c r="AR56" s="9">
        <f>IF(40&lt;=核心参数输入!$B$9*4,AR55+SUM(季度投融资!$D$44:AR44)*核心参数输入!$B$143+SUM(季度投融资!$D$49:AR49)*核心参数输入!$B$143-SUM($D42:AR42)+SUM($D41:AR41),0)</f>
        <v>22293.202499999996</v>
      </c>
      <c r="AS56" s="9">
        <f>IF(41&lt;=核心参数输入!$B$9*4,AS55+SUM(季度投融资!$D$44:AS44)*核心参数输入!$B$143+SUM(季度投融资!$D$49:AS49)*核心参数输入!$B$143-SUM($D42:AS42)+SUM($D41:AS41),0)</f>
        <v>22079.941874999997</v>
      </c>
      <c r="AT56" s="9">
        <f>IF(42&lt;=核心参数输入!$B$9*4,AT55+SUM(季度投融资!$D$44:AT44)*核心参数输入!$B$143+SUM(季度投融资!$D$49:AT49)*核心参数输入!$B$143-SUM($D42:AT42)+SUM($D41:AT41),0)</f>
        <v>21866.681249999994</v>
      </c>
      <c r="AU56" s="9">
        <f>IF(43&lt;=核心参数输入!$B$9*4,AU55+SUM(季度投融资!$D$44:AU44)*核心参数输入!$B$143+SUM(季度投融资!$D$49:AU49)*核心参数输入!$B$143-SUM($D42:AU42)+SUM($D41:AU41),0)</f>
        <v>21653.420624999995</v>
      </c>
      <c r="AV56" s="9">
        <f>IF(44&lt;=核心参数输入!$B$9*4,AV55+SUM(季度投融资!$D$44:AV44)*核心参数输入!$B$143+SUM(季度投融资!$D$49:AV49)*核心参数输入!$B$143-SUM($D42:AV42)+SUM($D41:AV41),0)</f>
        <v>21440.159999999996</v>
      </c>
      <c r="AW56" s="9">
        <f>IF(45&lt;=核心参数输入!$B$9*4,AW55+SUM(季度投融资!$D$44:AW44)*核心参数输入!$B$143+SUM(季度投融资!$D$49:AW49)*核心参数输入!$B$143-SUM($D42:AW42)+SUM($D41:AW41),0)</f>
        <v>21226.899374999997</v>
      </c>
      <c r="AX56" s="9">
        <f>IF(46&lt;=核心参数输入!$B$9*4,AX55+SUM(季度投融资!$D$44:AX44)*核心参数输入!$B$143+SUM(季度投融资!$D$49:AX49)*核心参数输入!$B$143-SUM($D42:AX42)+SUM($D41:AX41),0)</f>
        <v>21013.638749999995</v>
      </c>
      <c r="AY56" s="9">
        <f>IF(47&lt;=核心参数输入!$B$9*4,AY55+SUM(季度投融资!$D$44:AY44)*核心参数输入!$B$143+SUM(季度投融资!$D$49:AY49)*核心参数输入!$B$143-SUM($D42:AY42)+SUM($D41:AY41),0)</f>
        <v>20800.378124999996</v>
      </c>
      <c r="AZ56" s="9">
        <f>IF(48&lt;=核心参数输入!$B$9*4,AZ55+SUM(季度投融资!$D$44:AZ44)*核心参数输入!$B$143+SUM(季度投融资!$D$49:AZ49)*核心参数输入!$B$143-SUM($D42:AZ42)+SUM($D41:AZ41),0)</f>
        <v>20587.117499999997</v>
      </c>
      <c r="BA56" s="9">
        <f>IF(49&lt;=核心参数输入!$B$9*4,BA55+SUM(季度投融资!$D$44:BA44)*核心参数输入!$B$143+SUM(季度投融资!$D$49:BA49)*核心参数输入!$B$143-SUM($D42:BA42)+SUM($D41:BA41),0)</f>
        <v>20373.856874999998</v>
      </c>
      <c r="BB56" s="9">
        <f>IF(50&lt;=核心参数输入!$B$9*4,BB55+SUM(季度投融资!$D$44:BB44)*核心参数输入!$B$143+SUM(季度投融资!$D$49:BB49)*核心参数输入!$B$143-SUM($D42:BB42)+SUM($D41:BB41),0)</f>
        <v>20160.596249999995</v>
      </c>
      <c r="BC56" s="9">
        <f>IF(51&lt;=核心参数输入!$B$9*4,BC55+SUM(季度投融资!$D$44:BC44)*核心参数输入!$B$143+SUM(季度投融资!$D$49:BC49)*核心参数输入!$B$143-SUM($D42:BC42)+SUM($D41:BC41),0)</f>
        <v>19947.335624999996</v>
      </c>
      <c r="BD56" s="9">
        <f>IF(52&lt;=核心参数输入!$B$9*4,BD55+SUM(季度投融资!$D$44:BD44)*核心参数输入!$B$143+SUM(季度投融资!$D$49:BD49)*核心参数输入!$B$143-SUM($D42:BD42)+SUM($D41:BD41),0)</f>
        <v>19734.074999999997</v>
      </c>
      <c r="BE56" s="9">
        <f>IF(53&lt;=核心参数输入!$B$9*4,BE55+SUM(季度投融资!$D$44:BE44)*核心参数输入!$B$143+SUM(季度投融资!$D$49:BE49)*核心参数输入!$B$143-SUM($D42:BE42)+SUM($D41:BE41),0)</f>
        <v>19520.814374999998</v>
      </c>
      <c r="BF56" s="9">
        <f>IF(54&lt;=核心参数输入!$B$9*4,BF55+SUM(季度投融资!$D$44:BF44)*核心参数输入!$B$143+SUM(季度投融资!$D$49:BF49)*核心参数输入!$B$143-SUM($D42:BF42)+SUM($D41:BF41),0)</f>
        <v>19307.553749999995</v>
      </c>
      <c r="BG56" s="9">
        <f>IF(55&lt;=核心参数输入!$B$9*4,BG55+SUM(季度投融资!$D$44:BG44)*核心参数输入!$B$143+SUM(季度投融资!$D$49:BG49)*核心参数输入!$B$143-SUM($D42:BG42)+SUM($D41:BG41),0)</f>
        <v>19094.293124999997</v>
      </c>
      <c r="BH56" s="9">
        <f>IF(56&lt;=核心参数输入!$B$9*4,BH55+SUM(季度投融资!$D$44:BH44)*核心参数输入!$B$143+SUM(季度投融资!$D$49:BH49)*核心参数输入!$B$143-SUM($D42:BH42)+SUM($D41:BH41),0)</f>
        <v>18881.032499999994</v>
      </c>
      <c r="BI56" s="9">
        <f>IF(57&lt;=核心参数输入!$B$9*4,BI55+SUM(季度投融资!$D$44:BI44)*核心参数输入!$B$143+SUM(季度投融资!$D$49:BI49)*核心参数输入!$B$143-SUM($D42:BI42)+SUM($D41:BI41),0)</f>
        <v>18667.771874999991</v>
      </c>
      <c r="BJ56" s="9">
        <f>IF(58&lt;=核心参数输入!$B$9*4,BJ55+SUM(季度投融资!$D$44:BJ44)*核心参数输入!$B$143+SUM(季度投融资!$D$49:BJ49)*核心参数输入!$B$143-SUM($D42:BJ42)+SUM($D41:BJ41),0)</f>
        <v>18454.511249999992</v>
      </c>
      <c r="BK56" s="9">
        <f>IF(59&lt;=核心参数输入!$B$9*4,BK55+SUM(季度投融资!$D$44:BK44)*核心参数输入!$B$143+SUM(季度投融资!$D$49:BK49)*核心参数输入!$B$143-SUM($D42:BK42)+SUM($D41:BK41),0)</f>
        <v>18241.250624999993</v>
      </c>
      <c r="BL56" s="9">
        <f>IF(60&lt;=核心参数输入!$B$9*4,BL55+SUM(季度投融资!$D$44:BL44)*核心参数输入!$B$143+SUM(季度投融资!$D$49:BL49)*核心参数输入!$B$143-SUM($D42:BL42)+SUM($D41:BL41),0)</f>
        <v>18027.989999999991</v>
      </c>
      <c r="BM56" s="9">
        <f>IF(61&lt;=核心参数输入!$B$9*4,BM55+SUM(季度投融资!$D$44:BM44)*核心参数输入!$B$143+SUM(季度投融资!$D$49:BM49)*核心参数输入!$B$143-SUM($D42:BM42)+SUM($D41:BM41),0)</f>
        <v>17814.729374999988</v>
      </c>
      <c r="BN56" s="9">
        <f>IF(62&lt;=核心参数输入!$B$9*4,BN55+SUM(季度投融资!$D$44:BN44)*核心参数输入!$B$143+SUM(季度投融资!$D$49:BN49)*核心参数输入!$B$143-SUM($D42:BN42)+SUM($D41:BN41),0)</f>
        <v>17601.468749999989</v>
      </c>
      <c r="BO56" s="9">
        <f>IF(63&lt;=核心参数输入!$B$9*4,BO55+SUM(季度投融资!$D$44:BO44)*核心参数输入!$B$143+SUM(季度投融资!$D$49:BO49)*核心参数输入!$B$143-SUM($D42:BO42)+SUM($D41:BO41),0)</f>
        <v>17388.20812499999</v>
      </c>
      <c r="BP56" s="9">
        <f>IF(64&lt;=核心参数输入!$B$9*4,BP55+SUM(季度投融资!$D$44:BP44)*核心参数输入!$B$143+SUM(季度投融资!$D$49:BP49)*核心参数输入!$B$143-SUM($D42:BP42)+SUM($D41:BP41),0)</f>
        <v>17174.947499999987</v>
      </c>
      <c r="BQ56" s="9">
        <f>IF(65&lt;=核心参数输入!$B$9*4,BQ55+SUM(季度投融资!$D$44:BQ44)*核心参数输入!$B$143+SUM(季度投融资!$D$49:BQ49)*核心参数输入!$B$143-SUM($D42:BQ42)+SUM($D41:BQ41),0)</f>
        <v>16961.686874999985</v>
      </c>
      <c r="BR56" s="9">
        <f>IF(66&lt;=核心参数输入!$B$9*4,BR55+SUM(季度投融资!$D$44:BR44)*核心参数输入!$B$143+SUM(季度投融资!$D$49:BR49)*核心参数输入!$B$143-SUM($D42:BR42)+SUM($D41:BR41),0)</f>
        <v>16748.426249999986</v>
      </c>
      <c r="BS56" s="9">
        <f>IF(67&lt;=核心参数输入!$B$9*4,BS55+SUM(季度投融资!$D$44:BS44)*核心参数输入!$B$143+SUM(季度投融资!$D$49:BS49)*核心参数输入!$B$143-SUM($D42:BS42)+SUM($D41:BS41),0)</f>
        <v>16535.165624999987</v>
      </c>
      <c r="BT56" s="9">
        <f>IF(68&lt;=核心参数输入!$B$9*4,BT55+SUM(季度投融资!$D$44:BT44)*核心参数输入!$B$143+SUM(季度投融资!$D$49:BT49)*核心参数输入!$B$143-SUM($D42:BT42)+SUM($D41:BT41),0)</f>
        <v>16321.904999999984</v>
      </c>
      <c r="BU56" s="9">
        <f>IF(69&lt;=核心参数输入!$B$9*4,BU55+SUM(季度投融资!$D$44:BU44)*核心参数输入!$B$143+SUM(季度投融资!$D$49:BU49)*核心参数输入!$B$143-SUM($D42:BU42)+SUM($D41:BU41),0)</f>
        <v>16108.644374999983</v>
      </c>
      <c r="BV56" s="9">
        <f>IF(70&lt;=核心参数输入!$B$9*4,BV55+SUM(季度投融资!$D$44:BV44)*核心参数输入!$B$143+SUM(季度投融资!$D$49:BV49)*核心参数输入!$B$143-SUM($D42:BV42)+SUM($D41:BV41),0)</f>
        <v>15895.383749999983</v>
      </c>
      <c r="BW56" s="9">
        <f>IF(71&lt;=核心参数输入!$B$9*4,BW55+SUM(季度投融资!$D$44:BW44)*核心参数输入!$B$143+SUM(季度投融资!$D$49:BW49)*核心参数输入!$B$143-SUM($D42:BW42)+SUM($D41:BW41),0)</f>
        <v>15682.123124999982</v>
      </c>
      <c r="BX56" s="9">
        <f>IF(72&lt;=核心参数输入!$B$9*4,BX55+SUM(季度投融资!$D$44:BX44)*核心参数输入!$B$143+SUM(季度投融资!$D$49:BX49)*核心参数输入!$B$143-SUM($D42:BX42)+SUM($D41:BX41),0)</f>
        <v>15468.862499999981</v>
      </c>
      <c r="BY56" s="9">
        <f>IF(73&lt;=核心参数输入!$B$9*4,BY55+SUM(季度投融资!$D$44:BY44)*核心参数输入!$B$143+SUM(季度投融资!$D$49:BY49)*核心参数输入!$B$143-SUM($D42:BY42)+SUM($D41:BY41),0)</f>
        <v>15255.60187499998</v>
      </c>
      <c r="BZ56" s="9">
        <f>IF(74&lt;=核心参数输入!$B$9*4,BZ55+SUM(季度投融资!$D$44:BZ44)*核心参数输入!$B$143+SUM(季度投融资!$D$49:BZ49)*核心参数输入!$B$143-SUM($D42:BZ42)+SUM($D41:BZ41),0)</f>
        <v>15042.341249999979</v>
      </c>
      <c r="CA56" s="9">
        <f>IF(75&lt;=核心参数输入!$B$9*4,CA55+SUM(季度投融资!$D$44:CA44)*核心参数输入!$B$143+SUM(季度投融资!$D$49:CA49)*核心参数输入!$B$143-SUM($D42:CA42)+SUM($D41:CA41),0)</f>
        <v>14829.080624999979</v>
      </c>
      <c r="CB56" s="9">
        <f>IF(76&lt;=核心参数输入!$B$9*4,CB55+SUM(季度投融资!$D$44:CB44)*核心参数输入!$B$143+SUM(季度投融资!$D$49:CB49)*核心参数输入!$B$143-SUM($D42:CB42)+SUM($D41:CB41),0)</f>
        <v>14615.819999999978</v>
      </c>
      <c r="CC56" s="9">
        <f>IF(77&lt;=核心参数输入!$B$9*4,CC55+SUM(季度投融资!$D$44:CC44)*核心参数输入!$B$143+SUM(季度投融资!$D$49:CC49)*核心参数输入!$B$143-SUM($D42:CC42)+SUM($D41:CC41),0)</f>
        <v>14402.559374999977</v>
      </c>
      <c r="CD56" s="9">
        <f>IF(78&lt;=核心参数输入!$B$9*4,CD55+SUM(季度投融资!$D$44:CD44)*核心参数输入!$B$143+SUM(季度投融资!$D$49:CD49)*核心参数输入!$B$143-SUM($D42:CD42)+SUM($D41:CD41),0)</f>
        <v>14189.298749999976</v>
      </c>
      <c r="CE56" s="9">
        <f>IF(79&lt;=核心参数输入!$B$9*4,CE55+SUM(季度投融资!$D$44:CE44)*核心参数输入!$B$143+SUM(季度投融资!$D$49:CE49)*核心参数输入!$B$143-SUM($D42:CE42)+SUM($D41:CE41),0)</f>
        <v>13976.038124999975</v>
      </c>
      <c r="CF56" s="9">
        <f>IF(80&lt;=核心参数输入!$B$9*4,CF55+SUM(季度投融资!$D$44:CF44)*核心参数输入!$B$143+SUM(季度投融资!$D$49:CF49)*核心参数输入!$B$143-SUM($D42:CF42)+SUM($D41:CF41),0)</f>
        <v>13762.777499999975</v>
      </c>
      <c r="CG56" s="9">
        <f>IF(81&lt;=核心参数输入!$B$9*4,CG55+SUM(季度投融资!$D$44:CG44)*核心参数输入!$B$143+SUM(季度投融资!$D$49:CG49)*核心参数输入!$B$143-SUM($D42:CG42)+SUM($D41:CG41),0)</f>
        <v>0</v>
      </c>
      <c r="CH56" s="9">
        <f>IF(82&lt;=核心参数输入!$B$9*4,CH55+SUM(季度投融资!$D$44:CH44)*核心参数输入!$B$143+SUM(季度投融资!$D$49:CH49)*核心参数输入!$B$143-SUM($D42:CH42)+SUM($D41:CH41),0)</f>
        <v>0</v>
      </c>
      <c r="CI56" s="9">
        <f>IF(83&lt;=核心参数输入!$B$9*4,CI55+SUM(季度投融资!$D$44:CI44)*核心参数输入!$B$143+SUM(季度投融资!$D$49:CI49)*核心参数输入!$B$143-SUM($D42:CI42)+SUM($D41:CI41),0)</f>
        <v>0</v>
      </c>
      <c r="CJ56" s="9">
        <f>IF(84&lt;=核心参数输入!$B$9*4,CJ55+SUM(季度投融资!$D$44:CJ44)*核心参数输入!$B$143+SUM(季度投融资!$D$49:CJ49)*核心参数输入!$B$143-SUM($D42:CJ42)+SUM($D41:CJ41),0)</f>
        <v>0</v>
      </c>
      <c r="CK56" s="9">
        <f>IF(85&lt;=核心参数输入!$B$9*4,CK55+SUM(季度投融资!$D$44:CK44)*核心参数输入!$B$143+SUM(季度投融资!$D$49:CK49)*核心参数输入!$B$143-SUM($D42:CK42)+SUM($D41:CK41),0)</f>
        <v>0</v>
      </c>
      <c r="CL56" s="9">
        <f>IF(86&lt;=核心参数输入!$B$9*4,CL55+SUM(季度投融资!$D$44:CL44)*核心参数输入!$B$143+SUM(季度投融资!$D$49:CL49)*核心参数输入!$B$143-SUM($D42:CL42)+SUM($D41:CL41),0)</f>
        <v>0</v>
      </c>
      <c r="CM56" s="9">
        <f>IF(87&lt;=核心参数输入!$B$9*4,CM55+SUM(季度投融资!$D$44:CM44)*核心参数输入!$B$143+SUM(季度投融资!$D$49:CM49)*核心参数输入!$B$143-SUM($D42:CM42)+SUM($D41:CM41),0)</f>
        <v>0</v>
      </c>
      <c r="CN56" s="9">
        <f>IF(88&lt;=核心参数输入!$B$9*4,CN55+SUM(季度投融资!$D$44:CN44)*核心参数输入!$B$143+SUM(季度投融资!$D$49:CN49)*核心参数输入!$B$143-SUM($D42:CN42)+SUM($D41:CN41),0)</f>
        <v>0</v>
      </c>
      <c r="CO56" s="9">
        <f>IF(89&lt;=核心参数输入!$B$9*4,CO55+SUM(季度投融资!$D$44:CO44)*核心参数输入!$B$143+SUM(季度投融资!$D$49:CO49)*核心参数输入!$B$143-SUM($D42:CO42)+SUM($D41:CO41),0)</f>
        <v>0</v>
      </c>
      <c r="CP56" s="9">
        <f>IF(90&lt;=核心参数输入!$B$9*4,CP55+SUM(季度投融资!$D$44:CP44)*核心参数输入!$B$143+SUM(季度投融资!$D$49:CP49)*核心参数输入!$B$143-SUM($D42:CP42)+SUM($D41:CP41),0)</f>
        <v>0</v>
      </c>
      <c r="CQ56" s="9">
        <f>IF(91&lt;=核心参数输入!$B$9*4,CQ55+SUM(季度投融资!$D$44:CQ44)*核心参数输入!$B$143+SUM(季度投融资!$D$49:CQ49)*核心参数输入!$B$143-SUM($D42:CQ42)+SUM($D41:CQ41),0)</f>
        <v>0</v>
      </c>
      <c r="CR56" s="9">
        <f>IF(92&lt;=核心参数输入!$B$9*4,CR55+SUM(季度投融资!$D$44:CR44)*核心参数输入!$B$143+SUM(季度投融资!$D$49:CR49)*核心参数输入!$B$143-SUM($D42:CR42)+SUM($D41:CR41),0)</f>
        <v>0</v>
      </c>
      <c r="CS56" s="9">
        <f>IF(93&lt;=核心参数输入!$B$9*4,CS55+SUM(季度投融资!$D$44:CS44)*核心参数输入!$B$143+SUM(季度投融资!$D$49:CS49)*核心参数输入!$B$143-SUM($D42:CS42)+SUM($D41:CS41),0)</f>
        <v>0</v>
      </c>
      <c r="CT56" s="9">
        <f>IF(94&lt;=核心参数输入!$B$9*4,CT55+SUM(季度投融资!$D$44:CT44)*核心参数输入!$B$143+SUM(季度投融资!$D$49:CT49)*核心参数输入!$B$143-SUM($D42:CT42)+SUM($D41:CT41),0)</f>
        <v>0</v>
      </c>
      <c r="CU56" s="9">
        <f>IF(95&lt;=核心参数输入!$B$9*4,CU55+SUM(季度投融资!$D$44:CU44)*核心参数输入!$B$143+SUM(季度投融资!$D$49:CU49)*核心参数输入!$B$143-SUM($D42:CU42)+SUM($D41:CU41),0)</f>
        <v>0</v>
      </c>
      <c r="CV56" s="9">
        <f>IF(96&lt;=核心参数输入!$B$9*4,CV55+SUM(季度投融资!$D$44:CV44)*核心参数输入!$B$143+SUM(季度投融资!$D$49:CV49)*核心参数输入!$B$143-SUM($D42:CV42)+SUM($D41:CV41),0)</f>
        <v>0</v>
      </c>
      <c r="CW56" s="9">
        <f>IF(97&lt;=核心参数输入!$B$9*4,CW55+SUM(季度投融资!$D$44:CW44)*核心参数输入!$B$143+SUM(季度投融资!$D$49:CW49)*核心参数输入!$B$143-SUM($D42:CW42)+SUM($D41:CW41),0)</f>
        <v>0</v>
      </c>
      <c r="CX56" s="9">
        <f>IF(98&lt;=核心参数输入!$B$9*4,CX55+SUM(季度投融资!$D$44:CX44)*核心参数输入!$B$143+SUM(季度投融资!$D$49:CX49)*核心参数输入!$B$143-SUM($D42:CX42)+SUM($D41:CX41),0)</f>
        <v>0</v>
      </c>
      <c r="CY56" s="9">
        <f>IF(99&lt;=核心参数输入!$B$9*4,CY55+SUM(季度投融资!$D$44:CY44)*核心参数输入!$B$143+SUM(季度投融资!$D$49:CY49)*核心参数输入!$B$143-SUM($D42:CY42)+SUM($D41:CY41),0)</f>
        <v>0</v>
      </c>
      <c r="CZ56" s="9">
        <f>IF(100&lt;=核心参数输入!$B$9*4,CZ55+SUM(季度投融资!$D$44:CZ44)*核心参数输入!$B$143+SUM(季度投融资!$D$49:CZ49)*核心参数输入!$B$143-SUM($D42:CZ42)+SUM($D41:CZ41),0)</f>
        <v>0</v>
      </c>
      <c r="DA56" s="9">
        <f>IF(101&lt;=核心参数输入!$B$9*4,DA55+SUM(季度投融资!$D$44:DA44)*核心参数输入!$B$143+SUM(季度投融资!$D$49:DA49)*核心参数输入!$B$143-SUM($D42:DA42)+SUM($D41:DA41),0)</f>
        <v>0</v>
      </c>
      <c r="DB56" s="9">
        <f>IF(102&lt;=核心参数输入!$B$9*4,DB55+SUM(季度投融资!$D$44:DB44)*核心参数输入!$B$143+SUM(季度投融资!$D$49:DB49)*核心参数输入!$B$143-SUM($D42:DB42)+SUM($D41:DB41),0)</f>
        <v>0</v>
      </c>
      <c r="DC56" s="9">
        <f>IF(103&lt;=核心参数输入!$B$9*4,DC55+SUM(季度投融资!$D$44:DC44)*核心参数输入!$B$143+SUM(季度投融资!$D$49:DC49)*核心参数输入!$B$143-SUM($D42:DC42)+SUM($D41:DC41),0)</f>
        <v>0</v>
      </c>
      <c r="DD56" s="9">
        <f>IF(104&lt;=核心参数输入!$B$9*4,DD55+SUM(季度投融资!$D$44:DD44)*核心参数输入!$B$143+SUM(季度投融资!$D$49:DD49)*核心参数输入!$B$143-SUM($D42:DD42)+SUM($D41:DD41),0)</f>
        <v>0</v>
      </c>
      <c r="DE56" s="9">
        <f>IF(105&lt;=核心参数输入!$B$9*4,DE55+SUM(季度投融资!$D$44:DE44)*核心参数输入!$B$143+SUM(季度投融资!$D$49:DE49)*核心参数输入!$B$143-SUM($D42:DE42)+SUM($D41:DE41),0)</f>
        <v>0</v>
      </c>
      <c r="DF56" s="9">
        <f>IF(106&lt;=核心参数输入!$B$9*4,DF55+SUM(季度投融资!$D$44:DF44)*核心参数输入!$B$143+SUM(季度投融资!$D$49:DF49)*核心参数输入!$B$143-SUM($D42:DF42)+SUM($D41:DF41),0)</f>
        <v>0</v>
      </c>
      <c r="DG56" s="9">
        <f>IF(107&lt;=核心参数输入!$B$9*4,DG55+SUM(季度投融资!$D$44:DG44)*核心参数输入!$B$143+SUM(季度投融资!$D$49:DG49)*核心参数输入!$B$143-SUM($D42:DG42)+SUM($D41:DG41),0)</f>
        <v>0</v>
      </c>
      <c r="DH56" s="9">
        <f>IF(108&lt;=核心参数输入!$B$9*4,DH55+SUM(季度投融资!$D$44:DH44)*核心参数输入!$B$143+SUM(季度投融资!$D$49:DH49)*核心参数输入!$B$143-SUM($D42:DH42)+SUM($D41:DH41),0)</f>
        <v>0</v>
      </c>
      <c r="DI56" s="9">
        <f>IF(109&lt;=核心参数输入!$B$9*4,DI55+SUM(季度投融资!$D$44:DI44)*核心参数输入!$B$143+SUM(季度投融资!$D$49:DI49)*核心参数输入!$B$143-SUM($D42:DI42)+SUM($D41:DI41),0)</f>
        <v>0</v>
      </c>
      <c r="DJ56" s="9">
        <f>IF(110&lt;=核心参数输入!$B$9*4,DJ55+SUM(季度投融资!$D$44:DJ44)*核心参数输入!$B$143+SUM(季度投融资!$D$49:DJ49)*核心参数输入!$B$143-SUM($D42:DJ42)+SUM($D41:DJ41),0)</f>
        <v>0</v>
      </c>
      <c r="DK56" s="9">
        <f>IF(111&lt;=核心参数输入!$B$9*4,DK55+SUM(季度投融资!$D$44:DK44)*核心参数输入!$B$143+SUM(季度投融资!$D$49:DK49)*核心参数输入!$B$143-SUM($D42:DK42)+SUM($D41:DK41),0)</f>
        <v>0</v>
      </c>
      <c r="DL56" s="9">
        <f>IF(112&lt;=核心参数输入!$B$9*4,DL55+SUM(季度投融资!$D$44:DL44)*核心参数输入!$B$143+SUM(季度投融资!$D$49:DL49)*核心参数输入!$B$143-SUM($D42:DL42)+SUM($D41:DL41),0)</f>
        <v>0</v>
      </c>
      <c r="DM56" s="9">
        <f>IF(113&lt;=核心参数输入!$B$9*4,DM55+SUM(季度投融资!$D$44:DM44)*核心参数输入!$B$143+SUM(季度投融资!$D$49:DM49)*核心参数输入!$B$143-SUM($D42:DM42)+SUM($D41:DM41),0)</f>
        <v>0</v>
      </c>
      <c r="DN56" s="9">
        <f>IF(114&lt;=核心参数输入!$B$9*4,DN55+SUM(季度投融资!$D$44:DN44)*核心参数输入!$B$143+SUM(季度投融资!$D$49:DN49)*核心参数输入!$B$143-SUM($D42:DN42)+SUM($D41:DN41),0)</f>
        <v>0</v>
      </c>
      <c r="DO56" s="9">
        <f>IF(115&lt;=核心参数输入!$B$9*4,DO55+SUM(季度投融资!$D$44:DO44)*核心参数输入!$B$143+SUM(季度投融资!$D$49:DO49)*核心参数输入!$B$143-SUM($D42:DO42)+SUM($D41:DO41),0)</f>
        <v>0</v>
      </c>
      <c r="DP56" s="9">
        <f>IF(116&lt;=核心参数输入!$B$9*4,DP55+SUM(季度投融资!$D$44:DP44)*核心参数输入!$B$143+SUM(季度投融资!$D$49:DP49)*核心参数输入!$B$143-SUM($D42:DP42)+SUM($D41:DP41),0)</f>
        <v>0</v>
      </c>
      <c r="DQ56" s="9">
        <f>IF(117&lt;=核心参数输入!$B$9*4,DQ55+SUM(季度投融资!$D$44:DQ44)*核心参数输入!$B$143+SUM(季度投融资!$D$49:DQ49)*核心参数输入!$B$143-SUM($D42:DQ42)+SUM($D41:DQ41),0)</f>
        <v>0</v>
      </c>
      <c r="DR56" s="9">
        <f>IF(118&lt;=核心参数输入!$B$9*4,DR55+SUM(季度投融资!$D$44:DR44)*核心参数输入!$B$143+SUM(季度投融资!$D$49:DR49)*核心参数输入!$B$143-SUM($D42:DR42)+SUM($D41:DR41),0)</f>
        <v>0</v>
      </c>
      <c r="DS56" s="9">
        <f>IF(119&lt;=核心参数输入!$B$9*4,DS55+SUM(季度投融资!$D$44:DS44)*核心参数输入!$B$143+SUM(季度投融资!$D$49:DS49)*核心参数输入!$B$143-SUM($D42:DS42)+SUM($D41:DS41),0)</f>
        <v>0</v>
      </c>
      <c r="DT56" s="9">
        <f>IF(120&lt;=核心参数输入!$B$9*4,DT55+SUM(季度投融资!$D$44:DT44)*核心参数输入!$B$143+SUM(季度投融资!$D$49:DT49)*核心参数输入!$B$143-SUM($D42:DT42)+SUM($D41:DT41),0)</f>
        <v>0</v>
      </c>
    </row>
    <row r="57" spans="1:124" ht="21" customHeight="1">
      <c r="A57" s="8" t="s">
        <v>488</v>
      </c>
      <c r="B57" s="8" t="s">
        <v>39</v>
      </c>
      <c r="C57" s="8"/>
      <c r="D57" s="9">
        <f>IF(0&lt;=核心参数输入!$B$9*4,(季度投融资!$B$7+季度投融资!$B$15*(1-IF(核心参数输入!$B$96=2,核心参数输入!$B$120,0))*SUM(季度计划!$D$11:D11))*核心参数输入!$B$142+(SUM(季度投融资!$D$44:D44)+SUM(季度投融资!$D$49:D49))*核心参数输入!$B$142-SUM($D45:D45),0)</f>
        <v>4400</v>
      </c>
      <c r="E57" s="9">
        <f>IF(1&lt;=核心参数输入!$B$9*4,(季度投融资!$B$7+季度投融资!$B$15*(1-IF(核心参数输入!$B$96=2,核心参数输入!$B$120,0))*SUM(季度计划!$D$11:E11))*核心参数输入!$B$142+(SUM(季度投融资!$D$44:E44)+SUM(季度投融资!$D$49:E49))*核心参数输入!$B$142-SUM($D45:E45),0)</f>
        <v>6589.4468750000005</v>
      </c>
      <c r="F57" s="9">
        <f>IF(2&lt;=核心参数输入!$B$9*4,(季度投融资!$B$7+季度投融资!$B$15*(1-IF(核心参数输入!$B$96=2,核心参数输入!$B$120,0))*SUM(季度计划!$D$11:F11))*核心参数输入!$B$142+(SUM(季度投融资!$D$44:F44)+SUM(季度投融资!$D$49:F49))*核心参数输入!$B$142-SUM($D45:F45),0)</f>
        <v>8791.8875000000007</v>
      </c>
      <c r="G57" s="9">
        <f>IF(3&lt;=核心参数输入!$B$9*4,(季度投融资!$B$7+季度投融资!$B$15*(1-IF(核心参数输入!$B$96=2,核心参数输入!$B$120,0))*SUM(季度计划!$D$11:G11))*核心参数输入!$B$142+(SUM(季度投融资!$D$44:G44)+SUM(季度投融资!$D$49:G49))*核心参数输入!$B$142-SUM($D45:G45),0)</f>
        <v>11007.321875</v>
      </c>
      <c r="H57" s="9">
        <f>IF(4&lt;=核心参数输入!$B$9*4,(季度投融资!$B$7+季度投融资!$B$15*(1-IF(核心参数输入!$B$96=2,核心参数输入!$B$120,0))*SUM(季度计划!$D$11:H11))*核心参数输入!$B$142+(SUM(季度投融资!$D$44:H44)+SUM(季度投融资!$D$49:H49))*核心参数输入!$B$142-SUM($D45:H45),0)</f>
        <v>13235.750000000002</v>
      </c>
      <c r="I57" s="9">
        <f>IF(5&lt;=核心参数输入!$B$9*4,(季度投融资!$B$7+季度投融资!$B$15*(1-IF(核心参数输入!$B$96=2,核心参数输入!$B$120,0))*SUM(季度计划!$D$11:I11))*核心参数输入!$B$142+(SUM(季度投融资!$D$44:I44)+SUM(季度投融资!$D$49:I49))*核心参数输入!$B$142-SUM($D45:I45),0)</f>
        <v>16206.987500000001</v>
      </c>
      <c r="J57" s="9">
        <f>IF(6&lt;=核心参数输入!$B$9*4,(季度投融资!$B$7+季度投融资!$B$15*(1-IF(核心参数输入!$B$96=2,核心参数输入!$B$120,0))*SUM(季度计划!$D$11:J11))*核心参数输入!$B$142+(SUM(季度投融资!$D$44:J44)+SUM(季度投融资!$D$49:J49))*核心参数输入!$B$142-SUM($D45:J45),0)</f>
        <v>19195.55</v>
      </c>
      <c r="K57" s="9">
        <f>IF(7&lt;=核心参数输入!$B$9*4,(季度投融资!$B$7+季度投融资!$B$15*(1-IF(核心参数输入!$B$96=2,核心参数输入!$B$120,0))*SUM(季度计划!$D$11:K11))*核心参数输入!$B$142+(SUM(季度投融资!$D$44:K44)+SUM(季度投融资!$D$49:K49))*核心参数输入!$B$142-SUM($D45:K45),0)</f>
        <v>22201.437500000004</v>
      </c>
      <c r="L57" s="9">
        <f>IF(8&lt;=核心参数输入!$B$9*4,(季度投融资!$B$7+季度投融资!$B$15*(1-IF(核心参数输入!$B$96=2,核心参数输入!$B$120,0))*SUM(季度计划!$D$11:L11))*核心参数输入!$B$142+(SUM(季度投融资!$D$44:L44)+SUM(季度投融资!$D$49:L49))*核心参数输入!$B$142-SUM($D45:L45),0)</f>
        <v>25224.65</v>
      </c>
      <c r="M57" s="9">
        <f>IF(9&lt;=核心参数输入!$B$9*4,(季度投融资!$B$7+季度投融资!$B$15*(1-IF(核心参数输入!$B$96=2,核心参数输入!$B$120,0))*SUM(季度计划!$D$11:M11))*核心参数输入!$B$142+(SUM(季度投融资!$D$44:M44)+SUM(季度投融资!$D$49:M49))*核心参数输入!$B$142-SUM($D45:M45),0)</f>
        <v>27535.371874999997</v>
      </c>
      <c r="N57" s="9">
        <f>IF(10&lt;=核心参数输入!$B$9*4,(季度投融资!$B$7+季度投融资!$B$15*(1-IF(核心参数输入!$B$96=2,核心参数输入!$B$120,0))*SUM(季度计划!$D$11:N11))*核心参数输入!$B$142+(SUM(季度投融资!$D$44:N44)+SUM(季度投融资!$D$49:N49))*核心参数输入!$B$142-SUM($D45:N45),0)</f>
        <v>29859.087499999998</v>
      </c>
      <c r="O57" s="9">
        <f>IF(11&lt;=核心参数输入!$B$9*4,(季度投融资!$B$7+季度投融资!$B$15*(1-IF(核心参数输入!$B$96=2,核心参数输入!$B$120,0))*SUM(季度计划!$D$11:O11))*核心参数输入!$B$142+(SUM(季度投融资!$D$44:O44)+SUM(季度投融资!$D$49:O49))*核心参数输入!$B$142-SUM($D45:O45),0)</f>
        <v>32195.796875</v>
      </c>
      <c r="P57" s="9">
        <f>IF(12&lt;=核心参数输入!$B$9*4,(季度投融资!$B$7+季度投融资!$B$15*(1-IF(核心参数输入!$B$96=2,核心参数输入!$B$120,0))*SUM(季度计划!$D$11:P11))*核心参数输入!$B$142+(SUM(季度投融资!$D$44:P44)+SUM(季度投融资!$D$49:P49))*核心参数输入!$B$142-SUM($D45:P45),0)</f>
        <v>34545.499999999993</v>
      </c>
      <c r="Q57" s="9">
        <f>IF(13&lt;=核心参数输入!$B$9*4,(季度投融资!$B$7+季度投融资!$B$15*(1-IF(核心参数输入!$B$96=2,核心参数输入!$B$120,0))*SUM(季度计划!$D$11:Q11))*核心参数输入!$B$142+(SUM(季度投融资!$D$44:Q44)+SUM(季度投融资!$D$49:Q49))*核心参数输入!$B$142-SUM($D45:Q45),0)</f>
        <v>31954.587499999994</v>
      </c>
      <c r="R57" s="9">
        <f>IF(14&lt;=核心参数输入!$B$9*4,(季度投融资!$B$7+季度投融资!$B$15*(1-IF(核心参数输入!$B$96=2,核心参数输入!$B$120,0))*SUM(季度计划!$D$11:R11))*核心参数输入!$B$142+(SUM(季度投融资!$D$44:R44)+SUM(季度投融资!$D$49:R49))*核心参数输入!$B$142-SUM($D45:R45),0)</f>
        <v>29363.674999999992</v>
      </c>
      <c r="S57" s="9">
        <f>IF(15&lt;=核心参数输入!$B$9*4,(季度投融资!$B$7+季度投融资!$B$15*(1-IF(核心参数输入!$B$96=2,核心参数输入!$B$120,0))*SUM(季度计划!$D$11:S11))*核心参数输入!$B$142+(SUM(季度投融资!$D$44:S44)+SUM(季度投融资!$D$49:S49))*核心参数输入!$B$142-SUM($D45:S45),0)</f>
        <v>26772.762499999993</v>
      </c>
      <c r="T57" s="9">
        <f>IF(16&lt;=核心参数输入!$B$9*4,(季度投融资!$B$7+季度投融资!$B$15*(1-IF(核心参数输入!$B$96=2,核心参数输入!$B$120,0))*SUM(季度计划!$D$11:T11))*核心参数输入!$B$142+(SUM(季度投融资!$D$44:T44)+SUM(季度投融资!$D$49:T49))*核心参数输入!$B$142-SUM($D45:T45),0)</f>
        <v>24181.849999999991</v>
      </c>
      <c r="U57" s="9">
        <f>IF(17&lt;=核心参数输入!$B$9*4,(季度投融资!$B$7+季度投融资!$B$15*(1-IF(核心参数输入!$B$96=2,核心参数输入!$B$120,0))*SUM(季度计划!$D$11:U11))*核心参数输入!$B$142+(SUM(季度投融资!$D$44:U44)+SUM(季度投融资!$D$49:U49))*核心参数输入!$B$142-SUM($D45:U45),0)</f>
        <v>20727.299999999992</v>
      </c>
      <c r="V57" s="9">
        <f>IF(18&lt;=核心参数输入!$B$9*4,(季度投融资!$B$7+季度投融资!$B$15*(1-IF(核心参数输入!$B$96=2,核心参数输入!$B$120,0))*SUM(季度计划!$D$11:V11))*核心参数输入!$B$142+(SUM(季度投融资!$D$44:V44)+SUM(季度投融资!$D$49:V49))*核心参数输入!$B$142-SUM($D45:V45),0)</f>
        <v>17272.749999999993</v>
      </c>
      <c r="W57" s="9">
        <f>IF(19&lt;=核心参数输入!$B$9*4,(季度投融资!$B$7+季度投融资!$B$15*(1-IF(核心参数输入!$B$96=2,核心参数输入!$B$120,0))*SUM(季度计划!$D$11:W11))*核心参数输入!$B$142+(SUM(季度投融资!$D$44:W44)+SUM(季度投融资!$D$49:W49))*核心参数输入!$B$142-SUM($D45:W45),0)</f>
        <v>13818.199999999993</v>
      </c>
      <c r="X57" s="9">
        <f>IF(20&lt;=核心参数输入!$B$9*4,(季度投融资!$B$7+季度投融资!$B$15*(1-IF(核心参数输入!$B$96=2,核心参数输入!$B$120,0))*SUM(季度计划!$D$11:X11))*核心参数输入!$B$142+(SUM(季度投融资!$D$44:X44)+SUM(季度投融资!$D$49:X49))*核心参数输入!$B$142-SUM($D45:X45),0)</f>
        <v>10363.649999999994</v>
      </c>
      <c r="Y57" s="9">
        <f>IF(21&lt;=核心参数输入!$B$9*4,(季度投融资!$B$7+季度投融资!$B$15*(1-IF(核心参数输入!$B$96=2,核心参数输入!$B$120,0))*SUM(季度计划!$D$11:Y11))*核心参数输入!$B$142+(SUM(季度投融资!$D$44:Y44)+SUM(季度投融资!$D$49:Y49))*核心参数输入!$B$142-SUM($D45:Y45),0)</f>
        <v>7772.7374999999956</v>
      </c>
      <c r="Z57" s="9">
        <f>IF(22&lt;=核心参数输入!$B$9*4,(季度投融资!$B$7+季度投融资!$B$15*(1-IF(核心参数输入!$B$96=2,核心参数输入!$B$120,0))*SUM(季度计划!$D$11:Z11))*核心参数输入!$B$142+(SUM(季度投融资!$D$44:Z44)+SUM(季度投融资!$D$49:Z49))*核心参数输入!$B$142-SUM($D45:Z45),0)</f>
        <v>5181.8249999999971</v>
      </c>
      <c r="AA57" s="9">
        <f>IF(23&lt;=核心参数输入!$B$9*4,(季度投融资!$B$7+季度投融资!$B$15*(1-IF(核心参数输入!$B$96=2,核心参数输入!$B$120,0))*SUM(季度计划!$D$11:AA11))*核心参数输入!$B$142+(SUM(季度投融资!$D$44:AA44)+SUM(季度投融资!$D$49:AA49))*核心参数输入!$B$142-SUM($D45:AA45),0)</f>
        <v>2590.9124999999985</v>
      </c>
      <c r="AB57" s="9">
        <f>IF(24&lt;=核心参数输入!$B$9*4,(季度投融资!$B$7+季度投融资!$B$15*(1-IF(核心参数输入!$B$96=2,核心参数输入!$B$120,0))*SUM(季度计划!$D$11:AB11))*核心参数输入!$B$142+(SUM(季度投融资!$D$44:AB44)+SUM(季度投融资!$D$49:AB49))*核心参数输入!$B$142-SUM($D45:AB45),0)</f>
        <v>0</v>
      </c>
      <c r="AC57" s="9">
        <f>IF(25&lt;=核心参数输入!$B$9*4,(季度投融资!$B$7+季度投融资!$B$15*(1-IF(核心参数输入!$B$96=2,核心参数输入!$B$120,0))*SUM(季度计划!$D$11:AC11))*核心参数输入!$B$142+(SUM(季度投融资!$D$44:AC44)+SUM(季度投融资!$D$49:AC49))*核心参数输入!$B$142-SUM($D45:AC45),0)</f>
        <v>0</v>
      </c>
      <c r="AD57" s="9">
        <f>IF(26&lt;=核心参数输入!$B$9*4,(季度投融资!$B$7+季度投融资!$B$15*(1-IF(核心参数输入!$B$96=2,核心参数输入!$B$120,0))*SUM(季度计划!$D$11:AD11))*核心参数输入!$B$142+(SUM(季度投融资!$D$44:AD44)+SUM(季度投融资!$D$49:AD49))*核心参数输入!$B$142-SUM($D45:AD45),0)</f>
        <v>0</v>
      </c>
      <c r="AE57" s="9">
        <f>IF(27&lt;=核心参数输入!$B$9*4,(季度投融资!$B$7+季度投融资!$B$15*(1-IF(核心参数输入!$B$96=2,核心参数输入!$B$120,0))*SUM(季度计划!$D$11:AE11))*核心参数输入!$B$142+(SUM(季度投融资!$D$44:AE44)+SUM(季度投融资!$D$49:AE49))*核心参数输入!$B$142-SUM($D45:AE45),0)</f>
        <v>0</v>
      </c>
      <c r="AF57" s="9">
        <f>IF(28&lt;=核心参数输入!$B$9*4,(季度投融资!$B$7+季度投融资!$B$15*(1-IF(核心参数输入!$B$96=2,核心参数输入!$B$120,0))*SUM(季度计划!$D$11:AF11))*核心参数输入!$B$142+(SUM(季度投融资!$D$44:AF44)+SUM(季度投融资!$D$49:AF49))*核心参数输入!$B$142-SUM($D45:AF45),0)</f>
        <v>0</v>
      </c>
      <c r="AG57" s="9">
        <f>IF(29&lt;=核心参数输入!$B$9*4,(季度投融资!$B$7+季度投融资!$B$15*(1-IF(核心参数输入!$B$96=2,核心参数输入!$B$120,0))*SUM(季度计划!$D$11:AG11))*核心参数输入!$B$142+(SUM(季度投融资!$D$44:AG44)+SUM(季度投融资!$D$49:AG49))*核心参数输入!$B$142-SUM($D45:AG45),0)</f>
        <v>0</v>
      </c>
      <c r="AH57" s="9">
        <f>IF(30&lt;=核心参数输入!$B$9*4,(季度投融资!$B$7+季度投融资!$B$15*(1-IF(核心参数输入!$B$96=2,核心参数输入!$B$120,0))*SUM(季度计划!$D$11:AH11))*核心参数输入!$B$142+(SUM(季度投融资!$D$44:AH44)+SUM(季度投融资!$D$49:AH49))*核心参数输入!$B$142-SUM($D45:AH45),0)</f>
        <v>0</v>
      </c>
      <c r="AI57" s="9">
        <f>IF(31&lt;=核心参数输入!$B$9*4,(季度投融资!$B$7+季度投融资!$B$15*(1-IF(核心参数输入!$B$96=2,核心参数输入!$B$120,0))*SUM(季度计划!$D$11:AI11))*核心参数输入!$B$142+(SUM(季度投融资!$D$44:AI44)+SUM(季度投融资!$D$49:AI49))*核心参数输入!$B$142-SUM($D45:AI45),0)</f>
        <v>0</v>
      </c>
      <c r="AJ57" s="9">
        <f>IF(32&lt;=核心参数输入!$B$9*4,(季度投融资!$B$7+季度投融资!$B$15*(1-IF(核心参数输入!$B$96=2,核心参数输入!$B$120,0))*SUM(季度计划!$D$11:AJ11))*核心参数输入!$B$142+(SUM(季度投融资!$D$44:AJ44)+SUM(季度投融资!$D$49:AJ49))*核心参数输入!$B$142-SUM($D45:AJ45),0)</f>
        <v>0</v>
      </c>
      <c r="AK57" s="9">
        <f>IF(33&lt;=核心参数输入!$B$9*4,(季度投融资!$B$7+季度投融资!$B$15*(1-IF(核心参数输入!$B$96=2,核心参数输入!$B$120,0))*SUM(季度计划!$D$11:AK11))*核心参数输入!$B$142+(SUM(季度投融资!$D$44:AK44)+SUM(季度投融资!$D$49:AK49))*核心参数输入!$B$142-SUM($D45:AK45),0)</f>
        <v>0</v>
      </c>
      <c r="AL57" s="9">
        <f>IF(34&lt;=核心参数输入!$B$9*4,(季度投融资!$B$7+季度投融资!$B$15*(1-IF(核心参数输入!$B$96=2,核心参数输入!$B$120,0))*SUM(季度计划!$D$11:AL11))*核心参数输入!$B$142+(SUM(季度投融资!$D$44:AL44)+SUM(季度投融资!$D$49:AL49))*核心参数输入!$B$142-SUM($D45:AL45),0)</f>
        <v>0</v>
      </c>
      <c r="AM57" s="9">
        <f>IF(35&lt;=核心参数输入!$B$9*4,(季度投融资!$B$7+季度投融资!$B$15*(1-IF(核心参数输入!$B$96=2,核心参数输入!$B$120,0))*SUM(季度计划!$D$11:AM11))*核心参数输入!$B$142+(SUM(季度投融资!$D$44:AM44)+SUM(季度投融资!$D$49:AM49))*核心参数输入!$B$142-SUM($D45:AM45),0)</f>
        <v>0</v>
      </c>
      <c r="AN57" s="9">
        <f>IF(36&lt;=核心参数输入!$B$9*4,(季度投融资!$B$7+季度投融资!$B$15*(1-IF(核心参数输入!$B$96=2,核心参数输入!$B$120,0))*SUM(季度计划!$D$11:AN11))*核心参数输入!$B$142+(SUM(季度投融资!$D$44:AN44)+SUM(季度投融资!$D$49:AN49))*核心参数输入!$B$142-SUM($D45:AN45),0)</f>
        <v>0</v>
      </c>
      <c r="AO57" s="9">
        <f>IF(37&lt;=核心参数输入!$B$9*4,(季度投融资!$B$7+季度投融资!$B$15*(1-IF(核心参数输入!$B$96=2,核心参数输入!$B$120,0))*SUM(季度计划!$D$11:AO11))*核心参数输入!$B$142+(SUM(季度投融资!$D$44:AO44)+SUM(季度投融资!$D$49:AO49))*核心参数输入!$B$142-SUM($D45:AO45),0)</f>
        <v>0</v>
      </c>
      <c r="AP57" s="9">
        <f>IF(38&lt;=核心参数输入!$B$9*4,(季度投融资!$B$7+季度投融资!$B$15*(1-IF(核心参数输入!$B$96=2,核心参数输入!$B$120,0))*SUM(季度计划!$D$11:AP11))*核心参数输入!$B$142+(SUM(季度投融资!$D$44:AP44)+SUM(季度投融资!$D$49:AP49))*核心参数输入!$B$142-SUM($D45:AP45),0)</f>
        <v>0</v>
      </c>
      <c r="AQ57" s="9">
        <f>IF(39&lt;=核心参数输入!$B$9*4,(季度投融资!$B$7+季度投融资!$B$15*(1-IF(核心参数输入!$B$96=2,核心参数输入!$B$120,0))*SUM(季度计划!$D$11:AQ11))*核心参数输入!$B$142+(SUM(季度投融资!$D$44:AQ44)+SUM(季度投融资!$D$49:AQ49))*核心参数输入!$B$142-SUM($D45:AQ45),0)</f>
        <v>0</v>
      </c>
      <c r="AR57" s="9">
        <f>IF(40&lt;=核心参数输入!$B$9*4,(季度投融资!$B$7+季度投融资!$B$15*(1-IF(核心参数输入!$B$96=2,核心参数输入!$B$120,0))*SUM(季度计划!$D$11:AR11))*核心参数输入!$B$142+(SUM(季度投融资!$D$44:AR44)+SUM(季度投融资!$D$49:AR49))*核心参数输入!$B$142-SUM($D45:AR45),0)</f>
        <v>0</v>
      </c>
      <c r="AS57" s="9">
        <f>IF(41&lt;=核心参数输入!$B$9*4,(季度投融资!$B$7+季度投融资!$B$15*(1-IF(核心参数输入!$B$96=2,核心参数输入!$B$120,0))*SUM(季度计划!$D$11:AS11))*核心参数输入!$B$142+(SUM(季度投融资!$D$44:AS44)+SUM(季度投融资!$D$49:AS49))*核心参数输入!$B$142-SUM($D45:AS45),0)</f>
        <v>0</v>
      </c>
      <c r="AT57" s="9">
        <f>IF(42&lt;=核心参数输入!$B$9*4,(季度投融资!$B$7+季度投融资!$B$15*(1-IF(核心参数输入!$B$96=2,核心参数输入!$B$120,0))*SUM(季度计划!$D$11:AT11))*核心参数输入!$B$142+(SUM(季度投融资!$D$44:AT44)+SUM(季度投融资!$D$49:AT49))*核心参数输入!$B$142-SUM($D45:AT45),0)</f>
        <v>0</v>
      </c>
      <c r="AU57" s="9">
        <f>IF(43&lt;=核心参数输入!$B$9*4,(季度投融资!$B$7+季度投融资!$B$15*(1-IF(核心参数输入!$B$96=2,核心参数输入!$B$120,0))*SUM(季度计划!$D$11:AU11))*核心参数输入!$B$142+(SUM(季度投融资!$D$44:AU44)+SUM(季度投融资!$D$49:AU49))*核心参数输入!$B$142-SUM($D45:AU45),0)</f>
        <v>0</v>
      </c>
      <c r="AV57" s="9">
        <f>IF(44&lt;=核心参数输入!$B$9*4,(季度投融资!$B$7+季度投融资!$B$15*(1-IF(核心参数输入!$B$96=2,核心参数输入!$B$120,0))*SUM(季度计划!$D$11:AV11))*核心参数输入!$B$142+(SUM(季度投融资!$D$44:AV44)+SUM(季度投融资!$D$49:AV49))*核心参数输入!$B$142-SUM($D45:AV45),0)</f>
        <v>0</v>
      </c>
      <c r="AW57" s="9">
        <f>IF(45&lt;=核心参数输入!$B$9*4,(季度投融资!$B$7+季度投融资!$B$15*(1-IF(核心参数输入!$B$96=2,核心参数输入!$B$120,0))*SUM(季度计划!$D$11:AW11))*核心参数输入!$B$142+(SUM(季度投融资!$D$44:AW44)+SUM(季度投融资!$D$49:AW49))*核心参数输入!$B$142-SUM($D45:AW45),0)</f>
        <v>0</v>
      </c>
      <c r="AX57" s="9">
        <f>IF(46&lt;=核心参数输入!$B$9*4,(季度投融资!$B$7+季度投融资!$B$15*(1-IF(核心参数输入!$B$96=2,核心参数输入!$B$120,0))*SUM(季度计划!$D$11:AX11))*核心参数输入!$B$142+(SUM(季度投融资!$D$44:AX44)+SUM(季度投融资!$D$49:AX49))*核心参数输入!$B$142-SUM($D45:AX45),0)</f>
        <v>0</v>
      </c>
      <c r="AY57" s="9">
        <f>IF(47&lt;=核心参数输入!$B$9*4,(季度投融资!$B$7+季度投融资!$B$15*(1-IF(核心参数输入!$B$96=2,核心参数输入!$B$120,0))*SUM(季度计划!$D$11:AY11))*核心参数输入!$B$142+(SUM(季度投融资!$D$44:AY44)+SUM(季度投融资!$D$49:AY49))*核心参数输入!$B$142-SUM($D45:AY45),0)</f>
        <v>0</v>
      </c>
      <c r="AZ57" s="9">
        <f>IF(48&lt;=核心参数输入!$B$9*4,(季度投融资!$B$7+季度投融资!$B$15*(1-IF(核心参数输入!$B$96=2,核心参数输入!$B$120,0))*SUM(季度计划!$D$11:AZ11))*核心参数输入!$B$142+(SUM(季度投融资!$D$44:AZ44)+SUM(季度投融资!$D$49:AZ49))*核心参数输入!$B$142-SUM($D45:AZ45),0)</f>
        <v>0</v>
      </c>
      <c r="BA57" s="9">
        <f>IF(49&lt;=核心参数输入!$B$9*4,(季度投融资!$B$7+季度投融资!$B$15*(1-IF(核心参数输入!$B$96=2,核心参数输入!$B$120,0))*SUM(季度计划!$D$11:BA11))*核心参数输入!$B$142+(SUM(季度投融资!$D$44:BA44)+SUM(季度投融资!$D$49:BA49))*核心参数输入!$B$142-SUM($D45:BA45),0)</f>
        <v>0</v>
      </c>
      <c r="BB57" s="9">
        <f>IF(50&lt;=核心参数输入!$B$9*4,(季度投融资!$B$7+季度投融资!$B$15*(1-IF(核心参数输入!$B$96=2,核心参数输入!$B$120,0))*SUM(季度计划!$D$11:BB11))*核心参数输入!$B$142+(SUM(季度投融资!$D$44:BB44)+SUM(季度投融资!$D$49:BB49))*核心参数输入!$B$142-SUM($D45:BB45),0)</f>
        <v>0</v>
      </c>
      <c r="BC57" s="9">
        <f>IF(51&lt;=核心参数输入!$B$9*4,(季度投融资!$B$7+季度投融资!$B$15*(1-IF(核心参数输入!$B$96=2,核心参数输入!$B$120,0))*SUM(季度计划!$D$11:BC11))*核心参数输入!$B$142+(SUM(季度投融资!$D$44:BC44)+SUM(季度投融资!$D$49:BC49))*核心参数输入!$B$142-SUM($D45:BC45),0)</f>
        <v>0</v>
      </c>
      <c r="BD57" s="9">
        <f>IF(52&lt;=核心参数输入!$B$9*4,(季度投融资!$B$7+季度投融资!$B$15*(1-IF(核心参数输入!$B$96=2,核心参数输入!$B$120,0))*SUM(季度计划!$D$11:BD11))*核心参数输入!$B$142+(SUM(季度投融资!$D$44:BD44)+SUM(季度投融资!$D$49:BD49))*核心参数输入!$B$142-SUM($D45:BD45),0)</f>
        <v>0</v>
      </c>
      <c r="BE57" s="9">
        <f>IF(53&lt;=核心参数输入!$B$9*4,(季度投融资!$B$7+季度投融资!$B$15*(1-IF(核心参数输入!$B$96=2,核心参数输入!$B$120,0))*SUM(季度计划!$D$11:BE11))*核心参数输入!$B$142+(SUM(季度投融资!$D$44:BE44)+SUM(季度投融资!$D$49:BE49))*核心参数输入!$B$142-SUM($D45:BE45),0)</f>
        <v>0</v>
      </c>
      <c r="BF57" s="9">
        <f>IF(54&lt;=核心参数输入!$B$9*4,(季度投融资!$B$7+季度投融资!$B$15*(1-IF(核心参数输入!$B$96=2,核心参数输入!$B$120,0))*SUM(季度计划!$D$11:BF11))*核心参数输入!$B$142+(SUM(季度投融资!$D$44:BF44)+SUM(季度投融资!$D$49:BF49))*核心参数输入!$B$142-SUM($D45:BF45),0)</f>
        <v>0</v>
      </c>
      <c r="BG57" s="9">
        <f>IF(55&lt;=核心参数输入!$B$9*4,(季度投融资!$B$7+季度投融资!$B$15*(1-IF(核心参数输入!$B$96=2,核心参数输入!$B$120,0))*SUM(季度计划!$D$11:BG11))*核心参数输入!$B$142+(SUM(季度投融资!$D$44:BG44)+SUM(季度投融资!$D$49:BG49))*核心参数输入!$B$142-SUM($D45:BG45),0)</f>
        <v>0</v>
      </c>
      <c r="BH57" s="9">
        <f>IF(56&lt;=核心参数输入!$B$9*4,(季度投融资!$B$7+季度投融资!$B$15*(1-IF(核心参数输入!$B$96=2,核心参数输入!$B$120,0))*SUM(季度计划!$D$11:BH11))*核心参数输入!$B$142+(SUM(季度投融资!$D$44:BH44)+SUM(季度投融资!$D$49:BH49))*核心参数输入!$B$142-SUM($D45:BH45),0)</f>
        <v>0</v>
      </c>
      <c r="BI57" s="9">
        <f>IF(57&lt;=核心参数输入!$B$9*4,(季度投融资!$B$7+季度投融资!$B$15*(1-IF(核心参数输入!$B$96=2,核心参数输入!$B$120,0))*SUM(季度计划!$D$11:BI11))*核心参数输入!$B$142+(SUM(季度投融资!$D$44:BI44)+SUM(季度投融资!$D$49:BI49))*核心参数输入!$B$142-SUM($D45:BI45),0)</f>
        <v>0</v>
      </c>
      <c r="BJ57" s="9">
        <f>IF(58&lt;=核心参数输入!$B$9*4,(季度投融资!$B$7+季度投融资!$B$15*(1-IF(核心参数输入!$B$96=2,核心参数输入!$B$120,0))*SUM(季度计划!$D$11:BJ11))*核心参数输入!$B$142+(SUM(季度投融资!$D$44:BJ44)+SUM(季度投融资!$D$49:BJ49))*核心参数输入!$B$142-SUM($D45:BJ45),0)</f>
        <v>0</v>
      </c>
      <c r="BK57" s="9">
        <f>IF(59&lt;=核心参数输入!$B$9*4,(季度投融资!$B$7+季度投融资!$B$15*(1-IF(核心参数输入!$B$96=2,核心参数输入!$B$120,0))*SUM(季度计划!$D$11:BK11))*核心参数输入!$B$142+(SUM(季度投融资!$D$44:BK44)+SUM(季度投融资!$D$49:BK49))*核心参数输入!$B$142-SUM($D45:BK45),0)</f>
        <v>0</v>
      </c>
      <c r="BL57" s="9">
        <f>IF(60&lt;=核心参数输入!$B$9*4,(季度投融资!$B$7+季度投融资!$B$15*(1-IF(核心参数输入!$B$96=2,核心参数输入!$B$120,0))*SUM(季度计划!$D$11:BL11))*核心参数输入!$B$142+(SUM(季度投融资!$D$44:BL44)+SUM(季度投融资!$D$49:BL49))*核心参数输入!$B$142-SUM($D45:BL45),0)</f>
        <v>0</v>
      </c>
      <c r="BM57" s="9">
        <f>IF(61&lt;=核心参数输入!$B$9*4,(季度投融资!$B$7+季度投融资!$B$15*(1-IF(核心参数输入!$B$96=2,核心参数输入!$B$120,0))*SUM(季度计划!$D$11:BM11))*核心参数输入!$B$142+(SUM(季度投融资!$D$44:BM44)+SUM(季度投融资!$D$49:BM49))*核心参数输入!$B$142-SUM($D45:BM45),0)</f>
        <v>0</v>
      </c>
      <c r="BN57" s="9">
        <f>IF(62&lt;=核心参数输入!$B$9*4,(季度投融资!$B$7+季度投融资!$B$15*(1-IF(核心参数输入!$B$96=2,核心参数输入!$B$120,0))*SUM(季度计划!$D$11:BN11))*核心参数输入!$B$142+(SUM(季度投融资!$D$44:BN44)+SUM(季度投融资!$D$49:BN49))*核心参数输入!$B$142-SUM($D45:BN45),0)</f>
        <v>0</v>
      </c>
      <c r="BO57" s="9">
        <f>IF(63&lt;=核心参数输入!$B$9*4,(季度投融资!$B$7+季度投融资!$B$15*(1-IF(核心参数输入!$B$96=2,核心参数输入!$B$120,0))*SUM(季度计划!$D$11:BO11))*核心参数输入!$B$142+(SUM(季度投融资!$D$44:BO44)+SUM(季度投融资!$D$49:BO49))*核心参数输入!$B$142-SUM($D45:BO45),0)</f>
        <v>0</v>
      </c>
      <c r="BP57" s="9">
        <f>IF(64&lt;=核心参数输入!$B$9*4,(季度投融资!$B$7+季度投融资!$B$15*(1-IF(核心参数输入!$B$96=2,核心参数输入!$B$120,0))*SUM(季度计划!$D$11:BP11))*核心参数输入!$B$142+(SUM(季度投融资!$D$44:BP44)+SUM(季度投融资!$D$49:BP49))*核心参数输入!$B$142-SUM($D45:BP45),0)</f>
        <v>0</v>
      </c>
      <c r="BQ57" s="9">
        <f>IF(65&lt;=核心参数输入!$B$9*4,(季度投融资!$B$7+季度投融资!$B$15*(1-IF(核心参数输入!$B$96=2,核心参数输入!$B$120,0))*SUM(季度计划!$D$11:BQ11))*核心参数输入!$B$142+(SUM(季度投融资!$D$44:BQ44)+SUM(季度投融资!$D$49:BQ49))*核心参数输入!$B$142-SUM($D45:BQ45),0)</f>
        <v>0</v>
      </c>
      <c r="BR57" s="9">
        <f>IF(66&lt;=核心参数输入!$B$9*4,(季度投融资!$B$7+季度投融资!$B$15*(1-IF(核心参数输入!$B$96=2,核心参数输入!$B$120,0))*SUM(季度计划!$D$11:BR11))*核心参数输入!$B$142+(SUM(季度投融资!$D$44:BR44)+SUM(季度投融资!$D$49:BR49))*核心参数输入!$B$142-SUM($D45:BR45),0)</f>
        <v>0</v>
      </c>
      <c r="BS57" s="9">
        <f>IF(67&lt;=核心参数输入!$B$9*4,(季度投融资!$B$7+季度投融资!$B$15*(1-IF(核心参数输入!$B$96=2,核心参数输入!$B$120,0))*SUM(季度计划!$D$11:BS11))*核心参数输入!$B$142+(SUM(季度投融资!$D$44:BS44)+SUM(季度投融资!$D$49:BS49))*核心参数输入!$B$142-SUM($D45:BS45),0)</f>
        <v>0</v>
      </c>
      <c r="BT57" s="9">
        <f>IF(68&lt;=核心参数输入!$B$9*4,(季度投融资!$B$7+季度投融资!$B$15*(1-IF(核心参数输入!$B$96=2,核心参数输入!$B$120,0))*SUM(季度计划!$D$11:BT11))*核心参数输入!$B$142+(SUM(季度投融资!$D$44:BT44)+SUM(季度投融资!$D$49:BT49))*核心参数输入!$B$142-SUM($D45:BT45),0)</f>
        <v>0</v>
      </c>
      <c r="BU57" s="9">
        <f>IF(69&lt;=核心参数输入!$B$9*4,(季度投融资!$B$7+季度投融资!$B$15*(1-IF(核心参数输入!$B$96=2,核心参数输入!$B$120,0))*SUM(季度计划!$D$11:BU11))*核心参数输入!$B$142+(SUM(季度投融资!$D$44:BU44)+SUM(季度投融资!$D$49:BU49))*核心参数输入!$B$142-SUM($D45:BU45),0)</f>
        <v>0</v>
      </c>
      <c r="BV57" s="9">
        <f>IF(70&lt;=核心参数输入!$B$9*4,(季度投融资!$B$7+季度投融资!$B$15*(1-IF(核心参数输入!$B$96=2,核心参数输入!$B$120,0))*SUM(季度计划!$D$11:BV11))*核心参数输入!$B$142+(SUM(季度投融资!$D$44:BV44)+SUM(季度投融资!$D$49:BV49))*核心参数输入!$B$142-SUM($D45:BV45),0)</f>
        <v>0</v>
      </c>
      <c r="BW57" s="9">
        <f>IF(71&lt;=核心参数输入!$B$9*4,(季度投融资!$B$7+季度投融资!$B$15*(1-IF(核心参数输入!$B$96=2,核心参数输入!$B$120,0))*SUM(季度计划!$D$11:BW11))*核心参数输入!$B$142+(SUM(季度投融资!$D$44:BW44)+SUM(季度投融资!$D$49:BW49))*核心参数输入!$B$142-SUM($D45:BW45),0)</f>
        <v>0</v>
      </c>
      <c r="BX57" s="9">
        <f>IF(72&lt;=核心参数输入!$B$9*4,(季度投融资!$B$7+季度投融资!$B$15*(1-IF(核心参数输入!$B$96=2,核心参数输入!$B$120,0))*SUM(季度计划!$D$11:BX11))*核心参数输入!$B$142+(SUM(季度投融资!$D$44:BX44)+SUM(季度投融资!$D$49:BX49))*核心参数输入!$B$142-SUM($D45:BX45),0)</f>
        <v>0</v>
      </c>
      <c r="BY57" s="9">
        <f>IF(73&lt;=核心参数输入!$B$9*4,(季度投融资!$B$7+季度投融资!$B$15*(1-IF(核心参数输入!$B$96=2,核心参数输入!$B$120,0))*SUM(季度计划!$D$11:BY11))*核心参数输入!$B$142+(SUM(季度投融资!$D$44:BY44)+SUM(季度投融资!$D$49:BY49))*核心参数输入!$B$142-SUM($D45:BY45),0)</f>
        <v>0</v>
      </c>
      <c r="BZ57" s="9">
        <f>IF(74&lt;=核心参数输入!$B$9*4,(季度投融资!$B$7+季度投融资!$B$15*(1-IF(核心参数输入!$B$96=2,核心参数输入!$B$120,0))*SUM(季度计划!$D$11:BZ11))*核心参数输入!$B$142+(SUM(季度投融资!$D$44:BZ44)+SUM(季度投融资!$D$49:BZ49))*核心参数输入!$B$142-SUM($D45:BZ45),0)</f>
        <v>0</v>
      </c>
      <c r="CA57" s="9">
        <f>IF(75&lt;=核心参数输入!$B$9*4,(季度投融资!$B$7+季度投融资!$B$15*(1-IF(核心参数输入!$B$96=2,核心参数输入!$B$120,0))*SUM(季度计划!$D$11:CA11))*核心参数输入!$B$142+(SUM(季度投融资!$D$44:CA44)+SUM(季度投融资!$D$49:CA49))*核心参数输入!$B$142-SUM($D45:CA45),0)</f>
        <v>0</v>
      </c>
      <c r="CB57" s="9">
        <f>IF(76&lt;=核心参数输入!$B$9*4,(季度投融资!$B$7+季度投融资!$B$15*(1-IF(核心参数输入!$B$96=2,核心参数输入!$B$120,0))*SUM(季度计划!$D$11:CB11))*核心参数输入!$B$142+(SUM(季度投融资!$D$44:CB44)+SUM(季度投融资!$D$49:CB49))*核心参数输入!$B$142-SUM($D45:CB45),0)</f>
        <v>0</v>
      </c>
      <c r="CC57" s="9">
        <f>IF(77&lt;=核心参数输入!$B$9*4,(季度投融资!$B$7+季度投融资!$B$15*(1-IF(核心参数输入!$B$96=2,核心参数输入!$B$120,0))*SUM(季度计划!$D$11:CC11))*核心参数输入!$B$142+(SUM(季度投融资!$D$44:CC44)+SUM(季度投融资!$D$49:CC49))*核心参数输入!$B$142-SUM($D45:CC45),0)</f>
        <v>0</v>
      </c>
      <c r="CD57" s="9">
        <f>IF(78&lt;=核心参数输入!$B$9*4,(季度投融资!$B$7+季度投融资!$B$15*(1-IF(核心参数输入!$B$96=2,核心参数输入!$B$120,0))*SUM(季度计划!$D$11:CD11))*核心参数输入!$B$142+(SUM(季度投融资!$D$44:CD44)+SUM(季度投融资!$D$49:CD49))*核心参数输入!$B$142-SUM($D45:CD45),0)</f>
        <v>0</v>
      </c>
      <c r="CE57" s="9">
        <f>IF(79&lt;=核心参数输入!$B$9*4,(季度投融资!$B$7+季度投融资!$B$15*(1-IF(核心参数输入!$B$96=2,核心参数输入!$B$120,0))*SUM(季度计划!$D$11:CE11))*核心参数输入!$B$142+(SUM(季度投融资!$D$44:CE44)+SUM(季度投融资!$D$49:CE49))*核心参数输入!$B$142-SUM($D45:CE45),0)</f>
        <v>0</v>
      </c>
      <c r="CF57" s="9">
        <f>IF(80&lt;=核心参数输入!$B$9*4,(季度投融资!$B$7+季度投融资!$B$15*(1-IF(核心参数输入!$B$96=2,核心参数输入!$B$120,0))*SUM(季度计划!$D$11:CF11))*核心参数输入!$B$142+(SUM(季度投融资!$D$44:CF44)+SUM(季度投融资!$D$49:CF49))*核心参数输入!$B$142-SUM($D45:CF45),0)</f>
        <v>0</v>
      </c>
      <c r="CG57" s="9">
        <f>IF(81&lt;=核心参数输入!$B$9*4,(季度投融资!$B$7+季度投融资!$B$15*(1-IF(核心参数输入!$B$96=2,核心参数输入!$B$120,0))*SUM(季度计划!$D$11:CG11))*核心参数输入!$B$142+(SUM(季度投融资!$D$44:CG44)+SUM(季度投融资!$D$49:CG49))*核心参数输入!$B$142-SUM($D45:CG45),0)</f>
        <v>0</v>
      </c>
      <c r="CH57" s="9">
        <f>IF(82&lt;=核心参数输入!$B$9*4,(季度投融资!$B$7+季度投融资!$B$15*(1-IF(核心参数输入!$B$96=2,核心参数输入!$B$120,0))*SUM(季度计划!$D$11:CH11))*核心参数输入!$B$142+(SUM(季度投融资!$D$44:CH44)+SUM(季度投融资!$D$49:CH49))*核心参数输入!$B$142-SUM($D45:CH45),0)</f>
        <v>0</v>
      </c>
      <c r="CI57" s="9">
        <f>IF(83&lt;=核心参数输入!$B$9*4,(季度投融资!$B$7+季度投融资!$B$15*(1-IF(核心参数输入!$B$96=2,核心参数输入!$B$120,0))*SUM(季度计划!$D$11:CI11))*核心参数输入!$B$142+(SUM(季度投融资!$D$44:CI44)+SUM(季度投融资!$D$49:CI49))*核心参数输入!$B$142-SUM($D45:CI45),0)</f>
        <v>0</v>
      </c>
      <c r="CJ57" s="9">
        <f>IF(84&lt;=核心参数输入!$B$9*4,(季度投融资!$B$7+季度投融资!$B$15*(1-IF(核心参数输入!$B$96=2,核心参数输入!$B$120,0))*SUM(季度计划!$D$11:CJ11))*核心参数输入!$B$142+(SUM(季度投融资!$D$44:CJ44)+SUM(季度投融资!$D$49:CJ49))*核心参数输入!$B$142-SUM($D45:CJ45),0)</f>
        <v>0</v>
      </c>
      <c r="CK57" s="9">
        <f>IF(85&lt;=核心参数输入!$B$9*4,(季度投融资!$B$7+季度投融资!$B$15*(1-IF(核心参数输入!$B$96=2,核心参数输入!$B$120,0))*SUM(季度计划!$D$11:CK11))*核心参数输入!$B$142+(SUM(季度投融资!$D$44:CK44)+SUM(季度投融资!$D$49:CK49))*核心参数输入!$B$142-SUM($D45:CK45),0)</f>
        <v>0</v>
      </c>
      <c r="CL57" s="9">
        <f>IF(86&lt;=核心参数输入!$B$9*4,(季度投融资!$B$7+季度投融资!$B$15*(1-IF(核心参数输入!$B$96=2,核心参数输入!$B$120,0))*SUM(季度计划!$D$11:CL11))*核心参数输入!$B$142+(SUM(季度投融资!$D$44:CL44)+SUM(季度投融资!$D$49:CL49))*核心参数输入!$B$142-SUM($D45:CL45),0)</f>
        <v>0</v>
      </c>
      <c r="CM57" s="9">
        <f>IF(87&lt;=核心参数输入!$B$9*4,(季度投融资!$B$7+季度投融资!$B$15*(1-IF(核心参数输入!$B$96=2,核心参数输入!$B$120,0))*SUM(季度计划!$D$11:CM11))*核心参数输入!$B$142+(SUM(季度投融资!$D$44:CM44)+SUM(季度投融资!$D$49:CM49))*核心参数输入!$B$142-SUM($D45:CM45),0)</f>
        <v>0</v>
      </c>
      <c r="CN57" s="9">
        <f>IF(88&lt;=核心参数输入!$B$9*4,(季度投融资!$B$7+季度投融资!$B$15*(1-IF(核心参数输入!$B$96=2,核心参数输入!$B$120,0))*SUM(季度计划!$D$11:CN11))*核心参数输入!$B$142+(SUM(季度投融资!$D$44:CN44)+SUM(季度投融资!$D$49:CN49))*核心参数输入!$B$142-SUM($D45:CN45),0)</f>
        <v>0</v>
      </c>
      <c r="CO57" s="9">
        <f>IF(89&lt;=核心参数输入!$B$9*4,(季度投融资!$B$7+季度投融资!$B$15*(1-IF(核心参数输入!$B$96=2,核心参数输入!$B$120,0))*SUM(季度计划!$D$11:CO11))*核心参数输入!$B$142+(SUM(季度投融资!$D$44:CO44)+SUM(季度投融资!$D$49:CO49))*核心参数输入!$B$142-SUM($D45:CO45),0)</f>
        <v>0</v>
      </c>
      <c r="CP57" s="9">
        <f>IF(90&lt;=核心参数输入!$B$9*4,(季度投融资!$B$7+季度投融资!$B$15*(1-IF(核心参数输入!$B$96=2,核心参数输入!$B$120,0))*SUM(季度计划!$D$11:CP11))*核心参数输入!$B$142+(SUM(季度投融资!$D$44:CP44)+SUM(季度投融资!$D$49:CP49))*核心参数输入!$B$142-SUM($D45:CP45),0)</f>
        <v>0</v>
      </c>
      <c r="CQ57" s="9">
        <f>IF(91&lt;=核心参数输入!$B$9*4,(季度投融资!$B$7+季度投融资!$B$15*(1-IF(核心参数输入!$B$96=2,核心参数输入!$B$120,0))*SUM(季度计划!$D$11:CQ11))*核心参数输入!$B$142+(SUM(季度投融资!$D$44:CQ44)+SUM(季度投融资!$D$49:CQ49))*核心参数输入!$B$142-SUM($D45:CQ45),0)</f>
        <v>0</v>
      </c>
      <c r="CR57" s="9">
        <f>IF(92&lt;=核心参数输入!$B$9*4,(季度投融资!$B$7+季度投融资!$B$15*(1-IF(核心参数输入!$B$96=2,核心参数输入!$B$120,0))*SUM(季度计划!$D$11:CR11))*核心参数输入!$B$142+(SUM(季度投融资!$D$44:CR44)+SUM(季度投融资!$D$49:CR49))*核心参数输入!$B$142-SUM($D45:CR45),0)</f>
        <v>0</v>
      </c>
      <c r="CS57" s="9">
        <f>IF(93&lt;=核心参数输入!$B$9*4,(季度投融资!$B$7+季度投融资!$B$15*(1-IF(核心参数输入!$B$96=2,核心参数输入!$B$120,0))*SUM(季度计划!$D$11:CS11))*核心参数输入!$B$142+(SUM(季度投融资!$D$44:CS44)+SUM(季度投融资!$D$49:CS49))*核心参数输入!$B$142-SUM($D45:CS45),0)</f>
        <v>0</v>
      </c>
      <c r="CT57" s="9">
        <f>IF(94&lt;=核心参数输入!$B$9*4,(季度投融资!$B$7+季度投融资!$B$15*(1-IF(核心参数输入!$B$96=2,核心参数输入!$B$120,0))*SUM(季度计划!$D$11:CT11))*核心参数输入!$B$142+(SUM(季度投融资!$D$44:CT44)+SUM(季度投融资!$D$49:CT49))*核心参数输入!$B$142-SUM($D45:CT45),0)</f>
        <v>0</v>
      </c>
      <c r="CU57" s="9">
        <f>IF(95&lt;=核心参数输入!$B$9*4,(季度投融资!$B$7+季度投融资!$B$15*(1-IF(核心参数输入!$B$96=2,核心参数输入!$B$120,0))*SUM(季度计划!$D$11:CU11))*核心参数输入!$B$142+(SUM(季度投融资!$D$44:CU44)+SUM(季度投融资!$D$49:CU49))*核心参数输入!$B$142-SUM($D45:CU45),0)</f>
        <v>0</v>
      </c>
      <c r="CV57" s="9">
        <f>IF(96&lt;=核心参数输入!$B$9*4,(季度投融资!$B$7+季度投融资!$B$15*(1-IF(核心参数输入!$B$96=2,核心参数输入!$B$120,0))*SUM(季度计划!$D$11:CV11))*核心参数输入!$B$142+(SUM(季度投融资!$D$44:CV44)+SUM(季度投融资!$D$49:CV49))*核心参数输入!$B$142-SUM($D45:CV45),0)</f>
        <v>0</v>
      </c>
      <c r="CW57" s="9">
        <f>IF(97&lt;=核心参数输入!$B$9*4,(季度投融资!$B$7+季度投融资!$B$15*(1-IF(核心参数输入!$B$96=2,核心参数输入!$B$120,0))*SUM(季度计划!$D$11:CW11))*核心参数输入!$B$142+(SUM(季度投融资!$D$44:CW44)+SUM(季度投融资!$D$49:CW49))*核心参数输入!$B$142-SUM($D45:CW45),0)</f>
        <v>0</v>
      </c>
      <c r="CX57" s="9">
        <f>IF(98&lt;=核心参数输入!$B$9*4,(季度投融资!$B$7+季度投融资!$B$15*(1-IF(核心参数输入!$B$96=2,核心参数输入!$B$120,0))*SUM(季度计划!$D$11:CX11))*核心参数输入!$B$142+(SUM(季度投融资!$D$44:CX44)+SUM(季度投融资!$D$49:CX49))*核心参数输入!$B$142-SUM($D45:CX45),0)</f>
        <v>0</v>
      </c>
      <c r="CY57" s="9">
        <f>IF(99&lt;=核心参数输入!$B$9*4,(季度投融资!$B$7+季度投融资!$B$15*(1-IF(核心参数输入!$B$96=2,核心参数输入!$B$120,0))*SUM(季度计划!$D$11:CY11))*核心参数输入!$B$142+(SUM(季度投融资!$D$44:CY44)+SUM(季度投融资!$D$49:CY49))*核心参数输入!$B$142-SUM($D45:CY45),0)</f>
        <v>0</v>
      </c>
      <c r="CZ57" s="9">
        <f>IF(100&lt;=核心参数输入!$B$9*4,(季度投融资!$B$7+季度投融资!$B$15*(1-IF(核心参数输入!$B$96=2,核心参数输入!$B$120,0))*SUM(季度计划!$D$11:CZ11))*核心参数输入!$B$142+(SUM(季度投融资!$D$44:CZ44)+SUM(季度投融资!$D$49:CZ49))*核心参数输入!$B$142-SUM($D45:CZ45),0)</f>
        <v>0</v>
      </c>
      <c r="DA57" s="9">
        <f>IF(101&lt;=核心参数输入!$B$9*4,(季度投融资!$B$7+季度投融资!$B$15*(1-IF(核心参数输入!$B$96=2,核心参数输入!$B$120,0))*SUM(季度计划!$D$11:DA11))*核心参数输入!$B$142+(SUM(季度投融资!$D$44:DA44)+SUM(季度投融资!$D$49:DA49))*核心参数输入!$B$142-SUM($D45:DA45),0)</f>
        <v>0</v>
      </c>
      <c r="DB57" s="9">
        <f>IF(102&lt;=核心参数输入!$B$9*4,(季度投融资!$B$7+季度投融资!$B$15*(1-IF(核心参数输入!$B$96=2,核心参数输入!$B$120,0))*SUM(季度计划!$D$11:DB11))*核心参数输入!$B$142+(SUM(季度投融资!$D$44:DB44)+SUM(季度投融资!$D$49:DB49))*核心参数输入!$B$142-SUM($D45:DB45),0)</f>
        <v>0</v>
      </c>
      <c r="DC57" s="9">
        <f>IF(103&lt;=核心参数输入!$B$9*4,(季度投融资!$B$7+季度投融资!$B$15*(1-IF(核心参数输入!$B$96=2,核心参数输入!$B$120,0))*SUM(季度计划!$D$11:DC11))*核心参数输入!$B$142+(SUM(季度投融资!$D$44:DC44)+SUM(季度投融资!$D$49:DC49))*核心参数输入!$B$142-SUM($D45:DC45),0)</f>
        <v>0</v>
      </c>
      <c r="DD57" s="9">
        <f>IF(104&lt;=核心参数输入!$B$9*4,(季度投融资!$B$7+季度投融资!$B$15*(1-IF(核心参数输入!$B$96=2,核心参数输入!$B$120,0))*SUM(季度计划!$D$11:DD11))*核心参数输入!$B$142+(SUM(季度投融资!$D$44:DD44)+SUM(季度投融资!$D$49:DD49))*核心参数输入!$B$142-SUM($D45:DD45),0)</f>
        <v>0</v>
      </c>
      <c r="DE57" s="9">
        <f>IF(105&lt;=核心参数输入!$B$9*4,(季度投融资!$B$7+季度投融资!$B$15*(1-IF(核心参数输入!$B$96=2,核心参数输入!$B$120,0))*SUM(季度计划!$D$11:DE11))*核心参数输入!$B$142+(SUM(季度投融资!$D$44:DE44)+SUM(季度投融资!$D$49:DE49))*核心参数输入!$B$142-SUM($D45:DE45),0)</f>
        <v>0</v>
      </c>
      <c r="DF57" s="9">
        <f>IF(106&lt;=核心参数输入!$B$9*4,(季度投融资!$B$7+季度投融资!$B$15*(1-IF(核心参数输入!$B$96=2,核心参数输入!$B$120,0))*SUM(季度计划!$D$11:DF11))*核心参数输入!$B$142+(SUM(季度投融资!$D$44:DF44)+SUM(季度投融资!$D$49:DF49))*核心参数输入!$B$142-SUM($D45:DF45),0)</f>
        <v>0</v>
      </c>
      <c r="DG57" s="9">
        <f>IF(107&lt;=核心参数输入!$B$9*4,(季度投融资!$B$7+季度投融资!$B$15*(1-IF(核心参数输入!$B$96=2,核心参数输入!$B$120,0))*SUM(季度计划!$D$11:DG11))*核心参数输入!$B$142+(SUM(季度投融资!$D$44:DG44)+SUM(季度投融资!$D$49:DG49))*核心参数输入!$B$142-SUM($D45:DG45),0)</f>
        <v>0</v>
      </c>
      <c r="DH57" s="9">
        <f>IF(108&lt;=核心参数输入!$B$9*4,(季度投融资!$B$7+季度投融资!$B$15*(1-IF(核心参数输入!$B$96=2,核心参数输入!$B$120,0))*SUM(季度计划!$D$11:DH11))*核心参数输入!$B$142+(SUM(季度投融资!$D$44:DH44)+SUM(季度投融资!$D$49:DH49))*核心参数输入!$B$142-SUM($D45:DH45),0)</f>
        <v>0</v>
      </c>
      <c r="DI57" s="9">
        <f>IF(109&lt;=核心参数输入!$B$9*4,(季度投融资!$B$7+季度投融资!$B$15*(1-IF(核心参数输入!$B$96=2,核心参数输入!$B$120,0))*SUM(季度计划!$D$11:DI11))*核心参数输入!$B$142+(SUM(季度投融资!$D$44:DI44)+SUM(季度投融资!$D$49:DI49))*核心参数输入!$B$142-SUM($D45:DI45),0)</f>
        <v>0</v>
      </c>
      <c r="DJ57" s="9">
        <f>IF(110&lt;=核心参数输入!$B$9*4,(季度投融资!$B$7+季度投融资!$B$15*(1-IF(核心参数输入!$B$96=2,核心参数输入!$B$120,0))*SUM(季度计划!$D$11:DJ11))*核心参数输入!$B$142+(SUM(季度投融资!$D$44:DJ44)+SUM(季度投融资!$D$49:DJ49))*核心参数输入!$B$142-SUM($D45:DJ45),0)</f>
        <v>0</v>
      </c>
      <c r="DK57" s="9">
        <f>IF(111&lt;=核心参数输入!$B$9*4,(季度投融资!$B$7+季度投融资!$B$15*(1-IF(核心参数输入!$B$96=2,核心参数输入!$B$120,0))*SUM(季度计划!$D$11:DK11))*核心参数输入!$B$142+(SUM(季度投融资!$D$44:DK44)+SUM(季度投融资!$D$49:DK49))*核心参数输入!$B$142-SUM($D45:DK45),0)</f>
        <v>0</v>
      </c>
      <c r="DL57" s="9">
        <f>IF(112&lt;=核心参数输入!$B$9*4,(季度投融资!$B$7+季度投融资!$B$15*(1-IF(核心参数输入!$B$96=2,核心参数输入!$B$120,0))*SUM(季度计划!$D$11:DL11))*核心参数输入!$B$142+(SUM(季度投融资!$D$44:DL44)+SUM(季度投融资!$D$49:DL49))*核心参数输入!$B$142-SUM($D45:DL45),0)</f>
        <v>0</v>
      </c>
      <c r="DM57" s="9">
        <f>IF(113&lt;=核心参数输入!$B$9*4,(季度投融资!$B$7+季度投融资!$B$15*(1-IF(核心参数输入!$B$96=2,核心参数输入!$B$120,0))*SUM(季度计划!$D$11:DM11))*核心参数输入!$B$142+(SUM(季度投融资!$D$44:DM44)+SUM(季度投融资!$D$49:DM49))*核心参数输入!$B$142-SUM($D45:DM45),0)</f>
        <v>0</v>
      </c>
      <c r="DN57" s="9">
        <f>IF(114&lt;=核心参数输入!$B$9*4,(季度投融资!$B$7+季度投融资!$B$15*(1-IF(核心参数输入!$B$96=2,核心参数输入!$B$120,0))*SUM(季度计划!$D$11:DN11))*核心参数输入!$B$142+(SUM(季度投融资!$D$44:DN44)+SUM(季度投融资!$D$49:DN49))*核心参数输入!$B$142-SUM($D45:DN45),0)</f>
        <v>0</v>
      </c>
      <c r="DO57" s="9">
        <f>IF(115&lt;=核心参数输入!$B$9*4,(季度投融资!$B$7+季度投融资!$B$15*(1-IF(核心参数输入!$B$96=2,核心参数输入!$B$120,0))*SUM(季度计划!$D$11:DO11))*核心参数输入!$B$142+(SUM(季度投融资!$D$44:DO44)+SUM(季度投融资!$D$49:DO49))*核心参数输入!$B$142-SUM($D45:DO45),0)</f>
        <v>0</v>
      </c>
      <c r="DP57" s="9">
        <f>IF(116&lt;=核心参数输入!$B$9*4,(季度投融资!$B$7+季度投融资!$B$15*(1-IF(核心参数输入!$B$96=2,核心参数输入!$B$120,0))*SUM(季度计划!$D$11:DP11))*核心参数输入!$B$142+(SUM(季度投融资!$D$44:DP44)+SUM(季度投融资!$D$49:DP49))*核心参数输入!$B$142-SUM($D45:DP45),0)</f>
        <v>0</v>
      </c>
      <c r="DQ57" s="9">
        <f>IF(117&lt;=核心参数输入!$B$9*4,(季度投融资!$B$7+季度投融资!$B$15*(1-IF(核心参数输入!$B$96=2,核心参数输入!$B$120,0))*SUM(季度计划!$D$11:DQ11))*核心参数输入!$B$142+(SUM(季度投融资!$D$44:DQ44)+SUM(季度投融资!$D$49:DQ49))*核心参数输入!$B$142-SUM($D45:DQ45),0)</f>
        <v>0</v>
      </c>
      <c r="DR57" s="9">
        <f>IF(118&lt;=核心参数输入!$B$9*4,(季度投融资!$B$7+季度投融资!$B$15*(1-IF(核心参数输入!$B$96=2,核心参数输入!$B$120,0))*SUM(季度计划!$D$11:DR11))*核心参数输入!$B$142+(SUM(季度投融资!$D$44:DR44)+SUM(季度投融资!$D$49:DR49))*核心参数输入!$B$142-SUM($D45:DR45),0)</f>
        <v>0</v>
      </c>
      <c r="DS57" s="9">
        <f>IF(119&lt;=核心参数输入!$B$9*4,(季度投融资!$B$7+季度投融资!$B$15*(1-IF(核心参数输入!$B$96=2,核心参数输入!$B$120,0))*SUM(季度计划!$D$11:DS11))*核心参数输入!$B$142+(SUM(季度投融资!$D$44:DS44)+SUM(季度投融资!$D$49:DS49))*核心参数输入!$B$142-SUM($D45:DS45),0)</f>
        <v>0</v>
      </c>
      <c r="DT57" s="9">
        <f>IF(120&lt;=核心参数输入!$B$9*4,(季度投融资!$B$7+季度投融资!$B$15*(1-IF(核心参数输入!$B$96=2,核心参数输入!$B$120,0))*SUM(季度计划!$D$11:DT11))*核心参数输入!$B$142+(SUM(季度投融资!$D$44:DT44)+SUM(季度投融资!$D$49:DT49))*核心参数输入!$B$142-SUM($D45:DT45),0)</f>
        <v>0</v>
      </c>
    </row>
    <row r="58" spans="1:124" ht="21" customHeight="1">
      <c r="A58" s="8" t="s">
        <v>489</v>
      </c>
      <c r="B58" s="8" t="s">
        <v>39</v>
      </c>
      <c r="C58" s="8"/>
      <c r="D58" s="9">
        <f>IF(0&lt;=核心参数输入!$B$9*4,IF(AND((核心参数输入!$B$10*核心参数输入!$B$11*核心参数输入!$B$12*核心参数输入!$B$143)&gt;0,0=核心参数输入!$B$9*4),核心参数输入!$B$65,0),0)</f>
        <v>0</v>
      </c>
      <c r="E58" s="9">
        <f>IF(1&lt;=核心参数输入!$B$9*4,IF(AND((核心参数输入!$B$10*核心参数输入!$B$11*核心参数输入!$B$12*核心参数输入!$B$143)&gt;0,1=核心参数输入!$B$9*4),核心参数输入!$B$65,0),0)</f>
        <v>0</v>
      </c>
      <c r="F58" s="9">
        <f>IF(2&lt;=核心参数输入!$B$9*4,IF(AND((核心参数输入!$B$10*核心参数输入!$B$11*核心参数输入!$B$12*核心参数输入!$B$143)&gt;0,2=核心参数输入!$B$9*4),核心参数输入!$B$65,0),0)</f>
        <v>0</v>
      </c>
      <c r="G58" s="9">
        <f>IF(3&lt;=核心参数输入!$B$9*4,IF(AND((核心参数输入!$B$10*核心参数输入!$B$11*核心参数输入!$B$12*核心参数输入!$B$143)&gt;0,3=核心参数输入!$B$9*4),核心参数输入!$B$65,0),0)</f>
        <v>0</v>
      </c>
      <c r="H58" s="9">
        <f>IF(4&lt;=核心参数输入!$B$9*4,IF(AND((核心参数输入!$B$10*核心参数输入!$B$11*核心参数输入!$B$12*核心参数输入!$B$143)&gt;0,4=核心参数输入!$B$9*4),核心参数输入!$B$65,0),0)</f>
        <v>0</v>
      </c>
      <c r="I58" s="9">
        <f>IF(5&lt;=核心参数输入!$B$9*4,IF(AND((核心参数输入!$B$10*核心参数输入!$B$11*核心参数输入!$B$12*核心参数输入!$B$143)&gt;0,5=核心参数输入!$B$9*4),核心参数输入!$B$65,0),0)</f>
        <v>0</v>
      </c>
      <c r="J58" s="9">
        <f>IF(6&lt;=核心参数输入!$B$9*4,IF(AND((核心参数输入!$B$10*核心参数输入!$B$11*核心参数输入!$B$12*核心参数输入!$B$143)&gt;0,6=核心参数输入!$B$9*4),核心参数输入!$B$65,0),0)</f>
        <v>0</v>
      </c>
      <c r="K58" s="9">
        <f>IF(7&lt;=核心参数输入!$B$9*4,IF(AND((核心参数输入!$B$10*核心参数输入!$B$11*核心参数输入!$B$12*核心参数输入!$B$143)&gt;0,7=核心参数输入!$B$9*4),核心参数输入!$B$65,0),0)</f>
        <v>0</v>
      </c>
      <c r="L58" s="9">
        <f>IF(8&lt;=核心参数输入!$B$9*4,IF(AND((核心参数输入!$B$10*核心参数输入!$B$11*核心参数输入!$B$12*核心参数输入!$B$143)&gt;0,8=核心参数输入!$B$9*4),核心参数输入!$B$65,0),0)</f>
        <v>0</v>
      </c>
      <c r="M58" s="9">
        <f>IF(9&lt;=核心参数输入!$B$9*4,IF(AND((核心参数输入!$B$10*核心参数输入!$B$11*核心参数输入!$B$12*核心参数输入!$B$143)&gt;0,9=核心参数输入!$B$9*4),核心参数输入!$B$65,0),0)</f>
        <v>0</v>
      </c>
      <c r="N58" s="9">
        <f>IF(10&lt;=核心参数输入!$B$9*4,IF(AND((核心参数输入!$B$10*核心参数输入!$B$11*核心参数输入!$B$12*核心参数输入!$B$143)&gt;0,10=核心参数输入!$B$9*4),核心参数输入!$B$65,0),0)</f>
        <v>0</v>
      </c>
      <c r="O58" s="9">
        <f>IF(11&lt;=核心参数输入!$B$9*4,IF(AND((核心参数输入!$B$10*核心参数输入!$B$11*核心参数输入!$B$12*核心参数输入!$B$143)&gt;0,11=核心参数输入!$B$9*4),核心参数输入!$B$65,0),0)</f>
        <v>0</v>
      </c>
      <c r="P58" s="9">
        <f>IF(12&lt;=核心参数输入!$B$9*4,IF(AND((核心参数输入!$B$10*核心参数输入!$B$11*核心参数输入!$B$12*核心参数输入!$B$143)&gt;0,12=核心参数输入!$B$9*4),核心参数输入!$B$65,0),0)</f>
        <v>0</v>
      </c>
      <c r="Q58" s="9">
        <f>IF(13&lt;=核心参数输入!$B$9*4,IF(AND((核心参数输入!$B$10*核心参数输入!$B$11*核心参数输入!$B$12*核心参数输入!$B$143)&gt;0,13=核心参数输入!$B$9*4),核心参数输入!$B$65,0),0)</f>
        <v>0</v>
      </c>
      <c r="R58" s="9">
        <f>IF(14&lt;=核心参数输入!$B$9*4,IF(AND((核心参数输入!$B$10*核心参数输入!$B$11*核心参数输入!$B$12*核心参数输入!$B$143)&gt;0,14=核心参数输入!$B$9*4),核心参数输入!$B$65,0),0)</f>
        <v>0</v>
      </c>
      <c r="S58" s="9">
        <f>IF(15&lt;=核心参数输入!$B$9*4,IF(AND((核心参数输入!$B$10*核心参数输入!$B$11*核心参数输入!$B$12*核心参数输入!$B$143)&gt;0,15=核心参数输入!$B$9*4),核心参数输入!$B$65,0),0)</f>
        <v>0</v>
      </c>
      <c r="T58" s="9">
        <f>IF(16&lt;=核心参数输入!$B$9*4,IF(AND((核心参数输入!$B$10*核心参数输入!$B$11*核心参数输入!$B$12*核心参数输入!$B$143)&gt;0,16=核心参数输入!$B$9*4),核心参数输入!$B$65,0),0)</f>
        <v>0</v>
      </c>
      <c r="U58" s="9">
        <f>IF(17&lt;=核心参数输入!$B$9*4,IF(AND((核心参数输入!$B$10*核心参数输入!$B$11*核心参数输入!$B$12*核心参数输入!$B$143)&gt;0,17=核心参数输入!$B$9*4),核心参数输入!$B$65,0),0)</f>
        <v>0</v>
      </c>
      <c r="V58" s="9">
        <f>IF(18&lt;=核心参数输入!$B$9*4,IF(AND((核心参数输入!$B$10*核心参数输入!$B$11*核心参数输入!$B$12*核心参数输入!$B$143)&gt;0,18=核心参数输入!$B$9*4),核心参数输入!$B$65,0),0)</f>
        <v>0</v>
      </c>
      <c r="W58" s="9">
        <f>IF(19&lt;=核心参数输入!$B$9*4,IF(AND((核心参数输入!$B$10*核心参数输入!$B$11*核心参数输入!$B$12*核心参数输入!$B$143)&gt;0,19=核心参数输入!$B$9*4),核心参数输入!$B$65,0),0)</f>
        <v>0</v>
      </c>
      <c r="X58" s="9">
        <f>IF(20&lt;=核心参数输入!$B$9*4,IF(AND((核心参数输入!$B$10*核心参数输入!$B$11*核心参数输入!$B$12*核心参数输入!$B$143)&gt;0,20=核心参数输入!$B$9*4),核心参数输入!$B$65,0),0)</f>
        <v>0</v>
      </c>
      <c r="Y58" s="9">
        <f>IF(21&lt;=核心参数输入!$B$9*4,IF(AND((核心参数输入!$B$10*核心参数输入!$B$11*核心参数输入!$B$12*核心参数输入!$B$143)&gt;0,21=核心参数输入!$B$9*4),核心参数输入!$B$65,0),0)</f>
        <v>0</v>
      </c>
      <c r="Z58" s="9">
        <f>IF(22&lt;=核心参数输入!$B$9*4,IF(AND((核心参数输入!$B$10*核心参数输入!$B$11*核心参数输入!$B$12*核心参数输入!$B$143)&gt;0,22=核心参数输入!$B$9*4),核心参数输入!$B$65,0),0)</f>
        <v>0</v>
      </c>
      <c r="AA58" s="9">
        <f>IF(23&lt;=核心参数输入!$B$9*4,IF(AND((核心参数输入!$B$10*核心参数输入!$B$11*核心参数输入!$B$12*核心参数输入!$B$143)&gt;0,23=核心参数输入!$B$9*4),核心参数输入!$B$65,0),0)</f>
        <v>0</v>
      </c>
      <c r="AB58" s="9">
        <f>IF(24&lt;=核心参数输入!$B$9*4,IF(AND((核心参数输入!$B$10*核心参数输入!$B$11*核心参数输入!$B$12*核心参数输入!$B$143)&gt;0,24=核心参数输入!$B$9*4),核心参数输入!$B$65,0),0)</f>
        <v>0</v>
      </c>
      <c r="AC58" s="9">
        <f>IF(25&lt;=核心参数输入!$B$9*4,IF(AND((核心参数输入!$B$10*核心参数输入!$B$11*核心参数输入!$B$12*核心参数输入!$B$143)&gt;0,25=核心参数输入!$B$9*4),核心参数输入!$B$65,0),0)</f>
        <v>0</v>
      </c>
      <c r="AD58" s="9">
        <f>IF(26&lt;=核心参数输入!$B$9*4,IF(AND((核心参数输入!$B$10*核心参数输入!$B$11*核心参数输入!$B$12*核心参数输入!$B$143)&gt;0,26=核心参数输入!$B$9*4),核心参数输入!$B$65,0),0)</f>
        <v>0</v>
      </c>
      <c r="AE58" s="9">
        <f>IF(27&lt;=核心参数输入!$B$9*4,IF(AND((核心参数输入!$B$10*核心参数输入!$B$11*核心参数输入!$B$12*核心参数输入!$B$143)&gt;0,27=核心参数输入!$B$9*4),核心参数输入!$B$65,0),0)</f>
        <v>0</v>
      </c>
      <c r="AF58" s="9">
        <f>IF(28&lt;=核心参数输入!$B$9*4,IF(AND((核心参数输入!$B$10*核心参数输入!$B$11*核心参数输入!$B$12*核心参数输入!$B$143)&gt;0,28=核心参数输入!$B$9*4),核心参数输入!$B$65,0),0)</f>
        <v>0</v>
      </c>
      <c r="AG58" s="9">
        <f>IF(29&lt;=核心参数输入!$B$9*4,IF(AND((核心参数输入!$B$10*核心参数输入!$B$11*核心参数输入!$B$12*核心参数输入!$B$143)&gt;0,29=核心参数输入!$B$9*4),核心参数输入!$B$65,0),0)</f>
        <v>0</v>
      </c>
      <c r="AH58" s="9">
        <f>IF(30&lt;=核心参数输入!$B$9*4,IF(AND((核心参数输入!$B$10*核心参数输入!$B$11*核心参数输入!$B$12*核心参数输入!$B$143)&gt;0,30=核心参数输入!$B$9*4),核心参数输入!$B$65,0),0)</f>
        <v>0</v>
      </c>
      <c r="AI58" s="9">
        <f>IF(31&lt;=核心参数输入!$B$9*4,IF(AND((核心参数输入!$B$10*核心参数输入!$B$11*核心参数输入!$B$12*核心参数输入!$B$143)&gt;0,31=核心参数输入!$B$9*4),核心参数输入!$B$65,0),0)</f>
        <v>0</v>
      </c>
      <c r="AJ58" s="9">
        <f>IF(32&lt;=核心参数输入!$B$9*4,IF(AND((核心参数输入!$B$10*核心参数输入!$B$11*核心参数输入!$B$12*核心参数输入!$B$143)&gt;0,32=核心参数输入!$B$9*4),核心参数输入!$B$65,0),0)</f>
        <v>0</v>
      </c>
      <c r="AK58" s="9">
        <f>IF(33&lt;=核心参数输入!$B$9*4,IF(AND((核心参数输入!$B$10*核心参数输入!$B$11*核心参数输入!$B$12*核心参数输入!$B$143)&gt;0,33=核心参数输入!$B$9*4),核心参数输入!$B$65,0),0)</f>
        <v>0</v>
      </c>
      <c r="AL58" s="9">
        <f>IF(34&lt;=核心参数输入!$B$9*4,IF(AND((核心参数输入!$B$10*核心参数输入!$B$11*核心参数输入!$B$12*核心参数输入!$B$143)&gt;0,34=核心参数输入!$B$9*4),核心参数输入!$B$65,0),0)</f>
        <v>0</v>
      </c>
      <c r="AM58" s="9">
        <f>IF(35&lt;=核心参数输入!$B$9*4,IF(AND((核心参数输入!$B$10*核心参数输入!$B$11*核心参数输入!$B$12*核心参数输入!$B$143)&gt;0,35=核心参数输入!$B$9*4),核心参数输入!$B$65,0),0)</f>
        <v>0</v>
      </c>
      <c r="AN58" s="9">
        <f>IF(36&lt;=核心参数输入!$B$9*4,IF(AND((核心参数输入!$B$10*核心参数输入!$B$11*核心参数输入!$B$12*核心参数输入!$B$143)&gt;0,36=核心参数输入!$B$9*4),核心参数输入!$B$65,0),0)</f>
        <v>0</v>
      </c>
      <c r="AO58" s="9">
        <f>IF(37&lt;=核心参数输入!$B$9*4,IF(AND((核心参数输入!$B$10*核心参数输入!$B$11*核心参数输入!$B$12*核心参数输入!$B$143)&gt;0,37=核心参数输入!$B$9*4),核心参数输入!$B$65,0),0)</f>
        <v>0</v>
      </c>
      <c r="AP58" s="9">
        <f>IF(38&lt;=核心参数输入!$B$9*4,IF(AND((核心参数输入!$B$10*核心参数输入!$B$11*核心参数输入!$B$12*核心参数输入!$B$143)&gt;0,38=核心参数输入!$B$9*4),核心参数输入!$B$65,0),0)</f>
        <v>0</v>
      </c>
      <c r="AQ58" s="9">
        <f>IF(39&lt;=核心参数输入!$B$9*4,IF(AND((核心参数输入!$B$10*核心参数输入!$B$11*核心参数输入!$B$12*核心参数输入!$B$143)&gt;0,39=核心参数输入!$B$9*4),核心参数输入!$B$65,0),0)</f>
        <v>0</v>
      </c>
      <c r="AR58" s="9">
        <f>IF(40&lt;=核心参数输入!$B$9*4,IF(AND((核心参数输入!$B$10*核心参数输入!$B$11*核心参数输入!$B$12*核心参数输入!$B$143)&gt;0,40=核心参数输入!$B$9*4),核心参数输入!$B$65,0),0)</f>
        <v>0</v>
      </c>
      <c r="AS58" s="9">
        <f>IF(41&lt;=核心参数输入!$B$9*4,IF(AND((核心参数输入!$B$10*核心参数输入!$B$11*核心参数输入!$B$12*核心参数输入!$B$143)&gt;0,41=核心参数输入!$B$9*4),核心参数输入!$B$65,0),0)</f>
        <v>0</v>
      </c>
      <c r="AT58" s="9">
        <f>IF(42&lt;=核心参数输入!$B$9*4,IF(AND((核心参数输入!$B$10*核心参数输入!$B$11*核心参数输入!$B$12*核心参数输入!$B$143)&gt;0,42=核心参数输入!$B$9*4),核心参数输入!$B$65,0),0)</f>
        <v>0</v>
      </c>
      <c r="AU58" s="9">
        <f>IF(43&lt;=核心参数输入!$B$9*4,IF(AND((核心参数输入!$B$10*核心参数输入!$B$11*核心参数输入!$B$12*核心参数输入!$B$143)&gt;0,43=核心参数输入!$B$9*4),核心参数输入!$B$65,0),0)</f>
        <v>0</v>
      </c>
      <c r="AV58" s="9">
        <f>IF(44&lt;=核心参数输入!$B$9*4,IF(AND((核心参数输入!$B$10*核心参数输入!$B$11*核心参数输入!$B$12*核心参数输入!$B$143)&gt;0,44=核心参数输入!$B$9*4),核心参数输入!$B$65,0),0)</f>
        <v>0</v>
      </c>
      <c r="AW58" s="9">
        <f>IF(45&lt;=核心参数输入!$B$9*4,IF(AND((核心参数输入!$B$10*核心参数输入!$B$11*核心参数输入!$B$12*核心参数输入!$B$143)&gt;0,45=核心参数输入!$B$9*4),核心参数输入!$B$65,0),0)</f>
        <v>0</v>
      </c>
      <c r="AX58" s="9">
        <f>IF(46&lt;=核心参数输入!$B$9*4,IF(AND((核心参数输入!$B$10*核心参数输入!$B$11*核心参数输入!$B$12*核心参数输入!$B$143)&gt;0,46=核心参数输入!$B$9*4),核心参数输入!$B$65,0),0)</f>
        <v>0</v>
      </c>
      <c r="AY58" s="9">
        <f>IF(47&lt;=核心参数输入!$B$9*4,IF(AND((核心参数输入!$B$10*核心参数输入!$B$11*核心参数输入!$B$12*核心参数输入!$B$143)&gt;0,47=核心参数输入!$B$9*4),核心参数输入!$B$65,0),0)</f>
        <v>0</v>
      </c>
      <c r="AZ58" s="9">
        <f>IF(48&lt;=核心参数输入!$B$9*4,IF(AND((核心参数输入!$B$10*核心参数输入!$B$11*核心参数输入!$B$12*核心参数输入!$B$143)&gt;0,48=核心参数输入!$B$9*4),核心参数输入!$B$65,0),0)</f>
        <v>0</v>
      </c>
      <c r="BA58" s="9">
        <f>IF(49&lt;=核心参数输入!$B$9*4,IF(AND((核心参数输入!$B$10*核心参数输入!$B$11*核心参数输入!$B$12*核心参数输入!$B$143)&gt;0,49=核心参数输入!$B$9*4),核心参数输入!$B$65,0),0)</f>
        <v>0</v>
      </c>
      <c r="BB58" s="9">
        <f>IF(50&lt;=核心参数输入!$B$9*4,IF(AND((核心参数输入!$B$10*核心参数输入!$B$11*核心参数输入!$B$12*核心参数输入!$B$143)&gt;0,50=核心参数输入!$B$9*4),核心参数输入!$B$65,0),0)</f>
        <v>0</v>
      </c>
      <c r="BC58" s="9">
        <f>IF(51&lt;=核心参数输入!$B$9*4,IF(AND((核心参数输入!$B$10*核心参数输入!$B$11*核心参数输入!$B$12*核心参数输入!$B$143)&gt;0,51=核心参数输入!$B$9*4),核心参数输入!$B$65,0),0)</f>
        <v>0</v>
      </c>
      <c r="BD58" s="9">
        <f>IF(52&lt;=核心参数输入!$B$9*4,IF(AND((核心参数输入!$B$10*核心参数输入!$B$11*核心参数输入!$B$12*核心参数输入!$B$143)&gt;0,52=核心参数输入!$B$9*4),核心参数输入!$B$65,0),0)</f>
        <v>0</v>
      </c>
      <c r="BE58" s="9">
        <f>IF(53&lt;=核心参数输入!$B$9*4,IF(AND((核心参数输入!$B$10*核心参数输入!$B$11*核心参数输入!$B$12*核心参数输入!$B$143)&gt;0,53=核心参数输入!$B$9*4),核心参数输入!$B$65,0),0)</f>
        <v>0</v>
      </c>
      <c r="BF58" s="9">
        <f>IF(54&lt;=核心参数输入!$B$9*4,IF(AND((核心参数输入!$B$10*核心参数输入!$B$11*核心参数输入!$B$12*核心参数输入!$B$143)&gt;0,54=核心参数输入!$B$9*4),核心参数输入!$B$65,0),0)</f>
        <v>0</v>
      </c>
      <c r="BG58" s="9">
        <f>IF(55&lt;=核心参数输入!$B$9*4,IF(AND((核心参数输入!$B$10*核心参数输入!$B$11*核心参数输入!$B$12*核心参数输入!$B$143)&gt;0,55=核心参数输入!$B$9*4),核心参数输入!$B$65,0),0)</f>
        <v>0</v>
      </c>
      <c r="BH58" s="9">
        <f>IF(56&lt;=核心参数输入!$B$9*4,IF(AND((核心参数输入!$B$10*核心参数输入!$B$11*核心参数输入!$B$12*核心参数输入!$B$143)&gt;0,56=核心参数输入!$B$9*4),核心参数输入!$B$65,0),0)</f>
        <v>0</v>
      </c>
      <c r="BI58" s="9">
        <f>IF(57&lt;=核心参数输入!$B$9*4,IF(AND((核心参数输入!$B$10*核心参数输入!$B$11*核心参数输入!$B$12*核心参数输入!$B$143)&gt;0,57=核心参数输入!$B$9*4),核心参数输入!$B$65,0),0)</f>
        <v>0</v>
      </c>
      <c r="BJ58" s="9">
        <f>IF(58&lt;=核心参数输入!$B$9*4,IF(AND((核心参数输入!$B$10*核心参数输入!$B$11*核心参数输入!$B$12*核心参数输入!$B$143)&gt;0,58=核心参数输入!$B$9*4),核心参数输入!$B$65,0),0)</f>
        <v>0</v>
      </c>
      <c r="BK58" s="9">
        <f>IF(59&lt;=核心参数输入!$B$9*4,IF(AND((核心参数输入!$B$10*核心参数输入!$B$11*核心参数输入!$B$12*核心参数输入!$B$143)&gt;0,59=核心参数输入!$B$9*4),核心参数输入!$B$65,0),0)</f>
        <v>0</v>
      </c>
      <c r="BL58" s="9">
        <f>IF(60&lt;=核心参数输入!$B$9*4,IF(AND((核心参数输入!$B$10*核心参数输入!$B$11*核心参数输入!$B$12*核心参数输入!$B$143)&gt;0,60=核心参数输入!$B$9*4),核心参数输入!$B$65,0),0)</f>
        <v>0</v>
      </c>
      <c r="BM58" s="9">
        <f>IF(61&lt;=核心参数输入!$B$9*4,IF(AND((核心参数输入!$B$10*核心参数输入!$B$11*核心参数输入!$B$12*核心参数输入!$B$143)&gt;0,61=核心参数输入!$B$9*4),核心参数输入!$B$65,0),0)</f>
        <v>0</v>
      </c>
      <c r="BN58" s="9">
        <f>IF(62&lt;=核心参数输入!$B$9*4,IF(AND((核心参数输入!$B$10*核心参数输入!$B$11*核心参数输入!$B$12*核心参数输入!$B$143)&gt;0,62=核心参数输入!$B$9*4),核心参数输入!$B$65,0),0)</f>
        <v>0</v>
      </c>
      <c r="BO58" s="9">
        <f>IF(63&lt;=核心参数输入!$B$9*4,IF(AND((核心参数输入!$B$10*核心参数输入!$B$11*核心参数输入!$B$12*核心参数输入!$B$143)&gt;0,63=核心参数输入!$B$9*4),核心参数输入!$B$65,0),0)</f>
        <v>0</v>
      </c>
      <c r="BP58" s="9">
        <f>IF(64&lt;=核心参数输入!$B$9*4,IF(AND((核心参数输入!$B$10*核心参数输入!$B$11*核心参数输入!$B$12*核心参数输入!$B$143)&gt;0,64=核心参数输入!$B$9*4),核心参数输入!$B$65,0),0)</f>
        <v>0</v>
      </c>
      <c r="BQ58" s="9">
        <f>IF(65&lt;=核心参数输入!$B$9*4,IF(AND((核心参数输入!$B$10*核心参数输入!$B$11*核心参数输入!$B$12*核心参数输入!$B$143)&gt;0,65=核心参数输入!$B$9*4),核心参数输入!$B$65,0),0)</f>
        <v>0</v>
      </c>
      <c r="BR58" s="9">
        <f>IF(66&lt;=核心参数输入!$B$9*4,IF(AND((核心参数输入!$B$10*核心参数输入!$B$11*核心参数输入!$B$12*核心参数输入!$B$143)&gt;0,66=核心参数输入!$B$9*4),核心参数输入!$B$65,0),0)</f>
        <v>0</v>
      </c>
      <c r="BS58" s="9">
        <f>IF(67&lt;=核心参数输入!$B$9*4,IF(AND((核心参数输入!$B$10*核心参数输入!$B$11*核心参数输入!$B$12*核心参数输入!$B$143)&gt;0,67=核心参数输入!$B$9*4),核心参数输入!$B$65,0),0)</f>
        <v>0</v>
      </c>
      <c r="BT58" s="9">
        <f>IF(68&lt;=核心参数输入!$B$9*4,IF(AND((核心参数输入!$B$10*核心参数输入!$B$11*核心参数输入!$B$12*核心参数输入!$B$143)&gt;0,68=核心参数输入!$B$9*4),核心参数输入!$B$65,0),0)</f>
        <v>0</v>
      </c>
      <c r="BU58" s="9">
        <f>IF(69&lt;=核心参数输入!$B$9*4,IF(AND((核心参数输入!$B$10*核心参数输入!$B$11*核心参数输入!$B$12*核心参数输入!$B$143)&gt;0,69=核心参数输入!$B$9*4),核心参数输入!$B$65,0),0)</f>
        <v>0</v>
      </c>
      <c r="BV58" s="9">
        <f>IF(70&lt;=核心参数输入!$B$9*4,IF(AND((核心参数输入!$B$10*核心参数输入!$B$11*核心参数输入!$B$12*核心参数输入!$B$143)&gt;0,70=核心参数输入!$B$9*4),核心参数输入!$B$65,0),0)</f>
        <v>0</v>
      </c>
      <c r="BW58" s="9">
        <f>IF(71&lt;=核心参数输入!$B$9*4,IF(AND((核心参数输入!$B$10*核心参数输入!$B$11*核心参数输入!$B$12*核心参数输入!$B$143)&gt;0,71=核心参数输入!$B$9*4),核心参数输入!$B$65,0),0)</f>
        <v>0</v>
      </c>
      <c r="BX58" s="9">
        <f>IF(72&lt;=核心参数输入!$B$9*4,IF(AND((核心参数输入!$B$10*核心参数输入!$B$11*核心参数输入!$B$12*核心参数输入!$B$143)&gt;0,72=核心参数输入!$B$9*4),核心参数输入!$B$65,0),0)</f>
        <v>0</v>
      </c>
      <c r="BY58" s="9">
        <f>IF(73&lt;=核心参数输入!$B$9*4,IF(AND((核心参数输入!$B$10*核心参数输入!$B$11*核心参数输入!$B$12*核心参数输入!$B$143)&gt;0,73=核心参数输入!$B$9*4),核心参数输入!$B$65,0),0)</f>
        <v>0</v>
      </c>
      <c r="BZ58" s="9">
        <f>IF(74&lt;=核心参数输入!$B$9*4,IF(AND((核心参数输入!$B$10*核心参数输入!$B$11*核心参数输入!$B$12*核心参数输入!$B$143)&gt;0,74=核心参数输入!$B$9*4),核心参数输入!$B$65,0),0)</f>
        <v>0</v>
      </c>
      <c r="CA58" s="9">
        <f>IF(75&lt;=核心参数输入!$B$9*4,IF(AND((核心参数输入!$B$10*核心参数输入!$B$11*核心参数输入!$B$12*核心参数输入!$B$143)&gt;0,75=核心参数输入!$B$9*4),核心参数输入!$B$65,0),0)</f>
        <v>0</v>
      </c>
      <c r="CB58" s="9">
        <f>IF(76&lt;=核心参数输入!$B$9*4,IF(AND((核心参数输入!$B$10*核心参数输入!$B$11*核心参数输入!$B$12*核心参数输入!$B$143)&gt;0,76=核心参数输入!$B$9*4),核心参数输入!$B$65,0),0)</f>
        <v>0</v>
      </c>
      <c r="CC58" s="9">
        <f>IF(77&lt;=核心参数输入!$B$9*4,IF(AND((核心参数输入!$B$10*核心参数输入!$B$11*核心参数输入!$B$12*核心参数输入!$B$143)&gt;0,77=核心参数输入!$B$9*4),核心参数输入!$B$65,0),0)</f>
        <v>0</v>
      </c>
      <c r="CD58" s="9">
        <f>IF(78&lt;=核心参数输入!$B$9*4,IF(AND((核心参数输入!$B$10*核心参数输入!$B$11*核心参数输入!$B$12*核心参数输入!$B$143)&gt;0,78=核心参数输入!$B$9*4),核心参数输入!$B$65,0),0)</f>
        <v>0</v>
      </c>
      <c r="CE58" s="9">
        <f>IF(79&lt;=核心参数输入!$B$9*4,IF(AND((核心参数输入!$B$10*核心参数输入!$B$11*核心参数输入!$B$12*核心参数输入!$B$143)&gt;0,79=核心参数输入!$B$9*4),核心参数输入!$B$65,0),0)</f>
        <v>0</v>
      </c>
      <c r="CF58" s="9">
        <f>IF(80&lt;=核心参数输入!$B$9*4,IF(AND((核心参数输入!$B$10*核心参数输入!$B$11*核心参数输入!$B$12*核心参数输入!$B$143)&gt;0,80=核心参数输入!$B$9*4),核心参数输入!$B$65,0),0)</f>
        <v>30000</v>
      </c>
      <c r="CG58" s="9">
        <f>IF(81&lt;=核心参数输入!$B$9*4,IF(AND((核心参数输入!$B$10*核心参数输入!$B$11*核心参数输入!$B$12*核心参数输入!$B$143)&gt;0,81=核心参数输入!$B$9*4),核心参数输入!$B$65,0),0)</f>
        <v>0</v>
      </c>
      <c r="CH58" s="9">
        <f>IF(82&lt;=核心参数输入!$B$9*4,IF(AND((核心参数输入!$B$10*核心参数输入!$B$11*核心参数输入!$B$12*核心参数输入!$B$143)&gt;0,82=核心参数输入!$B$9*4),核心参数输入!$B$65,0),0)</f>
        <v>0</v>
      </c>
      <c r="CI58" s="9">
        <f>IF(83&lt;=核心参数输入!$B$9*4,IF(AND((核心参数输入!$B$10*核心参数输入!$B$11*核心参数输入!$B$12*核心参数输入!$B$143)&gt;0,83=核心参数输入!$B$9*4),核心参数输入!$B$65,0),0)</f>
        <v>0</v>
      </c>
      <c r="CJ58" s="9">
        <f>IF(84&lt;=核心参数输入!$B$9*4,IF(AND((核心参数输入!$B$10*核心参数输入!$B$11*核心参数输入!$B$12*核心参数输入!$B$143)&gt;0,84=核心参数输入!$B$9*4),核心参数输入!$B$65,0),0)</f>
        <v>0</v>
      </c>
      <c r="CK58" s="9">
        <f>IF(85&lt;=核心参数输入!$B$9*4,IF(AND((核心参数输入!$B$10*核心参数输入!$B$11*核心参数输入!$B$12*核心参数输入!$B$143)&gt;0,85=核心参数输入!$B$9*4),核心参数输入!$B$65,0),0)</f>
        <v>0</v>
      </c>
      <c r="CL58" s="9">
        <f>IF(86&lt;=核心参数输入!$B$9*4,IF(AND((核心参数输入!$B$10*核心参数输入!$B$11*核心参数输入!$B$12*核心参数输入!$B$143)&gt;0,86=核心参数输入!$B$9*4),核心参数输入!$B$65,0),0)</f>
        <v>0</v>
      </c>
      <c r="CM58" s="9">
        <f>IF(87&lt;=核心参数输入!$B$9*4,IF(AND((核心参数输入!$B$10*核心参数输入!$B$11*核心参数输入!$B$12*核心参数输入!$B$143)&gt;0,87=核心参数输入!$B$9*4),核心参数输入!$B$65,0),0)</f>
        <v>0</v>
      </c>
      <c r="CN58" s="9">
        <f>IF(88&lt;=核心参数输入!$B$9*4,IF(AND((核心参数输入!$B$10*核心参数输入!$B$11*核心参数输入!$B$12*核心参数输入!$B$143)&gt;0,88=核心参数输入!$B$9*4),核心参数输入!$B$65,0),0)</f>
        <v>0</v>
      </c>
      <c r="CO58" s="9">
        <f>IF(89&lt;=核心参数输入!$B$9*4,IF(AND((核心参数输入!$B$10*核心参数输入!$B$11*核心参数输入!$B$12*核心参数输入!$B$143)&gt;0,89=核心参数输入!$B$9*4),核心参数输入!$B$65,0),0)</f>
        <v>0</v>
      </c>
      <c r="CP58" s="9">
        <f>IF(90&lt;=核心参数输入!$B$9*4,IF(AND((核心参数输入!$B$10*核心参数输入!$B$11*核心参数输入!$B$12*核心参数输入!$B$143)&gt;0,90=核心参数输入!$B$9*4),核心参数输入!$B$65,0),0)</f>
        <v>0</v>
      </c>
      <c r="CQ58" s="9">
        <f>IF(91&lt;=核心参数输入!$B$9*4,IF(AND((核心参数输入!$B$10*核心参数输入!$B$11*核心参数输入!$B$12*核心参数输入!$B$143)&gt;0,91=核心参数输入!$B$9*4),核心参数输入!$B$65,0),0)</f>
        <v>0</v>
      </c>
      <c r="CR58" s="9">
        <f>IF(92&lt;=核心参数输入!$B$9*4,IF(AND((核心参数输入!$B$10*核心参数输入!$B$11*核心参数输入!$B$12*核心参数输入!$B$143)&gt;0,92=核心参数输入!$B$9*4),核心参数输入!$B$65,0),0)</f>
        <v>0</v>
      </c>
      <c r="CS58" s="9">
        <f>IF(93&lt;=核心参数输入!$B$9*4,IF(AND((核心参数输入!$B$10*核心参数输入!$B$11*核心参数输入!$B$12*核心参数输入!$B$143)&gt;0,93=核心参数输入!$B$9*4),核心参数输入!$B$65,0),0)</f>
        <v>0</v>
      </c>
      <c r="CT58" s="9">
        <f>IF(94&lt;=核心参数输入!$B$9*4,IF(AND((核心参数输入!$B$10*核心参数输入!$B$11*核心参数输入!$B$12*核心参数输入!$B$143)&gt;0,94=核心参数输入!$B$9*4),核心参数输入!$B$65,0),0)</f>
        <v>0</v>
      </c>
      <c r="CU58" s="9">
        <f>IF(95&lt;=核心参数输入!$B$9*4,IF(AND((核心参数输入!$B$10*核心参数输入!$B$11*核心参数输入!$B$12*核心参数输入!$B$143)&gt;0,95=核心参数输入!$B$9*4),核心参数输入!$B$65,0),0)</f>
        <v>0</v>
      </c>
      <c r="CV58" s="9">
        <f>IF(96&lt;=核心参数输入!$B$9*4,IF(AND((核心参数输入!$B$10*核心参数输入!$B$11*核心参数输入!$B$12*核心参数输入!$B$143)&gt;0,96=核心参数输入!$B$9*4),核心参数输入!$B$65,0),0)</f>
        <v>0</v>
      </c>
      <c r="CW58" s="9">
        <f>IF(97&lt;=核心参数输入!$B$9*4,IF(AND((核心参数输入!$B$10*核心参数输入!$B$11*核心参数输入!$B$12*核心参数输入!$B$143)&gt;0,97=核心参数输入!$B$9*4),核心参数输入!$B$65,0),0)</f>
        <v>0</v>
      </c>
      <c r="CX58" s="9">
        <f>IF(98&lt;=核心参数输入!$B$9*4,IF(AND((核心参数输入!$B$10*核心参数输入!$B$11*核心参数输入!$B$12*核心参数输入!$B$143)&gt;0,98=核心参数输入!$B$9*4),核心参数输入!$B$65,0),0)</f>
        <v>0</v>
      </c>
      <c r="CY58" s="9">
        <f>IF(99&lt;=核心参数输入!$B$9*4,IF(AND((核心参数输入!$B$10*核心参数输入!$B$11*核心参数输入!$B$12*核心参数输入!$B$143)&gt;0,99=核心参数输入!$B$9*4),核心参数输入!$B$65,0),0)</f>
        <v>0</v>
      </c>
      <c r="CZ58" s="9">
        <f>IF(100&lt;=核心参数输入!$B$9*4,IF(AND((核心参数输入!$B$10*核心参数输入!$B$11*核心参数输入!$B$12*核心参数输入!$B$143)&gt;0,100=核心参数输入!$B$9*4),核心参数输入!$B$65,0),0)</f>
        <v>0</v>
      </c>
      <c r="DA58" s="9">
        <f>IF(101&lt;=核心参数输入!$B$9*4,IF(AND((核心参数输入!$B$10*核心参数输入!$B$11*核心参数输入!$B$12*核心参数输入!$B$143)&gt;0,101=核心参数输入!$B$9*4),核心参数输入!$B$65,0),0)</f>
        <v>0</v>
      </c>
      <c r="DB58" s="9">
        <f>IF(102&lt;=核心参数输入!$B$9*4,IF(AND((核心参数输入!$B$10*核心参数输入!$B$11*核心参数输入!$B$12*核心参数输入!$B$143)&gt;0,102=核心参数输入!$B$9*4),核心参数输入!$B$65,0),0)</f>
        <v>0</v>
      </c>
      <c r="DC58" s="9">
        <f>IF(103&lt;=核心参数输入!$B$9*4,IF(AND((核心参数输入!$B$10*核心参数输入!$B$11*核心参数输入!$B$12*核心参数输入!$B$143)&gt;0,103=核心参数输入!$B$9*4),核心参数输入!$B$65,0),0)</f>
        <v>0</v>
      </c>
      <c r="DD58" s="9">
        <f>IF(104&lt;=核心参数输入!$B$9*4,IF(AND((核心参数输入!$B$10*核心参数输入!$B$11*核心参数输入!$B$12*核心参数输入!$B$143)&gt;0,104=核心参数输入!$B$9*4),核心参数输入!$B$65,0),0)</f>
        <v>0</v>
      </c>
      <c r="DE58" s="9">
        <f>IF(105&lt;=核心参数输入!$B$9*4,IF(AND((核心参数输入!$B$10*核心参数输入!$B$11*核心参数输入!$B$12*核心参数输入!$B$143)&gt;0,105=核心参数输入!$B$9*4),核心参数输入!$B$65,0),0)</f>
        <v>0</v>
      </c>
      <c r="DF58" s="9">
        <f>IF(106&lt;=核心参数输入!$B$9*4,IF(AND((核心参数输入!$B$10*核心参数输入!$B$11*核心参数输入!$B$12*核心参数输入!$B$143)&gt;0,106=核心参数输入!$B$9*4),核心参数输入!$B$65,0),0)</f>
        <v>0</v>
      </c>
      <c r="DG58" s="9">
        <f>IF(107&lt;=核心参数输入!$B$9*4,IF(AND((核心参数输入!$B$10*核心参数输入!$B$11*核心参数输入!$B$12*核心参数输入!$B$143)&gt;0,107=核心参数输入!$B$9*4),核心参数输入!$B$65,0),0)</f>
        <v>0</v>
      </c>
      <c r="DH58" s="9">
        <f>IF(108&lt;=核心参数输入!$B$9*4,IF(AND((核心参数输入!$B$10*核心参数输入!$B$11*核心参数输入!$B$12*核心参数输入!$B$143)&gt;0,108=核心参数输入!$B$9*4),核心参数输入!$B$65,0),0)</f>
        <v>0</v>
      </c>
      <c r="DI58" s="9">
        <f>IF(109&lt;=核心参数输入!$B$9*4,IF(AND((核心参数输入!$B$10*核心参数输入!$B$11*核心参数输入!$B$12*核心参数输入!$B$143)&gt;0,109=核心参数输入!$B$9*4),核心参数输入!$B$65,0),0)</f>
        <v>0</v>
      </c>
      <c r="DJ58" s="9">
        <f>IF(110&lt;=核心参数输入!$B$9*4,IF(AND((核心参数输入!$B$10*核心参数输入!$B$11*核心参数输入!$B$12*核心参数输入!$B$143)&gt;0,110=核心参数输入!$B$9*4),核心参数输入!$B$65,0),0)</f>
        <v>0</v>
      </c>
      <c r="DK58" s="9">
        <f>IF(111&lt;=核心参数输入!$B$9*4,IF(AND((核心参数输入!$B$10*核心参数输入!$B$11*核心参数输入!$B$12*核心参数输入!$B$143)&gt;0,111=核心参数输入!$B$9*4),核心参数输入!$B$65,0),0)</f>
        <v>0</v>
      </c>
      <c r="DL58" s="9">
        <f>IF(112&lt;=核心参数输入!$B$9*4,IF(AND((核心参数输入!$B$10*核心参数输入!$B$11*核心参数输入!$B$12*核心参数输入!$B$143)&gt;0,112=核心参数输入!$B$9*4),核心参数输入!$B$65,0),0)</f>
        <v>0</v>
      </c>
      <c r="DM58" s="9">
        <f>IF(113&lt;=核心参数输入!$B$9*4,IF(AND((核心参数输入!$B$10*核心参数输入!$B$11*核心参数输入!$B$12*核心参数输入!$B$143)&gt;0,113=核心参数输入!$B$9*4),核心参数输入!$B$65,0),0)</f>
        <v>0</v>
      </c>
      <c r="DN58" s="9">
        <f>IF(114&lt;=核心参数输入!$B$9*4,IF(AND((核心参数输入!$B$10*核心参数输入!$B$11*核心参数输入!$B$12*核心参数输入!$B$143)&gt;0,114=核心参数输入!$B$9*4),核心参数输入!$B$65,0),0)</f>
        <v>0</v>
      </c>
      <c r="DO58" s="9">
        <f>IF(115&lt;=核心参数输入!$B$9*4,IF(AND((核心参数输入!$B$10*核心参数输入!$B$11*核心参数输入!$B$12*核心参数输入!$B$143)&gt;0,115=核心参数输入!$B$9*4),核心参数输入!$B$65,0),0)</f>
        <v>0</v>
      </c>
      <c r="DP58" s="9">
        <f>IF(116&lt;=核心参数输入!$B$9*4,IF(AND((核心参数输入!$B$10*核心参数输入!$B$11*核心参数输入!$B$12*核心参数输入!$B$143)&gt;0,116=核心参数输入!$B$9*4),核心参数输入!$B$65,0),0)</f>
        <v>0</v>
      </c>
      <c r="DQ58" s="9">
        <f>IF(117&lt;=核心参数输入!$B$9*4,IF(AND((核心参数输入!$B$10*核心参数输入!$B$11*核心参数输入!$B$12*核心参数输入!$B$143)&gt;0,117=核心参数输入!$B$9*4),核心参数输入!$B$65,0),0)</f>
        <v>0</v>
      </c>
      <c r="DR58" s="9">
        <f>IF(118&lt;=核心参数输入!$B$9*4,IF(AND((核心参数输入!$B$10*核心参数输入!$B$11*核心参数输入!$B$12*核心参数输入!$B$143)&gt;0,118=核心参数输入!$B$9*4),核心参数输入!$B$65,0),0)</f>
        <v>0</v>
      </c>
      <c r="DS58" s="9">
        <f>IF(119&lt;=核心参数输入!$B$9*4,IF(AND((核心参数输入!$B$10*核心参数输入!$B$11*核心参数输入!$B$12*核心参数输入!$B$143)&gt;0,119=核心参数输入!$B$9*4),核心参数输入!$B$65,0),0)</f>
        <v>0</v>
      </c>
      <c r="DT58" s="9">
        <f>IF(120&lt;=核心参数输入!$B$9*4,IF(AND((核心参数输入!$B$10*核心参数输入!$B$11*核心参数输入!$B$12*核心参数输入!$B$143)&gt;0,120=核心参数输入!$B$9*4),核心参数输入!$B$65,0),0)</f>
        <v>0</v>
      </c>
    </row>
    <row r="59" spans="1:124" ht="21" customHeight="1">
      <c r="A59" s="8" t="s">
        <v>490</v>
      </c>
      <c r="B59" s="8" t="s">
        <v>39</v>
      </c>
      <c r="C59" s="8"/>
      <c r="D59" s="9">
        <f>IF(0&lt;=核心参数输入!$B$9*4,D58*(1-核心参数输入!$B$66),0)</f>
        <v>0</v>
      </c>
      <c r="E59" s="9">
        <f>IF(1&lt;=核心参数输入!$B$9*4,E58*(1-核心参数输入!$B$66),0)</f>
        <v>0</v>
      </c>
      <c r="F59" s="9">
        <f>IF(2&lt;=核心参数输入!$B$9*4,F58*(1-核心参数输入!$B$66),0)</f>
        <v>0</v>
      </c>
      <c r="G59" s="9">
        <f>IF(3&lt;=核心参数输入!$B$9*4,G58*(1-核心参数输入!$B$66),0)</f>
        <v>0</v>
      </c>
      <c r="H59" s="9">
        <f>IF(4&lt;=核心参数输入!$B$9*4,H58*(1-核心参数输入!$B$66),0)</f>
        <v>0</v>
      </c>
      <c r="I59" s="9">
        <f>IF(5&lt;=核心参数输入!$B$9*4,I58*(1-核心参数输入!$B$66),0)</f>
        <v>0</v>
      </c>
      <c r="J59" s="9">
        <f>IF(6&lt;=核心参数输入!$B$9*4,J58*(1-核心参数输入!$B$66),0)</f>
        <v>0</v>
      </c>
      <c r="K59" s="9">
        <f>IF(7&lt;=核心参数输入!$B$9*4,K58*(1-核心参数输入!$B$66),0)</f>
        <v>0</v>
      </c>
      <c r="L59" s="9">
        <f>IF(8&lt;=核心参数输入!$B$9*4,L58*(1-核心参数输入!$B$66),0)</f>
        <v>0</v>
      </c>
      <c r="M59" s="9">
        <f>IF(9&lt;=核心参数输入!$B$9*4,M58*(1-核心参数输入!$B$66),0)</f>
        <v>0</v>
      </c>
      <c r="N59" s="9">
        <f>IF(10&lt;=核心参数输入!$B$9*4,N58*(1-核心参数输入!$B$66),0)</f>
        <v>0</v>
      </c>
      <c r="O59" s="9">
        <f>IF(11&lt;=核心参数输入!$B$9*4,O58*(1-核心参数输入!$B$66),0)</f>
        <v>0</v>
      </c>
      <c r="P59" s="9">
        <f>IF(12&lt;=核心参数输入!$B$9*4,P58*(1-核心参数输入!$B$66),0)</f>
        <v>0</v>
      </c>
      <c r="Q59" s="9">
        <f>IF(13&lt;=核心参数输入!$B$9*4,Q58*(1-核心参数输入!$B$66),0)</f>
        <v>0</v>
      </c>
      <c r="R59" s="9">
        <f>IF(14&lt;=核心参数输入!$B$9*4,R58*(1-核心参数输入!$B$66),0)</f>
        <v>0</v>
      </c>
      <c r="S59" s="9">
        <f>IF(15&lt;=核心参数输入!$B$9*4,S58*(1-核心参数输入!$B$66),0)</f>
        <v>0</v>
      </c>
      <c r="T59" s="9">
        <f>IF(16&lt;=核心参数输入!$B$9*4,T58*(1-核心参数输入!$B$66),0)</f>
        <v>0</v>
      </c>
      <c r="U59" s="9">
        <f>IF(17&lt;=核心参数输入!$B$9*4,U58*(1-核心参数输入!$B$66),0)</f>
        <v>0</v>
      </c>
      <c r="V59" s="9">
        <f>IF(18&lt;=核心参数输入!$B$9*4,V58*(1-核心参数输入!$B$66),0)</f>
        <v>0</v>
      </c>
      <c r="W59" s="9">
        <f>IF(19&lt;=核心参数输入!$B$9*4,W58*(1-核心参数输入!$B$66),0)</f>
        <v>0</v>
      </c>
      <c r="X59" s="9">
        <f>IF(20&lt;=核心参数输入!$B$9*4,X58*(1-核心参数输入!$B$66),0)</f>
        <v>0</v>
      </c>
      <c r="Y59" s="9">
        <f>IF(21&lt;=核心参数输入!$B$9*4,Y58*(1-核心参数输入!$B$66),0)</f>
        <v>0</v>
      </c>
      <c r="Z59" s="9">
        <f>IF(22&lt;=核心参数输入!$B$9*4,Z58*(1-核心参数输入!$B$66),0)</f>
        <v>0</v>
      </c>
      <c r="AA59" s="9">
        <f>IF(23&lt;=核心参数输入!$B$9*4,AA58*(1-核心参数输入!$B$66),0)</f>
        <v>0</v>
      </c>
      <c r="AB59" s="9">
        <f>IF(24&lt;=核心参数输入!$B$9*4,AB58*(1-核心参数输入!$B$66),0)</f>
        <v>0</v>
      </c>
      <c r="AC59" s="9">
        <f>IF(25&lt;=核心参数输入!$B$9*4,AC58*(1-核心参数输入!$B$66),0)</f>
        <v>0</v>
      </c>
      <c r="AD59" s="9">
        <f>IF(26&lt;=核心参数输入!$B$9*4,AD58*(1-核心参数输入!$B$66),0)</f>
        <v>0</v>
      </c>
      <c r="AE59" s="9">
        <f>IF(27&lt;=核心参数输入!$B$9*4,AE58*(1-核心参数输入!$B$66),0)</f>
        <v>0</v>
      </c>
      <c r="AF59" s="9">
        <f>IF(28&lt;=核心参数输入!$B$9*4,AF58*(1-核心参数输入!$B$66),0)</f>
        <v>0</v>
      </c>
      <c r="AG59" s="9">
        <f>IF(29&lt;=核心参数输入!$B$9*4,AG58*(1-核心参数输入!$B$66),0)</f>
        <v>0</v>
      </c>
      <c r="AH59" s="9">
        <f>IF(30&lt;=核心参数输入!$B$9*4,AH58*(1-核心参数输入!$B$66),0)</f>
        <v>0</v>
      </c>
      <c r="AI59" s="9">
        <f>IF(31&lt;=核心参数输入!$B$9*4,AI58*(1-核心参数输入!$B$66),0)</f>
        <v>0</v>
      </c>
      <c r="AJ59" s="9">
        <f>IF(32&lt;=核心参数输入!$B$9*4,AJ58*(1-核心参数输入!$B$66),0)</f>
        <v>0</v>
      </c>
      <c r="AK59" s="9">
        <f>IF(33&lt;=核心参数输入!$B$9*4,AK58*(1-核心参数输入!$B$66),0)</f>
        <v>0</v>
      </c>
      <c r="AL59" s="9">
        <f>IF(34&lt;=核心参数输入!$B$9*4,AL58*(1-核心参数输入!$B$66),0)</f>
        <v>0</v>
      </c>
      <c r="AM59" s="9">
        <f>IF(35&lt;=核心参数输入!$B$9*4,AM58*(1-核心参数输入!$B$66),0)</f>
        <v>0</v>
      </c>
      <c r="AN59" s="9">
        <f>IF(36&lt;=核心参数输入!$B$9*4,AN58*(1-核心参数输入!$B$66),0)</f>
        <v>0</v>
      </c>
      <c r="AO59" s="9">
        <f>IF(37&lt;=核心参数输入!$B$9*4,AO58*(1-核心参数输入!$B$66),0)</f>
        <v>0</v>
      </c>
      <c r="AP59" s="9">
        <f>IF(38&lt;=核心参数输入!$B$9*4,AP58*(1-核心参数输入!$B$66),0)</f>
        <v>0</v>
      </c>
      <c r="AQ59" s="9">
        <f>IF(39&lt;=核心参数输入!$B$9*4,AQ58*(1-核心参数输入!$B$66),0)</f>
        <v>0</v>
      </c>
      <c r="AR59" s="9">
        <f>IF(40&lt;=核心参数输入!$B$9*4,AR58*(1-核心参数输入!$B$66),0)</f>
        <v>0</v>
      </c>
      <c r="AS59" s="9">
        <f>IF(41&lt;=核心参数输入!$B$9*4,AS58*(1-核心参数输入!$B$66),0)</f>
        <v>0</v>
      </c>
      <c r="AT59" s="9">
        <f>IF(42&lt;=核心参数输入!$B$9*4,AT58*(1-核心参数输入!$B$66),0)</f>
        <v>0</v>
      </c>
      <c r="AU59" s="9">
        <f>IF(43&lt;=核心参数输入!$B$9*4,AU58*(1-核心参数输入!$B$66),0)</f>
        <v>0</v>
      </c>
      <c r="AV59" s="9">
        <f>IF(44&lt;=核心参数输入!$B$9*4,AV58*(1-核心参数输入!$B$66),0)</f>
        <v>0</v>
      </c>
      <c r="AW59" s="9">
        <f>IF(45&lt;=核心参数输入!$B$9*4,AW58*(1-核心参数输入!$B$66),0)</f>
        <v>0</v>
      </c>
      <c r="AX59" s="9">
        <f>IF(46&lt;=核心参数输入!$B$9*4,AX58*(1-核心参数输入!$B$66),0)</f>
        <v>0</v>
      </c>
      <c r="AY59" s="9">
        <f>IF(47&lt;=核心参数输入!$B$9*4,AY58*(1-核心参数输入!$B$66),0)</f>
        <v>0</v>
      </c>
      <c r="AZ59" s="9">
        <f>IF(48&lt;=核心参数输入!$B$9*4,AZ58*(1-核心参数输入!$B$66),0)</f>
        <v>0</v>
      </c>
      <c r="BA59" s="9">
        <f>IF(49&lt;=核心参数输入!$B$9*4,BA58*(1-核心参数输入!$B$66),0)</f>
        <v>0</v>
      </c>
      <c r="BB59" s="9">
        <f>IF(50&lt;=核心参数输入!$B$9*4,BB58*(1-核心参数输入!$B$66),0)</f>
        <v>0</v>
      </c>
      <c r="BC59" s="9">
        <f>IF(51&lt;=核心参数输入!$B$9*4,BC58*(1-核心参数输入!$B$66),0)</f>
        <v>0</v>
      </c>
      <c r="BD59" s="9">
        <f>IF(52&lt;=核心参数输入!$B$9*4,BD58*(1-核心参数输入!$B$66),0)</f>
        <v>0</v>
      </c>
      <c r="BE59" s="9">
        <f>IF(53&lt;=核心参数输入!$B$9*4,BE58*(1-核心参数输入!$B$66),0)</f>
        <v>0</v>
      </c>
      <c r="BF59" s="9">
        <f>IF(54&lt;=核心参数输入!$B$9*4,BF58*(1-核心参数输入!$B$66),0)</f>
        <v>0</v>
      </c>
      <c r="BG59" s="9">
        <f>IF(55&lt;=核心参数输入!$B$9*4,BG58*(1-核心参数输入!$B$66),0)</f>
        <v>0</v>
      </c>
      <c r="BH59" s="9">
        <f>IF(56&lt;=核心参数输入!$B$9*4,BH58*(1-核心参数输入!$B$66),0)</f>
        <v>0</v>
      </c>
      <c r="BI59" s="9">
        <f>IF(57&lt;=核心参数输入!$B$9*4,BI58*(1-核心参数输入!$B$66),0)</f>
        <v>0</v>
      </c>
      <c r="BJ59" s="9">
        <f>IF(58&lt;=核心参数输入!$B$9*4,BJ58*(1-核心参数输入!$B$66),0)</f>
        <v>0</v>
      </c>
      <c r="BK59" s="9">
        <f>IF(59&lt;=核心参数输入!$B$9*4,BK58*(1-核心参数输入!$B$66),0)</f>
        <v>0</v>
      </c>
      <c r="BL59" s="9">
        <f>IF(60&lt;=核心参数输入!$B$9*4,BL58*(1-核心参数输入!$B$66),0)</f>
        <v>0</v>
      </c>
      <c r="BM59" s="9">
        <f>IF(61&lt;=核心参数输入!$B$9*4,BM58*(1-核心参数输入!$B$66),0)</f>
        <v>0</v>
      </c>
      <c r="BN59" s="9">
        <f>IF(62&lt;=核心参数输入!$B$9*4,BN58*(1-核心参数输入!$B$66),0)</f>
        <v>0</v>
      </c>
      <c r="BO59" s="9">
        <f>IF(63&lt;=核心参数输入!$B$9*4,BO58*(1-核心参数输入!$B$66),0)</f>
        <v>0</v>
      </c>
      <c r="BP59" s="9">
        <f>IF(64&lt;=核心参数输入!$B$9*4,BP58*(1-核心参数输入!$B$66),0)</f>
        <v>0</v>
      </c>
      <c r="BQ59" s="9">
        <f>IF(65&lt;=核心参数输入!$B$9*4,BQ58*(1-核心参数输入!$B$66),0)</f>
        <v>0</v>
      </c>
      <c r="BR59" s="9">
        <f>IF(66&lt;=核心参数输入!$B$9*4,BR58*(1-核心参数输入!$B$66),0)</f>
        <v>0</v>
      </c>
      <c r="BS59" s="9">
        <f>IF(67&lt;=核心参数输入!$B$9*4,BS58*(1-核心参数输入!$B$66),0)</f>
        <v>0</v>
      </c>
      <c r="BT59" s="9">
        <f>IF(68&lt;=核心参数输入!$B$9*4,BT58*(1-核心参数输入!$B$66),0)</f>
        <v>0</v>
      </c>
      <c r="BU59" s="9">
        <f>IF(69&lt;=核心参数输入!$B$9*4,BU58*(1-核心参数输入!$B$66),0)</f>
        <v>0</v>
      </c>
      <c r="BV59" s="9">
        <f>IF(70&lt;=核心参数输入!$B$9*4,BV58*(1-核心参数输入!$B$66),0)</f>
        <v>0</v>
      </c>
      <c r="BW59" s="9">
        <f>IF(71&lt;=核心参数输入!$B$9*4,BW58*(1-核心参数输入!$B$66),0)</f>
        <v>0</v>
      </c>
      <c r="BX59" s="9">
        <f>IF(72&lt;=核心参数输入!$B$9*4,BX58*(1-核心参数输入!$B$66),0)</f>
        <v>0</v>
      </c>
      <c r="BY59" s="9">
        <f>IF(73&lt;=核心参数输入!$B$9*4,BY58*(1-核心参数输入!$B$66),0)</f>
        <v>0</v>
      </c>
      <c r="BZ59" s="9">
        <f>IF(74&lt;=核心参数输入!$B$9*4,BZ58*(1-核心参数输入!$B$66),0)</f>
        <v>0</v>
      </c>
      <c r="CA59" s="9">
        <f>IF(75&lt;=核心参数输入!$B$9*4,CA58*(1-核心参数输入!$B$66),0)</f>
        <v>0</v>
      </c>
      <c r="CB59" s="9">
        <f>IF(76&lt;=核心参数输入!$B$9*4,CB58*(1-核心参数输入!$B$66),0)</f>
        <v>0</v>
      </c>
      <c r="CC59" s="9">
        <f>IF(77&lt;=核心参数输入!$B$9*4,CC58*(1-核心参数输入!$B$66),0)</f>
        <v>0</v>
      </c>
      <c r="CD59" s="9">
        <f>IF(78&lt;=核心参数输入!$B$9*4,CD58*(1-核心参数输入!$B$66),0)</f>
        <v>0</v>
      </c>
      <c r="CE59" s="9">
        <f>IF(79&lt;=核心参数输入!$B$9*4,CE58*(1-核心参数输入!$B$66),0)</f>
        <v>0</v>
      </c>
      <c r="CF59" s="9">
        <f>IF(80&lt;=核心参数输入!$B$9*4,CF58*(1-核心参数输入!$B$66),0)</f>
        <v>29100</v>
      </c>
      <c r="CG59" s="9">
        <f>IF(81&lt;=核心参数输入!$B$9*4,CG58*(1-核心参数输入!$B$66),0)</f>
        <v>0</v>
      </c>
      <c r="CH59" s="9">
        <f>IF(82&lt;=核心参数输入!$B$9*4,CH58*(1-核心参数输入!$B$66),0)</f>
        <v>0</v>
      </c>
      <c r="CI59" s="9">
        <f>IF(83&lt;=核心参数输入!$B$9*4,CI58*(1-核心参数输入!$B$66),0)</f>
        <v>0</v>
      </c>
      <c r="CJ59" s="9">
        <f>IF(84&lt;=核心参数输入!$B$9*4,CJ58*(1-核心参数输入!$B$66),0)</f>
        <v>0</v>
      </c>
      <c r="CK59" s="9">
        <f>IF(85&lt;=核心参数输入!$B$9*4,CK58*(1-核心参数输入!$B$66),0)</f>
        <v>0</v>
      </c>
      <c r="CL59" s="9">
        <f>IF(86&lt;=核心参数输入!$B$9*4,CL58*(1-核心参数输入!$B$66),0)</f>
        <v>0</v>
      </c>
      <c r="CM59" s="9">
        <f>IF(87&lt;=核心参数输入!$B$9*4,CM58*(1-核心参数输入!$B$66),0)</f>
        <v>0</v>
      </c>
      <c r="CN59" s="9">
        <f>IF(88&lt;=核心参数输入!$B$9*4,CN58*(1-核心参数输入!$B$66),0)</f>
        <v>0</v>
      </c>
      <c r="CO59" s="9">
        <f>IF(89&lt;=核心参数输入!$B$9*4,CO58*(1-核心参数输入!$B$66),0)</f>
        <v>0</v>
      </c>
      <c r="CP59" s="9">
        <f>IF(90&lt;=核心参数输入!$B$9*4,CP58*(1-核心参数输入!$B$66),0)</f>
        <v>0</v>
      </c>
      <c r="CQ59" s="9">
        <f>IF(91&lt;=核心参数输入!$B$9*4,CQ58*(1-核心参数输入!$B$66),0)</f>
        <v>0</v>
      </c>
      <c r="CR59" s="9">
        <f>IF(92&lt;=核心参数输入!$B$9*4,CR58*(1-核心参数输入!$B$66),0)</f>
        <v>0</v>
      </c>
      <c r="CS59" s="9">
        <f>IF(93&lt;=核心参数输入!$B$9*4,CS58*(1-核心参数输入!$B$66),0)</f>
        <v>0</v>
      </c>
      <c r="CT59" s="9">
        <f>IF(94&lt;=核心参数输入!$B$9*4,CT58*(1-核心参数输入!$B$66),0)</f>
        <v>0</v>
      </c>
      <c r="CU59" s="9">
        <f>IF(95&lt;=核心参数输入!$B$9*4,CU58*(1-核心参数输入!$B$66),0)</f>
        <v>0</v>
      </c>
      <c r="CV59" s="9">
        <f>IF(96&lt;=核心参数输入!$B$9*4,CV58*(1-核心参数输入!$B$66),0)</f>
        <v>0</v>
      </c>
      <c r="CW59" s="9">
        <f>IF(97&lt;=核心参数输入!$B$9*4,CW58*(1-核心参数输入!$B$66),0)</f>
        <v>0</v>
      </c>
      <c r="CX59" s="9">
        <f>IF(98&lt;=核心参数输入!$B$9*4,CX58*(1-核心参数输入!$B$66),0)</f>
        <v>0</v>
      </c>
      <c r="CY59" s="9">
        <f>IF(99&lt;=核心参数输入!$B$9*4,CY58*(1-核心参数输入!$B$66),0)</f>
        <v>0</v>
      </c>
      <c r="CZ59" s="9">
        <f>IF(100&lt;=核心参数输入!$B$9*4,CZ58*(1-核心参数输入!$B$66),0)</f>
        <v>0</v>
      </c>
      <c r="DA59" s="9">
        <f>IF(101&lt;=核心参数输入!$B$9*4,DA58*(1-核心参数输入!$B$66),0)</f>
        <v>0</v>
      </c>
      <c r="DB59" s="9">
        <f>IF(102&lt;=核心参数输入!$B$9*4,DB58*(1-核心参数输入!$B$66),0)</f>
        <v>0</v>
      </c>
      <c r="DC59" s="9">
        <f>IF(103&lt;=核心参数输入!$B$9*4,DC58*(1-核心参数输入!$B$66),0)</f>
        <v>0</v>
      </c>
      <c r="DD59" s="9">
        <f>IF(104&lt;=核心参数输入!$B$9*4,DD58*(1-核心参数输入!$B$66),0)</f>
        <v>0</v>
      </c>
      <c r="DE59" s="9">
        <f>IF(105&lt;=核心参数输入!$B$9*4,DE58*(1-核心参数输入!$B$66),0)</f>
        <v>0</v>
      </c>
      <c r="DF59" s="9">
        <f>IF(106&lt;=核心参数输入!$B$9*4,DF58*(1-核心参数输入!$B$66),0)</f>
        <v>0</v>
      </c>
      <c r="DG59" s="9">
        <f>IF(107&lt;=核心参数输入!$B$9*4,DG58*(1-核心参数输入!$B$66),0)</f>
        <v>0</v>
      </c>
      <c r="DH59" s="9">
        <f>IF(108&lt;=核心参数输入!$B$9*4,DH58*(1-核心参数输入!$B$66),0)</f>
        <v>0</v>
      </c>
      <c r="DI59" s="9">
        <f>IF(109&lt;=核心参数输入!$B$9*4,DI58*(1-核心参数输入!$B$66),0)</f>
        <v>0</v>
      </c>
      <c r="DJ59" s="9">
        <f>IF(110&lt;=核心参数输入!$B$9*4,DJ58*(1-核心参数输入!$B$66),0)</f>
        <v>0</v>
      </c>
      <c r="DK59" s="9">
        <f>IF(111&lt;=核心参数输入!$B$9*4,DK58*(1-核心参数输入!$B$66),0)</f>
        <v>0</v>
      </c>
      <c r="DL59" s="9">
        <f>IF(112&lt;=核心参数输入!$B$9*4,DL58*(1-核心参数输入!$B$66),0)</f>
        <v>0</v>
      </c>
      <c r="DM59" s="9">
        <f>IF(113&lt;=核心参数输入!$B$9*4,DM58*(1-核心参数输入!$B$66),0)</f>
        <v>0</v>
      </c>
      <c r="DN59" s="9">
        <f>IF(114&lt;=核心参数输入!$B$9*4,DN58*(1-核心参数输入!$B$66),0)</f>
        <v>0</v>
      </c>
      <c r="DO59" s="9">
        <f>IF(115&lt;=核心参数输入!$B$9*4,DO58*(1-核心参数输入!$B$66),0)</f>
        <v>0</v>
      </c>
      <c r="DP59" s="9">
        <f>IF(116&lt;=核心参数输入!$B$9*4,DP58*(1-核心参数输入!$B$66),0)</f>
        <v>0</v>
      </c>
      <c r="DQ59" s="9">
        <f>IF(117&lt;=核心参数输入!$B$9*4,DQ58*(1-核心参数输入!$B$66),0)</f>
        <v>0</v>
      </c>
      <c r="DR59" s="9">
        <f>IF(118&lt;=核心参数输入!$B$9*4,DR58*(1-核心参数输入!$B$66),0)</f>
        <v>0</v>
      </c>
      <c r="DS59" s="9">
        <f>IF(119&lt;=核心参数输入!$B$9*4,DS58*(1-核心参数输入!$B$66),0)</f>
        <v>0</v>
      </c>
      <c r="DT59" s="9">
        <f>IF(120&lt;=核心参数输入!$B$9*4,DT58*(1-核心参数输入!$B$66),0)</f>
        <v>0</v>
      </c>
    </row>
    <row r="60" spans="1:124" ht="21" customHeight="1">
      <c r="A60" s="8" t="s">
        <v>491</v>
      </c>
      <c r="B60" s="8" t="s">
        <v>39</v>
      </c>
      <c r="C60" s="8"/>
      <c r="D60" s="9">
        <f>IF(0&lt;=核心参数输入!$B$9*4,IF(AND((核心参数输入!$B$10*核心参数输入!$B$11*核心参数输入!$B$12*核心参数输入!$B$143)&gt;0,0=核心参数输入!$B$9*4),D59-D55,0),0)</f>
        <v>0</v>
      </c>
      <c r="E60" s="9">
        <f>IF(1&lt;=核心参数输入!$B$9*4,IF(AND((核心参数输入!$B$10*核心参数输入!$B$11*核心参数输入!$B$12*核心参数输入!$B$143)&gt;0,1=核心参数输入!$B$9*4),E59-E55,0),0)</f>
        <v>0</v>
      </c>
      <c r="F60" s="9">
        <f>IF(2&lt;=核心参数输入!$B$9*4,IF(AND((核心参数输入!$B$10*核心参数输入!$B$11*核心参数输入!$B$12*核心参数输入!$B$143)&gt;0,2=核心参数输入!$B$9*4),F59-F55,0),0)</f>
        <v>0</v>
      </c>
      <c r="G60" s="9">
        <f>IF(3&lt;=核心参数输入!$B$9*4,IF(AND((核心参数输入!$B$10*核心参数输入!$B$11*核心参数输入!$B$12*核心参数输入!$B$143)&gt;0,3=核心参数输入!$B$9*4),G59-G55,0),0)</f>
        <v>0</v>
      </c>
      <c r="H60" s="9">
        <f>IF(4&lt;=核心参数输入!$B$9*4,IF(AND((核心参数输入!$B$10*核心参数输入!$B$11*核心参数输入!$B$12*核心参数输入!$B$143)&gt;0,4=核心参数输入!$B$9*4),H59-H55,0),0)</f>
        <v>0</v>
      </c>
      <c r="I60" s="9">
        <f>IF(5&lt;=核心参数输入!$B$9*4,IF(AND((核心参数输入!$B$10*核心参数输入!$B$11*核心参数输入!$B$12*核心参数输入!$B$143)&gt;0,5=核心参数输入!$B$9*4),I59-I55,0),0)</f>
        <v>0</v>
      </c>
      <c r="J60" s="9">
        <f>IF(6&lt;=核心参数输入!$B$9*4,IF(AND((核心参数输入!$B$10*核心参数输入!$B$11*核心参数输入!$B$12*核心参数输入!$B$143)&gt;0,6=核心参数输入!$B$9*4),J59-J55,0),0)</f>
        <v>0</v>
      </c>
      <c r="K60" s="9">
        <f>IF(7&lt;=核心参数输入!$B$9*4,IF(AND((核心参数输入!$B$10*核心参数输入!$B$11*核心参数输入!$B$12*核心参数输入!$B$143)&gt;0,7=核心参数输入!$B$9*4),K59-K55,0),0)</f>
        <v>0</v>
      </c>
      <c r="L60" s="9">
        <f>IF(8&lt;=核心参数输入!$B$9*4,IF(AND((核心参数输入!$B$10*核心参数输入!$B$11*核心参数输入!$B$12*核心参数输入!$B$143)&gt;0,8=核心参数输入!$B$9*4),L59-L55,0),0)</f>
        <v>0</v>
      </c>
      <c r="M60" s="9">
        <f>IF(9&lt;=核心参数输入!$B$9*4,IF(AND((核心参数输入!$B$10*核心参数输入!$B$11*核心参数输入!$B$12*核心参数输入!$B$143)&gt;0,9=核心参数输入!$B$9*4),M59-M55,0),0)</f>
        <v>0</v>
      </c>
      <c r="N60" s="9">
        <f>IF(10&lt;=核心参数输入!$B$9*4,IF(AND((核心参数输入!$B$10*核心参数输入!$B$11*核心参数输入!$B$12*核心参数输入!$B$143)&gt;0,10=核心参数输入!$B$9*4),N59-N55,0),0)</f>
        <v>0</v>
      </c>
      <c r="O60" s="9">
        <f>IF(11&lt;=核心参数输入!$B$9*4,IF(AND((核心参数输入!$B$10*核心参数输入!$B$11*核心参数输入!$B$12*核心参数输入!$B$143)&gt;0,11=核心参数输入!$B$9*4),O59-O55,0),0)</f>
        <v>0</v>
      </c>
      <c r="P60" s="9">
        <f>IF(12&lt;=核心参数输入!$B$9*4,IF(AND((核心参数输入!$B$10*核心参数输入!$B$11*核心参数输入!$B$12*核心参数输入!$B$143)&gt;0,12=核心参数输入!$B$9*4),P59-P55,0),0)</f>
        <v>0</v>
      </c>
      <c r="Q60" s="9">
        <f>IF(13&lt;=核心参数输入!$B$9*4,IF(AND((核心参数输入!$B$10*核心参数输入!$B$11*核心参数输入!$B$12*核心参数输入!$B$143)&gt;0,13=核心参数输入!$B$9*4),Q59-Q55,0),0)</f>
        <v>0</v>
      </c>
      <c r="R60" s="9">
        <f>IF(14&lt;=核心参数输入!$B$9*4,IF(AND((核心参数输入!$B$10*核心参数输入!$B$11*核心参数输入!$B$12*核心参数输入!$B$143)&gt;0,14=核心参数输入!$B$9*4),R59-R55,0),0)</f>
        <v>0</v>
      </c>
      <c r="S60" s="9">
        <f>IF(15&lt;=核心参数输入!$B$9*4,IF(AND((核心参数输入!$B$10*核心参数输入!$B$11*核心参数输入!$B$12*核心参数输入!$B$143)&gt;0,15=核心参数输入!$B$9*4),S59-S55,0),0)</f>
        <v>0</v>
      </c>
      <c r="T60" s="9">
        <f>IF(16&lt;=核心参数输入!$B$9*4,IF(AND((核心参数输入!$B$10*核心参数输入!$B$11*核心参数输入!$B$12*核心参数输入!$B$143)&gt;0,16=核心参数输入!$B$9*4),T59-T55,0),0)</f>
        <v>0</v>
      </c>
      <c r="U60" s="9">
        <f>IF(17&lt;=核心参数输入!$B$9*4,IF(AND((核心参数输入!$B$10*核心参数输入!$B$11*核心参数输入!$B$12*核心参数输入!$B$143)&gt;0,17=核心参数输入!$B$9*4),U59-U55,0),0)</f>
        <v>0</v>
      </c>
      <c r="V60" s="9">
        <f>IF(18&lt;=核心参数输入!$B$9*4,IF(AND((核心参数输入!$B$10*核心参数输入!$B$11*核心参数输入!$B$12*核心参数输入!$B$143)&gt;0,18=核心参数输入!$B$9*4),V59-V55,0),0)</f>
        <v>0</v>
      </c>
      <c r="W60" s="9">
        <f>IF(19&lt;=核心参数输入!$B$9*4,IF(AND((核心参数输入!$B$10*核心参数输入!$B$11*核心参数输入!$B$12*核心参数输入!$B$143)&gt;0,19=核心参数输入!$B$9*4),W59-W55,0),0)</f>
        <v>0</v>
      </c>
      <c r="X60" s="9">
        <f>IF(20&lt;=核心参数输入!$B$9*4,IF(AND((核心参数输入!$B$10*核心参数输入!$B$11*核心参数输入!$B$12*核心参数输入!$B$143)&gt;0,20=核心参数输入!$B$9*4),X59-X55,0),0)</f>
        <v>0</v>
      </c>
      <c r="Y60" s="9">
        <f>IF(21&lt;=核心参数输入!$B$9*4,IF(AND((核心参数输入!$B$10*核心参数输入!$B$11*核心参数输入!$B$12*核心参数输入!$B$143)&gt;0,21=核心参数输入!$B$9*4),Y59-Y55,0),0)</f>
        <v>0</v>
      </c>
      <c r="Z60" s="9">
        <f>IF(22&lt;=核心参数输入!$B$9*4,IF(AND((核心参数输入!$B$10*核心参数输入!$B$11*核心参数输入!$B$12*核心参数输入!$B$143)&gt;0,22=核心参数输入!$B$9*4),Z59-Z55,0),0)</f>
        <v>0</v>
      </c>
      <c r="AA60" s="9">
        <f>IF(23&lt;=核心参数输入!$B$9*4,IF(AND((核心参数输入!$B$10*核心参数输入!$B$11*核心参数输入!$B$12*核心参数输入!$B$143)&gt;0,23=核心参数输入!$B$9*4),AA59-AA55,0),0)</f>
        <v>0</v>
      </c>
      <c r="AB60" s="9">
        <f>IF(24&lt;=核心参数输入!$B$9*4,IF(AND((核心参数输入!$B$10*核心参数输入!$B$11*核心参数输入!$B$12*核心参数输入!$B$143)&gt;0,24=核心参数输入!$B$9*4),AB59-AB55,0),0)</f>
        <v>0</v>
      </c>
      <c r="AC60" s="9">
        <f>IF(25&lt;=核心参数输入!$B$9*4,IF(AND((核心参数输入!$B$10*核心参数输入!$B$11*核心参数输入!$B$12*核心参数输入!$B$143)&gt;0,25=核心参数输入!$B$9*4),AC59-AC55,0),0)</f>
        <v>0</v>
      </c>
      <c r="AD60" s="9">
        <f>IF(26&lt;=核心参数输入!$B$9*4,IF(AND((核心参数输入!$B$10*核心参数输入!$B$11*核心参数输入!$B$12*核心参数输入!$B$143)&gt;0,26=核心参数输入!$B$9*4),AD59-AD55,0),0)</f>
        <v>0</v>
      </c>
      <c r="AE60" s="9">
        <f>IF(27&lt;=核心参数输入!$B$9*4,IF(AND((核心参数输入!$B$10*核心参数输入!$B$11*核心参数输入!$B$12*核心参数输入!$B$143)&gt;0,27=核心参数输入!$B$9*4),AE59-AE55,0),0)</f>
        <v>0</v>
      </c>
      <c r="AF60" s="9">
        <f>IF(28&lt;=核心参数输入!$B$9*4,IF(AND((核心参数输入!$B$10*核心参数输入!$B$11*核心参数输入!$B$12*核心参数输入!$B$143)&gt;0,28=核心参数输入!$B$9*4),AF59-AF55,0),0)</f>
        <v>0</v>
      </c>
      <c r="AG60" s="9">
        <f>IF(29&lt;=核心参数输入!$B$9*4,IF(AND((核心参数输入!$B$10*核心参数输入!$B$11*核心参数输入!$B$12*核心参数输入!$B$143)&gt;0,29=核心参数输入!$B$9*4),AG59-AG55,0),0)</f>
        <v>0</v>
      </c>
      <c r="AH60" s="9">
        <f>IF(30&lt;=核心参数输入!$B$9*4,IF(AND((核心参数输入!$B$10*核心参数输入!$B$11*核心参数输入!$B$12*核心参数输入!$B$143)&gt;0,30=核心参数输入!$B$9*4),AH59-AH55,0),0)</f>
        <v>0</v>
      </c>
      <c r="AI60" s="9">
        <f>IF(31&lt;=核心参数输入!$B$9*4,IF(AND((核心参数输入!$B$10*核心参数输入!$B$11*核心参数输入!$B$12*核心参数输入!$B$143)&gt;0,31=核心参数输入!$B$9*4),AI59-AI55,0),0)</f>
        <v>0</v>
      </c>
      <c r="AJ60" s="9">
        <f>IF(32&lt;=核心参数输入!$B$9*4,IF(AND((核心参数输入!$B$10*核心参数输入!$B$11*核心参数输入!$B$12*核心参数输入!$B$143)&gt;0,32=核心参数输入!$B$9*4),AJ59-AJ55,0),0)</f>
        <v>0</v>
      </c>
      <c r="AK60" s="9">
        <f>IF(33&lt;=核心参数输入!$B$9*4,IF(AND((核心参数输入!$B$10*核心参数输入!$B$11*核心参数输入!$B$12*核心参数输入!$B$143)&gt;0,33=核心参数输入!$B$9*4),AK59-AK55,0),0)</f>
        <v>0</v>
      </c>
      <c r="AL60" s="9">
        <f>IF(34&lt;=核心参数输入!$B$9*4,IF(AND((核心参数输入!$B$10*核心参数输入!$B$11*核心参数输入!$B$12*核心参数输入!$B$143)&gt;0,34=核心参数输入!$B$9*4),AL59-AL55,0),0)</f>
        <v>0</v>
      </c>
      <c r="AM60" s="9">
        <f>IF(35&lt;=核心参数输入!$B$9*4,IF(AND((核心参数输入!$B$10*核心参数输入!$B$11*核心参数输入!$B$12*核心参数输入!$B$143)&gt;0,35=核心参数输入!$B$9*4),AM59-AM55,0),0)</f>
        <v>0</v>
      </c>
      <c r="AN60" s="9">
        <f>IF(36&lt;=核心参数输入!$B$9*4,IF(AND((核心参数输入!$B$10*核心参数输入!$B$11*核心参数输入!$B$12*核心参数输入!$B$143)&gt;0,36=核心参数输入!$B$9*4),AN59-AN55,0),0)</f>
        <v>0</v>
      </c>
      <c r="AO60" s="9">
        <f>IF(37&lt;=核心参数输入!$B$9*4,IF(AND((核心参数输入!$B$10*核心参数输入!$B$11*核心参数输入!$B$12*核心参数输入!$B$143)&gt;0,37=核心参数输入!$B$9*4),AO59-AO55,0),0)</f>
        <v>0</v>
      </c>
      <c r="AP60" s="9">
        <f>IF(38&lt;=核心参数输入!$B$9*4,IF(AND((核心参数输入!$B$10*核心参数输入!$B$11*核心参数输入!$B$12*核心参数输入!$B$143)&gt;0,38=核心参数输入!$B$9*4),AP59-AP55,0),0)</f>
        <v>0</v>
      </c>
      <c r="AQ60" s="9">
        <f>IF(39&lt;=核心参数输入!$B$9*4,IF(AND((核心参数输入!$B$10*核心参数输入!$B$11*核心参数输入!$B$12*核心参数输入!$B$143)&gt;0,39=核心参数输入!$B$9*4),AQ59-AQ55,0),0)</f>
        <v>0</v>
      </c>
      <c r="AR60" s="9">
        <f>IF(40&lt;=核心参数输入!$B$9*4,IF(AND((核心参数输入!$B$10*核心参数输入!$B$11*核心参数输入!$B$12*核心参数输入!$B$143)&gt;0,40=核心参数输入!$B$9*4),AR59-AR55,0),0)</f>
        <v>0</v>
      </c>
      <c r="AS60" s="9">
        <f>IF(41&lt;=核心参数输入!$B$9*4,IF(AND((核心参数输入!$B$10*核心参数输入!$B$11*核心参数输入!$B$12*核心参数输入!$B$143)&gt;0,41=核心参数输入!$B$9*4),AS59-AS55,0),0)</f>
        <v>0</v>
      </c>
      <c r="AT60" s="9">
        <f>IF(42&lt;=核心参数输入!$B$9*4,IF(AND((核心参数输入!$B$10*核心参数输入!$B$11*核心参数输入!$B$12*核心参数输入!$B$143)&gt;0,42=核心参数输入!$B$9*4),AT59-AT55,0),0)</f>
        <v>0</v>
      </c>
      <c r="AU60" s="9">
        <f>IF(43&lt;=核心参数输入!$B$9*4,IF(AND((核心参数输入!$B$10*核心参数输入!$B$11*核心参数输入!$B$12*核心参数输入!$B$143)&gt;0,43=核心参数输入!$B$9*4),AU59-AU55,0),0)</f>
        <v>0</v>
      </c>
      <c r="AV60" s="9">
        <f>IF(44&lt;=核心参数输入!$B$9*4,IF(AND((核心参数输入!$B$10*核心参数输入!$B$11*核心参数输入!$B$12*核心参数输入!$B$143)&gt;0,44=核心参数输入!$B$9*4),AV59-AV55,0),0)</f>
        <v>0</v>
      </c>
      <c r="AW60" s="9">
        <f>IF(45&lt;=核心参数输入!$B$9*4,IF(AND((核心参数输入!$B$10*核心参数输入!$B$11*核心参数输入!$B$12*核心参数输入!$B$143)&gt;0,45=核心参数输入!$B$9*4),AW59-AW55,0),0)</f>
        <v>0</v>
      </c>
      <c r="AX60" s="9">
        <f>IF(46&lt;=核心参数输入!$B$9*4,IF(AND((核心参数输入!$B$10*核心参数输入!$B$11*核心参数输入!$B$12*核心参数输入!$B$143)&gt;0,46=核心参数输入!$B$9*4),AX59-AX55,0),0)</f>
        <v>0</v>
      </c>
      <c r="AY60" s="9">
        <f>IF(47&lt;=核心参数输入!$B$9*4,IF(AND((核心参数输入!$B$10*核心参数输入!$B$11*核心参数输入!$B$12*核心参数输入!$B$143)&gt;0,47=核心参数输入!$B$9*4),AY59-AY55,0),0)</f>
        <v>0</v>
      </c>
      <c r="AZ60" s="9">
        <f>IF(48&lt;=核心参数输入!$B$9*4,IF(AND((核心参数输入!$B$10*核心参数输入!$B$11*核心参数输入!$B$12*核心参数输入!$B$143)&gt;0,48=核心参数输入!$B$9*4),AZ59-AZ55,0),0)</f>
        <v>0</v>
      </c>
      <c r="BA60" s="9">
        <f>IF(49&lt;=核心参数输入!$B$9*4,IF(AND((核心参数输入!$B$10*核心参数输入!$B$11*核心参数输入!$B$12*核心参数输入!$B$143)&gt;0,49=核心参数输入!$B$9*4),BA59-BA55,0),0)</f>
        <v>0</v>
      </c>
      <c r="BB60" s="9">
        <f>IF(50&lt;=核心参数输入!$B$9*4,IF(AND((核心参数输入!$B$10*核心参数输入!$B$11*核心参数输入!$B$12*核心参数输入!$B$143)&gt;0,50=核心参数输入!$B$9*4),BB59-BB55,0),0)</f>
        <v>0</v>
      </c>
      <c r="BC60" s="9">
        <f>IF(51&lt;=核心参数输入!$B$9*4,IF(AND((核心参数输入!$B$10*核心参数输入!$B$11*核心参数输入!$B$12*核心参数输入!$B$143)&gt;0,51=核心参数输入!$B$9*4),BC59-BC55,0),0)</f>
        <v>0</v>
      </c>
      <c r="BD60" s="9">
        <f>IF(52&lt;=核心参数输入!$B$9*4,IF(AND((核心参数输入!$B$10*核心参数输入!$B$11*核心参数输入!$B$12*核心参数输入!$B$143)&gt;0,52=核心参数输入!$B$9*4),BD59-BD55,0),0)</f>
        <v>0</v>
      </c>
      <c r="BE60" s="9">
        <f>IF(53&lt;=核心参数输入!$B$9*4,IF(AND((核心参数输入!$B$10*核心参数输入!$B$11*核心参数输入!$B$12*核心参数输入!$B$143)&gt;0,53=核心参数输入!$B$9*4),BE59-BE55,0),0)</f>
        <v>0</v>
      </c>
      <c r="BF60" s="9">
        <f>IF(54&lt;=核心参数输入!$B$9*4,IF(AND((核心参数输入!$B$10*核心参数输入!$B$11*核心参数输入!$B$12*核心参数输入!$B$143)&gt;0,54=核心参数输入!$B$9*4),BF59-BF55,0),0)</f>
        <v>0</v>
      </c>
      <c r="BG60" s="9">
        <f>IF(55&lt;=核心参数输入!$B$9*4,IF(AND((核心参数输入!$B$10*核心参数输入!$B$11*核心参数输入!$B$12*核心参数输入!$B$143)&gt;0,55=核心参数输入!$B$9*4),BG59-BG55,0),0)</f>
        <v>0</v>
      </c>
      <c r="BH60" s="9">
        <f>IF(56&lt;=核心参数输入!$B$9*4,IF(AND((核心参数输入!$B$10*核心参数输入!$B$11*核心参数输入!$B$12*核心参数输入!$B$143)&gt;0,56=核心参数输入!$B$9*4),BH59-BH55,0),0)</f>
        <v>0</v>
      </c>
      <c r="BI60" s="9">
        <f>IF(57&lt;=核心参数输入!$B$9*4,IF(AND((核心参数输入!$B$10*核心参数输入!$B$11*核心参数输入!$B$12*核心参数输入!$B$143)&gt;0,57=核心参数输入!$B$9*4),BI59-BI55,0),0)</f>
        <v>0</v>
      </c>
      <c r="BJ60" s="9">
        <f>IF(58&lt;=核心参数输入!$B$9*4,IF(AND((核心参数输入!$B$10*核心参数输入!$B$11*核心参数输入!$B$12*核心参数输入!$B$143)&gt;0,58=核心参数输入!$B$9*4),BJ59-BJ55,0),0)</f>
        <v>0</v>
      </c>
      <c r="BK60" s="9">
        <f>IF(59&lt;=核心参数输入!$B$9*4,IF(AND((核心参数输入!$B$10*核心参数输入!$B$11*核心参数输入!$B$12*核心参数输入!$B$143)&gt;0,59=核心参数输入!$B$9*4),BK59-BK55,0),0)</f>
        <v>0</v>
      </c>
      <c r="BL60" s="9">
        <f>IF(60&lt;=核心参数输入!$B$9*4,IF(AND((核心参数输入!$B$10*核心参数输入!$B$11*核心参数输入!$B$12*核心参数输入!$B$143)&gt;0,60=核心参数输入!$B$9*4),BL59-BL55,0),0)</f>
        <v>0</v>
      </c>
      <c r="BM60" s="9">
        <f>IF(61&lt;=核心参数输入!$B$9*4,IF(AND((核心参数输入!$B$10*核心参数输入!$B$11*核心参数输入!$B$12*核心参数输入!$B$143)&gt;0,61=核心参数输入!$B$9*4),BM59-BM55,0),0)</f>
        <v>0</v>
      </c>
      <c r="BN60" s="9">
        <f>IF(62&lt;=核心参数输入!$B$9*4,IF(AND((核心参数输入!$B$10*核心参数输入!$B$11*核心参数输入!$B$12*核心参数输入!$B$143)&gt;0,62=核心参数输入!$B$9*4),BN59-BN55,0),0)</f>
        <v>0</v>
      </c>
      <c r="BO60" s="9">
        <f>IF(63&lt;=核心参数输入!$B$9*4,IF(AND((核心参数输入!$B$10*核心参数输入!$B$11*核心参数输入!$B$12*核心参数输入!$B$143)&gt;0,63=核心参数输入!$B$9*4),BO59-BO55,0),0)</f>
        <v>0</v>
      </c>
      <c r="BP60" s="9">
        <f>IF(64&lt;=核心参数输入!$B$9*4,IF(AND((核心参数输入!$B$10*核心参数输入!$B$11*核心参数输入!$B$12*核心参数输入!$B$143)&gt;0,64=核心参数输入!$B$9*4),BP59-BP55,0),0)</f>
        <v>0</v>
      </c>
      <c r="BQ60" s="9">
        <f>IF(65&lt;=核心参数输入!$B$9*4,IF(AND((核心参数输入!$B$10*核心参数输入!$B$11*核心参数输入!$B$12*核心参数输入!$B$143)&gt;0,65=核心参数输入!$B$9*4),BQ59-BQ55,0),0)</f>
        <v>0</v>
      </c>
      <c r="BR60" s="9">
        <f>IF(66&lt;=核心参数输入!$B$9*4,IF(AND((核心参数输入!$B$10*核心参数输入!$B$11*核心参数输入!$B$12*核心参数输入!$B$143)&gt;0,66=核心参数输入!$B$9*4),BR59-BR55,0),0)</f>
        <v>0</v>
      </c>
      <c r="BS60" s="9">
        <f>IF(67&lt;=核心参数输入!$B$9*4,IF(AND((核心参数输入!$B$10*核心参数输入!$B$11*核心参数输入!$B$12*核心参数输入!$B$143)&gt;0,67=核心参数输入!$B$9*4),BS59-BS55,0),0)</f>
        <v>0</v>
      </c>
      <c r="BT60" s="9">
        <f>IF(68&lt;=核心参数输入!$B$9*4,IF(AND((核心参数输入!$B$10*核心参数输入!$B$11*核心参数输入!$B$12*核心参数输入!$B$143)&gt;0,68=核心参数输入!$B$9*4),BT59-BT55,0),0)</f>
        <v>0</v>
      </c>
      <c r="BU60" s="9">
        <f>IF(69&lt;=核心参数输入!$B$9*4,IF(AND((核心参数输入!$B$10*核心参数输入!$B$11*核心参数输入!$B$12*核心参数输入!$B$143)&gt;0,69=核心参数输入!$B$9*4),BU59-BU55,0),0)</f>
        <v>0</v>
      </c>
      <c r="BV60" s="9">
        <f>IF(70&lt;=核心参数输入!$B$9*4,IF(AND((核心参数输入!$B$10*核心参数输入!$B$11*核心参数输入!$B$12*核心参数输入!$B$143)&gt;0,70=核心参数输入!$B$9*4),BV59-BV55,0),0)</f>
        <v>0</v>
      </c>
      <c r="BW60" s="9">
        <f>IF(71&lt;=核心参数输入!$B$9*4,IF(AND((核心参数输入!$B$10*核心参数输入!$B$11*核心参数输入!$B$12*核心参数输入!$B$143)&gt;0,71=核心参数输入!$B$9*4),BW59-BW55,0),0)</f>
        <v>0</v>
      </c>
      <c r="BX60" s="9">
        <f>IF(72&lt;=核心参数输入!$B$9*4,IF(AND((核心参数输入!$B$10*核心参数输入!$B$11*核心参数输入!$B$12*核心参数输入!$B$143)&gt;0,72=核心参数输入!$B$9*4),BX59-BX55,0),0)</f>
        <v>0</v>
      </c>
      <c r="BY60" s="9">
        <f>IF(73&lt;=核心参数输入!$B$9*4,IF(AND((核心参数输入!$B$10*核心参数输入!$B$11*核心参数输入!$B$12*核心参数输入!$B$143)&gt;0,73=核心参数输入!$B$9*4),BY59-BY55,0),0)</f>
        <v>0</v>
      </c>
      <c r="BZ60" s="9">
        <f>IF(74&lt;=核心参数输入!$B$9*4,IF(AND((核心参数输入!$B$10*核心参数输入!$B$11*核心参数输入!$B$12*核心参数输入!$B$143)&gt;0,74=核心参数输入!$B$9*4),BZ59-BZ55,0),0)</f>
        <v>0</v>
      </c>
      <c r="CA60" s="9">
        <f>IF(75&lt;=核心参数输入!$B$9*4,IF(AND((核心参数输入!$B$10*核心参数输入!$B$11*核心参数输入!$B$12*核心参数输入!$B$143)&gt;0,75=核心参数输入!$B$9*4),CA59-CA55,0),0)</f>
        <v>0</v>
      </c>
      <c r="CB60" s="9">
        <f>IF(76&lt;=核心参数输入!$B$9*4,IF(AND((核心参数输入!$B$10*核心参数输入!$B$11*核心参数输入!$B$12*核心参数输入!$B$143)&gt;0,76=核心参数输入!$B$9*4),CB59-CB55,0),0)</f>
        <v>0</v>
      </c>
      <c r="CC60" s="9">
        <f>IF(77&lt;=核心参数输入!$B$9*4,IF(AND((核心参数输入!$B$10*核心参数输入!$B$11*核心参数输入!$B$12*核心参数输入!$B$143)&gt;0,77=核心参数输入!$B$9*4),CC59-CC55,0),0)</f>
        <v>0</v>
      </c>
      <c r="CD60" s="9">
        <f>IF(78&lt;=核心参数输入!$B$9*4,IF(AND((核心参数输入!$B$10*核心参数输入!$B$11*核心参数输入!$B$12*核心参数输入!$B$143)&gt;0,78=核心参数输入!$B$9*4),CD59-CD55,0),0)</f>
        <v>0</v>
      </c>
      <c r="CE60" s="9">
        <f>IF(79&lt;=核心参数输入!$B$9*4,IF(AND((核心参数输入!$B$10*核心参数输入!$B$11*核心参数输入!$B$12*核心参数输入!$B$143)&gt;0,79=核心参数输入!$B$9*4),CE59-CE55,0),0)</f>
        <v>0</v>
      </c>
      <c r="CF60" s="9">
        <f>IF(80&lt;=核心参数输入!$B$9*4,IF(AND((核心参数输入!$B$10*核心参数输入!$B$11*核心参数输入!$B$12*核心参数输入!$B$143)&gt;0,80=核心参数输入!$B$9*4),CF59-CF55,0),0)</f>
        <v>15729.870000000014</v>
      </c>
      <c r="CG60" s="9">
        <f>IF(81&lt;=核心参数输入!$B$9*4,IF(AND((核心参数输入!$B$10*核心参数输入!$B$11*核心参数输入!$B$12*核心参数输入!$B$143)&gt;0,81=核心参数输入!$B$9*4),CG59-CG55,0),0)</f>
        <v>0</v>
      </c>
      <c r="CH60" s="9">
        <f>IF(82&lt;=核心参数输入!$B$9*4,IF(AND((核心参数输入!$B$10*核心参数输入!$B$11*核心参数输入!$B$12*核心参数输入!$B$143)&gt;0,82=核心参数输入!$B$9*4),CH59-CH55,0),0)</f>
        <v>0</v>
      </c>
      <c r="CI60" s="9">
        <f>IF(83&lt;=核心参数输入!$B$9*4,IF(AND((核心参数输入!$B$10*核心参数输入!$B$11*核心参数输入!$B$12*核心参数输入!$B$143)&gt;0,83=核心参数输入!$B$9*4),CI59-CI55,0),0)</f>
        <v>0</v>
      </c>
      <c r="CJ60" s="9">
        <f>IF(84&lt;=核心参数输入!$B$9*4,IF(AND((核心参数输入!$B$10*核心参数输入!$B$11*核心参数输入!$B$12*核心参数输入!$B$143)&gt;0,84=核心参数输入!$B$9*4),CJ59-CJ55,0),0)</f>
        <v>0</v>
      </c>
      <c r="CK60" s="9">
        <f>IF(85&lt;=核心参数输入!$B$9*4,IF(AND((核心参数输入!$B$10*核心参数输入!$B$11*核心参数输入!$B$12*核心参数输入!$B$143)&gt;0,85=核心参数输入!$B$9*4),CK59-CK55,0),0)</f>
        <v>0</v>
      </c>
      <c r="CL60" s="9">
        <f>IF(86&lt;=核心参数输入!$B$9*4,IF(AND((核心参数输入!$B$10*核心参数输入!$B$11*核心参数输入!$B$12*核心参数输入!$B$143)&gt;0,86=核心参数输入!$B$9*4),CL59-CL55,0),0)</f>
        <v>0</v>
      </c>
      <c r="CM60" s="9">
        <f>IF(87&lt;=核心参数输入!$B$9*4,IF(AND((核心参数输入!$B$10*核心参数输入!$B$11*核心参数输入!$B$12*核心参数输入!$B$143)&gt;0,87=核心参数输入!$B$9*4),CM59-CM55,0),0)</f>
        <v>0</v>
      </c>
      <c r="CN60" s="9">
        <f>IF(88&lt;=核心参数输入!$B$9*4,IF(AND((核心参数输入!$B$10*核心参数输入!$B$11*核心参数输入!$B$12*核心参数输入!$B$143)&gt;0,88=核心参数输入!$B$9*4),CN59-CN55,0),0)</f>
        <v>0</v>
      </c>
      <c r="CO60" s="9">
        <f>IF(89&lt;=核心参数输入!$B$9*4,IF(AND((核心参数输入!$B$10*核心参数输入!$B$11*核心参数输入!$B$12*核心参数输入!$B$143)&gt;0,89=核心参数输入!$B$9*4),CO59-CO55,0),0)</f>
        <v>0</v>
      </c>
      <c r="CP60" s="9">
        <f>IF(90&lt;=核心参数输入!$B$9*4,IF(AND((核心参数输入!$B$10*核心参数输入!$B$11*核心参数输入!$B$12*核心参数输入!$B$143)&gt;0,90=核心参数输入!$B$9*4),CP59-CP55,0),0)</f>
        <v>0</v>
      </c>
      <c r="CQ60" s="9">
        <f>IF(91&lt;=核心参数输入!$B$9*4,IF(AND((核心参数输入!$B$10*核心参数输入!$B$11*核心参数输入!$B$12*核心参数输入!$B$143)&gt;0,91=核心参数输入!$B$9*4),CQ59-CQ55,0),0)</f>
        <v>0</v>
      </c>
      <c r="CR60" s="9">
        <f>IF(92&lt;=核心参数输入!$B$9*4,IF(AND((核心参数输入!$B$10*核心参数输入!$B$11*核心参数输入!$B$12*核心参数输入!$B$143)&gt;0,92=核心参数输入!$B$9*4),CR59-CR55,0),0)</f>
        <v>0</v>
      </c>
      <c r="CS60" s="9">
        <f>IF(93&lt;=核心参数输入!$B$9*4,IF(AND((核心参数输入!$B$10*核心参数输入!$B$11*核心参数输入!$B$12*核心参数输入!$B$143)&gt;0,93=核心参数输入!$B$9*4),CS59-CS55,0),0)</f>
        <v>0</v>
      </c>
      <c r="CT60" s="9">
        <f>IF(94&lt;=核心参数输入!$B$9*4,IF(AND((核心参数输入!$B$10*核心参数输入!$B$11*核心参数输入!$B$12*核心参数输入!$B$143)&gt;0,94=核心参数输入!$B$9*4),CT59-CT55,0),0)</f>
        <v>0</v>
      </c>
      <c r="CU60" s="9">
        <f>IF(95&lt;=核心参数输入!$B$9*4,IF(AND((核心参数输入!$B$10*核心参数输入!$B$11*核心参数输入!$B$12*核心参数输入!$B$143)&gt;0,95=核心参数输入!$B$9*4),CU59-CU55,0),0)</f>
        <v>0</v>
      </c>
      <c r="CV60" s="9">
        <f>IF(96&lt;=核心参数输入!$B$9*4,IF(AND((核心参数输入!$B$10*核心参数输入!$B$11*核心参数输入!$B$12*核心参数输入!$B$143)&gt;0,96=核心参数输入!$B$9*4),CV59-CV55,0),0)</f>
        <v>0</v>
      </c>
      <c r="CW60" s="9">
        <f>IF(97&lt;=核心参数输入!$B$9*4,IF(AND((核心参数输入!$B$10*核心参数输入!$B$11*核心参数输入!$B$12*核心参数输入!$B$143)&gt;0,97=核心参数输入!$B$9*4),CW59-CW55,0),0)</f>
        <v>0</v>
      </c>
      <c r="CX60" s="9">
        <f>IF(98&lt;=核心参数输入!$B$9*4,IF(AND((核心参数输入!$B$10*核心参数输入!$B$11*核心参数输入!$B$12*核心参数输入!$B$143)&gt;0,98=核心参数输入!$B$9*4),CX59-CX55,0),0)</f>
        <v>0</v>
      </c>
      <c r="CY60" s="9">
        <f>IF(99&lt;=核心参数输入!$B$9*4,IF(AND((核心参数输入!$B$10*核心参数输入!$B$11*核心参数输入!$B$12*核心参数输入!$B$143)&gt;0,99=核心参数输入!$B$9*4),CY59-CY55,0),0)</f>
        <v>0</v>
      </c>
      <c r="CZ60" s="9">
        <f>IF(100&lt;=核心参数输入!$B$9*4,IF(AND((核心参数输入!$B$10*核心参数输入!$B$11*核心参数输入!$B$12*核心参数输入!$B$143)&gt;0,100=核心参数输入!$B$9*4),CZ59-CZ55,0),0)</f>
        <v>0</v>
      </c>
      <c r="DA60" s="9">
        <f>IF(101&lt;=核心参数输入!$B$9*4,IF(AND((核心参数输入!$B$10*核心参数输入!$B$11*核心参数输入!$B$12*核心参数输入!$B$143)&gt;0,101=核心参数输入!$B$9*4),DA59-DA55,0),0)</f>
        <v>0</v>
      </c>
      <c r="DB60" s="9">
        <f>IF(102&lt;=核心参数输入!$B$9*4,IF(AND((核心参数输入!$B$10*核心参数输入!$B$11*核心参数输入!$B$12*核心参数输入!$B$143)&gt;0,102=核心参数输入!$B$9*4),DB59-DB55,0),0)</f>
        <v>0</v>
      </c>
      <c r="DC60" s="9">
        <f>IF(103&lt;=核心参数输入!$B$9*4,IF(AND((核心参数输入!$B$10*核心参数输入!$B$11*核心参数输入!$B$12*核心参数输入!$B$143)&gt;0,103=核心参数输入!$B$9*4),DC59-DC55,0),0)</f>
        <v>0</v>
      </c>
      <c r="DD60" s="9">
        <f>IF(104&lt;=核心参数输入!$B$9*4,IF(AND((核心参数输入!$B$10*核心参数输入!$B$11*核心参数输入!$B$12*核心参数输入!$B$143)&gt;0,104=核心参数输入!$B$9*4),DD59-DD55,0),0)</f>
        <v>0</v>
      </c>
      <c r="DE60" s="9">
        <f>IF(105&lt;=核心参数输入!$B$9*4,IF(AND((核心参数输入!$B$10*核心参数输入!$B$11*核心参数输入!$B$12*核心参数输入!$B$143)&gt;0,105=核心参数输入!$B$9*4),DE59-DE55,0),0)</f>
        <v>0</v>
      </c>
      <c r="DF60" s="9">
        <f>IF(106&lt;=核心参数输入!$B$9*4,IF(AND((核心参数输入!$B$10*核心参数输入!$B$11*核心参数输入!$B$12*核心参数输入!$B$143)&gt;0,106=核心参数输入!$B$9*4),DF59-DF55,0),0)</f>
        <v>0</v>
      </c>
      <c r="DG60" s="9">
        <f>IF(107&lt;=核心参数输入!$B$9*4,IF(AND((核心参数输入!$B$10*核心参数输入!$B$11*核心参数输入!$B$12*核心参数输入!$B$143)&gt;0,107=核心参数输入!$B$9*4),DG59-DG55,0),0)</f>
        <v>0</v>
      </c>
      <c r="DH60" s="9">
        <f>IF(108&lt;=核心参数输入!$B$9*4,IF(AND((核心参数输入!$B$10*核心参数输入!$B$11*核心参数输入!$B$12*核心参数输入!$B$143)&gt;0,108=核心参数输入!$B$9*4),DH59-DH55,0),0)</f>
        <v>0</v>
      </c>
      <c r="DI60" s="9">
        <f>IF(109&lt;=核心参数输入!$B$9*4,IF(AND((核心参数输入!$B$10*核心参数输入!$B$11*核心参数输入!$B$12*核心参数输入!$B$143)&gt;0,109=核心参数输入!$B$9*4),DI59-DI55,0),0)</f>
        <v>0</v>
      </c>
      <c r="DJ60" s="9">
        <f>IF(110&lt;=核心参数输入!$B$9*4,IF(AND((核心参数输入!$B$10*核心参数输入!$B$11*核心参数输入!$B$12*核心参数输入!$B$143)&gt;0,110=核心参数输入!$B$9*4),DJ59-DJ55,0),0)</f>
        <v>0</v>
      </c>
      <c r="DK60" s="9">
        <f>IF(111&lt;=核心参数输入!$B$9*4,IF(AND((核心参数输入!$B$10*核心参数输入!$B$11*核心参数输入!$B$12*核心参数输入!$B$143)&gt;0,111=核心参数输入!$B$9*4),DK59-DK55,0),0)</f>
        <v>0</v>
      </c>
      <c r="DL60" s="9">
        <f>IF(112&lt;=核心参数输入!$B$9*4,IF(AND((核心参数输入!$B$10*核心参数输入!$B$11*核心参数输入!$B$12*核心参数输入!$B$143)&gt;0,112=核心参数输入!$B$9*4),DL59-DL55,0),0)</f>
        <v>0</v>
      </c>
      <c r="DM60" s="9">
        <f>IF(113&lt;=核心参数输入!$B$9*4,IF(AND((核心参数输入!$B$10*核心参数输入!$B$11*核心参数输入!$B$12*核心参数输入!$B$143)&gt;0,113=核心参数输入!$B$9*4),DM59-DM55,0),0)</f>
        <v>0</v>
      </c>
      <c r="DN60" s="9">
        <f>IF(114&lt;=核心参数输入!$B$9*4,IF(AND((核心参数输入!$B$10*核心参数输入!$B$11*核心参数输入!$B$12*核心参数输入!$B$143)&gt;0,114=核心参数输入!$B$9*4),DN59-DN55,0),0)</f>
        <v>0</v>
      </c>
      <c r="DO60" s="9">
        <f>IF(115&lt;=核心参数输入!$B$9*4,IF(AND((核心参数输入!$B$10*核心参数输入!$B$11*核心参数输入!$B$12*核心参数输入!$B$143)&gt;0,115=核心参数输入!$B$9*4),DO59-DO55,0),0)</f>
        <v>0</v>
      </c>
      <c r="DP60" s="9">
        <f>IF(116&lt;=核心参数输入!$B$9*4,IF(AND((核心参数输入!$B$10*核心参数输入!$B$11*核心参数输入!$B$12*核心参数输入!$B$143)&gt;0,116=核心参数输入!$B$9*4),DP59-DP55,0),0)</f>
        <v>0</v>
      </c>
      <c r="DQ60" s="9">
        <f>IF(117&lt;=核心参数输入!$B$9*4,IF(AND((核心参数输入!$B$10*核心参数输入!$B$11*核心参数输入!$B$12*核心参数输入!$B$143)&gt;0,117=核心参数输入!$B$9*4),DQ59-DQ55,0),0)</f>
        <v>0</v>
      </c>
      <c r="DR60" s="9">
        <f>IF(118&lt;=核心参数输入!$B$9*4,IF(AND((核心参数输入!$B$10*核心参数输入!$B$11*核心参数输入!$B$12*核心参数输入!$B$143)&gt;0,118=核心参数输入!$B$9*4),DR59-DR55,0),0)</f>
        <v>0</v>
      </c>
      <c r="DS60" s="9">
        <f>IF(119&lt;=核心参数输入!$B$9*4,IF(AND((核心参数输入!$B$10*核心参数输入!$B$11*核心参数输入!$B$12*核心参数输入!$B$143)&gt;0,119=核心参数输入!$B$9*4),DS59-DS55,0),0)</f>
        <v>0</v>
      </c>
      <c r="DT60" s="9">
        <f>IF(120&lt;=核心参数输入!$B$9*4,IF(AND((核心参数输入!$B$10*核心参数输入!$B$11*核心参数输入!$B$12*核心参数输入!$B$143)&gt;0,120=核心参数输入!$B$9*4),DT59-DT55,0),0)</f>
        <v>0</v>
      </c>
    </row>
    <row r="61" spans="1:124" ht="21" customHeight="1">
      <c r="A61" s="8" t="s">
        <v>492</v>
      </c>
      <c r="B61" s="8" t="s">
        <v>39</v>
      </c>
      <c r="C61" s="8"/>
      <c r="D61" s="9">
        <f>IF(0&lt;=核心参数输入!$B$9*4,IF(AND((核心参数输入!$B$10*核心参数输入!$B$11*核心参数输入!$B$12*核心参数输入!$B$143)&gt;0,0=核心参数输入!$B$9*4),D59-D56,0),0)</f>
        <v>0</v>
      </c>
      <c r="E61" s="9">
        <f>IF(1&lt;=核心参数输入!$B$9*4,IF(AND((核心参数输入!$B$10*核心参数输入!$B$11*核心参数输入!$B$12*核心参数输入!$B$143)&gt;0,1=核心参数输入!$B$9*4),E59-E56,0),0)</f>
        <v>0</v>
      </c>
      <c r="F61" s="9">
        <f>IF(2&lt;=核心参数输入!$B$9*4,IF(AND((核心参数输入!$B$10*核心参数输入!$B$11*核心参数输入!$B$12*核心参数输入!$B$143)&gt;0,2=核心参数输入!$B$9*4),F59-F56,0),0)</f>
        <v>0</v>
      </c>
      <c r="G61" s="9">
        <f>IF(3&lt;=核心参数输入!$B$9*4,IF(AND((核心参数输入!$B$10*核心参数输入!$B$11*核心参数输入!$B$12*核心参数输入!$B$143)&gt;0,3=核心参数输入!$B$9*4),G59-G56,0),0)</f>
        <v>0</v>
      </c>
      <c r="H61" s="9">
        <f>IF(4&lt;=核心参数输入!$B$9*4,IF(AND((核心参数输入!$B$10*核心参数输入!$B$11*核心参数输入!$B$12*核心参数输入!$B$143)&gt;0,4=核心参数输入!$B$9*4),H59-H56,0),0)</f>
        <v>0</v>
      </c>
      <c r="I61" s="9">
        <f>IF(5&lt;=核心参数输入!$B$9*4,IF(AND((核心参数输入!$B$10*核心参数输入!$B$11*核心参数输入!$B$12*核心参数输入!$B$143)&gt;0,5=核心参数输入!$B$9*4),I59-I56,0),0)</f>
        <v>0</v>
      </c>
      <c r="J61" s="9">
        <f>IF(6&lt;=核心参数输入!$B$9*4,IF(AND((核心参数输入!$B$10*核心参数输入!$B$11*核心参数输入!$B$12*核心参数输入!$B$143)&gt;0,6=核心参数输入!$B$9*4),J59-J56,0),0)</f>
        <v>0</v>
      </c>
      <c r="K61" s="9">
        <f>IF(7&lt;=核心参数输入!$B$9*4,IF(AND((核心参数输入!$B$10*核心参数输入!$B$11*核心参数输入!$B$12*核心参数输入!$B$143)&gt;0,7=核心参数输入!$B$9*4),K59-K56,0),0)</f>
        <v>0</v>
      </c>
      <c r="L61" s="9">
        <f>IF(8&lt;=核心参数输入!$B$9*4,IF(AND((核心参数输入!$B$10*核心参数输入!$B$11*核心参数输入!$B$12*核心参数输入!$B$143)&gt;0,8=核心参数输入!$B$9*4),L59-L56,0),0)</f>
        <v>0</v>
      </c>
      <c r="M61" s="9">
        <f>IF(9&lt;=核心参数输入!$B$9*4,IF(AND((核心参数输入!$B$10*核心参数输入!$B$11*核心参数输入!$B$12*核心参数输入!$B$143)&gt;0,9=核心参数输入!$B$9*4),M59-M56,0),0)</f>
        <v>0</v>
      </c>
      <c r="N61" s="9">
        <f>IF(10&lt;=核心参数输入!$B$9*4,IF(AND((核心参数输入!$B$10*核心参数输入!$B$11*核心参数输入!$B$12*核心参数输入!$B$143)&gt;0,10=核心参数输入!$B$9*4),N59-N56,0),0)</f>
        <v>0</v>
      </c>
      <c r="O61" s="9">
        <f>IF(11&lt;=核心参数输入!$B$9*4,IF(AND((核心参数输入!$B$10*核心参数输入!$B$11*核心参数输入!$B$12*核心参数输入!$B$143)&gt;0,11=核心参数输入!$B$9*4),O59-O56,0),0)</f>
        <v>0</v>
      </c>
      <c r="P61" s="9">
        <f>IF(12&lt;=核心参数输入!$B$9*4,IF(AND((核心参数输入!$B$10*核心参数输入!$B$11*核心参数输入!$B$12*核心参数输入!$B$143)&gt;0,12=核心参数输入!$B$9*4),P59-P56,0),0)</f>
        <v>0</v>
      </c>
      <c r="Q61" s="9">
        <f>IF(13&lt;=核心参数输入!$B$9*4,IF(AND((核心参数输入!$B$10*核心参数输入!$B$11*核心参数输入!$B$12*核心参数输入!$B$143)&gt;0,13=核心参数输入!$B$9*4),Q59-Q56,0),0)</f>
        <v>0</v>
      </c>
      <c r="R61" s="9">
        <f>IF(14&lt;=核心参数输入!$B$9*4,IF(AND((核心参数输入!$B$10*核心参数输入!$B$11*核心参数输入!$B$12*核心参数输入!$B$143)&gt;0,14=核心参数输入!$B$9*4),R59-R56,0),0)</f>
        <v>0</v>
      </c>
      <c r="S61" s="9">
        <f>IF(15&lt;=核心参数输入!$B$9*4,IF(AND((核心参数输入!$B$10*核心参数输入!$B$11*核心参数输入!$B$12*核心参数输入!$B$143)&gt;0,15=核心参数输入!$B$9*4),S59-S56,0),0)</f>
        <v>0</v>
      </c>
      <c r="T61" s="9">
        <f>IF(16&lt;=核心参数输入!$B$9*4,IF(AND((核心参数输入!$B$10*核心参数输入!$B$11*核心参数输入!$B$12*核心参数输入!$B$143)&gt;0,16=核心参数输入!$B$9*4),T59-T56,0),0)</f>
        <v>0</v>
      </c>
      <c r="U61" s="9">
        <f>IF(17&lt;=核心参数输入!$B$9*4,IF(AND((核心参数输入!$B$10*核心参数输入!$B$11*核心参数输入!$B$12*核心参数输入!$B$143)&gt;0,17=核心参数输入!$B$9*4),U59-U56,0),0)</f>
        <v>0</v>
      </c>
      <c r="V61" s="9">
        <f>IF(18&lt;=核心参数输入!$B$9*4,IF(AND((核心参数输入!$B$10*核心参数输入!$B$11*核心参数输入!$B$12*核心参数输入!$B$143)&gt;0,18=核心参数输入!$B$9*4),V59-V56,0),0)</f>
        <v>0</v>
      </c>
      <c r="W61" s="9">
        <f>IF(19&lt;=核心参数输入!$B$9*4,IF(AND((核心参数输入!$B$10*核心参数输入!$B$11*核心参数输入!$B$12*核心参数输入!$B$143)&gt;0,19=核心参数输入!$B$9*4),W59-W56,0),0)</f>
        <v>0</v>
      </c>
      <c r="X61" s="9">
        <f>IF(20&lt;=核心参数输入!$B$9*4,IF(AND((核心参数输入!$B$10*核心参数输入!$B$11*核心参数输入!$B$12*核心参数输入!$B$143)&gt;0,20=核心参数输入!$B$9*4),X59-X56,0),0)</f>
        <v>0</v>
      </c>
      <c r="Y61" s="9">
        <f>IF(21&lt;=核心参数输入!$B$9*4,IF(AND((核心参数输入!$B$10*核心参数输入!$B$11*核心参数输入!$B$12*核心参数输入!$B$143)&gt;0,21=核心参数输入!$B$9*4),Y59-Y56,0),0)</f>
        <v>0</v>
      </c>
      <c r="Z61" s="9">
        <f>IF(22&lt;=核心参数输入!$B$9*4,IF(AND((核心参数输入!$B$10*核心参数输入!$B$11*核心参数输入!$B$12*核心参数输入!$B$143)&gt;0,22=核心参数输入!$B$9*4),Z59-Z56,0),0)</f>
        <v>0</v>
      </c>
      <c r="AA61" s="9">
        <f>IF(23&lt;=核心参数输入!$B$9*4,IF(AND((核心参数输入!$B$10*核心参数输入!$B$11*核心参数输入!$B$12*核心参数输入!$B$143)&gt;0,23=核心参数输入!$B$9*4),AA59-AA56,0),0)</f>
        <v>0</v>
      </c>
      <c r="AB61" s="9">
        <f>IF(24&lt;=核心参数输入!$B$9*4,IF(AND((核心参数输入!$B$10*核心参数输入!$B$11*核心参数输入!$B$12*核心参数输入!$B$143)&gt;0,24=核心参数输入!$B$9*4),AB59-AB56,0),0)</f>
        <v>0</v>
      </c>
      <c r="AC61" s="9">
        <f>IF(25&lt;=核心参数输入!$B$9*4,IF(AND((核心参数输入!$B$10*核心参数输入!$B$11*核心参数输入!$B$12*核心参数输入!$B$143)&gt;0,25=核心参数输入!$B$9*4),AC59-AC56,0),0)</f>
        <v>0</v>
      </c>
      <c r="AD61" s="9">
        <f>IF(26&lt;=核心参数输入!$B$9*4,IF(AND((核心参数输入!$B$10*核心参数输入!$B$11*核心参数输入!$B$12*核心参数输入!$B$143)&gt;0,26=核心参数输入!$B$9*4),AD59-AD56,0),0)</f>
        <v>0</v>
      </c>
      <c r="AE61" s="9">
        <f>IF(27&lt;=核心参数输入!$B$9*4,IF(AND((核心参数输入!$B$10*核心参数输入!$B$11*核心参数输入!$B$12*核心参数输入!$B$143)&gt;0,27=核心参数输入!$B$9*4),AE59-AE56,0),0)</f>
        <v>0</v>
      </c>
      <c r="AF61" s="9">
        <f>IF(28&lt;=核心参数输入!$B$9*4,IF(AND((核心参数输入!$B$10*核心参数输入!$B$11*核心参数输入!$B$12*核心参数输入!$B$143)&gt;0,28=核心参数输入!$B$9*4),AF59-AF56,0),0)</f>
        <v>0</v>
      </c>
      <c r="AG61" s="9">
        <f>IF(29&lt;=核心参数输入!$B$9*4,IF(AND((核心参数输入!$B$10*核心参数输入!$B$11*核心参数输入!$B$12*核心参数输入!$B$143)&gt;0,29=核心参数输入!$B$9*4),AG59-AG56,0),0)</f>
        <v>0</v>
      </c>
      <c r="AH61" s="9">
        <f>IF(30&lt;=核心参数输入!$B$9*4,IF(AND((核心参数输入!$B$10*核心参数输入!$B$11*核心参数输入!$B$12*核心参数输入!$B$143)&gt;0,30=核心参数输入!$B$9*4),AH59-AH56,0),0)</f>
        <v>0</v>
      </c>
      <c r="AI61" s="9">
        <f>IF(31&lt;=核心参数输入!$B$9*4,IF(AND((核心参数输入!$B$10*核心参数输入!$B$11*核心参数输入!$B$12*核心参数输入!$B$143)&gt;0,31=核心参数输入!$B$9*4),AI59-AI56,0),0)</f>
        <v>0</v>
      </c>
      <c r="AJ61" s="9">
        <f>IF(32&lt;=核心参数输入!$B$9*4,IF(AND((核心参数输入!$B$10*核心参数输入!$B$11*核心参数输入!$B$12*核心参数输入!$B$143)&gt;0,32=核心参数输入!$B$9*4),AJ59-AJ56,0),0)</f>
        <v>0</v>
      </c>
      <c r="AK61" s="9">
        <f>IF(33&lt;=核心参数输入!$B$9*4,IF(AND((核心参数输入!$B$10*核心参数输入!$B$11*核心参数输入!$B$12*核心参数输入!$B$143)&gt;0,33=核心参数输入!$B$9*4),AK59-AK56,0),0)</f>
        <v>0</v>
      </c>
      <c r="AL61" s="9">
        <f>IF(34&lt;=核心参数输入!$B$9*4,IF(AND((核心参数输入!$B$10*核心参数输入!$B$11*核心参数输入!$B$12*核心参数输入!$B$143)&gt;0,34=核心参数输入!$B$9*4),AL59-AL56,0),0)</f>
        <v>0</v>
      </c>
      <c r="AM61" s="9">
        <f>IF(35&lt;=核心参数输入!$B$9*4,IF(AND((核心参数输入!$B$10*核心参数输入!$B$11*核心参数输入!$B$12*核心参数输入!$B$143)&gt;0,35=核心参数输入!$B$9*4),AM59-AM56,0),0)</f>
        <v>0</v>
      </c>
      <c r="AN61" s="9">
        <f>IF(36&lt;=核心参数输入!$B$9*4,IF(AND((核心参数输入!$B$10*核心参数输入!$B$11*核心参数输入!$B$12*核心参数输入!$B$143)&gt;0,36=核心参数输入!$B$9*4),AN59-AN56,0),0)</f>
        <v>0</v>
      </c>
      <c r="AO61" s="9">
        <f>IF(37&lt;=核心参数输入!$B$9*4,IF(AND((核心参数输入!$B$10*核心参数输入!$B$11*核心参数输入!$B$12*核心参数输入!$B$143)&gt;0,37=核心参数输入!$B$9*4),AO59-AO56,0),0)</f>
        <v>0</v>
      </c>
      <c r="AP61" s="9">
        <f>IF(38&lt;=核心参数输入!$B$9*4,IF(AND((核心参数输入!$B$10*核心参数输入!$B$11*核心参数输入!$B$12*核心参数输入!$B$143)&gt;0,38=核心参数输入!$B$9*4),AP59-AP56,0),0)</f>
        <v>0</v>
      </c>
      <c r="AQ61" s="9">
        <f>IF(39&lt;=核心参数输入!$B$9*4,IF(AND((核心参数输入!$B$10*核心参数输入!$B$11*核心参数输入!$B$12*核心参数输入!$B$143)&gt;0,39=核心参数输入!$B$9*4),AQ59-AQ56,0),0)</f>
        <v>0</v>
      </c>
      <c r="AR61" s="9">
        <f>IF(40&lt;=核心参数输入!$B$9*4,IF(AND((核心参数输入!$B$10*核心参数输入!$B$11*核心参数输入!$B$12*核心参数输入!$B$143)&gt;0,40=核心参数输入!$B$9*4),AR59-AR56,0),0)</f>
        <v>0</v>
      </c>
      <c r="AS61" s="9">
        <f>IF(41&lt;=核心参数输入!$B$9*4,IF(AND((核心参数输入!$B$10*核心参数输入!$B$11*核心参数输入!$B$12*核心参数输入!$B$143)&gt;0,41=核心参数输入!$B$9*4),AS59-AS56,0),0)</f>
        <v>0</v>
      </c>
      <c r="AT61" s="9">
        <f>IF(42&lt;=核心参数输入!$B$9*4,IF(AND((核心参数输入!$B$10*核心参数输入!$B$11*核心参数输入!$B$12*核心参数输入!$B$143)&gt;0,42=核心参数输入!$B$9*4),AT59-AT56,0),0)</f>
        <v>0</v>
      </c>
      <c r="AU61" s="9">
        <f>IF(43&lt;=核心参数输入!$B$9*4,IF(AND((核心参数输入!$B$10*核心参数输入!$B$11*核心参数输入!$B$12*核心参数输入!$B$143)&gt;0,43=核心参数输入!$B$9*4),AU59-AU56,0),0)</f>
        <v>0</v>
      </c>
      <c r="AV61" s="9">
        <f>IF(44&lt;=核心参数输入!$B$9*4,IF(AND((核心参数输入!$B$10*核心参数输入!$B$11*核心参数输入!$B$12*核心参数输入!$B$143)&gt;0,44=核心参数输入!$B$9*4),AV59-AV56,0),0)</f>
        <v>0</v>
      </c>
      <c r="AW61" s="9">
        <f>IF(45&lt;=核心参数输入!$B$9*4,IF(AND((核心参数输入!$B$10*核心参数输入!$B$11*核心参数输入!$B$12*核心参数输入!$B$143)&gt;0,45=核心参数输入!$B$9*4),AW59-AW56,0),0)</f>
        <v>0</v>
      </c>
      <c r="AX61" s="9">
        <f>IF(46&lt;=核心参数输入!$B$9*4,IF(AND((核心参数输入!$B$10*核心参数输入!$B$11*核心参数输入!$B$12*核心参数输入!$B$143)&gt;0,46=核心参数输入!$B$9*4),AX59-AX56,0),0)</f>
        <v>0</v>
      </c>
      <c r="AY61" s="9">
        <f>IF(47&lt;=核心参数输入!$B$9*4,IF(AND((核心参数输入!$B$10*核心参数输入!$B$11*核心参数输入!$B$12*核心参数输入!$B$143)&gt;0,47=核心参数输入!$B$9*4),AY59-AY56,0),0)</f>
        <v>0</v>
      </c>
      <c r="AZ61" s="9">
        <f>IF(48&lt;=核心参数输入!$B$9*4,IF(AND((核心参数输入!$B$10*核心参数输入!$B$11*核心参数输入!$B$12*核心参数输入!$B$143)&gt;0,48=核心参数输入!$B$9*4),AZ59-AZ56,0),0)</f>
        <v>0</v>
      </c>
      <c r="BA61" s="9">
        <f>IF(49&lt;=核心参数输入!$B$9*4,IF(AND((核心参数输入!$B$10*核心参数输入!$B$11*核心参数输入!$B$12*核心参数输入!$B$143)&gt;0,49=核心参数输入!$B$9*4),BA59-BA56,0),0)</f>
        <v>0</v>
      </c>
      <c r="BB61" s="9">
        <f>IF(50&lt;=核心参数输入!$B$9*4,IF(AND((核心参数输入!$B$10*核心参数输入!$B$11*核心参数输入!$B$12*核心参数输入!$B$143)&gt;0,50=核心参数输入!$B$9*4),BB59-BB56,0),0)</f>
        <v>0</v>
      </c>
      <c r="BC61" s="9">
        <f>IF(51&lt;=核心参数输入!$B$9*4,IF(AND((核心参数输入!$B$10*核心参数输入!$B$11*核心参数输入!$B$12*核心参数输入!$B$143)&gt;0,51=核心参数输入!$B$9*4),BC59-BC56,0),0)</f>
        <v>0</v>
      </c>
      <c r="BD61" s="9">
        <f>IF(52&lt;=核心参数输入!$B$9*4,IF(AND((核心参数输入!$B$10*核心参数输入!$B$11*核心参数输入!$B$12*核心参数输入!$B$143)&gt;0,52=核心参数输入!$B$9*4),BD59-BD56,0),0)</f>
        <v>0</v>
      </c>
      <c r="BE61" s="9">
        <f>IF(53&lt;=核心参数输入!$B$9*4,IF(AND((核心参数输入!$B$10*核心参数输入!$B$11*核心参数输入!$B$12*核心参数输入!$B$143)&gt;0,53=核心参数输入!$B$9*4),BE59-BE56,0),0)</f>
        <v>0</v>
      </c>
      <c r="BF61" s="9">
        <f>IF(54&lt;=核心参数输入!$B$9*4,IF(AND((核心参数输入!$B$10*核心参数输入!$B$11*核心参数输入!$B$12*核心参数输入!$B$143)&gt;0,54=核心参数输入!$B$9*4),BF59-BF56,0),0)</f>
        <v>0</v>
      </c>
      <c r="BG61" s="9">
        <f>IF(55&lt;=核心参数输入!$B$9*4,IF(AND((核心参数输入!$B$10*核心参数输入!$B$11*核心参数输入!$B$12*核心参数输入!$B$143)&gt;0,55=核心参数输入!$B$9*4),BG59-BG56,0),0)</f>
        <v>0</v>
      </c>
      <c r="BH61" s="9">
        <f>IF(56&lt;=核心参数输入!$B$9*4,IF(AND((核心参数输入!$B$10*核心参数输入!$B$11*核心参数输入!$B$12*核心参数输入!$B$143)&gt;0,56=核心参数输入!$B$9*4),BH59-BH56,0),0)</f>
        <v>0</v>
      </c>
      <c r="BI61" s="9">
        <f>IF(57&lt;=核心参数输入!$B$9*4,IF(AND((核心参数输入!$B$10*核心参数输入!$B$11*核心参数输入!$B$12*核心参数输入!$B$143)&gt;0,57=核心参数输入!$B$9*4),BI59-BI56,0),0)</f>
        <v>0</v>
      </c>
      <c r="BJ61" s="9">
        <f>IF(58&lt;=核心参数输入!$B$9*4,IF(AND((核心参数输入!$B$10*核心参数输入!$B$11*核心参数输入!$B$12*核心参数输入!$B$143)&gt;0,58=核心参数输入!$B$9*4),BJ59-BJ56,0),0)</f>
        <v>0</v>
      </c>
      <c r="BK61" s="9">
        <f>IF(59&lt;=核心参数输入!$B$9*4,IF(AND((核心参数输入!$B$10*核心参数输入!$B$11*核心参数输入!$B$12*核心参数输入!$B$143)&gt;0,59=核心参数输入!$B$9*4),BK59-BK56,0),0)</f>
        <v>0</v>
      </c>
      <c r="BL61" s="9">
        <f>IF(60&lt;=核心参数输入!$B$9*4,IF(AND((核心参数输入!$B$10*核心参数输入!$B$11*核心参数输入!$B$12*核心参数输入!$B$143)&gt;0,60=核心参数输入!$B$9*4),BL59-BL56,0),0)</f>
        <v>0</v>
      </c>
      <c r="BM61" s="9">
        <f>IF(61&lt;=核心参数输入!$B$9*4,IF(AND((核心参数输入!$B$10*核心参数输入!$B$11*核心参数输入!$B$12*核心参数输入!$B$143)&gt;0,61=核心参数输入!$B$9*4),BM59-BM56,0),0)</f>
        <v>0</v>
      </c>
      <c r="BN61" s="9">
        <f>IF(62&lt;=核心参数输入!$B$9*4,IF(AND((核心参数输入!$B$10*核心参数输入!$B$11*核心参数输入!$B$12*核心参数输入!$B$143)&gt;0,62=核心参数输入!$B$9*4),BN59-BN56,0),0)</f>
        <v>0</v>
      </c>
      <c r="BO61" s="9">
        <f>IF(63&lt;=核心参数输入!$B$9*4,IF(AND((核心参数输入!$B$10*核心参数输入!$B$11*核心参数输入!$B$12*核心参数输入!$B$143)&gt;0,63=核心参数输入!$B$9*4),BO59-BO56,0),0)</f>
        <v>0</v>
      </c>
      <c r="BP61" s="9">
        <f>IF(64&lt;=核心参数输入!$B$9*4,IF(AND((核心参数输入!$B$10*核心参数输入!$B$11*核心参数输入!$B$12*核心参数输入!$B$143)&gt;0,64=核心参数输入!$B$9*4),BP59-BP56,0),0)</f>
        <v>0</v>
      </c>
      <c r="BQ61" s="9">
        <f>IF(65&lt;=核心参数输入!$B$9*4,IF(AND((核心参数输入!$B$10*核心参数输入!$B$11*核心参数输入!$B$12*核心参数输入!$B$143)&gt;0,65=核心参数输入!$B$9*4),BQ59-BQ56,0),0)</f>
        <v>0</v>
      </c>
      <c r="BR61" s="9">
        <f>IF(66&lt;=核心参数输入!$B$9*4,IF(AND((核心参数输入!$B$10*核心参数输入!$B$11*核心参数输入!$B$12*核心参数输入!$B$143)&gt;0,66=核心参数输入!$B$9*4),BR59-BR56,0),0)</f>
        <v>0</v>
      </c>
      <c r="BS61" s="9">
        <f>IF(67&lt;=核心参数输入!$B$9*4,IF(AND((核心参数输入!$B$10*核心参数输入!$B$11*核心参数输入!$B$12*核心参数输入!$B$143)&gt;0,67=核心参数输入!$B$9*4),BS59-BS56,0),0)</f>
        <v>0</v>
      </c>
      <c r="BT61" s="9">
        <f>IF(68&lt;=核心参数输入!$B$9*4,IF(AND((核心参数输入!$B$10*核心参数输入!$B$11*核心参数输入!$B$12*核心参数输入!$B$143)&gt;0,68=核心参数输入!$B$9*4),BT59-BT56,0),0)</f>
        <v>0</v>
      </c>
      <c r="BU61" s="9">
        <f>IF(69&lt;=核心参数输入!$B$9*4,IF(AND((核心参数输入!$B$10*核心参数输入!$B$11*核心参数输入!$B$12*核心参数输入!$B$143)&gt;0,69=核心参数输入!$B$9*4),BU59-BU56,0),0)</f>
        <v>0</v>
      </c>
      <c r="BV61" s="9">
        <f>IF(70&lt;=核心参数输入!$B$9*4,IF(AND((核心参数输入!$B$10*核心参数输入!$B$11*核心参数输入!$B$12*核心参数输入!$B$143)&gt;0,70=核心参数输入!$B$9*4),BV59-BV56,0),0)</f>
        <v>0</v>
      </c>
      <c r="BW61" s="9">
        <f>IF(71&lt;=核心参数输入!$B$9*4,IF(AND((核心参数输入!$B$10*核心参数输入!$B$11*核心参数输入!$B$12*核心参数输入!$B$143)&gt;0,71=核心参数输入!$B$9*4),BW59-BW56,0),0)</f>
        <v>0</v>
      </c>
      <c r="BX61" s="9">
        <f>IF(72&lt;=核心参数输入!$B$9*4,IF(AND((核心参数输入!$B$10*核心参数输入!$B$11*核心参数输入!$B$12*核心参数输入!$B$143)&gt;0,72=核心参数输入!$B$9*4),BX59-BX56,0),0)</f>
        <v>0</v>
      </c>
      <c r="BY61" s="9">
        <f>IF(73&lt;=核心参数输入!$B$9*4,IF(AND((核心参数输入!$B$10*核心参数输入!$B$11*核心参数输入!$B$12*核心参数输入!$B$143)&gt;0,73=核心参数输入!$B$9*4),BY59-BY56,0),0)</f>
        <v>0</v>
      </c>
      <c r="BZ61" s="9">
        <f>IF(74&lt;=核心参数输入!$B$9*4,IF(AND((核心参数输入!$B$10*核心参数输入!$B$11*核心参数输入!$B$12*核心参数输入!$B$143)&gt;0,74=核心参数输入!$B$9*4),BZ59-BZ56,0),0)</f>
        <v>0</v>
      </c>
      <c r="CA61" s="9">
        <f>IF(75&lt;=核心参数输入!$B$9*4,IF(AND((核心参数输入!$B$10*核心参数输入!$B$11*核心参数输入!$B$12*核心参数输入!$B$143)&gt;0,75=核心参数输入!$B$9*4),CA59-CA56,0),0)</f>
        <v>0</v>
      </c>
      <c r="CB61" s="9">
        <f>IF(76&lt;=核心参数输入!$B$9*4,IF(AND((核心参数输入!$B$10*核心参数输入!$B$11*核心参数输入!$B$12*核心参数输入!$B$143)&gt;0,76=核心参数输入!$B$9*4),CB59-CB56,0),0)</f>
        <v>0</v>
      </c>
      <c r="CC61" s="9">
        <f>IF(77&lt;=核心参数输入!$B$9*4,IF(AND((核心参数输入!$B$10*核心参数输入!$B$11*核心参数输入!$B$12*核心参数输入!$B$143)&gt;0,77=核心参数输入!$B$9*4),CC59-CC56,0),0)</f>
        <v>0</v>
      </c>
      <c r="CD61" s="9">
        <f>IF(78&lt;=核心参数输入!$B$9*4,IF(AND((核心参数输入!$B$10*核心参数输入!$B$11*核心参数输入!$B$12*核心参数输入!$B$143)&gt;0,78=核心参数输入!$B$9*4),CD59-CD56,0),0)</f>
        <v>0</v>
      </c>
      <c r="CE61" s="9">
        <f>IF(79&lt;=核心参数输入!$B$9*4,IF(AND((核心参数输入!$B$10*核心参数输入!$B$11*核心参数输入!$B$12*核心参数输入!$B$143)&gt;0,79=核心参数输入!$B$9*4),CE59-CE56,0),0)</f>
        <v>0</v>
      </c>
      <c r="CF61" s="9">
        <f>IF(80&lt;=核心参数输入!$B$9*4,IF(AND((核心参数输入!$B$10*核心参数输入!$B$11*核心参数输入!$B$12*核心参数输入!$B$143)&gt;0,80=核心参数输入!$B$9*4),CF59-CF56,0),0)</f>
        <v>15337.222500000025</v>
      </c>
      <c r="CG61" s="9">
        <f>IF(81&lt;=核心参数输入!$B$9*4,IF(AND((核心参数输入!$B$10*核心参数输入!$B$11*核心参数输入!$B$12*核心参数输入!$B$143)&gt;0,81=核心参数输入!$B$9*4),CG59-CG56,0),0)</f>
        <v>0</v>
      </c>
      <c r="CH61" s="9">
        <f>IF(82&lt;=核心参数输入!$B$9*4,IF(AND((核心参数输入!$B$10*核心参数输入!$B$11*核心参数输入!$B$12*核心参数输入!$B$143)&gt;0,82=核心参数输入!$B$9*4),CH59-CH56,0),0)</f>
        <v>0</v>
      </c>
      <c r="CI61" s="9">
        <f>IF(83&lt;=核心参数输入!$B$9*4,IF(AND((核心参数输入!$B$10*核心参数输入!$B$11*核心参数输入!$B$12*核心参数输入!$B$143)&gt;0,83=核心参数输入!$B$9*4),CI59-CI56,0),0)</f>
        <v>0</v>
      </c>
      <c r="CJ61" s="9">
        <f>IF(84&lt;=核心参数输入!$B$9*4,IF(AND((核心参数输入!$B$10*核心参数输入!$B$11*核心参数输入!$B$12*核心参数输入!$B$143)&gt;0,84=核心参数输入!$B$9*4),CJ59-CJ56,0),0)</f>
        <v>0</v>
      </c>
      <c r="CK61" s="9">
        <f>IF(85&lt;=核心参数输入!$B$9*4,IF(AND((核心参数输入!$B$10*核心参数输入!$B$11*核心参数输入!$B$12*核心参数输入!$B$143)&gt;0,85=核心参数输入!$B$9*4),CK59-CK56,0),0)</f>
        <v>0</v>
      </c>
      <c r="CL61" s="9">
        <f>IF(86&lt;=核心参数输入!$B$9*4,IF(AND((核心参数输入!$B$10*核心参数输入!$B$11*核心参数输入!$B$12*核心参数输入!$B$143)&gt;0,86=核心参数输入!$B$9*4),CL59-CL56,0),0)</f>
        <v>0</v>
      </c>
      <c r="CM61" s="9">
        <f>IF(87&lt;=核心参数输入!$B$9*4,IF(AND((核心参数输入!$B$10*核心参数输入!$B$11*核心参数输入!$B$12*核心参数输入!$B$143)&gt;0,87=核心参数输入!$B$9*4),CM59-CM56,0),0)</f>
        <v>0</v>
      </c>
      <c r="CN61" s="9">
        <f>IF(88&lt;=核心参数输入!$B$9*4,IF(AND((核心参数输入!$B$10*核心参数输入!$B$11*核心参数输入!$B$12*核心参数输入!$B$143)&gt;0,88=核心参数输入!$B$9*4),CN59-CN56,0),0)</f>
        <v>0</v>
      </c>
      <c r="CO61" s="9">
        <f>IF(89&lt;=核心参数输入!$B$9*4,IF(AND((核心参数输入!$B$10*核心参数输入!$B$11*核心参数输入!$B$12*核心参数输入!$B$143)&gt;0,89=核心参数输入!$B$9*4),CO59-CO56,0),0)</f>
        <v>0</v>
      </c>
      <c r="CP61" s="9">
        <f>IF(90&lt;=核心参数输入!$B$9*4,IF(AND((核心参数输入!$B$10*核心参数输入!$B$11*核心参数输入!$B$12*核心参数输入!$B$143)&gt;0,90=核心参数输入!$B$9*4),CP59-CP56,0),0)</f>
        <v>0</v>
      </c>
      <c r="CQ61" s="9">
        <f>IF(91&lt;=核心参数输入!$B$9*4,IF(AND((核心参数输入!$B$10*核心参数输入!$B$11*核心参数输入!$B$12*核心参数输入!$B$143)&gt;0,91=核心参数输入!$B$9*4),CQ59-CQ56,0),0)</f>
        <v>0</v>
      </c>
      <c r="CR61" s="9">
        <f>IF(92&lt;=核心参数输入!$B$9*4,IF(AND((核心参数输入!$B$10*核心参数输入!$B$11*核心参数输入!$B$12*核心参数输入!$B$143)&gt;0,92=核心参数输入!$B$9*4),CR59-CR56,0),0)</f>
        <v>0</v>
      </c>
      <c r="CS61" s="9">
        <f>IF(93&lt;=核心参数输入!$B$9*4,IF(AND((核心参数输入!$B$10*核心参数输入!$B$11*核心参数输入!$B$12*核心参数输入!$B$143)&gt;0,93=核心参数输入!$B$9*4),CS59-CS56,0),0)</f>
        <v>0</v>
      </c>
      <c r="CT61" s="9">
        <f>IF(94&lt;=核心参数输入!$B$9*4,IF(AND((核心参数输入!$B$10*核心参数输入!$B$11*核心参数输入!$B$12*核心参数输入!$B$143)&gt;0,94=核心参数输入!$B$9*4),CT59-CT56,0),0)</f>
        <v>0</v>
      </c>
      <c r="CU61" s="9">
        <f>IF(95&lt;=核心参数输入!$B$9*4,IF(AND((核心参数输入!$B$10*核心参数输入!$B$11*核心参数输入!$B$12*核心参数输入!$B$143)&gt;0,95=核心参数输入!$B$9*4),CU59-CU56,0),0)</f>
        <v>0</v>
      </c>
      <c r="CV61" s="9">
        <f>IF(96&lt;=核心参数输入!$B$9*4,IF(AND((核心参数输入!$B$10*核心参数输入!$B$11*核心参数输入!$B$12*核心参数输入!$B$143)&gt;0,96=核心参数输入!$B$9*4),CV59-CV56,0),0)</f>
        <v>0</v>
      </c>
      <c r="CW61" s="9">
        <f>IF(97&lt;=核心参数输入!$B$9*4,IF(AND((核心参数输入!$B$10*核心参数输入!$B$11*核心参数输入!$B$12*核心参数输入!$B$143)&gt;0,97=核心参数输入!$B$9*4),CW59-CW56,0),0)</f>
        <v>0</v>
      </c>
      <c r="CX61" s="9">
        <f>IF(98&lt;=核心参数输入!$B$9*4,IF(AND((核心参数输入!$B$10*核心参数输入!$B$11*核心参数输入!$B$12*核心参数输入!$B$143)&gt;0,98=核心参数输入!$B$9*4),CX59-CX56,0),0)</f>
        <v>0</v>
      </c>
      <c r="CY61" s="9">
        <f>IF(99&lt;=核心参数输入!$B$9*4,IF(AND((核心参数输入!$B$10*核心参数输入!$B$11*核心参数输入!$B$12*核心参数输入!$B$143)&gt;0,99=核心参数输入!$B$9*4),CY59-CY56,0),0)</f>
        <v>0</v>
      </c>
      <c r="CZ61" s="9">
        <f>IF(100&lt;=核心参数输入!$B$9*4,IF(AND((核心参数输入!$B$10*核心参数输入!$B$11*核心参数输入!$B$12*核心参数输入!$B$143)&gt;0,100=核心参数输入!$B$9*4),CZ59-CZ56,0),0)</f>
        <v>0</v>
      </c>
      <c r="DA61" s="9">
        <f>IF(101&lt;=核心参数输入!$B$9*4,IF(AND((核心参数输入!$B$10*核心参数输入!$B$11*核心参数输入!$B$12*核心参数输入!$B$143)&gt;0,101=核心参数输入!$B$9*4),DA59-DA56,0),0)</f>
        <v>0</v>
      </c>
      <c r="DB61" s="9">
        <f>IF(102&lt;=核心参数输入!$B$9*4,IF(AND((核心参数输入!$B$10*核心参数输入!$B$11*核心参数输入!$B$12*核心参数输入!$B$143)&gt;0,102=核心参数输入!$B$9*4),DB59-DB56,0),0)</f>
        <v>0</v>
      </c>
      <c r="DC61" s="9">
        <f>IF(103&lt;=核心参数输入!$B$9*4,IF(AND((核心参数输入!$B$10*核心参数输入!$B$11*核心参数输入!$B$12*核心参数输入!$B$143)&gt;0,103=核心参数输入!$B$9*4),DC59-DC56,0),0)</f>
        <v>0</v>
      </c>
      <c r="DD61" s="9">
        <f>IF(104&lt;=核心参数输入!$B$9*4,IF(AND((核心参数输入!$B$10*核心参数输入!$B$11*核心参数输入!$B$12*核心参数输入!$B$143)&gt;0,104=核心参数输入!$B$9*4),DD59-DD56,0),0)</f>
        <v>0</v>
      </c>
      <c r="DE61" s="9">
        <f>IF(105&lt;=核心参数输入!$B$9*4,IF(AND((核心参数输入!$B$10*核心参数输入!$B$11*核心参数输入!$B$12*核心参数输入!$B$143)&gt;0,105=核心参数输入!$B$9*4),DE59-DE56,0),0)</f>
        <v>0</v>
      </c>
      <c r="DF61" s="9">
        <f>IF(106&lt;=核心参数输入!$B$9*4,IF(AND((核心参数输入!$B$10*核心参数输入!$B$11*核心参数输入!$B$12*核心参数输入!$B$143)&gt;0,106=核心参数输入!$B$9*4),DF59-DF56,0),0)</f>
        <v>0</v>
      </c>
      <c r="DG61" s="9">
        <f>IF(107&lt;=核心参数输入!$B$9*4,IF(AND((核心参数输入!$B$10*核心参数输入!$B$11*核心参数输入!$B$12*核心参数输入!$B$143)&gt;0,107=核心参数输入!$B$9*4),DG59-DG56,0),0)</f>
        <v>0</v>
      </c>
      <c r="DH61" s="9">
        <f>IF(108&lt;=核心参数输入!$B$9*4,IF(AND((核心参数输入!$B$10*核心参数输入!$B$11*核心参数输入!$B$12*核心参数输入!$B$143)&gt;0,108=核心参数输入!$B$9*4),DH59-DH56,0),0)</f>
        <v>0</v>
      </c>
      <c r="DI61" s="9">
        <f>IF(109&lt;=核心参数输入!$B$9*4,IF(AND((核心参数输入!$B$10*核心参数输入!$B$11*核心参数输入!$B$12*核心参数输入!$B$143)&gt;0,109=核心参数输入!$B$9*4),DI59-DI56,0),0)</f>
        <v>0</v>
      </c>
      <c r="DJ61" s="9">
        <f>IF(110&lt;=核心参数输入!$B$9*4,IF(AND((核心参数输入!$B$10*核心参数输入!$B$11*核心参数输入!$B$12*核心参数输入!$B$143)&gt;0,110=核心参数输入!$B$9*4),DJ59-DJ56,0),0)</f>
        <v>0</v>
      </c>
      <c r="DK61" s="9">
        <f>IF(111&lt;=核心参数输入!$B$9*4,IF(AND((核心参数输入!$B$10*核心参数输入!$B$11*核心参数输入!$B$12*核心参数输入!$B$143)&gt;0,111=核心参数输入!$B$9*4),DK59-DK56,0),0)</f>
        <v>0</v>
      </c>
      <c r="DL61" s="9">
        <f>IF(112&lt;=核心参数输入!$B$9*4,IF(AND((核心参数输入!$B$10*核心参数输入!$B$11*核心参数输入!$B$12*核心参数输入!$B$143)&gt;0,112=核心参数输入!$B$9*4),DL59-DL56,0),0)</f>
        <v>0</v>
      </c>
      <c r="DM61" s="9">
        <f>IF(113&lt;=核心参数输入!$B$9*4,IF(AND((核心参数输入!$B$10*核心参数输入!$B$11*核心参数输入!$B$12*核心参数输入!$B$143)&gt;0,113=核心参数输入!$B$9*4),DM59-DM56,0),0)</f>
        <v>0</v>
      </c>
      <c r="DN61" s="9">
        <f>IF(114&lt;=核心参数输入!$B$9*4,IF(AND((核心参数输入!$B$10*核心参数输入!$B$11*核心参数输入!$B$12*核心参数输入!$B$143)&gt;0,114=核心参数输入!$B$9*4),DN59-DN56,0),0)</f>
        <v>0</v>
      </c>
      <c r="DO61" s="9">
        <f>IF(115&lt;=核心参数输入!$B$9*4,IF(AND((核心参数输入!$B$10*核心参数输入!$B$11*核心参数输入!$B$12*核心参数输入!$B$143)&gt;0,115=核心参数输入!$B$9*4),DO59-DO56,0),0)</f>
        <v>0</v>
      </c>
      <c r="DP61" s="9">
        <f>IF(116&lt;=核心参数输入!$B$9*4,IF(AND((核心参数输入!$B$10*核心参数输入!$B$11*核心参数输入!$B$12*核心参数输入!$B$143)&gt;0,116=核心参数输入!$B$9*4),DP59-DP56,0),0)</f>
        <v>0</v>
      </c>
      <c r="DQ61" s="9">
        <f>IF(117&lt;=核心参数输入!$B$9*4,IF(AND((核心参数输入!$B$10*核心参数输入!$B$11*核心参数输入!$B$12*核心参数输入!$B$143)&gt;0,117=核心参数输入!$B$9*4),DQ59-DQ56,0),0)</f>
        <v>0</v>
      </c>
      <c r="DR61" s="9">
        <f>IF(118&lt;=核心参数输入!$B$9*4,IF(AND((核心参数输入!$B$10*核心参数输入!$B$11*核心参数输入!$B$12*核心参数输入!$B$143)&gt;0,118=核心参数输入!$B$9*4),DR59-DR56,0),0)</f>
        <v>0</v>
      </c>
      <c r="DS61" s="9">
        <f>IF(119&lt;=核心参数输入!$B$9*4,IF(AND((核心参数输入!$B$10*核心参数输入!$B$11*核心参数输入!$B$12*核心参数输入!$B$143)&gt;0,119=核心参数输入!$B$9*4),DS59-DS56,0),0)</f>
        <v>0</v>
      </c>
      <c r="DT61" s="9">
        <f>IF(120&lt;=核心参数输入!$B$9*4,IF(AND((核心参数输入!$B$10*核心参数输入!$B$11*核心参数输入!$B$12*核心参数输入!$B$143)&gt;0,120=核心参数输入!$B$9*4),DT59-DT56,0),0)</f>
        <v>0</v>
      </c>
    </row>
    <row r="62" spans="1:124" ht="21" customHeight="1">
      <c r="A62" s="8" t="s">
        <v>493</v>
      </c>
      <c r="B62" s="8" t="s">
        <v>39</v>
      </c>
      <c r="C62" s="8"/>
      <c r="D62" s="9">
        <f>IF(0&lt;=核心参数输入!$B$9*4,SUMIFS(年度所得税!$D$15:$AH$15,年度所得税!$D$4:$AH$4,(0-核心参数输入!$B$111)/4)+IF(0=核心参数输入!$B$9*4,SUMIFS(年度所得税!$D$15:$AH$15,年度所得税!$D$4:$AH$4,"&gt;"&amp;(核心参数输入!$B$9*4-核心参数输入!$B$111)/4),0),0)</f>
        <v>0</v>
      </c>
      <c r="E62" s="9">
        <f>IF(1&lt;=核心参数输入!$B$9*4,SUMIFS(年度所得税!$D$15:$AH$15,年度所得税!$D$4:$AH$4,(1-核心参数输入!$B$111)/4)+IF(1=核心参数输入!$B$9*4,SUMIFS(年度所得税!$D$15:$AH$15,年度所得税!$D$4:$AH$4,"&gt;"&amp;(核心参数输入!$B$9*4-核心参数输入!$B$111)/4),0),0)</f>
        <v>0</v>
      </c>
      <c r="F62" s="9">
        <f>IF(2&lt;=核心参数输入!$B$9*4,SUMIFS(年度所得税!$D$15:$AH$15,年度所得税!$D$4:$AH$4,(2-核心参数输入!$B$111)/4)+IF(2=核心参数输入!$B$9*4,SUMIFS(年度所得税!$D$15:$AH$15,年度所得税!$D$4:$AH$4,"&gt;"&amp;(核心参数输入!$B$9*4-核心参数输入!$B$111)/4),0),0)</f>
        <v>0</v>
      </c>
      <c r="G62" s="9">
        <f>IF(3&lt;=核心参数输入!$B$9*4,SUMIFS(年度所得税!$D$15:$AH$15,年度所得税!$D$4:$AH$4,(3-核心参数输入!$B$111)/4)+IF(3=核心参数输入!$B$9*4,SUMIFS(年度所得税!$D$15:$AH$15,年度所得税!$D$4:$AH$4,"&gt;"&amp;(核心参数输入!$B$9*4-核心参数输入!$B$111)/4),0),0)</f>
        <v>0</v>
      </c>
      <c r="H62" s="9">
        <f>IF(4&lt;=核心参数输入!$B$9*4,SUMIFS(年度所得税!$D$15:$AH$15,年度所得税!$D$4:$AH$4,(4-核心参数输入!$B$111)/4)+IF(4=核心参数输入!$B$9*4,SUMIFS(年度所得税!$D$15:$AH$15,年度所得税!$D$4:$AH$4,"&gt;"&amp;(核心参数输入!$B$9*4-核心参数输入!$B$111)/4),0),0)</f>
        <v>0</v>
      </c>
      <c r="I62" s="9">
        <f>IF(5&lt;=核心参数输入!$B$9*4,SUMIFS(年度所得税!$D$15:$AH$15,年度所得税!$D$4:$AH$4,(5-核心参数输入!$B$111)/4)+IF(5=核心参数输入!$B$9*4,SUMIFS(年度所得税!$D$15:$AH$15,年度所得税!$D$4:$AH$4,"&gt;"&amp;(核心参数输入!$B$9*4-核心参数输入!$B$111)/4),0),0)</f>
        <v>0</v>
      </c>
      <c r="J62" s="9">
        <f>IF(6&lt;=核心参数输入!$B$9*4,SUMIFS(年度所得税!$D$15:$AH$15,年度所得税!$D$4:$AH$4,(6-核心参数输入!$B$111)/4)+IF(6=核心参数输入!$B$9*4,SUMIFS(年度所得税!$D$15:$AH$15,年度所得税!$D$4:$AH$4,"&gt;"&amp;(核心参数输入!$B$9*4-核心参数输入!$B$111)/4),0),0)</f>
        <v>0</v>
      </c>
      <c r="K62" s="9">
        <f>IF(7&lt;=核心参数输入!$B$9*4,SUMIFS(年度所得税!$D$15:$AH$15,年度所得税!$D$4:$AH$4,(7-核心参数输入!$B$111)/4)+IF(7=核心参数输入!$B$9*4,SUMIFS(年度所得税!$D$15:$AH$15,年度所得税!$D$4:$AH$4,"&gt;"&amp;(核心参数输入!$B$9*4-核心参数输入!$B$111)/4),0),0)</f>
        <v>0</v>
      </c>
      <c r="L62" s="9">
        <f>IF(8&lt;=核心参数输入!$B$9*4,SUMIFS(年度所得税!$D$15:$AH$15,年度所得税!$D$4:$AH$4,(8-核心参数输入!$B$111)/4)+IF(8=核心参数输入!$B$9*4,SUMIFS(年度所得税!$D$15:$AH$15,年度所得税!$D$4:$AH$4,"&gt;"&amp;(核心参数输入!$B$9*4-核心参数输入!$B$111)/4),0),0)</f>
        <v>0</v>
      </c>
      <c r="M62" s="9">
        <f>IF(9&lt;=核心参数输入!$B$9*4,SUMIFS(年度所得税!$D$15:$AH$15,年度所得税!$D$4:$AH$4,(9-核心参数输入!$B$111)/4)+IF(9=核心参数输入!$B$9*4,SUMIFS(年度所得税!$D$15:$AH$15,年度所得税!$D$4:$AH$4,"&gt;"&amp;(核心参数输入!$B$9*4-核心参数输入!$B$111)/4),0),0)</f>
        <v>0</v>
      </c>
      <c r="N62" s="9">
        <f>IF(10&lt;=核心参数输入!$B$9*4,SUMIFS(年度所得税!$D$15:$AH$15,年度所得税!$D$4:$AH$4,(10-核心参数输入!$B$111)/4)+IF(10=核心参数输入!$B$9*4,SUMIFS(年度所得税!$D$15:$AH$15,年度所得税!$D$4:$AH$4,"&gt;"&amp;(核心参数输入!$B$9*4-核心参数输入!$B$111)/4),0),0)</f>
        <v>0</v>
      </c>
      <c r="O62" s="9">
        <f>IF(11&lt;=核心参数输入!$B$9*4,SUMIFS(年度所得税!$D$15:$AH$15,年度所得税!$D$4:$AH$4,(11-核心参数输入!$B$111)/4)+IF(11=核心参数输入!$B$9*4,SUMIFS(年度所得税!$D$15:$AH$15,年度所得税!$D$4:$AH$4,"&gt;"&amp;(核心参数输入!$B$9*4-核心参数输入!$B$111)/4),0),0)</f>
        <v>0</v>
      </c>
      <c r="P62" s="9">
        <f>IF(12&lt;=核心参数输入!$B$9*4,SUMIFS(年度所得税!$D$15:$AH$15,年度所得税!$D$4:$AH$4,(12-核心参数输入!$B$111)/4)+IF(12=核心参数输入!$B$9*4,SUMIFS(年度所得税!$D$15:$AH$15,年度所得税!$D$4:$AH$4,"&gt;"&amp;(核心参数输入!$B$9*4-核心参数输入!$B$111)/4),0),0)</f>
        <v>0</v>
      </c>
      <c r="Q62" s="9">
        <f>IF(13&lt;=核心参数输入!$B$9*4,SUMIFS(年度所得税!$D$15:$AH$15,年度所得税!$D$4:$AH$4,(13-核心参数输入!$B$111)/4)+IF(13=核心参数输入!$B$9*4,SUMIFS(年度所得税!$D$15:$AH$15,年度所得税!$D$4:$AH$4,"&gt;"&amp;(核心参数输入!$B$9*4-核心参数输入!$B$111)/4),0),0)</f>
        <v>0</v>
      </c>
      <c r="R62" s="9">
        <f>IF(14&lt;=核心参数输入!$B$9*4,SUMIFS(年度所得税!$D$15:$AH$15,年度所得税!$D$4:$AH$4,(14-核心参数输入!$B$111)/4)+IF(14=核心参数输入!$B$9*4,SUMIFS(年度所得税!$D$15:$AH$15,年度所得税!$D$4:$AH$4,"&gt;"&amp;(核心参数输入!$B$9*4-核心参数输入!$B$111)/4),0),0)</f>
        <v>0</v>
      </c>
      <c r="S62" s="9">
        <f>IF(15&lt;=核心参数输入!$B$9*4,SUMIFS(年度所得税!$D$15:$AH$15,年度所得税!$D$4:$AH$4,(15-核心参数输入!$B$111)/4)+IF(15=核心参数输入!$B$9*4,SUMIFS(年度所得税!$D$15:$AH$15,年度所得税!$D$4:$AH$4,"&gt;"&amp;(核心参数输入!$B$9*4-核心参数输入!$B$111)/4),0),0)</f>
        <v>0</v>
      </c>
      <c r="T62" s="9">
        <f>IF(16&lt;=核心参数输入!$B$9*4,SUMIFS(年度所得税!$D$15:$AH$15,年度所得税!$D$4:$AH$4,(16-核心参数输入!$B$111)/4)+IF(16=核心参数输入!$B$9*4,SUMIFS(年度所得税!$D$15:$AH$15,年度所得税!$D$4:$AH$4,"&gt;"&amp;(核心参数输入!$B$9*4-核心参数输入!$B$111)/4),0),0)</f>
        <v>456.28826245312541</v>
      </c>
      <c r="U62" s="9">
        <f>IF(17&lt;=核心参数输入!$B$9*4,SUMIFS(年度所得税!$D$15:$AH$15,年度所得税!$D$4:$AH$4,(17-核心参数输入!$B$111)/4)+IF(17=核心参数输入!$B$9*4,SUMIFS(年度所得税!$D$15:$AH$15,年度所得税!$D$4:$AH$4,"&gt;"&amp;(核心参数输入!$B$9*4-核心参数输入!$B$111)/4),0),0)</f>
        <v>0</v>
      </c>
      <c r="V62" s="9">
        <f>IF(18&lt;=核心参数输入!$B$9*4,SUMIFS(年度所得税!$D$15:$AH$15,年度所得税!$D$4:$AH$4,(18-核心参数输入!$B$111)/4)+IF(18=核心参数输入!$B$9*4,SUMIFS(年度所得税!$D$15:$AH$15,年度所得税!$D$4:$AH$4,"&gt;"&amp;(核心参数输入!$B$9*4-核心参数输入!$B$111)/4),0),0)</f>
        <v>0</v>
      </c>
      <c r="W62" s="9">
        <f>IF(19&lt;=核心参数输入!$B$9*4,SUMIFS(年度所得税!$D$15:$AH$15,年度所得税!$D$4:$AH$4,(19-核心参数输入!$B$111)/4)+IF(19=核心参数输入!$B$9*4,SUMIFS(年度所得税!$D$15:$AH$15,年度所得税!$D$4:$AH$4,"&gt;"&amp;(核心参数输入!$B$9*4-核心参数输入!$B$111)/4),0),0)</f>
        <v>0</v>
      </c>
      <c r="X62" s="9">
        <f>IF(20&lt;=核心参数输入!$B$9*4,SUMIFS(年度所得税!$D$15:$AH$15,年度所得税!$D$4:$AH$4,(20-核心参数输入!$B$111)/4)+IF(20=核心参数输入!$B$9*4,SUMIFS(年度所得税!$D$15:$AH$15,年度所得税!$D$4:$AH$4,"&gt;"&amp;(核心参数输入!$B$9*4-核心参数输入!$B$111)/4),0),0)</f>
        <v>859.95203410042154</v>
      </c>
      <c r="Y62" s="9">
        <f>IF(21&lt;=核心参数输入!$B$9*4,SUMIFS(年度所得税!$D$15:$AH$15,年度所得税!$D$4:$AH$4,(21-核心参数输入!$B$111)/4)+IF(21=核心参数输入!$B$9*4,SUMIFS(年度所得税!$D$15:$AH$15,年度所得税!$D$4:$AH$4,"&gt;"&amp;(核心参数输入!$B$9*4-核心参数输入!$B$111)/4),0),0)</f>
        <v>0</v>
      </c>
      <c r="Z62" s="9">
        <f>IF(22&lt;=核心参数输入!$B$9*4,SUMIFS(年度所得税!$D$15:$AH$15,年度所得税!$D$4:$AH$4,(22-核心参数输入!$B$111)/4)+IF(22=核心参数输入!$B$9*4,SUMIFS(年度所得税!$D$15:$AH$15,年度所得税!$D$4:$AH$4,"&gt;"&amp;(核心参数输入!$B$9*4-核心参数输入!$B$111)/4),0),0)</f>
        <v>0</v>
      </c>
      <c r="AA62" s="9">
        <f>IF(23&lt;=核心参数输入!$B$9*4,SUMIFS(年度所得税!$D$15:$AH$15,年度所得税!$D$4:$AH$4,(23-核心参数输入!$B$111)/4)+IF(23=核心参数输入!$B$9*4,SUMIFS(年度所得税!$D$15:$AH$15,年度所得税!$D$4:$AH$4,"&gt;"&amp;(核心参数输入!$B$9*4-核心参数输入!$B$111)/4),0),0)</f>
        <v>0</v>
      </c>
      <c r="AB62" s="9">
        <f>IF(24&lt;=核心参数输入!$B$9*4,SUMIFS(年度所得税!$D$15:$AH$15,年度所得税!$D$4:$AH$4,(24-核心参数输入!$B$111)/4)+IF(24=核心参数输入!$B$9*4,SUMIFS(年度所得税!$D$15:$AH$15,年度所得税!$D$4:$AH$4,"&gt;"&amp;(核心参数输入!$B$9*4-核心参数输入!$B$111)/4),0),0)</f>
        <v>699.82161416464828</v>
      </c>
      <c r="AC62" s="9">
        <f>IF(25&lt;=核心参数输入!$B$9*4,SUMIFS(年度所得税!$D$15:$AH$15,年度所得税!$D$4:$AH$4,(25-核心参数输入!$B$111)/4)+IF(25=核心参数输入!$B$9*4,SUMIFS(年度所得税!$D$15:$AH$15,年度所得税!$D$4:$AH$4,"&gt;"&amp;(核心参数输入!$B$9*4-核心参数输入!$B$111)/4),0),0)</f>
        <v>0</v>
      </c>
      <c r="AD62" s="9">
        <f>IF(26&lt;=核心参数输入!$B$9*4,SUMIFS(年度所得税!$D$15:$AH$15,年度所得税!$D$4:$AH$4,(26-核心参数输入!$B$111)/4)+IF(26=核心参数输入!$B$9*4,SUMIFS(年度所得税!$D$15:$AH$15,年度所得税!$D$4:$AH$4,"&gt;"&amp;(核心参数输入!$B$9*4-核心参数输入!$B$111)/4),0),0)</f>
        <v>0</v>
      </c>
      <c r="AE62" s="9">
        <f>IF(27&lt;=核心参数输入!$B$9*4,SUMIFS(年度所得税!$D$15:$AH$15,年度所得税!$D$4:$AH$4,(27-核心参数输入!$B$111)/4)+IF(27=核心参数输入!$B$9*4,SUMIFS(年度所得税!$D$15:$AH$15,年度所得税!$D$4:$AH$4,"&gt;"&amp;(核心参数输入!$B$9*4-核心参数输入!$B$111)/4),0),0)</f>
        <v>0</v>
      </c>
      <c r="AF62" s="9">
        <f>IF(28&lt;=核心参数输入!$B$9*4,SUMIFS(年度所得税!$D$15:$AH$15,年度所得税!$D$4:$AH$4,(28-核心参数输入!$B$111)/4)+IF(28=核心参数输入!$B$9*4,SUMIFS(年度所得税!$D$15:$AH$15,年度所得税!$D$4:$AH$4,"&gt;"&amp;(核心参数输入!$B$9*4-核心参数输入!$B$111)/4),0),0)</f>
        <v>27.665739764946178</v>
      </c>
      <c r="AG62" s="9">
        <f>IF(29&lt;=核心参数输入!$B$9*4,SUMIFS(年度所得税!$D$15:$AH$15,年度所得税!$D$4:$AH$4,(29-核心参数输入!$B$111)/4)+IF(29=核心参数输入!$B$9*4,SUMIFS(年度所得税!$D$15:$AH$15,年度所得税!$D$4:$AH$4,"&gt;"&amp;(核心参数输入!$B$9*4-核心参数输入!$B$111)/4),0),0)</f>
        <v>0</v>
      </c>
      <c r="AH62" s="9">
        <f>IF(30&lt;=核心参数输入!$B$9*4,SUMIFS(年度所得税!$D$15:$AH$15,年度所得税!$D$4:$AH$4,(30-核心参数输入!$B$111)/4)+IF(30=核心参数输入!$B$9*4,SUMIFS(年度所得税!$D$15:$AH$15,年度所得税!$D$4:$AH$4,"&gt;"&amp;(核心参数输入!$B$9*4-核心参数输入!$B$111)/4),0),0)</f>
        <v>0</v>
      </c>
      <c r="AI62" s="9">
        <f>IF(31&lt;=核心参数输入!$B$9*4,SUMIFS(年度所得税!$D$15:$AH$15,年度所得税!$D$4:$AH$4,(31-核心参数输入!$B$111)/4)+IF(31=核心参数输入!$B$9*4,SUMIFS(年度所得税!$D$15:$AH$15,年度所得税!$D$4:$AH$4,"&gt;"&amp;(核心参数输入!$B$9*4-核心参数输入!$B$111)/4),0),0)</f>
        <v>0</v>
      </c>
      <c r="AJ62" s="9">
        <f>IF(32&lt;=核心参数输入!$B$9*4,SUMIFS(年度所得税!$D$15:$AH$15,年度所得税!$D$4:$AH$4,(32-核心参数输入!$B$111)/4)+IF(32=核心参数输入!$B$9*4,SUMIFS(年度所得税!$D$15:$AH$15,年度所得税!$D$4:$AH$4,"&gt;"&amp;(核心参数输入!$B$9*4-核心参数输入!$B$111)/4),0),0)</f>
        <v>48.008667059666656</v>
      </c>
      <c r="AK62" s="9">
        <f>IF(33&lt;=核心参数输入!$B$9*4,SUMIFS(年度所得税!$D$15:$AH$15,年度所得税!$D$4:$AH$4,(33-核心参数输入!$B$111)/4)+IF(33=核心参数输入!$B$9*4,SUMIFS(年度所得税!$D$15:$AH$15,年度所得税!$D$4:$AH$4,"&gt;"&amp;(核心参数输入!$B$9*4-核心参数输入!$B$111)/4),0),0)</f>
        <v>0</v>
      </c>
      <c r="AL62" s="9">
        <f>IF(34&lt;=核心参数输入!$B$9*4,SUMIFS(年度所得税!$D$15:$AH$15,年度所得税!$D$4:$AH$4,(34-核心参数输入!$B$111)/4)+IF(34=核心参数输入!$B$9*4,SUMIFS(年度所得税!$D$15:$AH$15,年度所得税!$D$4:$AH$4,"&gt;"&amp;(核心参数输入!$B$9*4-核心参数输入!$B$111)/4),0),0)</f>
        <v>0</v>
      </c>
      <c r="AM62" s="9">
        <f>IF(35&lt;=核心参数输入!$B$9*4,SUMIFS(年度所得税!$D$15:$AH$15,年度所得税!$D$4:$AH$4,(35-核心参数输入!$B$111)/4)+IF(35=核心参数输入!$B$9*4,SUMIFS(年度所得税!$D$15:$AH$15,年度所得税!$D$4:$AH$4,"&gt;"&amp;(核心参数输入!$B$9*4-核心参数输入!$B$111)/4),0),0)</f>
        <v>0</v>
      </c>
      <c r="AN62" s="9">
        <f>IF(36&lt;=核心参数输入!$B$9*4,SUMIFS(年度所得税!$D$15:$AH$15,年度所得税!$D$4:$AH$4,(36-核心参数输入!$B$111)/4)+IF(36=核心参数输入!$B$9*4,SUMIFS(年度所得税!$D$15:$AH$15,年度所得税!$D$4:$AH$4,"&gt;"&amp;(核心参数输入!$B$9*4-核心参数输入!$B$111)/4),0),0)</f>
        <v>52.76784856251038</v>
      </c>
      <c r="AO62" s="9">
        <f>IF(37&lt;=核心参数输入!$B$9*4,SUMIFS(年度所得税!$D$15:$AH$15,年度所得税!$D$4:$AH$4,(37-核心参数输入!$B$111)/4)+IF(37=核心参数输入!$B$9*4,SUMIFS(年度所得税!$D$15:$AH$15,年度所得税!$D$4:$AH$4,"&gt;"&amp;(核心参数输入!$B$9*4-核心参数输入!$B$111)/4),0),0)</f>
        <v>0</v>
      </c>
      <c r="AP62" s="9">
        <f>IF(38&lt;=核心参数输入!$B$9*4,SUMIFS(年度所得税!$D$15:$AH$15,年度所得税!$D$4:$AH$4,(38-核心参数输入!$B$111)/4)+IF(38=核心参数输入!$B$9*4,SUMIFS(年度所得税!$D$15:$AH$15,年度所得税!$D$4:$AH$4,"&gt;"&amp;(核心参数输入!$B$9*4-核心参数输入!$B$111)/4),0),0)</f>
        <v>0</v>
      </c>
      <c r="AQ62" s="9">
        <f>IF(39&lt;=核心参数输入!$B$9*4,SUMIFS(年度所得税!$D$15:$AH$15,年度所得税!$D$4:$AH$4,(39-核心参数输入!$B$111)/4)+IF(39=核心参数输入!$B$9*4,SUMIFS(年度所得税!$D$15:$AH$15,年度所得税!$D$4:$AH$4,"&gt;"&amp;(核心参数输入!$B$9*4-核心参数输入!$B$111)/4),0),0)</f>
        <v>0</v>
      </c>
      <c r="AR62" s="9">
        <f>IF(40&lt;=核心参数输入!$B$9*4,SUMIFS(年度所得税!$D$15:$AH$15,年度所得税!$D$4:$AH$4,(40-核心参数输入!$B$111)/4)+IF(40=核心参数输入!$B$9*4,SUMIFS(年度所得税!$D$15:$AH$15,年度所得税!$D$4:$AH$4,"&gt;"&amp;(核心参数输入!$B$9*4-核心参数输入!$B$111)/4),0),0)</f>
        <v>56.918248489747988</v>
      </c>
      <c r="AS62" s="9">
        <f>IF(41&lt;=核心参数输入!$B$9*4,SUMIFS(年度所得税!$D$15:$AH$15,年度所得税!$D$4:$AH$4,(41-核心参数输入!$B$111)/4)+IF(41=核心参数输入!$B$9*4,SUMIFS(年度所得税!$D$15:$AH$15,年度所得税!$D$4:$AH$4,"&gt;"&amp;(核心参数输入!$B$9*4-核心参数输入!$B$111)/4),0),0)</f>
        <v>0</v>
      </c>
      <c r="AT62" s="9">
        <f>IF(42&lt;=核心参数输入!$B$9*4,SUMIFS(年度所得税!$D$15:$AH$15,年度所得税!$D$4:$AH$4,(42-核心参数输入!$B$111)/4)+IF(42=核心参数输入!$B$9*4,SUMIFS(年度所得税!$D$15:$AH$15,年度所得税!$D$4:$AH$4,"&gt;"&amp;(核心参数输入!$B$9*4-核心参数输入!$B$111)/4),0),0)</f>
        <v>0</v>
      </c>
      <c r="AU62" s="9">
        <f>IF(43&lt;=核心参数输入!$B$9*4,SUMIFS(年度所得税!$D$15:$AH$15,年度所得税!$D$4:$AH$4,(43-核心参数输入!$B$111)/4)+IF(43=核心参数输入!$B$9*4,SUMIFS(年度所得税!$D$15:$AH$15,年度所得税!$D$4:$AH$4,"&gt;"&amp;(核心参数输入!$B$9*4-核心参数输入!$B$111)/4),0),0)</f>
        <v>0</v>
      </c>
      <c r="AV62" s="9">
        <f>IF(44&lt;=核心参数输入!$B$9*4,SUMIFS(年度所得税!$D$15:$AH$15,年度所得税!$D$4:$AH$4,(44-核心参数输入!$B$111)/4)+IF(44=核心参数输入!$B$9*4,SUMIFS(年度所得税!$D$15:$AH$15,年度所得税!$D$4:$AH$4,"&gt;"&amp;(核心参数输入!$B$9*4-核心参数输入!$B$111)/4),0),0)</f>
        <v>61.122623809870191</v>
      </c>
      <c r="AW62" s="9">
        <f>IF(45&lt;=核心参数输入!$B$9*4,SUMIFS(年度所得税!$D$15:$AH$15,年度所得税!$D$4:$AH$4,(45-核心参数输入!$B$111)/4)+IF(45=核心参数输入!$B$9*4,SUMIFS(年度所得税!$D$15:$AH$15,年度所得税!$D$4:$AH$4,"&gt;"&amp;(核心参数输入!$B$9*4-核心参数输入!$B$111)/4),0),0)</f>
        <v>0</v>
      </c>
      <c r="AX62" s="9">
        <f>IF(46&lt;=核心参数输入!$B$9*4,SUMIFS(年度所得税!$D$15:$AH$15,年度所得税!$D$4:$AH$4,(46-核心参数输入!$B$111)/4)+IF(46=核心参数输入!$B$9*4,SUMIFS(年度所得税!$D$15:$AH$15,年度所得税!$D$4:$AH$4,"&gt;"&amp;(核心参数输入!$B$9*4-核心参数输入!$B$111)/4),0),0)</f>
        <v>0</v>
      </c>
      <c r="AY62" s="9">
        <f>IF(47&lt;=核心参数输入!$B$9*4,SUMIFS(年度所得税!$D$15:$AH$15,年度所得税!$D$4:$AH$4,(47-核心参数输入!$B$111)/4)+IF(47=核心参数输入!$B$9*4,SUMIFS(年度所得税!$D$15:$AH$15,年度所得税!$D$4:$AH$4,"&gt;"&amp;(核心参数输入!$B$9*4-核心参数输入!$B$111)/4),0),0)</f>
        <v>0</v>
      </c>
      <c r="AZ62" s="9">
        <f>IF(48&lt;=核心参数输入!$B$9*4,SUMIFS(年度所得税!$D$15:$AH$15,年度所得税!$D$4:$AH$4,(48-核心参数输入!$B$111)/4)+IF(48=核心参数输入!$B$9*4,SUMIFS(年度所得税!$D$15:$AH$15,年度所得税!$D$4:$AH$4,"&gt;"&amp;(核心参数输入!$B$9*4-核心参数输入!$B$111)/4),0),0)</f>
        <v>65.381618541649701</v>
      </c>
      <c r="BA62" s="9">
        <f>IF(49&lt;=核心参数输入!$B$9*4,SUMIFS(年度所得税!$D$15:$AH$15,年度所得税!$D$4:$AH$4,(49-核心参数输入!$B$111)/4)+IF(49=核心参数输入!$B$9*4,SUMIFS(年度所得税!$D$15:$AH$15,年度所得税!$D$4:$AH$4,"&gt;"&amp;(核心参数输入!$B$9*4-核心参数输入!$B$111)/4),0),0)</f>
        <v>0</v>
      </c>
      <c r="BB62" s="9">
        <f>IF(50&lt;=核心参数输入!$B$9*4,SUMIFS(年度所得税!$D$15:$AH$15,年度所得税!$D$4:$AH$4,(50-核心参数输入!$B$111)/4)+IF(50=核心参数输入!$B$9*4,SUMIFS(年度所得税!$D$15:$AH$15,年度所得税!$D$4:$AH$4,"&gt;"&amp;(核心参数输入!$B$9*4-核心参数输入!$B$111)/4),0),0)</f>
        <v>0</v>
      </c>
      <c r="BC62" s="9">
        <f>IF(51&lt;=核心参数输入!$B$9*4,SUMIFS(年度所得税!$D$15:$AH$15,年度所得税!$D$4:$AH$4,(51-核心参数输入!$B$111)/4)+IF(51=核心参数输入!$B$9*4,SUMIFS(年度所得税!$D$15:$AH$15,年度所得税!$D$4:$AH$4,"&gt;"&amp;(核心参数输入!$B$9*4-核心参数输入!$B$111)/4),0),0)</f>
        <v>0</v>
      </c>
      <c r="BD62" s="9">
        <f>IF(52&lt;=核心参数输入!$B$9*4,SUMIFS(年度所得税!$D$15:$AH$15,年度所得税!$D$4:$AH$4,(52-核心参数输入!$B$111)/4)+IF(52=核心参数输入!$B$9*4,SUMIFS(年度所得税!$D$15:$AH$15,年度所得税!$D$4:$AH$4,"&gt;"&amp;(核心参数输入!$B$9*4-核心参数输入!$B$111)/4),0),0)</f>
        <v>69.695883051898562</v>
      </c>
      <c r="BE62" s="9">
        <f>IF(53&lt;=核心参数输入!$B$9*4,SUMIFS(年度所得税!$D$15:$AH$15,年度所得税!$D$4:$AH$4,(53-核心参数输入!$B$111)/4)+IF(53=核心参数输入!$B$9*4,SUMIFS(年度所得税!$D$15:$AH$15,年度所得税!$D$4:$AH$4,"&gt;"&amp;(核心参数输入!$B$9*4-核心参数输入!$B$111)/4),0),0)</f>
        <v>0</v>
      </c>
      <c r="BF62" s="9">
        <f>IF(54&lt;=核心参数输入!$B$9*4,SUMIFS(年度所得税!$D$15:$AH$15,年度所得税!$D$4:$AH$4,(54-核心参数输入!$B$111)/4)+IF(54=核心参数输入!$B$9*4,SUMIFS(年度所得税!$D$15:$AH$15,年度所得税!$D$4:$AH$4,"&gt;"&amp;(核心参数输入!$B$9*4-核心参数输入!$B$111)/4),0),0)</f>
        <v>0</v>
      </c>
      <c r="BG62" s="9">
        <f>IF(55&lt;=核心参数输入!$B$9*4,SUMIFS(年度所得税!$D$15:$AH$15,年度所得税!$D$4:$AH$4,(55-核心参数输入!$B$111)/4)+IF(55=核心参数输入!$B$9*4,SUMIFS(年度所得税!$D$15:$AH$15,年度所得税!$D$4:$AH$4,"&gt;"&amp;(核心参数输入!$B$9*4-核心参数输入!$B$111)/4),0),0)</f>
        <v>0</v>
      </c>
      <c r="BH62" s="9">
        <f>IF(56&lt;=核心参数输入!$B$9*4,SUMIFS(年度所得税!$D$15:$AH$15,年度所得税!$D$4:$AH$4,(56-核心参数输入!$B$111)/4)+IF(56=核心参数输入!$B$9*4,SUMIFS(年度所得税!$D$15:$AH$15,年度所得税!$D$4:$AH$4,"&gt;"&amp;(核心参数输入!$B$9*4-核心参数输入!$B$111)/4),0),0)</f>
        <v>74.066074084443571</v>
      </c>
      <c r="BI62" s="9">
        <f>IF(57&lt;=核心参数输入!$B$9*4,SUMIFS(年度所得税!$D$15:$AH$15,年度所得税!$D$4:$AH$4,(57-核心参数输入!$B$111)/4)+IF(57=核心参数输入!$B$9*4,SUMIFS(年度所得税!$D$15:$AH$15,年度所得税!$D$4:$AH$4,"&gt;"&amp;(核心参数输入!$B$9*4-核心参数输入!$B$111)/4),0),0)</f>
        <v>0</v>
      </c>
      <c r="BJ62" s="9">
        <f>IF(58&lt;=核心参数输入!$B$9*4,SUMIFS(年度所得税!$D$15:$AH$15,年度所得税!$D$4:$AH$4,(58-核心参数输入!$B$111)/4)+IF(58=核心参数输入!$B$9*4,SUMIFS(年度所得税!$D$15:$AH$15,年度所得税!$D$4:$AH$4,"&gt;"&amp;(核心参数输入!$B$9*4-核心参数输入!$B$111)/4),0),0)</f>
        <v>0</v>
      </c>
      <c r="BK62" s="9">
        <f>IF(59&lt;=核心参数输入!$B$9*4,SUMIFS(年度所得税!$D$15:$AH$15,年度所得税!$D$4:$AH$4,(59-核心参数输入!$B$111)/4)+IF(59=核心参数输入!$B$9*4,SUMIFS(年度所得税!$D$15:$AH$15,年度所得税!$D$4:$AH$4,"&gt;"&amp;(核心参数输入!$B$9*4-核心参数输入!$B$111)/4),0),0)</f>
        <v>0</v>
      </c>
      <c r="BL62" s="9">
        <f>IF(60&lt;=核心参数输入!$B$9*4,SUMIFS(年度所得税!$D$15:$AH$15,年度所得税!$D$4:$AH$4,(60-核心参数输入!$B$111)/4)+IF(60=核心参数输入!$B$9*4,SUMIFS(年度所得税!$D$15:$AH$15,年度所得税!$D$4:$AH$4,"&gt;"&amp;(核心参数输入!$B$9*4-核心参数输入!$B$111)/4),0),0)</f>
        <v>78.492854788212213</v>
      </c>
      <c r="BM62" s="9">
        <f>IF(61&lt;=核心参数输入!$B$9*4,SUMIFS(年度所得税!$D$15:$AH$15,年度所得税!$D$4:$AH$4,(61-核心参数输入!$B$111)/4)+IF(61=核心参数输入!$B$9*4,SUMIFS(年度所得税!$D$15:$AH$15,年度所得税!$D$4:$AH$4,"&gt;"&amp;(核心参数输入!$B$9*4-核心参数输入!$B$111)/4),0),0)</f>
        <v>0</v>
      </c>
      <c r="BN62" s="9">
        <f>IF(62&lt;=核心参数输入!$B$9*4,SUMIFS(年度所得税!$D$15:$AH$15,年度所得税!$D$4:$AH$4,(62-核心参数输入!$B$111)/4)+IF(62=核心参数输入!$B$9*4,SUMIFS(年度所得税!$D$15:$AH$15,年度所得税!$D$4:$AH$4,"&gt;"&amp;(核心参数输入!$B$9*4-核心参数输入!$B$111)/4),0),0)</f>
        <v>0</v>
      </c>
      <c r="BO62" s="9">
        <f>IF(63&lt;=核心参数输入!$B$9*4,SUMIFS(年度所得税!$D$15:$AH$15,年度所得税!$D$4:$AH$4,(63-核心参数输入!$B$111)/4)+IF(63=核心参数输入!$B$9*4,SUMIFS(年度所得税!$D$15:$AH$15,年度所得税!$D$4:$AH$4,"&gt;"&amp;(核心参数输入!$B$9*4-核心参数输入!$B$111)/4),0),0)</f>
        <v>0</v>
      </c>
      <c r="BP62" s="9">
        <f>IF(64&lt;=核心参数输入!$B$9*4,SUMIFS(年度所得税!$D$15:$AH$15,年度所得税!$D$4:$AH$4,(64-核心参数输入!$B$111)/4)+IF(64=核心参数输入!$B$9*4,SUMIFS(年度所得税!$D$15:$AH$15,年度所得税!$D$4:$AH$4,"&gt;"&amp;(核心参数输入!$B$9*4-核心参数输入!$B$111)/4),0),0)</f>
        <v>82.976894744387224</v>
      </c>
      <c r="BQ62" s="9">
        <f>IF(65&lt;=核心参数输入!$B$9*4,SUMIFS(年度所得税!$D$15:$AH$15,年度所得税!$D$4:$AH$4,(65-核心参数输入!$B$111)/4)+IF(65=核心参数输入!$B$9*4,SUMIFS(年度所得税!$D$15:$AH$15,年度所得税!$D$4:$AH$4,"&gt;"&amp;(核心参数输入!$B$9*4-核心参数输入!$B$111)/4),0),0)</f>
        <v>0</v>
      </c>
      <c r="BR62" s="9">
        <f>IF(66&lt;=核心参数输入!$B$9*4,SUMIFS(年度所得税!$D$15:$AH$15,年度所得税!$D$4:$AH$4,(66-核心参数输入!$B$111)/4)+IF(66=核心参数输入!$B$9*4,SUMIFS(年度所得税!$D$15:$AH$15,年度所得税!$D$4:$AH$4,"&gt;"&amp;(核心参数输入!$B$9*4-核心参数输入!$B$111)/4),0),0)</f>
        <v>0</v>
      </c>
      <c r="BS62" s="9">
        <f>IF(67&lt;=核心参数输入!$B$9*4,SUMIFS(年度所得税!$D$15:$AH$15,年度所得税!$D$4:$AH$4,(67-核心参数输入!$B$111)/4)+IF(67=核心参数输入!$B$9*4,SUMIFS(年度所得税!$D$15:$AH$15,年度所得税!$D$4:$AH$4,"&gt;"&amp;(核心参数输入!$B$9*4-核心参数输入!$B$111)/4),0),0)</f>
        <v>0</v>
      </c>
      <c r="BT62" s="9">
        <f>IF(68&lt;=核心参数输入!$B$9*4,SUMIFS(年度所得税!$D$15:$AH$15,年度所得税!$D$4:$AH$4,(68-核心参数输入!$B$111)/4)+IF(68=核心参数输入!$B$9*4,SUMIFS(年度所得税!$D$15:$AH$15,年度所得税!$D$4:$AH$4,"&gt;"&amp;(核心参数输入!$B$9*4-核心参数输入!$B$111)/4),0),0)</f>
        <v>87.51886999259213</v>
      </c>
      <c r="BU62" s="9">
        <f>IF(69&lt;=核心参数输入!$B$9*4,SUMIFS(年度所得税!$D$15:$AH$15,年度所得税!$D$4:$AH$4,(69-核心参数输入!$B$111)/4)+IF(69=核心参数输入!$B$9*4,SUMIFS(年度所得税!$D$15:$AH$15,年度所得税!$D$4:$AH$4,"&gt;"&amp;(核心参数输入!$B$9*4-核心参数输入!$B$111)/4),0),0)</f>
        <v>0</v>
      </c>
      <c r="BV62" s="9">
        <f>IF(70&lt;=核心参数输入!$B$9*4,SUMIFS(年度所得税!$D$15:$AH$15,年度所得税!$D$4:$AH$4,(70-核心参数输入!$B$111)/4)+IF(70=核心参数输入!$B$9*4,SUMIFS(年度所得税!$D$15:$AH$15,年度所得税!$D$4:$AH$4,"&gt;"&amp;(核心参数输入!$B$9*4-核心参数输入!$B$111)/4),0),0)</f>
        <v>0</v>
      </c>
      <c r="BW62" s="9">
        <f>IF(71&lt;=核心参数输入!$B$9*4,SUMIFS(年度所得税!$D$15:$AH$15,年度所得税!$D$4:$AH$4,(71-核心参数输入!$B$111)/4)+IF(71=核心参数输入!$B$9*4,SUMIFS(年度所得税!$D$15:$AH$15,年度所得税!$D$4:$AH$4,"&gt;"&amp;(核心参数输入!$B$9*4-核心参数输入!$B$111)/4),0),0)</f>
        <v>0</v>
      </c>
      <c r="BX62" s="9">
        <f>IF(72&lt;=核心参数输入!$B$9*4,SUMIFS(年度所得税!$D$15:$AH$15,年度所得税!$D$4:$AH$4,(72-核心参数输入!$B$111)/4)+IF(72=核心参数输入!$B$9*4,SUMIFS(年度所得税!$D$15:$AH$15,年度所得税!$D$4:$AH$4,"&gt;"&amp;(核心参数输入!$B$9*4-核心参数输入!$B$111)/4),0),0)</f>
        <v>92.119463056060809</v>
      </c>
      <c r="BY62" s="9">
        <f>IF(73&lt;=核心参数输入!$B$9*4,SUMIFS(年度所得税!$D$15:$AH$15,年度所得税!$D$4:$AH$4,(73-核心参数输入!$B$111)/4)+IF(73=核心参数输入!$B$9*4,SUMIFS(年度所得税!$D$15:$AH$15,年度所得税!$D$4:$AH$4,"&gt;"&amp;(核心参数输入!$B$9*4-核心参数输入!$B$111)/4),0),0)</f>
        <v>0</v>
      </c>
      <c r="BZ62" s="9">
        <f>IF(74&lt;=核心参数输入!$B$9*4,SUMIFS(年度所得税!$D$15:$AH$15,年度所得税!$D$4:$AH$4,(74-核心参数输入!$B$111)/4)+IF(74=核心参数输入!$B$9*4,SUMIFS(年度所得税!$D$15:$AH$15,年度所得税!$D$4:$AH$4,"&gt;"&amp;(核心参数输入!$B$9*4-核心参数输入!$B$111)/4),0),0)</f>
        <v>0</v>
      </c>
      <c r="CA62" s="9">
        <f>IF(75&lt;=核心参数输入!$B$9*4,SUMIFS(年度所得税!$D$15:$AH$15,年度所得税!$D$4:$AH$4,(75-核心参数输入!$B$111)/4)+IF(75=核心参数输入!$B$9*4,SUMIFS(年度所得税!$D$15:$AH$15,年度所得税!$D$4:$AH$4,"&gt;"&amp;(核心参数输入!$B$9*4-核心参数输入!$B$111)/4),0),0)</f>
        <v>0</v>
      </c>
      <c r="CB62" s="9">
        <f>IF(76&lt;=核心参数输入!$B$9*4,SUMIFS(年度所得税!$D$15:$AH$15,年度所得税!$D$4:$AH$4,(76-核心参数输入!$B$111)/4)+IF(76=核心参数输入!$B$9*4,SUMIFS(年度所得税!$D$15:$AH$15,年度所得税!$D$4:$AH$4,"&gt;"&amp;(核心参数输入!$B$9*4-核心参数输入!$B$111)/4),0),0)</f>
        <v>96.779362965752995</v>
      </c>
      <c r="CC62" s="9">
        <f>IF(77&lt;=核心参数输入!$B$9*4,SUMIFS(年度所得税!$D$15:$AH$15,年度所得税!$D$4:$AH$4,(77-核心参数输入!$B$111)/4)+IF(77=核心参数输入!$B$9*4,SUMIFS(年度所得税!$D$15:$AH$15,年度所得税!$D$4:$AH$4,"&gt;"&amp;(核心参数输入!$B$9*4-核心参数输入!$B$111)/4),0),0)</f>
        <v>0</v>
      </c>
      <c r="CD62" s="9">
        <f>IF(78&lt;=核心参数输入!$B$9*4,SUMIFS(年度所得税!$D$15:$AH$15,年度所得税!$D$4:$AH$4,(78-核心参数输入!$B$111)/4)+IF(78=核心参数输入!$B$9*4,SUMIFS(年度所得税!$D$15:$AH$15,年度所得税!$D$4:$AH$4,"&gt;"&amp;(核心参数输入!$B$9*4-核心参数输入!$B$111)/4),0),0)</f>
        <v>0</v>
      </c>
      <c r="CE62" s="9">
        <f>IF(79&lt;=核心参数输入!$B$9*4,SUMIFS(年度所得税!$D$15:$AH$15,年度所得税!$D$4:$AH$4,(79-核心参数输入!$B$111)/4)+IF(79=核心参数输入!$B$9*4,SUMIFS(年度所得税!$D$15:$AH$15,年度所得税!$D$4:$AH$4,"&gt;"&amp;(核心参数输入!$B$9*4-核心参数输入!$B$111)/4),0),0)</f>
        <v>0</v>
      </c>
      <c r="CF62" s="9">
        <f>IF(80&lt;=核心参数输入!$B$9*4,SUMIFS(年度所得税!$D$15:$AH$15,年度所得税!$D$4:$AH$4,(80-核心参数输入!$B$111)/4)+IF(80=核心参数输入!$B$9*4,SUMIFS(年度所得税!$D$15:$AH$15,年度所得税!$D$4:$AH$4,"&gt;"&amp;(核心参数输入!$B$9*4-核心参数输入!$B$111)/4),0),0)</f>
        <v>101.49926528336751</v>
      </c>
      <c r="CG62" s="9">
        <f>IF(81&lt;=核心参数输入!$B$9*4,SUMIFS(年度所得税!$D$15:$AH$15,年度所得税!$D$4:$AH$4,(81-核心参数输入!$B$111)/4)+IF(81=核心参数输入!$B$9*4,SUMIFS(年度所得税!$D$15:$AH$15,年度所得税!$D$4:$AH$4,"&gt;"&amp;(核心参数输入!$B$9*4-核心参数输入!$B$111)/4),0),0)</f>
        <v>0</v>
      </c>
      <c r="CH62" s="9">
        <f>IF(82&lt;=核心参数输入!$B$9*4,SUMIFS(年度所得税!$D$15:$AH$15,年度所得税!$D$4:$AH$4,(82-核心参数输入!$B$111)/4)+IF(82=核心参数输入!$B$9*4,SUMIFS(年度所得税!$D$15:$AH$15,年度所得税!$D$4:$AH$4,"&gt;"&amp;(核心参数输入!$B$9*4-核心参数输入!$B$111)/4),0),0)</f>
        <v>0</v>
      </c>
      <c r="CI62" s="9">
        <f>IF(83&lt;=核心参数输入!$B$9*4,SUMIFS(年度所得税!$D$15:$AH$15,年度所得税!$D$4:$AH$4,(83-核心参数输入!$B$111)/4)+IF(83=核心参数输入!$B$9*4,SUMIFS(年度所得税!$D$15:$AH$15,年度所得税!$D$4:$AH$4,"&gt;"&amp;(核心参数输入!$B$9*4-核心参数输入!$B$111)/4),0),0)</f>
        <v>0</v>
      </c>
      <c r="CJ62" s="9">
        <f>IF(84&lt;=核心参数输入!$B$9*4,SUMIFS(年度所得税!$D$15:$AH$15,年度所得税!$D$4:$AH$4,(84-核心参数输入!$B$111)/4)+IF(84=核心参数输入!$B$9*4,SUMIFS(年度所得税!$D$15:$AH$15,年度所得税!$D$4:$AH$4,"&gt;"&amp;(核心参数输入!$B$9*4-核心参数输入!$B$111)/4),0),0)</f>
        <v>0</v>
      </c>
      <c r="CK62" s="9">
        <f>IF(85&lt;=核心参数输入!$B$9*4,SUMIFS(年度所得税!$D$15:$AH$15,年度所得税!$D$4:$AH$4,(85-核心参数输入!$B$111)/4)+IF(85=核心参数输入!$B$9*4,SUMIFS(年度所得税!$D$15:$AH$15,年度所得税!$D$4:$AH$4,"&gt;"&amp;(核心参数输入!$B$9*4-核心参数输入!$B$111)/4),0),0)</f>
        <v>0</v>
      </c>
      <c r="CL62" s="9">
        <f>IF(86&lt;=核心参数输入!$B$9*4,SUMIFS(年度所得税!$D$15:$AH$15,年度所得税!$D$4:$AH$4,(86-核心参数输入!$B$111)/4)+IF(86=核心参数输入!$B$9*4,SUMIFS(年度所得税!$D$15:$AH$15,年度所得税!$D$4:$AH$4,"&gt;"&amp;(核心参数输入!$B$9*4-核心参数输入!$B$111)/4),0),0)</f>
        <v>0</v>
      </c>
      <c r="CM62" s="9">
        <f>IF(87&lt;=核心参数输入!$B$9*4,SUMIFS(年度所得税!$D$15:$AH$15,年度所得税!$D$4:$AH$4,(87-核心参数输入!$B$111)/4)+IF(87=核心参数输入!$B$9*4,SUMIFS(年度所得税!$D$15:$AH$15,年度所得税!$D$4:$AH$4,"&gt;"&amp;(核心参数输入!$B$9*4-核心参数输入!$B$111)/4),0),0)</f>
        <v>0</v>
      </c>
      <c r="CN62" s="9">
        <f>IF(88&lt;=核心参数输入!$B$9*4,SUMIFS(年度所得税!$D$15:$AH$15,年度所得税!$D$4:$AH$4,(88-核心参数输入!$B$111)/4)+IF(88=核心参数输入!$B$9*4,SUMIFS(年度所得税!$D$15:$AH$15,年度所得税!$D$4:$AH$4,"&gt;"&amp;(核心参数输入!$B$9*4-核心参数输入!$B$111)/4),0),0)</f>
        <v>0</v>
      </c>
      <c r="CO62" s="9">
        <f>IF(89&lt;=核心参数输入!$B$9*4,SUMIFS(年度所得税!$D$15:$AH$15,年度所得税!$D$4:$AH$4,(89-核心参数输入!$B$111)/4)+IF(89=核心参数输入!$B$9*4,SUMIFS(年度所得税!$D$15:$AH$15,年度所得税!$D$4:$AH$4,"&gt;"&amp;(核心参数输入!$B$9*4-核心参数输入!$B$111)/4),0),0)</f>
        <v>0</v>
      </c>
      <c r="CP62" s="9">
        <f>IF(90&lt;=核心参数输入!$B$9*4,SUMIFS(年度所得税!$D$15:$AH$15,年度所得税!$D$4:$AH$4,(90-核心参数输入!$B$111)/4)+IF(90=核心参数输入!$B$9*4,SUMIFS(年度所得税!$D$15:$AH$15,年度所得税!$D$4:$AH$4,"&gt;"&amp;(核心参数输入!$B$9*4-核心参数输入!$B$111)/4),0),0)</f>
        <v>0</v>
      </c>
      <c r="CQ62" s="9">
        <f>IF(91&lt;=核心参数输入!$B$9*4,SUMIFS(年度所得税!$D$15:$AH$15,年度所得税!$D$4:$AH$4,(91-核心参数输入!$B$111)/4)+IF(91=核心参数输入!$B$9*4,SUMIFS(年度所得税!$D$15:$AH$15,年度所得税!$D$4:$AH$4,"&gt;"&amp;(核心参数输入!$B$9*4-核心参数输入!$B$111)/4),0),0)</f>
        <v>0</v>
      </c>
      <c r="CR62" s="9">
        <f>IF(92&lt;=核心参数输入!$B$9*4,SUMIFS(年度所得税!$D$15:$AH$15,年度所得税!$D$4:$AH$4,(92-核心参数输入!$B$111)/4)+IF(92=核心参数输入!$B$9*4,SUMIFS(年度所得税!$D$15:$AH$15,年度所得税!$D$4:$AH$4,"&gt;"&amp;(核心参数输入!$B$9*4-核心参数输入!$B$111)/4),0),0)</f>
        <v>0</v>
      </c>
      <c r="CS62" s="9">
        <f>IF(93&lt;=核心参数输入!$B$9*4,SUMIFS(年度所得税!$D$15:$AH$15,年度所得税!$D$4:$AH$4,(93-核心参数输入!$B$111)/4)+IF(93=核心参数输入!$B$9*4,SUMIFS(年度所得税!$D$15:$AH$15,年度所得税!$D$4:$AH$4,"&gt;"&amp;(核心参数输入!$B$9*4-核心参数输入!$B$111)/4),0),0)</f>
        <v>0</v>
      </c>
      <c r="CT62" s="9">
        <f>IF(94&lt;=核心参数输入!$B$9*4,SUMIFS(年度所得税!$D$15:$AH$15,年度所得税!$D$4:$AH$4,(94-核心参数输入!$B$111)/4)+IF(94=核心参数输入!$B$9*4,SUMIFS(年度所得税!$D$15:$AH$15,年度所得税!$D$4:$AH$4,"&gt;"&amp;(核心参数输入!$B$9*4-核心参数输入!$B$111)/4),0),0)</f>
        <v>0</v>
      </c>
      <c r="CU62" s="9">
        <f>IF(95&lt;=核心参数输入!$B$9*4,SUMIFS(年度所得税!$D$15:$AH$15,年度所得税!$D$4:$AH$4,(95-核心参数输入!$B$111)/4)+IF(95=核心参数输入!$B$9*4,SUMIFS(年度所得税!$D$15:$AH$15,年度所得税!$D$4:$AH$4,"&gt;"&amp;(核心参数输入!$B$9*4-核心参数输入!$B$111)/4),0),0)</f>
        <v>0</v>
      </c>
      <c r="CV62" s="9">
        <f>IF(96&lt;=核心参数输入!$B$9*4,SUMIFS(年度所得税!$D$15:$AH$15,年度所得税!$D$4:$AH$4,(96-核心参数输入!$B$111)/4)+IF(96=核心参数输入!$B$9*4,SUMIFS(年度所得税!$D$15:$AH$15,年度所得税!$D$4:$AH$4,"&gt;"&amp;(核心参数输入!$B$9*4-核心参数输入!$B$111)/4),0),0)</f>
        <v>0</v>
      </c>
      <c r="CW62" s="9">
        <f>IF(97&lt;=核心参数输入!$B$9*4,SUMIFS(年度所得税!$D$15:$AH$15,年度所得税!$D$4:$AH$4,(97-核心参数输入!$B$111)/4)+IF(97=核心参数输入!$B$9*4,SUMIFS(年度所得税!$D$15:$AH$15,年度所得税!$D$4:$AH$4,"&gt;"&amp;(核心参数输入!$B$9*4-核心参数输入!$B$111)/4),0),0)</f>
        <v>0</v>
      </c>
      <c r="CX62" s="9">
        <f>IF(98&lt;=核心参数输入!$B$9*4,SUMIFS(年度所得税!$D$15:$AH$15,年度所得税!$D$4:$AH$4,(98-核心参数输入!$B$111)/4)+IF(98=核心参数输入!$B$9*4,SUMIFS(年度所得税!$D$15:$AH$15,年度所得税!$D$4:$AH$4,"&gt;"&amp;(核心参数输入!$B$9*4-核心参数输入!$B$111)/4),0),0)</f>
        <v>0</v>
      </c>
      <c r="CY62" s="9">
        <f>IF(99&lt;=核心参数输入!$B$9*4,SUMIFS(年度所得税!$D$15:$AH$15,年度所得税!$D$4:$AH$4,(99-核心参数输入!$B$111)/4)+IF(99=核心参数输入!$B$9*4,SUMIFS(年度所得税!$D$15:$AH$15,年度所得税!$D$4:$AH$4,"&gt;"&amp;(核心参数输入!$B$9*4-核心参数输入!$B$111)/4),0),0)</f>
        <v>0</v>
      </c>
      <c r="CZ62" s="9">
        <f>IF(100&lt;=核心参数输入!$B$9*4,SUMIFS(年度所得税!$D$15:$AH$15,年度所得税!$D$4:$AH$4,(100-核心参数输入!$B$111)/4)+IF(100=核心参数输入!$B$9*4,SUMIFS(年度所得税!$D$15:$AH$15,年度所得税!$D$4:$AH$4,"&gt;"&amp;(核心参数输入!$B$9*4-核心参数输入!$B$111)/4),0),0)</f>
        <v>0</v>
      </c>
      <c r="DA62" s="9">
        <f>IF(101&lt;=核心参数输入!$B$9*4,SUMIFS(年度所得税!$D$15:$AH$15,年度所得税!$D$4:$AH$4,(101-核心参数输入!$B$111)/4)+IF(101=核心参数输入!$B$9*4,SUMIFS(年度所得税!$D$15:$AH$15,年度所得税!$D$4:$AH$4,"&gt;"&amp;(核心参数输入!$B$9*4-核心参数输入!$B$111)/4),0),0)</f>
        <v>0</v>
      </c>
      <c r="DB62" s="9">
        <f>IF(102&lt;=核心参数输入!$B$9*4,SUMIFS(年度所得税!$D$15:$AH$15,年度所得税!$D$4:$AH$4,(102-核心参数输入!$B$111)/4)+IF(102=核心参数输入!$B$9*4,SUMIFS(年度所得税!$D$15:$AH$15,年度所得税!$D$4:$AH$4,"&gt;"&amp;(核心参数输入!$B$9*4-核心参数输入!$B$111)/4),0),0)</f>
        <v>0</v>
      </c>
      <c r="DC62" s="9">
        <f>IF(103&lt;=核心参数输入!$B$9*4,SUMIFS(年度所得税!$D$15:$AH$15,年度所得税!$D$4:$AH$4,(103-核心参数输入!$B$111)/4)+IF(103=核心参数输入!$B$9*4,SUMIFS(年度所得税!$D$15:$AH$15,年度所得税!$D$4:$AH$4,"&gt;"&amp;(核心参数输入!$B$9*4-核心参数输入!$B$111)/4),0),0)</f>
        <v>0</v>
      </c>
      <c r="DD62" s="9">
        <f>IF(104&lt;=核心参数输入!$B$9*4,SUMIFS(年度所得税!$D$15:$AH$15,年度所得税!$D$4:$AH$4,(104-核心参数输入!$B$111)/4)+IF(104=核心参数输入!$B$9*4,SUMIFS(年度所得税!$D$15:$AH$15,年度所得税!$D$4:$AH$4,"&gt;"&amp;(核心参数输入!$B$9*4-核心参数输入!$B$111)/4),0),0)</f>
        <v>0</v>
      </c>
      <c r="DE62" s="9">
        <f>IF(105&lt;=核心参数输入!$B$9*4,SUMIFS(年度所得税!$D$15:$AH$15,年度所得税!$D$4:$AH$4,(105-核心参数输入!$B$111)/4)+IF(105=核心参数输入!$B$9*4,SUMIFS(年度所得税!$D$15:$AH$15,年度所得税!$D$4:$AH$4,"&gt;"&amp;(核心参数输入!$B$9*4-核心参数输入!$B$111)/4),0),0)</f>
        <v>0</v>
      </c>
      <c r="DF62" s="9">
        <f>IF(106&lt;=核心参数输入!$B$9*4,SUMIFS(年度所得税!$D$15:$AH$15,年度所得税!$D$4:$AH$4,(106-核心参数输入!$B$111)/4)+IF(106=核心参数输入!$B$9*4,SUMIFS(年度所得税!$D$15:$AH$15,年度所得税!$D$4:$AH$4,"&gt;"&amp;(核心参数输入!$B$9*4-核心参数输入!$B$111)/4),0),0)</f>
        <v>0</v>
      </c>
      <c r="DG62" s="9">
        <f>IF(107&lt;=核心参数输入!$B$9*4,SUMIFS(年度所得税!$D$15:$AH$15,年度所得税!$D$4:$AH$4,(107-核心参数输入!$B$111)/4)+IF(107=核心参数输入!$B$9*4,SUMIFS(年度所得税!$D$15:$AH$15,年度所得税!$D$4:$AH$4,"&gt;"&amp;(核心参数输入!$B$9*4-核心参数输入!$B$111)/4),0),0)</f>
        <v>0</v>
      </c>
      <c r="DH62" s="9">
        <f>IF(108&lt;=核心参数输入!$B$9*4,SUMIFS(年度所得税!$D$15:$AH$15,年度所得税!$D$4:$AH$4,(108-核心参数输入!$B$111)/4)+IF(108=核心参数输入!$B$9*4,SUMIFS(年度所得税!$D$15:$AH$15,年度所得税!$D$4:$AH$4,"&gt;"&amp;(核心参数输入!$B$9*4-核心参数输入!$B$111)/4),0),0)</f>
        <v>0</v>
      </c>
      <c r="DI62" s="9">
        <f>IF(109&lt;=核心参数输入!$B$9*4,SUMIFS(年度所得税!$D$15:$AH$15,年度所得税!$D$4:$AH$4,(109-核心参数输入!$B$111)/4)+IF(109=核心参数输入!$B$9*4,SUMIFS(年度所得税!$D$15:$AH$15,年度所得税!$D$4:$AH$4,"&gt;"&amp;(核心参数输入!$B$9*4-核心参数输入!$B$111)/4),0),0)</f>
        <v>0</v>
      </c>
      <c r="DJ62" s="9">
        <f>IF(110&lt;=核心参数输入!$B$9*4,SUMIFS(年度所得税!$D$15:$AH$15,年度所得税!$D$4:$AH$4,(110-核心参数输入!$B$111)/4)+IF(110=核心参数输入!$B$9*4,SUMIFS(年度所得税!$D$15:$AH$15,年度所得税!$D$4:$AH$4,"&gt;"&amp;(核心参数输入!$B$9*4-核心参数输入!$B$111)/4),0),0)</f>
        <v>0</v>
      </c>
      <c r="DK62" s="9">
        <f>IF(111&lt;=核心参数输入!$B$9*4,SUMIFS(年度所得税!$D$15:$AH$15,年度所得税!$D$4:$AH$4,(111-核心参数输入!$B$111)/4)+IF(111=核心参数输入!$B$9*4,SUMIFS(年度所得税!$D$15:$AH$15,年度所得税!$D$4:$AH$4,"&gt;"&amp;(核心参数输入!$B$9*4-核心参数输入!$B$111)/4),0),0)</f>
        <v>0</v>
      </c>
      <c r="DL62" s="9">
        <f>IF(112&lt;=核心参数输入!$B$9*4,SUMIFS(年度所得税!$D$15:$AH$15,年度所得税!$D$4:$AH$4,(112-核心参数输入!$B$111)/4)+IF(112=核心参数输入!$B$9*4,SUMIFS(年度所得税!$D$15:$AH$15,年度所得税!$D$4:$AH$4,"&gt;"&amp;(核心参数输入!$B$9*4-核心参数输入!$B$111)/4),0),0)</f>
        <v>0</v>
      </c>
      <c r="DM62" s="9">
        <f>IF(113&lt;=核心参数输入!$B$9*4,SUMIFS(年度所得税!$D$15:$AH$15,年度所得税!$D$4:$AH$4,(113-核心参数输入!$B$111)/4)+IF(113=核心参数输入!$B$9*4,SUMIFS(年度所得税!$D$15:$AH$15,年度所得税!$D$4:$AH$4,"&gt;"&amp;(核心参数输入!$B$9*4-核心参数输入!$B$111)/4),0),0)</f>
        <v>0</v>
      </c>
      <c r="DN62" s="9">
        <f>IF(114&lt;=核心参数输入!$B$9*4,SUMIFS(年度所得税!$D$15:$AH$15,年度所得税!$D$4:$AH$4,(114-核心参数输入!$B$111)/4)+IF(114=核心参数输入!$B$9*4,SUMIFS(年度所得税!$D$15:$AH$15,年度所得税!$D$4:$AH$4,"&gt;"&amp;(核心参数输入!$B$9*4-核心参数输入!$B$111)/4),0),0)</f>
        <v>0</v>
      </c>
      <c r="DO62" s="9">
        <f>IF(115&lt;=核心参数输入!$B$9*4,SUMIFS(年度所得税!$D$15:$AH$15,年度所得税!$D$4:$AH$4,(115-核心参数输入!$B$111)/4)+IF(115=核心参数输入!$B$9*4,SUMIFS(年度所得税!$D$15:$AH$15,年度所得税!$D$4:$AH$4,"&gt;"&amp;(核心参数输入!$B$9*4-核心参数输入!$B$111)/4),0),0)</f>
        <v>0</v>
      </c>
      <c r="DP62" s="9">
        <f>IF(116&lt;=核心参数输入!$B$9*4,SUMIFS(年度所得税!$D$15:$AH$15,年度所得税!$D$4:$AH$4,(116-核心参数输入!$B$111)/4)+IF(116=核心参数输入!$B$9*4,SUMIFS(年度所得税!$D$15:$AH$15,年度所得税!$D$4:$AH$4,"&gt;"&amp;(核心参数输入!$B$9*4-核心参数输入!$B$111)/4),0),0)</f>
        <v>0</v>
      </c>
      <c r="DQ62" s="9">
        <f>IF(117&lt;=核心参数输入!$B$9*4,SUMIFS(年度所得税!$D$15:$AH$15,年度所得税!$D$4:$AH$4,(117-核心参数输入!$B$111)/4)+IF(117=核心参数输入!$B$9*4,SUMIFS(年度所得税!$D$15:$AH$15,年度所得税!$D$4:$AH$4,"&gt;"&amp;(核心参数输入!$B$9*4-核心参数输入!$B$111)/4),0),0)</f>
        <v>0</v>
      </c>
      <c r="DR62" s="9">
        <f>IF(118&lt;=核心参数输入!$B$9*4,SUMIFS(年度所得税!$D$15:$AH$15,年度所得税!$D$4:$AH$4,(118-核心参数输入!$B$111)/4)+IF(118=核心参数输入!$B$9*4,SUMIFS(年度所得税!$D$15:$AH$15,年度所得税!$D$4:$AH$4,"&gt;"&amp;(核心参数输入!$B$9*4-核心参数输入!$B$111)/4),0),0)</f>
        <v>0</v>
      </c>
      <c r="DS62" s="9">
        <f>IF(119&lt;=核心参数输入!$B$9*4,SUMIFS(年度所得税!$D$15:$AH$15,年度所得税!$D$4:$AH$4,(119-核心参数输入!$B$111)/4)+IF(119=核心参数输入!$B$9*4,SUMIFS(年度所得税!$D$15:$AH$15,年度所得税!$D$4:$AH$4,"&gt;"&amp;(核心参数输入!$B$9*4-核心参数输入!$B$111)/4),0),0)</f>
        <v>0</v>
      </c>
      <c r="DT62" s="9">
        <f>IF(120&lt;=核心参数输入!$B$9*4,SUMIFS(年度所得税!$D$15:$AH$15,年度所得税!$D$4:$AH$4,(120-核心参数输入!$B$111)/4)+IF(120=核心参数输入!$B$9*4,SUMIFS(年度所得税!$D$15:$AH$15,年度所得税!$D$4:$AH$4,"&gt;"&amp;(核心参数输入!$B$9*4-核心参数输入!$B$111)/4),0),0)</f>
        <v>0</v>
      </c>
    </row>
    <row r="63" spans="1:124" ht="21" customHeight="1">
      <c r="A63" s="8" t="s">
        <v>494</v>
      </c>
      <c r="B63" s="8" t="s">
        <v>39</v>
      </c>
      <c r="C63" s="8"/>
      <c r="D63" s="9">
        <f>IF(0&lt;=核心参数输入!$B$9*4,SUMIFS(年度所得税!$D$19:$AH$19,年度所得税!$D$4:$AH$4,(0-核心参数输入!$B$111)/4)+IF(0=核心参数输入!$B$9*4,SUMIFS(年度所得税!$D$19:$AH$19,年度所得税!$D$4:$AH$4,"&gt;"&amp;(核心参数输入!$B$9*4-核心参数输入!$B$111)/4),0),0)</f>
        <v>0</v>
      </c>
      <c r="E63" s="9">
        <f>IF(1&lt;=核心参数输入!$B$9*4,SUMIFS(年度所得税!$D$19:$AH$19,年度所得税!$D$4:$AH$4,(1-核心参数输入!$B$111)/4)+IF(1=核心参数输入!$B$9*4,SUMIFS(年度所得税!$D$19:$AH$19,年度所得税!$D$4:$AH$4,"&gt;"&amp;(核心参数输入!$B$9*4-核心参数输入!$B$111)/4),0),0)</f>
        <v>0</v>
      </c>
      <c r="F63" s="9">
        <f>IF(2&lt;=核心参数输入!$B$9*4,SUMIFS(年度所得税!$D$19:$AH$19,年度所得税!$D$4:$AH$4,(2-核心参数输入!$B$111)/4)+IF(2=核心参数输入!$B$9*4,SUMIFS(年度所得税!$D$19:$AH$19,年度所得税!$D$4:$AH$4,"&gt;"&amp;(核心参数输入!$B$9*4-核心参数输入!$B$111)/4),0),0)</f>
        <v>0</v>
      </c>
      <c r="G63" s="9">
        <f>IF(3&lt;=核心参数输入!$B$9*4,SUMIFS(年度所得税!$D$19:$AH$19,年度所得税!$D$4:$AH$4,(3-核心参数输入!$B$111)/4)+IF(3=核心参数输入!$B$9*4,SUMIFS(年度所得税!$D$19:$AH$19,年度所得税!$D$4:$AH$4,"&gt;"&amp;(核心参数输入!$B$9*4-核心参数输入!$B$111)/4),0),0)</f>
        <v>0</v>
      </c>
      <c r="H63" s="9">
        <f>IF(4&lt;=核心参数输入!$B$9*4,SUMIFS(年度所得税!$D$19:$AH$19,年度所得税!$D$4:$AH$4,(4-核心参数输入!$B$111)/4)+IF(4=核心参数输入!$B$9*4,SUMIFS(年度所得税!$D$19:$AH$19,年度所得税!$D$4:$AH$4,"&gt;"&amp;(核心参数输入!$B$9*4-核心参数输入!$B$111)/4),0),0)</f>
        <v>0</v>
      </c>
      <c r="I63" s="9">
        <f>IF(5&lt;=核心参数输入!$B$9*4,SUMIFS(年度所得税!$D$19:$AH$19,年度所得税!$D$4:$AH$4,(5-核心参数输入!$B$111)/4)+IF(5=核心参数输入!$B$9*4,SUMIFS(年度所得税!$D$19:$AH$19,年度所得税!$D$4:$AH$4,"&gt;"&amp;(核心参数输入!$B$9*4-核心参数输入!$B$111)/4),0),0)</f>
        <v>0</v>
      </c>
      <c r="J63" s="9">
        <f>IF(6&lt;=核心参数输入!$B$9*4,SUMIFS(年度所得税!$D$19:$AH$19,年度所得税!$D$4:$AH$4,(6-核心参数输入!$B$111)/4)+IF(6=核心参数输入!$B$9*4,SUMIFS(年度所得税!$D$19:$AH$19,年度所得税!$D$4:$AH$4,"&gt;"&amp;(核心参数输入!$B$9*4-核心参数输入!$B$111)/4),0),0)</f>
        <v>0</v>
      </c>
      <c r="K63" s="9">
        <f>IF(7&lt;=核心参数输入!$B$9*4,SUMIFS(年度所得税!$D$19:$AH$19,年度所得税!$D$4:$AH$4,(7-核心参数输入!$B$111)/4)+IF(7=核心参数输入!$B$9*4,SUMIFS(年度所得税!$D$19:$AH$19,年度所得税!$D$4:$AH$4,"&gt;"&amp;(核心参数输入!$B$9*4-核心参数输入!$B$111)/4),0),0)</f>
        <v>0</v>
      </c>
      <c r="L63" s="9">
        <f>IF(8&lt;=核心参数输入!$B$9*4,SUMIFS(年度所得税!$D$19:$AH$19,年度所得税!$D$4:$AH$4,(8-核心参数输入!$B$111)/4)+IF(8=核心参数输入!$B$9*4,SUMIFS(年度所得税!$D$19:$AH$19,年度所得税!$D$4:$AH$4,"&gt;"&amp;(核心参数输入!$B$9*4-核心参数输入!$B$111)/4),0),0)</f>
        <v>0</v>
      </c>
      <c r="M63" s="9">
        <f>IF(9&lt;=核心参数输入!$B$9*4,SUMIFS(年度所得税!$D$19:$AH$19,年度所得税!$D$4:$AH$4,(9-核心参数输入!$B$111)/4)+IF(9=核心参数输入!$B$9*4,SUMIFS(年度所得税!$D$19:$AH$19,年度所得税!$D$4:$AH$4,"&gt;"&amp;(核心参数输入!$B$9*4-核心参数输入!$B$111)/4),0),0)</f>
        <v>0</v>
      </c>
      <c r="N63" s="9">
        <f>IF(10&lt;=核心参数输入!$B$9*4,SUMIFS(年度所得税!$D$19:$AH$19,年度所得税!$D$4:$AH$4,(10-核心参数输入!$B$111)/4)+IF(10=核心参数输入!$B$9*4,SUMIFS(年度所得税!$D$19:$AH$19,年度所得税!$D$4:$AH$4,"&gt;"&amp;(核心参数输入!$B$9*4-核心参数输入!$B$111)/4),0),0)</f>
        <v>0</v>
      </c>
      <c r="O63" s="9">
        <f>IF(11&lt;=核心参数输入!$B$9*4,SUMIFS(年度所得税!$D$19:$AH$19,年度所得税!$D$4:$AH$4,(11-核心参数输入!$B$111)/4)+IF(11=核心参数输入!$B$9*4,SUMIFS(年度所得税!$D$19:$AH$19,年度所得税!$D$4:$AH$4,"&gt;"&amp;(核心参数输入!$B$9*4-核心参数输入!$B$111)/4),0),0)</f>
        <v>0</v>
      </c>
      <c r="P63" s="9">
        <f>IF(12&lt;=核心参数输入!$B$9*4,SUMIFS(年度所得税!$D$19:$AH$19,年度所得税!$D$4:$AH$4,(12-核心参数输入!$B$111)/4)+IF(12=核心参数输入!$B$9*4,SUMIFS(年度所得税!$D$19:$AH$19,年度所得税!$D$4:$AH$4,"&gt;"&amp;(核心参数输入!$B$9*4-核心参数输入!$B$111)/4),0),0)</f>
        <v>0</v>
      </c>
      <c r="Q63" s="9">
        <f>IF(13&lt;=核心参数输入!$B$9*4,SUMIFS(年度所得税!$D$19:$AH$19,年度所得税!$D$4:$AH$4,(13-核心参数输入!$B$111)/4)+IF(13=核心参数输入!$B$9*4,SUMIFS(年度所得税!$D$19:$AH$19,年度所得税!$D$4:$AH$4,"&gt;"&amp;(核心参数输入!$B$9*4-核心参数输入!$B$111)/4),0),0)</f>
        <v>0</v>
      </c>
      <c r="R63" s="9">
        <f>IF(14&lt;=核心参数输入!$B$9*4,SUMIFS(年度所得税!$D$19:$AH$19,年度所得税!$D$4:$AH$4,(14-核心参数输入!$B$111)/4)+IF(14=核心参数输入!$B$9*4,SUMIFS(年度所得税!$D$19:$AH$19,年度所得税!$D$4:$AH$4,"&gt;"&amp;(核心参数输入!$B$9*4-核心参数输入!$B$111)/4),0),0)</f>
        <v>0</v>
      </c>
      <c r="S63" s="9">
        <f>IF(15&lt;=核心参数输入!$B$9*4,SUMIFS(年度所得税!$D$19:$AH$19,年度所得税!$D$4:$AH$4,(15-核心参数输入!$B$111)/4)+IF(15=核心参数输入!$B$9*4,SUMIFS(年度所得税!$D$19:$AH$19,年度所得税!$D$4:$AH$4,"&gt;"&amp;(核心参数输入!$B$9*4-核心参数输入!$B$111)/4),0),0)</f>
        <v>0</v>
      </c>
      <c r="T63" s="9">
        <f>IF(16&lt;=核心参数输入!$B$9*4,SUMIFS(年度所得税!$D$19:$AH$19,年度所得税!$D$4:$AH$4,(16-核心参数输入!$B$111)/4)+IF(16=核心参数输入!$B$9*4,SUMIFS(年度所得税!$D$19:$AH$19,年度所得税!$D$4:$AH$4,"&gt;"&amp;(核心参数输入!$B$9*4-核心参数输入!$B$111)/4),0),0)</f>
        <v>456.28826245312541</v>
      </c>
      <c r="U63" s="9">
        <f>IF(17&lt;=核心参数输入!$B$9*4,SUMIFS(年度所得税!$D$19:$AH$19,年度所得税!$D$4:$AH$4,(17-核心参数输入!$B$111)/4)+IF(17=核心参数输入!$B$9*4,SUMIFS(年度所得税!$D$19:$AH$19,年度所得税!$D$4:$AH$4,"&gt;"&amp;(核心参数输入!$B$9*4-核心参数输入!$B$111)/4),0),0)</f>
        <v>0</v>
      </c>
      <c r="V63" s="9">
        <f>IF(18&lt;=核心参数输入!$B$9*4,SUMIFS(年度所得税!$D$19:$AH$19,年度所得税!$D$4:$AH$4,(18-核心参数输入!$B$111)/4)+IF(18=核心参数输入!$B$9*4,SUMIFS(年度所得税!$D$19:$AH$19,年度所得税!$D$4:$AH$4,"&gt;"&amp;(核心参数输入!$B$9*4-核心参数输入!$B$111)/4),0),0)</f>
        <v>0</v>
      </c>
      <c r="W63" s="9">
        <f>IF(19&lt;=核心参数输入!$B$9*4,SUMIFS(年度所得税!$D$19:$AH$19,年度所得税!$D$4:$AH$4,(19-核心参数输入!$B$111)/4)+IF(19=核心参数输入!$B$9*4,SUMIFS(年度所得税!$D$19:$AH$19,年度所得税!$D$4:$AH$4,"&gt;"&amp;(核心参数输入!$B$9*4-核心参数输入!$B$111)/4),0),0)</f>
        <v>0</v>
      </c>
      <c r="X63" s="9">
        <f>IF(20&lt;=核心参数输入!$B$9*4,SUMIFS(年度所得税!$D$19:$AH$19,年度所得税!$D$4:$AH$4,(20-核心参数输入!$B$111)/4)+IF(20=核心参数输入!$B$9*4,SUMIFS(年度所得税!$D$19:$AH$19,年度所得税!$D$4:$AH$4,"&gt;"&amp;(核心参数输入!$B$9*4-核心参数输入!$B$111)/4),0),0)</f>
        <v>859.95203410042154</v>
      </c>
      <c r="Y63" s="9">
        <f>IF(21&lt;=核心参数输入!$B$9*4,SUMIFS(年度所得税!$D$19:$AH$19,年度所得税!$D$4:$AH$4,(21-核心参数输入!$B$111)/4)+IF(21=核心参数输入!$B$9*4,SUMIFS(年度所得税!$D$19:$AH$19,年度所得税!$D$4:$AH$4,"&gt;"&amp;(核心参数输入!$B$9*4-核心参数输入!$B$111)/4),0),0)</f>
        <v>0</v>
      </c>
      <c r="Z63" s="9">
        <f>IF(22&lt;=核心参数输入!$B$9*4,SUMIFS(年度所得税!$D$19:$AH$19,年度所得税!$D$4:$AH$4,(22-核心参数输入!$B$111)/4)+IF(22=核心参数输入!$B$9*4,SUMIFS(年度所得税!$D$19:$AH$19,年度所得税!$D$4:$AH$4,"&gt;"&amp;(核心参数输入!$B$9*4-核心参数输入!$B$111)/4),0),0)</f>
        <v>0</v>
      </c>
      <c r="AA63" s="9">
        <f>IF(23&lt;=核心参数输入!$B$9*4,SUMIFS(年度所得税!$D$19:$AH$19,年度所得税!$D$4:$AH$4,(23-核心参数输入!$B$111)/4)+IF(23=核心参数输入!$B$9*4,SUMIFS(年度所得税!$D$19:$AH$19,年度所得税!$D$4:$AH$4,"&gt;"&amp;(核心参数输入!$B$9*4-核心参数输入!$B$111)/4),0),0)</f>
        <v>0</v>
      </c>
      <c r="AB63" s="9">
        <f>IF(24&lt;=核心参数输入!$B$9*4,SUMIFS(年度所得税!$D$19:$AH$19,年度所得税!$D$4:$AH$4,(24-核心参数输入!$B$111)/4)+IF(24=核心参数输入!$B$9*4,SUMIFS(年度所得税!$D$19:$AH$19,年度所得税!$D$4:$AH$4,"&gt;"&amp;(核心参数输入!$B$9*4-核心参数输入!$B$111)/4),0),0)</f>
        <v>699.82161416464828</v>
      </c>
      <c r="AC63" s="9">
        <f>IF(25&lt;=核心参数输入!$B$9*4,SUMIFS(年度所得税!$D$19:$AH$19,年度所得税!$D$4:$AH$4,(25-核心参数输入!$B$111)/4)+IF(25=核心参数输入!$B$9*4,SUMIFS(年度所得税!$D$19:$AH$19,年度所得税!$D$4:$AH$4,"&gt;"&amp;(核心参数输入!$B$9*4-核心参数输入!$B$111)/4),0),0)</f>
        <v>0</v>
      </c>
      <c r="AD63" s="9">
        <f>IF(26&lt;=核心参数输入!$B$9*4,SUMIFS(年度所得税!$D$19:$AH$19,年度所得税!$D$4:$AH$4,(26-核心参数输入!$B$111)/4)+IF(26=核心参数输入!$B$9*4,SUMIFS(年度所得税!$D$19:$AH$19,年度所得税!$D$4:$AH$4,"&gt;"&amp;(核心参数输入!$B$9*4-核心参数输入!$B$111)/4),0),0)</f>
        <v>0</v>
      </c>
      <c r="AE63" s="9">
        <f>IF(27&lt;=核心参数输入!$B$9*4,SUMIFS(年度所得税!$D$19:$AH$19,年度所得税!$D$4:$AH$4,(27-核心参数输入!$B$111)/4)+IF(27=核心参数输入!$B$9*4,SUMIFS(年度所得税!$D$19:$AH$19,年度所得税!$D$4:$AH$4,"&gt;"&amp;(核心参数输入!$B$9*4-核心参数输入!$B$111)/4),0),0)</f>
        <v>0</v>
      </c>
      <c r="AF63" s="9">
        <f>IF(28&lt;=核心参数输入!$B$9*4,SUMIFS(年度所得税!$D$19:$AH$19,年度所得税!$D$4:$AH$4,(28-核心参数输入!$B$111)/4)+IF(28=核心参数输入!$B$9*4,SUMIFS(年度所得税!$D$19:$AH$19,年度所得税!$D$4:$AH$4,"&gt;"&amp;(核心参数输入!$B$9*4-核心参数输入!$B$111)/4),0),0)</f>
        <v>27.665739764946178</v>
      </c>
      <c r="AG63" s="9">
        <f>IF(29&lt;=核心参数输入!$B$9*4,SUMIFS(年度所得税!$D$19:$AH$19,年度所得税!$D$4:$AH$4,(29-核心参数输入!$B$111)/4)+IF(29=核心参数输入!$B$9*4,SUMIFS(年度所得税!$D$19:$AH$19,年度所得税!$D$4:$AH$4,"&gt;"&amp;(核心参数输入!$B$9*4-核心参数输入!$B$111)/4),0),0)</f>
        <v>0</v>
      </c>
      <c r="AH63" s="9">
        <f>IF(30&lt;=核心参数输入!$B$9*4,SUMIFS(年度所得税!$D$19:$AH$19,年度所得税!$D$4:$AH$4,(30-核心参数输入!$B$111)/4)+IF(30=核心参数输入!$B$9*4,SUMIFS(年度所得税!$D$19:$AH$19,年度所得税!$D$4:$AH$4,"&gt;"&amp;(核心参数输入!$B$9*4-核心参数输入!$B$111)/4),0),0)</f>
        <v>0</v>
      </c>
      <c r="AI63" s="9">
        <f>IF(31&lt;=核心参数输入!$B$9*4,SUMIFS(年度所得税!$D$19:$AH$19,年度所得税!$D$4:$AH$4,(31-核心参数输入!$B$111)/4)+IF(31=核心参数输入!$B$9*4,SUMIFS(年度所得税!$D$19:$AH$19,年度所得税!$D$4:$AH$4,"&gt;"&amp;(核心参数输入!$B$9*4-核心参数输入!$B$111)/4),0),0)</f>
        <v>0</v>
      </c>
      <c r="AJ63" s="9">
        <f>IF(32&lt;=核心参数输入!$B$9*4,SUMIFS(年度所得税!$D$19:$AH$19,年度所得税!$D$4:$AH$4,(32-核心参数输入!$B$111)/4)+IF(32=核心参数输入!$B$9*4,SUMIFS(年度所得税!$D$19:$AH$19,年度所得税!$D$4:$AH$4,"&gt;"&amp;(核心参数输入!$B$9*4-核心参数输入!$B$111)/4),0),0)</f>
        <v>48.008667059666656</v>
      </c>
      <c r="AK63" s="9">
        <f>IF(33&lt;=核心参数输入!$B$9*4,SUMIFS(年度所得税!$D$19:$AH$19,年度所得税!$D$4:$AH$4,(33-核心参数输入!$B$111)/4)+IF(33=核心参数输入!$B$9*4,SUMIFS(年度所得税!$D$19:$AH$19,年度所得税!$D$4:$AH$4,"&gt;"&amp;(核心参数输入!$B$9*4-核心参数输入!$B$111)/4),0),0)</f>
        <v>0</v>
      </c>
      <c r="AL63" s="9">
        <f>IF(34&lt;=核心参数输入!$B$9*4,SUMIFS(年度所得税!$D$19:$AH$19,年度所得税!$D$4:$AH$4,(34-核心参数输入!$B$111)/4)+IF(34=核心参数输入!$B$9*4,SUMIFS(年度所得税!$D$19:$AH$19,年度所得税!$D$4:$AH$4,"&gt;"&amp;(核心参数输入!$B$9*4-核心参数输入!$B$111)/4),0),0)</f>
        <v>0</v>
      </c>
      <c r="AM63" s="9">
        <f>IF(35&lt;=核心参数输入!$B$9*4,SUMIFS(年度所得税!$D$19:$AH$19,年度所得税!$D$4:$AH$4,(35-核心参数输入!$B$111)/4)+IF(35=核心参数输入!$B$9*4,SUMIFS(年度所得税!$D$19:$AH$19,年度所得税!$D$4:$AH$4,"&gt;"&amp;(核心参数输入!$B$9*4-核心参数输入!$B$111)/4),0),0)</f>
        <v>0</v>
      </c>
      <c r="AN63" s="9">
        <f>IF(36&lt;=核心参数输入!$B$9*4,SUMIFS(年度所得税!$D$19:$AH$19,年度所得税!$D$4:$AH$4,(36-核心参数输入!$B$111)/4)+IF(36=核心参数输入!$B$9*4,SUMIFS(年度所得税!$D$19:$AH$19,年度所得税!$D$4:$AH$4,"&gt;"&amp;(核心参数输入!$B$9*4-核心参数输入!$B$111)/4),0),0)</f>
        <v>52.76784856251038</v>
      </c>
      <c r="AO63" s="9">
        <f>IF(37&lt;=核心参数输入!$B$9*4,SUMIFS(年度所得税!$D$19:$AH$19,年度所得税!$D$4:$AH$4,(37-核心参数输入!$B$111)/4)+IF(37=核心参数输入!$B$9*4,SUMIFS(年度所得税!$D$19:$AH$19,年度所得税!$D$4:$AH$4,"&gt;"&amp;(核心参数输入!$B$9*4-核心参数输入!$B$111)/4),0),0)</f>
        <v>0</v>
      </c>
      <c r="AP63" s="9">
        <f>IF(38&lt;=核心参数输入!$B$9*4,SUMIFS(年度所得税!$D$19:$AH$19,年度所得税!$D$4:$AH$4,(38-核心参数输入!$B$111)/4)+IF(38=核心参数输入!$B$9*4,SUMIFS(年度所得税!$D$19:$AH$19,年度所得税!$D$4:$AH$4,"&gt;"&amp;(核心参数输入!$B$9*4-核心参数输入!$B$111)/4),0),0)</f>
        <v>0</v>
      </c>
      <c r="AQ63" s="9">
        <f>IF(39&lt;=核心参数输入!$B$9*4,SUMIFS(年度所得税!$D$19:$AH$19,年度所得税!$D$4:$AH$4,(39-核心参数输入!$B$111)/4)+IF(39=核心参数输入!$B$9*4,SUMIFS(年度所得税!$D$19:$AH$19,年度所得税!$D$4:$AH$4,"&gt;"&amp;(核心参数输入!$B$9*4-核心参数输入!$B$111)/4),0),0)</f>
        <v>0</v>
      </c>
      <c r="AR63" s="9">
        <f>IF(40&lt;=核心参数输入!$B$9*4,SUMIFS(年度所得税!$D$19:$AH$19,年度所得税!$D$4:$AH$4,(40-核心参数输入!$B$111)/4)+IF(40=核心参数输入!$B$9*4,SUMIFS(年度所得税!$D$19:$AH$19,年度所得税!$D$4:$AH$4,"&gt;"&amp;(核心参数输入!$B$9*4-核心参数输入!$B$111)/4),0),0)</f>
        <v>56.918248489747988</v>
      </c>
      <c r="AS63" s="9">
        <f>IF(41&lt;=核心参数输入!$B$9*4,SUMIFS(年度所得税!$D$19:$AH$19,年度所得税!$D$4:$AH$4,(41-核心参数输入!$B$111)/4)+IF(41=核心参数输入!$B$9*4,SUMIFS(年度所得税!$D$19:$AH$19,年度所得税!$D$4:$AH$4,"&gt;"&amp;(核心参数输入!$B$9*4-核心参数输入!$B$111)/4),0),0)</f>
        <v>0</v>
      </c>
      <c r="AT63" s="9">
        <f>IF(42&lt;=核心参数输入!$B$9*4,SUMIFS(年度所得税!$D$19:$AH$19,年度所得税!$D$4:$AH$4,(42-核心参数输入!$B$111)/4)+IF(42=核心参数输入!$B$9*4,SUMIFS(年度所得税!$D$19:$AH$19,年度所得税!$D$4:$AH$4,"&gt;"&amp;(核心参数输入!$B$9*4-核心参数输入!$B$111)/4),0),0)</f>
        <v>0</v>
      </c>
      <c r="AU63" s="9">
        <f>IF(43&lt;=核心参数输入!$B$9*4,SUMIFS(年度所得税!$D$19:$AH$19,年度所得税!$D$4:$AH$4,(43-核心参数输入!$B$111)/4)+IF(43=核心参数输入!$B$9*4,SUMIFS(年度所得税!$D$19:$AH$19,年度所得税!$D$4:$AH$4,"&gt;"&amp;(核心参数输入!$B$9*4-核心参数输入!$B$111)/4),0),0)</f>
        <v>0</v>
      </c>
      <c r="AV63" s="9">
        <f>IF(44&lt;=核心参数输入!$B$9*4,SUMIFS(年度所得税!$D$19:$AH$19,年度所得税!$D$4:$AH$4,(44-核心参数输入!$B$111)/4)+IF(44=核心参数输入!$B$9*4,SUMIFS(年度所得税!$D$19:$AH$19,年度所得税!$D$4:$AH$4,"&gt;"&amp;(核心参数输入!$B$9*4-核心参数输入!$B$111)/4),0),0)</f>
        <v>61.122623809870191</v>
      </c>
      <c r="AW63" s="9">
        <f>IF(45&lt;=核心参数输入!$B$9*4,SUMIFS(年度所得税!$D$19:$AH$19,年度所得税!$D$4:$AH$4,(45-核心参数输入!$B$111)/4)+IF(45=核心参数输入!$B$9*4,SUMIFS(年度所得税!$D$19:$AH$19,年度所得税!$D$4:$AH$4,"&gt;"&amp;(核心参数输入!$B$9*4-核心参数输入!$B$111)/4),0),0)</f>
        <v>0</v>
      </c>
      <c r="AX63" s="9">
        <f>IF(46&lt;=核心参数输入!$B$9*4,SUMIFS(年度所得税!$D$19:$AH$19,年度所得税!$D$4:$AH$4,(46-核心参数输入!$B$111)/4)+IF(46=核心参数输入!$B$9*4,SUMIFS(年度所得税!$D$19:$AH$19,年度所得税!$D$4:$AH$4,"&gt;"&amp;(核心参数输入!$B$9*4-核心参数输入!$B$111)/4),0),0)</f>
        <v>0</v>
      </c>
      <c r="AY63" s="9">
        <f>IF(47&lt;=核心参数输入!$B$9*4,SUMIFS(年度所得税!$D$19:$AH$19,年度所得税!$D$4:$AH$4,(47-核心参数输入!$B$111)/4)+IF(47=核心参数输入!$B$9*4,SUMIFS(年度所得税!$D$19:$AH$19,年度所得税!$D$4:$AH$4,"&gt;"&amp;(核心参数输入!$B$9*4-核心参数输入!$B$111)/4),0),0)</f>
        <v>0</v>
      </c>
      <c r="AZ63" s="9">
        <f>IF(48&lt;=核心参数输入!$B$9*4,SUMIFS(年度所得税!$D$19:$AH$19,年度所得税!$D$4:$AH$4,(48-核心参数输入!$B$111)/4)+IF(48=核心参数输入!$B$9*4,SUMIFS(年度所得税!$D$19:$AH$19,年度所得税!$D$4:$AH$4,"&gt;"&amp;(核心参数输入!$B$9*4-核心参数输入!$B$111)/4),0),0)</f>
        <v>65.381618541649701</v>
      </c>
      <c r="BA63" s="9">
        <f>IF(49&lt;=核心参数输入!$B$9*4,SUMIFS(年度所得税!$D$19:$AH$19,年度所得税!$D$4:$AH$4,(49-核心参数输入!$B$111)/4)+IF(49=核心参数输入!$B$9*4,SUMIFS(年度所得税!$D$19:$AH$19,年度所得税!$D$4:$AH$4,"&gt;"&amp;(核心参数输入!$B$9*4-核心参数输入!$B$111)/4),0),0)</f>
        <v>0</v>
      </c>
      <c r="BB63" s="9">
        <f>IF(50&lt;=核心参数输入!$B$9*4,SUMIFS(年度所得税!$D$19:$AH$19,年度所得税!$D$4:$AH$4,(50-核心参数输入!$B$111)/4)+IF(50=核心参数输入!$B$9*4,SUMIFS(年度所得税!$D$19:$AH$19,年度所得税!$D$4:$AH$4,"&gt;"&amp;(核心参数输入!$B$9*4-核心参数输入!$B$111)/4),0),0)</f>
        <v>0</v>
      </c>
      <c r="BC63" s="9">
        <f>IF(51&lt;=核心参数输入!$B$9*4,SUMIFS(年度所得税!$D$19:$AH$19,年度所得税!$D$4:$AH$4,(51-核心参数输入!$B$111)/4)+IF(51=核心参数输入!$B$9*4,SUMIFS(年度所得税!$D$19:$AH$19,年度所得税!$D$4:$AH$4,"&gt;"&amp;(核心参数输入!$B$9*4-核心参数输入!$B$111)/4),0),0)</f>
        <v>0</v>
      </c>
      <c r="BD63" s="9">
        <f>IF(52&lt;=核心参数输入!$B$9*4,SUMIFS(年度所得税!$D$19:$AH$19,年度所得税!$D$4:$AH$4,(52-核心参数输入!$B$111)/4)+IF(52=核心参数输入!$B$9*4,SUMIFS(年度所得税!$D$19:$AH$19,年度所得税!$D$4:$AH$4,"&gt;"&amp;(核心参数输入!$B$9*4-核心参数输入!$B$111)/4),0),0)</f>
        <v>69.695883051898562</v>
      </c>
      <c r="BE63" s="9">
        <f>IF(53&lt;=核心参数输入!$B$9*4,SUMIFS(年度所得税!$D$19:$AH$19,年度所得税!$D$4:$AH$4,(53-核心参数输入!$B$111)/4)+IF(53=核心参数输入!$B$9*4,SUMIFS(年度所得税!$D$19:$AH$19,年度所得税!$D$4:$AH$4,"&gt;"&amp;(核心参数输入!$B$9*4-核心参数输入!$B$111)/4),0),0)</f>
        <v>0</v>
      </c>
      <c r="BF63" s="9">
        <f>IF(54&lt;=核心参数输入!$B$9*4,SUMIFS(年度所得税!$D$19:$AH$19,年度所得税!$D$4:$AH$4,(54-核心参数输入!$B$111)/4)+IF(54=核心参数输入!$B$9*4,SUMIFS(年度所得税!$D$19:$AH$19,年度所得税!$D$4:$AH$4,"&gt;"&amp;(核心参数输入!$B$9*4-核心参数输入!$B$111)/4),0),0)</f>
        <v>0</v>
      </c>
      <c r="BG63" s="9">
        <f>IF(55&lt;=核心参数输入!$B$9*4,SUMIFS(年度所得税!$D$19:$AH$19,年度所得税!$D$4:$AH$4,(55-核心参数输入!$B$111)/4)+IF(55=核心参数输入!$B$9*4,SUMIFS(年度所得税!$D$19:$AH$19,年度所得税!$D$4:$AH$4,"&gt;"&amp;(核心参数输入!$B$9*4-核心参数输入!$B$111)/4),0),0)</f>
        <v>0</v>
      </c>
      <c r="BH63" s="9">
        <f>IF(56&lt;=核心参数输入!$B$9*4,SUMIFS(年度所得税!$D$19:$AH$19,年度所得税!$D$4:$AH$4,(56-核心参数输入!$B$111)/4)+IF(56=核心参数输入!$B$9*4,SUMIFS(年度所得税!$D$19:$AH$19,年度所得税!$D$4:$AH$4,"&gt;"&amp;(核心参数输入!$B$9*4-核心参数输入!$B$111)/4),0),0)</f>
        <v>74.066074084443571</v>
      </c>
      <c r="BI63" s="9">
        <f>IF(57&lt;=核心参数输入!$B$9*4,SUMIFS(年度所得税!$D$19:$AH$19,年度所得税!$D$4:$AH$4,(57-核心参数输入!$B$111)/4)+IF(57=核心参数输入!$B$9*4,SUMIFS(年度所得税!$D$19:$AH$19,年度所得税!$D$4:$AH$4,"&gt;"&amp;(核心参数输入!$B$9*4-核心参数输入!$B$111)/4),0),0)</f>
        <v>0</v>
      </c>
      <c r="BJ63" s="9">
        <f>IF(58&lt;=核心参数输入!$B$9*4,SUMIFS(年度所得税!$D$19:$AH$19,年度所得税!$D$4:$AH$4,(58-核心参数输入!$B$111)/4)+IF(58=核心参数输入!$B$9*4,SUMIFS(年度所得税!$D$19:$AH$19,年度所得税!$D$4:$AH$4,"&gt;"&amp;(核心参数输入!$B$9*4-核心参数输入!$B$111)/4),0),0)</f>
        <v>0</v>
      </c>
      <c r="BK63" s="9">
        <f>IF(59&lt;=核心参数输入!$B$9*4,SUMIFS(年度所得税!$D$19:$AH$19,年度所得税!$D$4:$AH$4,(59-核心参数输入!$B$111)/4)+IF(59=核心参数输入!$B$9*4,SUMIFS(年度所得税!$D$19:$AH$19,年度所得税!$D$4:$AH$4,"&gt;"&amp;(核心参数输入!$B$9*4-核心参数输入!$B$111)/4),0),0)</f>
        <v>0</v>
      </c>
      <c r="BL63" s="9">
        <f>IF(60&lt;=核心参数输入!$B$9*4,SUMIFS(年度所得税!$D$19:$AH$19,年度所得税!$D$4:$AH$4,(60-核心参数输入!$B$111)/4)+IF(60=核心参数输入!$B$9*4,SUMIFS(年度所得税!$D$19:$AH$19,年度所得税!$D$4:$AH$4,"&gt;"&amp;(核心参数输入!$B$9*4-核心参数输入!$B$111)/4),0),0)</f>
        <v>78.492854788212213</v>
      </c>
      <c r="BM63" s="9">
        <f>IF(61&lt;=核心参数输入!$B$9*4,SUMIFS(年度所得税!$D$19:$AH$19,年度所得税!$D$4:$AH$4,(61-核心参数输入!$B$111)/4)+IF(61=核心参数输入!$B$9*4,SUMIFS(年度所得税!$D$19:$AH$19,年度所得税!$D$4:$AH$4,"&gt;"&amp;(核心参数输入!$B$9*4-核心参数输入!$B$111)/4),0),0)</f>
        <v>0</v>
      </c>
      <c r="BN63" s="9">
        <f>IF(62&lt;=核心参数输入!$B$9*4,SUMIFS(年度所得税!$D$19:$AH$19,年度所得税!$D$4:$AH$4,(62-核心参数输入!$B$111)/4)+IF(62=核心参数输入!$B$9*4,SUMIFS(年度所得税!$D$19:$AH$19,年度所得税!$D$4:$AH$4,"&gt;"&amp;(核心参数输入!$B$9*4-核心参数输入!$B$111)/4),0),0)</f>
        <v>0</v>
      </c>
      <c r="BO63" s="9">
        <f>IF(63&lt;=核心参数输入!$B$9*4,SUMIFS(年度所得税!$D$19:$AH$19,年度所得税!$D$4:$AH$4,(63-核心参数输入!$B$111)/4)+IF(63=核心参数输入!$B$9*4,SUMIFS(年度所得税!$D$19:$AH$19,年度所得税!$D$4:$AH$4,"&gt;"&amp;(核心参数输入!$B$9*4-核心参数输入!$B$111)/4),0),0)</f>
        <v>0</v>
      </c>
      <c r="BP63" s="9">
        <f>IF(64&lt;=核心参数输入!$B$9*4,SUMIFS(年度所得税!$D$19:$AH$19,年度所得税!$D$4:$AH$4,(64-核心参数输入!$B$111)/4)+IF(64=核心参数输入!$B$9*4,SUMIFS(年度所得税!$D$19:$AH$19,年度所得税!$D$4:$AH$4,"&gt;"&amp;(核心参数输入!$B$9*4-核心参数输入!$B$111)/4),0),0)</f>
        <v>82.976894744387224</v>
      </c>
      <c r="BQ63" s="9">
        <f>IF(65&lt;=核心参数输入!$B$9*4,SUMIFS(年度所得税!$D$19:$AH$19,年度所得税!$D$4:$AH$4,(65-核心参数输入!$B$111)/4)+IF(65=核心参数输入!$B$9*4,SUMIFS(年度所得税!$D$19:$AH$19,年度所得税!$D$4:$AH$4,"&gt;"&amp;(核心参数输入!$B$9*4-核心参数输入!$B$111)/4),0),0)</f>
        <v>0</v>
      </c>
      <c r="BR63" s="9">
        <f>IF(66&lt;=核心参数输入!$B$9*4,SUMIFS(年度所得税!$D$19:$AH$19,年度所得税!$D$4:$AH$4,(66-核心参数输入!$B$111)/4)+IF(66=核心参数输入!$B$9*4,SUMIFS(年度所得税!$D$19:$AH$19,年度所得税!$D$4:$AH$4,"&gt;"&amp;(核心参数输入!$B$9*4-核心参数输入!$B$111)/4),0),0)</f>
        <v>0</v>
      </c>
      <c r="BS63" s="9">
        <f>IF(67&lt;=核心参数输入!$B$9*4,SUMIFS(年度所得税!$D$19:$AH$19,年度所得税!$D$4:$AH$4,(67-核心参数输入!$B$111)/4)+IF(67=核心参数输入!$B$9*4,SUMIFS(年度所得税!$D$19:$AH$19,年度所得税!$D$4:$AH$4,"&gt;"&amp;(核心参数输入!$B$9*4-核心参数输入!$B$111)/4),0),0)</f>
        <v>0</v>
      </c>
      <c r="BT63" s="9">
        <f>IF(68&lt;=核心参数输入!$B$9*4,SUMIFS(年度所得税!$D$19:$AH$19,年度所得税!$D$4:$AH$4,(68-核心参数输入!$B$111)/4)+IF(68=核心参数输入!$B$9*4,SUMIFS(年度所得税!$D$19:$AH$19,年度所得税!$D$4:$AH$4,"&gt;"&amp;(核心参数输入!$B$9*4-核心参数输入!$B$111)/4),0),0)</f>
        <v>87.51886999259213</v>
      </c>
      <c r="BU63" s="9">
        <f>IF(69&lt;=核心参数输入!$B$9*4,SUMIFS(年度所得税!$D$19:$AH$19,年度所得税!$D$4:$AH$4,(69-核心参数输入!$B$111)/4)+IF(69=核心参数输入!$B$9*4,SUMIFS(年度所得税!$D$19:$AH$19,年度所得税!$D$4:$AH$4,"&gt;"&amp;(核心参数输入!$B$9*4-核心参数输入!$B$111)/4),0),0)</f>
        <v>0</v>
      </c>
      <c r="BV63" s="9">
        <f>IF(70&lt;=核心参数输入!$B$9*4,SUMIFS(年度所得税!$D$19:$AH$19,年度所得税!$D$4:$AH$4,(70-核心参数输入!$B$111)/4)+IF(70=核心参数输入!$B$9*4,SUMIFS(年度所得税!$D$19:$AH$19,年度所得税!$D$4:$AH$4,"&gt;"&amp;(核心参数输入!$B$9*4-核心参数输入!$B$111)/4),0),0)</f>
        <v>0</v>
      </c>
      <c r="BW63" s="9">
        <f>IF(71&lt;=核心参数输入!$B$9*4,SUMIFS(年度所得税!$D$19:$AH$19,年度所得税!$D$4:$AH$4,(71-核心参数输入!$B$111)/4)+IF(71=核心参数输入!$B$9*4,SUMIFS(年度所得税!$D$19:$AH$19,年度所得税!$D$4:$AH$4,"&gt;"&amp;(核心参数输入!$B$9*4-核心参数输入!$B$111)/4),0),0)</f>
        <v>0</v>
      </c>
      <c r="BX63" s="9">
        <f>IF(72&lt;=核心参数输入!$B$9*4,SUMIFS(年度所得税!$D$19:$AH$19,年度所得税!$D$4:$AH$4,(72-核心参数输入!$B$111)/4)+IF(72=核心参数输入!$B$9*4,SUMIFS(年度所得税!$D$19:$AH$19,年度所得税!$D$4:$AH$4,"&gt;"&amp;(核心参数输入!$B$9*4-核心参数输入!$B$111)/4),0),0)</f>
        <v>92.119463056060809</v>
      </c>
      <c r="BY63" s="9">
        <f>IF(73&lt;=核心参数输入!$B$9*4,SUMIFS(年度所得税!$D$19:$AH$19,年度所得税!$D$4:$AH$4,(73-核心参数输入!$B$111)/4)+IF(73=核心参数输入!$B$9*4,SUMIFS(年度所得税!$D$19:$AH$19,年度所得税!$D$4:$AH$4,"&gt;"&amp;(核心参数输入!$B$9*4-核心参数输入!$B$111)/4),0),0)</f>
        <v>0</v>
      </c>
      <c r="BZ63" s="9">
        <f>IF(74&lt;=核心参数输入!$B$9*4,SUMIFS(年度所得税!$D$19:$AH$19,年度所得税!$D$4:$AH$4,(74-核心参数输入!$B$111)/4)+IF(74=核心参数输入!$B$9*4,SUMIFS(年度所得税!$D$19:$AH$19,年度所得税!$D$4:$AH$4,"&gt;"&amp;(核心参数输入!$B$9*4-核心参数输入!$B$111)/4),0),0)</f>
        <v>0</v>
      </c>
      <c r="CA63" s="9">
        <f>IF(75&lt;=核心参数输入!$B$9*4,SUMIFS(年度所得税!$D$19:$AH$19,年度所得税!$D$4:$AH$4,(75-核心参数输入!$B$111)/4)+IF(75=核心参数输入!$B$9*4,SUMIFS(年度所得税!$D$19:$AH$19,年度所得税!$D$4:$AH$4,"&gt;"&amp;(核心参数输入!$B$9*4-核心参数输入!$B$111)/4),0),0)</f>
        <v>0</v>
      </c>
      <c r="CB63" s="9">
        <f>IF(76&lt;=核心参数输入!$B$9*4,SUMIFS(年度所得税!$D$19:$AH$19,年度所得税!$D$4:$AH$4,(76-核心参数输入!$B$111)/4)+IF(76=核心参数输入!$B$9*4,SUMIFS(年度所得税!$D$19:$AH$19,年度所得税!$D$4:$AH$4,"&gt;"&amp;(核心参数输入!$B$9*4-核心参数输入!$B$111)/4),0),0)</f>
        <v>96.779362965752995</v>
      </c>
      <c r="CC63" s="9">
        <f>IF(77&lt;=核心参数输入!$B$9*4,SUMIFS(年度所得税!$D$19:$AH$19,年度所得税!$D$4:$AH$4,(77-核心参数输入!$B$111)/4)+IF(77=核心参数输入!$B$9*4,SUMIFS(年度所得税!$D$19:$AH$19,年度所得税!$D$4:$AH$4,"&gt;"&amp;(核心参数输入!$B$9*4-核心参数输入!$B$111)/4),0),0)</f>
        <v>0</v>
      </c>
      <c r="CD63" s="9">
        <f>IF(78&lt;=核心参数输入!$B$9*4,SUMIFS(年度所得税!$D$19:$AH$19,年度所得税!$D$4:$AH$4,(78-核心参数输入!$B$111)/4)+IF(78=核心参数输入!$B$9*4,SUMIFS(年度所得税!$D$19:$AH$19,年度所得税!$D$4:$AH$4,"&gt;"&amp;(核心参数输入!$B$9*4-核心参数输入!$B$111)/4),0),0)</f>
        <v>0</v>
      </c>
      <c r="CE63" s="9">
        <f>IF(79&lt;=核心参数输入!$B$9*4,SUMIFS(年度所得税!$D$19:$AH$19,年度所得税!$D$4:$AH$4,(79-核心参数输入!$B$111)/4)+IF(79=核心参数输入!$B$9*4,SUMIFS(年度所得税!$D$19:$AH$19,年度所得税!$D$4:$AH$4,"&gt;"&amp;(核心参数输入!$B$9*4-核心参数输入!$B$111)/4),0),0)</f>
        <v>0</v>
      </c>
      <c r="CF63" s="9">
        <f>IF(80&lt;=核心参数输入!$B$9*4,SUMIFS(年度所得税!$D$19:$AH$19,年度所得税!$D$4:$AH$4,(80-核心参数输入!$B$111)/4)+IF(80=核心参数输入!$B$9*4,SUMIFS(年度所得税!$D$19:$AH$19,年度所得税!$D$4:$AH$4,"&gt;"&amp;(核心参数输入!$B$9*4-核心参数输入!$B$111)/4),0),0)</f>
        <v>4033.9667652833709</v>
      </c>
      <c r="CG63" s="9">
        <f>IF(81&lt;=核心参数输入!$B$9*4,SUMIFS(年度所得税!$D$19:$AH$19,年度所得税!$D$4:$AH$4,(81-核心参数输入!$B$111)/4)+IF(81=核心参数输入!$B$9*4,SUMIFS(年度所得税!$D$19:$AH$19,年度所得税!$D$4:$AH$4,"&gt;"&amp;(核心参数输入!$B$9*4-核心参数输入!$B$111)/4),0),0)</f>
        <v>0</v>
      </c>
      <c r="CH63" s="9">
        <f>IF(82&lt;=核心参数输入!$B$9*4,SUMIFS(年度所得税!$D$19:$AH$19,年度所得税!$D$4:$AH$4,(82-核心参数输入!$B$111)/4)+IF(82=核心参数输入!$B$9*4,SUMIFS(年度所得税!$D$19:$AH$19,年度所得税!$D$4:$AH$4,"&gt;"&amp;(核心参数输入!$B$9*4-核心参数输入!$B$111)/4),0),0)</f>
        <v>0</v>
      </c>
      <c r="CI63" s="9">
        <f>IF(83&lt;=核心参数输入!$B$9*4,SUMIFS(年度所得税!$D$19:$AH$19,年度所得税!$D$4:$AH$4,(83-核心参数输入!$B$111)/4)+IF(83=核心参数输入!$B$9*4,SUMIFS(年度所得税!$D$19:$AH$19,年度所得税!$D$4:$AH$4,"&gt;"&amp;(核心参数输入!$B$9*4-核心参数输入!$B$111)/4),0),0)</f>
        <v>0</v>
      </c>
      <c r="CJ63" s="9">
        <f>IF(84&lt;=核心参数输入!$B$9*4,SUMIFS(年度所得税!$D$19:$AH$19,年度所得税!$D$4:$AH$4,(84-核心参数输入!$B$111)/4)+IF(84=核心参数输入!$B$9*4,SUMIFS(年度所得税!$D$19:$AH$19,年度所得税!$D$4:$AH$4,"&gt;"&amp;(核心参数输入!$B$9*4-核心参数输入!$B$111)/4),0),0)</f>
        <v>0</v>
      </c>
      <c r="CK63" s="9">
        <f>IF(85&lt;=核心参数输入!$B$9*4,SUMIFS(年度所得税!$D$19:$AH$19,年度所得税!$D$4:$AH$4,(85-核心参数输入!$B$111)/4)+IF(85=核心参数输入!$B$9*4,SUMIFS(年度所得税!$D$19:$AH$19,年度所得税!$D$4:$AH$4,"&gt;"&amp;(核心参数输入!$B$9*4-核心参数输入!$B$111)/4),0),0)</f>
        <v>0</v>
      </c>
      <c r="CL63" s="9">
        <f>IF(86&lt;=核心参数输入!$B$9*4,SUMIFS(年度所得税!$D$19:$AH$19,年度所得税!$D$4:$AH$4,(86-核心参数输入!$B$111)/4)+IF(86=核心参数输入!$B$9*4,SUMIFS(年度所得税!$D$19:$AH$19,年度所得税!$D$4:$AH$4,"&gt;"&amp;(核心参数输入!$B$9*4-核心参数输入!$B$111)/4),0),0)</f>
        <v>0</v>
      </c>
      <c r="CM63" s="9">
        <f>IF(87&lt;=核心参数输入!$B$9*4,SUMIFS(年度所得税!$D$19:$AH$19,年度所得税!$D$4:$AH$4,(87-核心参数输入!$B$111)/4)+IF(87=核心参数输入!$B$9*4,SUMIFS(年度所得税!$D$19:$AH$19,年度所得税!$D$4:$AH$4,"&gt;"&amp;(核心参数输入!$B$9*4-核心参数输入!$B$111)/4),0),0)</f>
        <v>0</v>
      </c>
      <c r="CN63" s="9">
        <f>IF(88&lt;=核心参数输入!$B$9*4,SUMIFS(年度所得税!$D$19:$AH$19,年度所得税!$D$4:$AH$4,(88-核心参数输入!$B$111)/4)+IF(88=核心参数输入!$B$9*4,SUMIFS(年度所得税!$D$19:$AH$19,年度所得税!$D$4:$AH$4,"&gt;"&amp;(核心参数输入!$B$9*4-核心参数输入!$B$111)/4),0),0)</f>
        <v>0</v>
      </c>
      <c r="CO63" s="9">
        <f>IF(89&lt;=核心参数输入!$B$9*4,SUMIFS(年度所得税!$D$19:$AH$19,年度所得税!$D$4:$AH$4,(89-核心参数输入!$B$111)/4)+IF(89=核心参数输入!$B$9*4,SUMIFS(年度所得税!$D$19:$AH$19,年度所得税!$D$4:$AH$4,"&gt;"&amp;(核心参数输入!$B$9*4-核心参数输入!$B$111)/4),0),0)</f>
        <v>0</v>
      </c>
      <c r="CP63" s="9">
        <f>IF(90&lt;=核心参数输入!$B$9*4,SUMIFS(年度所得税!$D$19:$AH$19,年度所得税!$D$4:$AH$4,(90-核心参数输入!$B$111)/4)+IF(90=核心参数输入!$B$9*4,SUMIFS(年度所得税!$D$19:$AH$19,年度所得税!$D$4:$AH$4,"&gt;"&amp;(核心参数输入!$B$9*4-核心参数输入!$B$111)/4),0),0)</f>
        <v>0</v>
      </c>
      <c r="CQ63" s="9">
        <f>IF(91&lt;=核心参数输入!$B$9*4,SUMIFS(年度所得税!$D$19:$AH$19,年度所得税!$D$4:$AH$4,(91-核心参数输入!$B$111)/4)+IF(91=核心参数输入!$B$9*4,SUMIFS(年度所得税!$D$19:$AH$19,年度所得税!$D$4:$AH$4,"&gt;"&amp;(核心参数输入!$B$9*4-核心参数输入!$B$111)/4),0),0)</f>
        <v>0</v>
      </c>
      <c r="CR63" s="9">
        <f>IF(92&lt;=核心参数输入!$B$9*4,SUMIFS(年度所得税!$D$19:$AH$19,年度所得税!$D$4:$AH$4,(92-核心参数输入!$B$111)/4)+IF(92=核心参数输入!$B$9*4,SUMIFS(年度所得税!$D$19:$AH$19,年度所得税!$D$4:$AH$4,"&gt;"&amp;(核心参数输入!$B$9*4-核心参数输入!$B$111)/4),0),0)</f>
        <v>0</v>
      </c>
      <c r="CS63" s="9">
        <f>IF(93&lt;=核心参数输入!$B$9*4,SUMIFS(年度所得税!$D$19:$AH$19,年度所得税!$D$4:$AH$4,(93-核心参数输入!$B$111)/4)+IF(93=核心参数输入!$B$9*4,SUMIFS(年度所得税!$D$19:$AH$19,年度所得税!$D$4:$AH$4,"&gt;"&amp;(核心参数输入!$B$9*4-核心参数输入!$B$111)/4),0),0)</f>
        <v>0</v>
      </c>
      <c r="CT63" s="9">
        <f>IF(94&lt;=核心参数输入!$B$9*4,SUMIFS(年度所得税!$D$19:$AH$19,年度所得税!$D$4:$AH$4,(94-核心参数输入!$B$111)/4)+IF(94=核心参数输入!$B$9*4,SUMIFS(年度所得税!$D$19:$AH$19,年度所得税!$D$4:$AH$4,"&gt;"&amp;(核心参数输入!$B$9*4-核心参数输入!$B$111)/4),0),0)</f>
        <v>0</v>
      </c>
      <c r="CU63" s="9">
        <f>IF(95&lt;=核心参数输入!$B$9*4,SUMIFS(年度所得税!$D$19:$AH$19,年度所得税!$D$4:$AH$4,(95-核心参数输入!$B$111)/4)+IF(95=核心参数输入!$B$9*4,SUMIFS(年度所得税!$D$19:$AH$19,年度所得税!$D$4:$AH$4,"&gt;"&amp;(核心参数输入!$B$9*4-核心参数输入!$B$111)/4),0),0)</f>
        <v>0</v>
      </c>
      <c r="CV63" s="9">
        <f>IF(96&lt;=核心参数输入!$B$9*4,SUMIFS(年度所得税!$D$19:$AH$19,年度所得税!$D$4:$AH$4,(96-核心参数输入!$B$111)/4)+IF(96=核心参数输入!$B$9*4,SUMIFS(年度所得税!$D$19:$AH$19,年度所得税!$D$4:$AH$4,"&gt;"&amp;(核心参数输入!$B$9*4-核心参数输入!$B$111)/4),0),0)</f>
        <v>0</v>
      </c>
      <c r="CW63" s="9">
        <f>IF(97&lt;=核心参数输入!$B$9*4,SUMIFS(年度所得税!$D$19:$AH$19,年度所得税!$D$4:$AH$4,(97-核心参数输入!$B$111)/4)+IF(97=核心参数输入!$B$9*4,SUMIFS(年度所得税!$D$19:$AH$19,年度所得税!$D$4:$AH$4,"&gt;"&amp;(核心参数输入!$B$9*4-核心参数输入!$B$111)/4),0),0)</f>
        <v>0</v>
      </c>
      <c r="CX63" s="9">
        <f>IF(98&lt;=核心参数输入!$B$9*4,SUMIFS(年度所得税!$D$19:$AH$19,年度所得税!$D$4:$AH$4,(98-核心参数输入!$B$111)/4)+IF(98=核心参数输入!$B$9*4,SUMIFS(年度所得税!$D$19:$AH$19,年度所得税!$D$4:$AH$4,"&gt;"&amp;(核心参数输入!$B$9*4-核心参数输入!$B$111)/4),0),0)</f>
        <v>0</v>
      </c>
      <c r="CY63" s="9">
        <f>IF(99&lt;=核心参数输入!$B$9*4,SUMIFS(年度所得税!$D$19:$AH$19,年度所得税!$D$4:$AH$4,(99-核心参数输入!$B$111)/4)+IF(99=核心参数输入!$B$9*4,SUMIFS(年度所得税!$D$19:$AH$19,年度所得税!$D$4:$AH$4,"&gt;"&amp;(核心参数输入!$B$9*4-核心参数输入!$B$111)/4),0),0)</f>
        <v>0</v>
      </c>
      <c r="CZ63" s="9">
        <f>IF(100&lt;=核心参数输入!$B$9*4,SUMIFS(年度所得税!$D$19:$AH$19,年度所得税!$D$4:$AH$4,(100-核心参数输入!$B$111)/4)+IF(100=核心参数输入!$B$9*4,SUMIFS(年度所得税!$D$19:$AH$19,年度所得税!$D$4:$AH$4,"&gt;"&amp;(核心参数输入!$B$9*4-核心参数输入!$B$111)/4),0),0)</f>
        <v>0</v>
      </c>
      <c r="DA63" s="9">
        <f>IF(101&lt;=核心参数输入!$B$9*4,SUMIFS(年度所得税!$D$19:$AH$19,年度所得税!$D$4:$AH$4,(101-核心参数输入!$B$111)/4)+IF(101=核心参数输入!$B$9*4,SUMIFS(年度所得税!$D$19:$AH$19,年度所得税!$D$4:$AH$4,"&gt;"&amp;(核心参数输入!$B$9*4-核心参数输入!$B$111)/4),0),0)</f>
        <v>0</v>
      </c>
      <c r="DB63" s="9">
        <f>IF(102&lt;=核心参数输入!$B$9*4,SUMIFS(年度所得税!$D$19:$AH$19,年度所得税!$D$4:$AH$4,(102-核心参数输入!$B$111)/4)+IF(102=核心参数输入!$B$9*4,SUMIFS(年度所得税!$D$19:$AH$19,年度所得税!$D$4:$AH$4,"&gt;"&amp;(核心参数输入!$B$9*4-核心参数输入!$B$111)/4),0),0)</f>
        <v>0</v>
      </c>
      <c r="DC63" s="9">
        <f>IF(103&lt;=核心参数输入!$B$9*4,SUMIFS(年度所得税!$D$19:$AH$19,年度所得税!$D$4:$AH$4,(103-核心参数输入!$B$111)/4)+IF(103=核心参数输入!$B$9*4,SUMIFS(年度所得税!$D$19:$AH$19,年度所得税!$D$4:$AH$4,"&gt;"&amp;(核心参数输入!$B$9*4-核心参数输入!$B$111)/4),0),0)</f>
        <v>0</v>
      </c>
      <c r="DD63" s="9">
        <f>IF(104&lt;=核心参数输入!$B$9*4,SUMIFS(年度所得税!$D$19:$AH$19,年度所得税!$D$4:$AH$4,(104-核心参数输入!$B$111)/4)+IF(104=核心参数输入!$B$9*4,SUMIFS(年度所得税!$D$19:$AH$19,年度所得税!$D$4:$AH$4,"&gt;"&amp;(核心参数输入!$B$9*4-核心参数输入!$B$111)/4),0),0)</f>
        <v>0</v>
      </c>
      <c r="DE63" s="9">
        <f>IF(105&lt;=核心参数输入!$B$9*4,SUMIFS(年度所得税!$D$19:$AH$19,年度所得税!$D$4:$AH$4,(105-核心参数输入!$B$111)/4)+IF(105=核心参数输入!$B$9*4,SUMIFS(年度所得税!$D$19:$AH$19,年度所得税!$D$4:$AH$4,"&gt;"&amp;(核心参数输入!$B$9*4-核心参数输入!$B$111)/4),0),0)</f>
        <v>0</v>
      </c>
      <c r="DF63" s="9">
        <f>IF(106&lt;=核心参数输入!$B$9*4,SUMIFS(年度所得税!$D$19:$AH$19,年度所得税!$D$4:$AH$4,(106-核心参数输入!$B$111)/4)+IF(106=核心参数输入!$B$9*4,SUMIFS(年度所得税!$D$19:$AH$19,年度所得税!$D$4:$AH$4,"&gt;"&amp;(核心参数输入!$B$9*4-核心参数输入!$B$111)/4),0),0)</f>
        <v>0</v>
      </c>
      <c r="DG63" s="9">
        <f>IF(107&lt;=核心参数输入!$B$9*4,SUMIFS(年度所得税!$D$19:$AH$19,年度所得税!$D$4:$AH$4,(107-核心参数输入!$B$111)/4)+IF(107=核心参数输入!$B$9*4,SUMIFS(年度所得税!$D$19:$AH$19,年度所得税!$D$4:$AH$4,"&gt;"&amp;(核心参数输入!$B$9*4-核心参数输入!$B$111)/4),0),0)</f>
        <v>0</v>
      </c>
      <c r="DH63" s="9">
        <f>IF(108&lt;=核心参数输入!$B$9*4,SUMIFS(年度所得税!$D$19:$AH$19,年度所得税!$D$4:$AH$4,(108-核心参数输入!$B$111)/4)+IF(108=核心参数输入!$B$9*4,SUMIFS(年度所得税!$D$19:$AH$19,年度所得税!$D$4:$AH$4,"&gt;"&amp;(核心参数输入!$B$9*4-核心参数输入!$B$111)/4),0),0)</f>
        <v>0</v>
      </c>
      <c r="DI63" s="9">
        <f>IF(109&lt;=核心参数输入!$B$9*4,SUMIFS(年度所得税!$D$19:$AH$19,年度所得税!$D$4:$AH$4,(109-核心参数输入!$B$111)/4)+IF(109=核心参数输入!$B$9*4,SUMIFS(年度所得税!$D$19:$AH$19,年度所得税!$D$4:$AH$4,"&gt;"&amp;(核心参数输入!$B$9*4-核心参数输入!$B$111)/4),0),0)</f>
        <v>0</v>
      </c>
      <c r="DJ63" s="9">
        <f>IF(110&lt;=核心参数输入!$B$9*4,SUMIFS(年度所得税!$D$19:$AH$19,年度所得税!$D$4:$AH$4,(110-核心参数输入!$B$111)/4)+IF(110=核心参数输入!$B$9*4,SUMIFS(年度所得税!$D$19:$AH$19,年度所得税!$D$4:$AH$4,"&gt;"&amp;(核心参数输入!$B$9*4-核心参数输入!$B$111)/4),0),0)</f>
        <v>0</v>
      </c>
      <c r="DK63" s="9">
        <f>IF(111&lt;=核心参数输入!$B$9*4,SUMIFS(年度所得税!$D$19:$AH$19,年度所得税!$D$4:$AH$4,(111-核心参数输入!$B$111)/4)+IF(111=核心参数输入!$B$9*4,SUMIFS(年度所得税!$D$19:$AH$19,年度所得税!$D$4:$AH$4,"&gt;"&amp;(核心参数输入!$B$9*4-核心参数输入!$B$111)/4),0),0)</f>
        <v>0</v>
      </c>
      <c r="DL63" s="9">
        <f>IF(112&lt;=核心参数输入!$B$9*4,SUMIFS(年度所得税!$D$19:$AH$19,年度所得税!$D$4:$AH$4,(112-核心参数输入!$B$111)/4)+IF(112=核心参数输入!$B$9*4,SUMIFS(年度所得税!$D$19:$AH$19,年度所得税!$D$4:$AH$4,"&gt;"&amp;(核心参数输入!$B$9*4-核心参数输入!$B$111)/4),0),0)</f>
        <v>0</v>
      </c>
      <c r="DM63" s="9">
        <f>IF(113&lt;=核心参数输入!$B$9*4,SUMIFS(年度所得税!$D$19:$AH$19,年度所得税!$D$4:$AH$4,(113-核心参数输入!$B$111)/4)+IF(113=核心参数输入!$B$9*4,SUMIFS(年度所得税!$D$19:$AH$19,年度所得税!$D$4:$AH$4,"&gt;"&amp;(核心参数输入!$B$9*4-核心参数输入!$B$111)/4),0),0)</f>
        <v>0</v>
      </c>
      <c r="DN63" s="9">
        <f>IF(114&lt;=核心参数输入!$B$9*4,SUMIFS(年度所得税!$D$19:$AH$19,年度所得税!$D$4:$AH$4,(114-核心参数输入!$B$111)/4)+IF(114=核心参数输入!$B$9*4,SUMIFS(年度所得税!$D$19:$AH$19,年度所得税!$D$4:$AH$4,"&gt;"&amp;(核心参数输入!$B$9*4-核心参数输入!$B$111)/4),0),0)</f>
        <v>0</v>
      </c>
      <c r="DO63" s="9">
        <f>IF(115&lt;=核心参数输入!$B$9*4,SUMIFS(年度所得税!$D$19:$AH$19,年度所得税!$D$4:$AH$4,(115-核心参数输入!$B$111)/4)+IF(115=核心参数输入!$B$9*4,SUMIFS(年度所得税!$D$19:$AH$19,年度所得税!$D$4:$AH$4,"&gt;"&amp;(核心参数输入!$B$9*4-核心参数输入!$B$111)/4),0),0)</f>
        <v>0</v>
      </c>
      <c r="DP63" s="9">
        <f>IF(116&lt;=核心参数输入!$B$9*4,SUMIFS(年度所得税!$D$19:$AH$19,年度所得税!$D$4:$AH$4,(116-核心参数输入!$B$111)/4)+IF(116=核心参数输入!$B$9*4,SUMIFS(年度所得税!$D$19:$AH$19,年度所得税!$D$4:$AH$4,"&gt;"&amp;(核心参数输入!$B$9*4-核心参数输入!$B$111)/4),0),0)</f>
        <v>0</v>
      </c>
      <c r="DQ63" s="9">
        <f>IF(117&lt;=核心参数输入!$B$9*4,SUMIFS(年度所得税!$D$19:$AH$19,年度所得税!$D$4:$AH$4,(117-核心参数输入!$B$111)/4)+IF(117=核心参数输入!$B$9*4,SUMIFS(年度所得税!$D$19:$AH$19,年度所得税!$D$4:$AH$4,"&gt;"&amp;(核心参数输入!$B$9*4-核心参数输入!$B$111)/4),0),0)</f>
        <v>0</v>
      </c>
      <c r="DR63" s="9">
        <f>IF(118&lt;=核心参数输入!$B$9*4,SUMIFS(年度所得税!$D$19:$AH$19,年度所得税!$D$4:$AH$4,(118-核心参数输入!$B$111)/4)+IF(118=核心参数输入!$B$9*4,SUMIFS(年度所得税!$D$19:$AH$19,年度所得税!$D$4:$AH$4,"&gt;"&amp;(核心参数输入!$B$9*4-核心参数输入!$B$111)/4),0),0)</f>
        <v>0</v>
      </c>
      <c r="DS63" s="9">
        <f>IF(119&lt;=核心参数输入!$B$9*4,SUMIFS(年度所得税!$D$19:$AH$19,年度所得税!$D$4:$AH$4,(119-核心参数输入!$B$111)/4)+IF(119=核心参数输入!$B$9*4,SUMIFS(年度所得税!$D$19:$AH$19,年度所得税!$D$4:$AH$4,"&gt;"&amp;(核心参数输入!$B$9*4-核心参数输入!$B$111)/4),0),0)</f>
        <v>0</v>
      </c>
      <c r="DT63" s="9">
        <f>IF(120&lt;=核心参数输入!$B$9*4,SUMIFS(年度所得税!$D$19:$AH$19,年度所得税!$D$4:$AH$4,(120-核心参数输入!$B$111)/4)+IF(120=核心参数输入!$B$9*4,SUMIFS(年度所得税!$D$19:$AH$19,年度所得税!$D$4:$AH$4,"&gt;"&amp;(核心参数输入!$B$9*4-核心参数输入!$B$111)/4),0),0)</f>
        <v>0</v>
      </c>
    </row>
    <row r="64" spans="1:124" ht="21" customHeight="1">
      <c r="A64" s="8" t="s">
        <v>495</v>
      </c>
      <c r="B64" s="8" t="s">
        <v>39</v>
      </c>
      <c r="C64" s="8"/>
      <c r="D64" s="9">
        <f>IF(0&lt;=核心参数输入!$B$9*4,SUMIFS(年度所得税!$D$90:$AH$90,年度所得税!$D$4:$AH$4,(0-核心参数输入!$B$111)/4)+IF(0=核心参数输入!$B$9*4,SUMIFS(年度所得税!$D$90:$AH$90,年度所得税!$D$4:$AH$4,"&gt;"&amp;(核心参数输入!$B$9*4-核心参数输入!$B$111)/4),0),0)</f>
        <v>0</v>
      </c>
      <c r="E64" s="9">
        <f>IF(1&lt;=核心参数输入!$B$9*4,SUMIFS(年度所得税!$D$90:$AH$90,年度所得税!$D$4:$AH$4,(1-核心参数输入!$B$111)/4)+IF(1=核心参数输入!$B$9*4,SUMIFS(年度所得税!$D$90:$AH$90,年度所得税!$D$4:$AH$4,"&gt;"&amp;(核心参数输入!$B$9*4-核心参数输入!$B$111)/4),0),0)</f>
        <v>0</v>
      </c>
      <c r="F64" s="9">
        <f>IF(2&lt;=核心参数输入!$B$9*4,SUMIFS(年度所得税!$D$90:$AH$90,年度所得税!$D$4:$AH$4,(2-核心参数输入!$B$111)/4)+IF(2=核心参数输入!$B$9*4,SUMIFS(年度所得税!$D$90:$AH$90,年度所得税!$D$4:$AH$4,"&gt;"&amp;(核心参数输入!$B$9*4-核心参数输入!$B$111)/4),0),0)</f>
        <v>0</v>
      </c>
      <c r="G64" s="9">
        <f>IF(3&lt;=核心参数输入!$B$9*4,SUMIFS(年度所得税!$D$90:$AH$90,年度所得税!$D$4:$AH$4,(3-核心参数输入!$B$111)/4)+IF(3=核心参数输入!$B$9*4,SUMIFS(年度所得税!$D$90:$AH$90,年度所得税!$D$4:$AH$4,"&gt;"&amp;(核心参数输入!$B$9*4-核心参数输入!$B$111)/4),0),0)</f>
        <v>0</v>
      </c>
      <c r="H64" s="9">
        <f>IF(4&lt;=核心参数输入!$B$9*4,SUMIFS(年度所得税!$D$90:$AH$90,年度所得税!$D$4:$AH$4,(4-核心参数输入!$B$111)/4)+IF(4=核心参数输入!$B$9*4,SUMIFS(年度所得税!$D$90:$AH$90,年度所得税!$D$4:$AH$4,"&gt;"&amp;(核心参数输入!$B$9*4-核心参数输入!$B$111)/4),0),0)</f>
        <v>0</v>
      </c>
      <c r="I64" s="9">
        <f>IF(5&lt;=核心参数输入!$B$9*4,SUMIFS(年度所得税!$D$90:$AH$90,年度所得税!$D$4:$AH$4,(5-核心参数输入!$B$111)/4)+IF(5=核心参数输入!$B$9*4,SUMIFS(年度所得税!$D$90:$AH$90,年度所得税!$D$4:$AH$4,"&gt;"&amp;(核心参数输入!$B$9*4-核心参数输入!$B$111)/4),0),0)</f>
        <v>0</v>
      </c>
      <c r="J64" s="9">
        <f>IF(6&lt;=核心参数输入!$B$9*4,SUMIFS(年度所得税!$D$90:$AH$90,年度所得税!$D$4:$AH$4,(6-核心参数输入!$B$111)/4)+IF(6=核心参数输入!$B$9*4,SUMIFS(年度所得税!$D$90:$AH$90,年度所得税!$D$4:$AH$4,"&gt;"&amp;(核心参数输入!$B$9*4-核心参数输入!$B$111)/4),0),0)</f>
        <v>0</v>
      </c>
      <c r="K64" s="9">
        <f>IF(7&lt;=核心参数输入!$B$9*4,SUMIFS(年度所得税!$D$90:$AH$90,年度所得税!$D$4:$AH$4,(7-核心参数输入!$B$111)/4)+IF(7=核心参数输入!$B$9*4,SUMIFS(年度所得税!$D$90:$AH$90,年度所得税!$D$4:$AH$4,"&gt;"&amp;(核心参数输入!$B$9*4-核心参数输入!$B$111)/4),0),0)</f>
        <v>0</v>
      </c>
      <c r="L64" s="9">
        <f>IF(8&lt;=核心参数输入!$B$9*4,SUMIFS(年度所得税!$D$90:$AH$90,年度所得税!$D$4:$AH$4,(8-核心参数输入!$B$111)/4)+IF(8=核心参数输入!$B$9*4,SUMIFS(年度所得税!$D$90:$AH$90,年度所得税!$D$4:$AH$4,"&gt;"&amp;(核心参数输入!$B$9*4-核心参数输入!$B$111)/4),0),0)</f>
        <v>0</v>
      </c>
      <c r="M64" s="9">
        <f>IF(9&lt;=核心参数输入!$B$9*4,SUMIFS(年度所得税!$D$90:$AH$90,年度所得税!$D$4:$AH$4,(9-核心参数输入!$B$111)/4)+IF(9=核心参数输入!$B$9*4,SUMIFS(年度所得税!$D$90:$AH$90,年度所得税!$D$4:$AH$4,"&gt;"&amp;(核心参数输入!$B$9*4-核心参数输入!$B$111)/4),0),0)</f>
        <v>0</v>
      </c>
      <c r="N64" s="9">
        <f>IF(10&lt;=核心参数输入!$B$9*4,SUMIFS(年度所得税!$D$90:$AH$90,年度所得税!$D$4:$AH$4,(10-核心参数输入!$B$111)/4)+IF(10=核心参数输入!$B$9*4,SUMIFS(年度所得税!$D$90:$AH$90,年度所得税!$D$4:$AH$4,"&gt;"&amp;(核心参数输入!$B$9*4-核心参数输入!$B$111)/4),0),0)</f>
        <v>0</v>
      </c>
      <c r="O64" s="9">
        <f>IF(11&lt;=核心参数输入!$B$9*4,SUMIFS(年度所得税!$D$90:$AH$90,年度所得税!$D$4:$AH$4,(11-核心参数输入!$B$111)/4)+IF(11=核心参数输入!$B$9*4,SUMIFS(年度所得税!$D$90:$AH$90,年度所得税!$D$4:$AH$4,"&gt;"&amp;(核心参数输入!$B$9*4-核心参数输入!$B$111)/4),0),0)</f>
        <v>0</v>
      </c>
      <c r="P64" s="9">
        <f>IF(12&lt;=核心参数输入!$B$9*4,SUMIFS(年度所得税!$D$90:$AH$90,年度所得税!$D$4:$AH$4,(12-核心参数输入!$B$111)/4)+IF(12=核心参数输入!$B$9*4,SUMIFS(年度所得税!$D$90:$AH$90,年度所得税!$D$4:$AH$4,"&gt;"&amp;(核心参数输入!$B$9*4-核心参数输入!$B$111)/4),0),0)</f>
        <v>0</v>
      </c>
      <c r="Q64" s="9">
        <f>IF(13&lt;=核心参数输入!$B$9*4,SUMIFS(年度所得税!$D$90:$AH$90,年度所得税!$D$4:$AH$4,(13-核心参数输入!$B$111)/4)+IF(13=核心参数输入!$B$9*4,SUMIFS(年度所得税!$D$90:$AH$90,年度所得税!$D$4:$AH$4,"&gt;"&amp;(核心参数输入!$B$9*4-核心参数输入!$B$111)/4),0),0)</f>
        <v>0</v>
      </c>
      <c r="R64" s="9">
        <f>IF(14&lt;=核心参数输入!$B$9*4,SUMIFS(年度所得税!$D$90:$AH$90,年度所得税!$D$4:$AH$4,(14-核心参数输入!$B$111)/4)+IF(14=核心参数输入!$B$9*4,SUMIFS(年度所得税!$D$90:$AH$90,年度所得税!$D$4:$AH$4,"&gt;"&amp;(核心参数输入!$B$9*4-核心参数输入!$B$111)/4),0),0)</f>
        <v>0</v>
      </c>
      <c r="S64" s="9">
        <f>IF(15&lt;=核心参数输入!$B$9*4,SUMIFS(年度所得税!$D$90:$AH$90,年度所得税!$D$4:$AH$4,(15-核心参数输入!$B$111)/4)+IF(15=核心参数输入!$B$9*4,SUMIFS(年度所得税!$D$90:$AH$90,年度所得税!$D$4:$AH$4,"&gt;"&amp;(核心参数输入!$B$9*4-核心参数输入!$B$111)/4),0),0)</f>
        <v>0</v>
      </c>
      <c r="T64" s="9">
        <f>IF(16&lt;=核心参数输入!$B$9*4,SUMIFS(年度所得税!$D$90:$AH$90,年度所得税!$D$4:$AH$4,(16-核心参数输入!$B$111)/4)+IF(16=核心参数输入!$B$9*4,SUMIFS(年度所得税!$D$90:$AH$90,年度所得税!$D$4:$AH$4,"&gt;"&amp;(核心参数输入!$B$9*4-核心参数输入!$B$111)/4),0),0)</f>
        <v>62.217637453125306</v>
      </c>
      <c r="U64" s="9">
        <f>IF(17&lt;=核心参数输入!$B$9*4,SUMIFS(年度所得税!$D$90:$AH$90,年度所得税!$D$4:$AH$4,(17-核心参数输入!$B$111)/4)+IF(17=核心参数输入!$B$9*4,SUMIFS(年度所得税!$D$90:$AH$90,年度所得税!$D$4:$AH$4,"&gt;"&amp;(核心参数输入!$B$9*4-核心参数输入!$B$111)/4),0),0)</f>
        <v>0</v>
      </c>
      <c r="V64" s="9">
        <f>IF(18&lt;=核心参数输入!$B$9*4,SUMIFS(年度所得税!$D$90:$AH$90,年度所得税!$D$4:$AH$4,(18-核心参数输入!$B$111)/4)+IF(18=核心参数输入!$B$9*4,SUMIFS(年度所得税!$D$90:$AH$90,年度所得税!$D$4:$AH$4,"&gt;"&amp;(核心参数输入!$B$9*4-核心参数输入!$B$111)/4),0),0)</f>
        <v>0</v>
      </c>
      <c r="W64" s="9">
        <f>IF(19&lt;=核心参数输入!$B$9*4,SUMIFS(年度所得税!$D$90:$AH$90,年度所得税!$D$4:$AH$4,(19-核心参数输入!$B$111)/4)+IF(19=核心参数输入!$B$9*4,SUMIFS(年度所得税!$D$90:$AH$90,年度所得税!$D$4:$AH$4,"&gt;"&amp;(核心参数输入!$B$9*4-核心参数输入!$B$111)/4),0),0)</f>
        <v>0</v>
      </c>
      <c r="X64" s="9">
        <f>IF(20&lt;=核心参数输入!$B$9*4,SUMIFS(年度所得税!$D$90:$AH$90,年度所得税!$D$4:$AH$4,(20-核心参数输入!$B$111)/4)+IF(20=核心参数输入!$B$9*4,SUMIFS(年度所得税!$D$90:$AH$90,年度所得税!$D$4:$AH$4,"&gt;"&amp;(核心参数输入!$B$9*4-核心参数输入!$B$111)/4),0),0)</f>
        <v>484.89390910042181</v>
      </c>
      <c r="Y64" s="9">
        <f>IF(21&lt;=核心参数输入!$B$9*4,SUMIFS(年度所得税!$D$90:$AH$90,年度所得税!$D$4:$AH$4,(21-核心参数输入!$B$111)/4)+IF(21=核心参数输入!$B$9*4,SUMIFS(年度所得税!$D$90:$AH$90,年度所得税!$D$4:$AH$4,"&gt;"&amp;(核心参数输入!$B$9*4-核心参数输入!$B$111)/4),0),0)</f>
        <v>0</v>
      </c>
      <c r="Z64" s="9">
        <f>IF(22&lt;=核心参数输入!$B$9*4,SUMIFS(年度所得税!$D$90:$AH$90,年度所得税!$D$4:$AH$4,(22-核心参数输入!$B$111)/4)+IF(22=核心参数输入!$B$9*4,SUMIFS(年度所得税!$D$90:$AH$90,年度所得税!$D$4:$AH$4,"&gt;"&amp;(核心参数输入!$B$9*4-核心参数输入!$B$111)/4),0),0)</f>
        <v>0</v>
      </c>
      <c r="AA64" s="9">
        <f>IF(23&lt;=核心参数输入!$B$9*4,SUMIFS(年度所得税!$D$90:$AH$90,年度所得税!$D$4:$AH$4,(23-核心参数输入!$B$111)/4)+IF(23=核心参数输入!$B$9*4,SUMIFS(年度所得税!$D$90:$AH$90,年度所得税!$D$4:$AH$4,"&gt;"&amp;(核心参数输入!$B$9*4-核心参数输入!$B$111)/4),0),0)</f>
        <v>0</v>
      </c>
      <c r="AB64" s="9">
        <f>IF(24&lt;=核心参数输入!$B$9*4,SUMIFS(年度所得税!$D$90:$AH$90,年度所得税!$D$4:$AH$4,(24-核心参数输入!$B$111)/4)+IF(24=核心参数输入!$B$9*4,SUMIFS(年度所得税!$D$90:$AH$90,年度所得税!$D$4:$AH$4,"&gt;"&amp;(核心参数输入!$B$9*4-核心参数输入!$B$111)/4),0),0)</f>
        <v>395.75098916464799</v>
      </c>
      <c r="AC64" s="9">
        <f>IF(25&lt;=核心参数输入!$B$9*4,SUMIFS(年度所得税!$D$90:$AH$90,年度所得税!$D$4:$AH$4,(25-核心参数输入!$B$111)/4)+IF(25=核心参数输入!$B$9*4,SUMIFS(年度所得税!$D$90:$AH$90,年度所得税!$D$4:$AH$4,"&gt;"&amp;(核心参数输入!$B$9*4-核心参数输入!$B$111)/4),0),0)</f>
        <v>0</v>
      </c>
      <c r="AD64" s="9">
        <f>IF(26&lt;=核心参数输入!$B$9*4,SUMIFS(年度所得税!$D$90:$AH$90,年度所得税!$D$4:$AH$4,(26-核心参数输入!$B$111)/4)+IF(26=核心参数输入!$B$9*4,SUMIFS(年度所得税!$D$90:$AH$90,年度所得税!$D$4:$AH$4,"&gt;"&amp;(核心参数输入!$B$9*4-核心参数输入!$B$111)/4),0),0)</f>
        <v>0</v>
      </c>
      <c r="AE64" s="9">
        <f>IF(27&lt;=核心参数输入!$B$9*4,SUMIFS(年度所得税!$D$90:$AH$90,年度所得税!$D$4:$AH$4,(27-核心参数输入!$B$111)/4)+IF(27=核心参数输入!$B$9*4,SUMIFS(年度所得税!$D$90:$AH$90,年度所得税!$D$4:$AH$4,"&gt;"&amp;(核心参数输入!$B$9*4-核心参数输入!$B$111)/4),0),0)</f>
        <v>0</v>
      </c>
      <c r="AF64" s="9">
        <f>IF(28&lt;=核心参数输入!$B$9*4,SUMIFS(年度所得税!$D$90:$AH$90,年度所得税!$D$4:$AH$4,(28-核心参数输入!$B$111)/4)+IF(28=核心参数输入!$B$9*4,SUMIFS(年度所得税!$D$90:$AH$90,年度所得税!$D$4:$AH$4,"&gt;"&amp;(核心参数输入!$B$9*4-核心参数输入!$B$111)/4),0),0)</f>
        <v>0</v>
      </c>
      <c r="AG64" s="9">
        <f>IF(29&lt;=核心参数输入!$B$9*4,SUMIFS(年度所得税!$D$90:$AH$90,年度所得税!$D$4:$AH$4,(29-核心参数输入!$B$111)/4)+IF(29=核心参数输入!$B$9*4,SUMIFS(年度所得税!$D$90:$AH$90,年度所得税!$D$4:$AH$4,"&gt;"&amp;(核心参数输入!$B$9*4-核心参数输入!$B$111)/4),0),0)</f>
        <v>0</v>
      </c>
      <c r="AH64" s="9">
        <f>IF(30&lt;=核心参数输入!$B$9*4,SUMIFS(年度所得税!$D$90:$AH$90,年度所得税!$D$4:$AH$4,(30-核心参数输入!$B$111)/4)+IF(30=核心参数输入!$B$9*4,SUMIFS(年度所得税!$D$90:$AH$90,年度所得税!$D$4:$AH$4,"&gt;"&amp;(核心参数输入!$B$9*4-核心参数输入!$B$111)/4),0),0)</f>
        <v>0</v>
      </c>
      <c r="AI64" s="9">
        <f>IF(31&lt;=核心参数输入!$B$9*4,SUMIFS(年度所得税!$D$90:$AH$90,年度所得税!$D$4:$AH$4,(31-核心参数输入!$B$111)/4)+IF(31=核心参数输入!$B$9*4,SUMIFS(年度所得税!$D$90:$AH$90,年度所得税!$D$4:$AH$4,"&gt;"&amp;(核心参数输入!$B$9*4-核心参数输入!$B$111)/4),0),0)</f>
        <v>0</v>
      </c>
      <c r="AJ64" s="9">
        <f>IF(32&lt;=核心参数输入!$B$9*4,SUMIFS(年度所得税!$D$90:$AH$90,年度所得税!$D$4:$AH$4,(32-核心参数输入!$B$111)/4)+IF(32=核心参数输入!$B$9*4,SUMIFS(年度所得税!$D$90:$AH$90,年度所得税!$D$4:$AH$4,"&gt;"&amp;(核心参数输入!$B$9*4-核心参数输入!$B$111)/4),0),0)</f>
        <v>0</v>
      </c>
      <c r="AK64" s="9">
        <f>IF(33&lt;=核心参数输入!$B$9*4,SUMIFS(年度所得税!$D$90:$AH$90,年度所得税!$D$4:$AH$4,(33-核心参数输入!$B$111)/4)+IF(33=核心参数输入!$B$9*4,SUMIFS(年度所得税!$D$90:$AH$90,年度所得税!$D$4:$AH$4,"&gt;"&amp;(核心参数输入!$B$9*4-核心参数输入!$B$111)/4),0),0)</f>
        <v>0</v>
      </c>
      <c r="AL64" s="9">
        <f>IF(34&lt;=核心参数输入!$B$9*4,SUMIFS(年度所得税!$D$90:$AH$90,年度所得税!$D$4:$AH$4,(34-核心参数输入!$B$111)/4)+IF(34=核心参数输入!$B$9*4,SUMIFS(年度所得税!$D$90:$AH$90,年度所得税!$D$4:$AH$4,"&gt;"&amp;(核心参数输入!$B$9*4-核心参数输入!$B$111)/4),0),0)</f>
        <v>0</v>
      </c>
      <c r="AM64" s="9">
        <f>IF(35&lt;=核心参数输入!$B$9*4,SUMIFS(年度所得税!$D$90:$AH$90,年度所得税!$D$4:$AH$4,(35-核心参数输入!$B$111)/4)+IF(35=核心参数输入!$B$9*4,SUMIFS(年度所得税!$D$90:$AH$90,年度所得税!$D$4:$AH$4,"&gt;"&amp;(核心参数输入!$B$9*4-核心参数输入!$B$111)/4),0),0)</f>
        <v>0</v>
      </c>
      <c r="AN64" s="9">
        <f>IF(36&lt;=核心参数输入!$B$9*4,SUMIFS(年度所得税!$D$90:$AH$90,年度所得税!$D$4:$AH$4,(36-核心参数输入!$B$111)/4)+IF(36=核心参数输入!$B$9*4,SUMIFS(年度所得税!$D$90:$AH$90,年度所得税!$D$4:$AH$4,"&gt;"&amp;(核心参数输入!$B$9*4-核心参数输入!$B$111)/4),0),0)</f>
        <v>0</v>
      </c>
      <c r="AO64" s="9">
        <f>IF(37&lt;=核心参数输入!$B$9*4,SUMIFS(年度所得税!$D$90:$AH$90,年度所得税!$D$4:$AH$4,(37-核心参数输入!$B$111)/4)+IF(37=核心参数输入!$B$9*4,SUMIFS(年度所得税!$D$90:$AH$90,年度所得税!$D$4:$AH$4,"&gt;"&amp;(核心参数输入!$B$9*4-核心参数输入!$B$111)/4),0),0)</f>
        <v>0</v>
      </c>
      <c r="AP64" s="9">
        <f>IF(38&lt;=核心参数输入!$B$9*4,SUMIFS(年度所得税!$D$90:$AH$90,年度所得税!$D$4:$AH$4,(38-核心参数输入!$B$111)/4)+IF(38=核心参数输入!$B$9*4,SUMIFS(年度所得税!$D$90:$AH$90,年度所得税!$D$4:$AH$4,"&gt;"&amp;(核心参数输入!$B$9*4-核心参数输入!$B$111)/4),0),0)</f>
        <v>0</v>
      </c>
      <c r="AQ64" s="9">
        <f>IF(39&lt;=核心参数输入!$B$9*4,SUMIFS(年度所得税!$D$90:$AH$90,年度所得税!$D$4:$AH$4,(39-核心参数输入!$B$111)/4)+IF(39=核心参数输入!$B$9*4,SUMIFS(年度所得税!$D$90:$AH$90,年度所得税!$D$4:$AH$4,"&gt;"&amp;(核心参数输入!$B$9*4-核心参数输入!$B$111)/4),0),0)</f>
        <v>0</v>
      </c>
      <c r="AR64" s="9">
        <f>IF(40&lt;=核心参数输入!$B$9*4,SUMIFS(年度所得税!$D$90:$AH$90,年度所得税!$D$4:$AH$4,(40-核心参数输入!$B$111)/4)+IF(40=核心参数输入!$B$9*4,SUMIFS(年度所得税!$D$90:$AH$90,年度所得税!$D$4:$AH$4,"&gt;"&amp;(核心参数输入!$B$9*4-核心参数输入!$B$111)/4),0),0)</f>
        <v>0</v>
      </c>
      <c r="AS64" s="9">
        <f>IF(41&lt;=核心参数输入!$B$9*4,SUMIFS(年度所得税!$D$90:$AH$90,年度所得税!$D$4:$AH$4,(41-核心参数输入!$B$111)/4)+IF(41=核心参数输入!$B$9*4,SUMIFS(年度所得税!$D$90:$AH$90,年度所得税!$D$4:$AH$4,"&gt;"&amp;(核心参数输入!$B$9*4-核心参数输入!$B$111)/4),0),0)</f>
        <v>0</v>
      </c>
      <c r="AT64" s="9">
        <f>IF(42&lt;=核心参数输入!$B$9*4,SUMIFS(年度所得税!$D$90:$AH$90,年度所得税!$D$4:$AH$4,(42-核心参数输入!$B$111)/4)+IF(42=核心参数输入!$B$9*4,SUMIFS(年度所得税!$D$90:$AH$90,年度所得税!$D$4:$AH$4,"&gt;"&amp;(核心参数输入!$B$9*4-核心参数输入!$B$111)/4),0),0)</f>
        <v>0</v>
      </c>
      <c r="AU64" s="9">
        <f>IF(43&lt;=核心参数输入!$B$9*4,SUMIFS(年度所得税!$D$90:$AH$90,年度所得税!$D$4:$AH$4,(43-核心参数输入!$B$111)/4)+IF(43=核心参数输入!$B$9*4,SUMIFS(年度所得税!$D$90:$AH$90,年度所得税!$D$4:$AH$4,"&gt;"&amp;(核心参数输入!$B$9*4-核心参数输入!$B$111)/4),0),0)</f>
        <v>0</v>
      </c>
      <c r="AV64" s="9">
        <f>IF(44&lt;=核心参数输入!$B$9*4,SUMIFS(年度所得税!$D$90:$AH$90,年度所得税!$D$4:$AH$4,(44-核心参数输入!$B$111)/4)+IF(44=核心参数输入!$B$9*4,SUMIFS(年度所得税!$D$90:$AH$90,年度所得税!$D$4:$AH$4,"&gt;"&amp;(核心参数输入!$B$9*4-核心参数输入!$B$111)/4),0),0)</f>
        <v>0</v>
      </c>
      <c r="AW64" s="9">
        <f>IF(45&lt;=核心参数输入!$B$9*4,SUMIFS(年度所得税!$D$90:$AH$90,年度所得税!$D$4:$AH$4,(45-核心参数输入!$B$111)/4)+IF(45=核心参数输入!$B$9*4,SUMIFS(年度所得税!$D$90:$AH$90,年度所得税!$D$4:$AH$4,"&gt;"&amp;(核心参数输入!$B$9*4-核心参数输入!$B$111)/4),0),0)</f>
        <v>0</v>
      </c>
      <c r="AX64" s="9">
        <f>IF(46&lt;=核心参数输入!$B$9*4,SUMIFS(年度所得税!$D$90:$AH$90,年度所得税!$D$4:$AH$4,(46-核心参数输入!$B$111)/4)+IF(46=核心参数输入!$B$9*4,SUMIFS(年度所得税!$D$90:$AH$90,年度所得税!$D$4:$AH$4,"&gt;"&amp;(核心参数输入!$B$9*4-核心参数输入!$B$111)/4),0),0)</f>
        <v>0</v>
      </c>
      <c r="AY64" s="9">
        <f>IF(47&lt;=核心参数输入!$B$9*4,SUMIFS(年度所得税!$D$90:$AH$90,年度所得税!$D$4:$AH$4,(47-核心参数输入!$B$111)/4)+IF(47=核心参数输入!$B$9*4,SUMIFS(年度所得税!$D$90:$AH$90,年度所得税!$D$4:$AH$4,"&gt;"&amp;(核心参数输入!$B$9*4-核心参数输入!$B$111)/4),0),0)</f>
        <v>0</v>
      </c>
      <c r="AZ64" s="9">
        <f>IF(48&lt;=核心参数输入!$B$9*4,SUMIFS(年度所得税!$D$90:$AH$90,年度所得税!$D$4:$AH$4,(48-核心参数输入!$B$111)/4)+IF(48=核心参数输入!$B$9*4,SUMIFS(年度所得税!$D$90:$AH$90,年度所得税!$D$4:$AH$4,"&gt;"&amp;(核心参数输入!$B$9*4-核心参数输入!$B$111)/4),0),0)</f>
        <v>0</v>
      </c>
      <c r="BA64" s="9">
        <f>IF(49&lt;=核心参数输入!$B$9*4,SUMIFS(年度所得税!$D$90:$AH$90,年度所得税!$D$4:$AH$4,(49-核心参数输入!$B$111)/4)+IF(49=核心参数输入!$B$9*4,SUMIFS(年度所得税!$D$90:$AH$90,年度所得税!$D$4:$AH$4,"&gt;"&amp;(核心参数输入!$B$9*4-核心参数输入!$B$111)/4),0),0)</f>
        <v>0</v>
      </c>
      <c r="BB64" s="9">
        <f>IF(50&lt;=核心参数输入!$B$9*4,SUMIFS(年度所得税!$D$90:$AH$90,年度所得税!$D$4:$AH$4,(50-核心参数输入!$B$111)/4)+IF(50=核心参数输入!$B$9*4,SUMIFS(年度所得税!$D$90:$AH$90,年度所得税!$D$4:$AH$4,"&gt;"&amp;(核心参数输入!$B$9*4-核心参数输入!$B$111)/4),0),0)</f>
        <v>0</v>
      </c>
      <c r="BC64" s="9">
        <f>IF(51&lt;=核心参数输入!$B$9*4,SUMIFS(年度所得税!$D$90:$AH$90,年度所得税!$D$4:$AH$4,(51-核心参数输入!$B$111)/4)+IF(51=核心参数输入!$B$9*4,SUMIFS(年度所得税!$D$90:$AH$90,年度所得税!$D$4:$AH$4,"&gt;"&amp;(核心参数输入!$B$9*4-核心参数输入!$B$111)/4),0),0)</f>
        <v>0</v>
      </c>
      <c r="BD64" s="9">
        <f>IF(52&lt;=核心参数输入!$B$9*4,SUMIFS(年度所得税!$D$90:$AH$90,年度所得税!$D$4:$AH$4,(52-核心参数输入!$B$111)/4)+IF(52=核心参数输入!$B$9*4,SUMIFS(年度所得税!$D$90:$AH$90,年度所得税!$D$4:$AH$4,"&gt;"&amp;(核心参数输入!$B$9*4-核心参数输入!$B$111)/4),0),0)</f>
        <v>0</v>
      </c>
      <c r="BE64" s="9">
        <f>IF(53&lt;=核心参数输入!$B$9*4,SUMIFS(年度所得税!$D$90:$AH$90,年度所得税!$D$4:$AH$4,(53-核心参数输入!$B$111)/4)+IF(53=核心参数输入!$B$9*4,SUMIFS(年度所得税!$D$90:$AH$90,年度所得税!$D$4:$AH$4,"&gt;"&amp;(核心参数输入!$B$9*4-核心参数输入!$B$111)/4),0),0)</f>
        <v>0</v>
      </c>
      <c r="BF64" s="9">
        <f>IF(54&lt;=核心参数输入!$B$9*4,SUMIFS(年度所得税!$D$90:$AH$90,年度所得税!$D$4:$AH$4,(54-核心参数输入!$B$111)/4)+IF(54=核心参数输入!$B$9*4,SUMIFS(年度所得税!$D$90:$AH$90,年度所得税!$D$4:$AH$4,"&gt;"&amp;(核心参数输入!$B$9*4-核心参数输入!$B$111)/4),0),0)</f>
        <v>0</v>
      </c>
      <c r="BG64" s="9">
        <f>IF(55&lt;=核心参数输入!$B$9*4,SUMIFS(年度所得税!$D$90:$AH$90,年度所得税!$D$4:$AH$4,(55-核心参数输入!$B$111)/4)+IF(55=核心参数输入!$B$9*4,SUMIFS(年度所得税!$D$90:$AH$90,年度所得税!$D$4:$AH$4,"&gt;"&amp;(核心参数输入!$B$9*4-核心参数输入!$B$111)/4),0),0)</f>
        <v>0</v>
      </c>
      <c r="BH64" s="9">
        <f>IF(56&lt;=核心参数输入!$B$9*4,SUMIFS(年度所得税!$D$90:$AH$90,年度所得税!$D$4:$AH$4,(56-核心参数输入!$B$111)/4)+IF(56=核心参数输入!$B$9*4,SUMIFS(年度所得税!$D$90:$AH$90,年度所得税!$D$4:$AH$4,"&gt;"&amp;(核心参数输入!$B$9*4-核心参数输入!$B$111)/4),0),0)</f>
        <v>28.992672646954034</v>
      </c>
      <c r="BI64" s="9">
        <f>IF(57&lt;=核心参数输入!$B$9*4,SUMIFS(年度所得税!$D$90:$AH$90,年度所得税!$D$4:$AH$4,(57-核心参数输入!$B$111)/4)+IF(57=核心参数输入!$B$9*4,SUMIFS(年度所得税!$D$90:$AH$90,年度所得税!$D$4:$AH$4,"&gt;"&amp;(核心参数输入!$B$9*4-核心参数输入!$B$111)/4),0),0)</f>
        <v>0</v>
      </c>
      <c r="BJ64" s="9">
        <f>IF(58&lt;=核心参数输入!$B$9*4,SUMIFS(年度所得税!$D$90:$AH$90,年度所得税!$D$4:$AH$4,(58-核心参数输入!$B$111)/4)+IF(58=核心参数输入!$B$9*4,SUMIFS(年度所得税!$D$90:$AH$90,年度所得税!$D$4:$AH$4,"&gt;"&amp;(核心参数输入!$B$9*4-核心参数输入!$B$111)/4),0),0)</f>
        <v>0</v>
      </c>
      <c r="BK64" s="9">
        <f>IF(59&lt;=核心参数输入!$B$9*4,SUMIFS(年度所得税!$D$90:$AH$90,年度所得税!$D$4:$AH$4,(59-核心参数输入!$B$111)/4)+IF(59=核心参数输入!$B$9*4,SUMIFS(年度所得税!$D$90:$AH$90,年度所得税!$D$4:$AH$4,"&gt;"&amp;(核心参数输入!$B$9*4-核心参数输入!$B$111)/4),0),0)</f>
        <v>0</v>
      </c>
      <c r="BL64" s="9">
        <f>IF(60&lt;=核心参数输入!$B$9*4,SUMIFS(年度所得税!$D$90:$AH$90,年度所得税!$D$4:$AH$4,(60-核心参数输入!$B$111)/4)+IF(60=核心参数输入!$B$9*4,SUMIFS(年度所得税!$D$90:$AH$90,年度所得税!$D$4:$AH$4,"&gt;"&amp;(核心参数输入!$B$9*4-核心参数输入!$B$111)/4),0),0)</f>
        <v>71.75972978821224</v>
      </c>
      <c r="BM64" s="9">
        <f>IF(61&lt;=核心参数输入!$B$9*4,SUMIFS(年度所得税!$D$90:$AH$90,年度所得税!$D$4:$AH$4,(61-核心参数输入!$B$111)/4)+IF(61=核心参数输入!$B$9*4,SUMIFS(年度所得税!$D$90:$AH$90,年度所得税!$D$4:$AH$4,"&gt;"&amp;(核心参数输入!$B$9*4-核心参数输入!$B$111)/4),0),0)</f>
        <v>0</v>
      </c>
      <c r="BN64" s="9">
        <f>IF(62&lt;=核心参数输入!$B$9*4,SUMIFS(年度所得税!$D$90:$AH$90,年度所得税!$D$4:$AH$4,(62-核心参数输入!$B$111)/4)+IF(62=核心参数输入!$B$9*4,SUMIFS(年度所得税!$D$90:$AH$90,年度所得税!$D$4:$AH$4,"&gt;"&amp;(核心参数输入!$B$9*4-核心参数输入!$B$111)/4),0),0)</f>
        <v>0</v>
      </c>
      <c r="BO64" s="9">
        <f>IF(63&lt;=核心参数输入!$B$9*4,SUMIFS(年度所得税!$D$90:$AH$90,年度所得税!$D$4:$AH$4,(63-核心参数输入!$B$111)/4)+IF(63=核心参数输入!$B$9*4,SUMIFS(年度所得税!$D$90:$AH$90,年度所得税!$D$4:$AH$4,"&gt;"&amp;(核心参数输入!$B$9*4-核心参数输入!$B$111)/4),0),0)</f>
        <v>0</v>
      </c>
      <c r="BP64" s="9">
        <f>IF(64&lt;=核心参数输入!$B$9*4,SUMIFS(年度所得税!$D$90:$AH$90,年度所得税!$D$4:$AH$4,(64-核心参数输入!$B$111)/4)+IF(64=核心参数输入!$B$9*4,SUMIFS(年度所得税!$D$90:$AH$90,年度所得税!$D$4:$AH$4,"&gt;"&amp;(核心参数输入!$B$9*4-核心参数输入!$B$111)/4),0),0)</f>
        <v>76.243769744387308</v>
      </c>
      <c r="BQ64" s="9">
        <f>IF(65&lt;=核心参数输入!$B$9*4,SUMIFS(年度所得税!$D$90:$AH$90,年度所得税!$D$4:$AH$4,(65-核心参数输入!$B$111)/4)+IF(65=核心参数输入!$B$9*4,SUMIFS(年度所得税!$D$90:$AH$90,年度所得税!$D$4:$AH$4,"&gt;"&amp;(核心参数输入!$B$9*4-核心参数输入!$B$111)/4),0),0)</f>
        <v>0</v>
      </c>
      <c r="BR64" s="9">
        <f>IF(66&lt;=核心参数输入!$B$9*4,SUMIFS(年度所得税!$D$90:$AH$90,年度所得税!$D$4:$AH$4,(66-核心参数输入!$B$111)/4)+IF(66=核心参数输入!$B$9*4,SUMIFS(年度所得税!$D$90:$AH$90,年度所得税!$D$4:$AH$4,"&gt;"&amp;(核心参数输入!$B$9*4-核心参数输入!$B$111)/4),0),0)</f>
        <v>0</v>
      </c>
      <c r="BS64" s="9">
        <f>IF(67&lt;=核心参数输入!$B$9*4,SUMIFS(年度所得税!$D$90:$AH$90,年度所得税!$D$4:$AH$4,(67-核心参数输入!$B$111)/4)+IF(67=核心参数输入!$B$9*4,SUMIFS(年度所得税!$D$90:$AH$90,年度所得税!$D$4:$AH$4,"&gt;"&amp;(核心参数输入!$B$9*4-核心参数输入!$B$111)/4),0),0)</f>
        <v>0</v>
      </c>
      <c r="BT64" s="9">
        <f>IF(68&lt;=核心参数输入!$B$9*4,SUMIFS(年度所得税!$D$90:$AH$90,年度所得税!$D$4:$AH$4,(68-核心参数输入!$B$111)/4)+IF(68=核心参数输入!$B$9*4,SUMIFS(年度所得税!$D$90:$AH$90,年度所得税!$D$4:$AH$4,"&gt;"&amp;(核心参数输入!$B$9*4-核心参数输入!$B$111)/4),0),0)</f>
        <v>80.785744992592157</v>
      </c>
      <c r="BU64" s="9">
        <f>IF(69&lt;=核心参数输入!$B$9*4,SUMIFS(年度所得税!$D$90:$AH$90,年度所得税!$D$4:$AH$4,(69-核心参数输入!$B$111)/4)+IF(69=核心参数输入!$B$9*4,SUMIFS(年度所得税!$D$90:$AH$90,年度所得税!$D$4:$AH$4,"&gt;"&amp;(核心参数输入!$B$9*4-核心参数输入!$B$111)/4),0),0)</f>
        <v>0</v>
      </c>
      <c r="BV64" s="9">
        <f>IF(70&lt;=核心参数输入!$B$9*4,SUMIFS(年度所得税!$D$90:$AH$90,年度所得税!$D$4:$AH$4,(70-核心参数输入!$B$111)/4)+IF(70=核心参数输入!$B$9*4,SUMIFS(年度所得税!$D$90:$AH$90,年度所得税!$D$4:$AH$4,"&gt;"&amp;(核心参数输入!$B$9*4-核心参数输入!$B$111)/4),0),0)</f>
        <v>0</v>
      </c>
      <c r="BW64" s="9">
        <f>IF(71&lt;=核心参数输入!$B$9*4,SUMIFS(年度所得税!$D$90:$AH$90,年度所得税!$D$4:$AH$4,(71-核心参数输入!$B$111)/4)+IF(71=核心参数输入!$B$9*4,SUMIFS(年度所得税!$D$90:$AH$90,年度所得税!$D$4:$AH$4,"&gt;"&amp;(核心参数输入!$B$9*4-核心参数输入!$B$111)/4),0),0)</f>
        <v>0</v>
      </c>
      <c r="BX64" s="9">
        <f>IF(72&lt;=核心参数输入!$B$9*4,SUMIFS(年度所得税!$D$90:$AH$90,年度所得税!$D$4:$AH$4,(72-核心参数输入!$B$111)/4)+IF(72=核心参数输入!$B$9*4,SUMIFS(年度所得税!$D$90:$AH$90,年度所得税!$D$4:$AH$4,"&gt;"&amp;(核心参数输入!$B$9*4-核心参数输入!$B$111)/4),0),0)</f>
        <v>85.386338056060836</v>
      </c>
      <c r="BY64" s="9">
        <f>IF(73&lt;=核心参数输入!$B$9*4,SUMIFS(年度所得税!$D$90:$AH$90,年度所得税!$D$4:$AH$4,(73-核心参数输入!$B$111)/4)+IF(73=核心参数输入!$B$9*4,SUMIFS(年度所得税!$D$90:$AH$90,年度所得税!$D$4:$AH$4,"&gt;"&amp;(核心参数输入!$B$9*4-核心参数输入!$B$111)/4),0),0)</f>
        <v>0</v>
      </c>
      <c r="BZ64" s="9">
        <f>IF(74&lt;=核心参数输入!$B$9*4,SUMIFS(年度所得税!$D$90:$AH$90,年度所得税!$D$4:$AH$4,(74-核心参数输入!$B$111)/4)+IF(74=核心参数输入!$B$9*4,SUMIFS(年度所得税!$D$90:$AH$90,年度所得税!$D$4:$AH$4,"&gt;"&amp;(核心参数输入!$B$9*4-核心参数输入!$B$111)/4),0),0)</f>
        <v>0</v>
      </c>
      <c r="CA64" s="9">
        <f>IF(75&lt;=核心参数输入!$B$9*4,SUMIFS(年度所得税!$D$90:$AH$90,年度所得税!$D$4:$AH$4,(75-核心参数输入!$B$111)/4)+IF(75=核心参数输入!$B$9*4,SUMIFS(年度所得税!$D$90:$AH$90,年度所得税!$D$4:$AH$4,"&gt;"&amp;(核心参数输入!$B$9*4-核心参数输入!$B$111)/4),0),0)</f>
        <v>0</v>
      </c>
      <c r="CB64" s="9">
        <f>IF(76&lt;=核心参数输入!$B$9*4,SUMIFS(年度所得税!$D$90:$AH$90,年度所得税!$D$4:$AH$4,(76-核心参数输入!$B$111)/4)+IF(76=核心参数输入!$B$9*4,SUMIFS(年度所得税!$D$90:$AH$90,年度所得税!$D$4:$AH$4,"&gt;"&amp;(核心参数输入!$B$9*4-核心参数输入!$B$111)/4),0),0)</f>
        <v>90.046237965752965</v>
      </c>
      <c r="CC64" s="9">
        <f>IF(77&lt;=核心参数输入!$B$9*4,SUMIFS(年度所得税!$D$90:$AH$90,年度所得税!$D$4:$AH$4,(77-核心参数输入!$B$111)/4)+IF(77=核心参数输入!$B$9*4,SUMIFS(年度所得税!$D$90:$AH$90,年度所得税!$D$4:$AH$4,"&gt;"&amp;(核心参数输入!$B$9*4-核心参数输入!$B$111)/4),0),0)</f>
        <v>0</v>
      </c>
      <c r="CD64" s="9">
        <f>IF(78&lt;=核心参数输入!$B$9*4,SUMIFS(年度所得税!$D$90:$AH$90,年度所得税!$D$4:$AH$4,(78-核心参数输入!$B$111)/4)+IF(78=核心参数输入!$B$9*4,SUMIFS(年度所得税!$D$90:$AH$90,年度所得税!$D$4:$AH$4,"&gt;"&amp;(核心参数输入!$B$9*4-核心参数输入!$B$111)/4),0),0)</f>
        <v>0</v>
      </c>
      <c r="CE64" s="9">
        <f>IF(79&lt;=核心参数输入!$B$9*4,SUMIFS(年度所得税!$D$90:$AH$90,年度所得税!$D$4:$AH$4,(79-核心参数输入!$B$111)/4)+IF(79=核心参数输入!$B$9*4,SUMIFS(年度所得税!$D$90:$AH$90,年度所得税!$D$4:$AH$4,"&gt;"&amp;(核心参数输入!$B$9*4-核心参数输入!$B$111)/4),0),0)</f>
        <v>0</v>
      </c>
      <c r="CF64" s="9">
        <f>IF(80&lt;=核心参数输入!$B$9*4,SUMIFS(年度所得税!$D$90:$AH$90,年度所得税!$D$4:$AH$4,(80-核心参数输入!$B$111)/4)+IF(80=核心参数输入!$B$9*4,SUMIFS(年度所得税!$D$90:$AH$90,年度所得税!$D$4:$AH$4,"&gt;"&amp;(核心参数输入!$B$9*4-核心参数输入!$B$111)/4),0),0)</f>
        <v>94.766140283367591</v>
      </c>
      <c r="CG64" s="9">
        <f>IF(81&lt;=核心参数输入!$B$9*4,SUMIFS(年度所得税!$D$90:$AH$90,年度所得税!$D$4:$AH$4,(81-核心参数输入!$B$111)/4)+IF(81=核心参数输入!$B$9*4,SUMIFS(年度所得税!$D$90:$AH$90,年度所得税!$D$4:$AH$4,"&gt;"&amp;(核心参数输入!$B$9*4-核心参数输入!$B$111)/4),0),0)</f>
        <v>0</v>
      </c>
      <c r="CH64" s="9">
        <f>IF(82&lt;=核心参数输入!$B$9*4,SUMIFS(年度所得税!$D$90:$AH$90,年度所得税!$D$4:$AH$4,(82-核心参数输入!$B$111)/4)+IF(82=核心参数输入!$B$9*4,SUMIFS(年度所得税!$D$90:$AH$90,年度所得税!$D$4:$AH$4,"&gt;"&amp;(核心参数输入!$B$9*4-核心参数输入!$B$111)/4),0),0)</f>
        <v>0</v>
      </c>
      <c r="CI64" s="9">
        <f>IF(83&lt;=核心参数输入!$B$9*4,SUMIFS(年度所得税!$D$90:$AH$90,年度所得税!$D$4:$AH$4,(83-核心参数输入!$B$111)/4)+IF(83=核心参数输入!$B$9*4,SUMIFS(年度所得税!$D$90:$AH$90,年度所得税!$D$4:$AH$4,"&gt;"&amp;(核心参数输入!$B$9*4-核心参数输入!$B$111)/4),0),0)</f>
        <v>0</v>
      </c>
      <c r="CJ64" s="9">
        <f>IF(84&lt;=核心参数输入!$B$9*4,SUMIFS(年度所得税!$D$90:$AH$90,年度所得税!$D$4:$AH$4,(84-核心参数输入!$B$111)/4)+IF(84=核心参数输入!$B$9*4,SUMIFS(年度所得税!$D$90:$AH$90,年度所得税!$D$4:$AH$4,"&gt;"&amp;(核心参数输入!$B$9*4-核心参数输入!$B$111)/4),0),0)</f>
        <v>0</v>
      </c>
      <c r="CK64" s="9">
        <f>IF(85&lt;=核心参数输入!$B$9*4,SUMIFS(年度所得税!$D$90:$AH$90,年度所得税!$D$4:$AH$4,(85-核心参数输入!$B$111)/4)+IF(85=核心参数输入!$B$9*4,SUMIFS(年度所得税!$D$90:$AH$90,年度所得税!$D$4:$AH$4,"&gt;"&amp;(核心参数输入!$B$9*4-核心参数输入!$B$111)/4),0),0)</f>
        <v>0</v>
      </c>
      <c r="CL64" s="9">
        <f>IF(86&lt;=核心参数输入!$B$9*4,SUMIFS(年度所得税!$D$90:$AH$90,年度所得税!$D$4:$AH$4,(86-核心参数输入!$B$111)/4)+IF(86=核心参数输入!$B$9*4,SUMIFS(年度所得税!$D$90:$AH$90,年度所得税!$D$4:$AH$4,"&gt;"&amp;(核心参数输入!$B$9*4-核心参数输入!$B$111)/4),0),0)</f>
        <v>0</v>
      </c>
      <c r="CM64" s="9">
        <f>IF(87&lt;=核心参数输入!$B$9*4,SUMIFS(年度所得税!$D$90:$AH$90,年度所得税!$D$4:$AH$4,(87-核心参数输入!$B$111)/4)+IF(87=核心参数输入!$B$9*4,SUMIFS(年度所得税!$D$90:$AH$90,年度所得税!$D$4:$AH$4,"&gt;"&amp;(核心参数输入!$B$9*4-核心参数输入!$B$111)/4),0),0)</f>
        <v>0</v>
      </c>
      <c r="CN64" s="9">
        <f>IF(88&lt;=核心参数输入!$B$9*4,SUMIFS(年度所得税!$D$90:$AH$90,年度所得税!$D$4:$AH$4,(88-核心参数输入!$B$111)/4)+IF(88=核心参数输入!$B$9*4,SUMIFS(年度所得税!$D$90:$AH$90,年度所得税!$D$4:$AH$4,"&gt;"&amp;(核心参数输入!$B$9*4-核心参数输入!$B$111)/4),0),0)</f>
        <v>0</v>
      </c>
      <c r="CO64" s="9">
        <f>IF(89&lt;=核心参数输入!$B$9*4,SUMIFS(年度所得税!$D$90:$AH$90,年度所得税!$D$4:$AH$4,(89-核心参数输入!$B$111)/4)+IF(89=核心参数输入!$B$9*4,SUMIFS(年度所得税!$D$90:$AH$90,年度所得税!$D$4:$AH$4,"&gt;"&amp;(核心参数输入!$B$9*4-核心参数输入!$B$111)/4),0),0)</f>
        <v>0</v>
      </c>
      <c r="CP64" s="9">
        <f>IF(90&lt;=核心参数输入!$B$9*4,SUMIFS(年度所得税!$D$90:$AH$90,年度所得税!$D$4:$AH$4,(90-核心参数输入!$B$111)/4)+IF(90=核心参数输入!$B$9*4,SUMIFS(年度所得税!$D$90:$AH$90,年度所得税!$D$4:$AH$4,"&gt;"&amp;(核心参数输入!$B$9*4-核心参数输入!$B$111)/4),0),0)</f>
        <v>0</v>
      </c>
      <c r="CQ64" s="9">
        <f>IF(91&lt;=核心参数输入!$B$9*4,SUMIFS(年度所得税!$D$90:$AH$90,年度所得税!$D$4:$AH$4,(91-核心参数输入!$B$111)/4)+IF(91=核心参数输入!$B$9*4,SUMIFS(年度所得税!$D$90:$AH$90,年度所得税!$D$4:$AH$4,"&gt;"&amp;(核心参数输入!$B$9*4-核心参数输入!$B$111)/4),0),0)</f>
        <v>0</v>
      </c>
      <c r="CR64" s="9">
        <f>IF(92&lt;=核心参数输入!$B$9*4,SUMIFS(年度所得税!$D$90:$AH$90,年度所得税!$D$4:$AH$4,(92-核心参数输入!$B$111)/4)+IF(92=核心参数输入!$B$9*4,SUMIFS(年度所得税!$D$90:$AH$90,年度所得税!$D$4:$AH$4,"&gt;"&amp;(核心参数输入!$B$9*4-核心参数输入!$B$111)/4),0),0)</f>
        <v>0</v>
      </c>
      <c r="CS64" s="9">
        <f>IF(93&lt;=核心参数输入!$B$9*4,SUMIFS(年度所得税!$D$90:$AH$90,年度所得税!$D$4:$AH$4,(93-核心参数输入!$B$111)/4)+IF(93=核心参数输入!$B$9*4,SUMIFS(年度所得税!$D$90:$AH$90,年度所得税!$D$4:$AH$4,"&gt;"&amp;(核心参数输入!$B$9*4-核心参数输入!$B$111)/4),0),0)</f>
        <v>0</v>
      </c>
      <c r="CT64" s="9">
        <f>IF(94&lt;=核心参数输入!$B$9*4,SUMIFS(年度所得税!$D$90:$AH$90,年度所得税!$D$4:$AH$4,(94-核心参数输入!$B$111)/4)+IF(94=核心参数输入!$B$9*4,SUMIFS(年度所得税!$D$90:$AH$90,年度所得税!$D$4:$AH$4,"&gt;"&amp;(核心参数输入!$B$9*4-核心参数输入!$B$111)/4),0),0)</f>
        <v>0</v>
      </c>
      <c r="CU64" s="9">
        <f>IF(95&lt;=核心参数输入!$B$9*4,SUMIFS(年度所得税!$D$90:$AH$90,年度所得税!$D$4:$AH$4,(95-核心参数输入!$B$111)/4)+IF(95=核心参数输入!$B$9*4,SUMIFS(年度所得税!$D$90:$AH$90,年度所得税!$D$4:$AH$4,"&gt;"&amp;(核心参数输入!$B$9*4-核心参数输入!$B$111)/4),0),0)</f>
        <v>0</v>
      </c>
      <c r="CV64" s="9">
        <f>IF(96&lt;=核心参数输入!$B$9*4,SUMIFS(年度所得税!$D$90:$AH$90,年度所得税!$D$4:$AH$4,(96-核心参数输入!$B$111)/4)+IF(96=核心参数输入!$B$9*4,SUMIFS(年度所得税!$D$90:$AH$90,年度所得税!$D$4:$AH$4,"&gt;"&amp;(核心参数输入!$B$9*4-核心参数输入!$B$111)/4),0),0)</f>
        <v>0</v>
      </c>
      <c r="CW64" s="9">
        <f>IF(97&lt;=核心参数输入!$B$9*4,SUMIFS(年度所得税!$D$90:$AH$90,年度所得税!$D$4:$AH$4,(97-核心参数输入!$B$111)/4)+IF(97=核心参数输入!$B$9*4,SUMIFS(年度所得税!$D$90:$AH$90,年度所得税!$D$4:$AH$4,"&gt;"&amp;(核心参数输入!$B$9*4-核心参数输入!$B$111)/4),0),0)</f>
        <v>0</v>
      </c>
      <c r="CX64" s="9">
        <f>IF(98&lt;=核心参数输入!$B$9*4,SUMIFS(年度所得税!$D$90:$AH$90,年度所得税!$D$4:$AH$4,(98-核心参数输入!$B$111)/4)+IF(98=核心参数输入!$B$9*4,SUMIFS(年度所得税!$D$90:$AH$90,年度所得税!$D$4:$AH$4,"&gt;"&amp;(核心参数输入!$B$9*4-核心参数输入!$B$111)/4),0),0)</f>
        <v>0</v>
      </c>
      <c r="CY64" s="9">
        <f>IF(99&lt;=核心参数输入!$B$9*4,SUMIFS(年度所得税!$D$90:$AH$90,年度所得税!$D$4:$AH$4,(99-核心参数输入!$B$111)/4)+IF(99=核心参数输入!$B$9*4,SUMIFS(年度所得税!$D$90:$AH$90,年度所得税!$D$4:$AH$4,"&gt;"&amp;(核心参数输入!$B$9*4-核心参数输入!$B$111)/4),0),0)</f>
        <v>0</v>
      </c>
      <c r="CZ64" s="9">
        <f>IF(100&lt;=核心参数输入!$B$9*4,SUMIFS(年度所得税!$D$90:$AH$90,年度所得税!$D$4:$AH$4,(100-核心参数输入!$B$111)/4)+IF(100=核心参数输入!$B$9*4,SUMIFS(年度所得税!$D$90:$AH$90,年度所得税!$D$4:$AH$4,"&gt;"&amp;(核心参数输入!$B$9*4-核心参数输入!$B$111)/4),0),0)</f>
        <v>0</v>
      </c>
      <c r="DA64" s="9">
        <f>IF(101&lt;=核心参数输入!$B$9*4,SUMIFS(年度所得税!$D$90:$AH$90,年度所得税!$D$4:$AH$4,(101-核心参数输入!$B$111)/4)+IF(101=核心参数输入!$B$9*4,SUMIFS(年度所得税!$D$90:$AH$90,年度所得税!$D$4:$AH$4,"&gt;"&amp;(核心参数输入!$B$9*4-核心参数输入!$B$111)/4),0),0)</f>
        <v>0</v>
      </c>
      <c r="DB64" s="9">
        <f>IF(102&lt;=核心参数输入!$B$9*4,SUMIFS(年度所得税!$D$90:$AH$90,年度所得税!$D$4:$AH$4,(102-核心参数输入!$B$111)/4)+IF(102=核心参数输入!$B$9*4,SUMIFS(年度所得税!$D$90:$AH$90,年度所得税!$D$4:$AH$4,"&gt;"&amp;(核心参数输入!$B$9*4-核心参数输入!$B$111)/4),0),0)</f>
        <v>0</v>
      </c>
      <c r="DC64" s="9">
        <f>IF(103&lt;=核心参数输入!$B$9*4,SUMIFS(年度所得税!$D$90:$AH$90,年度所得税!$D$4:$AH$4,(103-核心参数输入!$B$111)/4)+IF(103=核心参数输入!$B$9*4,SUMIFS(年度所得税!$D$90:$AH$90,年度所得税!$D$4:$AH$4,"&gt;"&amp;(核心参数输入!$B$9*4-核心参数输入!$B$111)/4),0),0)</f>
        <v>0</v>
      </c>
      <c r="DD64" s="9">
        <f>IF(104&lt;=核心参数输入!$B$9*4,SUMIFS(年度所得税!$D$90:$AH$90,年度所得税!$D$4:$AH$4,(104-核心参数输入!$B$111)/4)+IF(104=核心参数输入!$B$9*4,SUMIFS(年度所得税!$D$90:$AH$90,年度所得税!$D$4:$AH$4,"&gt;"&amp;(核心参数输入!$B$9*4-核心参数输入!$B$111)/4),0),0)</f>
        <v>0</v>
      </c>
      <c r="DE64" s="9">
        <f>IF(105&lt;=核心参数输入!$B$9*4,SUMIFS(年度所得税!$D$90:$AH$90,年度所得税!$D$4:$AH$4,(105-核心参数输入!$B$111)/4)+IF(105=核心参数输入!$B$9*4,SUMIFS(年度所得税!$D$90:$AH$90,年度所得税!$D$4:$AH$4,"&gt;"&amp;(核心参数输入!$B$9*4-核心参数输入!$B$111)/4),0),0)</f>
        <v>0</v>
      </c>
      <c r="DF64" s="9">
        <f>IF(106&lt;=核心参数输入!$B$9*4,SUMIFS(年度所得税!$D$90:$AH$90,年度所得税!$D$4:$AH$4,(106-核心参数输入!$B$111)/4)+IF(106=核心参数输入!$B$9*4,SUMIFS(年度所得税!$D$90:$AH$90,年度所得税!$D$4:$AH$4,"&gt;"&amp;(核心参数输入!$B$9*4-核心参数输入!$B$111)/4),0),0)</f>
        <v>0</v>
      </c>
      <c r="DG64" s="9">
        <f>IF(107&lt;=核心参数输入!$B$9*4,SUMIFS(年度所得税!$D$90:$AH$90,年度所得税!$D$4:$AH$4,(107-核心参数输入!$B$111)/4)+IF(107=核心参数输入!$B$9*4,SUMIFS(年度所得税!$D$90:$AH$90,年度所得税!$D$4:$AH$4,"&gt;"&amp;(核心参数输入!$B$9*4-核心参数输入!$B$111)/4),0),0)</f>
        <v>0</v>
      </c>
      <c r="DH64" s="9">
        <f>IF(108&lt;=核心参数输入!$B$9*4,SUMIFS(年度所得税!$D$90:$AH$90,年度所得税!$D$4:$AH$4,(108-核心参数输入!$B$111)/4)+IF(108=核心参数输入!$B$9*4,SUMIFS(年度所得税!$D$90:$AH$90,年度所得税!$D$4:$AH$4,"&gt;"&amp;(核心参数输入!$B$9*4-核心参数输入!$B$111)/4),0),0)</f>
        <v>0</v>
      </c>
      <c r="DI64" s="9">
        <f>IF(109&lt;=核心参数输入!$B$9*4,SUMIFS(年度所得税!$D$90:$AH$90,年度所得税!$D$4:$AH$4,(109-核心参数输入!$B$111)/4)+IF(109=核心参数输入!$B$9*4,SUMIFS(年度所得税!$D$90:$AH$90,年度所得税!$D$4:$AH$4,"&gt;"&amp;(核心参数输入!$B$9*4-核心参数输入!$B$111)/4),0),0)</f>
        <v>0</v>
      </c>
      <c r="DJ64" s="9">
        <f>IF(110&lt;=核心参数输入!$B$9*4,SUMIFS(年度所得税!$D$90:$AH$90,年度所得税!$D$4:$AH$4,(110-核心参数输入!$B$111)/4)+IF(110=核心参数输入!$B$9*4,SUMIFS(年度所得税!$D$90:$AH$90,年度所得税!$D$4:$AH$4,"&gt;"&amp;(核心参数输入!$B$9*4-核心参数输入!$B$111)/4),0),0)</f>
        <v>0</v>
      </c>
      <c r="DK64" s="9">
        <f>IF(111&lt;=核心参数输入!$B$9*4,SUMIFS(年度所得税!$D$90:$AH$90,年度所得税!$D$4:$AH$4,(111-核心参数输入!$B$111)/4)+IF(111=核心参数输入!$B$9*4,SUMIFS(年度所得税!$D$90:$AH$90,年度所得税!$D$4:$AH$4,"&gt;"&amp;(核心参数输入!$B$9*4-核心参数输入!$B$111)/4),0),0)</f>
        <v>0</v>
      </c>
      <c r="DL64" s="9">
        <f>IF(112&lt;=核心参数输入!$B$9*4,SUMIFS(年度所得税!$D$90:$AH$90,年度所得税!$D$4:$AH$4,(112-核心参数输入!$B$111)/4)+IF(112=核心参数输入!$B$9*4,SUMIFS(年度所得税!$D$90:$AH$90,年度所得税!$D$4:$AH$4,"&gt;"&amp;(核心参数输入!$B$9*4-核心参数输入!$B$111)/4),0),0)</f>
        <v>0</v>
      </c>
      <c r="DM64" s="9">
        <f>IF(113&lt;=核心参数输入!$B$9*4,SUMIFS(年度所得税!$D$90:$AH$90,年度所得税!$D$4:$AH$4,(113-核心参数输入!$B$111)/4)+IF(113=核心参数输入!$B$9*4,SUMIFS(年度所得税!$D$90:$AH$90,年度所得税!$D$4:$AH$4,"&gt;"&amp;(核心参数输入!$B$9*4-核心参数输入!$B$111)/4),0),0)</f>
        <v>0</v>
      </c>
      <c r="DN64" s="9">
        <f>IF(114&lt;=核心参数输入!$B$9*4,SUMIFS(年度所得税!$D$90:$AH$90,年度所得税!$D$4:$AH$4,(114-核心参数输入!$B$111)/4)+IF(114=核心参数输入!$B$9*4,SUMIFS(年度所得税!$D$90:$AH$90,年度所得税!$D$4:$AH$4,"&gt;"&amp;(核心参数输入!$B$9*4-核心参数输入!$B$111)/4),0),0)</f>
        <v>0</v>
      </c>
      <c r="DO64" s="9">
        <f>IF(115&lt;=核心参数输入!$B$9*4,SUMIFS(年度所得税!$D$90:$AH$90,年度所得税!$D$4:$AH$4,(115-核心参数输入!$B$111)/4)+IF(115=核心参数输入!$B$9*4,SUMIFS(年度所得税!$D$90:$AH$90,年度所得税!$D$4:$AH$4,"&gt;"&amp;(核心参数输入!$B$9*4-核心参数输入!$B$111)/4),0),0)</f>
        <v>0</v>
      </c>
      <c r="DP64" s="9">
        <f>IF(116&lt;=核心参数输入!$B$9*4,SUMIFS(年度所得税!$D$90:$AH$90,年度所得税!$D$4:$AH$4,(116-核心参数输入!$B$111)/4)+IF(116=核心参数输入!$B$9*4,SUMIFS(年度所得税!$D$90:$AH$90,年度所得税!$D$4:$AH$4,"&gt;"&amp;(核心参数输入!$B$9*4-核心参数输入!$B$111)/4),0),0)</f>
        <v>0</v>
      </c>
      <c r="DQ64" s="9">
        <f>IF(117&lt;=核心参数输入!$B$9*4,SUMIFS(年度所得税!$D$90:$AH$90,年度所得税!$D$4:$AH$4,(117-核心参数输入!$B$111)/4)+IF(117=核心参数输入!$B$9*4,SUMIFS(年度所得税!$D$90:$AH$90,年度所得税!$D$4:$AH$4,"&gt;"&amp;(核心参数输入!$B$9*4-核心参数输入!$B$111)/4),0),0)</f>
        <v>0</v>
      </c>
      <c r="DR64" s="9">
        <f>IF(118&lt;=核心参数输入!$B$9*4,SUMIFS(年度所得税!$D$90:$AH$90,年度所得税!$D$4:$AH$4,(118-核心参数输入!$B$111)/4)+IF(118=核心参数输入!$B$9*4,SUMIFS(年度所得税!$D$90:$AH$90,年度所得税!$D$4:$AH$4,"&gt;"&amp;(核心参数输入!$B$9*4-核心参数输入!$B$111)/4),0),0)</f>
        <v>0</v>
      </c>
      <c r="DS64" s="9">
        <f>IF(119&lt;=核心参数输入!$B$9*4,SUMIFS(年度所得税!$D$90:$AH$90,年度所得税!$D$4:$AH$4,(119-核心参数输入!$B$111)/4)+IF(119=核心参数输入!$B$9*4,SUMIFS(年度所得税!$D$90:$AH$90,年度所得税!$D$4:$AH$4,"&gt;"&amp;(核心参数输入!$B$9*4-核心参数输入!$B$111)/4),0),0)</f>
        <v>0</v>
      </c>
      <c r="DT64" s="9">
        <f>IF(120&lt;=核心参数输入!$B$9*4,SUMIFS(年度所得税!$D$90:$AH$90,年度所得税!$D$4:$AH$4,(120-核心参数输入!$B$111)/4)+IF(120=核心参数输入!$B$9*4,SUMIFS(年度所得税!$D$90:$AH$90,年度所得税!$D$4:$AH$4,"&gt;"&amp;(核心参数输入!$B$9*4-核心参数输入!$B$111)/4),0),0)</f>
        <v>0</v>
      </c>
    </row>
    <row r="65" spans="1:124" ht="21" customHeight="1">
      <c r="A65" s="8" t="s">
        <v>496</v>
      </c>
      <c r="B65" s="8" t="s">
        <v>39</v>
      </c>
      <c r="C65" s="8"/>
      <c r="D65" s="9">
        <f>IF(0&lt;=核心参数输入!$B$9*4,SUMIFS(年度所得税!$D$94:$AH$94,年度所得税!$D$4:$AH$4,(0-核心参数输入!$B$111)/4)+IF(0=核心参数输入!$B$9*4,SUMIFS(年度所得税!$D$94:$AH$94,年度所得税!$D$4:$AH$4,"&gt;"&amp;(核心参数输入!$B$9*4-核心参数输入!$B$111)/4),0),0)</f>
        <v>0</v>
      </c>
      <c r="E65" s="9">
        <f>IF(1&lt;=核心参数输入!$B$9*4,SUMIFS(年度所得税!$D$94:$AH$94,年度所得税!$D$4:$AH$4,(1-核心参数输入!$B$111)/4)+IF(1=核心参数输入!$B$9*4,SUMIFS(年度所得税!$D$94:$AH$94,年度所得税!$D$4:$AH$4,"&gt;"&amp;(核心参数输入!$B$9*4-核心参数输入!$B$111)/4),0),0)</f>
        <v>0</v>
      </c>
      <c r="F65" s="9">
        <f>IF(2&lt;=核心参数输入!$B$9*4,SUMIFS(年度所得税!$D$94:$AH$94,年度所得税!$D$4:$AH$4,(2-核心参数输入!$B$111)/4)+IF(2=核心参数输入!$B$9*4,SUMIFS(年度所得税!$D$94:$AH$94,年度所得税!$D$4:$AH$4,"&gt;"&amp;(核心参数输入!$B$9*4-核心参数输入!$B$111)/4),0),0)</f>
        <v>0</v>
      </c>
      <c r="G65" s="9">
        <f>IF(3&lt;=核心参数输入!$B$9*4,SUMIFS(年度所得税!$D$94:$AH$94,年度所得税!$D$4:$AH$4,(3-核心参数输入!$B$111)/4)+IF(3=核心参数输入!$B$9*4,SUMIFS(年度所得税!$D$94:$AH$94,年度所得税!$D$4:$AH$4,"&gt;"&amp;(核心参数输入!$B$9*4-核心参数输入!$B$111)/4),0),0)</f>
        <v>0</v>
      </c>
      <c r="H65" s="9">
        <f>IF(4&lt;=核心参数输入!$B$9*4,SUMIFS(年度所得税!$D$94:$AH$94,年度所得税!$D$4:$AH$4,(4-核心参数输入!$B$111)/4)+IF(4=核心参数输入!$B$9*4,SUMIFS(年度所得税!$D$94:$AH$94,年度所得税!$D$4:$AH$4,"&gt;"&amp;(核心参数输入!$B$9*4-核心参数输入!$B$111)/4),0),0)</f>
        <v>0</v>
      </c>
      <c r="I65" s="9">
        <f>IF(5&lt;=核心参数输入!$B$9*4,SUMIFS(年度所得税!$D$94:$AH$94,年度所得税!$D$4:$AH$4,(5-核心参数输入!$B$111)/4)+IF(5=核心参数输入!$B$9*4,SUMIFS(年度所得税!$D$94:$AH$94,年度所得税!$D$4:$AH$4,"&gt;"&amp;(核心参数输入!$B$9*4-核心参数输入!$B$111)/4),0),0)</f>
        <v>0</v>
      </c>
      <c r="J65" s="9">
        <f>IF(6&lt;=核心参数输入!$B$9*4,SUMIFS(年度所得税!$D$94:$AH$94,年度所得税!$D$4:$AH$4,(6-核心参数输入!$B$111)/4)+IF(6=核心参数输入!$B$9*4,SUMIFS(年度所得税!$D$94:$AH$94,年度所得税!$D$4:$AH$4,"&gt;"&amp;(核心参数输入!$B$9*4-核心参数输入!$B$111)/4),0),0)</f>
        <v>0</v>
      </c>
      <c r="K65" s="9">
        <f>IF(7&lt;=核心参数输入!$B$9*4,SUMIFS(年度所得税!$D$94:$AH$94,年度所得税!$D$4:$AH$4,(7-核心参数输入!$B$111)/4)+IF(7=核心参数输入!$B$9*4,SUMIFS(年度所得税!$D$94:$AH$94,年度所得税!$D$4:$AH$4,"&gt;"&amp;(核心参数输入!$B$9*4-核心参数输入!$B$111)/4),0),0)</f>
        <v>0</v>
      </c>
      <c r="L65" s="9">
        <f>IF(8&lt;=核心参数输入!$B$9*4,SUMIFS(年度所得税!$D$94:$AH$94,年度所得税!$D$4:$AH$4,(8-核心参数输入!$B$111)/4)+IF(8=核心参数输入!$B$9*4,SUMIFS(年度所得税!$D$94:$AH$94,年度所得税!$D$4:$AH$4,"&gt;"&amp;(核心参数输入!$B$9*4-核心参数输入!$B$111)/4),0),0)</f>
        <v>0</v>
      </c>
      <c r="M65" s="9">
        <f>IF(9&lt;=核心参数输入!$B$9*4,SUMIFS(年度所得税!$D$94:$AH$94,年度所得税!$D$4:$AH$4,(9-核心参数输入!$B$111)/4)+IF(9=核心参数输入!$B$9*4,SUMIFS(年度所得税!$D$94:$AH$94,年度所得税!$D$4:$AH$4,"&gt;"&amp;(核心参数输入!$B$9*4-核心参数输入!$B$111)/4),0),0)</f>
        <v>0</v>
      </c>
      <c r="N65" s="9">
        <f>IF(10&lt;=核心参数输入!$B$9*4,SUMIFS(年度所得税!$D$94:$AH$94,年度所得税!$D$4:$AH$4,(10-核心参数输入!$B$111)/4)+IF(10=核心参数输入!$B$9*4,SUMIFS(年度所得税!$D$94:$AH$94,年度所得税!$D$4:$AH$4,"&gt;"&amp;(核心参数输入!$B$9*4-核心参数输入!$B$111)/4),0),0)</f>
        <v>0</v>
      </c>
      <c r="O65" s="9">
        <f>IF(11&lt;=核心参数输入!$B$9*4,SUMIFS(年度所得税!$D$94:$AH$94,年度所得税!$D$4:$AH$4,(11-核心参数输入!$B$111)/4)+IF(11=核心参数输入!$B$9*4,SUMIFS(年度所得税!$D$94:$AH$94,年度所得税!$D$4:$AH$4,"&gt;"&amp;(核心参数输入!$B$9*4-核心参数输入!$B$111)/4),0),0)</f>
        <v>0</v>
      </c>
      <c r="P65" s="9">
        <f>IF(12&lt;=核心参数输入!$B$9*4,SUMIFS(年度所得税!$D$94:$AH$94,年度所得税!$D$4:$AH$4,(12-核心参数输入!$B$111)/4)+IF(12=核心参数输入!$B$9*4,SUMIFS(年度所得税!$D$94:$AH$94,年度所得税!$D$4:$AH$4,"&gt;"&amp;(核心参数输入!$B$9*4-核心参数输入!$B$111)/4),0),0)</f>
        <v>0</v>
      </c>
      <c r="Q65" s="9">
        <f>IF(13&lt;=核心参数输入!$B$9*4,SUMIFS(年度所得税!$D$94:$AH$94,年度所得税!$D$4:$AH$4,(13-核心参数输入!$B$111)/4)+IF(13=核心参数输入!$B$9*4,SUMIFS(年度所得税!$D$94:$AH$94,年度所得税!$D$4:$AH$4,"&gt;"&amp;(核心参数输入!$B$9*4-核心参数输入!$B$111)/4),0),0)</f>
        <v>0</v>
      </c>
      <c r="R65" s="9">
        <f>IF(14&lt;=核心参数输入!$B$9*4,SUMIFS(年度所得税!$D$94:$AH$94,年度所得税!$D$4:$AH$4,(14-核心参数输入!$B$111)/4)+IF(14=核心参数输入!$B$9*4,SUMIFS(年度所得税!$D$94:$AH$94,年度所得税!$D$4:$AH$4,"&gt;"&amp;(核心参数输入!$B$9*4-核心参数输入!$B$111)/4),0),0)</f>
        <v>0</v>
      </c>
      <c r="S65" s="9">
        <f>IF(15&lt;=核心参数输入!$B$9*4,SUMIFS(年度所得税!$D$94:$AH$94,年度所得税!$D$4:$AH$4,(15-核心参数输入!$B$111)/4)+IF(15=核心参数输入!$B$9*4,SUMIFS(年度所得税!$D$94:$AH$94,年度所得税!$D$4:$AH$4,"&gt;"&amp;(核心参数输入!$B$9*4-核心参数输入!$B$111)/4),0),0)</f>
        <v>0</v>
      </c>
      <c r="T65" s="9">
        <f>IF(16&lt;=核心参数输入!$B$9*4,SUMIFS(年度所得税!$D$94:$AH$94,年度所得税!$D$4:$AH$4,(16-核心参数输入!$B$111)/4)+IF(16=核心参数输入!$B$9*4,SUMIFS(年度所得税!$D$94:$AH$94,年度所得税!$D$4:$AH$4,"&gt;"&amp;(核心参数输入!$B$9*4-核心参数输入!$B$111)/4),0),0)</f>
        <v>62.217637453125306</v>
      </c>
      <c r="U65" s="9">
        <f>IF(17&lt;=核心参数输入!$B$9*4,SUMIFS(年度所得税!$D$94:$AH$94,年度所得税!$D$4:$AH$4,(17-核心参数输入!$B$111)/4)+IF(17=核心参数输入!$B$9*4,SUMIFS(年度所得税!$D$94:$AH$94,年度所得税!$D$4:$AH$4,"&gt;"&amp;(核心参数输入!$B$9*4-核心参数输入!$B$111)/4),0),0)</f>
        <v>0</v>
      </c>
      <c r="V65" s="9">
        <f>IF(18&lt;=核心参数输入!$B$9*4,SUMIFS(年度所得税!$D$94:$AH$94,年度所得税!$D$4:$AH$4,(18-核心参数输入!$B$111)/4)+IF(18=核心参数输入!$B$9*4,SUMIFS(年度所得税!$D$94:$AH$94,年度所得税!$D$4:$AH$4,"&gt;"&amp;(核心参数输入!$B$9*4-核心参数输入!$B$111)/4),0),0)</f>
        <v>0</v>
      </c>
      <c r="W65" s="9">
        <f>IF(19&lt;=核心参数输入!$B$9*4,SUMIFS(年度所得税!$D$94:$AH$94,年度所得税!$D$4:$AH$4,(19-核心参数输入!$B$111)/4)+IF(19=核心参数输入!$B$9*4,SUMIFS(年度所得税!$D$94:$AH$94,年度所得税!$D$4:$AH$4,"&gt;"&amp;(核心参数输入!$B$9*4-核心参数输入!$B$111)/4),0),0)</f>
        <v>0</v>
      </c>
      <c r="X65" s="9">
        <f>IF(20&lt;=核心参数输入!$B$9*4,SUMIFS(年度所得税!$D$94:$AH$94,年度所得税!$D$4:$AH$4,(20-核心参数输入!$B$111)/4)+IF(20=核心参数输入!$B$9*4,SUMIFS(年度所得税!$D$94:$AH$94,年度所得税!$D$4:$AH$4,"&gt;"&amp;(核心参数输入!$B$9*4-核心参数输入!$B$111)/4),0),0)</f>
        <v>484.89390910042181</v>
      </c>
      <c r="Y65" s="9">
        <f>IF(21&lt;=核心参数输入!$B$9*4,SUMIFS(年度所得税!$D$94:$AH$94,年度所得税!$D$4:$AH$4,(21-核心参数输入!$B$111)/4)+IF(21=核心参数输入!$B$9*4,SUMIFS(年度所得税!$D$94:$AH$94,年度所得税!$D$4:$AH$4,"&gt;"&amp;(核心参数输入!$B$9*4-核心参数输入!$B$111)/4),0),0)</f>
        <v>0</v>
      </c>
      <c r="Z65" s="9">
        <f>IF(22&lt;=核心参数输入!$B$9*4,SUMIFS(年度所得税!$D$94:$AH$94,年度所得税!$D$4:$AH$4,(22-核心参数输入!$B$111)/4)+IF(22=核心参数输入!$B$9*4,SUMIFS(年度所得税!$D$94:$AH$94,年度所得税!$D$4:$AH$4,"&gt;"&amp;(核心参数输入!$B$9*4-核心参数输入!$B$111)/4),0),0)</f>
        <v>0</v>
      </c>
      <c r="AA65" s="9">
        <f>IF(23&lt;=核心参数输入!$B$9*4,SUMIFS(年度所得税!$D$94:$AH$94,年度所得税!$D$4:$AH$4,(23-核心参数输入!$B$111)/4)+IF(23=核心参数输入!$B$9*4,SUMIFS(年度所得税!$D$94:$AH$94,年度所得税!$D$4:$AH$4,"&gt;"&amp;(核心参数输入!$B$9*4-核心参数输入!$B$111)/4),0),0)</f>
        <v>0</v>
      </c>
      <c r="AB65" s="9">
        <f>IF(24&lt;=核心参数输入!$B$9*4,SUMIFS(年度所得税!$D$94:$AH$94,年度所得税!$D$4:$AH$4,(24-核心参数输入!$B$111)/4)+IF(24=核心参数输入!$B$9*4,SUMIFS(年度所得税!$D$94:$AH$94,年度所得税!$D$4:$AH$4,"&gt;"&amp;(核心参数输入!$B$9*4-核心参数输入!$B$111)/4),0),0)</f>
        <v>395.75098916464799</v>
      </c>
      <c r="AC65" s="9">
        <f>IF(25&lt;=核心参数输入!$B$9*4,SUMIFS(年度所得税!$D$94:$AH$94,年度所得税!$D$4:$AH$4,(25-核心参数输入!$B$111)/4)+IF(25=核心参数输入!$B$9*4,SUMIFS(年度所得税!$D$94:$AH$94,年度所得税!$D$4:$AH$4,"&gt;"&amp;(核心参数输入!$B$9*4-核心参数输入!$B$111)/4),0),0)</f>
        <v>0</v>
      </c>
      <c r="AD65" s="9">
        <f>IF(26&lt;=核心参数输入!$B$9*4,SUMIFS(年度所得税!$D$94:$AH$94,年度所得税!$D$4:$AH$4,(26-核心参数输入!$B$111)/4)+IF(26=核心参数输入!$B$9*4,SUMIFS(年度所得税!$D$94:$AH$94,年度所得税!$D$4:$AH$4,"&gt;"&amp;(核心参数输入!$B$9*4-核心参数输入!$B$111)/4),0),0)</f>
        <v>0</v>
      </c>
      <c r="AE65" s="9">
        <f>IF(27&lt;=核心参数输入!$B$9*4,SUMIFS(年度所得税!$D$94:$AH$94,年度所得税!$D$4:$AH$4,(27-核心参数输入!$B$111)/4)+IF(27=核心参数输入!$B$9*4,SUMIFS(年度所得税!$D$94:$AH$94,年度所得税!$D$4:$AH$4,"&gt;"&amp;(核心参数输入!$B$9*4-核心参数输入!$B$111)/4),0),0)</f>
        <v>0</v>
      </c>
      <c r="AF65" s="9">
        <f>IF(28&lt;=核心参数输入!$B$9*4,SUMIFS(年度所得税!$D$94:$AH$94,年度所得税!$D$4:$AH$4,(28-核心参数输入!$B$111)/4)+IF(28=核心参数输入!$B$9*4,SUMIFS(年度所得税!$D$94:$AH$94,年度所得税!$D$4:$AH$4,"&gt;"&amp;(核心参数输入!$B$9*4-核心参数输入!$B$111)/4),0),0)</f>
        <v>0</v>
      </c>
      <c r="AG65" s="9">
        <f>IF(29&lt;=核心参数输入!$B$9*4,SUMIFS(年度所得税!$D$94:$AH$94,年度所得税!$D$4:$AH$4,(29-核心参数输入!$B$111)/4)+IF(29=核心参数输入!$B$9*4,SUMIFS(年度所得税!$D$94:$AH$94,年度所得税!$D$4:$AH$4,"&gt;"&amp;(核心参数输入!$B$9*4-核心参数输入!$B$111)/4),0),0)</f>
        <v>0</v>
      </c>
      <c r="AH65" s="9">
        <f>IF(30&lt;=核心参数输入!$B$9*4,SUMIFS(年度所得税!$D$94:$AH$94,年度所得税!$D$4:$AH$4,(30-核心参数输入!$B$111)/4)+IF(30=核心参数输入!$B$9*4,SUMIFS(年度所得税!$D$94:$AH$94,年度所得税!$D$4:$AH$4,"&gt;"&amp;(核心参数输入!$B$9*4-核心参数输入!$B$111)/4),0),0)</f>
        <v>0</v>
      </c>
      <c r="AI65" s="9">
        <f>IF(31&lt;=核心参数输入!$B$9*4,SUMIFS(年度所得税!$D$94:$AH$94,年度所得税!$D$4:$AH$4,(31-核心参数输入!$B$111)/4)+IF(31=核心参数输入!$B$9*4,SUMIFS(年度所得税!$D$94:$AH$94,年度所得税!$D$4:$AH$4,"&gt;"&amp;(核心参数输入!$B$9*4-核心参数输入!$B$111)/4),0),0)</f>
        <v>0</v>
      </c>
      <c r="AJ65" s="9">
        <f>IF(32&lt;=核心参数输入!$B$9*4,SUMIFS(年度所得税!$D$94:$AH$94,年度所得税!$D$4:$AH$4,(32-核心参数输入!$B$111)/4)+IF(32=核心参数输入!$B$9*4,SUMIFS(年度所得税!$D$94:$AH$94,年度所得税!$D$4:$AH$4,"&gt;"&amp;(核心参数输入!$B$9*4-核心参数输入!$B$111)/4),0),0)</f>
        <v>0</v>
      </c>
      <c r="AK65" s="9">
        <f>IF(33&lt;=核心参数输入!$B$9*4,SUMIFS(年度所得税!$D$94:$AH$94,年度所得税!$D$4:$AH$4,(33-核心参数输入!$B$111)/4)+IF(33=核心参数输入!$B$9*4,SUMIFS(年度所得税!$D$94:$AH$94,年度所得税!$D$4:$AH$4,"&gt;"&amp;(核心参数输入!$B$9*4-核心参数输入!$B$111)/4),0),0)</f>
        <v>0</v>
      </c>
      <c r="AL65" s="9">
        <f>IF(34&lt;=核心参数输入!$B$9*4,SUMIFS(年度所得税!$D$94:$AH$94,年度所得税!$D$4:$AH$4,(34-核心参数输入!$B$111)/4)+IF(34=核心参数输入!$B$9*4,SUMIFS(年度所得税!$D$94:$AH$94,年度所得税!$D$4:$AH$4,"&gt;"&amp;(核心参数输入!$B$9*4-核心参数输入!$B$111)/4),0),0)</f>
        <v>0</v>
      </c>
      <c r="AM65" s="9">
        <f>IF(35&lt;=核心参数输入!$B$9*4,SUMIFS(年度所得税!$D$94:$AH$94,年度所得税!$D$4:$AH$4,(35-核心参数输入!$B$111)/4)+IF(35=核心参数输入!$B$9*4,SUMIFS(年度所得税!$D$94:$AH$94,年度所得税!$D$4:$AH$4,"&gt;"&amp;(核心参数输入!$B$9*4-核心参数输入!$B$111)/4),0),0)</f>
        <v>0</v>
      </c>
      <c r="AN65" s="9">
        <f>IF(36&lt;=核心参数输入!$B$9*4,SUMIFS(年度所得税!$D$94:$AH$94,年度所得税!$D$4:$AH$4,(36-核心参数输入!$B$111)/4)+IF(36=核心参数输入!$B$9*4,SUMIFS(年度所得税!$D$94:$AH$94,年度所得税!$D$4:$AH$4,"&gt;"&amp;(核心参数输入!$B$9*4-核心参数输入!$B$111)/4),0),0)</f>
        <v>0</v>
      </c>
      <c r="AO65" s="9">
        <f>IF(37&lt;=核心参数输入!$B$9*4,SUMIFS(年度所得税!$D$94:$AH$94,年度所得税!$D$4:$AH$4,(37-核心参数输入!$B$111)/4)+IF(37=核心参数输入!$B$9*4,SUMIFS(年度所得税!$D$94:$AH$94,年度所得税!$D$4:$AH$4,"&gt;"&amp;(核心参数输入!$B$9*4-核心参数输入!$B$111)/4),0),0)</f>
        <v>0</v>
      </c>
      <c r="AP65" s="9">
        <f>IF(38&lt;=核心参数输入!$B$9*4,SUMIFS(年度所得税!$D$94:$AH$94,年度所得税!$D$4:$AH$4,(38-核心参数输入!$B$111)/4)+IF(38=核心参数输入!$B$9*4,SUMIFS(年度所得税!$D$94:$AH$94,年度所得税!$D$4:$AH$4,"&gt;"&amp;(核心参数输入!$B$9*4-核心参数输入!$B$111)/4),0),0)</f>
        <v>0</v>
      </c>
      <c r="AQ65" s="9">
        <f>IF(39&lt;=核心参数输入!$B$9*4,SUMIFS(年度所得税!$D$94:$AH$94,年度所得税!$D$4:$AH$4,(39-核心参数输入!$B$111)/4)+IF(39=核心参数输入!$B$9*4,SUMIFS(年度所得税!$D$94:$AH$94,年度所得税!$D$4:$AH$4,"&gt;"&amp;(核心参数输入!$B$9*4-核心参数输入!$B$111)/4),0),0)</f>
        <v>0</v>
      </c>
      <c r="AR65" s="9">
        <f>IF(40&lt;=核心参数输入!$B$9*4,SUMIFS(年度所得税!$D$94:$AH$94,年度所得税!$D$4:$AH$4,(40-核心参数输入!$B$111)/4)+IF(40=核心参数输入!$B$9*4,SUMIFS(年度所得税!$D$94:$AH$94,年度所得税!$D$4:$AH$4,"&gt;"&amp;(核心参数输入!$B$9*4-核心参数输入!$B$111)/4),0),0)</f>
        <v>0</v>
      </c>
      <c r="AS65" s="9">
        <f>IF(41&lt;=核心参数输入!$B$9*4,SUMIFS(年度所得税!$D$94:$AH$94,年度所得税!$D$4:$AH$4,(41-核心参数输入!$B$111)/4)+IF(41=核心参数输入!$B$9*4,SUMIFS(年度所得税!$D$94:$AH$94,年度所得税!$D$4:$AH$4,"&gt;"&amp;(核心参数输入!$B$9*4-核心参数输入!$B$111)/4),0),0)</f>
        <v>0</v>
      </c>
      <c r="AT65" s="9">
        <f>IF(42&lt;=核心参数输入!$B$9*4,SUMIFS(年度所得税!$D$94:$AH$94,年度所得税!$D$4:$AH$4,(42-核心参数输入!$B$111)/4)+IF(42=核心参数输入!$B$9*4,SUMIFS(年度所得税!$D$94:$AH$94,年度所得税!$D$4:$AH$4,"&gt;"&amp;(核心参数输入!$B$9*4-核心参数输入!$B$111)/4),0),0)</f>
        <v>0</v>
      </c>
      <c r="AU65" s="9">
        <f>IF(43&lt;=核心参数输入!$B$9*4,SUMIFS(年度所得税!$D$94:$AH$94,年度所得税!$D$4:$AH$4,(43-核心参数输入!$B$111)/4)+IF(43=核心参数输入!$B$9*4,SUMIFS(年度所得税!$D$94:$AH$94,年度所得税!$D$4:$AH$4,"&gt;"&amp;(核心参数输入!$B$9*4-核心参数输入!$B$111)/4),0),0)</f>
        <v>0</v>
      </c>
      <c r="AV65" s="9">
        <f>IF(44&lt;=核心参数输入!$B$9*4,SUMIFS(年度所得税!$D$94:$AH$94,年度所得税!$D$4:$AH$4,(44-核心参数输入!$B$111)/4)+IF(44=核心参数输入!$B$9*4,SUMIFS(年度所得税!$D$94:$AH$94,年度所得税!$D$4:$AH$4,"&gt;"&amp;(核心参数输入!$B$9*4-核心参数输入!$B$111)/4),0),0)</f>
        <v>0</v>
      </c>
      <c r="AW65" s="9">
        <f>IF(45&lt;=核心参数输入!$B$9*4,SUMIFS(年度所得税!$D$94:$AH$94,年度所得税!$D$4:$AH$4,(45-核心参数输入!$B$111)/4)+IF(45=核心参数输入!$B$9*4,SUMIFS(年度所得税!$D$94:$AH$94,年度所得税!$D$4:$AH$4,"&gt;"&amp;(核心参数输入!$B$9*4-核心参数输入!$B$111)/4),0),0)</f>
        <v>0</v>
      </c>
      <c r="AX65" s="9">
        <f>IF(46&lt;=核心参数输入!$B$9*4,SUMIFS(年度所得税!$D$94:$AH$94,年度所得税!$D$4:$AH$4,(46-核心参数输入!$B$111)/4)+IF(46=核心参数输入!$B$9*4,SUMIFS(年度所得税!$D$94:$AH$94,年度所得税!$D$4:$AH$4,"&gt;"&amp;(核心参数输入!$B$9*4-核心参数输入!$B$111)/4),0),0)</f>
        <v>0</v>
      </c>
      <c r="AY65" s="9">
        <f>IF(47&lt;=核心参数输入!$B$9*4,SUMIFS(年度所得税!$D$94:$AH$94,年度所得税!$D$4:$AH$4,(47-核心参数输入!$B$111)/4)+IF(47=核心参数输入!$B$9*4,SUMIFS(年度所得税!$D$94:$AH$94,年度所得税!$D$4:$AH$4,"&gt;"&amp;(核心参数输入!$B$9*4-核心参数输入!$B$111)/4),0),0)</f>
        <v>0</v>
      </c>
      <c r="AZ65" s="9">
        <f>IF(48&lt;=核心参数输入!$B$9*4,SUMIFS(年度所得税!$D$94:$AH$94,年度所得税!$D$4:$AH$4,(48-核心参数输入!$B$111)/4)+IF(48=核心参数输入!$B$9*4,SUMIFS(年度所得税!$D$94:$AH$94,年度所得税!$D$4:$AH$4,"&gt;"&amp;(核心参数输入!$B$9*4-核心参数输入!$B$111)/4),0),0)</f>
        <v>0</v>
      </c>
      <c r="BA65" s="9">
        <f>IF(49&lt;=核心参数输入!$B$9*4,SUMIFS(年度所得税!$D$94:$AH$94,年度所得税!$D$4:$AH$4,(49-核心参数输入!$B$111)/4)+IF(49=核心参数输入!$B$9*4,SUMIFS(年度所得税!$D$94:$AH$94,年度所得税!$D$4:$AH$4,"&gt;"&amp;(核心参数输入!$B$9*4-核心参数输入!$B$111)/4),0),0)</f>
        <v>0</v>
      </c>
      <c r="BB65" s="9">
        <f>IF(50&lt;=核心参数输入!$B$9*4,SUMIFS(年度所得税!$D$94:$AH$94,年度所得税!$D$4:$AH$4,(50-核心参数输入!$B$111)/4)+IF(50=核心参数输入!$B$9*4,SUMIFS(年度所得税!$D$94:$AH$94,年度所得税!$D$4:$AH$4,"&gt;"&amp;(核心参数输入!$B$9*4-核心参数输入!$B$111)/4),0),0)</f>
        <v>0</v>
      </c>
      <c r="BC65" s="9">
        <f>IF(51&lt;=核心参数输入!$B$9*4,SUMIFS(年度所得税!$D$94:$AH$94,年度所得税!$D$4:$AH$4,(51-核心参数输入!$B$111)/4)+IF(51=核心参数输入!$B$9*4,SUMIFS(年度所得税!$D$94:$AH$94,年度所得税!$D$4:$AH$4,"&gt;"&amp;(核心参数输入!$B$9*4-核心参数输入!$B$111)/4),0),0)</f>
        <v>0</v>
      </c>
      <c r="BD65" s="9">
        <f>IF(52&lt;=核心参数输入!$B$9*4,SUMIFS(年度所得税!$D$94:$AH$94,年度所得税!$D$4:$AH$4,(52-核心参数输入!$B$111)/4)+IF(52=核心参数输入!$B$9*4,SUMIFS(年度所得税!$D$94:$AH$94,年度所得税!$D$4:$AH$4,"&gt;"&amp;(核心参数输入!$B$9*4-核心参数输入!$B$111)/4),0),0)</f>
        <v>0</v>
      </c>
      <c r="BE65" s="9">
        <f>IF(53&lt;=核心参数输入!$B$9*4,SUMIFS(年度所得税!$D$94:$AH$94,年度所得税!$D$4:$AH$4,(53-核心参数输入!$B$111)/4)+IF(53=核心参数输入!$B$9*4,SUMIFS(年度所得税!$D$94:$AH$94,年度所得税!$D$4:$AH$4,"&gt;"&amp;(核心参数输入!$B$9*4-核心参数输入!$B$111)/4),0),0)</f>
        <v>0</v>
      </c>
      <c r="BF65" s="9">
        <f>IF(54&lt;=核心参数输入!$B$9*4,SUMIFS(年度所得税!$D$94:$AH$94,年度所得税!$D$4:$AH$4,(54-核心参数输入!$B$111)/4)+IF(54=核心参数输入!$B$9*4,SUMIFS(年度所得税!$D$94:$AH$94,年度所得税!$D$4:$AH$4,"&gt;"&amp;(核心参数输入!$B$9*4-核心参数输入!$B$111)/4),0),0)</f>
        <v>0</v>
      </c>
      <c r="BG65" s="9">
        <f>IF(55&lt;=核心参数输入!$B$9*4,SUMIFS(年度所得税!$D$94:$AH$94,年度所得税!$D$4:$AH$4,(55-核心参数输入!$B$111)/4)+IF(55=核心参数输入!$B$9*4,SUMIFS(年度所得税!$D$94:$AH$94,年度所得税!$D$4:$AH$4,"&gt;"&amp;(核心参数输入!$B$9*4-核心参数输入!$B$111)/4),0),0)</f>
        <v>0</v>
      </c>
      <c r="BH65" s="9">
        <f>IF(56&lt;=核心参数输入!$B$9*4,SUMIFS(年度所得税!$D$94:$AH$94,年度所得税!$D$4:$AH$4,(56-核心参数输入!$B$111)/4)+IF(56=核心参数输入!$B$9*4,SUMIFS(年度所得税!$D$94:$AH$94,年度所得税!$D$4:$AH$4,"&gt;"&amp;(核心参数输入!$B$9*4-核心参数输入!$B$111)/4),0),0)</f>
        <v>28.992672646954034</v>
      </c>
      <c r="BI65" s="9">
        <f>IF(57&lt;=核心参数输入!$B$9*4,SUMIFS(年度所得税!$D$94:$AH$94,年度所得税!$D$4:$AH$4,(57-核心参数输入!$B$111)/4)+IF(57=核心参数输入!$B$9*4,SUMIFS(年度所得税!$D$94:$AH$94,年度所得税!$D$4:$AH$4,"&gt;"&amp;(核心参数输入!$B$9*4-核心参数输入!$B$111)/4),0),0)</f>
        <v>0</v>
      </c>
      <c r="BJ65" s="9">
        <f>IF(58&lt;=核心参数输入!$B$9*4,SUMIFS(年度所得税!$D$94:$AH$94,年度所得税!$D$4:$AH$4,(58-核心参数输入!$B$111)/4)+IF(58=核心参数输入!$B$9*4,SUMIFS(年度所得税!$D$94:$AH$94,年度所得税!$D$4:$AH$4,"&gt;"&amp;(核心参数输入!$B$9*4-核心参数输入!$B$111)/4),0),0)</f>
        <v>0</v>
      </c>
      <c r="BK65" s="9">
        <f>IF(59&lt;=核心参数输入!$B$9*4,SUMIFS(年度所得税!$D$94:$AH$94,年度所得税!$D$4:$AH$4,(59-核心参数输入!$B$111)/4)+IF(59=核心参数输入!$B$9*4,SUMIFS(年度所得税!$D$94:$AH$94,年度所得税!$D$4:$AH$4,"&gt;"&amp;(核心参数输入!$B$9*4-核心参数输入!$B$111)/4),0),0)</f>
        <v>0</v>
      </c>
      <c r="BL65" s="9">
        <f>IF(60&lt;=核心参数输入!$B$9*4,SUMIFS(年度所得税!$D$94:$AH$94,年度所得税!$D$4:$AH$4,(60-核心参数输入!$B$111)/4)+IF(60=核心参数输入!$B$9*4,SUMIFS(年度所得税!$D$94:$AH$94,年度所得税!$D$4:$AH$4,"&gt;"&amp;(核心参数输入!$B$9*4-核心参数输入!$B$111)/4),0),0)</f>
        <v>71.75972978821224</v>
      </c>
      <c r="BM65" s="9">
        <f>IF(61&lt;=核心参数输入!$B$9*4,SUMIFS(年度所得税!$D$94:$AH$94,年度所得税!$D$4:$AH$4,(61-核心参数输入!$B$111)/4)+IF(61=核心参数输入!$B$9*4,SUMIFS(年度所得税!$D$94:$AH$94,年度所得税!$D$4:$AH$4,"&gt;"&amp;(核心参数输入!$B$9*4-核心参数输入!$B$111)/4),0),0)</f>
        <v>0</v>
      </c>
      <c r="BN65" s="9">
        <f>IF(62&lt;=核心参数输入!$B$9*4,SUMIFS(年度所得税!$D$94:$AH$94,年度所得税!$D$4:$AH$4,(62-核心参数输入!$B$111)/4)+IF(62=核心参数输入!$B$9*4,SUMIFS(年度所得税!$D$94:$AH$94,年度所得税!$D$4:$AH$4,"&gt;"&amp;(核心参数输入!$B$9*4-核心参数输入!$B$111)/4),0),0)</f>
        <v>0</v>
      </c>
      <c r="BO65" s="9">
        <f>IF(63&lt;=核心参数输入!$B$9*4,SUMIFS(年度所得税!$D$94:$AH$94,年度所得税!$D$4:$AH$4,(63-核心参数输入!$B$111)/4)+IF(63=核心参数输入!$B$9*4,SUMIFS(年度所得税!$D$94:$AH$94,年度所得税!$D$4:$AH$4,"&gt;"&amp;(核心参数输入!$B$9*4-核心参数输入!$B$111)/4),0),0)</f>
        <v>0</v>
      </c>
      <c r="BP65" s="9">
        <f>IF(64&lt;=核心参数输入!$B$9*4,SUMIFS(年度所得税!$D$94:$AH$94,年度所得税!$D$4:$AH$4,(64-核心参数输入!$B$111)/4)+IF(64=核心参数输入!$B$9*4,SUMIFS(年度所得税!$D$94:$AH$94,年度所得税!$D$4:$AH$4,"&gt;"&amp;(核心参数输入!$B$9*4-核心参数输入!$B$111)/4),0),0)</f>
        <v>76.243769744387308</v>
      </c>
      <c r="BQ65" s="9">
        <f>IF(65&lt;=核心参数输入!$B$9*4,SUMIFS(年度所得税!$D$94:$AH$94,年度所得税!$D$4:$AH$4,(65-核心参数输入!$B$111)/4)+IF(65=核心参数输入!$B$9*4,SUMIFS(年度所得税!$D$94:$AH$94,年度所得税!$D$4:$AH$4,"&gt;"&amp;(核心参数输入!$B$9*4-核心参数输入!$B$111)/4),0),0)</f>
        <v>0</v>
      </c>
      <c r="BR65" s="9">
        <f>IF(66&lt;=核心参数输入!$B$9*4,SUMIFS(年度所得税!$D$94:$AH$94,年度所得税!$D$4:$AH$4,(66-核心参数输入!$B$111)/4)+IF(66=核心参数输入!$B$9*4,SUMIFS(年度所得税!$D$94:$AH$94,年度所得税!$D$4:$AH$4,"&gt;"&amp;(核心参数输入!$B$9*4-核心参数输入!$B$111)/4),0),0)</f>
        <v>0</v>
      </c>
      <c r="BS65" s="9">
        <f>IF(67&lt;=核心参数输入!$B$9*4,SUMIFS(年度所得税!$D$94:$AH$94,年度所得税!$D$4:$AH$4,(67-核心参数输入!$B$111)/4)+IF(67=核心参数输入!$B$9*4,SUMIFS(年度所得税!$D$94:$AH$94,年度所得税!$D$4:$AH$4,"&gt;"&amp;(核心参数输入!$B$9*4-核心参数输入!$B$111)/4),0),0)</f>
        <v>0</v>
      </c>
      <c r="BT65" s="9">
        <f>IF(68&lt;=核心参数输入!$B$9*4,SUMIFS(年度所得税!$D$94:$AH$94,年度所得税!$D$4:$AH$4,(68-核心参数输入!$B$111)/4)+IF(68=核心参数输入!$B$9*4,SUMIFS(年度所得税!$D$94:$AH$94,年度所得税!$D$4:$AH$4,"&gt;"&amp;(核心参数输入!$B$9*4-核心参数输入!$B$111)/4),0),0)</f>
        <v>80.785744992592157</v>
      </c>
      <c r="BU65" s="9">
        <f>IF(69&lt;=核心参数输入!$B$9*4,SUMIFS(年度所得税!$D$94:$AH$94,年度所得税!$D$4:$AH$4,(69-核心参数输入!$B$111)/4)+IF(69=核心参数输入!$B$9*4,SUMIFS(年度所得税!$D$94:$AH$94,年度所得税!$D$4:$AH$4,"&gt;"&amp;(核心参数输入!$B$9*4-核心参数输入!$B$111)/4),0),0)</f>
        <v>0</v>
      </c>
      <c r="BV65" s="9">
        <f>IF(70&lt;=核心参数输入!$B$9*4,SUMIFS(年度所得税!$D$94:$AH$94,年度所得税!$D$4:$AH$4,(70-核心参数输入!$B$111)/4)+IF(70=核心参数输入!$B$9*4,SUMIFS(年度所得税!$D$94:$AH$94,年度所得税!$D$4:$AH$4,"&gt;"&amp;(核心参数输入!$B$9*4-核心参数输入!$B$111)/4),0),0)</f>
        <v>0</v>
      </c>
      <c r="BW65" s="9">
        <f>IF(71&lt;=核心参数输入!$B$9*4,SUMIFS(年度所得税!$D$94:$AH$94,年度所得税!$D$4:$AH$4,(71-核心参数输入!$B$111)/4)+IF(71=核心参数输入!$B$9*4,SUMIFS(年度所得税!$D$94:$AH$94,年度所得税!$D$4:$AH$4,"&gt;"&amp;(核心参数输入!$B$9*4-核心参数输入!$B$111)/4),0),0)</f>
        <v>0</v>
      </c>
      <c r="BX65" s="9">
        <f>IF(72&lt;=核心参数输入!$B$9*4,SUMIFS(年度所得税!$D$94:$AH$94,年度所得税!$D$4:$AH$4,(72-核心参数输入!$B$111)/4)+IF(72=核心参数输入!$B$9*4,SUMIFS(年度所得税!$D$94:$AH$94,年度所得税!$D$4:$AH$4,"&gt;"&amp;(核心参数输入!$B$9*4-核心参数输入!$B$111)/4),0),0)</f>
        <v>85.386338056060836</v>
      </c>
      <c r="BY65" s="9">
        <f>IF(73&lt;=核心参数输入!$B$9*4,SUMIFS(年度所得税!$D$94:$AH$94,年度所得税!$D$4:$AH$4,(73-核心参数输入!$B$111)/4)+IF(73=核心参数输入!$B$9*4,SUMIFS(年度所得税!$D$94:$AH$94,年度所得税!$D$4:$AH$4,"&gt;"&amp;(核心参数输入!$B$9*4-核心参数输入!$B$111)/4),0),0)</f>
        <v>0</v>
      </c>
      <c r="BZ65" s="9">
        <f>IF(74&lt;=核心参数输入!$B$9*4,SUMIFS(年度所得税!$D$94:$AH$94,年度所得税!$D$4:$AH$4,(74-核心参数输入!$B$111)/4)+IF(74=核心参数输入!$B$9*4,SUMIFS(年度所得税!$D$94:$AH$94,年度所得税!$D$4:$AH$4,"&gt;"&amp;(核心参数输入!$B$9*4-核心参数输入!$B$111)/4),0),0)</f>
        <v>0</v>
      </c>
      <c r="CA65" s="9">
        <f>IF(75&lt;=核心参数输入!$B$9*4,SUMIFS(年度所得税!$D$94:$AH$94,年度所得税!$D$4:$AH$4,(75-核心参数输入!$B$111)/4)+IF(75=核心参数输入!$B$9*4,SUMIFS(年度所得税!$D$94:$AH$94,年度所得税!$D$4:$AH$4,"&gt;"&amp;(核心参数输入!$B$9*4-核心参数输入!$B$111)/4),0),0)</f>
        <v>0</v>
      </c>
      <c r="CB65" s="9">
        <f>IF(76&lt;=核心参数输入!$B$9*4,SUMIFS(年度所得税!$D$94:$AH$94,年度所得税!$D$4:$AH$4,(76-核心参数输入!$B$111)/4)+IF(76=核心参数输入!$B$9*4,SUMIFS(年度所得税!$D$94:$AH$94,年度所得税!$D$4:$AH$4,"&gt;"&amp;(核心参数输入!$B$9*4-核心参数输入!$B$111)/4),0),0)</f>
        <v>90.046237965752965</v>
      </c>
      <c r="CC65" s="9">
        <f>IF(77&lt;=核心参数输入!$B$9*4,SUMIFS(年度所得税!$D$94:$AH$94,年度所得税!$D$4:$AH$4,(77-核心参数输入!$B$111)/4)+IF(77=核心参数输入!$B$9*4,SUMIFS(年度所得税!$D$94:$AH$94,年度所得税!$D$4:$AH$4,"&gt;"&amp;(核心参数输入!$B$9*4-核心参数输入!$B$111)/4),0),0)</f>
        <v>0</v>
      </c>
      <c r="CD65" s="9">
        <f>IF(78&lt;=核心参数输入!$B$9*4,SUMIFS(年度所得税!$D$94:$AH$94,年度所得税!$D$4:$AH$4,(78-核心参数输入!$B$111)/4)+IF(78=核心参数输入!$B$9*4,SUMIFS(年度所得税!$D$94:$AH$94,年度所得税!$D$4:$AH$4,"&gt;"&amp;(核心参数输入!$B$9*4-核心参数输入!$B$111)/4),0),0)</f>
        <v>0</v>
      </c>
      <c r="CE65" s="9">
        <f>IF(79&lt;=核心参数输入!$B$9*4,SUMIFS(年度所得税!$D$94:$AH$94,年度所得税!$D$4:$AH$4,(79-核心参数输入!$B$111)/4)+IF(79=核心参数输入!$B$9*4,SUMIFS(年度所得税!$D$94:$AH$94,年度所得税!$D$4:$AH$4,"&gt;"&amp;(核心参数输入!$B$9*4-核心参数输入!$B$111)/4),0),0)</f>
        <v>0</v>
      </c>
      <c r="CF65" s="9">
        <f>IF(80&lt;=核心参数输入!$B$9*4,SUMIFS(年度所得税!$D$94:$AH$94,年度所得税!$D$4:$AH$4,(80-核心参数输入!$B$111)/4)+IF(80=核心参数输入!$B$9*4,SUMIFS(年度所得税!$D$94:$AH$94,年度所得税!$D$4:$AH$4,"&gt;"&amp;(核心参数输入!$B$9*4-核心参数输入!$B$111)/4),0),0)</f>
        <v>3929.0717652833741</v>
      </c>
      <c r="CG65" s="9">
        <f>IF(81&lt;=核心参数输入!$B$9*4,SUMIFS(年度所得税!$D$94:$AH$94,年度所得税!$D$4:$AH$4,(81-核心参数输入!$B$111)/4)+IF(81=核心参数输入!$B$9*4,SUMIFS(年度所得税!$D$94:$AH$94,年度所得税!$D$4:$AH$4,"&gt;"&amp;(核心参数输入!$B$9*4-核心参数输入!$B$111)/4),0),0)</f>
        <v>0</v>
      </c>
      <c r="CH65" s="9">
        <f>IF(82&lt;=核心参数输入!$B$9*4,SUMIFS(年度所得税!$D$94:$AH$94,年度所得税!$D$4:$AH$4,(82-核心参数输入!$B$111)/4)+IF(82=核心参数输入!$B$9*4,SUMIFS(年度所得税!$D$94:$AH$94,年度所得税!$D$4:$AH$4,"&gt;"&amp;(核心参数输入!$B$9*4-核心参数输入!$B$111)/4),0),0)</f>
        <v>0</v>
      </c>
      <c r="CI65" s="9">
        <f>IF(83&lt;=核心参数输入!$B$9*4,SUMIFS(年度所得税!$D$94:$AH$94,年度所得税!$D$4:$AH$4,(83-核心参数输入!$B$111)/4)+IF(83=核心参数输入!$B$9*4,SUMIFS(年度所得税!$D$94:$AH$94,年度所得税!$D$4:$AH$4,"&gt;"&amp;(核心参数输入!$B$9*4-核心参数输入!$B$111)/4),0),0)</f>
        <v>0</v>
      </c>
      <c r="CJ65" s="9">
        <f>IF(84&lt;=核心参数输入!$B$9*4,SUMIFS(年度所得税!$D$94:$AH$94,年度所得税!$D$4:$AH$4,(84-核心参数输入!$B$111)/4)+IF(84=核心参数输入!$B$9*4,SUMIFS(年度所得税!$D$94:$AH$94,年度所得税!$D$4:$AH$4,"&gt;"&amp;(核心参数输入!$B$9*4-核心参数输入!$B$111)/4),0),0)</f>
        <v>0</v>
      </c>
      <c r="CK65" s="9">
        <f>IF(85&lt;=核心参数输入!$B$9*4,SUMIFS(年度所得税!$D$94:$AH$94,年度所得税!$D$4:$AH$4,(85-核心参数输入!$B$111)/4)+IF(85=核心参数输入!$B$9*4,SUMIFS(年度所得税!$D$94:$AH$94,年度所得税!$D$4:$AH$4,"&gt;"&amp;(核心参数输入!$B$9*4-核心参数输入!$B$111)/4),0),0)</f>
        <v>0</v>
      </c>
      <c r="CL65" s="9">
        <f>IF(86&lt;=核心参数输入!$B$9*4,SUMIFS(年度所得税!$D$94:$AH$94,年度所得税!$D$4:$AH$4,(86-核心参数输入!$B$111)/4)+IF(86=核心参数输入!$B$9*4,SUMIFS(年度所得税!$D$94:$AH$94,年度所得税!$D$4:$AH$4,"&gt;"&amp;(核心参数输入!$B$9*4-核心参数输入!$B$111)/4),0),0)</f>
        <v>0</v>
      </c>
      <c r="CM65" s="9">
        <f>IF(87&lt;=核心参数输入!$B$9*4,SUMIFS(年度所得税!$D$94:$AH$94,年度所得税!$D$4:$AH$4,(87-核心参数输入!$B$111)/4)+IF(87=核心参数输入!$B$9*4,SUMIFS(年度所得税!$D$94:$AH$94,年度所得税!$D$4:$AH$4,"&gt;"&amp;(核心参数输入!$B$9*4-核心参数输入!$B$111)/4),0),0)</f>
        <v>0</v>
      </c>
      <c r="CN65" s="9">
        <f>IF(88&lt;=核心参数输入!$B$9*4,SUMIFS(年度所得税!$D$94:$AH$94,年度所得税!$D$4:$AH$4,(88-核心参数输入!$B$111)/4)+IF(88=核心参数输入!$B$9*4,SUMIFS(年度所得税!$D$94:$AH$94,年度所得税!$D$4:$AH$4,"&gt;"&amp;(核心参数输入!$B$9*4-核心参数输入!$B$111)/4),0),0)</f>
        <v>0</v>
      </c>
      <c r="CO65" s="9">
        <f>IF(89&lt;=核心参数输入!$B$9*4,SUMIFS(年度所得税!$D$94:$AH$94,年度所得税!$D$4:$AH$4,(89-核心参数输入!$B$111)/4)+IF(89=核心参数输入!$B$9*4,SUMIFS(年度所得税!$D$94:$AH$94,年度所得税!$D$4:$AH$4,"&gt;"&amp;(核心参数输入!$B$9*4-核心参数输入!$B$111)/4),0),0)</f>
        <v>0</v>
      </c>
      <c r="CP65" s="9">
        <f>IF(90&lt;=核心参数输入!$B$9*4,SUMIFS(年度所得税!$D$94:$AH$94,年度所得税!$D$4:$AH$4,(90-核心参数输入!$B$111)/4)+IF(90=核心参数输入!$B$9*4,SUMIFS(年度所得税!$D$94:$AH$94,年度所得税!$D$4:$AH$4,"&gt;"&amp;(核心参数输入!$B$9*4-核心参数输入!$B$111)/4),0),0)</f>
        <v>0</v>
      </c>
      <c r="CQ65" s="9">
        <f>IF(91&lt;=核心参数输入!$B$9*4,SUMIFS(年度所得税!$D$94:$AH$94,年度所得税!$D$4:$AH$4,(91-核心参数输入!$B$111)/4)+IF(91=核心参数输入!$B$9*4,SUMIFS(年度所得税!$D$94:$AH$94,年度所得税!$D$4:$AH$4,"&gt;"&amp;(核心参数输入!$B$9*4-核心参数输入!$B$111)/4),0),0)</f>
        <v>0</v>
      </c>
      <c r="CR65" s="9">
        <f>IF(92&lt;=核心参数输入!$B$9*4,SUMIFS(年度所得税!$D$94:$AH$94,年度所得税!$D$4:$AH$4,(92-核心参数输入!$B$111)/4)+IF(92=核心参数输入!$B$9*4,SUMIFS(年度所得税!$D$94:$AH$94,年度所得税!$D$4:$AH$4,"&gt;"&amp;(核心参数输入!$B$9*4-核心参数输入!$B$111)/4),0),0)</f>
        <v>0</v>
      </c>
      <c r="CS65" s="9">
        <f>IF(93&lt;=核心参数输入!$B$9*4,SUMIFS(年度所得税!$D$94:$AH$94,年度所得税!$D$4:$AH$4,(93-核心参数输入!$B$111)/4)+IF(93=核心参数输入!$B$9*4,SUMIFS(年度所得税!$D$94:$AH$94,年度所得税!$D$4:$AH$4,"&gt;"&amp;(核心参数输入!$B$9*4-核心参数输入!$B$111)/4),0),0)</f>
        <v>0</v>
      </c>
      <c r="CT65" s="9">
        <f>IF(94&lt;=核心参数输入!$B$9*4,SUMIFS(年度所得税!$D$94:$AH$94,年度所得税!$D$4:$AH$4,(94-核心参数输入!$B$111)/4)+IF(94=核心参数输入!$B$9*4,SUMIFS(年度所得税!$D$94:$AH$94,年度所得税!$D$4:$AH$4,"&gt;"&amp;(核心参数输入!$B$9*4-核心参数输入!$B$111)/4),0),0)</f>
        <v>0</v>
      </c>
      <c r="CU65" s="9">
        <f>IF(95&lt;=核心参数输入!$B$9*4,SUMIFS(年度所得税!$D$94:$AH$94,年度所得税!$D$4:$AH$4,(95-核心参数输入!$B$111)/4)+IF(95=核心参数输入!$B$9*4,SUMIFS(年度所得税!$D$94:$AH$94,年度所得税!$D$4:$AH$4,"&gt;"&amp;(核心参数输入!$B$9*4-核心参数输入!$B$111)/4),0),0)</f>
        <v>0</v>
      </c>
      <c r="CV65" s="9">
        <f>IF(96&lt;=核心参数输入!$B$9*4,SUMIFS(年度所得税!$D$94:$AH$94,年度所得税!$D$4:$AH$4,(96-核心参数输入!$B$111)/4)+IF(96=核心参数输入!$B$9*4,SUMIFS(年度所得税!$D$94:$AH$94,年度所得税!$D$4:$AH$4,"&gt;"&amp;(核心参数输入!$B$9*4-核心参数输入!$B$111)/4),0),0)</f>
        <v>0</v>
      </c>
      <c r="CW65" s="9">
        <f>IF(97&lt;=核心参数输入!$B$9*4,SUMIFS(年度所得税!$D$94:$AH$94,年度所得税!$D$4:$AH$4,(97-核心参数输入!$B$111)/4)+IF(97=核心参数输入!$B$9*4,SUMIFS(年度所得税!$D$94:$AH$94,年度所得税!$D$4:$AH$4,"&gt;"&amp;(核心参数输入!$B$9*4-核心参数输入!$B$111)/4),0),0)</f>
        <v>0</v>
      </c>
      <c r="CX65" s="9">
        <f>IF(98&lt;=核心参数输入!$B$9*4,SUMIFS(年度所得税!$D$94:$AH$94,年度所得税!$D$4:$AH$4,(98-核心参数输入!$B$111)/4)+IF(98=核心参数输入!$B$9*4,SUMIFS(年度所得税!$D$94:$AH$94,年度所得税!$D$4:$AH$4,"&gt;"&amp;(核心参数输入!$B$9*4-核心参数输入!$B$111)/4),0),0)</f>
        <v>0</v>
      </c>
      <c r="CY65" s="9">
        <f>IF(99&lt;=核心参数输入!$B$9*4,SUMIFS(年度所得税!$D$94:$AH$94,年度所得税!$D$4:$AH$4,(99-核心参数输入!$B$111)/4)+IF(99=核心参数输入!$B$9*4,SUMIFS(年度所得税!$D$94:$AH$94,年度所得税!$D$4:$AH$4,"&gt;"&amp;(核心参数输入!$B$9*4-核心参数输入!$B$111)/4),0),0)</f>
        <v>0</v>
      </c>
      <c r="CZ65" s="9">
        <f>IF(100&lt;=核心参数输入!$B$9*4,SUMIFS(年度所得税!$D$94:$AH$94,年度所得税!$D$4:$AH$4,(100-核心参数输入!$B$111)/4)+IF(100=核心参数输入!$B$9*4,SUMIFS(年度所得税!$D$94:$AH$94,年度所得税!$D$4:$AH$4,"&gt;"&amp;(核心参数输入!$B$9*4-核心参数输入!$B$111)/4),0),0)</f>
        <v>0</v>
      </c>
      <c r="DA65" s="9">
        <f>IF(101&lt;=核心参数输入!$B$9*4,SUMIFS(年度所得税!$D$94:$AH$94,年度所得税!$D$4:$AH$4,(101-核心参数输入!$B$111)/4)+IF(101=核心参数输入!$B$9*4,SUMIFS(年度所得税!$D$94:$AH$94,年度所得税!$D$4:$AH$4,"&gt;"&amp;(核心参数输入!$B$9*4-核心参数输入!$B$111)/4),0),0)</f>
        <v>0</v>
      </c>
      <c r="DB65" s="9">
        <f>IF(102&lt;=核心参数输入!$B$9*4,SUMIFS(年度所得税!$D$94:$AH$94,年度所得税!$D$4:$AH$4,(102-核心参数输入!$B$111)/4)+IF(102=核心参数输入!$B$9*4,SUMIFS(年度所得税!$D$94:$AH$94,年度所得税!$D$4:$AH$4,"&gt;"&amp;(核心参数输入!$B$9*4-核心参数输入!$B$111)/4),0),0)</f>
        <v>0</v>
      </c>
      <c r="DC65" s="9">
        <f>IF(103&lt;=核心参数输入!$B$9*4,SUMIFS(年度所得税!$D$94:$AH$94,年度所得税!$D$4:$AH$4,(103-核心参数输入!$B$111)/4)+IF(103=核心参数输入!$B$9*4,SUMIFS(年度所得税!$D$94:$AH$94,年度所得税!$D$4:$AH$4,"&gt;"&amp;(核心参数输入!$B$9*4-核心参数输入!$B$111)/4),0),0)</f>
        <v>0</v>
      </c>
      <c r="DD65" s="9">
        <f>IF(104&lt;=核心参数输入!$B$9*4,SUMIFS(年度所得税!$D$94:$AH$94,年度所得税!$D$4:$AH$4,(104-核心参数输入!$B$111)/4)+IF(104=核心参数输入!$B$9*4,SUMIFS(年度所得税!$D$94:$AH$94,年度所得税!$D$4:$AH$4,"&gt;"&amp;(核心参数输入!$B$9*4-核心参数输入!$B$111)/4),0),0)</f>
        <v>0</v>
      </c>
      <c r="DE65" s="9">
        <f>IF(105&lt;=核心参数输入!$B$9*4,SUMIFS(年度所得税!$D$94:$AH$94,年度所得税!$D$4:$AH$4,(105-核心参数输入!$B$111)/4)+IF(105=核心参数输入!$B$9*4,SUMIFS(年度所得税!$D$94:$AH$94,年度所得税!$D$4:$AH$4,"&gt;"&amp;(核心参数输入!$B$9*4-核心参数输入!$B$111)/4),0),0)</f>
        <v>0</v>
      </c>
      <c r="DF65" s="9">
        <f>IF(106&lt;=核心参数输入!$B$9*4,SUMIFS(年度所得税!$D$94:$AH$94,年度所得税!$D$4:$AH$4,(106-核心参数输入!$B$111)/4)+IF(106=核心参数输入!$B$9*4,SUMIFS(年度所得税!$D$94:$AH$94,年度所得税!$D$4:$AH$4,"&gt;"&amp;(核心参数输入!$B$9*4-核心参数输入!$B$111)/4),0),0)</f>
        <v>0</v>
      </c>
      <c r="DG65" s="9">
        <f>IF(107&lt;=核心参数输入!$B$9*4,SUMIFS(年度所得税!$D$94:$AH$94,年度所得税!$D$4:$AH$4,(107-核心参数输入!$B$111)/4)+IF(107=核心参数输入!$B$9*4,SUMIFS(年度所得税!$D$94:$AH$94,年度所得税!$D$4:$AH$4,"&gt;"&amp;(核心参数输入!$B$9*4-核心参数输入!$B$111)/4),0),0)</f>
        <v>0</v>
      </c>
      <c r="DH65" s="9">
        <f>IF(108&lt;=核心参数输入!$B$9*4,SUMIFS(年度所得税!$D$94:$AH$94,年度所得税!$D$4:$AH$4,(108-核心参数输入!$B$111)/4)+IF(108=核心参数输入!$B$9*4,SUMIFS(年度所得税!$D$94:$AH$94,年度所得税!$D$4:$AH$4,"&gt;"&amp;(核心参数输入!$B$9*4-核心参数输入!$B$111)/4),0),0)</f>
        <v>0</v>
      </c>
      <c r="DI65" s="9">
        <f>IF(109&lt;=核心参数输入!$B$9*4,SUMIFS(年度所得税!$D$94:$AH$94,年度所得税!$D$4:$AH$4,(109-核心参数输入!$B$111)/4)+IF(109=核心参数输入!$B$9*4,SUMIFS(年度所得税!$D$94:$AH$94,年度所得税!$D$4:$AH$4,"&gt;"&amp;(核心参数输入!$B$9*4-核心参数输入!$B$111)/4),0),0)</f>
        <v>0</v>
      </c>
      <c r="DJ65" s="9">
        <f>IF(110&lt;=核心参数输入!$B$9*4,SUMIFS(年度所得税!$D$94:$AH$94,年度所得税!$D$4:$AH$4,(110-核心参数输入!$B$111)/4)+IF(110=核心参数输入!$B$9*4,SUMIFS(年度所得税!$D$94:$AH$94,年度所得税!$D$4:$AH$4,"&gt;"&amp;(核心参数输入!$B$9*4-核心参数输入!$B$111)/4),0),0)</f>
        <v>0</v>
      </c>
      <c r="DK65" s="9">
        <f>IF(111&lt;=核心参数输入!$B$9*4,SUMIFS(年度所得税!$D$94:$AH$94,年度所得税!$D$4:$AH$4,(111-核心参数输入!$B$111)/4)+IF(111=核心参数输入!$B$9*4,SUMIFS(年度所得税!$D$94:$AH$94,年度所得税!$D$4:$AH$4,"&gt;"&amp;(核心参数输入!$B$9*4-核心参数输入!$B$111)/4),0),0)</f>
        <v>0</v>
      </c>
      <c r="DL65" s="9">
        <f>IF(112&lt;=核心参数输入!$B$9*4,SUMIFS(年度所得税!$D$94:$AH$94,年度所得税!$D$4:$AH$4,(112-核心参数输入!$B$111)/4)+IF(112=核心参数输入!$B$9*4,SUMIFS(年度所得税!$D$94:$AH$94,年度所得税!$D$4:$AH$4,"&gt;"&amp;(核心参数输入!$B$9*4-核心参数输入!$B$111)/4),0),0)</f>
        <v>0</v>
      </c>
      <c r="DM65" s="9">
        <f>IF(113&lt;=核心参数输入!$B$9*4,SUMIFS(年度所得税!$D$94:$AH$94,年度所得税!$D$4:$AH$4,(113-核心参数输入!$B$111)/4)+IF(113=核心参数输入!$B$9*4,SUMIFS(年度所得税!$D$94:$AH$94,年度所得税!$D$4:$AH$4,"&gt;"&amp;(核心参数输入!$B$9*4-核心参数输入!$B$111)/4),0),0)</f>
        <v>0</v>
      </c>
      <c r="DN65" s="9">
        <f>IF(114&lt;=核心参数输入!$B$9*4,SUMIFS(年度所得税!$D$94:$AH$94,年度所得税!$D$4:$AH$4,(114-核心参数输入!$B$111)/4)+IF(114=核心参数输入!$B$9*4,SUMIFS(年度所得税!$D$94:$AH$94,年度所得税!$D$4:$AH$4,"&gt;"&amp;(核心参数输入!$B$9*4-核心参数输入!$B$111)/4),0),0)</f>
        <v>0</v>
      </c>
      <c r="DO65" s="9">
        <f>IF(115&lt;=核心参数输入!$B$9*4,SUMIFS(年度所得税!$D$94:$AH$94,年度所得税!$D$4:$AH$4,(115-核心参数输入!$B$111)/4)+IF(115=核心参数输入!$B$9*4,SUMIFS(年度所得税!$D$94:$AH$94,年度所得税!$D$4:$AH$4,"&gt;"&amp;(核心参数输入!$B$9*4-核心参数输入!$B$111)/4),0),0)</f>
        <v>0</v>
      </c>
      <c r="DP65" s="9">
        <f>IF(116&lt;=核心参数输入!$B$9*4,SUMIFS(年度所得税!$D$94:$AH$94,年度所得税!$D$4:$AH$4,(116-核心参数输入!$B$111)/4)+IF(116=核心参数输入!$B$9*4,SUMIFS(年度所得税!$D$94:$AH$94,年度所得税!$D$4:$AH$4,"&gt;"&amp;(核心参数输入!$B$9*4-核心参数输入!$B$111)/4),0),0)</f>
        <v>0</v>
      </c>
      <c r="DQ65" s="9">
        <f>IF(117&lt;=核心参数输入!$B$9*4,SUMIFS(年度所得税!$D$94:$AH$94,年度所得税!$D$4:$AH$4,(117-核心参数输入!$B$111)/4)+IF(117=核心参数输入!$B$9*4,SUMIFS(年度所得税!$D$94:$AH$94,年度所得税!$D$4:$AH$4,"&gt;"&amp;(核心参数输入!$B$9*4-核心参数输入!$B$111)/4),0),0)</f>
        <v>0</v>
      </c>
      <c r="DR65" s="9">
        <f>IF(118&lt;=核心参数输入!$B$9*4,SUMIFS(年度所得税!$D$94:$AH$94,年度所得税!$D$4:$AH$4,(118-核心参数输入!$B$111)/4)+IF(118=核心参数输入!$B$9*4,SUMIFS(年度所得税!$D$94:$AH$94,年度所得税!$D$4:$AH$4,"&gt;"&amp;(核心参数输入!$B$9*4-核心参数输入!$B$111)/4),0),0)</f>
        <v>0</v>
      </c>
      <c r="DS65" s="9">
        <f>IF(119&lt;=核心参数输入!$B$9*4,SUMIFS(年度所得税!$D$94:$AH$94,年度所得税!$D$4:$AH$4,(119-核心参数输入!$B$111)/4)+IF(119=核心参数输入!$B$9*4,SUMIFS(年度所得税!$D$94:$AH$94,年度所得税!$D$4:$AH$4,"&gt;"&amp;(核心参数输入!$B$9*4-核心参数输入!$B$111)/4),0),0)</f>
        <v>0</v>
      </c>
      <c r="DT65" s="9">
        <f>IF(120&lt;=核心参数输入!$B$9*4,SUMIFS(年度所得税!$D$94:$AH$94,年度所得税!$D$4:$AH$4,(120-核心参数输入!$B$111)/4)+IF(120=核心参数输入!$B$9*4,SUMIFS(年度所得税!$D$94:$AH$94,年度所得税!$D$4:$AH$4,"&gt;"&amp;(核心参数输入!$B$9*4-核心参数输入!$B$111)/4),0),0)</f>
        <v>0</v>
      </c>
    </row>
    <row r="66" spans="1:124" ht="21" customHeight="1">
      <c r="A66" s="8" t="s">
        <v>497</v>
      </c>
      <c r="B66" s="8" t="s">
        <v>39</v>
      </c>
      <c r="C66" s="8"/>
      <c r="D66" s="9">
        <f>IF(0&lt;=核心参数输入!$B$9*4,D47-IF(AND(0&gt;0,MOD(0,4)=0),INDEX(年度所得税!$D$90:$AH$90,1,0/4+1),0),0)</f>
        <v>0</v>
      </c>
      <c r="E66" s="9">
        <f>IF(1&lt;=核心参数输入!$B$9*4,E47-IF(AND(1&gt;0,MOD(1,4)=0),INDEX(年度所得税!$D$90:$AH$90,1,1/4+1),0),0)</f>
        <v>0</v>
      </c>
      <c r="F66" s="9">
        <f>IF(2&lt;=核心参数输入!$B$9*4,F47-IF(AND(2&gt;0,MOD(2,4)=0),INDEX(年度所得税!$D$90:$AH$90,1,2/4+1),0),0)</f>
        <v>0</v>
      </c>
      <c r="G66" s="9">
        <f>IF(3&lt;=核心参数输入!$B$9*4,G47-IF(AND(3&gt;0,MOD(3,4)=0),INDEX(年度所得税!$D$90:$AH$90,1,3/4+1),0),0)</f>
        <v>0</v>
      </c>
      <c r="H66" s="9">
        <f>IF(4&lt;=核心参数输入!$B$9*4,H47-IF(AND(4&gt;0,MOD(4,4)=0),INDEX(年度所得税!$D$90:$AH$90,1,4/4+1),0),0)</f>
        <v>0</v>
      </c>
      <c r="I66" s="9">
        <f>IF(5&lt;=核心参数输入!$B$9*4,I47-IF(AND(5&gt;0,MOD(5,4)=0),INDEX(年度所得税!$D$90:$AH$90,1,5/4+1),0),0)</f>
        <v>0</v>
      </c>
      <c r="J66" s="9">
        <f>IF(6&lt;=核心参数输入!$B$9*4,J47-IF(AND(6&gt;0,MOD(6,4)=0),INDEX(年度所得税!$D$90:$AH$90,1,6/4+1),0),0)</f>
        <v>0</v>
      </c>
      <c r="K66" s="9">
        <f>IF(7&lt;=核心参数输入!$B$9*4,K47-IF(AND(7&gt;0,MOD(7,4)=0),INDEX(年度所得税!$D$90:$AH$90,1,7/4+1),0),0)</f>
        <v>0</v>
      </c>
      <c r="L66" s="9">
        <f>IF(8&lt;=核心参数输入!$B$9*4,L47-IF(AND(8&gt;0,MOD(8,4)=0),INDEX(年度所得税!$D$90:$AH$90,1,8/4+1),0),0)</f>
        <v>0</v>
      </c>
      <c r="M66" s="9">
        <f>IF(9&lt;=核心参数输入!$B$9*4,M47-IF(AND(9&gt;0,MOD(9,4)=0),INDEX(年度所得税!$D$90:$AH$90,1,9/4+1),0),0)</f>
        <v>0</v>
      </c>
      <c r="N66" s="9">
        <f>IF(10&lt;=核心参数输入!$B$9*4,N47-IF(AND(10&gt;0,MOD(10,4)=0),INDEX(年度所得税!$D$90:$AH$90,1,10/4+1),0),0)</f>
        <v>0</v>
      </c>
      <c r="O66" s="9">
        <f>IF(11&lt;=核心参数输入!$B$9*4,O47-IF(AND(11&gt;0,MOD(11,4)=0),INDEX(年度所得税!$D$90:$AH$90,1,11/4+1),0),0)</f>
        <v>0</v>
      </c>
      <c r="P66" s="9">
        <f>IF(12&lt;=核心参数输入!$B$9*4,P47-IF(AND(12&gt;0,MOD(12,4)=0),INDEX(年度所得税!$D$90:$AH$90,1,12/4+1),0),0)</f>
        <v>0</v>
      </c>
      <c r="Q66" s="9">
        <f>IF(13&lt;=核心参数输入!$B$9*4,Q47-IF(AND(13&gt;0,MOD(13,4)=0),INDEX(年度所得税!$D$90:$AH$90,1,13/4+1),0),0)</f>
        <v>0.44718750000038199</v>
      </c>
      <c r="R66" s="9">
        <f>IF(14&lt;=核心参数输入!$B$9*4,R47-IF(AND(14&gt;0,MOD(14,4)=0),INDEX(年度所得税!$D$90:$AH$90,1,14/4+1),0),0)</f>
        <v>25.40072081250031</v>
      </c>
      <c r="S66" s="9">
        <f>IF(15&lt;=核心参数输入!$B$9*4,S47-IF(AND(15&gt;0,MOD(15,4)=0),INDEX(年度所得税!$D$90:$AH$90,1,15/4+1),0),0)</f>
        <v>75.307787437500622</v>
      </c>
      <c r="T66" s="9">
        <f>IF(16&lt;=核心参数输入!$B$9*4,T47-IF(AND(16&gt;0,MOD(16,4)=0),INDEX(年度所得税!$D$90:$AH$90,1,16/4+1),0),0)</f>
        <v>85.497216609374604</v>
      </c>
      <c r="U66" s="9">
        <f>IF(17&lt;=核心参数输入!$B$9*4,U47-IF(AND(17&gt;0,MOD(17,4)=0),INDEX(年度所得税!$D$90:$AH$90,1,17/4+1),0),0)</f>
        <v>437.47797918531307</v>
      </c>
      <c r="V66" s="9">
        <f>IF(18&lt;=核心参数输入!$B$9*4,V47-IF(AND(18&gt;0,MOD(18,4)=0),INDEX(年度所得税!$D$90:$AH$90,1,18/4+1),0),0)</f>
        <v>472.93695002237484</v>
      </c>
      <c r="W66" s="9">
        <f>IF(19&lt;=核心参数输入!$B$9*4,W47-IF(AND(19&gt;0,MOD(19,4)=0),INDEX(年度所得税!$D$90:$AH$90,1,19/4+1),0),0)</f>
        <v>493.19921907212415</v>
      </c>
      <c r="X66" s="9">
        <f>IF(20&lt;=核心参数输入!$B$9*4,X47-IF(AND(20&gt;0,MOD(20,4)=0),INDEX(年度所得税!$D$90:$AH$90,1,20/4+1),0),0)</f>
        <v>51.067579021453355</v>
      </c>
      <c r="Y66" s="9">
        <f>IF(21&lt;=核心参数输入!$B$9*4,Y47-IF(AND(21&gt;0,MOD(21,4)=0),INDEX(年度所得税!$D$90:$AH$90,1,21/4+1),0),0)</f>
        <v>365.06092915419958</v>
      </c>
      <c r="Z66" s="9">
        <f>IF(22&lt;=核心参数输入!$B$9*4,Z47-IF(AND(22&gt;0,MOD(22,4)=0),INDEX(年度所得税!$D$90:$AH$90,1,22/4+1),0),0)</f>
        <v>383.05635685400841</v>
      </c>
      <c r="AA66" s="9">
        <f>IF(23&lt;=核心参数输入!$B$9*4,AA47-IF(AND(23&gt;0,MOD(23,4)=0),INDEX(年度所得税!$D$90:$AH$90,1,23/4+1),0),0)</f>
        <v>398.4810091681311</v>
      </c>
      <c r="AB66" s="9">
        <f>IF(24&lt;=核心参数输入!$B$9*4,AB47-IF(AND(24&gt;0,MOD(24,4)=0),INDEX(年度所得税!$D$90:$AH$90,1,24/4+1),0),0)</f>
        <v>40.654672317604877</v>
      </c>
      <c r="AC66" s="9">
        <f>IF(25&lt;=核心参数输入!$B$9*4,AC47-IF(AND(25&gt;0,MOD(25,4)=0),INDEX(年度所得税!$D$90:$AH$90,1,25/4+1),0),0)</f>
        <v>-170.80940180917923</v>
      </c>
      <c r="AD66" s="9">
        <f>IF(26&lt;=核心参数输入!$B$9*4,AD47-IF(AND(26&gt;0,MOD(26,4)=0),INDEX(年度所得税!$D$90:$AH$90,1,26/4+1),0),0)</f>
        <v>-160.37205374328997</v>
      </c>
      <c r="AE66" s="9">
        <f>IF(27&lt;=核心参数输入!$B$9*4,AE47-IF(AND(27&gt;0,MOD(27,4)=0),INDEX(年度所得税!$D$90:$AH$90,1,27/4+1),0),0)</f>
        <v>-155.15337971034529</v>
      </c>
      <c r="AF66" s="9">
        <f>IF(28&lt;=核心参数输入!$B$9*4,AF47-IF(AND(28&gt;0,MOD(28,4)=0),INDEX(年度所得税!$D$90:$AH$90,1,28/4+1),0),0)</f>
        <v>-127.43470567740067</v>
      </c>
      <c r="AG66" s="9">
        <f>IF(29&lt;=核心参数输入!$B$9*4,AG47-IF(AND(29&gt;0,MOD(29,4)=0),INDEX(年度所得税!$D$90:$AH$90,1,29/4+1),0),0)</f>
        <v>-95.710815744122897</v>
      </c>
      <c r="AH66" s="9">
        <f>IF(30&lt;=核心参数输入!$B$9*4,AH47-IF(AND(30&gt;0,MOD(30,4)=0),INDEX(年度所得税!$D$90:$AH$90,1,30/4+1),0),0)</f>
        <v>-93.062338672403456</v>
      </c>
      <c r="AI66" s="9">
        <f>IF(31&lt;=核心参数输入!$B$9*4,AI47-IF(AND(31&gt;0,MOD(31,4)=0),INDEX(年度所得税!$D$90:$AH$90,1,31/4+1),0),0)</f>
        <v>-93.062338672403456</v>
      </c>
      <c r="AJ66" s="9">
        <f>IF(32&lt;=核心参数输入!$B$9*4,AJ47-IF(AND(32&gt;0,MOD(32,4)=0),INDEX(年度所得税!$D$90:$AH$90,1,32/4+1),0),0)</f>
        <v>-70.562338672403428</v>
      </c>
      <c r="AK66" s="9">
        <f>IF(33&lt;=核心参数输入!$B$9*4,AK47-IF(AND(33&gt;0,MOD(33,4)=0),INDEX(年度所得税!$D$90:$AH$90,1,33/4+1),0),0)</f>
        <v>-43.965276437489564</v>
      </c>
      <c r="AL66" s="9">
        <f>IF(34&lt;=核心参数输入!$B$9*4,AL47-IF(AND(34&gt;0,MOD(34,4)=0),INDEX(年度所得税!$D$90:$AH$90,1,34/4+1),0),0)</f>
        <v>-43.965276437489564</v>
      </c>
      <c r="AM66" s="9">
        <f>IF(35&lt;=核心参数输入!$B$9*4,AM47-IF(AND(35&gt;0,MOD(35,4)=0),INDEX(年度所得税!$D$90:$AH$90,1,35/4+1),0),0)</f>
        <v>-43.965276437489564</v>
      </c>
      <c r="AN66" s="9">
        <f>IF(36&lt;=核心参数输入!$B$9*4,AN47-IF(AND(36&gt;0,MOD(36,4)=0),INDEX(年度所得税!$D$90:$AH$90,1,36/4+1),0),0)</f>
        <v>-21.465276437489564</v>
      </c>
      <c r="AO66" s="9">
        <f>IF(37&lt;=核心参数输入!$B$9*4,AO47-IF(AND(37&gt;0,MOD(37,4)=0),INDEX(年度所得税!$D$90:$AH$90,1,37/4+1),0),0)</f>
        <v>5.1851234897480367</v>
      </c>
      <c r="AP66" s="9">
        <f>IF(38&lt;=核心参数输入!$B$9*4,AP47-IF(AND(38&gt;0,MOD(38,4)=0),INDEX(年度所得税!$D$90:$AH$90,1,38/4+1),0),0)</f>
        <v>5.1851234897480367</v>
      </c>
      <c r="AQ66" s="9">
        <f>IF(39&lt;=核心参数输入!$B$9*4,AQ47-IF(AND(39&gt;0,MOD(39,4)=0),INDEX(年度所得税!$D$90:$AH$90,1,39/4+1),0),0)</f>
        <v>5.1851234897480367</v>
      </c>
      <c r="AR66" s="9">
        <f>IF(40&lt;=核心参数输入!$B$9*4,AR47-IF(AND(40&gt;0,MOD(40,4)=0),INDEX(年度所得税!$D$90:$AH$90,1,40/4+1),0),0)</f>
        <v>27.685123489748026</v>
      </c>
      <c r="AS66" s="9">
        <f>IF(41&lt;=核心参数输入!$B$9*4,AS47-IF(AND(41&gt;0,MOD(41,4)=0),INDEX(年度所得税!$D$90:$AH$90,1,41/4+1),0),0)</f>
        <v>54.389498809870219</v>
      </c>
      <c r="AT66" s="9">
        <f>IF(42&lt;=核心参数输入!$B$9*4,AT47-IF(AND(42&gt;0,MOD(42,4)=0),INDEX(年度所得税!$D$90:$AH$90,1,42/4+1),0),0)</f>
        <v>54.389498809870219</v>
      </c>
      <c r="AU66" s="9">
        <f>IF(43&lt;=核心参数输入!$B$9*4,AU47-IF(AND(43&gt;0,MOD(43,4)=0),INDEX(年度所得税!$D$90:$AH$90,1,43/4+1),0),0)</f>
        <v>54.389498809870219</v>
      </c>
      <c r="AV66" s="9">
        <f>IF(44&lt;=核心参数输入!$B$9*4,AV47-IF(AND(44&gt;0,MOD(44,4)=0),INDEX(年度所得税!$D$90:$AH$90,1,44/4+1),0),0)</f>
        <v>54.389498809870219</v>
      </c>
      <c r="AW66" s="9">
        <f>IF(45&lt;=核心参数输入!$B$9*4,AW47-IF(AND(45&gt;0,MOD(45,4)=0),INDEX(年度所得税!$D$90:$AH$90,1,45/4+1),0),0)</f>
        <v>58.648493541649728</v>
      </c>
      <c r="AX66" s="9">
        <f>IF(46&lt;=核心参数输入!$B$9*4,AX47-IF(AND(46&gt;0,MOD(46,4)=0),INDEX(年度所得税!$D$90:$AH$90,1,46/4+1),0),0)</f>
        <v>58.648493541649728</v>
      </c>
      <c r="AY66" s="9">
        <f>IF(47&lt;=核心参数输入!$B$9*4,AY47-IF(AND(47&gt;0,MOD(47,4)=0),INDEX(年度所得税!$D$90:$AH$90,1,47/4+1),0),0)</f>
        <v>58.648493541649728</v>
      </c>
      <c r="AZ66" s="9">
        <f>IF(48&lt;=核心参数输入!$B$9*4,AZ47-IF(AND(48&gt;0,MOD(48,4)=0),INDEX(年度所得税!$D$90:$AH$90,1,48/4+1),0),0)</f>
        <v>58.648493541649728</v>
      </c>
      <c r="BA66" s="9">
        <f>IF(49&lt;=核心参数输入!$B$9*4,BA47-IF(AND(49&gt;0,MOD(49,4)=0),INDEX(年度所得税!$D$90:$AH$90,1,49/4+1),0),0)</f>
        <v>62.962758051898639</v>
      </c>
      <c r="BB66" s="9">
        <f>IF(50&lt;=核心参数输入!$B$9*4,BB47-IF(AND(50&gt;0,MOD(50,4)=0),INDEX(年度所得税!$D$90:$AH$90,1,50/4+1),0),0)</f>
        <v>62.962758051898639</v>
      </c>
      <c r="BC66" s="9">
        <f>IF(51&lt;=核心参数输入!$B$9*4,BC47-IF(AND(51&gt;0,MOD(51,4)=0),INDEX(年度所得税!$D$90:$AH$90,1,51/4+1),0),0)</f>
        <v>62.962758051898639</v>
      </c>
      <c r="BD66" s="9">
        <f>IF(52&lt;=核心参数输入!$B$9*4,BD47-IF(AND(52&gt;0,MOD(52,4)=0),INDEX(年度所得税!$D$90:$AH$90,1,52/4+1),0),0)</f>
        <v>62.962758051898639</v>
      </c>
      <c r="BE66" s="9">
        <f>IF(53&lt;=核心参数输入!$B$9*4,BE47-IF(AND(53&gt;0,MOD(53,4)=0),INDEX(年度所得税!$D$90:$AH$90,1,53/4+1),0),0)</f>
        <v>67.332949084443598</v>
      </c>
      <c r="BF66" s="9">
        <f>IF(54&lt;=核心参数输入!$B$9*4,BF47-IF(AND(54&gt;0,MOD(54,4)=0),INDEX(年度所得税!$D$90:$AH$90,1,54/4+1),0),0)</f>
        <v>67.332949084443598</v>
      </c>
      <c r="BG66" s="9">
        <f>IF(55&lt;=核心参数输入!$B$9*4,BG47-IF(AND(55&gt;0,MOD(55,4)=0),INDEX(年度所得税!$D$90:$AH$90,1,55/4+1),0),0)</f>
        <v>67.332949084443598</v>
      </c>
      <c r="BH66" s="9">
        <f>IF(56&lt;=核心参数输入!$B$9*4,BH47-IF(AND(56&gt;0,MOD(56,4)=0),INDEX(年度所得税!$D$90:$AH$90,1,56/4+1),0),0)</f>
        <v>38.340276437489564</v>
      </c>
      <c r="BI66" s="9">
        <f>IF(57&lt;=核心参数输入!$B$9*4,BI47-IF(AND(57&gt;0,MOD(57,4)=0),INDEX(年度所得税!$D$90:$AH$90,1,57/4+1),0),0)</f>
        <v>71.75972978821224</v>
      </c>
      <c r="BJ66" s="9">
        <f>IF(58&lt;=核心参数输入!$B$9*4,BJ47-IF(AND(58&gt;0,MOD(58,4)=0),INDEX(年度所得税!$D$90:$AH$90,1,58/4+1),0),0)</f>
        <v>71.75972978821224</v>
      </c>
      <c r="BK66" s="9">
        <f>IF(59&lt;=核心参数输入!$B$9*4,BK47-IF(AND(59&gt;0,MOD(59,4)=0),INDEX(年度所得税!$D$90:$AH$90,1,59/4+1),0),0)</f>
        <v>71.75972978821224</v>
      </c>
      <c r="BL66" s="9">
        <f>IF(60&lt;=核心参数输入!$B$9*4,BL47-IF(AND(60&gt;0,MOD(60,4)=0),INDEX(年度所得税!$D$90:$AH$90,1,60/4+1),0),0)</f>
        <v>0</v>
      </c>
      <c r="BM66" s="9">
        <f>IF(61&lt;=核心参数输入!$B$9*4,BM47-IF(AND(61&gt;0,MOD(61,4)=0),INDEX(年度所得税!$D$90:$AH$90,1,61/4+1),0),0)</f>
        <v>76.243769744387308</v>
      </c>
      <c r="BN66" s="9">
        <f>IF(62&lt;=核心参数输入!$B$9*4,BN47-IF(AND(62&gt;0,MOD(62,4)=0),INDEX(年度所得税!$D$90:$AH$90,1,62/4+1),0),0)</f>
        <v>76.243769744387308</v>
      </c>
      <c r="BO66" s="9">
        <f>IF(63&lt;=核心参数输入!$B$9*4,BO47-IF(AND(63&gt;0,MOD(63,4)=0),INDEX(年度所得税!$D$90:$AH$90,1,63/4+1),0),0)</f>
        <v>76.243769744387308</v>
      </c>
      <c r="BP66" s="9">
        <f>IF(64&lt;=核心参数输入!$B$9*4,BP47-IF(AND(64&gt;0,MOD(64,4)=0),INDEX(年度所得税!$D$90:$AH$90,1,64/4+1),0),0)</f>
        <v>0</v>
      </c>
      <c r="BQ66" s="9">
        <f>IF(65&lt;=核心参数输入!$B$9*4,BQ47-IF(AND(65&gt;0,MOD(65,4)=0),INDEX(年度所得税!$D$90:$AH$90,1,65/4+1),0),0)</f>
        <v>80.785744992592157</v>
      </c>
      <c r="BR66" s="9">
        <f>IF(66&lt;=核心参数输入!$B$9*4,BR47-IF(AND(66&gt;0,MOD(66,4)=0),INDEX(年度所得税!$D$90:$AH$90,1,66/4+1),0),0)</f>
        <v>80.785744992592157</v>
      </c>
      <c r="BS66" s="9">
        <f>IF(67&lt;=核心参数输入!$B$9*4,BS47-IF(AND(67&gt;0,MOD(67,4)=0),INDEX(年度所得税!$D$90:$AH$90,1,67/4+1),0),0)</f>
        <v>80.785744992592157</v>
      </c>
      <c r="BT66" s="9">
        <f>IF(68&lt;=核心参数输入!$B$9*4,BT47-IF(AND(68&gt;0,MOD(68,4)=0),INDEX(年度所得税!$D$90:$AH$90,1,68/4+1),0),0)</f>
        <v>0</v>
      </c>
      <c r="BU66" s="9">
        <f>IF(69&lt;=核心参数输入!$B$9*4,BU47-IF(AND(69&gt;0,MOD(69,4)=0),INDEX(年度所得税!$D$90:$AH$90,1,69/4+1),0),0)</f>
        <v>85.386338056060836</v>
      </c>
      <c r="BV66" s="9">
        <f>IF(70&lt;=核心参数输入!$B$9*4,BV47-IF(AND(70&gt;0,MOD(70,4)=0),INDEX(年度所得税!$D$90:$AH$90,1,70/4+1),0),0)</f>
        <v>85.386338056060836</v>
      </c>
      <c r="BW66" s="9">
        <f>IF(71&lt;=核心参数输入!$B$9*4,BW47-IF(AND(71&gt;0,MOD(71,4)=0),INDEX(年度所得税!$D$90:$AH$90,1,71/4+1),0),0)</f>
        <v>85.386338056060836</v>
      </c>
      <c r="BX66" s="9">
        <f>IF(72&lt;=核心参数输入!$B$9*4,BX47-IF(AND(72&gt;0,MOD(72,4)=0),INDEX(年度所得税!$D$90:$AH$90,1,72/4+1),0),0)</f>
        <v>0</v>
      </c>
      <c r="BY66" s="9">
        <f>IF(73&lt;=核心参数输入!$B$9*4,BY47-IF(AND(73&gt;0,MOD(73,4)=0),INDEX(年度所得税!$D$90:$AH$90,1,73/4+1),0),0)</f>
        <v>90.046237965752965</v>
      </c>
      <c r="BZ66" s="9">
        <f>IF(74&lt;=核心参数输入!$B$9*4,BZ47-IF(AND(74&gt;0,MOD(74,4)=0),INDEX(年度所得税!$D$90:$AH$90,1,74/4+1),0),0)</f>
        <v>90.046237965752965</v>
      </c>
      <c r="CA66" s="9">
        <f>IF(75&lt;=核心参数输入!$B$9*4,CA47-IF(AND(75&gt;0,MOD(75,4)=0),INDEX(年度所得税!$D$90:$AH$90,1,75/4+1),0),0)</f>
        <v>90.046237965752965</v>
      </c>
      <c r="CB66" s="9">
        <f>IF(76&lt;=核心参数输入!$B$9*4,CB47-IF(AND(76&gt;0,MOD(76,4)=0),INDEX(年度所得税!$D$90:$AH$90,1,76/4+1),0),0)</f>
        <v>0</v>
      </c>
      <c r="CC66" s="9">
        <f>IF(77&lt;=核心参数输入!$B$9*4,CC47-IF(AND(77&gt;0,MOD(77,4)=0),INDEX(年度所得税!$D$90:$AH$90,1,77/4+1),0),0)</f>
        <v>94.766140283367591</v>
      </c>
      <c r="CD66" s="9">
        <f>IF(78&lt;=核心参数输入!$B$9*4,CD47-IF(AND(78&gt;0,MOD(78,4)=0),INDEX(年度所得税!$D$90:$AH$90,1,78/4+1),0),0)</f>
        <v>94.766140283367591</v>
      </c>
      <c r="CE66" s="9">
        <f>IF(79&lt;=核心参数输入!$B$9*4,CE47-IF(AND(79&gt;0,MOD(79,4)=0),INDEX(年度所得税!$D$90:$AH$90,1,79/4+1),0),0)</f>
        <v>94.766140283367591</v>
      </c>
      <c r="CF66" s="9">
        <f>IF(80&lt;=核心参数输入!$B$9*4,CF47-IF(AND(80&gt;0,MOD(80,4)=0),INDEX(年度所得税!$D$90:$AH$90,1,80/4+1),0),0)</f>
        <v>0</v>
      </c>
      <c r="CG66" s="9">
        <f>IF(81&lt;=核心参数输入!$B$9*4,CG47-IF(AND(81&gt;0,MOD(81,4)=0),INDEX(年度所得税!$D$90:$AH$90,1,81/4+1),0),0)</f>
        <v>0</v>
      </c>
      <c r="CH66" s="9">
        <f>IF(82&lt;=核心参数输入!$B$9*4,CH47-IF(AND(82&gt;0,MOD(82,4)=0),INDEX(年度所得税!$D$90:$AH$90,1,82/4+1),0),0)</f>
        <v>0</v>
      </c>
      <c r="CI66" s="9">
        <f>IF(83&lt;=核心参数输入!$B$9*4,CI47-IF(AND(83&gt;0,MOD(83,4)=0),INDEX(年度所得税!$D$90:$AH$90,1,83/4+1),0),0)</f>
        <v>0</v>
      </c>
      <c r="CJ66" s="9">
        <f>IF(84&lt;=核心参数输入!$B$9*4,CJ47-IF(AND(84&gt;0,MOD(84,4)=0),INDEX(年度所得税!$D$90:$AH$90,1,84/4+1),0),0)</f>
        <v>0</v>
      </c>
      <c r="CK66" s="9">
        <f>IF(85&lt;=核心参数输入!$B$9*4,CK47-IF(AND(85&gt;0,MOD(85,4)=0),INDEX(年度所得税!$D$90:$AH$90,1,85/4+1),0),0)</f>
        <v>0</v>
      </c>
      <c r="CL66" s="9">
        <f>IF(86&lt;=核心参数输入!$B$9*4,CL47-IF(AND(86&gt;0,MOD(86,4)=0),INDEX(年度所得税!$D$90:$AH$90,1,86/4+1),0),0)</f>
        <v>0</v>
      </c>
      <c r="CM66" s="9">
        <f>IF(87&lt;=核心参数输入!$B$9*4,CM47-IF(AND(87&gt;0,MOD(87,4)=0),INDEX(年度所得税!$D$90:$AH$90,1,87/4+1),0),0)</f>
        <v>0</v>
      </c>
      <c r="CN66" s="9">
        <f>IF(88&lt;=核心参数输入!$B$9*4,CN47-IF(AND(88&gt;0,MOD(88,4)=0),INDEX(年度所得税!$D$90:$AH$90,1,88/4+1),0),0)</f>
        <v>0</v>
      </c>
      <c r="CO66" s="9">
        <f>IF(89&lt;=核心参数输入!$B$9*4,CO47-IF(AND(89&gt;0,MOD(89,4)=0),INDEX(年度所得税!$D$90:$AH$90,1,89/4+1),0),0)</f>
        <v>0</v>
      </c>
      <c r="CP66" s="9">
        <f>IF(90&lt;=核心参数输入!$B$9*4,CP47-IF(AND(90&gt;0,MOD(90,4)=0),INDEX(年度所得税!$D$90:$AH$90,1,90/4+1),0),0)</f>
        <v>0</v>
      </c>
      <c r="CQ66" s="9">
        <f>IF(91&lt;=核心参数输入!$B$9*4,CQ47-IF(AND(91&gt;0,MOD(91,4)=0),INDEX(年度所得税!$D$90:$AH$90,1,91/4+1),0),0)</f>
        <v>0</v>
      </c>
      <c r="CR66" s="9">
        <f>IF(92&lt;=核心参数输入!$B$9*4,CR47-IF(AND(92&gt;0,MOD(92,4)=0),INDEX(年度所得税!$D$90:$AH$90,1,92/4+1),0),0)</f>
        <v>0</v>
      </c>
      <c r="CS66" s="9">
        <f>IF(93&lt;=核心参数输入!$B$9*4,CS47-IF(AND(93&gt;0,MOD(93,4)=0),INDEX(年度所得税!$D$90:$AH$90,1,93/4+1),0),0)</f>
        <v>0</v>
      </c>
      <c r="CT66" s="9">
        <f>IF(94&lt;=核心参数输入!$B$9*4,CT47-IF(AND(94&gt;0,MOD(94,4)=0),INDEX(年度所得税!$D$90:$AH$90,1,94/4+1),0),0)</f>
        <v>0</v>
      </c>
      <c r="CU66" s="9">
        <f>IF(95&lt;=核心参数输入!$B$9*4,CU47-IF(AND(95&gt;0,MOD(95,4)=0),INDEX(年度所得税!$D$90:$AH$90,1,95/4+1),0),0)</f>
        <v>0</v>
      </c>
      <c r="CV66" s="9">
        <f>IF(96&lt;=核心参数输入!$B$9*4,CV47-IF(AND(96&gt;0,MOD(96,4)=0),INDEX(年度所得税!$D$90:$AH$90,1,96/4+1),0),0)</f>
        <v>0</v>
      </c>
      <c r="CW66" s="9">
        <f>IF(97&lt;=核心参数输入!$B$9*4,CW47-IF(AND(97&gt;0,MOD(97,4)=0),INDEX(年度所得税!$D$90:$AH$90,1,97/4+1),0),0)</f>
        <v>0</v>
      </c>
      <c r="CX66" s="9">
        <f>IF(98&lt;=核心参数输入!$B$9*4,CX47-IF(AND(98&gt;0,MOD(98,4)=0),INDEX(年度所得税!$D$90:$AH$90,1,98/4+1),0),0)</f>
        <v>0</v>
      </c>
      <c r="CY66" s="9">
        <f>IF(99&lt;=核心参数输入!$B$9*4,CY47-IF(AND(99&gt;0,MOD(99,4)=0),INDEX(年度所得税!$D$90:$AH$90,1,99/4+1),0),0)</f>
        <v>0</v>
      </c>
      <c r="CZ66" s="9">
        <f>IF(100&lt;=核心参数输入!$B$9*4,CZ47-IF(AND(100&gt;0,MOD(100,4)=0),INDEX(年度所得税!$D$90:$AH$90,1,100/4+1),0),0)</f>
        <v>0</v>
      </c>
      <c r="DA66" s="9">
        <f>IF(101&lt;=核心参数输入!$B$9*4,DA47-IF(AND(101&gt;0,MOD(101,4)=0),INDEX(年度所得税!$D$90:$AH$90,1,101/4+1),0),0)</f>
        <v>0</v>
      </c>
      <c r="DB66" s="9">
        <f>IF(102&lt;=核心参数输入!$B$9*4,DB47-IF(AND(102&gt;0,MOD(102,4)=0),INDEX(年度所得税!$D$90:$AH$90,1,102/4+1),0),0)</f>
        <v>0</v>
      </c>
      <c r="DC66" s="9">
        <f>IF(103&lt;=核心参数输入!$B$9*4,DC47-IF(AND(103&gt;0,MOD(103,4)=0),INDEX(年度所得税!$D$90:$AH$90,1,103/4+1),0),0)</f>
        <v>0</v>
      </c>
      <c r="DD66" s="9">
        <f>IF(104&lt;=核心参数输入!$B$9*4,DD47-IF(AND(104&gt;0,MOD(104,4)=0),INDEX(年度所得税!$D$90:$AH$90,1,104/4+1),0),0)</f>
        <v>0</v>
      </c>
      <c r="DE66" s="9">
        <f>IF(105&lt;=核心参数输入!$B$9*4,DE47-IF(AND(105&gt;0,MOD(105,4)=0),INDEX(年度所得税!$D$90:$AH$90,1,105/4+1),0),0)</f>
        <v>0</v>
      </c>
      <c r="DF66" s="9">
        <f>IF(106&lt;=核心参数输入!$B$9*4,DF47-IF(AND(106&gt;0,MOD(106,4)=0),INDEX(年度所得税!$D$90:$AH$90,1,106/4+1),0),0)</f>
        <v>0</v>
      </c>
      <c r="DG66" s="9">
        <f>IF(107&lt;=核心参数输入!$B$9*4,DG47-IF(AND(107&gt;0,MOD(107,4)=0),INDEX(年度所得税!$D$90:$AH$90,1,107/4+1),0),0)</f>
        <v>0</v>
      </c>
      <c r="DH66" s="9">
        <f>IF(108&lt;=核心参数输入!$B$9*4,DH47-IF(AND(108&gt;0,MOD(108,4)=0),INDEX(年度所得税!$D$90:$AH$90,1,108/4+1),0),0)</f>
        <v>0</v>
      </c>
      <c r="DI66" s="9">
        <f>IF(109&lt;=核心参数输入!$B$9*4,DI47-IF(AND(109&gt;0,MOD(109,4)=0),INDEX(年度所得税!$D$90:$AH$90,1,109/4+1),0),0)</f>
        <v>0</v>
      </c>
      <c r="DJ66" s="9">
        <f>IF(110&lt;=核心参数输入!$B$9*4,DJ47-IF(AND(110&gt;0,MOD(110,4)=0),INDEX(年度所得税!$D$90:$AH$90,1,110/4+1),0),0)</f>
        <v>0</v>
      </c>
      <c r="DK66" s="9">
        <f>IF(111&lt;=核心参数输入!$B$9*4,DK47-IF(AND(111&gt;0,MOD(111,4)=0),INDEX(年度所得税!$D$90:$AH$90,1,111/4+1),0),0)</f>
        <v>0</v>
      </c>
      <c r="DL66" s="9">
        <f>IF(112&lt;=核心参数输入!$B$9*4,DL47-IF(AND(112&gt;0,MOD(112,4)=0),INDEX(年度所得税!$D$90:$AH$90,1,112/4+1),0),0)</f>
        <v>0</v>
      </c>
      <c r="DM66" s="9">
        <f>IF(113&lt;=核心参数输入!$B$9*4,DM47-IF(AND(113&gt;0,MOD(113,4)=0),INDEX(年度所得税!$D$90:$AH$90,1,113/4+1),0),0)</f>
        <v>0</v>
      </c>
      <c r="DN66" s="9">
        <f>IF(114&lt;=核心参数输入!$B$9*4,DN47-IF(AND(114&gt;0,MOD(114,4)=0),INDEX(年度所得税!$D$90:$AH$90,1,114/4+1),0),0)</f>
        <v>0</v>
      </c>
      <c r="DO66" s="9">
        <f>IF(115&lt;=核心参数输入!$B$9*4,DO47-IF(AND(115&gt;0,MOD(115,4)=0),INDEX(年度所得税!$D$90:$AH$90,1,115/4+1),0),0)</f>
        <v>0</v>
      </c>
      <c r="DP66" s="9">
        <f>IF(116&lt;=核心参数输入!$B$9*4,DP47-IF(AND(116&gt;0,MOD(116,4)=0),INDEX(年度所得税!$D$90:$AH$90,1,116/4+1),0),0)</f>
        <v>0</v>
      </c>
      <c r="DQ66" s="9">
        <f>IF(117&lt;=核心参数输入!$B$9*4,DQ47-IF(AND(117&gt;0,MOD(117,4)=0),INDEX(年度所得税!$D$90:$AH$90,1,117/4+1),0),0)</f>
        <v>0</v>
      </c>
      <c r="DR66" s="9">
        <f>IF(118&lt;=核心参数输入!$B$9*4,DR47-IF(AND(118&gt;0,MOD(118,4)=0),INDEX(年度所得税!$D$90:$AH$90,1,118/4+1),0),0)</f>
        <v>0</v>
      </c>
      <c r="DS66" s="9">
        <f>IF(119&lt;=核心参数输入!$B$9*4,DS47-IF(AND(119&gt;0,MOD(119,4)=0),INDEX(年度所得税!$D$90:$AH$90,1,119/4+1),0),0)</f>
        <v>0</v>
      </c>
      <c r="DT66" s="9">
        <f>IF(120&lt;=核心参数输入!$B$9*4,DT47-IF(AND(120&gt;0,MOD(120,4)=0),INDEX(年度所得税!$D$90:$AH$90,1,120/4+1),0),0)</f>
        <v>0</v>
      </c>
    </row>
    <row r="67" spans="1:124" ht="21" customHeight="1">
      <c r="A67" s="8" t="s">
        <v>498</v>
      </c>
      <c r="B67" s="8" t="s">
        <v>39</v>
      </c>
      <c r="C67" s="8"/>
      <c r="D67" s="9">
        <f>IF(0&lt;=核心参数输入!$B$9*4,D47+D61-IF(AND(0&gt;0,MOD(0,4)=0),INDEX(年度所得税!$D$94:$AH$94,1,0/4+1),0),0)</f>
        <v>0</v>
      </c>
      <c r="E67" s="9">
        <f>IF(1&lt;=核心参数输入!$B$9*4,E47+E61-IF(AND(1&gt;0,MOD(1,4)=0),INDEX(年度所得税!$D$94:$AH$94,1,1/4+1),0),0)</f>
        <v>0</v>
      </c>
      <c r="F67" s="9">
        <f>IF(2&lt;=核心参数输入!$B$9*4,F47+F61-IF(AND(2&gt;0,MOD(2,4)=0),INDEX(年度所得税!$D$94:$AH$94,1,2/4+1),0),0)</f>
        <v>0</v>
      </c>
      <c r="G67" s="9">
        <f>IF(3&lt;=核心参数输入!$B$9*4,G47+G61-IF(AND(3&gt;0,MOD(3,4)=0),INDEX(年度所得税!$D$94:$AH$94,1,3/4+1),0),0)</f>
        <v>0</v>
      </c>
      <c r="H67" s="9">
        <f>IF(4&lt;=核心参数输入!$B$9*4,H47+H61-IF(AND(4&gt;0,MOD(4,4)=0),INDEX(年度所得税!$D$94:$AH$94,1,4/4+1),0),0)</f>
        <v>0</v>
      </c>
      <c r="I67" s="9">
        <f>IF(5&lt;=核心参数输入!$B$9*4,I47+I61-IF(AND(5&gt;0,MOD(5,4)=0),INDEX(年度所得税!$D$94:$AH$94,1,5/4+1),0),0)</f>
        <v>0</v>
      </c>
      <c r="J67" s="9">
        <f>IF(6&lt;=核心参数输入!$B$9*4,J47+J61-IF(AND(6&gt;0,MOD(6,4)=0),INDEX(年度所得税!$D$94:$AH$94,1,6/4+1),0),0)</f>
        <v>0</v>
      </c>
      <c r="K67" s="9">
        <f>IF(7&lt;=核心参数输入!$B$9*4,K47+K61-IF(AND(7&gt;0,MOD(7,4)=0),INDEX(年度所得税!$D$94:$AH$94,1,7/4+1),0),0)</f>
        <v>0</v>
      </c>
      <c r="L67" s="9">
        <f>IF(8&lt;=核心参数输入!$B$9*4,L47+L61-IF(AND(8&gt;0,MOD(8,4)=0),INDEX(年度所得税!$D$94:$AH$94,1,8/4+1),0),0)</f>
        <v>0</v>
      </c>
      <c r="M67" s="9">
        <f>IF(9&lt;=核心参数输入!$B$9*4,M47+M61-IF(AND(9&gt;0,MOD(9,4)=0),INDEX(年度所得税!$D$94:$AH$94,1,9/4+1),0),0)</f>
        <v>0</v>
      </c>
      <c r="N67" s="9">
        <f>IF(10&lt;=核心参数输入!$B$9*4,N47+N61-IF(AND(10&gt;0,MOD(10,4)=0),INDEX(年度所得税!$D$94:$AH$94,1,10/4+1),0),0)</f>
        <v>0</v>
      </c>
      <c r="O67" s="9">
        <f>IF(11&lt;=核心参数输入!$B$9*4,O47+O61-IF(AND(11&gt;0,MOD(11,4)=0),INDEX(年度所得税!$D$94:$AH$94,1,11/4+1),0),0)</f>
        <v>0</v>
      </c>
      <c r="P67" s="9">
        <f>IF(12&lt;=核心参数输入!$B$9*4,P47+P61-IF(AND(12&gt;0,MOD(12,4)=0),INDEX(年度所得税!$D$94:$AH$94,1,12/4+1),0),0)</f>
        <v>0</v>
      </c>
      <c r="Q67" s="9">
        <f>IF(13&lt;=核心参数输入!$B$9*4,Q47+Q61-IF(AND(13&gt;0,MOD(13,4)=0),INDEX(年度所得税!$D$94:$AH$94,1,13/4+1),0),0)</f>
        <v>0.44718750000038199</v>
      </c>
      <c r="R67" s="9">
        <f>IF(14&lt;=核心参数输入!$B$9*4,R47+R61-IF(AND(14&gt;0,MOD(14,4)=0),INDEX(年度所得税!$D$94:$AH$94,1,14/4+1),0),0)</f>
        <v>25.40072081250031</v>
      </c>
      <c r="S67" s="9">
        <f>IF(15&lt;=核心参数输入!$B$9*4,S47+S61-IF(AND(15&gt;0,MOD(15,4)=0),INDEX(年度所得税!$D$94:$AH$94,1,15/4+1),0),0)</f>
        <v>75.307787437500622</v>
      </c>
      <c r="T67" s="9">
        <f>IF(16&lt;=核心参数输入!$B$9*4,T47+T61-IF(AND(16&gt;0,MOD(16,4)=0),INDEX(年度所得税!$D$94:$AH$94,1,16/4+1),0),0)</f>
        <v>85.497216609374604</v>
      </c>
      <c r="U67" s="9">
        <f>IF(17&lt;=核心参数输入!$B$9*4,U47+U61-IF(AND(17&gt;0,MOD(17,4)=0),INDEX(年度所得税!$D$94:$AH$94,1,17/4+1),0),0)</f>
        <v>437.47797918531307</v>
      </c>
      <c r="V67" s="9">
        <f>IF(18&lt;=核心参数输入!$B$9*4,V47+V61-IF(AND(18&gt;0,MOD(18,4)=0),INDEX(年度所得税!$D$94:$AH$94,1,18/4+1),0),0)</f>
        <v>472.93695002237484</v>
      </c>
      <c r="W67" s="9">
        <f>IF(19&lt;=核心参数输入!$B$9*4,W47+W61-IF(AND(19&gt;0,MOD(19,4)=0),INDEX(年度所得税!$D$94:$AH$94,1,19/4+1),0),0)</f>
        <v>493.19921907212415</v>
      </c>
      <c r="X67" s="9">
        <f>IF(20&lt;=核心参数输入!$B$9*4,X47+X61-IF(AND(20&gt;0,MOD(20,4)=0),INDEX(年度所得税!$D$94:$AH$94,1,20/4+1),0),0)</f>
        <v>51.067579021453355</v>
      </c>
      <c r="Y67" s="9">
        <f>IF(21&lt;=核心参数输入!$B$9*4,Y47+Y61-IF(AND(21&gt;0,MOD(21,4)=0),INDEX(年度所得税!$D$94:$AH$94,1,21/4+1),0),0)</f>
        <v>365.06092915419958</v>
      </c>
      <c r="Z67" s="9">
        <f>IF(22&lt;=核心参数输入!$B$9*4,Z47+Z61-IF(AND(22&gt;0,MOD(22,4)=0),INDEX(年度所得税!$D$94:$AH$94,1,22/4+1),0),0)</f>
        <v>383.05635685400841</v>
      </c>
      <c r="AA67" s="9">
        <f>IF(23&lt;=核心参数输入!$B$9*4,AA47+AA61-IF(AND(23&gt;0,MOD(23,4)=0),INDEX(年度所得税!$D$94:$AH$94,1,23/4+1),0),0)</f>
        <v>398.4810091681311</v>
      </c>
      <c r="AB67" s="9">
        <f>IF(24&lt;=核心参数输入!$B$9*4,AB47+AB61-IF(AND(24&gt;0,MOD(24,4)=0),INDEX(年度所得税!$D$94:$AH$94,1,24/4+1),0),0)</f>
        <v>40.654672317604877</v>
      </c>
      <c r="AC67" s="9">
        <f>IF(25&lt;=核心参数输入!$B$9*4,AC47+AC61-IF(AND(25&gt;0,MOD(25,4)=0),INDEX(年度所得税!$D$94:$AH$94,1,25/4+1),0),0)</f>
        <v>-170.80940180917923</v>
      </c>
      <c r="AD67" s="9">
        <f>IF(26&lt;=核心参数输入!$B$9*4,AD47+AD61-IF(AND(26&gt;0,MOD(26,4)=0),INDEX(年度所得税!$D$94:$AH$94,1,26/4+1),0),0)</f>
        <v>-160.37205374328997</v>
      </c>
      <c r="AE67" s="9">
        <f>IF(27&lt;=核心参数输入!$B$9*4,AE47+AE61-IF(AND(27&gt;0,MOD(27,4)=0),INDEX(年度所得税!$D$94:$AH$94,1,27/4+1),0),0)</f>
        <v>-155.15337971034529</v>
      </c>
      <c r="AF67" s="9">
        <f>IF(28&lt;=核心参数输入!$B$9*4,AF47+AF61-IF(AND(28&gt;0,MOD(28,4)=0),INDEX(年度所得税!$D$94:$AH$94,1,28/4+1),0),0)</f>
        <v>-127.43470567740067</v>
      </c>
      <c r="AG67" s="9">
        <f>IF(29&lt;=核心参数输入!$B$9*4,AG47+AG61-IF(AND(29&gt;0,MOD(29,4)=0),INDEX(年度所得税!$D$94:$AH$94,1,29/4+1),0),0)</f>
        <v>-95.710815744122897</v>
      </c>
      <c r="AH67" s="9">
        <f>IF(30&lt;=核心参数输入!$B$9*4,AH47+AH61-IF(AND(30&gt;0,MOD(30,4)=0),INDEX(年度所得税!$D$94:$AH$94,1,30/4+1),0),0)</f>
        <v>-93.062338672403456</v>
      </c>
      <c r="AI67" s="9">
        <f>IF(31&lt;=核心参数输入!$B$9*4,AI47+AI61-IF(AND(31&gt;0,MOD(31,4)=0),INDEX(年度所得税!$D$94:$AH$94,1,31/4+1),0),0)</f>
        <v>-93.062338672403456</v>
      </c>
      <c r="AJ67" s="9">
        <f>IF(32&lt;=核心参数输入!$B$9*4,AJ47+AJ61-IF(AND(32&gt;0,MOD(32,4)=0),INDEX(年度所得税!$D$94:$AH$94,1,32/4+1),0),0)</f>
        <v>-70.562338672403428</v>
      </c>
      <c r="AK67" s="9">
        <f>IF(33&lt;=核心参数输入!$B$9*4,AK47+AK61-IF(AND(33&gt;0,MOD(33,4)=0),INDEX(年度所得税!$D$94:$AH$94,1,33/4+1),0),0)</f>
        <v>-43.965276437489564</v>
      </c>
      <c r="AL67" s="9">
        <f>IF(34&lt;=核心参数输入!$B$9*4,AL47+AL61-IF(AND(34&gt;0,MOD(34,4)=0),INDEX(年度所得税!$D$94:$AH$94,1,34/4+1),0),0)</f>
        <v>-43.965276437489564</v>
      </c>
      <c r="AM67" s="9">
        <f>IF(35&lt;=核心参数输入!$B$9*4,AM47+AM61-IF(AND(35&gt;0,MOD(35,4)=0),INDEX(年度所得税!$D$94:$AH$94,1,35/4+1),0),0)</f>
        <v>-43.965276437489564</v>
      </c>
      <c r="AN67" s="9">
        <f>IF(36&lt;=核心参数输入!$B$9*4,AN47+AN61-IF(AND(36&gt;0,MOD(36,4)=0),INDEX(年度所得税!$D$94:$AH$94,1,36/4+1),0),0)</f>
        <v>-21.465276437489564</v>
      </c>
      <c r="AO67" s="9">
        <f>IF(37&lt;=核心参数输入!$B$9*4,AO47+AO61-IF(AND(37&gt;0,MOD(37,4)=0),INDEX(年度所得税!$D$94:$AH$94,1,37/4+1),0),0)</f>
        <v>5.1851234897480367</v>
      </c>
      <c r="AP67" s="9">
        <f>IF(38&lt;=核心参数输入!$B$9*4,AP47+AP61-IF(AND(38&gt;0,MOD(38,4)=0),INDEX(年度所得税!$D$94:$AH$94,1,38/4+1),0),0)</f>
        <v>5.1851234897480367</v>
      </c>
      <c r="AQ67" s="9">
        <f>IF(39&lt;=核心参数输入!$B$9*4,AQ47+AQ61-IF(AND(39&gt;0,MOD(39,4)=0),INDEX(年度所得税!$D$94:$AH$94,1,39/4+1),0),0)</f>
        <v>5.1851234897480367</v>
      </c>
      <c r="AR67" s="9">
        <f>IF(40&lt;=核心参数输入!$B$9*4,AR47+AR61-IF(AND(40&gt;0,MOD(40,4)=0),INDEX(年度所得税!$D$94:$AH$94,1,40/4+1),0),0)</f>
        <v>27.685123489748026</v>
      </c>
      <c r="AS67" s="9">
        <f>IF(41&lt;=核心参数输入!$B$9*4,AS47+AS61-IF(AND(41&gt;0,MOD(41,4)=0),INDEX(年度所得税!$D$94:$AH$94,1,41/4+1),0),0)</f>
        <v>54.389498809870219</v>
      </c>
      <c r="AT67" s="9">
        <f>IF(42&lt;=核心参数输入!$B$9*4,AT47+AT61-IF(AND(42&gt;0,MOD(42,4)=0),INDEX(年度所得税!$D$94:$AH$94,1,42/4+1),0),0)</f>
        <v>54.389498809870219</v>
      </c>
      <c r="AU67" s="9">
        <f>IF(43&lt;=核心参数输入!$B$9*4,AU47+AU61-IF(AND(43&gt;0,MOD(43,4)=0),INDEX(年度所得税!$D$94:$AH$94,1,43/4+1),0),0)</f>
        <v>54.389498809870219</v>
      </c>
      <c r="AV67" s="9">
        <f>IF(44&lt;=核心参数输入!$B$9*4,AV47+AV61-IF(AND(44&gt;0,MOD(44,4)=0),INDEX(年度所得税!$D$94:$AH$94,1,44/4+1),0),0)</f>
        <v>54.389498809870219</v>
      </c>
      <c r="AW67" s="9">
        <f>IF(45&lt;=核心参数输入!$B$9*4,AW47+AW61-IF(AND(45&gt;0,MOD(45,4)=0),INDEX(年度所得税!$D$94:$AH$94,1,45/4+1),0),0)</f>
        <v>58.648493541649728</v>
      </c>
      <c r="AX67" s="9">
        <f>IF(46&lt;=核心参数输入!$B$9*4,AX47+AX61-IF(AND(46&gt;0,MOD(46,4)=0),INDEX(年度所得税!$D$94:$AH$94,1,46/4+1),0),0)</f>
        <v>58.648493541649728</v>
      </c>
      <c r="AY67" s="9">
        <f>IF(47&lt;=核心参数输入!$B$9*4,AY47+AY61-IF(AND(47&gt;0,MOD(47,4)=0),INDEX(年度所得税!$D$94:$AH$94,1,47/4+1),0),0)</f>
        <v>58.648493541649728</v>
      </c>
      <c r="AZ67" s="9">
        <f>IF(48&lt;=核心参数输入!$B$9*4,AZ47+AZ61-IF(AND(48&gt;0,MOD(48,4)=0),INDEX(年度所得税!$D$94:$AH$94,1,48/4+1),0),0)</f>
        <v>58.648493541649728</v>
      </c>
      <c r="BA67" s="9">
        <f>IF(49&lt;=核心参数输入!$B$9*4,BA47+BA61-IF(AND(49&gt;0,MOD(49,4)=0),INDEX(年度所得税!$D$94:$AH$94,1,49/4+1),0),0)</f>
        <v>62.962758051898639</v>
      </c>
      <c r="BB67" s="9">
        <f>IF(50&lt;=核心参数输入!$B$9*4,BB47+BB61-IF(AND(50&gt;0,MOD(50,4)=0),INDEX(年度所得税!$D$94:$AH$94,1,50/4+1),0),0)</f>
        <v>62.962758051898639</v>
      </c>
      <c r="BC67" s="9">
        <f>IF(51&lt;=核心参数输入!$B$9*4,BC47+BC61-IF(AND(51&gt;0,MOD(51,4)=0),INDEX(年度所得税!$D$94:$AH$94,1,51/4+1),0),0)</f>
        <v>62.962758051898639</v>
      </c>
      <c r="BD67" s="9">
        <f>IF(52&lt;=核心参数输入!$B$9*4,BD47+BD61-IF(AND(52&gt;0,MOD(52,4)=0),INDEX(年度所得税!$D$94:$AH$94,1,52/4+1),0),0)</f>
        <v>62.962758051898639</v>
      </c>
      <c r="BE67" s="9">
        <f>IF(53&lt;=核心参数输入!$B$9*4,BE47+BE61-IF(AND(53&gt;0,MOD(53,4)=0),INDEX(年度所得税!$D$94:$AH$94,1,53/4+1),0),0)</f>
        <v>67.332949084443598</v>
      </c>
      <c r="BF67" s="9">
        <f>IF(54&lt;=核心参数输入!$B$9*4,BF47+BF61-IF(AND(54&gt;0,MOD(54,4)=0),INDEX(年度所得税!$D$94:$AH$94,1,54/4+1),0),0)</f>
        <v>67.332949084443598</v>
      </c>
      <c r="BG67" s="9">
        <f>IF(55&lt;=核心参数输入!$B$9*4,BG47+BG61-IF(AND(55&gt;0,MOD(55,4)=0),INDEX(年度所得税!$D$94:$AH$94,1,55/4+1),0),0)</f>
        <v>67.332949084443598</v>
      </c>
      <c r="BH67" s="9">
        <f>IF(56&lt;=核心参数输入!$B$9*4,BH47+BH61-IF(AND(56&gt;0,MOD(56,4)=0),INDEX(年度所得税!$D$94:$AH$94,1,56/4+1),0),0)</f>
        <v>38.340276437489564</v>
      </c>
      <c r="BI67" s="9">
        <f>IF(57&lt;=核心参数输入!$B$9*4,BI47+BI61-IF(AND(57&gt;0,MOD(57,4)=0),INDEX(年度所得税!$D$94:$AH$94,1,57/4+1),0),0)</f>
        <v>71.75972978821224</v>
      </c>
      <c r="BJ67" s="9">
        <f>IF(58&lt;=核心参数输入!$B$9*4,BJ47+BJ61-IF(AND(58&gt;0,MOD(58,4)=0),INDEX(年度所得税!$D$94:$AH$94,1,58/4+1),0),0)</f>
        <v>71.75972978821224</v>
      </c>
      <c r="BK67" s="9">
        <f>IF(59&lt;=核心参数输入!$B$9*4,BK47+BK61-IF(AND(59&gt;0,MOD(59,4)=0),INDEX(年度所得税!$D$94:$AH$94,1,59/4+1),0),0)</f>
        <v>71.75972978821224</v>
      </c>
      <c r="BL67" s="9">
        <f>IF(60&lt;=核心参数输入!$B$9*4,BL47+BL61-IF(AND(60&gt;0,MOD(60,4)=0),INDEX(年度所得税!$D$94:$AH$94,1,60/4+1),0),0)</f>
        <v>0</v>
      </c>
      <c r="BM67" s="9">
        <f>IF(61&lt;=核心参数输入!$B$9*4,BM47+BM61-IF(AND(61&gt;0,MOD(61,4)=0),INDEX(年度所得税!$D$94:$AH$94,1,61/4+1),0),0)</f>
        <v>76.243769744387308</v>
      </c>
      <c r="BN67" s="9">
        <f>IF(62&lt;=核心参数输入!$B$9*4,BN47+BN61-IF(AND(62&gt;0,MOD(62,4)=0),INDEX(年度所得税!$D$94:$AH$94,1,62/4+1),0),0)</f>
        <v>76.243769744387308</v>
      </c>
      <c r="BO67" s="9">
        <f>IF(63&lt;=核心参数输入!$B$9*4,BO47+BO61-IF(AND(63&gt;0,MOD(63,4)=0),INDEX(年度所得税!$D$94:$AH$94,1,63/4+1),0),0)</f>
        <v>76.243769744387308</v>
      </c>
      <c r="BP67" s="9">
        <f>IF(64&lt;=核心参数输入!$B$9*4,BP47+BP61-IF(AND(64&gt;0,MOD(64,4)=0),INDEX(年度所得税!$D$94:$AH$94,1,64/4+1),0),0)</f>
        <v>0</v>
      </c>
      <c r="BQ67" s="9">
        <f>IF(65&lt;=核心参数输入!$B$9*4,BQ47+BQ61-IF(AND(65&gt;0,MOD(65,4)=0),INDEX(年度所得税!$D$94:$AH$94,1,65/4+1),0),0)</f>
        <v>80.785744992592157</v>
      </c>
      <c r="BR67" s="9">
        <f>IF(66&lt;=核心参数输入!$B$9*4,BR47+BR61-IF(AND(66&gt;0,MOD(66,4)=0),INDEX(年度所得税!$D$94:$AH$94,1,66/4+1),0),0)</f>
        <v>80.785744992592157</v>
      </c>
      <c r="BS67" s="9">
        <f>IF(67&lt;=核心参数输入!$B$9*4,BS47+BS61-IF(AND(67&gt;0,MOD(67,4)=0),INDEX(年度所得税!$D$94:$AH$94,1,67/4+1),0),0)</f>
        <v>80.785744992592157</v>
      </c>
      <c r="BT67" s="9">
        <f>IF(68&lt;=核心参数输入!$B$9*4,BT47+BT61-IF(AND(68&gt;0,MOD(68,4)=0),INDEX(年度所得税!$D$94:$AH$94,1,68/4+1),0),0)</f>
        <v>0</v>
      </c>
      <c r="BU67" s="9">
        <f>IF(69&lt;=核心参数输入!$B$9*4,BU47+BU61-IF(AND(69&gt;0,MOD(69,4)=0),INDEX(年度所得税!$D$94:$AH$94,1,69/4+1),0),0)</f>
        <v>85.386338056060836</v>
      </c>
      <c r="BV67" s="9">
        <f>IF(70&lt;=核心参数输入!$B$9*4,BV47+BV61-IF(AND(70&gt;0,MOD(70,4)=0),INDEX(年度所得税!$D$94:$AH$94,1,70/4+1),0),0)</f>
        <v>85.386338056060836</v>
      </c>
      <c r="BW67" s="9">
        <f>IF(71&lt;=核心参数输入!$B$9*4,BW47+BW61-IF(AND(71&gt;0,MOD(71,4)=0),INDEX(年度所得税!$D$94:$AH$94,1,71/4+1),0),0)</f>
        <v>85.386338056060836</v>
      </c>
      <c r="BX67" s="9">
        <f>IF(72&lt;=核心参数输入!$B$9*4,BX47+BX61-IF(AND(72&gt;0,MOD(72,4)=0),INDEX(年度所得税!$D$94:$AH$94,1,72/4+1),0),0)</f>
        <v>0</v>
      </c>
      <c r="BY67" s="9">
        <f>IF(73&lt;=核心参数输入!$B$9*4,BY47+BY61-IF(AND(73&gt;0,MOD(73,4)=0),INDEX(年度所得税!$D$94:$AH$94,1,73/4+1),0),0)</f>
        <v>90.046237965752965</v>
      </c>
      <c r="BZ67" s="9">
        <f>IF(74&lt;=核心参数输入!$B$9*4,BZ47+BZ61-IF(AND(74&gt;0,MOD(74,4)=0),INDEX(年度所得税!$D$94:$AH$94,1,74/4+1),0),0)</f>
        <v>90.046237965752965</v>
      </c>
      <c r="CA67" s="9">
        <f>IF(75&lt;=核心参数输入!$B$9*4,CA47+CA61-IF(AND(75&gt;0,MOD(75,4)=0),INDEX(年度所得税!$D$94:$AH$94,1,75/4+1),0),0)</f>
        <v>90.046237965752965</v>
      </c>
      <c r="CB67" s="9">
        <f>IF(76&lt;=核心参数输入!$B$9*4,CB47+CB61-IF(AND(76&gt;0,MOD(76,4)=0),INDEX(年度所得税!$D$94:$AH$94,1,76/4+1),0),0)</f>
        <v>0</v>
      </c>
      <c r="CC67" s="9">
        <f>IF(77&lt;=核心参数输入!$B$9*4,CC47+CC61-IF(AND(77&gt;0,MOD(77,4)=0),INDEX(年度所得税!$D$94:$AH$94,1,77/4+1),0),0)</f>
        <v>94.766140283367591</v>
      </c>
      <c r="CD67" s="9">
        <f>IF(78&lt;=核心参数输入!$B$9*4,CD47+CD61-IF(AND(78&gt;0,MOD(78,4)=0),INDEX(年度所得税!$D$94:$AH$94,1,78/4+1),0),0)</f>
        <v>94.766140283367591</v>
      </c>
      <c r="CE67" s="9">
        <f>IF(79&lt;=核心参数输入!$B$9*4,CE47+CE61-IF(AND(79&gt;0,MOD(79,4)=0),INDEX(年度所得税!$D$94:$AH$94,1,79/4+1),0),0)</f>
        <v>94.766140283367591</v>
      </c>
      <c r="CF67" s="9">
        <f>IF(80&lt;=核心参数输入!$B$9*4,CF47+CF61-IF(AND(80&gt;0,MOD(80,4)=0),INDEX(年度所得税!$D$94:$AH$94,1,80/4+1),0),0)</f>
        <v>11502.916875000019</v>
      </c>
      <c r="CG67" s="9">
        <f>IF(81&lt;=核心参数输入!$B$9*4,CG47+CG61-IF(AND(81&gt;0,MOD(81,4)=0),INDEX(年度所得税!$D$94:$AH$94,1,81/4+1),0),0)</f>
        <v>0</v>
      </c>
      <c r="CH67" s="9">
        <f>IF(82&lt;=核心参数输入!$B$9*4,CH47+CH61-IF(AND(82&gt;0,MOD(82,4)=0),INDEX(年度所得税!$D$94:$AH$94,1,82/4+1),0),0)</f>
        <v>0</v>
      </c>
      <c r="CI67" s="9">
        <f>IF(83&lt;=核心参数输入!$B$9*4,CI47+CI61-IF(AND(83&gt;0,MOD(83,4)=0),INDEX(年度所得税!$D$94:$AH$94,1,83/4+1),0),0)</f>
        <v>0</v>
      </c>
      <c r="CJ67" s="9">
        <f>IF(84&lt;=核心参数输入!$B$9*4,CJ47+CJ61-IF(AND(84&gt;0,MOD(84,4)=0),INDEX(年度所得税!$D$94:$AH$94,1,84/4+1),0),0)</f>
        <v>0</v>
      </c>
      <c r="CK67" s="9">
        <f>IF(85&lt;=核心参数输入!$B$9*4,CK47+CK61-IF(AND(85&gt;0,MOD(85,4)=0),INDEX(年度所得税!$D$94:$AH$94,1,85/4+1),0),0)</f>
        <v>0</v>
      </c>
      <c r="CL67" s="9">
        <f>IF(86&lt;=核心参数输入!$B$9*4,CL47+CL61-IF(AND(86&gt;0,MOD(86,4)=0),INDEX(年度所得税!$D$94:$AH$94,1,86/4+1),0),0)</f>
        <v>0</v>
      </c>
      <c r="CM67" s="9">
        <f>IF(87&lt;=核心参数输入!$B$9*4,CM47+CM61-IF(AND(87&gt;0,MOD(87,4)=0),INDEX(年度所得税!$D$94:$AH$94,1,87/4+1),0),0)</f>
        <v>0</v>
      </c>
      <c r="CN67" s="9">
        <f>IF(88&lt;=核心参数输入!$B$9*4,CN47+CN61-IF(AND(88&gt;0,MOD(88,4)=0),INDEX(年度所得税!$D$94:$AH$94,1,88/4+1),0),0)</f>
        <v>0</v>
      </c>
      <c r="CO67" s="9">
        <f>IF(89&lt;=核心参数输入!$B$9*4,CO47+CO61-IF(AND(89&gt;0,MOD(89,4)=0),INDEX(年度所得税!$D$94:$AH$94,1,89/4+1),0),0)</f>
        <v>0</v>
      </c>
      <c r="CP67" s="9">
        <f>IF(90&lt;=核心参数输入!$B$9*4,CP47+CP61-IF(AND(90&gt;0,MOD(90,4)=0),INDEX(年度所得税!$D$94:$AH$94,1,90/4+1),0),0)</f>
        <v>0</v>
      </c>
      <c r="CQ67" s="9">
        <f>IF(91&lt;=核心参数输入!$B$9*4,CQ47+CQ61-IF(AND(91&gt;0,MOD(91,4)=0),INDEX(年度所得税!$D$94:$AH$94,1,91/4+1),0),0)</f>
        <v>0</v>
      </c>
      <c r="CR67" s="9">
        <f>IF(92&lt;=核心参数输入!$B$9*4,CR47+CR61-IF(AND(92&gt;0,MOD(92,4)=0),INDEX(年度所得税!$D$94:$AH$94,1,92/4+1),0),0)</f>
        <v>0</v>
      </c>
      <c r="CS67" s="9">
        <f>IF(93&lt;=核心参数输入!$B$9*4,CS47+CS61-IF(AND(93&gt;0,MOD(93,4)=0),INDEX(年度所得税!$D$94:$AH$94,1,93/4+1),0),0)</f>
        <v>0</v>
      </c>
      <c r="CT67" s="9">
        <f>IF(94&lt;=核心参数输入!$B$9*4,CT47+CT61-IF(AND(94&gt;0,MOD(94,4)=0),INDEX(年度所得税!$D$94:$AH$94,1,94/4+1),0),0)</f>
        <v>0</v>
      </c>
      <c r="CU67" s="9">
        <f>IF(95&lt;=核心参数输入!$B$9*4,CU47+CU61-IF(AND(95&gt;0,MOD(95,4)=0),INDEX(年度所得税!$D$94:$AH$94,1,95/4+1),0),0)</f>
        <v>0</v>
      </c>
      <c r="CV67" s="9">
        <f>IF(96&lt;=核心参数输入!$B$9*4,CV47+CV61-IF(AND(96&gt;0,MOD(96,4)=0),INDEX(年度所得税!$D$94:$AH$94,1,96/4+1),0),0)</f>
        <v>0</v>
      </c>
      <c r="CW67" s="9">
        <f>IF(97&lt;=核心参数输入!$B$9*4,CW47+CW61-IF(AND(97&gt;0,MOD(97,4)=0),INDEX(年度所得税!$D$94:$AH$94,1,97/4+1),0),0)</f>
        <v>0</v>
      </c>
      <c r="CX67" s="9">
        <f>IF(98&lt;=核心参数输入!$B$9*4,CX47+CX61-IF(AND(98&gt;0,MOD(98,4)=0),INDEX(年度所得税!$D$94:$AH$94,1,98/4+1),0),0)</f>
        <v>0</v>
      </c>
      <c r="CY67" s="9">
        <f>IF(99&lt;=核心参数输入!$B$9*4,CY47+CY61-IF(AND(99&gt;0,MOD(99,4)=0),INDEX(年度所得税!$D$94:$AH$94,1,99/4+1),0),0)</f>
        <v>0</v>
      </c>
      <c r="CZ67" s="9">
        <f>IF(100&lt;=核心参数输入!$B$9*4,CZ47+CZ61-IF(AND(100&gt;0,MOD(100,4)=0),INDEX(年度所得税!$D$94:$AH$94,1,100/4+1),0),0)</f>
        <v>0</v>
      </c>
      <c r="DA67" s="9">
        <f>IF(101&lt;=核心参数输入!$B$9*4,DA47+DA61-IF(AND(101&gt;0,MOD(101,4)=0),INDEX(年度所得税!$D$94:$AH$94,1,101/4+1),0),0)</f>
        <v>0</v>
      </c>
      <c r="DB67" s="9">
        <f>IF(102&lt;=核心参数输入!$B$9*4,DB47+DB61-IF(AND(102&gt;0,MOD(102,4)=0),INDEX(年度所得税!$D$94:$AH$94,1,102/4+1),0),0)</f>
        <v>0</v>
      </c>
      <c r="DC67" s="9">
        <f>IF(103&lt;=核心参数输入!$B$9*4,DC47+DC61-IF(AND(103&gt;0,MOD(103,4)=0),INDEX(年度所得税!$D$94:$AH$94,1,103/4+1),0),0)</f>
        <v>0</v>
      </c>
      <c r="DD67" s="9">
        <f>IF(104&lt;=核心参数输入!$B$9*4,DD47+DD61-IF(AND(104&gt;0,MOD(104,4)=0),INDEX(年度所得税!$D$94:$AH$94,1,104/4+1),0),0)</f>
        <v>0</v>
      </c>
      <c r="DE67" s="9">
        <f>IF(105&lt;=核心参数输入!$B$9*4,DE47+DE61-IF(AND(105&gt;0,MOD(105,4)=0),INDEX(年度所得税!$D$94:$AH$94,1,105/4+1),0),0)</f>
        <v>0</v>
      </c>
      <c r="DF67" s="9">
        <f>IF(106&lt;=核心参数输入!$B$9*4,DF47+DF61-IF(AND(106&gt;0,MOD(106,4)=0),INDEX(年度所得税!$D$94:$AH$94,1,106/4+1),0),0)</f>
        <v>0</v>
      </c>
      <c r="DG67" s="9">
        <f>IF(107&lt;=核心参数输入!$B$9*4,DG47+DG61-IF(AND(107&gt;0,MOD(107,4)=0),INDEX(年度所得税!$D$94:$AH$94,1,107/4+1),0),0)</f>
        <v>0</v>
      </c>
      <c r="DH67" s="9">
        <f>IF(108&lt;=核心参数输入!$B$9*4,DH47+DH61-IF(AND(108&gt;0,MOD(108,4)=0),INDEX(年度所得税!$D$94:$AH$94,1,108/4+1),0),0)</f>
        <v>0</v>
      </c>
      <c r="DI67" s="9">
        <f>IF(109&lt;=核心参数输入!$B$9*4,DI47+DI61-IF(AND(109&gt;0,MOD(109,4)=0),INDEX(年度所得税!$D$94:$AH$94,1,109/4+1),0),0)</f>
        <v>0</v>
      </c>
      <c r="DJ67" s="9">
        <f>IF(110&lt;=核心参数输入!$B$9*4,DJ47+DJ61-IF(AND(110&gt;0,MOD(110,4)=0),INDEX(年度所得税!$D$94:$AH$94,1,110/4+1),0),0)</f>
        <v>0</v>
      </c>
      <c r="DK67" s="9">
        <f>IF(111&lt;=核心参数输入!$B$9*4,DK47+DK61-IF(AND(111&gt;0,MOD(111,4)=0),INDEX(年度所得税!$D$94:$AH$94,1,111/4+1),0),0)</f>
        <v>0</v>
      </c>
      <c r="DL67" s="9">
        <f>IF(112&lt;=核心参数输入!$B$9*4,DL47+DL61-IF(AND(112&gt;0,MOD(112,4)=0),INDEX(年度所得税!$D$94:$AH$94,1,112/4+1),0),0)</f>
        <v>0</v>
      </c>
      <c r="DM67" s="9">
        <f>IF(113&lt;=核心参数输入!$B$9*4,DM47+DM61-IF(AND(113&gt;0,MOD(113,4)=0),INDEX(年度所得税!$D$94:$AH$94,1,113/4+1),0),0)</f>
        <v>0</v>
      </c>
      <c r="DN67" s="9">
        <f>IF(114&lt;=核心参数输入!$B$9*4,DN47+DN61-IF(AND(114&gt;0,MOD(114,4)=0),INDEX(年度所得税!$D$94:$AH$94,1,114/4+1),0),0)</f>
        <v>0</v>
      </c>
      <c r="DO67" s="9">
        <f>IF(115&lt;=核心参数输入!$B$9*4,DO47+DO61-IF(AND(115&gt;0,MOD(115,4)=0),INDEX(年度所得税!$D$94:$AH$94,1,115/4+1),0),0)</f>
        <v>0</v>
      </c>
      <c r="DP67" s="9">
        <f>IF(116&lt;=核心参数输入!$B$9*4,DP47+DP61-IF(AND(116&gt;0,MOD(116,4)=0),INDEX(年度所得税!$D$94:$AH$94,1,116/4+1),0),0)</f>
        <v>0</v>
      </c>
      <c r="DQ67" s="9">
        <f>IF(117&lt;=核心参数输入!$B$9*4,DQ47+DQ61-IF(AND(117&gt;0,MOD(117,4)=0),INDEX(年度所得税!$D$94:$AH$94,1,117/4+1),0),0)</f>
        <v>0</v>
      </c>
      <c r="DR67" s="9">
        <f>IF(118&lt;=核心参数输入!$B$9*4,DR47+DR61-IF(AND(118&gt;0,MOD(118,4)=0),INDEX(年度所得税!$D$94:$AH$94,1,118/4+1),0),0)</f>
        <v>0</v>
      </c>
      <c r="DS67" s="9">
        <f>IF(119&lt;=核心参数输入!$B$9*4,DS47+DS61-IF(AND(119&gt;0,MOD(119,4)=0),INDEX(年度所得税!$D$94:$AH$94,1,119/4+1),0),0)</f>
        <v>0</v>
      </c>
      <c r="DT67" s="9">
        <f>IF(120&lt;=核心参数输入!$B$9*4,DT47+DT61-IF(AND(120&gt;0,MOD(120,4)=0),INDEX(年度所得税!$D$94:$AH$94,1,120/4+1),0),0)</f>
        <v>0</v>
      </c>
    </row>
    <row r="68" spans="1:124" ht="21" customHeight="1">
      <c r="A68" s="8" t="s">
        <v>499</v>
      </c>
      <c r="B68" s="8" t="s">
        <v>39</v>
      </c>
      <c r="C68" s="8"/>
      <c r="D68" s="9">
        <f>IF(0&lt;=核心参数输入!$B$9*4,D12+D26+D28,0)</f>
        <v>0</v>
      </c>
      <c r="E68" s="9">
        <f>IF(1&lt;=核心参数输入!$B$9*4,E12+E26+E28,0)</f>
        <v>0</v>
      </c>
      <c r="F68" s="9">
        <f>IF(2&lt;=核心参数输入!$B$9*4,F12+F26+F28,0)</f>
        <v>0</v>
      </c>
      <c r="G68" s="9">
        <f>IF(3&lt;=核心参数输入!$B$9*4,G12+G26+G28,0)</f>
        <v>0</v>
      </c>
      <c r="H68" s="9">
        <f>IF(4&lt;=核心参数输入!$B$9*4,H12+H26+H28,0)</f>
        <v>0</v>
      </c>
      <c r="I68" s="9">
        <f>IF(5&lt;=核心参数输入!$B$9*4,I12+I26+I28,0)</f>
        <v>0</v>
      </c>
      <c r="J68" s="9">
        <f>IF(6&lt;=核心参数输入!$B$9*4,J12+J26+J28,0)</f>
        <v>0</v>
      </c>
      <c r="K68" s="9">
        <f>IF(7&lt;=核心参数输入!$B$9*4,K12+K26+K28,0)</f>
        <v>0</v>
      </c>
      <c r="L68" s="9">
        <f>IF(8&lt;=核心参数输入!$B$9*4,L12+L26+L28,0)</f>
        <v>0</v>
      </c>
      <c r="M68" s="9">
        <f>IF(9&lt;=核心参数输入!$B$9*4,M12+M26+M28,0)</f>
        <v>0</v>
      </c>
      <c r="N68" s="9">
        <f>IF(10&lt;=核心参数输入!$B$9*4,N12+N26+N28,0)</f>
        <v>0</v>
      </c>
      <c r="O68" s="9">
        <f>IF(11&lt;=核心参数输入!$B$9*4,O12+O26+O28,0)</f>
        <v>0</v>
      </c>
      <c r="P68" s="9">
        <f>IF(12&lt;=核心参数输入!$B$9*4,P12+P26+P28,0)</f>
        <v>0</v>
      </c>
      <c r="Q68" s="9">
        <f>IF(13&lt;=核心参数输入!$B$9*4,Q12+Q26+Q28,0)</f>
        <v>2533.78125</v>
      </c>
      <c r="R68" s="9">
        <f>IF(14&lt;=核心参数输入!$B$9*4,R12+R26+R28,0)</f>
        <v>3650.1619781250001</v>
      </c>
      <c r="S68" s="9">
        <f>IF(15&lt;=核心参数输入!$B$9*4,S12+S26+S28,0)</f>
        <v>3711.1109343749999</v>
      </c>
      <c r="T68" s="9">
        <f>IF(16&lt;=核心参数输入!$B$9*4,T12+T26+T28,0)</f>
        <v>3772.0598906249998</v>
      </c>
      <c r="U68" s="9">
        <f>IF(17&lt;=核心参数输入!$B$9*4,U12+U26+U28,0)</f>
        <v>4680.8024170781246</v>
      </c>
      <c r="V68" s="9">
        <f>IF(18&lt;=核心参数输入!$B$9*4,V12+V26+V28,0)</f>
        <v>5086.0754004937498</v>
      </c>
      <c r="W68" s="9">
        <f>IF(19&lt;=核心参数输入!$B$9*4,W12+W26+W28,0)</f>
        <v>5110.8206767312495</v>
      </c>
      <c r="X68" s="9">
        <f>IF(20&lt;=核心参数输入!$B$9*4,X12+X26+X28,0)</f>
        <v>5135.56595296875</v>
      </c>
      <c r="Y68" s="9">
        <f>IF(21&lt;=核心参数输入!$B$9*4,Y12+Y26+Y28,0)</f>
        <v>4320.7283976443432</v>
      </c>
      <c r="Z68" s="9">
        <f>IF(22&lt;=核心参数输入!$B$9*4,Z12+Z26+Z28,0)</f>
        <v>3980.7365461027734</v>
      </c>
      <c r="AA68" s="9">
        <f>IF(23&lt;=核心参数输入!$B$9*4,AA12+AA26+AA28,0)</f>
        <v>3999.5738876385699</v>
      </c>
      <c r="AB68" s="9">
        <f>IF(24&lt;=核心参数输入!$B$9*4,AB12+AB26+AB28,0)</f>
        <v>4018.4112291743672</v>
      </c>
      <c r="AC68" s="9">
        <f>IF(25&lt;=核心参数输入!$B$9*4,AC12+AC26+AC28,0)</f>
        <v>1509.7307367708165</v>
      </c>
      <c r="AD68" s="9">
        <f>IF(26&lt;=核心参数输入!$B$9*4,AD12+AD26+AD28,0)</f>
        <v>436.57108787670552</v>
      </c>
      <c r="AE68" s="9">
        <f>IF(27&lt;=核心参数输入!$B$9*4,AE12+AE26+AE28,0)</f>
        <v>442.94438842965013</v>
      </c>
      <c r="AF68" s="9">
        <f>IF(28&lt;=核心参数输入!$B$9*4,AF12+AF26+AF28,0)</f>
        <v>449.31768898259469</v>
      </c>
      <c r="AG68" s="9">
        <f>IF(29&lt;=核心参数输入!$B$9*4,AG12+AG26+AG28,0)</f>
        <v>462.52635437857236</v>
      </c>
      <c r="AH68" s="9">
        <f>IF(30&lt;=核心参数输入!$B$9*4,AH12+AH26+AH28,0)</f>
        <v>465.76080440919173</v>
      </c>
      <c r="AI68" s="9">
        <f>IF(31&lt;=核心参数输入!$B$9*4,AI12+AI26+AI28,0)</f>
        <v>465.76080440919173</v>
      </c>
      <c r="AJ68" s="9">
        <f>IF(32&lt;=核心参数输入!$B$9*4,AJ12+AJ26+AJ28,0)</f>
        <v>465.76080440919173</v>
      </c>
      <c r="AK68" s="9">
        <f>IF(33&lt;=核心参数输入!$B$9*4,AK12+AK26+AK28,0)</f>
        <v>472.74721647532954</v>
      </c>
      <c r="AL68" s="9">
        <f>IF(34&lt;=核心参数输入!$B$9*4,AL12+AL26+AL28,0)</f>
        <v>472.74721647532954</v>
      </c>
      <c r="AM68" s="9">
        <f>IF(35&lt;=核心参数输入!$B$9*4,AM12+AM26+AM28,0)</f>
        <v>472.74721647532954</v>
      </c>
      <c r="AN68" s="9">
        <f>IF(36&lt;=核心参数输入!$B$9*4,AN12+AN26+AN28,0)</f>
        <v>472.74721647532954</v>
      </c>
      <c r="AO68" s="9">
        <f>IF(37&lt;=核心参数输入!$B$9*4,AO12+AO26+AO28,0)</f>
        <v>479.83842472245942</v>
      </c>
      <c r="AP68" s="9">
        <f>IF(38&lt;=核心参数输入!$B$9*4,AP12+AP26+AP28,0)</f>
        <v>479.83842472245942</v>
      </c>
      <c r="AQ68" s="9">
        <f>IF(39&lt;=核心参数输入!$B$9*4,AQ12+AQ26+AQ28,0)</f>
        <v>479.83842472245942</v>
      </c>
      <c r="AR68" s="9">
        <f>IF(40&lt;=核心参数输入!$B$9*4,AR12+AR26+AR28,0)</f>
        <v>479.83842472245942</v>
      </c>
      <c r="AS68" s="9">
        <f>IF(41&lt;=核心参数输入!$B$9*4,AS12+AS26+AS28,0)</f>
        <v>487.03600109329625</v>
      </c>
      <c r="AT68" s="9">
        <f>IF(42&lt;=核心参数输入!$B$9*4,AT12+AT26+AT28,0)</f>
        <v>487.03600109329625</v>
      </c>
      <c r="AU68" s="9">
        <f>IF(43&lt;=核心参数输入!$B$9*4,AU12+AU26+AU28,0)</f>
        <v>487.03600109329625</v>
      </c>
      <c r="AV68" s="9">
        <f>IF(44&lt;=核心参数输入!$B$9*4,AV12+AV26+AV28,0)</f>
        <v>487.03600109329625</v>
      </c>
      <c r="AW68" s="9">
        <f>IF(45&lt;=核心参数输入!$B$9*4,AW12+AW26+AW28,0)</f>
        <v>494.34154110969564</v>
      </c>
      <c r="AX68" s="9">
        <f>IF(46&lt;=核心参数输入!$B$9*4,AX12+AX26+AX28,0)</f>
        <v>494.34154110969564</v>
      </c>
      <c r="AY68" s="9">
        <f>IF(47&lt;=核心参数输入!$B$9*4,AY12+AY26+AY28,0)</f>
        <v>494.34154110969564</v>
      </c>
      <c r="AZ68" s="9">
        <f>IF(48&lt;=核心参数输入!$B$9*4,AZ12+AZ26+AZ28,0)</f>
        <v>494.34154110969564</v>
      </c>
      <c r="BA68" s="9">
        <f>IF(49&lt;=核心参数输入!$B$9*4,BA12+BA26+BA28,0)</f>
        <v>501.756664226341</v>
      </c>
      <c r="BB68" s="9">
        <f>IF(50&lt;=核心参数输入!$B$9*4,BB12+BB26+BB28,0)</f>
        <v>501.756664226341</v>
      </c>
      <c r="BC68" s="9">
        <f>IF(51&lt;=核心参数输入!$B$9*4,BC12+BC26+BC28,0)</f>
        <v>501.756664226341</v>
      </c>
      <c r="BD68" s="9">
        <f>IF(52&lt;=核心参数输入!$B$9*4,BD12+BD26+BD28,0)</f>
        <v>501.756664226341</v>
      </c>
      <c r="BE68" s="9">
        <f>IF(53&lt;=核心参数输入!$B$9*4,BE12+BE26+BE28,0)</f>
        <v>509.28301418973604</v>
      </c>
      <c r="BF68" s="9">
        <f>IF(54&lt;=核心参数输入!$B$9*4,BF12+BF26+BF28,0)</f>
        <v>509.28301418973604</v>
      </c>
      <c r="BG68" s="9">
        <f>IF(55&lt;=核心参数输入!$B$9*4,BG12+BG26+BG28,0)</f>
        <v>509.28301418973604</v>
      </c>
      <c r="BH68" s="9">
        <f>IF(56&lt;=核心参数输入!$B$9*4,BH12+BH26+BH28,0)</f>
        <v>509.28301418973604</v>
      </c>
      <c r="BI68" s="9">
        <f>IF(57&lt;=核心参数输入!$B$9*4,BI12+BI26+BI28,0)</f>
        <v>516.92225940258197</v>
      </c>
      <c r="BJ68" s="9">
        <f>IF(58&lt;=核心参数输入!$B$9*4,BJ12+BJ26+BJ28,0)</f>
        <v>516.92225940258197</v>
      </c>
      <c r="BK68" s="9">
        <f>IF(59&lt;=核心参数输入!$B$9*4,BK12+BK26+BK28,0)</f>
        <v>516.92225940258197</v>
      </c>
      <c r="BL68" s="9">
        <f>IF(60&lt;=核心参数输入!$B$9*4,BL12+BL26+BL28,0)</f>
        <v>516.92225940258197</v>
      </c>
      <c r="BM68" s="9">
        <f>IF(61&lt;=核心参数输入!$B$9*4,BM12+BM26+BM28,0)</f>
        <v>524.67609329362062</v>
      </c>
      <c r="BN68" s="9">
        <f>IF(62&lt;=核心参数输入!$B$9*4,BN12+BN26+BN28,0)</f>
        <v>524.67609329362062</v>
      </c>
      <c r="BO68" s="9">
        <f>IF(63&lt;=核心参数输入!$B$9*4,BO12+BO26+BO28,0)</f>
        <v>524.67609329362062</v>
      </c>
      <c r="BP68" s="9">
        <f>IF(64&lt;=核心参数输入!$B$9*4,BP12+BP26+BP28,0)</f>
        <v>524.67609329362062</v>
      </c>
      <c r="BQ68" s="9">
        <f>IF(65&lt;=核心参数输入!$B$9*4,BQ12+BQ26+BQ28,0)</f>
        <v>532.54623469302499</v>
      </c>
      <c r="BR68" s="9">
        <f>IF(66&lt;=核心参数输入!$B$9*4,BR12+BR26+BR28,0)</f>
        <v>532.54623469302499</v>
      </c>
      <c r="BS68" s="9">
        <f>IF(67&lt;=核心参数输入!$B$9*4,BS12+BS26+BS28,0)</f>
        <v>532.54623469302499</v>
      </c>
      <c r="BT68" s="9">
        <f>IF(68&lt;=核心参数输入!$B$9*4,BT12+BT26+BT28,0)</f>
        <v>532.54623469302499</v>
      </c>
      <c r="BU68" s="9">
        <f>IF(69&lt;=核心参数输入!$B$9*4,BU12+BU26+BU28,0)</f>
        <v>540.53442821342026</v>
      </c>
      <c r="BV68" s="9">
        <f>IF(70&lt;=核心参数输入!$B$9*4,BV12+BV26+BV28,0)</f>
        <v>540.53442821342026</v>
      </c>
      <c r="BW68" s="9">
        <f>IF(71&lt;=核心参数输入!$B$9*4,BW12+BW26+BW28,0)</f>
        <v>540.53442821342026</v>
      </c>
      <c r="BX68" s="9">
        <f>IF(72&lt;=核心参数输入!$B$9*4,BX12+BX26+BX28,0)</f>
        <v>540.53442821342026</v>
      </c>
      <c r="BY68" s="9">
        <f>IF(73&lt;=核心参数输入!$B$9*4,BY12+BY26+BY28,0)</f>
        <v>548.64244463662135</v>
      </c>
      <c r="BZ68" s="9">
        <f>IF(74&lt;=核心参数输入!$B$9*4,BZ12+BZ26+BZ28,0)</f>
        <v>548.64244463662135</v>
      </c>
      <c r="CA68" s="9">
        <f>IF(75&lt;=核心参数输入!$B$9*4,CA12+CA26+CA28,0)</f>
        <v>548.64244463662135</v>
      </c>
      <c r="CB68" s="9">
        <f>IF(76&lt;=核心参数输入!$B$9*4,CB12+CB26+CB28,0)</f>
        <v>548.64244463662135</v>
      </c>
      <c r="CC68" s="9">
        <f>IF(77&lt;=核心参数输入!$B$9*4,CC12+CC26+CC28,0)</f>
        <v>556.87208130617057</v>
      </c>
      <c r="CD68" s="9">
        <f>IF(78&lt;=核心参数输入!$B$9*4,CD12+CD26+CD28,0)</f>
        <v>556.87208130617057</v>
      </c>
      <c r="CE68" s="9">
        <f>IF(79&lt;=核心参数输入!$B$9*4,CE12+CE26+CE28,0)</f>
        <v>556.87208130617057</v>
      </c>
      <c r="CF68" s="9">
        <f>IF(80&lt;=核心参数输入!$B$9*4,CF12+CF26+CF28,0)</f>
        <v>556.87208130617057</v>
      </c>
      <c r="CG68" s="9">
        <f>IF(81&lt;=核心参数输入!$B$9*4,CG12+CG26+CG28,0)</f>
        <v>0</v>
      </c>
      <c r="CH68" s="9">
        <f>IF(82&lt;=核心参数输入!$B$9*4,CH12+CH26+CH28,0)</f>
        <v>0</v>
      </c>
      <c r="CI68" s="9">
        <f>IF(83&lt;=核心参数输入!$B$9*4,CI12+CI26+CI28,0)</f>
        <v>0</v>
      </c>
      <c r="CJ68" s="9">
        <f>IF(84&lt;=核心参数输入!$B$9*4,CJ12+CJ26+CJ28,0)</f>
        <v>0</v>
      </c>
      <c r="CK68" s="9">
        <f>IF(85&lt;=核心参数输入!$B$9*4,CK12+CK26+CK28,0)</f>
        <v>0</v>
      </c>
      <c r="CL68" s="9">
        <f>IF(86&lt;=核心参数输入!$B$9*4,CL12+CL26+CL28,0)</f>
        <v>0</v>
      </c>
      <c r="CM68" s="9">
        <f>IF(87&lt;=核心参数输入!$B$9*4,CM12+CM26+CM28,0)</f>
        <v>0</v>
      </c>
      <c r="CN68" s="9">
        <f>IF(88&lt;=核心参数输入!$B$9*4,CN12+CN26+CN28,0)</f>
        <v>0</v>
      </c>
      <c r="CO68" s="9">
        <f>IF(89&lt;=核心参数输入!$B$9*4,CO12+CO26+CO28,0)</f>
        <v>0</v>
      </c>
      <c r="CP68" s="9">
        <f>IF(90&lt;=核心参数输入!$B$9*4,CP12+CP26+CP28,0)</f>
        <v>0</v>
      </c>
      <c r="CQ68" s="9">
        <f>IF(91&lt;=核心参数输入!$B$9*4,CQ12+CQ26+CQ28,0)</f>
        <v>0</v>
      </c>
      <c r="CR68" s="9">
        <f>IF(92&lt;=核心参数输入!$B$9*4,CR12+CR26+CR28,0)</f>
        <v>0</v>
      </c>
      <c r="CS68" s="9">
        <f>IF(93&lt;=核心参数输入!$B$9*4,CS12+CS26+CS28,0)</f>
        <v>0</v>
      </c>
      <c r="CT68" s="9">
        <f>IF(94&lt;=核心参数输入!$B$9*4,CT12+CT26+CT28,0)</f>
        <v>0</v>
      </c>
      <c r="CU68" s="9">
        <f>IF(95&lt;=核心参数输入!$B$9*4,CU12+CU26+CU28,0)</f>
        <v>0</v>
      </c>
      <c r="CV68" s="9">
        <f>IF(96&lt;=核心参数输入!$B$9*4,CV12+CV26+CV28,0)</f>
        <v>0</v>
      </c>
      <c r="CW68" s="9">
        <f>IF(97&lt;=核心参数输入!$B$9*4,CW12+CW26+CW28,0)</f>
        <v>0</v>
      </c>
      <c r="CX68" s="9">
        <f>IF(98&lt;=核心参数输入!$B$9*4,CX12+CX26+CX28,0)</f>
        <v>0</v>
      </c>
      <c r="CY68" s="9">
        <f>IF(99&lt;=核心参数输入!$B$9*4,CY12+CY26+CY28,0)</f>
        <v>0</v>
      </c>
      <c r="CZ68" s="9">
        <f>IF(100&lt;=核心参数输入!$B$9*4,CZ12+CZ26+CZ28,0)</f>
        <v>0</v>
      </c>
      <c r="DA68" s="9">
        <f>IF(101&lt;=核心参数输入!$B$9*4,DA12+DA26+DA28,0)</f>
        <v>0</v>
      </c>
      <c r="DB68" s="9">
        <f>IF(102&lt;=核心参数输入!$B$9*4,DB12+DB26+DB28,0)</f>
        <v>0</v>
      </c>
      <c r="DC68" s="9">
        <f>IF(103&lt;=核心参数输入!$B$9*4,DC12+DC26+DC28,0)</f>
        <v>0</v>
      </c>
      <c r="DD68" s="9">
        <f>IF(104&lt;=核心参数输入!$B$9*4,DD12+DD26+DD28,0)</f>
        <v>0</v>
      </c>
      <c r="DE68" s="9">
        <f>IF(105&lt;=核心参数输入!$B$9*4,DE12+DE26+DE28,0)</f>
        <v>0</v>
      </c>
      <c r="DF68" s="9">
        <f>IF(106&lt;=核心参数输入!$B$9*4,DF12+DF26+DF28,0)</f>
        <v>0</v>
      </c>
      <c r="DG68" s="9">
        <f>IF(107&lt;=核心参数输入!$B$9*4,DG12+DG26+DG28,0)</f>
        <v>0</v>
      </c>
      <c r="DH68" s="9">
        <f>IF(108&lt;=核心参数输入!$B$9*4,DH12+DH26+DH28,0)</f>
        <v>0</v>
      </c>
      <c r="DI68" s="9">
        <f>IF(109&lt;=核心参数输入!$B$9*4,DI12+DI26+DI28,0)</f>
        <v>0</v>
      </c>
      <c r="DJ68" s="9">
        <f>IF(110&lt;=核心参数输入!$B$9*4,DJ12+DJ26+DJ28,0)</f>
        <v>0</v>
      </c>
      <c r="DK68" s="9">
        <f>IF(111&lt;=核心参数输入!$B$9*4,DK12+DK26+DK28,0)</f>
        <v>0</v>
      </c>
      <c r="DL68" s="9">
        <f>IF(112&lt;=核心参数输入!$B$9*4,DL12+DL26+DL28,0)</f>
        <v>0</v>
      </c>
      <c r="DM68" s="9">
        <f>IF(113&lt;=核心参数输入!$B$9*4,DM12+DM26+DM28,0)</f>
        <v>0</v>
      </c>
      <c r="DN68" s="9">
        <f>IF(114&lt;=核心参数输入!$B$9*4,DN12+DN26+DN28,0)</f>
        <v>0</v>
      </c>
      <c r="DO68" s="9">
        <f>IF(115&lt;=核心参数输入!$B$9*4,DO12+DO26+DO28,0)</f>
        <v>0</v>
      </c>
      <c r="DP68" s="9">
        <f>IF(116&lt;=核心参数输入!$B$9*4,DP12+DP26+DP28,0)</f>
        <v>0</v>
      </c>
      <c r="DQ68" s="9">
        <f>IF(117&lt;=核心参数输入!$B$9*4,DQ12+DQ26+DQ28,0)</f>
        <v>0</v>
      </c>
      <c r="DR68" s="9">
        <f>IF(118&lt;=核心参数输入!$B$9*4,DR12+DR26+DR28,0)</f>
        <v>0</v>
      </c>
      <c r="DS68" s="9">
        <f>IF(119&lt;=核心参数输入!$B$9*4,DS12+DS26+DS28,0)</f>
        <v>0</v>
      </c>
      <c r="DT68" s="9">
        <f>IF(120&lt;=核心参数输入!$B$9*4,DT12+DT26+DT28,0)</f>
        <v>0</v>
      </c>
    </row>
    <row r="69" spans="1:124" ht="21" customHeight="1">
      <c r="A69" s="8" t="s">
        <v>500</v>
      </c>
      <c r="B69" s="8" t="s">
        <v>39</v>
      </c>
      <c r="C69" s="8"/>
      <c r="D69" s="9">
        <f>IF(0&lt;=核心参数输入!$B$9*4,D35+SUM(D37:D39)+D53+D54,0)</f>
        <v>0</v>
      </c>
      <c r="E69" s="9">
        <f>IF(1&lt;=核心参数输入!$B$9*4,E35+SUM(E37:E39)+E53+E54,0)</f>
        <v>0</v>
      </c>
      <c r="F69" s="9">
        <f>IF(2&lt;=核心参数输入!$B$9*4,F35+SUM(F37:F39)+F53+F54,0)</f>
        <v>0</v>
      </c>
      <c r="G69" s="9">
        <f>IF(3&lt;=核心参数输入!$B$9*4,G35+SUM(G37:G39)+G53+G54,0)</f>
        <v>0</v>
      </c>
      <c r="H69" s="9">
        <f>IF(4&lt;=核心参数输入!$B$9*4,H35+SUM(H37:H39)+H53+H54,0)</f>
        <v>0</v>
      </c>
      <c r="I69" s="9">
        <f>IF(5&lt;=核心参数输入!$B$9*4,I35+SUM(I37:I39)+I53+I54,0)</f>
        <v>0</v>
      </c>
      <c r="J69" s="9">
        <f>IF(6&lt;=核心参数输入!$B$9*4,J35+SUM(J37:J39)+J53+J54,0)</f>
        <v>0</v>
      </c>
      <c r="K69" s="9">
        <f>IF(7&lt;=核心参数输入!$B$9*4,K35+SUM(K37:K39)+K53+K54,0)</f>
        <v>0</v>
      </c>
      <c r="L69" s="9">
        <f>IF(8&lt;=核心参数输入!$B$9*4,L35+SUM(L37:L39)+L53+L54,0)</f>
        <v>0</v>
      </c>
      <c r="M69" s="9">
        <f>IF(9&lt;=核心参数输入!$B$9*4,M35+SUM(M37:M39)+M53+M54,0)</f>
        <v>0</v>
      </c>
      <c r="N69" s="9">
        <f>IF(10&lt;=核心参数输入!$B$9*4,N35+SUM(N37:N39)+N53+N54,0)</f>
        <v>0</v>
      </c>
      <c r="O69" s="9">
        <f>IF(11&lt;=核心参数输入!$B$9*4,O35+SUM(O37:O39)+O53+O54,0)</f>
        <v>0</v>
      </c>
      <c r="P69" s="9">
        <f>IF(12&lt;=核心参数输入!$B$9*4,P35+SUM(P37:P39)+P53+P54,0)</f>
        <v>0</v>
      </c>
      <c r="Q69" s="9">
        <f>IF(13&lt;=核心参数输入!$B$9*4,Q35+SUM(Q37:Q39)+Q53+Q54,0)</f>
        <v>500.06718749999993</v>
      </c>
      <c r="R69" s="9">
        <f>IF(14&lt;=核心参数输入!$B$9*4,R35+SUM(R37:R39)+R53+R54,0)</f>
        <v>505.58813231249997</v>
      </c>
      <c r="S69" s="9">
        <f>IF(15&lt;=核心参数输入!$B$9*4,S35+SUM(S37:S39)+S53+S54,0)</f>
        <v>516.63002193749992</v>
      </c>
      <c r="T69" s="9">
        <f>IF(16&lt;=核心参数输入!$B$9*4,T35+SUM(T37:T39)+T53+T54,0)</f>
        <v>527.67191156249999</v>
      </c>
      <c r="U69" s="9">
        <f>IF(17&lt;=核心参数输入!$B$9*4,U35+SUM(U37:U39)+U53+U54,0)</f>
        <v>667.48256289281244</v>
      </c>
      <c r="V69" s="9">
        <f>IF(18&lt;=核心参数输入!$B$9*4,V35+SUM(V37:V39)+V53+V54,0)</f>
        <v>675.32782547137504</v>
      </c>
      <c r="W69" s="9">
        <f>IF(19&lt;=核心参数输入!$B$9*4,W35+SUM(W37:W39)+W53+W54,0)</f>
        <v>679.81083265912503</v>
      </c>
      <c r="X69" s="9">
        <f>IF(20&lt;=核心参数输入!$B$9*4,X35+SUM(X37:X39)+X53+X54,0)</f>
        <v>684.29383984687502</v>
      </c>
      <c r="Y69" s="9">
        <f>IF(21&lt;=核心参数输入!$B$9*4,Y35+SUM(Y37:Y39)+Y53+Y54,0)</f>
        <v>564.52559349014427</v>
      </c>
      <c r="Z69" s="9">
        <f>IF(22&lt;=核心参数输入!$B$9*4,Z35+SUM(Z37:Z39)+Z53+Z54,0)</f>
        <v>568.50706424876478</v>
      </c>
      <c r="AA69" s="9">
        <f>IF(23&lt;=核心参数输入!$B$9*4,AA35+SUM(AA37:AA39)+AA53+AA54,0)</f>
        <v>571.91975347043945</v>
      </c>
      <c r="AB69" s="9">
        <f>IF(24&lt;=核心参数输入!$B$9*4,AB35+SUM(AB37:AB39)+AB53+AB54,0)</f>
        <v>575.33244269211411</v>
      </c>
      <c r="AC69" s="9">
        <f>IF(25&lt;=核心参数输入!$B$9*4,AC35+SUM(AC37:AC39)+AC53+AC54,0)</f>
        <v>201.37326357999569</v>
      </c>
      <c r="AD69" s="9">
        <f>IF(26&lt;=核心参数输入!$B$9*4,AD35+SUM(AD37:AD39)+AD53+AD54,0)</f>
        <v>203.68251661999554</v>
      </c>
      <c r="AE69" s="9">
        <f>IF(27&lt;=核心参数输入!$B$9*4,AE35+SUM(AE37:AE39)+AE53+AE54,0)</f>
        <v>204.83714313999548</v>
      </c>
      <c r="AF69" s="9">
        <f>IF(28&lt;=核心参数输入!$B$9*4,AF35+SUM(AF37:AF39)+AF53+AF54,0)</f>
        <v>205.99176965999541</v>
      </c>
      <c r="AG69" s="9">
        <f>IF(29&lt;=核心参数输入!$B$9*4,AG35+SUM(AG37:AG39)+AG53+AG54,0)</f>
        <v>209.97654512269526</v>
      </c>
      <c r="AH69" s="9">
        <f>IF(30&lt;=核心参数输入!$B$9*4,AH35+SUM(AH37:AH39)+AH53+AH54,0)</f>
        <v>210.56251808159524</v>
      </c>
      <c r="AI69" s="9">
        <f>IF(31&lt;=核心参数输入!$B$9*4,AI35+SUM(AI37:AI39)+AI53+AI54,0)</f>
        <v>210.56251808159524</v>
      </c>
      <c r="AJ69" s="9">
        <f>IF(32&lt;=核心参数输入!$B$9*4,AJ35+SUM(AJ37:AJ39)+AJ53+AJ54,0)</f>
        <v>210.56251808159524</v>
      </c>
      <c r="AK69" s="9">
        <f>IF(33&lt;=核心参数输入!$B$9*4,AK35+SUM(AK37:AK39)+AK53+AK54,0)</f>
        <v>213.45186791281915</v>
      </c>
      <c r="AL69" s="9">
        <f>IF(34&lt;=核心参数输入!$B$9*4,AL35+SUM(AL37:AL39)+AL53+AL54,0)</f>
        <v>213.45186791281915</v>
      </c>
      <c r="AM69" s="9">
        <f>IF(35&lt;=核心参数输入!$B$9*4,AM35+SUM(AM37:AM39)+AM53+AM54,0)</f>
        <v>213.45186791281915</v>
      </c>
      <c r="AN69" s="9">
        <f>IF(36&lt;=核心参数输入!$B$9*4,AN35+SUM(AN37:AN39)+AN53+AN54,0)</f>
        <v>213.45186791281915</v>
      </c>
      <c r="AO69" s="9">
        <f>IF(37&lt;=核心参数输入!$B$9*4,AO35+SUM(AO37:AO39)+AO53+AO54,0)</f>
        <v>216.39267623271144</v>
      </c>
      <c r="AP69" s="9">
        <f>IF(38&lt;=核心参数输入!$B$9*4,AP35+SUM(AP37:AP39)+AP53+AP54,0)</f>
        <v>216.39267623271144</v>
      </c>
      <c r="AQ69" s="9">
        <f>IF(39&lt;=核心参数输入!$B$9*4,AQ35+SUM(AQ37:AQ39)+AQ53+AQ54,0)</f>
        <v>216.39267623271144</v>
      </c>
      <c r="AR69" s="9">
        <f>IF(40&lt;=核心参数输入!$B$9*4,AR35+SUM(AR37:AR39)+AR53+AR54,0)</f>
        <v>216.39267623271144</v>
      </c>
      <c r="AS69" s="9">
        <f>IF(41&lt;=核心参数输入!$B$9*4,AS35+SUM(AS37:AS39)+AS53+AS54,0)</f>
        <v>219.38587728342608</v>
      </c>
      <c r="AT69" s="9">
        <f>IF(42&lt;=核心参数输入!$B$9*4,AT35+SUM(AT37:AT39)+AT53+AT54,0)</f>
        <v>219.38587728342608</v>
      </c>
      <c r="AU69" s="9">
        <f>IF(43&lt;=核心参数输入!$B$9*4,AU35+SUM(AU37:AU39)+AU53+AU54,0)</f>
        <v>219.38587728342608</v>
      </c>
      <c r="AV69" s="9">
        <f>IF(44&lt;=核心参数输入!$B$9*4,AV35+SUM(AV37:AV39)+AV53+AV54,0)</f>
        <v>219.38587728342608</v>
      </c>
      <c r="AW69" s="9">
        <f>IF(45&lt;=核心参数输入!$B$9*4,AW35+SUM(AW37:AW39)+AW53+AW54,0)</f>
        <v>222.43242256804595</v>
      </c>
      <c r="AX69" s="9">
        <f>IF(46&lt;=核心参数输入!$B$9*4,AX35+SUM(AX37:AX39)+AX53+AX54,0)</f>
        <v>222.43242256804595</v>
      </c>
      <c r="AY69" s="9">
        <f>IF(47&lt;=核心参数输入!$B$9*4,AY35+SUM(AY37:AY39)+AY53+AY54,0)</f>
        <v>222.43242256804595</v>
      </c>
      <c r="AZ69" s="9">
        <f>IF(48&lt;=核心参数输入!$B$9*4,AZ35+SUM(AZ37:AZ39)+AZ53+AZ54,0)</f>
        <v>222.43242256804595</v>
      </c>
      <c r="BA69" s="9">
        <f>IF(49&lt;=核心参数输入!$B$9*4,BA35+SUM(BA37:BA39)+BA53+BA54,0)</f>
        <v>225.53328117444246</v>
      </c>
      <c r="BB69" s="9">
        <f>IF(50&lt;=核心参数输入!$B$9*4,BB35+SUM(BB37:BB39)+BB53+BB54,0)</f>
        <v>225.53328117444246</v>
      </c>
      <c r="BC69" s="9">
        <f>IF(51&lt;=核心参数输入!$B$9*4,BC35+SUM(BC37:BC39)+BC53+BC54,0)</f>
        <v>225.53328117444246</v>
      </c>
      <c r="BD69" s="9">
        <f>IF(52&lt;=核心参数输入!$B$9*4,BD35+SUM(BD37:BD39)+BD53+BD54,0)</f>
        <v>225.53328117444246</v>
      </c>
      <c r="BE69" s="9">
        <f>IF(53&lt;=核心参数输入!$B$9*4,BE35+SUM(BE37:BE39)+BE53+BE54,0)</f>
        <v>228.68944010529248</v>
      </c>
      <c r="BF69" s="9">
        <f>IF(54&lt;=核心参数输入!$B$9*4,BF35+SUM(BF37:BF39)+BF53+BF54,0)</f>
        <v>228.68944010529248</v>
      </c>
      <c r="BG69" s="9">
        <f>IF(55&lt;=核心参数输入!$B$9*4,BG35+SUM(BG37:BG39)+BG53+BG54,0)</f>
        <v>228.68944010529248</v>
      </c>
      <c r="BH69" s="9">
        <f>IF(56&lt;=核心参数输入!$B$9*4,BH35+SUM(BH37:BH39)+BH53+BH54,0)</f>
        <v>228.68944010529248</v>
      </c>
      <c r="BI69" s="9">
        <f>IF(57&lt;=核心参数输入!$B$9*4,BI35+SUM(BI37:BI39)+BI53+BI54,0)</f>
        <v>231.90190461436987</v>
      </c>
      <c r="BJ69" s="9">
        <f>IF(58&lt;=核心参数输入!$B$9*4,BJ35+SUM(BJ37:BJ39)+BJ53+BJ54,0)</f>
        <v>231.90190461436987</v>
      </c>
      <c r="BK69" s="9">
        <f>IF(59&lt;=核心参数输入!$B$9*4,BK35+SUM(BK37:BK39)+BK53+BK54,0)</f>
        <v>231.90190461436987</v>
      </c>
      <c r="BL69" s="9">
        <f>IF(60&lt;=核心参数输入!$B$9*4,BL35+SUM(BL37:BL39)+BL53+BL54,0)</f>
        <v>231.90190461436987</v>
      </c>
      <c r="BM69" s="9">
        <f>IF(61&lt;=核心参数输入!$B$9*4,BM35+SUM(BM37:BM39)+BM53+BM54,0)</f>
        <v>235.17169854923341</v>
      </c>
      <c r="BN69" s="9">
        <f>IF(62&lt;=核心参数输入!$B$9*4,BN35+SUM(BN37:BN39)+BN53+BN54,0)</f>
        <v>235.17169854923341</v>
      </c>
      <c r="BO69" s="9">
        <f>IF(63&lt;=核心参数输入!$B$9*4,BO35+SUM(BO37:BO39)+BO53+BO54,0)</f>
        <v>235.17169854923341</v>
      </c>
      <c r="BP69" s="9">
        <f>IF(64&lt;=核心参数输入!$B$9*4,BP35+SUM(BP37:BP39)+BP53+BP54,0)</f>
        <v>235.17169854923341</v>
      </c>
      <c r="BQ69" s="9">
        <f>IF(65&lt;=核心参数输入!$B$9*4,BQ35+SUM(BQ37:BQ39)+BQ53+BQ54,0)</f>
        <v>238.49986470043285</v>
      </c>
      <c r="BR69" s="9">
        <f>IF(66&lt;=核心参数输入!$B$9*4,BR35+SUM(BR37:BR39)+BR53+BR54,0)</f>
        <v>238.49986470043285</v>
      </c>
      <c r="BS69" s="9">
        <f>IF(67&lt;=核心参数输入!$B$9*4,BS35+SUM(BS37:BS39)+BS53+BS54,0)</f>
        <v>238.49986470043285</v>
      </c>
      <c r="BT69" s="9">
        <f>IF(68&lt;=核心参数输入!$B$9*4,BT35+SUM(BT37:BT39)+BT53+BT54,0)</f>
        <v>238.49986470043285</v>
      </c>
      <c r="BU69" s="9">
        <f>IF(69&lt;=核心参数输入!$B$9*4,BU35+SUM(BU37:BU39)+BU53+BU54,0)</f>
        <v>241.88746515735949</v>
      </c>
      <c r="BV69" s="9">
        <f>IF(70&lt;=核心参数输入!$B$9*4,BV35+SUM(BV37:BV39)+BV53+BV54,0)</f>
        <v>241.88746515735949</v>
      </c>
      <c r="BW69" s="9">
        <f>IF(71&lt;=核心参数输入!$B$9*4,BW35+SUM(BW37:BW39)+BW53+BW54,0)</f>
        <v>241.88746515735949</v>
      </c>
      <c r="BX69" s="9">
        <f>IF(72&lt;=核心参数输入!$B$9*4,BX35+SUM(BX37:BX39)+BX53+BX54,0)</f>
        <v>241.88746515735949</v>
      </c>
      <c r="BY69" s="9">
        <f>IF(73&lt;=核心参数输入!$B$9*4,BY35+SUM(BY37:BY39)+BY53+BY54,0)</f>
        <v>245.33558167086844</v>
      </c>
      <c r="BZ69" s="9">
        <f>IF(74&lt;=核心参数输入!$B$9*4,BZ35+SUM(BZ37:BZ39)+BZ53+BZ54,0)</f>
        <v>245.33558167086844</v>
      </c>
      <c r="CA69" s="9">
        <f>IF(75&lt;=核心参数输入!$B$9*4,CA35+SUM(CA37:CA39)+CA53+CA54,0)</f>
        <v>245.33558167086844</v>
      </c>
      <c r="CB69" s="9">
        <f>IF(76&lt;=核心参数输入!$B$9*4,CB35+SUM(CB37:CB39)+CB53+CB54,0)</f>
        <v>245.33558167086844</v>
      </c>
      <c r="CC69" s="9">
        <f>IF(77&lt;=核心参数输入!$B$9*4,CC35+SUM(CC37:CC39)+CC53+CC54,0)</f>
        <v>248.84531602280302</v>
      </c>
      <c r="CD69" s="9">
        <f>IF(78&lt;=核心参数输入!$B$9*4,CD35+SUM(CD37:CD39)+CD53+CD54,0)</f>
        <v>248.84531602280302</v>
      </c>
      <c r="CE69" s="9">
        <f>IF(79&lt;=核心参数输入!$B$9*4,CE35+SUM(CE37:CE39)+CE53+CE54,0)</f>
        <v>248.84531602280302</v>
      </c>
      <c r="CF69" s="9">
        <f>IF(80&lt;=核心参数输入!$B$9*4,CF35+SUM(CF37:CF39)+CF53+CF54,0)</f>
        <v>248.84531602280302</v>
      </c>
      <c r="CG69" s="9">
        <f>IF(81&lt;=核心参数输入!$B$9*4,CG35+SUM(CG37:CG39)+CG53+CG54,0)</f>
        <v>0</v>
      </c>
      <c r="CH69" s="9">
        <f>IF(82&lt;=核心参数输入!$B$9*4,CH35+SUM(CH37:CH39)+CH53+CH54,0)</f>
        <v>0</v>
      </c>
      <c r="CI69" s="9">
        <f>IF(83&lt;=核心参数输入!$B$9*4,CI35+SUM(CI37:CI39)+CI53+CI54,0)</f>
        <v>0</v>
      </c>
      <c r="CJ69" s="9">
        <f>IF(84&lt;=核心参数输入!$B$9*4,CJ35+SUM(CJ37:CJ39)+CJ53+CJ54,0)</f>
        <v>0</v>
      </c>
      <c r="CK69" s="9">
        <f>IF(85&lt;=核心参数输入!$B$9*4,CK35+SUM(CK37:CK39)+CK53+CK54,0)</f>
        <v>0</v>
      </c>
      <c r="CL69" s="9">
        <f>IF(86&lt;=核心参数输入!$B$9*4,CL35+SUM(CL37:CL39)+CL53+CL54,0)</f>
        <v>0</v>
      </c>
      <c r="CM69" s="9">
        <f>IF(87&lt;=核心参数输入!$B$9*4,CM35+SUM(CM37:CM39)+CM53+CM54,0)</f>
        <v>0</v>
      </c>
      <c r="CN69" s="9">
        <f>IF(88&lt;=核心参数输入!$B$9*4,CN35+SUM(CN37:CN39)+CN53+CN54,0)</f>
        <v>0</v>
      </c>
      <c r="CO69" s="9">
        <f>IF(89&lt;=核心参数输入!$B$9*4,CO35+SUM(CO37:CO39)+CO53+CO54,0)</f>
        <v>0</v>
      </c>
      <c r="CP69" s="9">
        <f>IF(90&lt;=核心参数输入!$B$9*4,CP35+SUM(CP37:CP39)+CP53+CP54,0)</f>
        <v>0</v>
      </c>
      <c r="CQ69" s="9">
        <f>IF(91&lt;=核心参数输入!$B$9*4,CQ35+SUM(CQ37:CQ39)+CQ53+CQ54,0)</f>
        <v>0</v>
      </c>
      <c r="CR69" s="9">
        <f>IF(92&lt;=核心参数输入!$B$9*4,CR35+SUM(CR37:CR39)+CR53+CR54,0)</f>
        <v>0</v>
      </c>
      <c r="CS69" s="9">
        <f>IF(93&lt;=核心参数输入!$B$9*4,CS35+SUM(CS37:CS39)+CS53+CS54,0)</f>
        <v>0</v>
      </c>
      <c r="CT69" s="9">
        <f>IF(94&lt;=核心参数输入!$B$9*4,CT35+SUM(CT37:CT39)+CT53+CT54,0)</f>
        <v>0</v>
      </c>
      <c r="CU69" s="9">
        <f>IF(95&lt;=核心参数输入!$B$9*4,CU35+SUM(CU37:CU39)+CU53+CU54,0)</f>
        <v>0</v>
      </c>
      <c r="CV69" s="9">
        <f>IF(96&lt;=核心参数输入!$B$9*4,CV35+SUM(CV37:CV39)+CV53+CV54,0)</f>
        <v>0</v>
      </c>
      <c r="CW69" s="9">
        <f>IF(97&lt;=核心参数输入!$B$9*4,CW35+SUM(CW37:CW39)+CW53+CW54,0)</f>
        <v>0</v>
      </c>
      <c r="CX69" s="9">
        <f>IF(98&lt;=核心参数输入!$B$9*4,CX35+SUM(CX37:CX39)+CX53+CX54,0)</f>
        <v>0</v>
      </c>
      <c r="CY69" s="9">
        <f>IF(99&lt;=核心参数输入!$B$9*4,CY35+SUM(CY37:CY39)+CY53+CY54,0)</f>
        <v>0</v>
      </c>
      <c r="CZ69" s="9">
        <f>IF(100&lt;=核心参数输入!$B$9*4,CZ35+SUM(CZ37:CZ39)+CZ53+CZ54,0)</f>
        <v>0</v>
      </c>
      <c r="DA69" s="9">
        <f>IF(101&lt;=核心参数输入!$B$9*4,DA35+SUM(DA37:DA39)+DA53+DA54,0)</f>
        <v>0</v>
      </c>
      <c r="DB69" s="9">
        <f>IF(102&lt;=核心参数输入!$B$9*4,DB35+SUM(DB37:DB39)+DB53+DB54,0)</f>
        <v>0</v>
      </c>
      <c r="DC69" s="9">
        <f>IF(103&lt;=核心参数输入!$B$9*4,DC35+SUM(DC37:DC39)+DC53+DC54,0)</f>
        <v>0</v>
      </c>
      <c r="DD69" s="9">
        <f>IF(104&lt;=核心参数输入!$B$9*4,DD35+SUM(DD37:DD39)+DD53+DD54,0)</f>
        <v>0</v>
      </c>
      <c r="DE69" s="9">
        <f>IF(105&lt;=核心参数输入!$B$9*4,DE35+SUM(DE37:DE39)+DE53+DE54,0)</f>
        <v>0</v>
      </c>
      <c r="DF69" s="9">
        <f>IF(106&lt;=核心参数输入!$B$9*4,DF35+SUM(DF37:DF39)+DF53+DF54,0)</f>
        <v>0</v>
      </c>
      <c r="DG69" s="9">
        <f>IF(107&lt;=核心参数输入!$B$9*4,DG35+SUM(DG37:DG39)+DG53+DG54,0)</f>
        <v>0</v>
      </c>
      <c r="DH69" s="9">
        <f>IF(108&lt;=核心参数输入!$B$9*4,DH35+SUM(DH37:DH39)+DH53+DH54,0)</f>
        <v>0</v>
      </c>
      <c r="DI69" s="9">
        <f>IF(109&lt;=核心参数输入!$B$9*4,DI35+SUM(DI37:DI39)+DI53+DI54,0)</f>
        <v>0</v>
      </c>
      <c r="DJ69" s="9">
        <f>IF(110&lt;=核心参数输入!$B$9*4,DJ35+SUM(DJ37:DJ39)+DJ53+DJ54,0)</f>
        <v>0</v>
      </c>
      <c r="DK69" s="9">
        <f>IF(111&lt;=核心参数输入!$B$9*4,DK35+SUM(DK37:DK39)+DK53+DK54,0)</f>
        <v>0</v>
      </c>
      <c r="DL69" s="9">
        <f>IF(112&lt;=核心参数输入!$B$9*4,DL35+SUM(DL37:DL39)+DL53+DL54,0)</f>
        <v>0</v>
      </c>
      <c r="DM69" s="9">
        <f>IF(113&lt;=核心参数输入!$B$9*4,DM35+SUM(DM37:DM39)+DM53+DM54,0)</f>
        <v>0</v>
      </c>
      <c r="DN69" s="9">
        <f>IF(114&lt;=核心参数输入!$B$9*4,DN35+SUM(DN37:DN39)+DN53+DN54,0)</f>
        <v>0</v>
      </c>
      <c r="DO69" s="9">
        <f>IF(115&lt;=核心参数输入!$B$9*4,DO35+SUM(DO37:DO39)+DO53+DO54,0)</f>
        <v>0</v>
      </c>
      <c r="DP69" s="9">
        <f>IF(116&lt;=核心参数输入!$B$9*4,DP35+SUM(DP37:DP39)+DP53+DP54,0)</f>
        <v>0</v>
      </c>
      <c r="DQ69" s="9">
        <f>IF(117&lt;=核心参数输入!$B$9*4,DQ35+SUM(DQ37:DQ39)+DQ53+DQ54,0)</f>
        <v>0</v>
      </c>
      <c r="DR69" s="9">
        <f>IF(118&lt;=核心参数输入!$B$9*4,DR35+SUM(DR37:DR39)+DR53+DR54,0)</f>
        <v>0</v>
      </c>
      <c r="DS69" s="9">
        <f>IF(119&lt;=核心参数输入!$B$9*4,DS35+SUM(DS37:DS39)+DS53+DS54,0)</f>
        <v>0</v>
      </c>
      <c r="DT69" s="9">
        <f>IF(120&lt;=核心参数输入!$B$9*4,DT35+SUM(DT37:DT39)+DT53+DT54,0)</f>
        <v>0</v>
      </c>
    </row>
    <row r="70" spans="1:124" ht="21" customHeight="1">
      <c r="A70" s="8" t="s">
        <v>501</v>
      </c>
      <c r="B70" s="8" t="s">
        <v>39</v>
      </c>
      <c r="C70" s="8"/>
      <c r="D70" s="9">
        <f>IF(0&lt;=核心参数输入!$B$9*4,D33-D24-SUM(D37:D40),0)</f>
        <v>0</v>
      </c>
      <c r="E70" s="9">
        <f>IF(1&lt;=核心参数输入!$B$9*4,E33-E24-SUM(E37:E40),0)</f>
        <v>0</v>
      </c>
      <c r="F70" s="9">
        <f>IF(2&lt;=核心参数输入!$B$9*4,F33-F24-SUM(F37:F40),0)</f>
        <v>0</v>
      </c>
      <c r="G70" s="9">
        <f>IF(3&lt;=核心参数输入!$B$9*4,G33-G24-SUM(G37:G40),0)</f>
        <v>0</v>
      </c>
      <c r="H70" s="9">
        <f>IF(4&lt;=核心参数输入!$B$9*4,H33-H24-SUM(H37:H40),0)</f>
        <v>0</v>
      </c>
      <c r="I70" s="9">
        <f>IF(5&lt;=核心参数输入!$B$9*4,I33-I24-SUM(I37:I40),0)</f>
        <v>0</v>
      </c>
      <c r="J70" s="9">
        <f>IF(6&lt;=核心参数输入!$B$9*4,J33-J24-SUM(J37:J40),0)</f>
        <v>0</v>
      </c>
      <c r="K70" s="9">
        <f>IF(7&lt;=核心参数输入!$B$9*4,K33-K24-SUM(K37:K40),0)</f>
        <v>0</v>
      </c>
      <c r="L70" s="9">
        <f>IF(8&lt;=核心参数输入!$B$9*4,L33-L24-SUM(L37:L40),0)</f>
        <v>0</v>
      </c>
      <c r="M70" s="9">
        <f>IF(9&lt;=核心参数输入!$B$9*4,M33-M24-SUM(M37:M40),0)</f>
        <v>0</v>
      </c>
      <c r="N70" s="9">
        <f>IF(10&lt;=核心参数输入!$B$9*4,N33-N24-SUM(N37:N40),0)</f>
        <v>0</v>
      </c>
      <c r="O70" s="9">
        <f>IF(11&lt;=核心参数输入!$B$9*4,O33-O24-SUM(O37:O40),0)</f>
        <v>0</v>
      </c>
      <c r="P70" s="9">
        <f>IF(12&lt;=核心参数输入!$B$9*4,P33-P24-SUM(P37:P40),0)</f>
        <v>0</v>
      </c>
      <c r="Q70" s="9">
        <f>IF(13&lt;=核心参数输入!$B$9*4,Q33-Q24-SUM(Q37:Q40),0)</f>
        <v>-119.99999999999997</v>
      </c>
      <c r="R70" s="9">
        <f>IF(14&lt;=核心参数输入!$B$9*4,R33-R24-SUM(R37:R40),0)</f>
        <v>-95.046466687499986</v>
      </c>
      <c r="S70" s="9">
        <f>IF(15&lt;=核心参数输入!$B$9*4,S33-S24-SUM(S37:S40),0)</f>
        <v>-45.139400062500016</v>
      </c>
      <c r="T70" s="9">
        <f>IF(16&lt;=核心参数输入!$B$9*4,T33-T24-SUM(T37:T40),0)</f>
        <v>4.7676665624999828</v>
      </c>
      <c r="U70" s="9">
        <f>IF(17&lt;=核心参数输入!$B$9*4,U33-U24-SUM(U37:U40),0)</f>
        <v>55.794854185312488</v>
      </c>
      <c r="V70" s="9">
        <f>IF(18&lt;=核心参数输入!$B$9*4,V33-V24-SUM(V37:V40),0)</f>
        <v>91.253825022375025</v>
      </c>
      <c r="W70" s="9">
        <f>IF(19&lt;=核心参数输入!$B$9*4,W33-W24-SUM(W37:W40),0)</f>
        <v>111.51609407212496</v>
      </c>
      <c r="X70" s="9">
        <f>IF(20&lt;=核心参数输入!$B$9*4,X33-X24-SUM(X37:X40),0)</f>
        <v>131.77836312187489</v>
      </c>
      <c r="Y70" s="9">
        <f>IF(21&lt;=核心参数输入!$B$9*4,Y33-Y24-SUM(Y37:Y40),0)</f>
        <v>154.61374165419929</v>
      </c>
      <c r="Z70" s="9">
        <f>IF(22&lt;=核心参数输入!$B$9*4,Z33-Z24-SUM(Z37:Z40),0)</f>
        <v>172.60916935400849</v>
      </c>
      <c r="AA70" s="9">
        <f>IF(23&lt;=核心参数输入!$B$9*4,AA33-AA24-SUM(AA37:AA40),0)</f>
        <v>188.03382166813068</v>
      </c>
      <c r="AB70" s="9">
        <f>IF(24&lt;=核心参数输入!$B$9*4,AB33-AB24-SUM(AB37:AB40),0)</f>
        <v>203.45847398225285</v>
      </c>
      <c r="AC70" s="9">
        <f>IF(25&lt;=核心参数输入!$B$9*4,AC33-AC24-SUM(AC37:AC40),0)</f>
        <v>222.45122319082071</v>
      </c>
      <c r="AD70" s="9">
        <f>IF(26&lt;=核心参数输入!$B$9*4,AD33-AD24-SUM(AD37:AD40),0)</f>
        <v>232.88857125670998</v>
      </c>
      <c r="AE70" s="9">
        <f>IF(27&lt;=核心参数输入!$B$9*4,AE33-AE24-SUM(AE37:AE40),0)</f>
        <v>238.10724528965466</v>
      </c>
      <c r="AF70" s="9">
        <f>IF(28&lt;=核心参数输入!$B$9*4,AF33-AF24-SUM(AF37:AF40),0)</f>
        <v>243.32591932259928</v>
      </c>
      <c r="AG70" s="9">
        <f>IF(29&lt;=核心参数输入!$B$9*4,AG33-AG24-SUM(AG37:AG40),0)</f>
        <v>252.54980925587705</v>
      </c>
      <c r="AH70" s="9">
        <f>IF(30&lt;=核心参数输入!$B$9*4,AH33-AH24-SUM(AH37:AH40),0)</f>
        <v>255.19828632759649</v>
      </c>
      <c r="AI70" s="9">
        <f>IF(31&lt;=核心参数输入!$B$9*4,AI33-AI24-SUM(AI37:AI40),0)</f>
        <v>255.19828632759649</v>
      </c>
      <c r="AJ70" s="9">
        <f>IF(32&lt;=核心参数输入!$B$9*4,AJ33-AJ24-SUM(AJ37:AJ40),0)</f>
        <v>255.19828632759649</v>
      </c>
      <c r="AK70" s="9">
        <f>IF(33&lt;=核心参数输入!$B$9*4,AK33-AK24-SUM(AK37:AK40),0)</f>
        <v>259.29534856251041</v>
      </c>
      <c r="AL70" s="9">
        <f>IF(34&lt;=核心参数输入!$B$9*4,AL33-AL24-SUM(AL37:AL40),0)</f>
        <v>259.29534856251041</v>
      </c>
      <c r="AM70" s="9">
        <f>IF(35&lt;=核心参数输入!$B$9*4,AM33-AM24-SUM(AM37:AM40),0)</f>
        <v>259.29534856251041</v>
      </c>
      <c r="AN70" s="9">
        <f>IF(36&lt;=核心参数输入!$B$9*4,AN33-AN24-SUM(AN37:AN40),0)</f>
        <v>259.29534856251041</v>
      </c>
      <c r="AO70" s="9">
        <f>IF(37&lt;=核心参数输入!$B$9*4,AO33-AO24-SUM(AO37:AO40),0)</f>
        <v>263.44574848974798</v>
      </c>
      <c r="AP70" s="9">
        <f>IF(38&lt;=核心参数输入!$B$9*4,AP33-AP24-SUM(AP37:AP40),0)</f>
        <v>263.44574848974798</v>
      </c>
      <c r="AQ70" s="9">
        <f>IF(39&lt;=核心参数输入!$B$9*4,AQ33-AQ24-SUM(AQ37:AQ40),0)</f>
        <v>263.44574848974798</v>
      </c>
      <c r="AR70" s="9">
        <f>IF(40&lt;=核心参数输入!$B$9*4,AR33-AR24-SUM(AR37:AR40),0)</f>
        <v>263.44574848974798</v>
      </c>
      <c r="AS70" s="9">
        <f>IF(41&lt;=核心参数输入!$B$9*4,AS33-AS24-SUM(AS37:AS40),0)</f>
        <v>267.65012380987014</v>
      </c>
      <c r="AT70" s="9">
        <f>IF(42&lt;=核心参数输入!$B$9*4,AT33-AT24-SUM(AT37:AT40),0)</f>
        <v>267.65012380987014</v>
      </c>
      <c r="AU70" s="9">
        <f>IF(43&lt;=核心参数输入!$B$9*4,AU33-AU24-SUM(AU37:AU40),0)</f>
        <v>267.65012380987014</v>
      </c>
      <c r="AV70" s="9">
        <f>IF(44&lt;=核心参数输入!$B$9*4,AV33-AV24-SUM(AV37:AV40),0)</f>
        <v>267.65012380987014</v>
      </c>
      <c r="AW70" s="9">
        <f>IF(45&lt;=核心参数输入!$B$9*4,AW33-AW24-SUM(AW37:AW40),0)</f>
        <v>271.90911854164972</v>
      </c>
      <c r="AX70" s="9">
        <f>IF(46&lt;=核心参数输入!$B$9*4,AX33-AX24-SUM(AX37:AX40),0)</f>
        <v>271.90911854164972</v>
      </c>
      <c r="AY70" s="9">
        <f>IF(47&lt;=核心参数输入!$B$9*4,AY33-AY24-SUM(AY37:AY40),0)</f>
        <v>271.90911854164972</v>
      </c>
      <c r="AZ70" s="9">
        <f>IF(48&lt;=核心参数输入!$B$9*4,AZ33-AZ24-SUM(AZ37:AZ40),0)</f>
        <v>271.90911854164972</v>
      </c>
      <c r="BA70" s="9">
        <f>IF(49&lt;=核心参数输入!$B$9*4,BA33-BA24-SUM(BA37:BA40),0)</f>
        <v>276.22338305189851</v>
      </c>
      <c r="BB70" s="9">
        <f>IF(50&lt;=核心参数输入!$B$9*4,BB33-BB24-SUM(BB37:BB40),0)</f>
        <v>276.22338305189851</v>
      </c>
      <c r="BC70" s="9">
        <f>IF(51&lt;=核心参数输入!$B$9*4,BC33-BC24-SUM(BC37:BC40),0)</f>
        <v>276.22338305189851</v>
      </c>
      <c r="BD70" s="9">
        <f>IF(52&lt;=核心参数输入!$B$9*4,BD33-BD24-SUM(BD37:BD40),0)</f>
        <v>276.22338305189851</v>
      </c>
      <c r="BE70" s="9">
        <f>IF(53&lt;=核心参数输入!$B$9*4,BE33-BE24-SUM(BE37:BE40),0)</f>
        <v>280.59357408444356</v>
      </c>
      <c r="BF70" s="9">
        <f>IF(54&lt;=核心参数输入!$B$9*4,BF33-BF24-SUM(BF37:BF40),0)</f>
        <v>280.59357408444356</v>
      </c>
      <c r="BG70" s="9">
        <f>IF(55&lt;=核心参数输入!$B$9*4,BG33-BG24-SUM(BG37:BG40),0)</f>
        <v>280.59357408444356</v>
      </c>
      <c r="BH70" s="9">
        <f>IF(56&lt;=核心参数输入!$B$9*4,BH33-BH24-SUM(BH37:BH40),0)</f>
        <v>280.59357408444356</v>
      </c>
      <c r="BI70" s="9">
        <f>IF(57&lt;=核心参数输入!$B$9*4,BI33-BI24-SUM(BI37:BI40),0)</f>
        <v>285.02035478821222</v>
      </c>
      <c r="BJ70" s="9">
        <f>IF(58&lt;=核心参数输入!$B$9*4,BJ33-BJ24-SUM(BJ37:BJ40),0)</f>
        <v>285.02035478821222</v>
      </c>
      <c r="BK70" s="9">
        <f>IF(59&lt;=核心参数输入!$B$9*4,BK33-BK24-SUM(BK37:BK40),0)</f>
        <v>285.02035478821222</v>
      </c>
      <c r="BL70" s="9">
        <f>IF(60&lt;=核心参数输入!$B$9*4,BL33-BL24-SUM(BL37:BL40),0)</f>
        <v>285.02035478821222</v>
      </c>
      <c r="BM70" s="9">
        <f>IF(61&lt;=核心参数输入!$B$9*4,BM33-BM24-SUM(BM37:BM40),0)</f>
        <v>289.50439474438724</v>
      </c>
      <c r="BN70" s="9">
        <f>IF(62&lt;=核心参数输入!$B$9*4,BN33-BN24-SUM(BN37:BN40),0)</f>
        <v>289.50439474438724</v>
      </c>
      <c r="BO70" s="9">
        <f>IF(63&lt;=核心参数输入!$B$9*4,BO33-BO24-SUM(BO37:BO40),0)</f>
        <v>289.50439474438724</v>
      </c>
      <c r="BP70" s="9">
        <f>IF(64&lt;=核心参数输入!$B$9*4,BP33-BP24-SUM(BP37:BP40),0)</f>
        <v>289.50439474438724</v>
      </c>
      <c r="BQ70" s="9">
        <f>IF(65&lt;=核心参数输入!$B$9*4,BQ33-BQ24-SUM(BQ37:BQ40),0)</f>
        <v>294.04636999259213</v>
      </c>
      <c r="BR70" s="9">
        <f>IF(66&lt;=核心参数输入!$B$9*4,BR33-BR24-SUM(BR37:BR40),0)</f>
        <v>294.04636999259213</v>
      </c>
      <c r="BS70" s="9">
        <f>IF(67&lt;=核心参数输入!$B$9*4,BS33-BS24-SUM(BS37:BS40),0)</f>
        <v>294.04636999259213</v>
      </c>
      <c r="BT70" s="9">
        <f>IF(68&lt;=核心参数输入!$B$9*4,BT33-BT24-SUM(BT37:BT40),0)</f>
        <v>294.04636999259213</v>
      </c>
      <c r="BU70" s="9">
        <f>IF(69&lt;=核心参数输入!$B$9*4,BU33-BU24-SUM(BU37:BU40),0)</f>
        <v>298.64696305606077</v>
      </c>
      <c r="BV70" s="9">
        <f>IF(70&lt;=核心参数输入!$B$9*4,BV33-BV24-SUM(BV37:BV40),0)</f>
        <v>298.64696305606077</v>
      </c>
      <c r="BW70" s="9">
        <f>IF(71&lt;=核心参数输入!$B$9*4,BW33-BW24-SUM(BW37:BW40),0)</f>
        <v>298.64696305606077</v>
      </c>
      <c r="BX70" s="9">
        <f>IF(72&lt;=核心参数输入!$B$9*4,BX33-BX24-SUM(BX37:BX40),0)</f>
        <v>298.64696305606077</v>
      </c>
      <c r="BY70" s="9">
        <f>IF(73&lt;=核心参数输入!$B$9*4,BY33-BY24-SUM(BY37:BY40),0)</f>
        <v>303.30686296575288</v>
      </c>
      <c r="BZ70" s="9">
        <f>IF(74&lt;=核心参数输入!$B$9*4,BZ33-BZ24-SUM(BZ37:BZ40),0)</f>
        <v>303.30686296575288</v>
      </c>
      <c r="CA70" s="9">
        <f>IF(75&lt;=核心参数输入!$B$9*4,CA33-CA24-SUM(CA37:CA40),0)</f>
        <v>303.30686296575288</v>
      </c>
      <c r="CB70" s="9">
        <f>IF(76&lt;=核心参数输入!$B$9*4,CB33-CB24-SUM(CB37:CB40),0)</f>
        <v>303.30686296575288</v>
      </c>
      <c r="CC70" s="9">
        <f>IF(77&lt;=核心参数输入!$B$9*4,CC33-CC24-SUM(CC37:CC40),0)</f>
        <v>308.02676528336758</v>
      </c>
      <c r="CD70" s="9">
        <f>IF(78&lt;=核心参数输入!$B$9*4,CD33-CD24-SUM(CD37:CD40),0)</f>
        <v>308.02676528336758</v>
      </c>
      <c r="CE70" s="9">
        <f>IF(79&lt;=核心参数输入!$B$9*4,CE33-CE24-SUM(CE37:CE40),0)</f>
        <v>308.02676528336758</v>
      </c>
      <c r="CF70" s="9">
        <f>IF(80&lt;=核心参数输入!$B$9*4,CF33-CF24-SUM(CF37:CF40),0)</f>
        <v>308.02676528336758</v>
      </c>
      <c r="CG70" s="9">
        <f>IF(81&lt;=核心参数输入!$B$9*4,CG33-CG24-SUM(CG37:CG40),0)</f>
        <v>0</v>
      </c>
      <c r="CH70" s="9">
        <f>IF(82&lt;=核心参数输入!$B$9*4,CH33-CH24-SUM(CH37:CH40),0)</f>
        <v>0</v>
      </c>
      <c r="CI70" s="9">
        <f>IF(83&lt;=核心参数输入!$B$9*4,CI33-CI24-SUM(CI37:CI40),0)</f>
        <v>0</v>
      </c>
      <c r="CJ70" s="9">
        <f>IF(84&lt;=核心参数输入!$B$9*4,CJ33-CJ24-SUM(CJ37:CJ40),0)</f>
        <v>0</v>
      </c>
      <c r="CK70" s="9">
        <f>IF(85&lt;=核心参数输入!$B$9*4,CK33-CK24-SUM(CK37:CK40),0)</f>
        <v>0</v>
      </c>
      <c r="CL70" s="9">
        <f>IF(86&lt;=核心参数输入!$B$9*4,CL33-CL24-SUM(CL37:CL40),0)</f>
        <v>0</v>
      </c>
      <c r="CM70" s="9">
        <f>IF(87&lt;=核心参数输入!$B$9*4,CM33-CM24-SUM(CM37:CM40),0)</f>
        <v>0</v>
      </c>
      <c r="CN70" s="9">
        <f>IF(88&lt;=核心参数输入!$B$9*4,CN33-CN24-SUM(CN37:CN40),0)</f>
        <v>0</v>
      </c>
      <c r="CO70" s="9">
        <f>IF(89&lt;=核心参数输入!$B$9*4,CO33-CO24-SUM(CO37:CO40),0)</f>
        <v>0</v>
      </c>
      <c r="CP70" s="9">
        <f>IF(90&lt;=核心参数输入!$B$9*4,CP33-CP24-SUM(CP37:CP40),0)</f>
        <v>0</v>
      </c>
      <c r="CQ70" s="9">
        <f>IF(91&lt;=核心参数输入!$B$9*4,CQ33-CQ24-SUM(CQ37:CQ40),0)</f>
        <v>0</v>
      </c>
      <c r="CR70" s="9">
        <f>IF(92&lt;=核心参数输入!$B$9*4,CR33-CR24-SUM(CR37:CR40),0)</f>
        <v>0</v>
      </c>
      <c r="CS70" s="9">
        <f>IF(93&lt;=核心参数输入!$B$9*4,CS33-CS24-SUM(CS37:CS40),0)</f>
        <v>0</v>
      </c>
      <c r="CT70" s="9">
        <f>IF(94&lt;=核心参数输入!$B$9*4,CT33-CT24-SUM(CT37:CT40),0)</f>
        <v>0</v>
      </c>
      <c r="CU70" s="9">
        <f>IF(95&lt;=核心参数输入!$B$9*4,CU33-CU24-SUM(CU37:CU40),0)</f>
        <v>0</v>
      </c>
      <c r="CV70" s="9">
        <f>IF(96&lt;=核心参数输入!$B$9*4,CV33-CV24-SUM(CV37:CV40),0)</f>
        <v>0</v>
      </c>
      <c r="CW70" s="9">
        <f>IF(97&lt;=核心参数输入!$B$9*4,CW33-CW24-SUM(CW37:CW40),0)</f>
        <v>0</v>
      </c>
      <c r="CX70" s="9">
        <f>IF(98&lt;=核心参数输入!$B$9*4,CX33-CX24-SUM(CX37:CX40),0)</f>
        <v>0</v>
      </c>
      <c r="CY70" s="9">
        <f>IF(99&lt;=核心参数输入!$B$9*4,CY33-CY24-SUM(CY37:CY40),0)</f>
        <v>0</v>
      </c>
      <c r="CZ70" s="9">
        <f>IF(100&lt;=核心参数输入!$B$9*4,CZ33-CZ24-SUM(CZ37:CZ40),0)</f>
        <v>0</v>
      </c>
      <c r="DA70" s="9">
        <f>IF(101&lt;=核心参数输入!$B$9*4,DA33-DA24-SUM(DA37:DA40),0)</f>
        <v>0</v>
      </c>
      <c r="DB70" s="9">
        <f>IF(102&lt;=核心参数输入!$B$9*4,DB33-DB24-SUM(DB37:DB40),0)</f>
        <v>0</v>
      </c>
      <c r="DC70" s="9">
        <f>IF(103&lt;=核心参数输入!$B$9*4,DC33-DC24-SUM(DC37:DC40),0)</f>
        <v>0</v>
      </c>
      <c r="DD70" s="9">
        <f>IF(104&lt;=核心参数输入!$B$9*4,DD33-DD24-SUM(DD37:DD40),0)</f>
        <v>0</v>
      </c>
      <c r="DE70" s="9">
        <f>IF(105&lt;=核心参数输入!$B$9*4,DE33-DE24-SUM(DE37:DE40),0)</f>
        <v>0</v>
      </c>
      <c r="DF70" s="9">
        <f>IF(106&lt;=核心参数输入!$B$9*4,DF33-DF24-SUM(DF37:DF40),0)</f>
        <v>0</v>
      </c>
      <c r="DG70" s="9">
        <f>IF(107&lt;=核心参数输入!$B$9*4,DG33-DG24-SUM(DG37:DG40),0)</f>
        <v>0</v>
      </c>
      <c r="DH70" s="9">
        <f>IF(108&lt;=核心参数输入!$B$9*4,DH33-DH24-SUM(DH37:DH40),0)</f>
        <v>0</v>
      </c>
      <c r="DI70" s="9">
        <f>IF(109&lt;=核心参数输入!$B$9*4,DI33-DI24-SUM(DI37:DI40),0)</f>
        <v>0</v>
      </c>
      <c r="DJ70" s="9">
        <f>IF(110&lt;=核心参数输入!$B$9*4,DJ33-DJ24-SUM(DJ37:DJ40),0)</f>
        <v>0</v>
      </c>
      <c r="DK70" s="9">
        <f>IF(111&lt;=核心参数输入!$B$9*4,DK33-DK24-SUM(DK37:DK40),0)</f>
        <v>0</v>
      </c>
      <c r="DL70" s="9">
        <f>IF(112&lt;=核心参数输入!$B$9*4,DL33-DL24-SUM(DL37:DL40),0)</f>
        <v>0</v>
      </c>
      <c r="DM70" s="9">
        <f>IF(113&lt;=核心参数输入!$B$9*4,DM33-DM24-SUM(DM37:DM40),0)</f>
        <v>0</v>
      </c>
      <c r="DN70" s="9">
        <f>IF(114&lt;=核心参数输入!$B$9*4,DN33-DN24-SUM(DN37:DN40),0)</f>
        <v>0</v>
      </c>
      <c r="DO70" s="9">
        <f>IF(115&lt;=核心参数输入!$B$9*4,DO33-DO24-SUM(DO37:DO40),0)</f>
        <v>0</v>
      </c>
      <c r="DP70" s="9">
        <f>IF(116&lt;=核心参数输入!$B$9*4,DP33-DP24-SUM(DP37:DP40),0)</f>
        <v>0</v>
      </c>
      <c r="DQ70" s="9">
        <f>IF(117&lt;=核心参数输入!$B$9*4,DQ33-DQ24-SUM(DQ37:DQ40),0)</f>
        <v>0</v>
      </c>
      <c r="DR70" s="9">
        <f>IF(118&lt;=核心参数输入!$B$9*4,DR33-DR24-SUM(DR37:DR40),0)</f>
        <v>0</v>
      </c>
      <c r="DS70" s="9">
        <f>IF(119&lt;=核心参数输入!$B$9*4,DS33-DS24-SUM(DS37:DS40),0)</f>
        <v>0</v>
      </c>
      <c r="DT70" s="9">
        <f>IF(120&lt;=核心参数输入!$B$9*4,DT33-DT24-SUM(DT37:DT40),0)</f>
        <v>0</v>
      </c>
    </row>
    <row r="71" spans="1:124" ht="21" customHeight="1">
      <c r="A71" s="8" t="s">
        <v>502</v>
      </c>
      <c r="B71" s="8" t="s">
        <v>39</v>
      </c>
      <c r="C71" s="8"/>
      <c r="D71" s="9">
        <f>IF(0&lt;=核心参数输入!$B$9*4,IF(AND(0-核心参数输入!$B$112&gt;=0,0-核心参数输入!$B$112&lt;=120),INDEX(季度经营税费!$D$36:$DT$36,1,MAX(1,MIN(121,0-核心参数输入!$B$112+1))),0)+IF(0=核心参数输入!$B$9*4,SUMPRODUCT(季度经营税费!$D$36:$DT$36,--(季度经营税费!$D$4:$DT$4&gt;核心参数输入!$B$9*4-核心参数输入!$B$112)),0),0)</f>
        <v>0</v>
      </c>
      <c r="E71" s="9">
        <f>IF(1&lt;=核心参数输入!$B$9*4,IF(AND(1-核心参数输入!$B$112&gt;=0,1-核心参数输入!$B$112&lt;=120),INDEX(季度经营税费!$D$36:$DT$36,1,MAX(1,MIN(121,1-核心参数输入!$B$112+1))),0)+IF(1=核心参数输入!$B$9*4,SUMPRODUCT(季度经营税费!$D$36:$DT$36,--(季度经营税费!$D$4:$DT$4&gt;核心参数输入!$B$9*4-核心参数输入!$B$112)),0),0)</f>
        <v>0</v>
      </c>
      <c r="F71" s="9">
        <f>IF(2&lt;=核心参数输入!$B$9*4,IF(AND(2-核心参数输入!$B$112&gt;=0,2-核心参数输入!$B$112&lt;=120),INDEX(季度经营税费!$D$36:$DT$36,1,MAX(1,MIN(121,2-核心参数输入!$B$112+1))),0)+IF(2=核心参数输入!$B$9*4,SUMPRODUCT(季度经营税费!$D$36:$DT$36,--(季度经营税费!$D$4:$DT$4&gt;核心参数输入!$B$9*4-核心参数输入!$B$112)),0),0)</f>
        <v>0</v>
      </c>
      <c r="G71" s="9">
        <f>IF(3&lt;=核心参数输入!$B$9*4,IF(AND(3-核心参数输入!$B$112&gt;=0,3-核心参数输入!$B$112&lt;=120),INDEX(季度经营税费!$D$36:$DT$36,1,MAX(1,MIN(121,3-核心参数输入!$B$112+1))),0)+IF(3=核心参数输入!$B$9*4,SUMPRODUCT(季度经营税费!$D$36:$DT$36,--(季度经营税费!$D$4:$DT$4&gt;核心参数输入!$B$9*4-核心参数输入!$B$112)),0),0)</f>
        <v>0</v>
      </c>
      <c r="H71" s="9">
        <f>IF(4&lt;=核心参数输入!$B$9*4,IF(AND(4-核心参数输入!$B$112&gt;=0,4-核心参数输入!$B$112&lt;=120),INDEX(季度经营税费!$D$36:$DT$36,1,MAX(1,MIN(121,4-核心参数输入!$B$112+1))),0)+IF(4=核心参数输入!$B$9*4,SUMPRODUCT(季度经营税费!$D$36:$DT$36,--(季度经营税费!$D$4:$DT$4&gt;核心参数输入!$B$9*4-核心参数输入!$B$112)),0),0)</f>
        <v>0</v>
      </c>
      <c r="I71" s="9">
        <f>IF(5&lt;=核心参数输入!$B$9*4,IF(AND(5-核心参数输入!$B$112&gt;=0,5-核心参数输入!$B$112&lt;=120),INDEX(季度经营税费!$D$36:$DT$36,1,MAX(1,MIN(121,5-核心参数输入!$B$112+1))),0)+IF(5=核心参数输入!$B$9*4,SUMPRODUCT(季度经营税费!$D$36:$DT$36,--(季度经营税费!$D$4:$DT$4&gt;核心参数输入!$B$9*4-核心参数输入!$B$112)),0),0)</f>
        <v>0</v>
      </c>
      <c r="J71" s="9">
        <f>IF(6&lt;=核心参数输入!$B$9*4,IF(AND(6-核心参数输入!$B$112&gt;=0,6-核心参数输入!$B$112&lt;=120),INDEX(季度经营税费!$D$36:$DT$36,1,MAX(1,MIN(121,6-核心参数输入!$B$112+1))),0)+IF(6=核心参数输入!$B$9*4,SUMPRODUCT(季度经营税费!$D$36:$DT$36,--(季度经营税费!$D$4:$DT$4&gt;核心参数输入!$B$9*4-核心参数输入!$B$112)),0),0)</f>
        <v>0</v>
      </c>
      <c r="K71" s="9">
        <f>IF(7&lt;=核心参数输入!$B$9*4,IF(AND(7-核心参数输入!$B$112&gt;=0,7-核心参数输入!$B$112&lt;=120),INDEX(季度经营税费!$D$36:$DT$36,1,MAX(1,MIN(121,7-核心参数输入!$B$112+1))),0)+IF(7=核心参数输入!$B$9*4,SUMPRODUCT(季度经营税费!$D$36:$DT$36,--(季度经营税费!$D$4:$DT$4&gt;核心参数输入!$B$9*4-核心参数输入!$B$112)),0),0)</f>
        <v>0</v>
      </c>
      <c r="L71" s="9">
        <f>IF(8&lt;=核心参数输入!$B$9*4,IF(AND(8-核心参数输入!$B$112&gt;=0,8-核心参数输入!$B$112&lt;=120),INDEX(季度经营税费!$D$36:$DT$36,1,MAX(1,MIN(121,8-核心参数输入!$B$112+1))),0)+IF(8=核心参数输入!$B$9*4,SUMPRODUCT(季度经营税费!$D$36:$DT$36,--(季度经营税费!$D$4:$DT$4&gt;核心参数输入!$B$9*4-核心参数输入!$B$112)),0),0)</f>
        <v>0</v>
      </c>
      <c r="M71" s="9">
        <f>IF(9&lt;=核心参数输入!$B$9*4,IF(AND(9-核心参数输入!$B$112&gt;=0,9-核心参数输入!$B$112&lt;=120),INDEX(季度经营税费!$D$36:$DT$36,1,MAX(1,MIN(121,9-核心参数输入!$B$112+1))),0)+IF(9=核心参数输入!$B$9*4,SUMPRODUCT(季度经营税费!$D$36:$DT$36,--(季度经营税费!$D$4:$DT$4&gt;核心参数输入!$B$9*4-核心参数输入!$B$112)),0),0)</f>
        <v>0</v>
      </c>
      <c r="N71" s="9">
        <f>IF(10&lt;=核心参数输入!$B$9*4,IF(AND(10-核心参数输入!$B$112&gt;=0,10-核心参数输入!$B$112&lt;=120),INDEX(季度经营税费!$D$36:$DT$36,1,MAX(1,MIN(121,10-核心参数输入!$B$112+1))),0)+IF(10=核心参数输入!$B$9*4,SUMPRODUCT(季度经营税费!$D$36:$DT$36,--(季度经营税费!$D$4:$DT$4&gt;核心参数输入!$B$9*4-核心参数输入!$B$112)),0),0)</f>
        <v>0</v>
      </c>
      <c r="O71" s="9">
        <f>IF(11&lt;=核心参数输入!$B$9*4,IF(AND(11-核心参数输入!$B$112&gt;=0,11-核心参数输入!$B$112&lt;=120),INDEX(季度经营税费!$D$36:$DT$36,1,MAX(1,MIN(121,11-核心参数输入!$B$112+1))),0)+IF(11=核心参数输入!$B$9*4,SUMPRODUCT(季度经营税费!$D$36:$DT$36,--(季度经营税费!$D$4:$DT$4&gt;核心参数输入!$B$9*4-核心参数输入!$B$112)),0),0)</f>
        <v>0</v>
      </c>
      <c r="P71" s="9">
        <f>IF(12&lt;=核心参数输入!$B$9*4,IF(AND(12-核心参数输入!$B$112&gt;=0,12-核心参数输入!$B$112&lt;=120),INDEX(季度经营税费!$D$36:$DT$36,1,MAX(1,MIN(121,12-核心参数输入!$B$112+1))),0)+IF(12=核心参数输入!$B$9*4,SUMPRODUCT(季度经营税费!$D$36:$DT$36,--(季度经营税费!$D$4:$DT$4&gt;核心参数输入!$B$9*4-核心参数输入!$B$112)),0),0)</f>
        <v>0</v>
      </c>
      <c r="Q71" s="9">
        <f>IF(13&lt;=核心参数输入!$B$9*4,IF(AND(13-核心参数输入!$B$112&gt;=0,13-核心参数输入!$B$112&lt;=120),INDEX(季度经营税费!$D$36:$DT$36,1,MAX(1,MIN(121,13-核心参数输入!$B$112+1))),0)+IF(13=核心参数输入!$B$9*4,SUMPRODUCT(季度经营税费!$D$36:$DT$36,--(季度经营税费!$D$4:$DT$4&gt;核心参数输入!$B$9*4-核心参数输入!$B$112)),0),0)</f>
        <v>289.57499999999999</v>
      </c>
      <c r="R71" s="9">
        <f>IF(14&lt;=核心参数输入!$B$9*4,IF(AND(14-核心参数输入!$B$112&gt;=0,14-核心参数输入!$B$112&lt;=120),INDEX(季度经营税费!$D$36:$DT$36,1,MAX(1,MIN(121,14-核心参数输入!$B$112+1))),0)+IF(14=核心参数输入!$B$9*4,SUMPRODUCT(季度经营税费!$D$36:$DT$36,--(季度经营税费!$D$4:$DT$4&gt;核心参数输入!$B$9*4-核心参数输入!$B$112)),0),0)</f>
        <v>289.57499999999999</v>
      </c>
      <c r="S71" s="9">
        <f>IF(15&lt;=核心参数输入!$B$9*4,IF(AND(15-核心参数输入!$B$112&gt;=0,15-核心参数输入!$B$112&lt;=120),INDEX(季度经营税费!$D$36:$DT$36,1,MAX(1,MIN(121,15-核心参数输入!$B$112+1))),0)+IF(15=核心参数输入!$B$9*4,SUMPRODUCT(季度经营税费!$D$36:$DT$36,--(季度经营税费!$D$4:$DT$4&gt;核心参数输入!$B$9*4-核心参数输入!$B$112)),0),0)</f>
        <v>289.57499999999999</v>
      </c>
      <c r="T71" s="9">
        <f>IF(16&lt;=核心参数输入!$B$9*4,IF(AND(16-核心参数输入!$B$112&gt;=0,16-核心参数输入!$B$112&lt;=120),INDEX(季度经营税费!$D$36:$DT$36,1,MAX(1,MIN(121,16-核心参数输入!$B$112+1))),0)+IF(16=核心参数输入!$B$9*4,SUMPRODUCT(季度经营税费!$D$36:$DT$36,--(季度经营税费!$D$4:$DT$4&gt;核心参数输入!$B$9*4-核心参数输入!$B$112)),0),0)</f>
        <v>289.57499999999999</v>
      </c>
      <c r="U71" s="9">
        <f>IF(17&lt;=核心参数输入!$B$9*4,IF(AND(17-核心参数输入!$B$112&gt;=0,17-核心参数输入!$B$112&lt;=120),INDEX(季度经营税费!$D$36:$DT$36,1,MAX(1,MIN(121,17-核心参数输入!$B$112+1))),0)+IF(17=核心参数输入!$B$9*4,SUMPRODUCT(季度经营税费!$D$36:$DT$36,--(季度经营税费!$D$4:$DT$4&gt;核心参数输入!$B$9*4-核心参数输入!$B$112)),0),0)</f>
        <v>386.1</v>
      </c>
      <c r="V71" s="9">
        <f>IF(18&lt;=核心参数输入!$B$9*4,IF(AND(18-核心参数输入!$B$112&gt;=0,18-核心参数输入!$B$112&lt;=120),INDEX(季度经营税费!$D$36:$DT$36,1,MAX(1,MIN(121,18-核心参数输入!$B$112+1))),0)+IF(18=核心参数输入!$B$9*4,SUMPRODUCT(季度经营税费!$D$36:$DT$36,--(季度经营税费!$D$4:$DT$4&gt;核心参数输入!$B$9*4-核心参数输入!$B$112)),0),0)</f>
        <v>386.1</v>
      </c>
      <c r="W71" s="9">
        <f>IF(19&lt;=核心参数输入!$B$9*4,IF(AND(19-核心参数输入!$B$112&gt;=0,19-核心参数输入!$B$112&lt;=120),INDEX(季度经营税费!$D$36:$DT$36,1,MAX(1,MIN(121,19-核心参数输入!$B$112+1))),0)+IF(19=核心参数输入!$B$9*4,SUMPRODUCT(季度经营税费!$D$36:$DT$36,--(季度经营税费!$D$4:$DT$4&gt;核心参数输入!$B$9*4-核心参数输入!$B$112)),0),0)</f>
        <v>386.1</v>
      </c>
      <c r="X71" s="9">
        <f>IF(20&lt;=核心参数输入!$B$9*4,IF(AND(20-核心参数输入!$B$112&gt;=0,20-核心参数输入!$B$112&lt;=120),INDEX(季度经营税费!$D$36:$DT$36,1,MAX(1,MIN(121,20-核心参数输入!$B$112+1))),0)+IF(20=核心参数输入!$B$9*4,SUMPRODUCT(季度经营税费!$D$36:$DT$36,--(季度经营税费!$D$4:$DT$4&gt;核心参数输入!$B$9*4-核心参数输入!$B$112)),0),0)</f>
        <v>386.1</v>
      </c>
      <c r="Y71" s="9">
        <f>IF(21&lt;=核心参数输入!$B$9*4,IF(AND(21-核心参数输入!$B$112&gt;=0,21-核心参数输入!$B$112&lt;=120),INDEX(季度经营税费!$D$36:$DT$36,1,MAX(1,MIN(121,21-核心参数输入!$B$112+1))),0)+IF(21=核心参数输入!$B$9*4,SUMPRODUCT(季度经营税费!$D$36:$DT$36,--(季度经营税费!$D$4:$DT$4&gt;核心参数输入!$B$9*4-核心参数输入!$B$112)),0),0)</f>
        <v>289.57499999999999</v>
      </c>
      <c r="Z71" s="9">
        <f>IF(22&lt;=核心参数输入!$B$9*4,IF(AND(22-核心参数输入!$B$112&gt;=0,22-核心参数输入!$B$112&lt;=120),INDEX(季度经营税费!$D$36:$DT$36,1,MAX(1,MIN(121,22-核心参数输入!$B$112+1))),0)+IF(22=核心参数输入!$B$9*4,SUMPRODUCT(季度经营税费!$D$36:$DT$36,--(季度经营税费!$D$4:$DT$4&gt;核心参数输入!$B$9*4-核心参数输入!$B$112)),0),0)</f>
        <v>289.57499999999999</v>
      </c>
      <c r="AA71" s="9">
        <f>IF(23&lt;=核心参数输入!$B$9*4,IF(AND(23-核心参数输入!$B$112&gt;=0,23-核心参数输入!$B$112&lt;=120),INDEX(季度经营税费!$D$36:$DT$36,1,MAX(1,MIN(121,23-核心参数输入!$B$112+1))),0)+IF(23=核心参数输入!$B$9*4,SUMPRODUCT(季度经营税费!$D$36:$DT$36,--(季度经营税费!$D$4:$DT$4&gt;核心参数输入!$B$9*4-核心参数输入!$B$112)),0),0)</f>
        <v>289.57499999999999</v>
      </c>
      <c r="AB71" s="9">
        <f>IF(24&lt;=核心参数输入!$B$9*4,IF(AND(24-核心参数输入!$B$112&gt;=0,24-核心参数输入!$B$112&lt;=120),INDEX(季度经营税费!$D$36:$DT$36,1,MAX(1,MIN(121,24-核心参数输入!$B$112+1))),0)+IF(24=核心参数输入!$B$9*4,SUMPRODUCT(季度经营税费!$D$36:$DT$36,--(季度经营税费!$D$4:$DT$4&gt;核心参数输入!$B$9*4-核心参数输入!$B$112)),0),0)</f>
        <v>289.57499999999999</v>
      </c>
      <c r="AC71" s="9">
        <f>IF(25&lt;=核心参数输入!$B$9*4,IF(AND(25-核心参数输入!$B$112&gt;=0,25-核心参数输入!$B$112&lt;=120),INDEX(季度经营税费!$D$36:$DT$36,1,MAX(1,MIN(121,25-核心参数输入!$B$112+1))),0)+IF(25=核心参数输入!$B$9*4,SUMPRODUCT(季度经营税费!$D$36:$DT$36,--(季度经营税费!$D$4:$DT$4&gt;核心参数输入!$B$9*4-核心参数输入!$B$112)),0),0)</f>
        <v>0</v>
      </c>
      <c r="AD71" s="9">
        <f>IF(26&lt;=核心参数输入!$B$9*4,IF(AND(26-核心参数输入!$B$112&gt;=0,26-核心参数输入!$B$112&lt;=120),INDEX(季度经营税费!$D$36:$DT$36,1,MAX(1,MIN(121,26-核心参数输入!$B$112+1))),0)+IF(26=核心参数输入!$B$9*4,SUMPRODUCT(季度经营税费!$D$36:$DT$36,--(季度经营税费!$D$4:$DT$4&gt;核心参数输入!$B$9*4-核心参数输入!$B$112)),0),0)</f>
        <v>0</v>
      </c>
      <c r="AE71" s="9">
        <f>IF(27&lt;=核心参数输入!$B$9*4,IF(AND(27-核心参数输入!$B$112&gt;=0,27-核心参数输入!$B$112&lt;=120),INDEX(季度经营税费!$D$36:$DT$36,1,MAX(1,MIN(121,27-核心参数输入!$B$112+1))),0)+IF(27=核心参数输入!$B$9*4,SUMPRODUCT(季度经营税费!$D$36:$DT$36,--(季度经营税费!$D$4:$DT$4&gt;核心参数输入!$B$9*4-核心参数输入!$B$112)),0),0)</f>
        <v>0</v>
      </c>
      <c r="AF71" s="9">
        <f>IF(28&lt;=核心参数输入!$B$9*4,IF(AND(28-核心参数输入!$B$112&gt;=0,28-核心参数输入!$B$112&lt;=120),INDEX(季度经营税费!$D$36:$DT$36,1,MAX(1,MIN(121,28-核心参数输入!$B$112+1))),0)+IF(28=核心参数输入!$B$9*4,SUMPRODUCT(季度经营税费!$D$36:$DT$36,--(季度经营税费!$D$4:$DT$4&gt;核心参数输入!$B$9*4-核心参数输入!$B$112)),0),0)</f>
        <v>0</v>
      </c>
      <c r="AG71" s="9">
        <f>IF(29&lt;=核心参数输入!$B$9*4,IF(AND(29-核心参数输入!$B$112&gt;=0,29-核心参数输入!$B$112&lt;=120),INDEX(季度经营税费!$D$36:$DT$36,1,MAX(1,MIN(121,29-核心参数输入!$B$112+1))),0)+IF(29=核心参数输入!$B$9*4,SUMPRODUCT(季度经营税费!$D$36:$DT$36,--(季度经营税费!$D$4:$DT$4&gt;核心参数输入!$B$9*4-核心参数输入!$B$112)),0),0)</f>
        <v>0</v>
      </c>
      <c r="AH71" s="9">
        <f>IF(30&lt;=核心参数输入!$B$9*4,IF(AND(30-核心参数输入!$B$112&gt;=0,30-核心参数输入!$B$112&lt;=120),INDEX(季度经营税费!$D$36:$DT$36,1,MAX(1,MIN(121,30-核心参数输入!$B$112+1))),0)+IF(30=核心参数输入!$B$9*4,SUMPRODUCT(季度经营税费!$D$36:$DT$36,--(季度经营税费!$D$4:$DT$4&gt;核心参数输入!$B$9*4-核心参数输入!$B$112)),0),0)</f>
        <v>0</v>
      </c>
      <c r="AI71" s="9">
        <f>IF(31&lt;=核心参数输入!$B$9*4,IF(AND(31-核心参数输入!$B$112&gt;=0,31-核心参数输入!$B$112&lt;=120),INDEX(季度经营税费!$D$36:$DT$36,1,MAX(1,MIN(121,31-核心参数输入!$B$112+1))),0)+IF(31=核心参数输入!$B$9*4,SUMPRODUCT(季度经营税费!$D$36:$DT$36,--(季度经营税费!$D$4:$DT$4&gt;核心参数输入!$B$9*4-核心参数输入!$B$112)),0),0)</f>
        <v>0</v>
      </c>
      <c r="AJ71" s="9">
        <f>IF(32&lt;=核心参数输入!$B$9*4,IF(AND(32-核心参数输入!$B$112&gt;=0,32-核心参数输入!$B$112&lt;=120),INDEX(季度经营税费!$D$36:$DT$36,1,MAX(1,MIN(121,32-核心参数输入!$B$112+1))),0)+IF(32=核心参数输入!$B$9*4,SUMPRODUCT(季度经营税费!$D$36:$DT$36,--(季度经营税费!$D$4:$DT$4&gt;核心参数输入!$B$9*4-核心参数输入!$B$112)),0),0)</f>
        <v>0</v>
      </c>
      <c r="AK71" s="9">
        <f>IF(33&lt;=核心参数输入!$B$9*4,IF(AND(33-核心参数输入!$B$112&gt;=0,33-核心参数输入!$B$112&lt;=120),INDEX(季度经营税费!$D$36:$DT$36,1,MAX(1,MIN(121,33-核心参数输入!$B$112+1))),0)+IF(33=核心参数输入!$B$9*4,SUMPRODUCT(季度经营税费!$D$36:$DT$36,--(季度经营税费!$D$4:$DT$4&gt;核心参数输入!$B$9*4-核心参数输入!$B$112)),0),0)</f>
        <v>0</v>
      </c>
      <c r="AL71" s="9">
        <f>IF(34&lt;=核心参数输入!$B$9*4,IF(AND(34-核心参数输入!$B$112&gt;=0,34-核心参数输入!$B$112&lt;=120),INDEX(季度经营税费!$D$36:$DT$36,1,MAX(1,MIN(121,34-核心参数输入!$B$112+1))),0)+IF(34=核心参数输入!$B$9*4,SUMPRODUCT(季度经营税费!$D$36:$DT$36,--(季度经营税费!$D$4:$DT$4&gt;核心参数输入!$B$9*4-核心参数输入!$B$112)),0),0)</f>
        <v>0</v>
      </c>
      <c r="AM71" s="9">
        <f>IF(35&lt;=核心参数输入!$B$9*4,IF(AND(35-核心参数输入!$B$112&gt;=0,35-核心参数输入!$B$112&lt;=120),INDEX(季度经营税费!$D$36:$DT$36,1,MAX(1,MIN(121,35-核心参数输入!$B$112+1))),0)+IF(35=核心参数输入!$B$9*4,SUMPRODUCT(季度经营税费!$D$36:$DT$36,--(季度经营税费!$D$4:$DT$4&gt;核心参数输入!$B$9*4-核心参数输入!$B$112)),0),0)</f>
        <v>0</v>
      </c>
      <c r="AN71" s="9">
        <f>IF(36&lt;=核心参数输入!$B$9*4,IF(AND(36-核心参数输入!$B$112&gt;=0,36-核心参数输入!$B$112&lt;=120),INDEX(季度经营税费!$D$36:$DT$36,1,MAX(1,MIN(121,36-核心参数输入!$B$112+1))),0)+IF(36=核心参数输入!$B$9*4,SUMPRODUCT(季度经营税费!$D$36:$DT$36,--(季度经营税费!$D$4:$DT$4&gt;核心参数输入!$B$9*4-核心参数输入!$B$112)),0),0)</f>
        <v>0</v>
      </c>
      <c r="AO71" s="9">
        <f>IF(37&lt;=核心参数输入!$B$9*4,IF(AND(37-核心参数输入!$B$112&gt;=0,37-核心参数输入!$B$112&lt;=120),INDEX(季度经营税费!$D$36:$DT$36,1,MAX(1,MIN(121,37-核心参数输入!$B$112+1))),0)+IF(37=核心参数输入!$B$9*4,SUMPRODUCT(季度经营税费!$D$36:$DT$36,--(季度经营税费!$D$4:$DT$4&gt;核心参数输入!$B$9*4-核心参数输入!$B$112)),0),0)</f>
        <v>0</v>
      </c>
      <c r="AP71" s="9">
        <f>IF(38&lt;=核心参数输入!$B$9*4,IF(AND(38-核心参数输入!$B$112&gt;=0,38-核心参数输入!$B$112&lt;=120),INDEX(季度经营税费!$D$36:$DT$36,1,MAX(1,MIN(121,38-核心参数输入!$B$112+1))),0)+IF(38=核心参数输入!$B$9*4,SUMPRODUCT(季度经营税费!$D$36:$DT$36,--(季度经营税费!$D$4:$DT$4&gt;核心参数输入!$B$9*4-核心参数输入!$B$112)),0),0)</f>
        <v>0</v>
      </c>
      <c r="AQ71" s="9">
        <f>IF(39&lt;=核心参数输入!$B$9*4,IF(AND(39-核心参数输入!$B$112&gt;=0,39-核心参数输入!$B$112&lt;=120),INDEX(季度经营税费!$D$36:$DT$36,1,MAX(1,MIN(121,39-核心参数输入!$B$112+1))),0)+IF(39=核心参数输入!$B$9*4,SUMPRODUCT(季度经营税费!$D$36:$DT$36,--(季度经营税费!$D$4:$DT$4&gt;核心参数输入!$B$9*4-核心参数输入!$B$112)),0),0)</f>
        <v>0</v>
      </c>
      <c r="AR71" s="9">
        <f>IF(40&lt;=核心参数输入!$B$9*4,IF(AND(40-核心参数输入!$B$112&gt;=0,40-核心参数输入!$B$112&lt;=120),INDEX(季度经营税费!$D$36:$DT$36,1,MAX(1,MIN(121,40-核心参数输入!$B$112+1))),0)+IF(40=核心参数输入!$B$9*4,SUMPRODUCT(季度经营税费!$D$36:$DT$36,--(季度经营税费!$D$4:$DT$4&gt;核心参数输入!$B$9*4-核心参数输入!$B$112)),0),0)</f>
        <v>0</v>
      </c>
      <c r="AS71" s="9">
        <f>IF(41&lt;=核心参数输入!$B$9*4,IF(AND(41-核心参数输入!$B$112&gt;=0,41-核心参数输入!$B$112&lt;=120),INDEX(季度经营税费!$D$36:$DT$36,1,MAX(1,MIN(121,41-核心参数输入!$B$112+1))),0)+IF(41=核心参数输入!$B$9*4,SUMPRODUCT(季度经营税费!$D$36:$DT$36,--(季度经营税费!$D$4:$DT$4&gt;核心参数输入!$B$9*4-核心参数输入!$B$112)),0),0)</f>
        <v>0</v>
      </c>
      <c r="AT71" s="9">
        <f>IF(42&lt;=核心参数输入!$B$9*4,IF(AND(42-核心参数输入!$B$112&gt;=0,42-核心参数输入!$B$112&lt;=120),INDEX(季度经营税费!$D$36:$DT$36,1,MAX(1,MIN(121,42-核心参数输入!$B$112+1))),0)+IF(42=核心参数输入!$B$9*4,SUMPRODUCT(季度经营税费!$D$36:$DT$36,--(季度经营税费!$D$4:$DT$4&gt;核心参数输入!$B$9*4-核心参数输入!$B$112)),0),0)</f>
        <v>0</v>
      </c>
      <c r="AU71" s="9">
        <f>IF(43&lt;=核心参数输入!$B$9*4,IF(AND(43-核心参数输入!$B$112&gt;=0,43-核心参数输入!$B$112&lt;=120),INDEX(季度经营税费!$D$36:$DT$36,1,MAX(1,MIN(121,43-核心参数输入!$B$112+1))),0)+IF(43=核心参数输入!$B$9*4,SUMPRODUCT(季度经营税费!$D$36:$DT$36,--(季度经营税费!$D$4:$DT$4&gt;核心参数输入!$B$9*4-核心参数输入!$B$112)),0),0)</f>
        <v>0</v>
      </c>
      <c r="AV71" s="9">
        <f>IF(44&lt;=核心参数输入!$B$9*4,IF(AND(44-核心参数输入!$B$112&gt;=0,44-核心参数输入!$B$112&lt;=120),INDEX(季度经营税费!$D$36:$DT$36,1,MAX(1,MIN(121,44-核心参数输入!$B$112+1))),0)+IF(44=核心参数输入!$B$9*4,SUMPRODUCT(季度经营税费!$D$36:$DT$36,--(季度经营税费!$D$4:$DT$4&gt;核心参数输入!$B$9*4-核心参数输入!$B$112)),0),0)</f>
        <v>0</v>
      </c>
      <c r="AW71" s="9">
        <f>IF(45&lt;=核心参数输入!$B$9*4,IF(AND(45-核心参数输入!$B$112&gt;=0,45-核心参数输入!$B$112&lt;=120),INDEX(季度经营税费!$D$36:$DT$36,1,MAX(1,MIN(121,45-核心参数输入!$B$112+1))),0)+IF(45=核心参数输入!$B$9*4,SUMPRODUCT(季度经营税费!$D$36:$DT$36,--(季度经营税费!$D$4:$DT$4&gt;核心参数输入!$B$9*4-核心参数输入!$B$112)),0),0)</f>
        <v>0</v>
      </c>
      <c r="AX71" s="9">
        <f>IF(46&lt;=核心参数输入!$B$9*4,IF(AND(46-核心参数输入!$B$112&gt;=0,46-核心参数输入!$B$112&lt;=120),INDEX(季度经营税费!$D$36:$DT$36,1,MAX(1,MIN(121,46-核心参数输入!$B$112+1))),0)+IF(46=核心参数输入!$B$9*4,SUMPRODUCT(季度经营税费!$D$36:$DT$36,--(季度经营税费!$D$4:$DT$4&gt;核心参数输入!$B$9*4-核心参数输入!$B$112)),0),0)</f>
        <v>0</v>
      </c>
      <c r="AY71" s="9">
        <f>IF(47&lt;=核心参数输入!$B$9*4,IF(AND(47-核心参数输入!$B$112&gt;=0,47-核心参数输入!$B$112&lt;=120),INDEX(季度经营税费!$D$36:$DT$36,1,MAX(1,MIN(121,47-核心参数输入!$B$112+1))),0)+IF(47=核心参数输入!$B$9*4,SUMPRODUCT(季度经营税费!$D$36:$DT$36,--(季度经营税费!$D$4:$DT$4&gt;核心参数输入!$B$9*4-核心参数输入!$B$112)),0),0)</f>
        <v>0</v>
      </c>
      <c r="AZ71" s="9">
        <f>IF(48&lt;=核心参数输入!$B$9*4,IF(AND(48-核心参数输入!$B$112&gt;=0,48-核心参数输入!$B$112&lt;=120),INDEX(季度经营税费!$D$36:$DT$36,1,MAX(1,MIN(121,48-核心参数输入!$B$112+1))),0)+IF(48=核心参数输入!$B$9*4,SUMPRODUCT(季度经营税费!$D$36:$DT$36,--(季度经营税费!$D$4:$DT$4&gt;核心参数输入!$B$9*4-核心参数输入!$B$112)),0),0)</f>
        <v>0</v>
      </c>
      <c r="BA71" s="9">
        <f>IF(49&lt;=核心参数输入!$B$9*4,IF(AND(49-核心参数输入!$B$112&gt;=0,49-核心参数输入!$B$112&lt;=120),INDEX(季度经营税费!$D$36:$DT$36,1,MAX(1,MIN(121,49-核心参数输入!$B$112+1))),0)+IF(49=核心参数输入!$B$9*4,SUMPRODUCT(季度经营税费!$D$36:$DT$36,--(季度经营税费!$D$4:$DT$4&gt;核心参数输入!$B$9*4-核心参数输入!$B$112)),0),0)</f>
        <v>0</v>
      </c>
      <c r="BB71" s="9">
        <f>IF(50&lt;=核心参数输入!$B$9*4,IF(AND(50-核心参数输入!$B$112&gt;=0,50-核心参数输入!$B$112&lt;=120),INDEX(季度经营税费!$D$36:$DT$36,1,MAX(1,MIN(121,50-核心参数输入!$B$112+1))),0)+IF(50=核心参数输入!$B$9*4,SUMPRODUCT(季度经营税费!$D$36:$DT$36,--(季度经营税费!$D$4:$DT$4&gt;核心参数输入!$B$9*4-核心参数输入!$B$112)),0),0)</f>
        <v>0</v>
      </c>
      <c r="BC71" s="9">
        <f>IF(51&lt;=核心参数输入!$B$9*4,IF(AND(51-核心参数输入!$B$112&gt;=0,51-核心参数输入!$B$112&lt;=120),INDEX(季度经营税费!$D$36:$DT$36,1,MAX(1,MIN(121,51-核心参数输入!$B$112+1))),0)+IF(51=核心参数输入!$B$9*4,SUMPRODUCT(季度经营税费!$D$36:$DT$36,--(季度经营税费!$D$4:$DT$4&gt;核心参数输入!$B$9*4-核心参数输入!$B$112)),0),0)</f>
        <v>0</v>
      </c>
      <c r="BD71" s="9">
        <f>IF(52&lt;=核心参数输入!$B$9*4,IF(AND(52-核心参数输入!$B$112&gt;=0,52-核心参数输入!$B$112&lt;=120),INDEX(季度经营税费!$D$36:$DT$36,1,MAX(1,MIN(121,52-核心参数输入!$B$112+1))),0)+IF(52=核心参数输入!$B$9*4,SUMPRODUCT(季度经营税费!$D$36:$DT$36,--(季度经营税费!$D$4:$DT$4&gt;核心参数输入!$B$9*4-核心参数输入!$B$112)),0),0)</f>
        <v>0</v>
      </c>
      <c r="BE71" s="9">
        <f>IF(53&lt;=核心参数输入!$B$9*4,IF(AND(53-核心参数输入!$B$112&gt;=0,53-核心参数输入!$B$112&lt;=120),INDEX(季度经营税费!$D$36:$DT$36,1,MAX(1,MIN(121,53-核心参数输入!$B$112+1))),0)+IF(53=核心参数输入!$B$9*4,SUMPRODUCT(季度经营税费!$D$36:$DT$36,--(季度经营税费!$D$4:$DT$4&gt;核心参数输入!$B$9*4-核心参数输入!$B$112)),0),0)</f>
        <v>0</v>
      </c>
      <c r="BF71" s="9">
        <f>IF(54&lt;=核心参数输入!$B$9*4,IF(AND(54-核心参数输入!$B$112&gt;=0,54-核心参数输入!$B$112&lt;=120),INDEX(季度经营税费!$D$36:$DT$36,1,MAX(1,MIN(121,54-核心参数输入!$B$112+1))),0)+IF(54=核心参数输入!$B$9*4,SUMPRODUCT(季度经营税费!$D$36:$DT$36,--(季度经营税费!$D$4:$DT$4&gt;核心参数输入!$B$9*4-核心参数输入!$B$112)),0),0)</f>
        <v>0</v>
      </c>
      <c r="BG71" s="9">
        <f>IF(55&lt;=核心参数输入!$B$9*4,IF(AND(55-核心参数输入!$B$112&gt;=0,55-核心参数输入!$B$112&lt;=120),INDEX(季度经营税费!$D$36:$DT$36,1,MAX(1,MIN(121,55-核心参数输入!$B$112+1))),0)+IF(55=核心参数输入!$B$9*4,SUMPRODUCT(季度经营税费!$D$36:$DT$36,--(季度经营税费!$D$4:$DT$4&gt;核心参数输入!$B$9*4-核心参数输入!$B$112)),0),0)</f>
        <v>0</v>
      </c>
      <c r="BH71" s="9">
        <f>IF(56&lt;=核心参数输入!$B$9*4,IF(AND(56-核心参数输入!$B$112&gt;=0,56-核心参数输入!$B$112&lt;=120),INDEX(季度经营税费!$D$36:$DT$36,1,MAX(1,MIN(121,56-核心参数输入!$B$112+1))),0)+IF(56=核心参数输入!$B$9*4,SUMPRODUCT(季度经营税费!$D$36:$DT$36,--(季度经营税费!$D$4:$DT$4&gt;核心参数输入!$B$9*4-核心参数输入!$B$112)),0),0)</f>
        <v>0</v>
      </c>
      <c r="BI71" s="9">
        <f>IF(57&lt;=核心参数输入!$B$9*4,IF(AND(57-核心参数输入!$B$112&gt;=0,57-核心参数输入!$B$112&lt;=120),INDEX(季度经营税费!$D$36:$DT$36,1,MAX(1,MIN(121,57-核心参数输入!$B$112+1))),0)+IF(57=核心参数输入!$B$9*4,SUMPRODUCT(季度经营税费!$D$36:$DT$36,--(季度经营税费!$D$4:$DT$4&gt;核心参数输入!$B$9*4-核心参数输入!$B$112)),0),0)</f>
        <v>0</v>
      </c>
      <c r="BJ71" s="9">
        <f>IF(58&lt;=核心参数输入!$B$9*4,IF(AND(58-核心参数输入!$B$112&gt;=0,58-核心参数输入!$B$112&lt;=120),INDEX(季度经营税费!$D$36:$DT$36,1,MAX(1,MIN(121,58-核心参数输入!$B$112+1))),0)+IF(58=核心参数输入!$B$9*4,SUMPRODUCT(季度经营税费!$D$36:$DT$36,--(季度经营税费!$D$4:$DT$4&gt;核心参数输入!$B$9*4-核心参数输入!$B$112)),0),0)</f>
        <v>0</v>
      </c>
      <c r="BK71" s="9">
        <f>IF(59&lt;=核心参数输入!$B$9*4,IF(AND(59-核心参数输入!$B$112&gt;=0,59-核心参数输入!$B$112&lt;=120),INDEX(季度经营税费!$D$36:$DT$36,1,MAX(1,MIN(121,59-核心参数输入!$B$112+1))),0)+IF(59=核心参数输入!$B$9*4,SUMPRODUCT(季度经营税费!$D$36:$DT$36,--(季度经营税费!$D$4:$DT$4&gt;核心参数输入!$B$9*4-核心参数输入!$B$112)),0),0)</f>
        <v>0</v>
      </c>
      <c r="BL71" s="9">
        <f>IF(60&lt;=核心参数输入!$B$9*4,IF(AND(60-核心参数输入!$B$112&gt;=0,60-核心参数输入!$B$112&lt;=120),INDEX(季度经营税费!$D$36:$DT$36,1,MAX(1,MIN(121,60-核心参数输入!$B$112+1))),0)+IF(60=核心参数输入!$B$9*4,SUMPRODUCT(季度经营税费!$D$36:$DT$36,--(季度经营税费!$D$4:$DT$4&gt;核心参数输入!$B$9*4-核心参数输入!$B$112)),0),0)</f>
        <v>0</v>
      </c>
      <c r="BM71" s="9">
        <f>IF(61&lt;=核心参数输入!$B$9*4,IF(AND(61-核心参数输入!$B$112&gt;=0,61-核心参数输入!$B$112&lt;=120),INDEX(季度经营税费!$D$36:$DT$36,1,MAX(1,MIN(121,61-核心参数输入!$B$112+1))),0)+IF(61=核心参数输入!$B$9*4,SUMPRODUCT(季度经营税费!$D$36:$DT$36,--(季度经营税费!$D$4:$DT$4&gt;核心参数输入!$B$9*4-核心参数输入!$B$112)),0),0)</f>
        <v>0</v>
      </c>
      <c r="BN71" s="9">
        <f>IF(62&lt;=核心参数输入!$B$9*4,IF(AND(62-核心参数输入!$B$112&gt;=0,62-核心参数输入!$B$112&lt;=120),INDEX(季度经营税费!$D$36:$DT$36,1,MAX(1,MIN(121,62-核心参数输入!$B$112+1))),0)+IF(62=核心参数输入!$B$9*4,SUMPRODUCT(季度经营税费!$D$36:$DT$36,--(季度经营税费!$D$4:$DT$4&gt;核心参数输入!$B$9*4-核心参数输入!$B$112)),0),0)</f>
        <v>0</v>
      </c>
      <c r="BO71" s="9">
        <f>IF(63&lt;=核心参数输入!$B$9*4,IF(AND(63-核心参数输入!$B$112&gt;=0,63-核心参数输入!$B$112&lt;=120),INDEX(季度经营税费!$D$36:$DT$36,1,MAX(1,MIN(121,63-核心参数输入!$B$112+1))),0)+IF(63=核心参数输入!$B$9*4,SUMPRODUCT(季度经营税费!$D$36:$DT$36,--(季度经营税费!$D$4:$DT$4&gt;核心参数输入!$B$9*4-核心参数输入!$B$112)),0),0)</f>
        <v>0</v>
      </c>
      <c r="BP71" s="9">
        <f>IF(64&lt;=核心参数输入!$B$9*4,IF(AND(64-核心参数输入!$B$112&gt;=0,64-核心参数输入!$B$112&lt;=120),INDEX(季度经营税费!$D$36:$DT$36,1,MAX(1,MIN(121,64-核心参数输入!$B$112+1))),0)+IF(64=核心参数输入!$B$9*4,SUMPRODUCT(季度经营税费!$D$36:$DT$36,--(季度经营税费!$D$4:$DT$4&gt;核心参数输入!$B$9*4-核心参数输入!$B$112)),0),0)</f>
        <v>0</v>
      </c>
      <c r="BQ71" s="9">
        <f>IF(65&lt;=核心参数输入!$B$9*4,IF(AND(65-核心参数输入!$B$112&gt;=0,65-核心参数输入!$B$112&lt;=120),INDEX(季度经营税费!$D$36:$DT$36,1,MAX(1,MIN(121,65-核心参数输入!$B$112+1))),0)+IF(65=核心参数输入!$B$9*4,SUMPRODUCT(季度经营税费!$D$36:$DT$36,--(季度经营税费!$D$4:$DT$4&gt;核心参数输入!$B$9*4-核心参数输入!$B$112)),0),0)</f>
        <v>0</v>
      </c>
      <c r="BR71" s="9">
        <f>IF(66&lt;=核心参数输入!$B$9*4,IF(AND(66-核心参数输入!$B$112&gt;=0,66-核心参数输入!$B$112&lt;=120),INDEX(季度经营税费!$D$36:$DT$36,1,MAX(1,MIN(121,66-核心参数输入!$B$112+1))),0)+IF(66=核心参数输入!$B$9*4,SUMPRODUCT(季度经营税费!$D$36:$DT$36,--(季度经营税费!$D$4:$DT$4&gt;核心参数输入!$B$9*4-核心参数输入!$B$112)),0),0)</f>
        <v>0</v>
      </c>
      <c r="BS71" s="9">
        <f>IF(67&lt;=核心参数输入!$B$9*4,IF(AND(67-核心参数输入!$B$112&gt;=0,67-核心参数输入!$B$112&lt;=120),INDEX(季度经营税费!$D$36:$DT$36,1,MAX(1,MIN(121,67-核心参数输入!$B$112+1))),0)+IF(67=核心参数输入!$B$9*4,SUMPRODUCT(季度经营税费!$D$36:$DT$36,--(季度经营税费!$D$4:$DT$4&gt;核心参数输入!$B$9*4-核心参数输入!$B$112)),0),0)</f>
        <v>0</v>
      </c>
      <c r="BT71" s="9">
        <f>IF(68&lt;=核心参数输入!$B$9*4,IF(AND(68-核心参数输入!$B$112&gt;=0,68-核心参数输入!$B$112&lt;=120),INDEX(季度经营税费!$D$36:$DT$36,1,MAX(1,MIN(121,68-核心参数输入!$B$112+1))),0)+IF(68=核心参数输入!$B$9*4,SUMPRODUCT(季度经营税费!$D$36:$DT$36,--(季度经营税费!$D$4:$DT$4&gt;核心参数输入!$B$9*4-核心参数输入!$B$112)),0),0)</f>
        <v>0</v>
      </c>
      <c r="BU71" s="9">
        <f>IF(69&lt;=核心参数输入!$B$9*4,IF(AND(69-核心参数输入!$B$112&gt;=0,69-核心参数输入!$B$112&lt;=120),INDEX(季度经营税费!$D$36:$DT$36,1,MAX(1,MIN(121,69-核心参数输入!$B$112+1))),0)+IF(69=核心参数输入!$B$9*4,SUMPRODUCT(季度经营税费!$D$36:$DT$36,--(季度经营税费!$D$4:$DT$4&gt;核心参数输入!$B$9*4-核心参数输入!$B$112)),0),0)</f>
        <v>0</v>
      </c>
      <c r="BV71" s="9">
        <f>IF(70&lt;=核心参数输入!$B$9*4,IF(AND(70-核心参数输入!$B$112&gt;=0,70-核心参数输入!$B$112&lt;=120),INDEX(季度经营税费!$D$36:$DT$36,1,MAX(1,MIN(121,70-核心参数输入!$B$112+1))),0)+IF(70=核心参数输入!$B$9*4,SUMPRODUCT(季度经营税费!$D$36:$DT$36,--(季度经营税费!$D$4:$DT$4&gt;核心参数输入!$B$9*4-核心参数输入!$B$112)),0),0)</f>
        <v>0</v>
      </c>
      <c r="BW71" s="9">
        <f>IF(71&lt;=核心参数输入!$B$9*4,IF(AND(71-核心参数输入!$B$112&gt;=0,71-核心参数输入!$B$112&lt;=120),INDEX(季度经营税费!$D$36:$DT$36,1,MAX(1,MIN(121,71-核心参数输入!$B$112+1))),0)+IF(71=核心参数输入!$B$9*4,SUMPRODUCT(季度经营税费!$D$36:$DT$36,--(季度经营税费!$D$4:$DT$4&gt;核心参数输入!$B$9*4-核心参数输入!$B$112)),0),0)</f>
        <v>0</v>
      </c>
      <c r="BX71" s="9">
        <f>IF(72&lt;=核心参数输入!$B$9*4,IF(AND(72-核心参数输入!$B$112&gt;=0,72-核心参数输入!$B$112&lt;=120),INDEX(季度经营税费!$D$36:$DT$36,1,MAX(1,MIN(121,72-核心参数输入!$B$112+1))),0)+IF(72=核心参数输入!$B$9*4,SUMPRODUCT(季度经营税费!$D$36:$DT$36,--(季度经营税费!$D$4:$DT$4&gt;核心参数输入!$B$9*4-核心参数输入!$B$112)),0),0)</f>
        <v>0</v>
      </c>
      <c r="BY71" s="9">
        <f>IF(73&lt;=核心参数输入!$B$9*4,IF(AND(73-核心参数输入!$B$112&gt;=0,73-核心参数输入!$B$112&lt;=120),INDEX(季度经营税费!$D$36:$DT$36,1,MAX(1,MIN(121,73-核心参数输入!$B$112+1))),0)+IF(73=核心参数输入!$B$9*4,SUMPRODUCT(季度经营税费!$D$36:$DT$36,--(季度经营税费!$D$4:$DT$4&gt;核心参数输入!$B$9*4-核心参数输入!$B$112)),0),0)</f>
        <v>0</v>
      </c>
      <c r="BZ71" s="9">
        <f>IF(74&lt;=核心参数输入!$B$9*4,IF(AND(74-核心参数输入!$B$112&gt;=0,74-核心参数输入!$B$112&lt;=120),INDEX(季度经营税费!$D$36:$DT$36,1,MAX(1,MIN(121,74-核心参数输入!$B$112+1))),0)+IF(74=核心参数输入!$B$9*4,SUMPRODUCT(季度经营税费!$D$36:$DT$36,--(季度经营税费!$D$4:$DT$4&gt;核心参数输入!$B$9*4-核心参数输入!$B$112)),0),0)</f>
        <v>0</v>
      </c>
      <c r="CA71" s="9">
        <f>IF(75&lt;=核心参数输入!$B$9*4,IF(AND(75-核心参数输入!$B$112&gt;=0,75-核心参数输入!$B$112&lt;=120),INDEX(季度经营税费!$D$36:$DT$36,1,MAX(1,MIN(121,75-核心参数输入!$B$112+1))),0)+IF(75=核心参数输入!$B$9*4,SUMPRODUCT(季度经营税费!$D$36:$DT$36,--(季度经营税费!$D$4:$DT$4&gt;核心参数输入!$B$9*4-核心参数输入!$B$112)),0),0)</f>
        <v>0</v>
      </c>
      <c r="CB71" s="9">
        <f>IF(76&lt;=核心参数输入!$B$9*4,IF(AND(76-核心参数输入!$B$112&gt;=0,76-核心参数输入!$B$112&lt;=120),INDEX(季度经营税费!$D$36:$DT$36,1,MAX(1,MIN(121,76-核心参数输入!$B$112+1))),0)+IF(76=核心参数输入!$B$9*4,SUMPRODUCT(季度经营税费!$D$36:$DT$36,--(季度经营税费!$D$4:$DT$4&gt;核心参数输入!$B$9*4-核心参数输入!$B$112)),0),0)</f>
        <v>0</v>
      </c>
      <c r="CC71" s="9">
        <f>IF(77&lt;=核心参数输入!$B$9*4,IF(AND(77-核心参数输入!$B$112&gt;=0,77-核心参数输入!$B$112&lt;=120),INDEX(季度经营税费!$D$36:$DT$36,1,MAX(1,MIN(121,77-核心参数输入!$B$112+1))),0)+IF(77=核心参数输入!$B$9*4,SUMPRODUCT(季度经营税费!$D$36:$DT$36,--(季度经营税费!$D$4:$DT$4&gt;核心参数输入!$B$9*4-核心参数输入!$B$112)),0),0)</f>
        <v>0</v>
      </c>
      <c r="CD71" s="9">
        <f>IF(78&lt;=核心参数输入!$B$9*4,IF(AND(78-核心参数输入!$B$112&gt;=0,78-核心参数输入!$B$112&lt;=120),INDEX(季度经营税费!$D$36:$DT$36,1,MAX(1,MIN(121,78-核心参数输入!$B$112+1))),0)+IF(78=核心参数输入!$B$9*4,SUMPRODUCT(季度经营税费!$D$36:$DT$36,--(季度经营税费!$D$4:$DT$4&gt;核心参数输入!$B$9*4-核心参数输入!$B$112)),0),0)</f>
        <v>0</v>
      </c>
      <c r="CE71" s="9">
        <f>IF(79&lt;=核心参数输入!$B$9*4,IF(AND(79-核心参数输入!$B$112&gt;=0,79-核心参数输入!$B$112&lt;=120),INDEX(季度经营税费!$D$36:$DT$36,1,MAX(1,MIN(121,79-核心参数输入!$B$112+1))),0)+IF(79=核心参数输入!$B$9*4,SUMPRODUCT(季度经营税费!$D$36:$DT$36,--(季度经营税费!$D$4:$DT$4&gt;核心参数输入!$B$9*4-核心参数输入!$B$112)),0),0)</f>
        <v>0</v>
      </c>
      <c r="CF71" s="9">
        <f>IF(80&lt;=核心参数输入!$B$9*4,IF(AND(80-核心参数输入!$B$112&gt;=0,80-核心参数输入!$B$112&lt;=120),INDEX(季度经营税费!$D$36:$DT$36,1,MAX(1,MIN(121,80-核心参数输入!$B$112+1))),0)+IF(80=核心参数输入!$B$9*4,SUMPRODUCT(季度经营税费!$D$36:$DT$36,--(季度经营税费!$D$4:$DT$4&gt;核心参数输入!$B$9*4-核心参数输入!$B$112)),0),0)</f>
        <v>0</v>
      </c>
      <c r="CG71" s="9">
        <f>IF(81&lt;=核心参数输入!$B$9*4,IF(AND(81-核心参数输入!$B$112&gt;=0,81-核心参数输入!$B$112&lt;=120),INDEX(季度经营税费!$D$36:$DT$36,1,MAX(1,MIN(121,81-核心参数输入!$B$112+1))),0)+IF(81=核心参数输入!$B$9*4,SUMPRODUCT(季度经营税费!$D$36:$DT$36,--(季度经营税费!$D$4:$DT$4&gt;核心参数输入!$B$9*4-核心参数输入!$B$112)),0),0)</f>
        <v>0</v>
      </c>
      <c r="CH71" s="9">
        <f>IF(82&lt;=核心参数输入!$B$9*4,IF(AND(82-核心参数输入!$B$112&gt;=0,82-核心参数输入!$B$112&lt;=120),INDEX(季度经营税费!$D$36:$DT$36,1,MAX(1,MIN(121,82-核心参数输入!$B$112+1))),0)+IF(82=核心参数输入!$B$9*4,SUMPRODUCT(季度经营税费!$D$36:$DT$36,--(季度经营税费!$D$4:$DT$4&gt;核心参数输入!$B$9*4-核心参数输入!$B$112)),0),0)</f>
        <v>0</v>
      </c>
      <c r="CI71" s="9">
        <f>IF(83&lt;=核心参数输入!$B$9*4,IF(AND(83-核心参数输入!$B$112&gt;=0,83-核心参数输入!$B$112&lt;=120),INDEX(季度经营税费!$D$36:$DT$36,1,MAX(1,MIN(121,83-核心参数输入!$B$112+1))),0)+IF(83=核心参数输入!$B$9*4,SUMPRODUCT(季度经营税费!$D$36:$DT$36,--(季度经营税费!$D$4:$DT$4&gt;核心参数输入!$B$9*4-核心参数输入!$B$112)),0),0)</f>
        <v>0</v>
      </c>
      <c r="CJ71" s="9">
        <f>IF(84&lt;=核心参数输入!$B$9*4,IF(AND(84-核心参数输入!$B$112&gt;=0,84-核心参数输入!$B$112&lt;=120),INDEX(季度经营税费!$D$36:$DT$36,1,MAX(1,MIN(121,84-核心参数输入!$B$112+1))),0)+IF(84=核心参数输入!$B$9*4,SUMPRODUCT(季度经营税费!$D$36:$DT$36,--(季度经营税费!$D$4:$DT$4&gt;核心参数输入!$B$9*4-核心参数输入!$B$112)),0),0)</f>
        <v>0</v>
      </c>
      <c r="CK71" s="9">
        <f>IF(85&lt;=核心参数输入!$B$9*4,IF(AND(85-核心参数输入!$B$112&gt;=0,85-核心参数输入!$B$112&lt;=120),INDEX(季度经营税费!$D$36:$DT$36,1,MAX(1,MIN(121,85-核心参数输入!$B$112+1))),0)+IF(85=核心参数输入!$B$9*4,SUMPRODUCT(季度经营税费!$D$36:$DT$36,--(季度经营税费!$D$4:$DT$4&gt;核心参数输入!$B$9*4-核心参数输入!$B$112)),0),0)</f>
        <v>0</v>
      </c>
      <c r="CL71" s="9">
        <f>IF(86&lt;=核心参数输入!$B$9*4,IF(AND(86-核心参数输入!$B$112&gt;=0,86-核心参数输入!$B$112&lt;=120),INDEX(季度经营税费!$D$36:$DT$36,1,MAX(1,MIN(121,86-核心参数输入!$B$112+1))),0)+IF(86=核心参数输入!$B$9*4,SUMPRODUCT(季度经营税费!$D$36:$DT$36,--(季度经营税费!$D$4:$DT$4&gt;核心参数输入!$B$9*4-核心参数输入!$B$112)),0),0)</f>
        <v>0</v>
      </c>
      <c r="CM71" s="9">
        <f>IF(87&lt;=核心参数输入!$B$9*4,IF(AND(87-核心参数输入!$B$112&gt;=0,87-核心参数输入!$B$112&lt;=120),INDEX(季度经营税费!$D$36:$DT$36,1,MAX(1,MIN(121,87-核心参数输入!$B$112+1))),0)+IF(87=核心参数输入!$B$9*4,SUMPRODUCT(季度经营税费!$D$36:$DT$36,--(季度经营税费!$D$4:$DT$4&gt;核心参数输入!$B$9*4-核心参数输入!$B$112)),0),0)</f>
        <v>0</v>
      </c>
      <c r="CN71" s="9">
        <f>IF(88&lt;=核心参数输入!$B$9*4,IF(AND(88-核心参数输入!$B$112&gt;=0,88-核心参数输入!$B$112&lt;=120),INDEX(季度经营税费!$D$36:$DT$36,1,MAX(1,MIN(121,88-核心参数输入!$B$112+1))),0)+IF(88=核心参数输入!$B$9*4,SUMPRODUCT(季度经营税费!$D$36:$DT$36,--(季度经营税费!$D$4:$DT$4&gt;核心参数输入!$B$9*4-核心参数输入!$B$112)),0),0)</f>
        <v>0</v>
      </c>
      <c r="CO71" s="9">
        <f>IF(89&lt;=核心参数输入!$B$9*4,IF(AND(89-核心参数输入!$B$112&gt;=0,89-核心参数输入!$B$112&lt;=120),INDEX(季度经营税费!$D$36:$DT$36,1,MAX(1,MIN(121,89-核心参数输入!$B$112+1))),0)+IF(89=核心参数输入!$B$9*4,SUMPRODUCT(季度经营税费!$D$36:$DT$36,--(季度经营税费!$D$4:$DT$4&gt;核心参数输入!$B$9*4-核心参数输入!$B$112)),0),0)</f>
        <v>0</v>
      </c>
      <c r="CP71" s="9">
        <f>IF(90&lt;=核心参数输入!$B$9*4,IF(AND(90-核心参数输入!$B$112&gt;=0,90-核心参数输入!$B$112&lt;=120),INDEX(季度经营税费!$D$36:$DT$36,1,MAX(1,MIN(121,90-核心参数输入!$B$112+1))),0)+IF(90=核心参数输入!$B$9*4,SUMPRODUCT(季度经营税费!$D$36:$DT$36,--(季度经营税费!$D$4:$DT$4&gt;核心参数输入!$B$9*4-核心参数输入!$B$112)),0),0)</f>
        <v>0</v>
      </c>
      <c r="CQ71" s="9">
        <f>IF(91&lt;=核心参数输入!$B$9*4,IF(AND(91-核心参数输入!$B$112&gt;=0,91-核心参数输入!$B$112&lt;=120),INDEX(季度经营税费!$D$36:$DT$36,1,MAX(1,MIN(121,91-核心参数输入!$B$112+1))),0)+IF(91=核心参数输入!$B$9*4,SUMPRODUCT(季度经营税费!$D$36:$DT$36,--(季度经营税费!$D$4:$DT$4&gt;核心参数输入!$B$9*4-核心参数输入!$B$112)),0),0)</f>
        <v>0</v>
      </c>
      <c r="CR71" s="9">
        <f>IF(92&lt;=核心参数输入!$B$9*4,IF(AND(92-核心参数输入!$B$112&gt;=0,92-核心参数输入!$B$112&lt;=120),INDEX(季度经营税费!$D$36:$DT$36,1,MAX(1,MIN(121,92-核心参数输入!$B$112+1))),0)+IF(92=核心参数输入!$B$9*4,SUMPRODUCT(季度经营税费!$D$36:$DT$36,--(季度经营税费!$D$4:$DT$4&gt;核心参数输入!$B$9*4-核心参数输入!$B$112)),0),0)</f>
        <v>0</v>
      </c>
      <c r="CS71" s="9">
        <f>IF(93&lt;=核心参数输入!$B$9*4,IF(AND(93-核心参数输入!$B$112&gt;=0,93-核心参数输入!$B$112&lt;=120),INDEX(季度经营税费!$D$36:$DT$36,1,MAX(1,MIN(121,93-核心参数输入!$B$112+1))),0)+IF(93=核心参数输入!$B$9*4,SUMPRODUCT(季度经营税费!$D$36:$DT$36,--(季度经营税费!$D$4:$DT$4&gt;核心参数输入!$B$9*4-核心参数输入!$B$112)),0),0)</f>
        <v>0</v>
      </c>
      <c r="CT71" s="9">
        <f>IF(94&lt;=核心参数输入!$B$9*4,IF(AND(94-核心参数输入!$B$112&gt;=0,94-核心参数输入!$B$112&lt;=120),INDEX(季度经营税费!$D$36:$DT$36,1,MAX(1,MIN(121,94-核心参数输入!$B$112+1))),0)+IF(94=核心参数输入!$B$9*4,SUMPRODUCT(季度经营税费!$D$36:$DT$36,--(季度经营税费!$D$4:$DT$4&gt;核心参数输入!$B$9*4-核心参数输入!$B$112)),0),0)</f>
        <v>0</v>
      </c>
      <c r="CU71" s="9">
        <f>IF(95&lt;=核心参数输入!$B$9*4,IF(AND(95-核心参数输入!$B$112&gt;=0,95-核心参数输入!$B$112&lt;=120),INDEX(季度经营税费!$D$36:$DT$36,1,MAX(1,MIN(121,95-核心参数输入!$B$112+1))),0)+IF(95=核心参数输入!$B$9*4,SUMPRODUCT(季度经营税费!$D$36:$DT$36,--(季度经营税费!$D$4:$DT$4&gt;核心参数输入!$B$9*4-核心参数输入!$B$112)),0),0)</f>
        <v>0</v>
      </c>
      <c r="CV71" s="9">
        <f>IF(96&lt;=核心参数输入!$B$9*4,IF(AND(96-核心参数输入!$B$112&gt;=0,96-核心参数输入!$B$112&lt;=120),INDEX(季度经营税费!$D$36:$DT$36,1,MAX(1,MIN(121,96-核心参数输入!$B$112+1))),0)+IF(96=核心参数输入!$B$9*4,SUMPRODUCT(季度经营税费!$D$36:$DT$36,--(季度经营税费!$D$4:$DT$4&gt;核心参数输入!$B$9*4-核心参数输入!$B$112)),0),0)</f>
        <v>0</v>
      </c>
      <c r="CW71" s="9">
        <f>IF(97&lt;=核心参数输入!$B$9*4,IF(AND(97-核心参数输入!$B$112&gt;=0,97-核心参数输入!$B$112&lt;=120),INDEX(季度经营税费!$D$36:$DT$36,1,MAX(1,MIN(121,97-核心参数输入!$B$112+1))),0)+IF(97=核心参数输入!$B$9*4,SUMPRODUCT(季度经营税费!$D$36:$DT$36,--(季度经营税费!$D$4:$DT$4&gt;核心参数输入!$B$9*4-核心参数输入!$B$112)),0),0)</f>
        <v>0</v>
      </c>
      <c r="CX71" s="9">
        <f>IF(98&lt;=核心参数输入!$B$9*4,IF(AND(98-核心参数输入!$B$112&gt;=0,98-核心参数输入!$B$112&lt;=120),INDEX(季度经营税费!$D$36:$DT$36,1,MAX(1,MIN(121,98-核心参数输入!$B$112+1))),0)+IF(98=核心参数输入!$B$9*4,SUMPRODUCT(季度经营税费!$D$36:$DT$36,--(季度经营税费!$D$4:$DT$4&gt;核心参数输入!$B$9*4-核心参数输入!$B$112)),0),0)</f>
        <v>0</v>
      </c>
      <c r="CY71" s="9">
        <f>IF(99&lt;=核心参数输入!$B$9*4,IF(AND(99-核心参数输入!$B$112&gt;=0,99-核心参数输入!$B$112&lt;=120),INDEX(季度经营税费!$D$36:$DT$36,1,MAX(1,MIN(121,99-核心参数输入!$B$112+1))),0)+IF(99=核心参数输入!$B$9*4,SUMPRODUCT(季度经营税费!$D$36:$DT$36,--(季度经营税费!$D$4:$DT$4&gt;核心参数输入!$B$9*4-核心参数输入!$B$112)),0),0)</f>
        <v>0</v>
      </c>
      <c r="CZ71" s="9">
        <f>IF(100&lt;=核心参数输入!$B$9*4,IF(AND(100-核心参数输入!$B$112&gt;=0,100-核心参数输入!$B$112&lt;=120),INDEX(季度经营税费!$D$36:$DT$36,1,MAX(1,MIN(121,100-核心参数输入!$B$112+1))),0)+IF(100=核心参数输入!$B$9*4,SUMPRODUCT(季度经营税费!$D$36:$DT$36,--(季度经营税费!$D$4:$DT$4&gt;核心参数输入!$B$9*4-核心参数输入!$B$112)),0),0)</f>
        <v>0</v>
      </c>
      <c r="DA71" s="9">
        <f>IF(101&lt;=核心参数输入!$B$9*4,IF(AND(101-核心参数输入!$B$112&gt;=0,101-核心参数输入!$B$112&lt;=120),INDEX(季度经营税费!$D$36:$DT$36,1,MAX(1,MIN(121,101-核心参数输入!$B$112+1))),0)+IF(101=核心参数输入!$B$9*4,SUMPRODUCT(季度经营税费!$D$36:$DT$36,--(季度经营税费!$D$4:$DT$4&gt;核心参数输入!$B$9*4-核心参数输入!$B$112)),0),0)</f>
        <v>0</v>
      </c>
      <c r="DB71" s="9">
        <f>IF(102&lt;=核心参数输入!$B$9*4,IF(AND(102-核心参数输入!$B$112&gt;=0,102-核心参数输入!$B$112&lt;=120),INDEX(季度经营税费!$D$36:$DT$36,1,MAX(1,MIN(121,102-核心参数输入!$B$112+1))),0)+IF(102=核心参数输入!$B$9*4,SUMPRODUCT(季度经营税费!$D$36:$DT$36,--(季度经营税费!$D$4:$DT$4&gt;核心参数输入!$B$9*4-核心参数输入!$B$112)),0),0)</f>
        <v>0</v>
      </c>
      <c r="DC71" s="9">
        <f>IF(103&lt;=核心参数输入!$B$9*4,IF(AND(103-核心参数输入!$B$112&gt;=0,103-核心参数输入!$B$112&lt;=120),INDEX(季度经营税费!$D$36:$DT$36,1,MAX(1,MIN(121,103-核心参数输入!$B$112+1))),0)+IF(103=核心参数输入!$B$9*4,SUMPRODUCT(季度经营税费!$D$36:$DT$36,--(季度经营税费!$D$4:$DT$4&gt;核心参数输入!$B$9*4-核心参数输入!$B$112)),0),0)</f>
        <v>0</v>
      </c>
      <c r="DD71" s="9">
        <f>IF(104&lt;=核心参数输入!$B$9*4,IF(AND(104-核心参数输入!$B$112&gt;=0,104-核心参数输入!$B$112&lt;=120),INDEX(季度经营税费!$D$36:$DT$36,1,MAX(1,MIN(121,104-核心参数输入!$B$112+1))),0)+IF(104=核心参数输入!$B$9*4,SUMPRODUCT(季度经营税费!$D$36:$DT$36,--(季度经营税费!$D$4:$DT$4&gt;核心参数输入!$B$9*4-核心参数输入!$B$112)),0),0)</f>
        <v>0</v>
      </c>
      <c r="DE71" s="9">
        <f>IF(105&lt;=核心参数输入!$B$9*4,IF(AND(105-核心参数输入!$B$112&gt;=0,105-核心参数输入!$B$112&lt;=120),INDEX(季度经营税费!$D$36:$DT$36,1,MAX(1,MIN(121,105-核心参数输入!$B$112+1))),0)+IF(105=核心参数输入!$B$9*4,SUMPRODUCT(季度经营税费!$D$36:$DT$36,--(季度经营税费!$D$4:$DT$4&gt;核心参数输入!$B$9*4-核心参数输入!$B$112)),0),0)</f>
        <v>0</v>
      </c>
      <c r="DF71" s="9">
        <f>IF(106&lt;=核心参数输入!$B$9*4,IF(AND(106-核心参数输入!$B$112&gt;=0,106-核心参数输入!$B$112&lt;=120),INDEX(季度经营税费!$D$36:$DT$36,1,MAX(1,MIN(121,106-核心参数输入!$B$112+1))),0)+IF(106=核心参数输入!$B$9*4,SUMPRODUCT(季度经营税费!$D$36:$DT$36,--(季度经营税费!$D$4:$DT$4&gt;核心参数输入!$B$9*4-核心参数输入!$B$112)),0),0)</f>
        <v>0</v>
      </c>
      <c r="DG71" s="9">
        <f>IF(107&lt;=核心参数输入!$B$9*4,IF(AND(107-核心参数输入!$B$112&gt;=0,107-核心参数输入!$B$112&lt;=120),INDEX(季度经营税费!$D$36:$DT$36,1,MAX(1,MIN(121,107-核心参数输入!$B$112+1))),0)+IF(107=核心参数输入!$B$9*4,SUMPRODUCT(季度经营税费!$D$36:$DT$36,--(季度经营税费!$D$4:$DT$4&gt;核心参数输入!$B$9*4-核心参数输入!$B$112)),0),0)</f>
        <v>0</v>
      </c>
      <c r="DH71" s="9">
        <f>IF(108&lt;=核心参数输入!$B$9*4,IF(AND(108-核心参数输入!$B$112&gt;=0,108-核心参数输入!$B$112&lt;=120),INDEX(季度经营税费!$D$36:$DT$36,1,MAX(1,MIN(121,108-核心参数输入!$B$112+1))),0)+IF(108=核心参数输入!$B$9*4,SUMPRODUCT(季度经营税费!$D$36:$DT$36,--(季度经营税费!$D$4:$DT$4&gt;核心参数输入!$B$9*4-核心参数输入!$B$112)),0),0)</f>
        <v>0</v>
      </c>
      <c r="DI71" s="9">
        <f>IF(109&lt;=核心参数输入!$B$9*4,IF(AND(109-核心参数输入!$B$112&gt;=0,109-核心参数输入!$B$112&lt;=120),INDEX(季度经营税费!$D$36:$DT$36,1,MAX(1,MIN(121,109-核心参数输入!$B$112+1))),0)+IF(109=核心参数输入!$B$9*4,SUMPRODUCT(季度经营税费!$D$36:$DT$36,--(季度经营税费!$D$4:$DT$4&gt;核心参数输入!$B$9*4-核心参数输入!$B$112)),0),0)</f>
        <v>0</v>
      </c>
      <c r="DJ71" s="9">
        <f>IF(110&lt;=核心参数输入!$B$9*4,IF(AND(110-核心参数输入!$B$112&gt;=0,110-核心参数输入!$B$112&lt;=120),INDEX(季度经营税费!$D$36:$DT$36,1,MAX(1,MIN(121,110-核心参数输入!$B$112+1))),0)+IF(110=核心参数输入!$B$9*4,SUMPRODUCT(季度经营税费!$D$36:$DT$36,--(季度经营税费!$D$4:$DT$4&gt;核心参数输入!$B$9*4-核心参数输入!$B$112)),0),0)</f>
        <v>0</v>
      </c>
      <c r="DK71" s="9">
        <f>IF(111&lt;=核心参数输入!$B$9*4,IF(AND(111-核心参数输入!$B$112&gt;=0,111-核心参数输入!$B$112&lt;=120),INDEX(季度经营税费!$D$36:$DT$36,1,MAX(1,MIN(121,111-核心参数输入!$B$112+1))),0)+IF(111=核心参数输入!$B$9*4,SUMPRODUCT(季度经营税费!$D$36:$DT$36,--(季度经营税费!$D$4:$DT$4&gt;核心参数输入!$B$9*4-核心参数输入!$B$112)),0),0)</f>
        <v>0</v>
      </c>
      <c r="DL71" s="9">
        <f>IF(112&lt;=核心参数输入!$B$9*4,IF(AND(112-核心参数输入!$B$112&gt;=0,112-核心参数输入!$B$112&lt;=120),INDEX(季度经营税费!$D$36:$DT$36,1,MAX(1,MIN(121,112-核心参数输入!$B$112+1))),0)+IF(112=核心参数输入!$B$9*4,SUMPRODUCT(季度经营税费!$D$36:$DT$36,--(季度经营税费!$D$4:$DT$4&gt;核心参数输入!$B$9*4-核心参数输入!$B$112)),0),0)</f>
        <v>0</v>
      </c>
      <c r="DM71" s="9">
        <f>IF(113&lt;=核心参数输入!$B$9*4,IF(AND(113-核心参数输入!$B$112&gt;=0,113-核心参数输入!$B$112&lt;=120),INDEX(季度经营税费!$D$36:$DT$36,1,MAX(1,MIN(121,113-核心参数输入!$B$112+1))),0)+IF(113=核心参数输入!$B$9*4,SUMPRODUCT(季度经营税费!$D$36:$DT$36,--(季度经营税费!$D$4:$DT$4&gt;核心参数输入!$B$9*4-核心参数输入!$B$112)),0),0)</f>
        <v>0</v>
      </c>
      <c r="DN71" s="9">
        <f>IF(114&lt;=核心参数输入!$B$9*4,IF(AND(114-核心参数输入!$B$112&gt;=0,114-核心参数输入!$B$112&lt;=120),INDEX(季度经营税费!$D$36:$DT$36,1,MAX(1,MIN(121,114-核心参数输入!$B$112+1))),0)+IF(114=核心参数输入!$B$9*4,SUMPRODUCT(季度经营税费!$D$36:$DT$36,--(季度经营税费!$D$4:$DT$4&gt;核心参数输入!$B$9*4-核心参数输入!$B$112)),0),0)</f>
        <v>0</v>
      </c>
      <c r="DO71" s="9">
        <f>IF(115&lt;=核心参数输入!$B$9*4,IF(AND(115-核心参数输入!$B$112&gt;=0,115-核心参数输入!$B$112&lt;=120),INDEX(季度经营税费!$D$36:$DT$36,1,MAX(1,MIN(121,115-核心参数输入!$B$112+1))),0)+IF(115=核心参数输入!$B$9*4,SUMPRODUCT(季度经营税费!$D$36:$DT$36,--(季度经营税费!$D$4:$DT$4&gt;核心参数输入!$B$9*4-核心参数输入!$B$112)),0),0)</f>
        <v>0</v>
      </c>
      <c r="DP71" s="9">
        <f>IF(116&lt;=核心参数输入!$B$9*4,IF(AND(116-核心参数输入!$B$112&gt;=0,116-核心参数输入!$B$112&lt;=120),INDEX(季度经营税费!$D$36:$DT$36,1,MAX(1,MIN(121,116-核心参数输入!$B$112+1))),0)+IF(116=核心参数输入!$B$9*4,SUMPRODUCT(季度经营税费!$D$36:$DT$36,--(季度经营税费!$D$4:$DT$4&gt;核心参数输入!$B$9*4-核心参数输入!$B$112)),0),0)</f>
        <v>0</v>
      </c>
      <c r="DQ71" s="9">
        <f>IF(117&lt;=核心参数输入!$B$9*4,IF(AND(117-核心参数输入!$B$112&gt;=0,117-核心参数输入!$B$112&lt;=120),INDEX(季度经营税费!$D$36:$DT$36,1,MAX(1,MIN(121,117-核心参数输入!$B$112+1))),0)+IF(117=核心参数输入!$B$9*4,SUMPRODUCT(季度经营税费!$D$36:$DT$36,--(季度经营税费!$D$4:$DT$4&gt;核心参数输入!$B$9*4-核心参数输入!$B$112)),0),0)</f>
        <v>0</v>
      </c>
      <c r="DR71" s="9">
        <f>IF(118&lt;=核心参数输入!$B$9*4,IF(AND(118-核心参数输入!$B$112&gt;=0,118-核心参数输入!$B$112&lt;=120),INDEX(季度经营税费!$D$36:$DT$36,1,MAX(1,MIN(121,118-核心参数输入!$B$112+1))),0)+IF(118=核心参数输入!$B$9*4,SUMPRODUCT(季度经营税费!$D$36:$DT$36,--(季度经营税费!$D$4:$DT$4&gt;核心参数输入!$B$9*4-核心参数输入!$B$112)),0),0)</f>
        <v>0</v>
      </c>
      <c r="DS71" s="9">
        <f>IF(119&lt;=核心参数输入!$B$9*4,IF(AND(119-核心参数输入!$B$112&gt;=0,119-核心参数输入!$B$112&lt;=120),INDEX(季度经营税费!$D$36:$DT$36,1,MAX(1,MIN(121,119-核心参数输入!$B$112+1))),0)+IF(119=核心参数输入!$B$9*4,SUMPRODUCT(季度经营税费!$D$36:$DT$36,--(季度经营税费!$D$4:$DT$4&gt;核心参数输入!$B$9*4-核心参数输入!$B$112)),0),0)</f>
        <v>0</v>
      </c>
      <c r="DT71" s="9">
        <f>IF(120&lt;=核心参数输入!$B$9*4,IF(AND(120-核心参数输入!$B$112&gt;=0,120-核心参数输入!$B$112&lt;=120),INDEX(季度经营税费!$D$36:$DT$36,1,MAX(1,MIN(121,120-核心参数输入!$B$112+1))),0)+IF(120=核心参数输入!$B$9*4,SUMPRODUCT(季度经营税费!$D$36:$DT$36,--(季度经营税费!$D$4:$DT$4&gt;核心参数输入!$B$9*4-核心参数输入!$B$112)),0),0)</f>
        <v>0</v>
      </c>
    </row>
    <row r="72" spans="1:124" ht="21" customHeight="1">
      <c r="A72" s="8" t="s">
        <v>503</v>
      </c>
      <c r="B72" s="8" t="s">
        <v>39</v>
      </c>
      <c r="C72" s="8"/>
      <c r="D72" s="9">
        <f>IF(0&lt;=核心参数输入!$B$9*4,IF(AND(0-核心参数输入!$B$112&gt;=0,0-核心参数输入!$B$112&lt;=120),INDEX(季度经营税费!$D$40:$DT$40,1,MAX(1,MIN(121,0-核心参数输入!$B$112+1))),0)+IF(0=核心参数输入!$B$9*4,SUMPRODUCT(季度经营税费!$D$40:$DT$40,--(季度经营税费!$D$4:$DT$4&gt;核心参数输入!$B$9*4-核心参数输入!$B$112)),0),0)</f>
        <v>0</v>
      </c>
      <c r="E72" s="9">
        <f>IF(1&lt;=核心参数输入!$B$9*4,IF(AND(1-核心参数输入!$B$112&gt;=0,1-核心参数输入!$B$112&lt;=120),INDEX(季度经营税费!$D$40:$DT$40,1,MAX(1,MIN(121,1-核心参数输入!$B$112+1))),0)+IF(1=核心参数输入!$B$9*4,SUMPRODUCT(季度经营税费!$D$40:$DT$40,--(季度经营税费!$D$4:$DT$4&gt;核心参数输入!$B$9*4-核心参数输入!$B$112)),0),0)</f>
        <v>0</v>
      </c>
      <c r="F72" s="9">
        <f>IF(2&lt;=核心参数输入!$B$9*4,IF(AND(2-核心参数输入!$B$112&gt;=0,2-核心参数输入!$B$112&lt;=120),INDEX(季度经营税费!$D$40:$DT$40,1,MAX(1,MIN(121,2-核心参数输入!$B$112+1))),0)+IF(2=核心参数输入!$B$9*4,SUMPRODUCT(季度经营税费!$D$40:$DT$40,--(季度经营税费!$D$4:$DT$4&gt;核心参数输入!$B$9*4-核心参数输入!$B$112)),0),0)</f>
        <v>0</v>
      </c>
      <c r="G72" s="9">
        <f>IF(3&lt;=核心参数输入!$B$9*4,IF(AND(3-核心参数输入!$B$112&gt;=0,3-核心参数输入!$B$112&lt;=120),INDEX(季度经营税费!$D$40:$DT$40,1,MAX(1,MIN(121,3-核心参数输入!$B$112+1))),0)+IF(3=核心参数输入!$B$9*4,SUMPRODUCT(季度经营税费!$D$40:$DT$40,--(季度经营税费!$D$4:$DT$4&gt;核心参数输入!$B$9*4-核心参数输入!$B$112)),0),0)</f>
        <v>0</v>
      </c>
      <c r="H72" s="9">
        <f>IF(4&lt;=核心参数输入!$B$9*4,IF(AND(4-核心参数输入!$B$112&gt;=0,4-核心参数输入!$B$112&lt;=120),INDEX(季度经营税费!$D$40:$DT$40,1,MAX(1,MIN(121,4-核心参数输入!$B$112+1))),0)+IF(4=核心参数输入!$B$9*4,SUMPRODUCT(季度经营税费!$D$40:$DT$40,--(季度经营税费!$D$4:$DT$4&gt;核心参数输入!$B$9*4-核心参数输入!$B$112)),0),0)</f>
        <v>0</v>
      </c>
      <c r="I72" s="9">
        <f>IF(5&lt;=核心参数输入!$B$9*4,IF(AND(5-核心参数输入!$B$112&gt;=0,5-核心参数输入!$B$112&lt;=120),INDEX(季度经营税费!$D$40:$DT$40,1,MAX(1,MIN(121,5-核心参数输入!$B$112+1))),0)+IF(5=核心参数输入!$B$9*4,SUMPRODUCT(季度经营税费!$D$40:$DT$40,--(季度经营税费!$D$4:$DT$4&gt;核心参数输入!$B$9*4-核心参数输入!$B$112)),0),0)</f>
        <v>0</v>
      </c>
      <c r="J72" s="9">
        <f>IF(6&lt;=核心参数输入!$B$9*4,IF(AND(6-核心参数输入!$B$112&gt;=0,6-核心参数输入!$B$112&lt;=120),INDEX(季度经营税费!$D$40:$DT$40,1,MAX(1,MIN(121,6-核心参数输入!$B$112+1))),0)+IF(6=核心参数输入!$B$9*4,SUMPRODUCT(季度经营税费!$D$40:$DT$40,--(季度经营税费!$D$4:$DT$4&gt;核心参数输入!$B$9*4-核心参数输入!$B$112)),0),0)</f>
        <v>0</v>
      </c>
      <c r="K72" s="9">
        <f>IF(7&lt;=核心参数输入!$B$9*4,IF(AND(7-核心参数输入!$B$112&gt;=0,7-核心参数输入!$B$112&lt;=120),INDEX(季度经营税费!$D$40:$DT$40,1,MAX(1,MIN(121,7-核心参数输入!$B$112+1))),0)+IF(7=核心参数输入!$B$9*4,SUMPRODUCT(季度经营税费!$D$40:$DT$40,--(季度经营税费!$D$4:$DT$4&gt;核心参数输入!$B$9*4-核心参数输入!$B$112)),0),0)</f>
        <v>0</v>
      </c>
      <c r="L72" s="9">
        <f>IF(8&lt;=核心参数输入!$B$9*4,IF(AND(8-核心参数输入!$B$112&gt;=0,8-核心参数输入!$B$112&lt;=120),INDEX(季度经营税费!$D$40:$DT$40,1,MAX(1,MIN(121,8-核心参数输入!$B$112+1))),0)+IF(8=核心参数输入!$B$9*4,SUMPRODUCT(季度经营税费!$D$40:$DT$40,--(季度经营税费!$D$4:$DT$4&gt;核心参数输入!$B$9*4-核心参数输入!$B$112)),0),0)</f>
        <v>0</v>
      </c>
      <c r="M72" s="9">
        <f>IF(9&lt;=核心参数输入!$B$9*4,IF(AND(9-核心参数输入!$B$112&gt;=0,9-核心参数输入!$B$112&lt;=120),INDEX(季度经营税费!$D$40:$DT$40,1,MAX(1,MIN(121,9-核心参数输入!$B$112+1))),0)+IF(9=核心参数输入!$B$9*4,SUMPRODUCT(季度经营税费!$D$40:$DT$40,--(季度经营税费!$D$4:$DT$4&gt;核心参数输入!$B$9*4-核心参数输入!$B$112)),0),0)</f>
        <v>0</v>
      </c>
      <c r="N72" s="9">
        <f>IF(10&lt;=核心参数输入!$B$9*4,IF(AND(10-核心参数输入!$B$112&gt;=0,10-核心参数输入!$B$112&lt;=120),INDEX(季度经营税费!$D$40:$DT$40,1,MAX(1,MIN(121,10-核心参数输入!$B$112+1))),0)+IF(10=核心参数输入!$B$9*4,SUMPRODUCT(季度经营税费!$D$40:$DT$40,--(季度经营税费!$D$4:$DT$4&gt;核心参数输入!$B$9*4-核心参数输入!$B$112)),0),0)</f>
        <v>0</v>
      </c>
      <c r="O72" s="9">
        <f>IF(11&lt;=核心参数输入!$B$9*4,IF(AND(11-核心参数输入!$B$112&gt;=0,11-核心参数输入!$B$112&lt;=120),INDEX(季度经营税费!$D$40:$DT$40,1,MAX(1,MIN(121,11-核心参数输入!$B$112+1))),0)+IF(11=核心参数输入!$B$9*4,SUMPRODUCT(季度经营税费!$D$40:$DT$40,--(季度经营税费!$D$4:$DT$4&gt;核心参数输入!$B$9*4-核心参数输入!$B$112)),0),0)</f>
        <v>0</v>
      </c>
      <c r="P72" s="9">
        <f>IF(12&lt;=核心参数输入!$B$9*4,IF(AND(12-核心参数输入!$B$112&gt;=0,12-核心参数输入!$B$112&lt;=120),INDEX(季度经营税费!$D$40:$DT$40,1,MAX(1,MIN(121,12-核心参数输入!$B$112+1))),0)+IF(12=核心参数输入!$B$9*4,SUMPRODUCT(季度经营税费!$D$40:$DT$40,--(季度经营税费!$D$4:$DT$4&gt;核心参数输入!$B$9*4-核心参数输入!$B$112)),0),0)</f>
        <v>0</v>
      </c>
      <c r="Q72" s="9">
        <f>IF(13&lt;=核心参数输入!$B$9*4,IF(AND(13-核心参数输入!$B$112&gt;=0,13-核心参数输入!$B$112&lt;=120),INDEX(季度经营税费!$D$40:$DT$40,1,MAX(1,MIN(121,13-核心参数输入!$B$112+1))),0)+IF(13=核心参数输入!$B$9*4,SUMPRODUCT(季度经营税费!$D$40:$DT$40,--(季度经营税费!$D$4:$DT$4&gt;核心参数输入!$B$9*4-核心参数输入!$B$112)),0),0)</f>
        <v>0</v>
      </c>
      <c r="R72" s="9">
        <f>IF(14&lt;=核心参数输入!$B$9*4,IF(AND(14-核心参数输入!$B$112&gt;=0,14-核心参数输入!$B$112&lt;=120),INDEX(季度经营税费!$D$40:$DT$40,1,MAX(1,MIN(121,14-核心参数输入!$B$112+1))),0)+IF(14=核心参数输入!$B$9*4,SUMPRODUCT(季度经营税费!$D$40:$DT$40,--(季度经营税费!$D$4:$DT$4&gt;核心参数输入!$B$9*4-核心参数输入!$B$112)),0),0)</f>
        <v>1.8640074374999998</v>
      </c>
      <c r="S72" s="9">
        <f>IF(15&lt;=核心参数输入!$B$9*4,IF(AND(15-核心参数输入!$B$112&gt;=0,15-核心参数输入!$B$112&lt;=120),INDEX(季度经营税费!$D$40:$DT$40,1,MAX(1,MIN(121,15-核心参数输入!$B$112+1))),0)+IF(15=核心参数输入!$B$9*4,SUMPRODUCT(季度经营税费!$D$40:$DT$40,--(季度经营税费!$D$4:$DT$4&gt;核心参数输入!$B$9*4-核心参数输入!$B$112)),0),0)</f>
        <v>5.5920223124999984</v>
      </c>
      <c r="T72" s="9">
        <f>IF(16&lt;=核心参数输入!$B$9*4,IF(AND(16-核心参数输入!$B$112&gt;=0,16-核心参数输入!$B$112&lt;=120),INDEX(季度经营税费!$D$40:$DT$40,1,MAX(1,MIN(121,16-核心参数输入!$B$112+1))),0)+IF(16=核心参数输入!$B$9*4,SUMPRODUCT(季度经营税费!$D$40:$DT$40,--(季度经营税费!$D$4:$DT$4&gt;核心参数输入!$B$9*4-核心参数输入!$B$112)),0),0)</f>
        <v>9.320037187499997</v>
      </c>
      <c r="U72" s="9">
        <f>IF(17&lt;=核心参数输入!$B$9*4,IF(AND(17-核心参数输入!$B$112&gt;=0,17-核心参数输入!$B$112&lt;=120),INDEX(季度经营税费!$D$40:$DT$40,1,MAX(1,MIN(121,17-核心参数输入!$B$112+1))),0)+IF(17=核心参数输入!$B$9*4,SUMPRODUCT(季度经营税费!$D$40:$DT$40,--(季度经营税费!$D$4:$DT$4&gt;核心参数输入!$B$9*4-核心参数输入!$B$112)),0),0)</f>
        <v>13.243772843437497</v>
      </c>
      <c r="V72" s="9">
        <f>IF(18&lt;=核心参数输入!$B$9*4,IF(AND(18-核心参数输入!$B$112&gt;=0,18-核心参数输入!$B$112&lt;=120),INDEX(季度经营税费!$D$40:$DT$40,1,MAX(1,MIN(121,18-核心参数输入!$B$112+1))),0)+IF(18=核心参数输入!$B$9*4,SUMPRODUCT(季度经营税费!$D$40:$DT$40,--(季度经营税费!$D$4:$DT$4&gt;核心参数输入!$B$9*4-核心参数输入!$B$112)),0),0)</f>
        <v>15.892527412125</v>
      </c>
      <c r="W72" s="9">
        <f>IF(19&lt;=核心参数输入!$B$9*4,IF(AND(19-核心参数输入!$B$112&gt;=0,19-核心参数输入!$B$112&lt;=120),INDEX(季度经营税费!$D$40:$DT$40,1,MAX(1,MIN(121,19-核心参数输入!$B$112+1))),0)+IF(19=核心参数输入!$B$9*4,SUMPRODUCT(季度经营税费!$D$40:$DT$40,--(季度经营税费!$D$4:$DT$4&gt;核心参数输入!$B$9*4-核心参数输入!$B$112)),0),0)</f>
        <v>17.406101451374997</v>
      </c>
      <c r="X72" s="9">
        <f>IF(20&lt;=核心参数输入!$B$9*4,IF(AND(20-核心参数输入!$B$112&gt;=0,20-核心参数输入!$B$112&lt;=120),INDEX(季度经营税费!$D$40:$DT$40,1,MAX(1,MIN(121,20-核心参数输入!$B$112+1))),0)+IF(20=核心参数输入!$B$9*4,SUMPRODUCT(季度经营税费!$D$40:$DT$40,--(季度经营税费!$D$4:$DT$4&gt;核心参数输入!$B$9*4-核心参数输入!$B$112)),0),0)</f>
        <v>18.919675490624993</v>
      </c>
      <c r="Y72" s="9">
        <f>IF(21&lt;=核心参数输入!$B$9*4,IF(AND(21-核心参数输入!$B$112&gt;=0,21-核心参数输入!$B$112&lt;=120),INDEX(季度经营税费!$D$40:$DT$40,1,MAX(1,MIN(121,21-核心参数输入!$B$112+1))),0)+IF(21=核心参数输入!$B$9*4,SUMPRODUCT(季度经营税费!$D$40:$DT$40,--(季度经营税费!$D$4:$DT$4&gt;核心参数输入!$B$9*4-核心参数输入!$B$112)),0),0)</f>
        <v>20.739748272823118</v>
      </c>
      <c r="Z72" s="9">
        <f>IF(22&lt;=核心参数输入!$B$9*4,IF(AND(22-核心参数输入!$B$112&gt;=0,22-核心参数输入!$B$112&lt;=120),INDEX(季度经营税费!$D$40:$DT$40,1,MAX(1,MIN(121,22-核心参数输入!$B$112+1))),0)+IF(22=核心参数输入!$B$9*4,SUMPRODUCT(季度经营税费!$D$40:$DT$40,--(季度经营税费!$D$4:$DT$4&gt;核心参数输入!$B$9*4-核心参数输入!$B$112)),0),0)</f>
        <v>22.083991216432018</v>
      </c>
      <c r="AA72" s="9">
        <f>IF(23&lt;=核心参数输入!$B$9*4,IF(AND(23-核心参数输入!$B$112&gt;=0,23-核心参数输入!$B$112&lt;=120),INDEX(季度经营税费!$D$40:$DT$40,1,MAX(1,MIN(121,23-核心参数输入!$B$112+1))),0)+IF(23=核心参数输入!$B$9*4,SUMPRODUCT(季度经营税费!$D$40:$DT$40,--(季度经营税费!$D$4:$DT$4&gt;核心参数输入!$B$9*4-核心参数输入!$B$112)),0),0)</f>
        <v>23.236199453811086</v>
      </c>
      <c r="AB72" s="9">
        <f>IF(24&lt;=核心参数输入!$B$9*4,IF(AND(24-核心参数输入!$B$112&gt;=0,24-核心参数输入!$B$112&lt;=120),INDEX(季度经营税费!$D$40:$DT$40,1,MAX(1,MIN(121,24-核心参数输入!$B$112+1))),0)+IF(24=核心参数输入!$B$9*4,SUMPRODUCT(季度经营税费!$D$40:$DT$40,--(季度经营税费!$D$4:$DT$4&gt;核心参数输入!$B$9*4-核心参数输入!$B$112)),0),0)</f>
        <v>24.388407691190146</v>
      </c>
      <c r="AC72" s="9">
        <f>IF(25&lt;=核心参数输入!$B$9*4,IF(AND(25-核心参数输入!$B$112&gt;=0,25-核心参数输入!$B$112&lt;=120),INDEX(季度经营税费!$D$40:$DT$40,1,MAX(1,MIN(121,25-核心参数输入!$B$112+1))),0)+IF(25=核心参数输入!$B$9*4,SUMPRODUCT(季度经营税费!$D$40:$DT$40,--(季度经营税费!$D$4:$DT$4&gt;核心参数输入!$B$9*4-核心参数输入!$B$112)),0),0)</f>
        <v>25.92372516749775</v>
      </c>
      <c r="AD72" s="9">
        <f>IF(26&lt;=核心参数输入!$B$9*4,IF(AND(26-核心参数输入!$B$112&gt;=0,26-核心参数输入!$B$112&lt;=120),INDEX(季度经营税费!$D$40:$DT$40,1,MAX(1,MIN(121,26-核心参数输入!$B$112+1))),0)+IF(26=核心参数输入!$B$9*4,SUMPRODUCT(季度经营税费!$D$40:$DT$40,--(季度经营税费!$D$4:$DT$4&gt;核心参数输入!$B$9*4-核心参数输入!$B$112)),0),0)</f>
        <v>26.70338607479091</v>
      </c>
      <c r="AE72" s="9">
        <f>IF(27&lt;=核心参数输入!$B$9*4,IF(AND(27-核心参数输入!$B$112&gt;=0,27-核心参数输入!$B$112&lt;=120),INDEX(季度经营税费!$D$40:$DT$40,1,MAX(1,MIN(121,27-核心参数输入!$B$112+1))),0)+IF(27=核心参数输入!$B$9*4,SUMPRODUCT(季度经营税费!$D$40:$DT$40,--(季度经营税费!$D$4:$DT$4&gt;核心参数输入!$B$9*4-核心参数输入!$B$112)),0),0)</f>
        <v>27.093216528437491</v>
      </c>
      <c r="AF72" s="9">
        <f>IF(28&lt;=核心参数输入!$B$9*4,IF(AND(28-核心参数输入!$B$112&gt;=0,28-核心参数输入!$B$112&lt;=120),INDEX(季度经营税费!$D$40:$DT$40,1,MAX(1,MIN(121,28-核心参数输入!$B$112+1))),0)+IF(28=核心参数输入!$B$9*4,SUMPRODUCT(季度经营税费!$D$40:$DT$40,--(季度经营税费!$D$4:$DT$4&gt;核心参数输入!$B$9*4-核心参数输入!$B$112)),0),0)</f>
        <v>27.483046982084073</v>
      </c>
      <c r="AG72" s="9">
        <f>IF(29&lt;=核心参数输入!$B$9*4,IF(AND(29-核心参数输入!$B$112&gt;=0,29-核心参数输入!$B$112&lt;=120),INDEX(季度经营税费!$D$40:$DT$40,1,MAX(1,MIN(121,29-核心参数输入!$B$112+1))),0)+IF(29=核心参数输入!$B$9*4,SUMPRODUCT(季度经营税费!$D$40:$DT$40,--(季度经营税费!$D$4:$DT$4&gt;核心参数输入!$B$9*4-核心参数输入!$B$112)),0),0)</f>
        <v>28.290970597266607</v>
      </c>
      <c r="AH72" s="9">
        <f>IF(30&lt;=核心参数输入!$B$9*4,IF(AND(30-核心参数输入!$B$112&gt;=0,30-核心参数输入!$B$112&lt;=120),INDEX(季度经营税费!$D$40:$DT$40,1,MAX(1,MIN(121,30-核心参数输入!$B$112+1))),0)+IF(30=核心参数输入!$B$9*4,SUMPRODUCT(季度经营税费!$D$40:$DT$40,--(季度经营税费!$D$4:$DT$4&gt;核心参数输入!$B$9*4-核心参数输入!$B$112)),0),0)</f>
        <v>28.488809552492249</v>
      </c>
      <c r="AI72" s="9">
        <f>IF(31&lt;=核心参数输入!$B$9*4,IF(AND(31-核心参数输入!$B$112&gt;=0,31-核心参数输入!$B$112&lt;=120),INDEX(季度经营税费!$D$40:$DT$40,1,MAX(1,MIN(121,31-核心参数输入!$B$112+1))),0)+IF(31=核心参数输入!$B$9*4,SUMPRODUCT(季度经营税费!$D$40:$DT$40,--(季度经营税费!$D$4:$DT$4&gt;核心参数输入!$B$9*4-核心参数输入!$B$112)),0),0)</f>
        <v>28.488809552492249</v>
      </c>
      <c r="AJ72" s="9">
        <f>IF(32&lt;=核心参数输入!$B$9*4,IF(AND(32-核心参数输入!$B$112&gt;=0,32-核心参数输入!$B$112&lt;=120),INDEX(季度经营税费!$D$40:$DT$40,1,MAX(1,MIN(121,32-核心参数输入!$B$112+1))),0)+IF(32=核心参数输入!$B$9*4,SUMPRODUCT(季度经营税费!$D$40:$DT$40,--(季度经营税费!$D$4:$DT$4&gt;核心参数输入!$B$9*4-核心参数输入!$B$112)),0),0)</f>
        <v>28.488809552492249</v>
      </c>
      <c r="AK72" s="9">
        <f>IF(33&lt;=核心参数输入!$B$9*4,IF(AND(33-核心参数输入!$B$112&gt;=0,33-核心参数输入!$B$112&lt;=120),INDEX(季度经营税费!$D$40:$DT$40,1,MAX(1,MIN(121,33-核心参数输入!$B$112+1))),0)+IF(33=核心参数输入!$B$9*4,SUMPRODUCT(季度经营税费!$D$40:$DT$40,--(季度经营税费!$D$4:$DT$4&gt;核心参数输入!$B$9*4-核心参数输入!$B$112)),0),0)</f>
        <v>28.916141695779633</v>
      </c>
      <c r="AL72" s="9">
        <f>IF(34&lt;=核心参数输入!$B$9*4,IF(AND(34-核心参数输入!$B$112&gt;=0,34-核心参数输入!$B$112&lt;=120),INDEX(季度经营税费!$D$40:$DT$40,1,MAX(1,MIN(121,34-核心参数输入!$B$112+1))),0)+IF(34=核心参数输入!$B$9*4,SUMPRODUCT(季度经营税费!$D$40:$DT$40,--(季度经营税费!$D$4:$DT$4&gt;核心参数输入!$B$9*4-核心参数输入!$B$112)),0),0)</f>
        <v>28.916141695779633</v>
      </c>
      <c r="AM72" s="9">
        <f>IF(35&lt;=核心参数输入!$B$9*4,IF(AND(35-核心参数输入!$B$112&gt;=0,35-核心参数输入!$B$112&lt;=120),INDEX(季度经营税费!$D$40:$DT$40,1,MAX(1,MIN(121,35-核心参数输入!$B$112+1))),0)+IF(35=核心参数输入!$B$9*4,SUMPRODUCT(季度经营税费!$D$40:$DT$40,--(季度经营税费!$D$4:$DT$4&gt;核心参数输入!$B$9*4-核心参数输入!$B$112)),0),0)</f>
        <v>28.916141695779633</v>
      </c>
      <c r="AN72" s="9">
        <f>IF(36&lt;=核心参数输入!$B$9*4,IF(AND(36-核心参数输入!$B$112&gt;=0,36-核心参数输入!$B$112&lt;=120),INDEX(季度经营税费!$D$40:$DT$40,1,MAX(1,MIN(121,36-核心参数输入!$B$112+1))),0)+IF(36=核心参数输入!$B$9*4,SUMPRODUCT(季度经营税费!$D$40:$DT$40,--(季度经营税费!$D$4:$DT$4&gt;核心参数输入!$B$9*4-核心参数输入!$B$112)),0),0)</f>
        <v>28.916141695779633</v>
      </c>
      <c r="AO72" s="9">
        <f>IF(37&lt;=核心参数输入!$B$9*4,IF(AND(37-核心参数输入!$B$112&gt;=0,37-核心参数输入!$B$112&lt;=120),INDEX(季度经营税费!$D$40:$DT$40,1,MAX(1,MIN(121,37-核心参数输入!$B$112+1))),0)+IF(37=核心参数输入!$B$9*4,SUMPRODUCT(季度经营税费!$D$40:$DT$40,--(季度经营税费!$D$4:$DT$4&gt;核心参数输入!$B$9*4-核心参数输入!$B$112)),0),0)</f>
        <v>29.34988382121632</v>
      </c>
      <c r="AP72" s="9">
        <f>IF(38&lt;=核心参数输入!$B$9*4,IF(AND(38-核心参数输入!$B$112&gt;=0,38-核心参数输入!$B$112&lt;=120),INDEX(季度经营税费!$D$40:$DT$40,1,MAX(1,MIN(121,38-核心参数输入!$B$112+1))),0)+IF(38=核心参数输入!$B$9*4,SUMPRODUCT(季度经营税费!$D$40:$DT$40,--(季度经营税费!$D$4:$DT$4&gt;核心参数输入!$B$9*4-核心参数输入!$B$112)),0),0)</f>
        <v>29.34988382121632</v>
      </c>
      <c r="AQ72" s="9">
        <f>IF(39&lt;=核心参数输入!$B$9*4,IF(AND(39-核心参数输入!$B$112&gt;=0,39-核心参数输入!$B$112&lt;=120),INDEX(季度经营税费!$D$40:$DT$40,1,MAX(1,MIN(121,39-核心参数输入!$B$112+1))),0)+IF(39=核心参数输入!$B$9*4,SUMPRODUCT(季度经营税费!$D$40:$DT$40,--(季度经营税费!$D$4:$DT$4&gt;核心参数输入!$B$9*4-核心参数输入!$B$112)),0),0)</f>
        <v>29.34988382121632</v>
      </c>
      <c r="AR72" s="9">
        <f>IF(40&lt;=核心参数输入!$B$9*4,IF(AND(40-核心参数输入!$B$112&gt;=0,40-核心参数输入!$B$112&lt;=120),INDEX(季度经营税费!$D$40:$DT$40,1,MAX(1,MIN(121,40-核心参数输入!$B$112+1))),0)+IF(40=核心参数输入!$B$9*4,SUMPRODUCT(季度经营税费!$D$40:$DT$40,--(季度经营税费!$D$4:$DT$4&gt;核心参数输入!$B$9*4-核心参数输入!$B$112)),0),0)</f>
        <v>29.34988382121632</v>
      </c>
      <c r="AS72" s="9">
        <f>IF(41&lt;=核心参数输入!$B$9*4,IF(AND(41-核心参数输入!$B$112&gt;=0,41-核心参数输入!$B$112&lt;=120),INDEX(季度经营税费!$D$40:$DT$40,1,MAX(1,MIN(121,41-核心参数输入!$B$112+1))),0)+IF(41=核心参数输入!$B$9*4,SUMPRODUCT(季度经营税费!$D$40:$DT$40,--(季度经营税费!$D$4:$DT$4&gt;核心参数输入!$B$9*4-核心参数输入!$B$112)),0),0)</f>
        <v>29.790132078534562</v>
      </c>
      <c r="AT72" s="9">
        <f>IF(42&lt;=核心参数输入!$B$9*4,IF(AND(42-核心参数输入!$B$112&gt;=0,42-核心参数输入!$B$112&lt;=120),INDEX(季度经营税费!$D$40:$DT$40,1,MAX(1,MIN(121,42-核心参数输入!$B$112+1))),0)+IF(42=核心参数输入!$B$9*4,SUMPRODUCT(季度经营税费!$D$40:$DT$40,--(季度经营税费!$D$4:$DT$4&gt;核心参数输入!$B$9*4-核心参数输入!$B$112)),0),0)</f>
        <v>29.790132078534562</v>
      </c>
      <c r="AU72" s="9">
        <f>IF(43&lt;=核心参数输入!$B$9*4,IF(AND(43-核心参数输入!$B$112&gt;=0,43-核心参数输入!$B$112&lt;=120),INDEX(季度经营税费!$D$40:$DT$40,1,MAX(1,MIN(121,43-核心参数输入!$B$112+1))),0)+IF(43=核心参数输入!$B$9*4,SUMPRODUCT(季度经营税费!$D$40:$DT$40,--(季度经营税费!$D$4:$DT$4&gt;核心参数输入!$B$9*4-核心参数输入!$B$112)),0),0)</f>
        <v>29.790132078534562</v>
      </c>
      <c r="AV72" s="9">
        <f>IF(44&lt;=核心参数输入!$B$9*4,IF(AND(44-核心参数输入!$B$112&gt;=0,44-核心参数输入!$B$112&lt;=120),INDEX(季度经营税费!$D$40:$DT$40,1,MAX(1,MIN(121,44-核心参数输入!$B$112+1))),0)+IF(44=核心参数输入!$B$9*4,SUMPRODUCT(季度经营税费!$D$40:$DT$40,--(季度经营税费!$D$4:$DT$4&gt;核心参数输入!$B$9*4-核心参数输入!$B$112)),0),0)</f>
        <v>29.790132078534562</v>
      </c>
      <c r="AW72" s="9">
        <f>IF(45&lt;=核心参数输入!$B$9*4,IF(AND(45-核心参数输入!$B$112&gt;=0,45-核心参数输入!$B$112&lt;=120),INDEX(季度经营税费!$D$40:$DT$40,1,MAX(1,MIN(121,45-核心参数输入!$B$112+1))),0)+IF(45=核心参数输入!$B$9*4,SUMPRODUCT(季度经营税费!$D$40:$DT$40,--(季度经营税费!$D$4:$DT$4&gt;核心参数输入!$B$9*4-核心参数输入!$B$112)),0),0)</f>
        <v>30.236984059712579</v>
      </c>
      <c r="AX72" s="9">
        <f>IF(46&lt;=核心参数输入!$B$9*4,IF(AND(46-核心参数输入!$B$112&gt;=0,46-核心参数输入!$B$112&lt;=120),INDEX(季度经营税费!$D$40:$DT$40,1,MAX(1,MIN(121,46-核心参数输入!$B$112+1))),0)+IF(46=核心参数输入!$B$9*4,SUMPRODUCT(季度经营税费!$D$40:$DT$40,--(季度经营税费!$D$4:$DT$4&gt;核心参数输入!$B$9*4-核心参数输入!$B$112)),0),0)</f>
        <v>30.236984059712579</v>
      </c>
      <c r="AY72" s="9">
        <f>IF(47&lt;=核心参数输入!$B$9*4,IF(AND(47-核心参数输入!$B$112&gt;=0,47-核心参数输入!$B$112&lt;=120),INDEX(季度经营税费!$D$40:$DT$40,1,MAX(1,MIN(121,47-核心参数输入!$B$112+1))),0)+IF(47=核心参数输入!$B$9*4,SUMPRODUCT(季度经营税费!$D$40:$DT$40,--(季度经营税费!$D$4:$DT$4&gt;核心参数输入!$B$9*4-核心参数输入!$B$112)),0),0)</f>
        <v>30.236984059712579</v>
      </c>
      <c r="AZ72" s="9">
        <f>IF(48&lt;=核心参数输入!$B$9*4,IF(AND(48-核心参数输入!$B$112&gt;=0,48-核心参数输入!$B$112&lt;=120),INDEX(季度经营税费!$D$40:$DT$40,1,MAX(1,MIN(121,48-核心参数输入!$B$112+1))),0)+IF(48=核心参数输入!$B$9*4,SUMPRODUCT(季度经营税费!$D$40:$DT$40,--(季度经营税费!$D$4:$DT$4&gt;核心参数输入!$B$9*4-核心参数输入!$B$112)),0),0)</f>
        <v>30.236984059712579</v>
      </c>
      <c r="BA72" s="9">
        <f>IF(49&lt;=核心参数输入!$B$9*4,IF(AND(49-核心参数输入!$B$112&gt;=0,49-核心参数输入!$B$112&lt;=120),INDEX(季度经营税费!$D$40:$DT$40,1,MAX(1,MIN(121,49-核心参数输入!$B$112+1))),0)+IF(49=核心参数输入!$B$9*4,SUMPRODUCT(季度经营税费!$D$40:$DT$40,--(季度经营税费!$D$4:$DT$4&gt;核心参数输入!$B$9*4-核心参数输入!$B$112)),0),0)</f>
        <v>30.690538820608264</v>
      </c>
      <c r="BB72" s="9">
        <f>IF(50&lt;=核心参数输入!$B$9*4,IF(AND(50-核心参数输入!$B$112&gt;=0,50-核心参数输入!$B$112&lt;=120),INDEX(季度经营税费!$D$40:$DT$40,1,MAX(1,MIN(121,50-核心参数输入!$B$112+1))),0)+IF(50=核心参数输入!$B$9*4,SUMPRODUCT(季度经营税费!$D$40:$DT$40,--(季度经营税费!$D$4:$DT$4&gt;核心参数输入!$B$9*4-核心参数输入!$B$112)),0),0)</f>
        <v>30.690538820608264</v>
      </c>
      <c r="BC72" s="9">
        <f>IF(51&lt;=核心参数输入!$B$9*4,IF(AND(51-核心参数输入!$B$112&gt;=0,51-核心参数输入!$B$112&lt;=120),INDEX(季度经营税费!$D$40:$DT$40,1,MAX(1,MIN(121,51-核心参数输入!$B$112+1))),0)+IF(51=核心参数输入!$B$9*4,SUMPRODUCT(季度经营税费!$D$40:$DT$40,--(季度经营税费!$D$4:$DT$4&gt;核心参数输入!$B$9*4-核心参数输入!$B$112)),0),0)</f>
        <v>30.690538820608264</v>
      </c>
      <c r="BD72" s="9">
        <f>IF(52&lt;=核心参数输入!$B$9*4,IF(AND(52-核心参数输入!$B$112&gt;=0,52-核心参数输入!$B$112&lt;=120),INDEX(季度经营税费!$D$40:$DT$40,1,MAX(1,MIN(121,52-核心参数输入!$B$112+1))),0)+IF(52=核心参数输入!$B$9*4,SUMPRODUCT(季度经营税费!$D$40:$DT$40,--(季度经营税费!$D$4:$DT$4&gt;核心参数输入!$B$9*4-核心参数输入!$B$112)),0),0)</f>
        <v>30.690538820608264</v>
      </c>
      <c r="BE72" s="9">
        <f>IF(53&lt;=核心参数输入!$B$9*4,IF(AND(53-核心参数输入!$B$112&gt;=0,53-核心参数输入!$B$112&lt;=120),INDEX(季度经营税费!$D$40:$DT$40,1,MAX(1,MIN(121,53-核心参数输入!$B$112+1))),0)+IF(53=核心参数输入!$B$9*4,SUMPRODUCT(季度经营税费!$D$40:$DT$40,--(季度经营税费!$D$4:$DT$4&gt;核心参数输入!$B$9*4-核心参数输入!$B$112)),0),0)</f>
        <v>31.150896902917381</v>
      </c>
      <c r="BF72" s="9">
        <f>IF(54&lt;=核心参数输入!$B$9*4,IF(AND(54-核心参数输入!$B$112&gt;=0,54-核心参数输入!$B$112&lt;=120),INDEX(季度经营税费!$D$40:$DT$40,1,MAX(1,MIN(121,54-核心参数输入!$B$112+1))),0)+IF(54=核心参数输入!$B$9*4,SUMPRODUCT(季度经营税费!$D$40:$DT$40,--(季度经营税费!$D$4:$DT$4&gt;核心参数输入!$B$9*4-核心参数输入!$B$112)),0),0)</f>
        <v>31.150896902917381</v>
      </c>
      <c r="BG72" s="9">
        <f>IF(55&lt;=核心参数输入!$B$9*4,IF(AND(55-核心参数输入!$B$112&gt;=0,55-核心参数输入!$B$112&lt;=120),INDEX(季度经营税费!$D$40:$DT$40,1,MAX(1,MIN(121,55-核心参数输入!$B$112+1))),0)+IF(55=核心参数输入!$B$9*4,SUMPRODUCT(季度经营税费!$D$40:$DT$40,--(季度经营税费!$D$4:$DT$4&gt;核心参数输入!$B$9*4-核心参数输入!$B$112)),0),0)</f>
        <v>31.150896902917381</v>
      </c>
      <c r="BH72" s="9">
        <f>IF(56&lt;=核心参数输入!$B$9*4,IF(AND(56-核心参数输入!$B$112&gt;=0,56-核心参数输入!$B$112&lt;=120),INDEX(季度经营税费!$D$40:$DT$40,1,MAX(1,MIN(121,56-核心参数输入!$B$112+1))),0)+IF(56=核心参数输入!$B$9*4,SUMPRODUCT(季度经营税费!$D$40:$DT$40,--(季度经营税费!$D$4:$DT$4&gt;核心参数输入!$B$9*4-核心参数输入!$B$112)),0),0)</f>
        <v>31.150896902917381</v>
      </c>
      <c r="BI72" s="9">
        <f>IF(57&lt;=核心参数输入!$B$9*4,IF(AND(57-核心参数输入!$B$112&gt;=0,57-核心参数输入!$B$112&lt;=120),INDEX(季度经营税费!$D$40:$DT$40,1,MAX(1,MIN(121,57-核心参数输入!$B$112+1))),0)+IF(57=核心参数输入!$B$9*4,SUMPRODUCT(季度经营税费!$D$40:$DT$40,--(季度经营税费!$D$4:$DT$4&gt;核心参数输入!$B$9*4-核心参数输入!$B$112)),0),0)</f>
        <v>31.618160356461139</v>
      </c>
      <c r="BJ72" s="9">
        <f>IF(58&lt;=核心参数输入!$B$9*4,IF(AND(58-核心参数输入!$B$112&gt;=0,58-核心参数输入!$B$112&lt;=120),INDEX(季度经营税费!$D$40:$DT$40,1,MAX(1,MIN(121,58-核心参数输入!$B$112+1))),0)+IF(58=核心参数输入!$B$9*4,SUMPRODUCT(季度经营税费!$D$40:$DT$40,--(季度经营税费!$D$4:$DT$4&gt;核心参数输入!$B$9*4-核心参数输入!$B$112)),0),0)</f>
        <v>31.618160356461139</v>
      </c>
      <c r="BK72" s="9">
        <f>IF(59&lt;=核心参数输入!$B$9*4,IF(AND(59-核心参数输入!$B$112&gt;=0,59-核心参数输入!$B$112&lt;=120),INDEX(季度经营税费!$D$40:$DT$40,1,MAX(1,MIN(121,59-核心参数输入!$B$112+1))),0)+IF(59=核心参数输入!$B$9*4,SUMPRODUCT(季度经营税费!$D$40:$DT$40,--(季度经营税费!$D$4:$DT$4&gt;核心参数输入!$B$9*4-核心参数输入!$B$112)),0),0)</f>
        <v>31.618160356461139</v>
      </c>
      <c r="BL72" s="9">
        <f>IF(60&lt;=核心参数输入!$B$9*4,IF(AND(60-核心参数输入!$B$112&gt;=0,60-核心参数输入!$B$112&lt;=120),INDEX(季度经营税费!$D$40:$DT$40,1,MAX(1,MIN(121,60-核心参数输入!$B$112+1))),0)+IF(60=核心参数输入!$B$9*4,SUMPRODUCT(季度经营税费!$D$40:$DT$40,--(季度经营税费!$D$4:$DT$4&gt;核心参数输入!$B$9*4-核心参数输入!$B$112)),0),0)</f>
        <v>31.618160356461139</v>
      </c>
      <c r="BM72" s="9">
        <f>IF(61&lt;=核心参数输入!$B$9*4,IF(AND(61-核心参数输入!$B$112&gt;=0,61-核心参数输入!$B$112&lt;=120),INDEX(季度经营税费!$D$40:$DT$40,1,MAX(1,MIN(121,61-核心参数输入!$B$112+1))),0)+IF(61=核心参数输入!$B$9*4,SUMPRODUCT(季度经营税费!$D$40:$DT$40,--(季度经营税费!$D$4:$DT$4&gt;核心参数输入!$B$9*4-核心参数输入!$B$112)),0),0)</f>
        <v>32.092432761808048</v>
      </c>
      <c r="BN72" s="9">
        <f>IF(62&lt;=核心参数输入!$B$9*4,IF(AND(62-核心参数输入!$B$112&gt;=0,62-核心参数输入!$B$112&lt;=120),INDEX(季度经营税费!$D$40:$DT$40,1,MAX(1,MIN(121,62-核心参数输入!$B$112+1))),0)+IF(62=核心参数输入!$B$9*4,SUMPRODUCT(季度经营税费!$D$40:$DT$40,--(季度经营税费!$D$4:$DT$4&gt;核心参数输入!$B$9*4-核心参数输入!$B$112)),0),0)</f>
        <v>32.092432761808048</v>
      </c>
      <c r="BO72" s="9">
        <f>IF(63&lt;=核心参数输入!$B$9*4,IF(AND(63-核心参数输入!$B$112&gt;=0,63-核心参数输入!$B$112&lt;=120),INDEX(季度经营税费!$D$40:$DT$40,1,MAX(1,MIN(121,63-核心参数输入!$B$112+1))),0)+IF(63=核心参数输入!$B$9*4,SUMPRODUCT(季度经营税费!$D$40:$DT$40,--(季度经营税费!$D$4:$DT$4&gt;核心参数输入!$B$9*4-核心参数输入!$B$112)),0),0)</f>
        <v>32.092432761808048</v>
      </c>
      <c r="BP72" s="9">
        <f>IF(64&lt;=核心参数输入!$B$9*4,IF(AND(64-核心参数输入!$B$112&gt;=0,64-核心参数输入!$B$112&lt;=120),INDEX(季度经营税费!$D$40:$DT$40,1,MAX(1,MIN(121,64-核心参数输入!$B$112+1))),0)+IF(64=核心参数输入!$B$9*4,SUMPRODUCT(季度经营税费!$D$40:$DT$40,--(季度经营税费!$D$4:$DT$4&gt;核心参数输入!$B$9*4-核心参数输入!$B$112)),0),0)</f>
        <v>32.092432761808048</v>
      </c>
      <c r="BQ72" s="9">
        <f>IF(65&lt;=核心参数输入!$B$9*4,IF(AND(65-核心参数输入!$B$112&gt;=0,65-核心参数输入!$B$112&lt;=120),INDEX(季度经营税费!$D$40:$DT$40,1,MAX(1,MIN(121,65-核心参数输入!$B$112+1))),0)+IF(65=核心参数输入!$B$9*4,SUMPRODUCT(季度经营税费!$D$40:$DT$40,--(季度经营税费!$D$4:$DT$4&gt;核心参数输入!$B$9*4-核心参数输入!$B$112)),0),0)</f>
        <v>32.573819253235172</v>
      </c>
      <c r="BR72" s="9">
        <f>IF(66&lt;=核心参数输入!$B$9*4,IF(AND(66-核心参数输入!$B$112&gt;=0,66-核心参数输入!$B$112&lt;=120),INDEX(季度经营税费!$D$40:$DT$40,1,MAX(1,MIN(121,66-核心参数输入!$B$112+1))),0)+IF(66=核心参数输入!$B$9*4,SUMPRODUCT(季度经营税费!$D$40:$DT$40,--(季度经营税费!$D$4:$DT$4&gt;核心参数输入!$B$9*4-核心参数输入!$B$112)),0),0)</f>
        <v>32.573819253235172</v>
      </c>
      <c r="BS72" s="9">
        <f>IF(67&lt;=核心参数输入!$B$9*4,IF(AND(67-核心参数输入!$B$112&gt;=0,67-核心参数输入!$B$112&lt;=120),INDEX(季度经营税费!$D$40:$DT$40,1,MAX(1,MIN(121,67-核心参数输入!$B$112+1))),0)+IF(67=核心参数输入!$B$9*4,SUMPRODUCT(季度经营税费!$D$40:$DT$40,--(季度经营税费!$D$4:$DT$4&gt;核心参数输入!$B$9*4-核心参数输入!$B$112)),0),0)</f>
        <v>32.573819253235172</v>
      </c>
      <c r="BT72" s="9">
        <f>IF(68&lt;=核心参数输入!$B$9*4,IF(AND(68-核心参数输入!$B$112&gt;=0,68-核心参数输入!$B$112&lt;=120),INDEX(季度经营税费!$D$40:$DT$40,1,MAX(1,MIN(121,68-核心参数输入!$B$112+1))),0)+IF(68=核心参数输入!$B$9*4,SUMPRODUCT(季度经营税费!$D$40:$DT$40,--(季度经营税费!$D$4:$DT$4&gt;核心参数输入!$B$9*4-核心参数输入!$B$112)),0),0)</f>
        <v>32.573819253235172</v>
      </c>
      <c r="BU72" s="9">
        <f>IF(69&lt;=核心参数输入!$B$9*4,IF(AND(69-核心参数输入!$B$112&gt;=0,69-核心参数输入!$B$112&lt;=120),INDEX(季度经营税费!$D$40:$DT$40,1,MAX(1,MIN(121,69-核心参数输入!$B$112+1))),0)+IF(69=核心参数输入!$B$9*4,SUMPRODUCT(季度经营税费!$D$40:$DT$40,--(季度经营税费!$D$4:$DT$4&gt;核心参数输入!$B$9*4-核心参数输入!$B$112)),0),0)</f>
        <v>33.062426542033691</v>
      </c>
      <c r="BV72" s="9">
        <f>IF(70&lt;=核心参数输入!$B$9*4,IF(AND(70-核心参数输入!$B$112&gt;=0,70-核心参数输入!$B$112&lt;=120),INDEX(季度经营税费!$D$40:$DT$40,1,MAX(1,MIN(121,70-核心参数输入!$B$112+1))),0)+IF(70=核心参数输入!$B$9*4,SUMPRODUCT(季度经营税费!$D$40:$DT$40,--(季度经营税费!$D$4:$DT$4&gt;核心参数输入!$B$9*4-核心参数输入!$B$112)),0),0)</f>
        <v>33.062426542033691</v>
      </c>
      <c r="BW72" s="9">
        <f>IF(71&lt;=核心参数输入!$B$9*4,IF(AND(71-核心参数输入!$B$112&gt;=0,71-核心参数输入!$B$112&lt;=120),INDEX(季度经营税费!$D$40:$DT$40,1,MAX(1,MIN(121,71-核心参数输入!$B$112+1))),0)+IF(71=核心参数输入!$B$9*4,SUMPRODUCT(季度经营税费!$D$40:$DT$40,--(季度经营税费!$D$4:$DT$4&gt;核心参数输入!$B$9*4-核心参数输入!$B$112)),0),0)</f>
        <v>33.062426542033691</v>
      </c>
      <c r="BX72" s="9">
        <f>IF(72&lt;=核心参数输入!$B$9*4,IF(AND(72-核心参数输入!$B$112&gt;=0,72-核心参数输入!$B$112&lt;=120),INDEX(季度经营税费!$D$40:$DT$40,1,MAX(1,MIN(121,72-核心参数输入!$B$112+1))),0)+IF(72=核心参数输入!$B$9*4,SUMPRODUCT(季度经营税费!$D$40:$DT$40,--(季度经营税费!$D$4:$DT$4&gt;核心参数输入!$B$9*4-核心参数输入!$B$112)),0),0)</f>
        <v>33.062426542033691</v>
      </c>
      <c r="BY72" s="9">
        <f>IF(73&lt;=核心参数输入!$B$9*4,IF(AND(73-核心参数输入!$B$112&gt;=0,73-核心参数输入!$B$112&lt;=120),INDEX(季度经营税费!$D$40:$DT$40,1,MAX(1,MIN(121,73-核心参数输入!$B$112+1))),0)+IF(73=核心参数输入!$B$9*4,SUMPRODUCT(季度经营税费!$D$40:$DT$40,--(季度经营税费!$D$4:$DT$4&gt;核心参数输入!$B$9*4-核心参数输入!$B$112)),0),0)</f>
        <v>33.558362940164187</v>
      </c>
      <c r="BZ72" s="9">
        <f>IF(74&lt;=核心参数输入!$B$9*4,IF(AND(74-核心参数输入!$B$112&gt;=0,74-核心参数输入!$B$112&lt;=120),INDEX(季度经营税费!$D$40:$DT$40,1,MAX(1,MIN(121,74-核心参数输入!$B$112+1))),0)+IF(74=核心参数输入!$B$9*4,SUMPRODUCT(季度经营税费!$D$40:$DT$40,--(季度经营税费!$D$4:$DT$4&gt;核心参数输入!$B$9*4-核心参数输入!$B$112)),0),0)</f>
        <v>33.558362940164187</v>
      </c>
      <c r="CA72" s="9">
        <f>IF(75&lt;=核心参数输入!$B$9*4,IF(AND(75-核心参数输入!$B$112&gt;=0,75-核心参数输入!$B$112&lt;=120),INDEX(季度经营税费!$D$40:$DT$40,1,MAX(1,MIN(121,75-核心参数输入!$B$112+1))),0)+IF(75=核心参数输入!$B$9*4,SUMPRODUCT(季度经营税费!$D$40:$DT$40,--(季度经营税费!$D$4:$DT$4&gt;核心参数输入!$B$9*4-核心参数输入!$B$112)),0),0)</f>
        <v>33.558362940164187</v>
      </c>
      <c r="CB72" s="9">
        <f>IF(76&lt;=核心参数输入!$B$9*4,IF(AND(76-核心参数输入!$B$112&gt;=0,76-核心参数输入!$B$112&lt;=120),INDEX(季度经营税费!$D$40:$DT$40,1,MAX(1,MIN(121,76-核心参数输入!$B$112+1))),0)+IF(76=核心参数输入!$B$9*4,SUMPRODUCT(季度经营税费!$D$40:$DT$40,--(季度经营税费!$D$4:$DT$4&gt;核心参数输入!$B$9*4-核心参数输入!$B$112)),0),0)</f>
        <v>33.558362940164187</v>
      </c>
      <c r="CC72" s="9">
        <f>IF(77&lt;=核心参数输入!$B$9*4,IF(AND(77-核心参数输入!$B$112&gt;=0,77-核心参数输入!$B$112&lt;=120),INDEX(季度经营税费!$D$40:$DT$40,1,MAX(1,MIN(121,77-核心参数输入!$B$112+1))),0)+IF(77=核心参数输入!$B$9*4,SUMPRODUCT(季度经营税费!$D$40:$DT$40,--(季度经营税费!$D$4:$DT$4&gt;核心参数输入!$B$9*4-核心参数输入!$B$112)),0),0)</f>
        <v>34.06173838426664</v>
      </c>
      <c r="CD72" s="9">
        <f>IF(78&lt;=核心参数输入!$B$9*4,IF(AND(78-核心参数输入!$B$112&gt;=0,78-核心参数输入!$B$112&lt;=120),INDEX(季度经营税费!$D$40:$DT$40,1,MAX(1,MIN(121,78-核心参数输入!$B$112+1))),0)+IF(78=核心参数输入!$B$9*4,SUMPRODUCT(季度经营税费!$D$40:$DT$40,--(季度经营税费!$D$4:$DT$4&gt;核心参数输入!$B$9*4-核心参数输入!$B$112)),0),0)</f>
        <v>34.06173838426664</v>
      </c>
      <c r="CE72" s="9">
        <f>IF(79&lt;=核心参数输入!$B$9*4,IF(AND(79-核心参数输入!$B$112&gt;=0,79-核心参数输入!$B$112&lt;=120),INDEX(季度经营税费!$D$40:$DT$40,1,MAX(1,MIN(121,79-核心参数输入!$B$112+1))),0)+IF(79=核心参数输入!$B$9*4,SUMPRODUCT(季度经营税费!$D$40:$DT$40,--(季度经营税费!$D$4:$DT$4&gt;核心参数输入!$B$9*4-核心参数输入!$B$112)),0),0)</f>
        <v>34.06173838426664</v>
      </c>
      <c r="CF72" s="9">
        <f>IF(80&lt;=核心参数输入!$B$9*4,IF(AND(80-核心参数输入!$B$112&gt;=0,80-核心参数输入!$B$112&lt;=120),INDEX(季度经营税费!$D$40:$DT$40,1,MAX(1,MIN(121,80-核心参数输入!$B$112+1))),0)+IF(80=核心参数输入!$B$9*4,SUMPRODUCT(季度经营税费!$D$40:$DT$40,--(季度经营税费!$D$4:$DT$4&gt;核心参数输入!$B$9*4-核心参数输入!$B$112)),0),0)</f>
        <v>34.06173838426664</v>
      </c>
      <c r="CG72" s="9">
        <f>IF(81&lt;=核心参数输入!$B$9*4,IF(AND(81-核心参数输入!$B$112&gt;=0,81-核心参数输入!$B$112&lt;=120),INDEX(季度经营税费!$D$40:$DT$40,1,MAX(1,MIN(121,81-核心参数输入!$B$112+1))),0)+IF(81=核心参数输入!$B$9*4,SUMPRODUCT(季度经营税费!$D$40:$DT$40,--(季度经营税费!$D$4:$DT$4&gt;核心参数输入!$B$9*4-核心参数输入!$B$112)),0),0)</f>
        <v>0</v>
      </c>
      <c r="CH72" s="9">
        <f>IF(82&lt;=核心参数输入!$B$9*4,IF(AND(82-核心参数输入!$B$112&gt;=0,82-核心参数输入!$B$112&lt;=120),INDEX(季度经营税费!$D$40:$DT$40,1,MAX(1,MIN(121,82-核心参数输入!$B$112+1))),0)+IF(82=核心参数输入!$B$9*4,SUMPRODUCT(季度经营税费!$D$40:$DT$40,--(季度经营税费!$D$4:$DT$4&gt;核心参数输入!$B$9*4-核心参数输入!$B$112)),0),0)</f>
        <v>0</v>
      </c>
      <c r="CI72" s="9">
        <f>IF(83&lt;=核心参数输入!$B$9*4,IF(AND(83-核心参数输入!$B$112&gt;=0,83-核心参数输入!$B$112&lt;=120),INDEX(季度经营税费!$D$40:$DT$40,1,MAX(1,MIN(121,83-核心参数输入!$B$112+1))),0)+IF(83=核心参数输入!$B$9*4,SUMPRODUCT(季度经营税费!$D$40:$DT$40,--(季度经营税费!$D$4:$DT$4&gt;核心参数输入!$B$9*4-核心参数输入!$B$112)),0),0)</f>
        <v>0</v>
      </c>
      <c r="CJ72" s="9">
        <f>IF(84&lt;=核心参数输入!$B$9*4,IF(AND(84-核心参数输入!$B$112&gt;=0,84-核心参数输入!$B$112&lt;=120),INDEX(季度经营税费!$D$40:$DT$40,1,MAX(1,MIN(121,84-核心参数输入!$B$112+1))),0)+IF(84=核心参数输入!$B$9*4,SUMPRODUCT(季度经营税费!$D$40:$DT$40,--(季度经营税费!$D$4:$DT$4&gt;核心参数输入!$B$9*4-核心参数输入!$B$112)),0),0)</f>
        <v>0</v>
      </c>
      <c r="CK72" s="9">
        <f>IF(85&lt;=核心参数输入!$B$9*4,IF(AND(85-核心参数输入!$B$112&gt;=0,85-核心参数输入!$B$112&lt;=120),INDEX(季度经营税费!$D$40:$DT$40,1,MAX(1,MIN(121,85-核心参数输入!$B$112+1))),0)+IF(85=核心参数输入!$B$9*4,SUMPRODUCT(季度经营税费!$D$40:$DT$40,--(季度经营税费!$D$4:$DT$4&gt;核心参数输入!$B$9*4-核心参数输入!$B$112)),0),0)</f>
        <v>0</v>
      </c>
      <c r="CL72" s="9">
        <f>IF(86&lt;=核心参数输入!$B$9*4,IF(AND(86-核心参数输入!$B$112&gt;=0,86-核心参数输入!$B$112&lt;=120),INDEX(季度经营税费!$D$40:$DT$40,1,MAX(1,MIN(121,86-核心参数输入!$B$112+1))),0)+IF(86=核心参数输入!$B$9*4,SUMPRODUCT(季度经营税费!$D$40:$DT$40,--(季度经营税费!$D$4:$DT$4&gt;核心参数输入!$B$9*4-核心参数输入!$B$112)),0),0)</f>
        <v>0</v>
      </c>
      <c r="CM72" s="9">
        <f>IF(87&lt;=核心参数输入!$B$9*4,IF(AND(87-核心参数输入!$B$112&gt;=0,87-核心参数输入!$B$112&lt;=120),INDEX(季度经营税费!$D$40:$DT$40,1,MAX(1,MIN(121,87-核心参数输入!$B$112+1))),0)+IF(87=核心参数输入!$B$9*4,SUMPRODUCT(季度经营税费!$D$40:$DT$40,--(季度经营税费!$D$4:$DT$4&gt;核心参数输入!$B$9*4-核心参数输入!$B$112)),0),0)</f>
        <v>0</v>
      </c>
      <c r="CN72" s="9">
        <f>IF(88&lt;=核心参数输入!$B$9*4,IF(AND(88-核心参数输入!$B$112&gt;=0,88-核心参数输入!$B$112&lt;=120),INDEX(季度经营税费!$D$40:$DT$40,1,MAX(1,MIN(121,88-核心参数输入!$B$112+1))),0)+IF(88=核心参数输入!$B$9*4,SUMPRODUCT(季度经营税费!$D$40:$DT$40,--(季度经营税费!$D$4:$DT$4&gt;核心参数输入!$B$9*4-核心参数输入!$B$112)),0),0)</f>
        <v>0</v>
      </c>
      <c r="CO72" s="9">
        <f>IF(89&lt;=核心参数输入!$B$9*4,IF(AND(89-核心参数输入!$B$112&gt;=0,89-核心参数输入!$B$112&lt;=120),INDEX(季度经营税费!$D$40:$DT$40,1,MAX(1,MIN(121,89-核心参数输入!$B$112+1))),0)+IF(89=核心参数输入!$B$9*4,SUMPRODUCT(季度经营税费!$D$40:$DT$40,--(季度经营税费!$D$4:$DT$4&gt;核心参数输入!$B$9*4-核心参数输入!$B$112)),0),0)</f>
        <v>0</v>
      </c>
      <c r="CP72" s="9">
        <f>IF(90&lt;=核心参数输入!$B$9*4,IF(AND(90-核心参数输入!$B$112&gt;=0,90-核心参数输入!$B$112&lt;=120),INDEX(季度经营税费!$D$40:$DT$40,1,MAX(1,MIN(121,90-核心参数输入!$B$112+1))),0)+IF(90=核心参数输入!$B$9*4,SUMPRODUCT(季度经营税费!$D$40:$DT$40,--(季度经营税费!$D$4:$DT$4&gt;核心参数输入!$B$9*4-核心参数输入!$B$112)),0),0)</f>
        <v>0</v>
      </c>
      <c r="CQ72" s="9">
        <f>IF(91&lt;=核心参数输入!$B$9*4,IF(AND(91-核心参数输入!$B$112&gt;=0,91-核心参数输入!$B$112&lt;=120),INDEX(季度经营税费!$D$40:$DT$40,1,MAX(1,MIN(121,91-核心参数输入!$B$112+1))),0)+IF(91=核心参数输入!$B$9*4,SUMPRODUCT(季度经营税费!$D$40:$DT$40,--(季度经营税费!$D$4:$DT$4&gt;核心参数输入!$B$9*4-核心参数输入!$B$112)),0),0)</f>
        <v>0</v>
      </c>
      <c r="CR72" s="9">
        <f>IF(92&lt;=核心参数输入!$B$9*4,IF(AND(92-核心参数输入!$B$112&gt;=0,92-核心参数输入!$B$112&lt;=120),INDEX(季度经营税费!$D$40:$DT$40,1,MAX(1,MIN(121,92-核心参数输入!$B$112+1))),0)+IF(92=核心参数输入!$B$9*4,SUMPRODUCT(季度经营税费!$D$40:$DT$40,--(季度经营税费!$D$4:$DT$4&gt;核心参数输入!$B$9*4-核心参数输入!$B$112)),0),0)</f>
        <v>0</v>
      </c>
      <c r="CS72" s="9">
        <f>IF(93&lt;=核心参数输入!$B$9*4,IF(AND(93-核心参数输入!$B$112&gt;=0,93-核心参数输入!$B$112&lt;=120),INDEX(季度经营税费!$D$40:$DT$40,1,MAX(1,MIN(121,93-核心参数输入!$B$112+1))),0)+IF(93=核心参数输入!$B$9*4,SUMPRODUCT(季度经营税费!$D$40:$DT$40,--(季度经营税费!$D$4:$DT$4&gt;核心参数输入!$B$9*4-核心参数输入!$B$112)),0),0)</f>
        <v>0</v>
      </c>
      <c r="CT72" s="9">
        <f>IF(94&lt;=核心参数输入!$B$9*4,IF(AND(94-核心参数输入!$B$112&gt;=0,94-核心参数输入!$B$112&lt;=120),INDEX(季度经营税费!$D$40:$DT$40,1,MAX(1,MIN(121,94-核心参数输入!$B$112+1))),0)+IF(94=核心参数输入!$B$9*4,SUMPRODUCT(季度经营税费!$D$40:$DT$40,--(季度经营税费!$D$4:$DT$4&gt;核心参数输入!$B$9*4-核心参数输入!$B$112)),0),0)</f>
        <v>0</v>
      </c>
      <c r="CU72" s="9">
        <f>IF(95&lt;=核心参数输入!$B$9*4,IF(AND(95-核心参数输入!$B$112&gt;=0,95-核心参数输入!$B$112&lt;=120),INDEX(季度经营税费!$D$40:$DT$40,1,MAX(1,MIN(121,95-核心参数输入!$B$112+1))),0)+IF(95=核心参数输入!$B$9*4,SUMPRODUCT(季度经营税费!$D$40:$DT$40,--(季度经营税费!$D$4:$DT$4&gt;核心参数输入!$B$9*4-核心参数输入!$B$112)),0),0)</f>
        <v>0</v>
      </c>
      <c r="CV72" s="9">
        <f>IF(96&lt;=核心参数输入!$B$9*4,IF(AND(96-核心参数输入!$B$112&gt;=0,96-核心参数输入!$B$112&lt;=120),INDEX(季度经营税费!$D$40:$DT$40,1,MAX(1,MIN(121,96-核心参数输入!$B$112+1))),0)+IF(96=核心参数输入!$B$9*4,SUMPRODUCT(季度经营税费!$D$40:$DT$40,--(季度经营税费!$D$4:$DT$4&gt;核心参数输入!$B$9*4-核心参数输入!$B$112)),0),0)</f>
        <v>0</v>
      </c>
      <c r="CW72" s="9">
        <f>IF(97&lt;=核心参数输入!$B$9*4,IF(AND(97-核心参数输入!$B$112&gt;=0,97-核心参数输入!$B$112&lt;=120),INDEX(季度经营税费!$D$40:$DT$40,1,MAX(1,MIN(121,97-核心参数输入!$B$112+1))),0)+IF(97=核心参数输入!$B$9*4,SUMPRODUCT(季度经营税费!$D$40:$DT$40,--(季度经营税费!$D$4:$DT$4&gt;核心参数输入!$B$9*4-核心参数输入!$B$112)),0),0)</f>
        <v>0</v>
      </c>
      <c r="CX72" s="9">
        <f>IF(98&lt;=核心参数输入!$B$9*4,IF(AND(98-核心参数输入!$B$112&gt;=0,98-核心参数输入!$B$112&lt;=120),INDEX(季度经营税费!$D$40:$DT$40,1,MAX(1,MIN(121,98-核心参数输入!$B$112+1))),0)+IF(98=核心参数输入!$B$9*4,SUMPRODUCT(季度经营税费!$D$40:$DT$40,--(季度经营税费!$D$4:$DT$4&gt;核心参数输入!$B$9*4-核心参数输入!$B$112)),0),0)</f>
        <v>0</v>
      </c>
      <c r="CY72" s="9">
        <f>IF(99&lt;=核心参数输入!$B$9*4,IF(AND(99-核心参数输入!$B$112&gt;=0,99-核心参数输入!$B$112&lt;=120),INDEX(季度经营税费!$D$40:$DT$40,1,MAX(1,MIN(121,99-核心参数输入!$B$112+1))),0)+IF(99=核心参数输入!$B$9*4,SUMPRODUCT(季度经营税费!$D$40:$DT$40,--(季度经营税费!$D$4:$DT$4&gt;核心参数输入!$B$9*4-核心参数输入!$B$112)),0),0)</f>
        <v>0</v>
      </c>
      <c r="CZ72" s="9">
        <f>IF(100&lt;=核心参数输入!$B$9*4,IF(AND(100-核心参数输入!$B$112&gt;=0,100-核心参数输入!$B$112&lt;=120),INDEX(季度经营税费!$D$40:$DT$40,1,MAX(1,MIN(121,100-核心参数输入!$B$112+1))),0)+IF(100=核心参数输入!$B$9*4,SUMPRODUCT(季度经营税费!$D$40:$DT$40,--(季度经营税费!$D$4:$DT$4&gt;核心参数输入!$B$9*4-核心参数输入!$B$112)),0),0)</f>
        <v>0</v>
      </c>
      <c r="DA72" s="9">
        <f>IF(101&lt;=核心参数输入!$B$9*4,IF(AND(101-核心参数输入!$B$112&gt;=0,101-核心参数输入!$B$112&lt;=120),INDEX(季度经营税费!$D$40:$DT$40,1,MAX(1,MIN(121,101-核心参数输入!$B$112+1))),0)+IF(101=核心参数输入!$B$9*4,SUMPRODUCT(季度经营税费!$D$40:$DT$40,--(季度经营税费!$D$4:$DT$4&gt;核心参数输入!$B$9*4-核心参数输入!$B$112)),0),0)</f>
        <v>0</v>
      </c>
      <c r="DB72" s="9">
        <f>IF(102&lt;=核心参数输入!$B$9*4,IF(AND(102-核心参数输入!$B$112&gt;=0,102-核心参数输入!$B$112&lt;=120),INDEX(季度经营税费!$D$40:$DT$40,1,MAX(1,MIN(121,102-核心参数输入!$B$112+1))),0)+IF(102=核心参数输入!$B$9*4,SUMPRODUCT(季度经营税费!$D$40:$DT$40,--(季度经营税费!$D$4:$DT$4&gt;核心参数输入!$B$9*4-核心参数输入!$B$112)),0),0)</f>
        <v>0</v>
      </c>
      <c r="DC72" s="9">
        <f>IF(103&lt;=核心参数输入!$B$9*4,IF(AND(103-核心参数输入!$B$112&gt;=0,103-核心参数输入!$B$112&lt;=120),INDEX(季度经营税费!$D$40:$DT$40,1,MAX(1,MIN(121,103-核心参数输入!$B$112+1))),0)+IF(103=核心参数输入!$B$9*4,SUMPRODUCT(季度经营税费!$D$40:$DT$40,--(季度经营税费!$D$4:$DT$4&gt;核心参数输入!$B$9*4-核心参数输入!$B$112)),0),0)</f>
        <v>0</v>
      </c>
      <c r="DD72" s="9">
        <f>IF(104&lt;=核心参数输入!$B$9*4,IF(AND(104-核心参数输入!$B$112&gt;=0,104-核心参数输入!$B$112&lt;=120),INDEX(季度经营税费!$D$40:$DT$40,1,MAX(1,MIN(121,104-核心参数输入!$B$112+1))),0)+IF(104=核心参数输入!$B$9*4,SUMPRODUCT(季度经营税费!$D$40:$DT$40,--(季度经营税费!$D$4:$DT$4&gt;核心参数输入!$B$9*4-核心参数输入!$B$112)),0),0)</f>
        <v>0</v>
      </c>
      <c r="DE72" s="9">
        <f>IF(105&lt;=核心参数输入!$B$9*4,IF(AND(105-核心参数输入!$B$112&gt;=0,105-核心参数输入!$B$112&lt;=120),INDEX(季度经营税费!$D$40:$DT$40,1,MAX(1,MIN(121,105-核心参数输入!$B$112+1))),0)+IF(105=核心参数输入!$B$9*4,SUMPRODUCT(季度经营税费!$D$40:$DT$40,--(季度经营税费!$D$4:$DT$4&gt;核心参数输入!$B$9*4-核心参数输入!$B$112)),0),0)</f>
        <v>0</v>
      </c>
      <c r="DF72" s="9">
        <f>IF(106&lt;=核心参数输入!$B$9*4,IF(AND(106-核心参数输入!$B$112&gt;=0,106-核心参数输入!$B$112&lt;=120),INDEX(季度经营税费!$D$40:$DT$40,1,MAX(1,MIN(121,106-核心参数输入!$B$112+1))),0)+IF(106=核心参数输入!$B$9*4,SUMPRODUCT(季度经营税费!$D$40:$DT$40,--(季度经营税费!$D$4:$DT$4&gt;核心参数输入!$B$9*4-核心参数输入!$B$112)),0),0)</f>
        <v>0</v>
      </c>
      <c r="DG72" s="9">
        <f>IF(107&lt;=核心参数输入!$B$9*4,IF(AND(107-核心参数输入!$B$112&gt;=0,107-核心参数输入!$B$112&lt;=120),INDEX(季度经营税费!$D$40:$DT$40,1,MAX(1,MIN(121,107-核心参数输入!$B$112+1))),0)+IF(107=核心参数输入!$B$9*4,SUMPRODUCT(季度经营税费!$D$40:$DT$40,--(季度经营税费!$D$4:$DT$4&gt;核心参数输入!$B$9*4-核心参数输入!$B$112)),0),0)</f>
        <v>0</v>
      </c>
      <c r="DH72" s="9">
        <f>IF(108&lt;=核心参数输入!$B$9*4,IF(AND(108-核心参数输入!$B$112&gt;=0,108-核心参数输入!$B$112&lt;=120),INDEX(季度经营税费!$D$40:$DT$40,1,MAX(1,MIN(121,108-核心参数输入!$B$112+1))),0)+IF(108=核心参数输入!$B$9*4,SUMPRODUCT(季度经营税费!$D$40:$DT$40,--(季度经营税费!$D$4:$DT$4&gt;核心参数输入!$B$9*4-核心参数输入!$B$112)),0),0)</f>
        <v>0</v>
      </c>
      <c r="DI72" s="9">
        <f>IF(109&lt;=核心参数输入!$B$9*4,IF(AND(109-核心参数输入!$B$112&gt;=0,109-核心参数输入!$B$112&lt;=120),INDEX(季度经营税费!$D$40:$DT$40,1,MAX(1,MIN(121,109-核心参数输入!$B$112+1))),0)+IF(109=核心参数输入!$B$9*4,SUMPRODUCT(季度经营税费!$D$40:$DT$40,--(季度经营税费!$D$4:$DT$4&gt;核心参数输入!$B$9*4-核心参数输入!$B$112)),0),0)</f>
        <v>0</v>
      </c>
      <c r="DJ72" s="9">
        <f>IF(110&lt;=核心参数输入!$B$9*4,IF(AND(110-核心参数输入!$B$112&gt;=0,110-核心参数输入!$B$112&lt;=120),INDEX(季度经营税费!$D$40:$DT$40,1,MAX(1,MIN(121,110-核心参数输入!$B$112+1))),0)+IF(110=核心参数输入!$B$9*4,SUMPRODUCT(季度经营税费!$D$40:$DT$40,--(季度经营税费!$D$4:$DT$4&gt;核心参数输入!$B$9*4-核心参数输入!$B$112)),0),0)</f>
        <v>0</v>
      </c>
      <c r="DK72" s="9">
        <f>IF(111&lt;=核心参数输入!$B$9*4,IF(AND(111-核心参数输入!$B$112&gt;=0,111-核心参数输入!$B$112&lt;=120),INDEX(季度经营税费!$D$40:$DT$40,1,MAX(1,MIN(121,111-核心参数输入!$B$112+1))),0)+IF(111=核心参数输入!$B$9*4,SUMPRODUCT(季度经营税费!$D$40:$DT$40,--(季度经营税费!$D$4:$DT$4&gt;核心参数输入!$B$9*4-核心参数输入!$B$112)),0),0)</f>
        <v>0</v>
      </c>
      <c r="DL72" s="9">
        <f>IF(112&lt;=核心参数输入!$B$9*4,IF(AND(112-核心参数输入!$B$112&gt;=0,112-核心参数输入!$B$112&lt;=120),INDEX(季度经营税费!$D$40:$DT$40,1,MAX(1,MIN(121,112-核心参数输入!$B$112+1))),0)+IF(112=核心参数输入!$B$9*4,SUMPRODUCT(季度经营税费!$D$40:$DT$40,--(季度经营税费!$D$4:$DT$4&gt;核心参数输入!$B$9*4-核心参数输入!$B$112)),0),0)</f>
        <v>0</v>
      </c>
      <c r="DM72" s="9">
        <f>IF(113&lt;=核心参数输入!$B$9*4,IF(AND(113-核心参数输入!$B$112&gt;=0,113-核心参数输入!$B$112&lt;=120),INDEX(季度经营税费!$D$40:$DT$40,1,MAX(1,MIN(121,113-核心参数输入!$B$112+1))),0)+IF(113=核心参数输入!$B$9*4,SUMPRODUCT(季度经营税费!$D$40:$DT$40,--(季度经营税费!$D$4:$DT$4&gt;核心参数输入!$B$9*4-核心参数输入!$B$112)),0),0)</f>
        <v>0</v>
      </c>
      <c r="DN72" s="9">
        <f>IF(114&lt;=核心参数输入!$B$9*4,IF(AND(114-核心参数输入!$B$112&gt;=0,114-核心参数输入!$B$112&lt;=120),INDEX(季度经营税费!$D$40:$DT$40,1,MAX(1,MIN(121,114-核心参数输入!$B$112+1))),0)+IF(114=核心参数输入!$B$9*4,SUMPRODUCT(季度经营税费!$D$40:$DT$40,--(季度经营税费!$D$4:$DT$4&gt;核心参数输入!$B$9*4-核心参数输入!$B$112)),0),0)</f>
        <v>0</v>
      </c>
      <c r="DO72" s="9">
        <f>IF(115&lt;=核心参数输入!$B$9*4,IF(AND(115-核心参数输入!$B$112&gt;=0,115-核心参数输入!$B$112&lt;=120),INDEX(季度经营税费!$D$40:$DT$40,1,MAX(1,MIN(121,115-核心参数输入!$B$112+1))),0)+IF(115=核心参数输入!$B$9*4,SUMPRODUCT(季度经营税费!$D$40:$DT$40,--(季度经营税费!$D$4:$DT$4&gt;核心参数输入!$B$9*4-核心参数输入!$B$112)),0),0)</f>
        <v>0</v>
      </c>
      <c r="DP72" s="9">
        <f>IF(116&lt;=核心参数输入!$B$9*4,IF(AND(116-核心参数输入!$B$112&gt;=0,116-核心参数输入!$B$112&lt;=120),INDEX(季度经营税费!$D$40:$DT$40,1,MAX(1,MIN(121,116-核心参数输入!$B$112+1))),0)+IF(116=核心参数输入!$B$9*4,SUMPRODUCT(季度经营税费!$D$40:$DT$40,--(季度经营税费!$D$4:$DT$4&gt;核心参数输入!$B$9*4-核心参数输入!$B$112)),0),0)</f>
        <v>0</v>
      </c>
      <c r="DQ72" s="9">
        <f>IF(117&lt;=核心参数输入!$B$9*4,IF(AND(117-核心参数输入!$B$112&gt;=0,117-核心参数输入!$B$112&lt;=120),INDEX(季度经营税费!$D$40:$DT$40,1,MAX(1,MIN(121,117-核心参数输入!$B$112+1))),0)+IF(117=核心参数输入!$B$9*4,SUMPRODUCT(季度经营税费!$D$40:$DT$40,--(季度经营税费!$D$4:$DT$4&gt;核心参数输入!$B$9*4-核心参数输入!$B$112)),0),0)</f>
        <v>0</v>
      </c>
      <c r="DR72" s="9">
        <f>IF(118&lt;=核心参数输入!$B$9*4,IF(AND(118-核心参数输入!$B$112&gt;=0,118-核心参数输入!$B$112&lt;=120),INDEX(季度经营税费!$D$40:$DT$40,1,MAX(1,MIN(121,118-核心参数输入!$B$112+1))),0)+IF(118=核心参数输入!$B$9*4,SUMPRODUCT(季度经营税费!$D$40:$DT$40,--(季度经营税费!$D$4:$DT$4&gt;核心参数输入!$B$9*4-核心参数输入!$B$112)),0),0)</f>
        <v>0</v>
      </c>
      <c r="DS72" s="9">
        <f>IF(119&lt;=核心参数输入!$B$9*4,IF(AND(119-核心参数输入!$B$112&gt;=0,119-核心参数输入!$B$112&lt;=120),INDEX(季度经营税费!$D$40:$DT$40,1,MAX(1,MIN(121,119-核心参数输入!$B$112+1))),0)+IF(119=核心参数输入!$B$9*4,SUMPRODUCT(季度经营税费!$D$40:$DT$40,--(季度经营税费!$D$4:$DT$4&gt;核心参数输入!$B$9*4-核心参数输入!$B$112)),0),0)</f>
        <v>0</v>
      </c>
      <c r="DT72" s="9">
        <f>IF(120&lt;=核心参数输入!$B$9*4,IF(AND(120-核心参数输入!$B$112&gt;=0,120-核心参数输入!$B$112&lt;=120),INDEX(季度经营税费!$D$40:$DT$40,1,MAX(1,MIN(121,120-核心参数输入!$B$112+1))),0)+IF(120=核心参数输入!$B$9*4,SUMPRODUCT(季度经营税费!$D$40:$DT$40,--(季度经营税费!$D$4:$DT$4&gt;核心参数输入!$B$9*4-核心参数输入!$B$112)),0),0)</f>
        <v>0</v>
      </c>
    </row>
    <row r="73" spans="1:124" ht="21" customHeight="1">
      <c r="A73" s="8" t="s">
        <v>504</v>
      </c>
      <c r="B73" s="8" t="s">
        <v>39</v>
      </c>
      <c r="C73" s="8"/>
      <c r="D73" s="9">
        <f>IF(0&lt;=核心参数输入!$B$9*4,IF(0=核心参数输入!$B$9*4,SUMPRODUCT(季度经营税费!$D$51:$DT$51,--(季度经营税费!$D$4:$DT$4&gt;核心参数输入!$B$9*4-核心参数输入!$B$112)),0),0)</f>
        <v>0</v>
      </c>
      <c r="E73" s="9">
        <f>IF(1&lt;=核心参数输入!$B$9*4,IF(1=核心参数输入!$B$9*4,SUMPRODUCT(季度经营税费!$D$51:$DT$51,--(季度经营税费!$D$4:$DT$4&gt;核心参数输入!$B$9*4-核心参数输入!$B$112)),0),0)</f>
        <v>0</v>
      </c>
      <c r="F73" s="9">
        <f>IF(2&lt;=核心参数输入!$B$9*4,IF(2=核心参数输入!$B$9*4,SUMPRODUCT(季度经营税费!$D$51:$DT$51,--(季度经营税费!$D$4:$DT$4&gt;核心参数输入!$B$9*4-核心参数输入!$B$112)),0),0)</f>
        <v>0</v>
      </c>
      <c r="G73" s="9">
        <f>IF(3&lt;=核心参数输入!$B$9*4,IF(3=核心参数输入!$B$9*4,SUMPRODUCT(季度经营税费!$D$51:$DT$51,--(季度经营税费!$D$4:$DT$4&gt;核心参数输入!$B$9*4-核心参数输入!$B$112)),0),0)</f>
        <v>0</v>
      </c>
      <c r="H73" s="9">
        <f>IF(4&lt;=核心参数输入!$B$9*4,IF(4=核心参数输入!$B$9*4,SUMPRODUCT(季度经营税费!$D$51:$DT$51,--(季度经营税费!$D$4:$DT$4&gt;核心参数输入!$B$9*4-核心参数输入!$B$112)),0),0)</f>
        <v>0</v>
      </c>
      <c r="I73" s="9">
        <f>IF(5&lt;=核心参数输入!$B$9*4,IF(5=核心参数输入!$B$9*4,SUMPRODUCT(季度经营税费!$D$51:$DT$51,--(季度经营税费!$D$4:$DT$4&gt;核心参数输入!$B$9*4-核心参数输入!$B$112)),0),0)</f>
        <v>0</v>
      </c>
      <c r="J73" s="9">
        <f>IF(6&lt;=核心参数输入!$B$9*4,IF(6=核心参数输入!$B$9*4,SUMPRODUCT(季度经营税费!$D$51:$DT$51,--(季度经营税费!$D$4:$DT$4&gt;核心参数输入!$B$9*4-核心参数输入!$B$112)),0),0)</f>
        <v>0</v>
      </c>
      <c r="K73" s="9">
        <f>IF(7&lt;=核心参数输入!$B$9*4,IF(7=核心参数输入!$B$9*4,SUMPRODUCT(季度经营税费!$D$51:$DT$51,--(季度经营税费!$D$4:$DT$4&gt;核心参数输入!$B$9*4-核心参数输入!$B$112)),0),0)</f>
        <v>0</v>
      </c>
      <c r="L73" s="9">
        <f>IF(8&lt;=核心参数输入!$B$9*4,IF(8=核心参数输入!$B$9*4,SUMPRODUCT(季度经营税费!$D$51:$DT$51,--(季度经营税费!$D$4:$DT$4&gt;核心参数输入!$B$9*4-核心参数输入!$B$112)),0),0)</f>
        <v>0</v>
      </c>
      <c r="M73" s="9">
        <f>IF(9&lt;=核心参数输入!$B$9*4,IF(9=核心参数输入!$B$9*4,SUMPRODUCT(季度经营税费!$D$51:$DT$51,--(季度经营税费!$D$4:$DT$4&gt;核心参数输入!$B$9*4-核心参数输入!$B$112)),0),0)</f>
        <v>0</v>
      </c>
      <c r="N73" s="9">
        <f>IF(10&lt;=核心参数输入!$B$9*4,IF(10=核心参数输入!$B$9*4,SUMPRODUCT(季度经营税费!$D$51:$DT$51,--(季度经营税费!$D$4:$DT$4&gt;核心参数输入!$B$9*4-核心参数输入!$B$112)),0),0)</f>
        <v>0</v>
      </c>
      <c r="O73" s="9">
        <f>IF(11&lt;=核心参数输入!$B$9*4,IF(11=核心参数输入!$B$9*4,SUMPRODUCT(季度经营税费!$D$51:$DT$51,--(季度经营税费!$D$4:$DT$4&gt;核心参数输入!$B$9*4-核心参数输入!$B$112)),0),0)</f>
        <v>0</v>
      </c>
      <c r="P73" s="9">
        <f>IF(12&lt;=核心参数输入!$B$9*4,IF(12=核心参数输入!$B$9*4,SUMPRODUCT(季度经营税费!$D$51:$DT$51,--(季度经营税费!$D$4:$DT$4&gt;核心参数输入!$B$9*4-核心参数输入!$B$112)),0),0)</f>
        <v>0</v>
      </c>
      <c r="Q73" s="9">
        <f>IF(13&lt;=核心参数输入!$B$9*4,IF(13=核心参数输入!$B$9*4,SUMPRODUCT(季度经营税费!$D$51:$DT$51,--(季度经营税费!$D$4:$DT$4&gt;核心参数输入!$B$9*4-核心参数输入!$B$112)),0),0)</f>
        <v>0</v>
      </c>
      <c r="R73" s="9">
        <f>IF(14&lt;=核心参数输入!$B$9*4,IF(14=核心参数输入!$B$9*4,SUMPRODUCT(季度经营税费!$D$51:$DT$51,--(季度经营税费!$D$4:$DT$4&gt;核心参数输入!$B$9*4-核心参数输入!$B$112)),0),0)</f>
        <v>0</v>
      </c>
      <c r="S73" s="9">
        <f>IF(15&lt;=核心参数输入!$B$9*4,IF(15=核心参数输入!$B$9*4,SUMPRODUCT(季度经营税费!$D$51:$DT$51,--(季度经营税费!$D$4:$DT$4&gt;核心参数输入!$B$9*4-核心参数输入!$B$112)),0),0)</f>
        <v>0</v>
      </c>
      <c r="T73" s="9">
        <f>IF(16&lt;=核心参数输入!$B$9*4,IF(16=核心参数输入!$B$9*4,SUMPRODUCT(季度经营税费!$D$51:$DT$51,--(季度经营税费!$D$4:$DT$4&gt;核心参数输入!$B$9*4-核心参数输入!$B$112)),0),0)</f>
        <v>0</v>
      </c>
      <c r="U73" s="9">
        <f>IF(17&lt;=核心参数输入!$B$9*4,IF(17=核心参数输入!$B$9*4,SUMPRODUCT(季度经营税费!$D$51:$DT$51,--(季度经营税费!$D$4:$DT$4&gt;核心参数输入!$B$9*4-核心参数输入!$B$112)),0),0)</f>
        <v>0</v>
      </c>
      <c r="V73" s="9">
        <f>IF(18&lt;=核心参数输入!$B$9*4,IF(18=核心参数输入!$B$9*4,SUMPRODUCT(季度经营税费!$D$51:$DT$51,--(季度经营税费!$D$4:$DT$4&gt;核心参数输入!$B$9*4-核心参数输入!$B$112)),0),0)</f>
        <v>0</v>
      </c>
      <c r="W73" s="9">
        <f>IF(19&lt;=核心参数输入!$B$9*4,IF(19=核心参数输入!$B$9*4,SUMPRODUCT(季度经营税费!$D$51:$DT$51,--(季度经营税费!$D$4:$DT$4&gt;核心参数输入!$B$9*4-核心参数输入!$B$112)),0),0)</f>
        <v>0</v>
      </c>
      <c r="X73" s="9">
        <f>IF(20&lt;=核心参数输入!$B$9*4,IF(20=核心参数输入!$B$9*4,SUMPRODUCT(季度经营税费!$D$51:$DT$51,--(季度经营税费!$D$4:$DT$4&gt;核心参数输入!$B$9*4-核心参数输入!$B$112)),0),0)</f>
        <v>0</v>
      </c>
      <c r="Y73" s="9">
        <f>IF(21&lt;=核心参数输入!$B$9*4,IF(21=核心参数输入!$B$9*4,SUMPRODUCT(季度经营税费!$D$51:$DT$51,--(季度经营税费!$D$4:$DT$4&gt;核心参数输入!$B$9*4-核心参数输入!$B$112)),0),0)</f>
        <v>0</v>
      </c>
      <c r="Z73" s="9">
        <f>IF(22&lt;=核心参数输入!$B$9*4,IF(22=核心参数输入!$B$9*4,SUMPRODUCT(季度经营税费!$D$51:$DT$51,--(季度经营税费!$D$4:$DT$4&gt;核心参数输入!$B$9*4-核心参数输入!$B$112)),0),0)</f>
        <v>0</v>
      </c>
      <c r="AA73" s="9">
        <f>IF(23&lt;=核心参数输入!$B$9*4,IF(23=核心参数输入!$B$9*4,SUMPRODUCT(季度经营税费!$D$51:$DT$51,--(季度经营税费!$D$4:$DT$4&gt;核心参数输入!$B$9*4-核心参数输入!$B$112)),0),0)</f>
        <v>0</v>
      </c>
      <c r="AB73" s="9">
        <f>IF(24&lt;=核心参数输入!$B$9*4,IF(24=核心参数输入!$B$9*4,SUMPRODUCT(季度经营税费!$D$51:$DT$51,--(季度经营税费!$D$4:$DT$4&gt;核心参数输入!$B$9*4-核心参数输入!$B$112)),0),0)</f>
        <v>0</v>
      </c>
      <c r="AC73" s="9">
        <f>IF(25&lt;=核心参数输入!$B$9*4,IF(25=核心参数输入!$B$9*4,SUMPRODUCT(季度经营税费!$D$51:$DT$51,--(季度经营税费!$D$4:$DT$4&gt;核心参数输入!$B$9*4-核心参数输入!$B$112)),0),0)</f>
        <v>0</v>
      </c>
      <c r="AD73" s="9">
        <f>IF(26&lt;=核心参数输入!$B$9*4,IF(26=核心参数输入!$B$9*4,SUMPRODUCT(季度经营税费!$D$51:$DT$51,--(季度经营税费!$D$4:$DT$4&gt;核心参数输入!$B$9*4-核心参数输入!$B$112)),0),0)</f>
        <v>0</v>
      </c>
      <c r="AE73" s="9">
        <f>IF(27&lt;=核心参数输入!$B$9*4,IF(27=核心参数输入!$B$9*4,SUMPRODUCT(季度经营税费!$D$51:$DT$51,--(季度经营税费!$D$4:$DT$4&gt;核心参数输入!$B$9*4-核心参数输入!$B$112)),0),0)</f>
        <v>0</v>
      </c>
      <c r="AF73" s="9">
        <f>IF(28&lt;=核心参数输入!$B$9*4,IF(28=核心参数输入!$B$9*4,SUMPRODUCT(季度经营税费!$D$51:$DT$51,--(季度经营税费!$D$4:$DT$4&gt;核心参数输入!$B$9*4-核心参数输入!$B$112)),0),0)</f>
        <v>0</v>
      </c>
      <c r="AG73" s="9">
        <f>IF(29&lt;=核心参数输入!$B$9*4,IF(29=核心参数输入!$B$9*4,SUMPRODUCT(季度经营税费!$D$51:$DT$51,--(季度经营税费!$D$4:$DT$4&gt;核心参数输入!$B$9*4-核心参数输入!$B$112)),0),0)</f>
        <v>0</v>
      </c>
      <c r="AH73" s="9">
        <f>IF(30&lt;=核心参数输入!$B$9*4,IF(30=核心参数输入!$B$9*4,SUMPRODUCT(季度经营税费!$D$51:$DT$51,--(季度经营税费!$D$4:$DT$4&gt;核心参数输入!$B$9*4-核心参数输入!$B$112)),0),0)</f>
        <v>0</v>
      </c>
      <c r="AI73" s="9">
        <f>IF(31&lt;=核心参数输入!$B$9*4,IF(31=核心参数输入!$B$9*4,SUMPRODUCT(季度经营税费!$D$51:$DT$51,--(季度经营税费!$D$4:$DT$4&gt;核心参数输入!$B$9*4-核心参数输入!$B$112)),0),0)</f>
        <v>0</v>
      </c>
      <c r="AJ73" s="9">
        <f>IF(32&lt;=核心参数输入!$B$9*4,IF(32=核心参数输入!$B$9*4,SUMPRODUCT(季度经营税费!$D$51:$DT$51,--(季度经营税费!$D$4:$DT$4&gt;核心参数输入!$B$9*4-核心参数输入!$B$112)),0),0)</f>
        <v>0</v>
      </c>
      <c r="AK73" s="9">
        <f>IF(33&lt;=核心参数输入!$B$9*4,IF(33=核心参数输入!$B$9*4,SUMPRODUCT(季度经营税费!$D$51:$DT$51,--(季度经营税费!$D$4:$DT$4&gt;核心参数输入!$B$9*4-核心参数输入!$B$112)),0),0)</f>
        <v>0</v>
      </c>
      <c r="AL73" s="9">
        <f>IF(34&lt;=核心参数输入!$B$9*4,IF(34=核心参数输入!$B$9*4,SUMPRODUCT(季度经营税费!$D$51:$DT$51,--(季度经营税费!$D$4:$DT$4&gt;核心参数输入!$B$9*4-核心参数输入!$B$112)),0),0)</f>
        <v>0</v>
      </c>
      <c r="AM73" s="9">
        <f>IF(35&lt;=核心参数输入!$B$9*4,IF(35=核心参数输入!$B$9*4,SUMPRODUCT(季度经营税费!$D$51:$DT$51,--(季度经营税费!$D$4:$DT$4&gt;核心参数输入!$B$9*4-核心参数输入!$B$112)),0),0)</f>
        <v>0</v>
      </c>
      <c r="AN73" s="9">
        <f>IF(36&lt;=核心参数输入!$B$9*4,IF(36=核心参数输入!$B$9*4,SUMPRODUCT(季度经营税费!$D$51:$DT$51,--(季度经营税费!$D$4:$DT$4&gt;核心参数输入!$B$9*4-核心参数输入!$B$112)),0),0)</f>
        <v>0</v>
      </c>
      <c r="AO73" s="9">
        <f>IF(37&lt;=核心参数输入!$B$9*4,IF(37=核心参数输入!$B$9*4,SUMPRODUCT(季度经营税费!$D$51:$DT$51,--(季度经营税费!$D$4:$DT$4&gt;核心参数输入!$B$9*4-核心参数输入!$B$112)),0),0)</f>
        <v>0</v>
      </c>
      <c r="AP73" s="9">
        <f>IF(38&lt;=核心参数输入!$B$9*4,IF(38=核心参数输入!$B$9*4,SUMPRODUCT(季度经营税费!$D$51:$DT$51,--(季度经营税费!$D$4:$DT$4&gt;核心参数输入!$B$9*4-核心参数输入!$B$112)),0),0)</f>
        <v>0</v>
      </c>
      <c r="AQ73" s="9">
        <f>IF(39&lt;=核心参数输入!$B$9*4,IF(39=核心参数输入!$B$9*4,SUMPRODUCT(季度经营税费!$D$51:$DT$51,--(季度经营税费!$D$4:$DT$4&gt;核心参数输入!$B$9*4-核心参数输入!$B$112)),0),0)</f>
        <v>0</v>
      </c>
      <c r="AR73" s="9">
        <f>IF(40&lt;=核心参数输入!$B$9*4,IF(40=核心参数输入!$B$9*4,SUMPRODUCT(季度经营税费!$D$51:$DT$51,--(季度经营税费!$D$4:$DT$4&gt;核心参数输入!$B$9*4-核心参数输入!$B$112)),0),0)</f>
        <v>0</v>
      </c>
      <c r="AS73" s="9">
        <f>IF(41&lt;=核心参数输入!$B$9*4,IF(41=核心参数输入!$B$9*4,SUMPRODUCT(季度经营税费!$D$51:$DT$51,--(季度经营税费!$D$4:$DT$4&gt;核心参数输入!$B$9*4-核心参数输入!$B$112)),0),0)</f>
        <v>0</v>
      </c>
      <c r="AT73" s="9">
        <f>IF(42&lt;=核心参数输入!$B$9*4,IF(42=核心参数输入!$B$9*4,SUMPRODUCT(季度经营税费!$D$51:$DT$51,--(季度经营税费!$D$4:$DT$4&gt;核心参数输入!$B$9*4-核心参数输入!$B$112)),0),0)</f>
        <v>0</v>
      </c>
      <c r="AU73" s="9">
        <f>IF(43&lt;=核心参数输入!$B$9*4,IF(43=核心参数输入!$B$9*4,SUMPRODUCT(季度经营税费!$D$51:$DT$51,--(季度经营税费!$D$4:$DT$4&gt;核心参数输入!$B$9*4-核心参数输入!$B$112)),0),0)</f>
        <v>0</v>
      </c>
      <c r="AV73" s="9">
        <f>IF(44&lt;=核心参数输入!$B$9*4,IF(44=核心参数输入!$B$9*4,SUMPRODUCT(季度经营税费!$D$51:$DT$51,--(季度经营税费!$D$4:$DT$4&gt;核心参数输入!$B$9*4-核心参数输入!$B$112)),0),0)</f>
        <v>0</v>
      </c>
      <c r="AW73" s="9">
        <f>IF(45&lt;=核心参数输入!$B$9*4,IF(45=核心参数输入!$B$9*4,SUMPRODUCT(季度经营税费!$D$51:$DT$51,--(季度经营税费!$D$4:$DT$4&gt;核心参数输入!$B$9*4-核心参数输入!$B$112)),0),0)</f>
        <v>0</v>
      </c>
      <c r="AX73" s="9">
        <f>IF(46&lt;=核心参数输入!$B$9*4,IF(46=核心参数输入!$B$9*4,SUMPRODUCT(季度经营税费!$D$51:$DT$51,--(季度经营税费!$D$4:$DT$4&gt;核心参数输入!$B$9*4-核心参数输入!$B$112)),0),0)</f>
        <v>0</v>
      </c>
      <c r="AY73" s="9">
        <f>IF(47&lt;=核心参数输入!$B$9*4,IF(47=核心参数输入!$B$9*4,SUMPRODUCT(季度经营税费!$D$51:$DT$51,--(季度经营税费!$D$4:$DT$4&gt;核心参数输入!$B$9*4-核心参数输入!$B$112)),0),0)</f>
        <v>0</v>
      </c>
      <c r="AZ73" s="9">
        <f>IF(48&lt;=核心参数输入!$B$9*4,IF(48=核心参数输入!$B$9*4,SUMPRODUCT(季度经营税费!$D$51:$DT$51,--(季度经营税费!$D$4:$DT$4&gt;核心参数输入!$B$9*4-核心参数输入!$B$112)),0),0)</f>
        <v>0</v>
      </c>
      <c r="BA73" s="9">
        <f>IF(49&lt;=核心参数输入!$B$9*4,IF(49=核心参数输入!$B$9*4,SUMPRODUCT(季度经营税费!$D$51:$DT$51,--(季度经营税费!$D$4:$DT$4&gt;核心参数输入!$B$9*4-核心参数输入!$B$112)),0),0)</f>
        <v>0</v>
      </c>
      <c r="BB73" s="9">
        <f>IF(50&lt;=核心参数输入!$B$9*4,IF(50=核心参数输入!$B$9*4,SUMPRODUCT(季度经营税费!$D$51:$DT$51,--(季度经营税费!$D$4:$DT$4&gt;核心参数输入!$B$9*4-核心参数输入!$B$112)),0),0)</f>
        <v>0</v>
      </c>
      <c r="BC73" s="9">
        <f>IF(51&lt;=核心参数输入!$B$9*4,IF(51=核心参数输入!$B$9*4,SUMPRODUCT(季度经营税费!$D$51:$DT$51,--(季度经营税费!$D$4:$DT$4&gt;核心参数输入!$B$9*4-核心参数输入!$B$112)),0),0)</f>
        <v>0</v>
      </c>
      <c r="BD73" s="9">
        <f>IF(52&lt;=核心参数输入!$B$9*4,IF(52=核心参数输入!$B$9*4,SUMPRODUCT(季度经营税费!$D$51:$DT$51,--(季度经营税费!$D$4:$DT$4&gt;核心参数输入!$B$9*4-核心参数输入!$B$112)),0),0)</f>
        <v>0</v>
      </c>
      <c r="BE73" s="9">
        <f>IF(53&lt;=核心参数输入!$B$9*4,IF(53=核心参数输入!$B$9*4,SUMPRODUCT(季度经营税费!$D$51:$DT$51,--(季度经营税费!$D$4:$DT$4&gt;核心参数输入!$B$9*4-核心参数输入!$B$112)),0),0)</f>
        <v>0</v>
      </c>
      <c r="BF73" s="9">
        <f>IF(54&lt;=核心参数输入!$B$9*4,IF(54=核心参数输入!$B$9*4,SUMPRODUCT(季度经营税费!$D$51:$DT$51,--(季度经营税费!$D$4:$DT$4&gt;核心参数输入!$B$9*4-核心参数输入!$B$112)),0),0)</f>
        <v>0</v>
      </c>
      <c r="BG73" s="9">
        <f>IF(55&lt;=核心参数输入!$B$9*4,IF(55=核心参数输入!$B$9*4,SUMPRODUCT(季度经营税费!$D$51:$DT$51,--(季度经营税费!$D$4:$DT$4&gt;核心参数输入!$B$9*4-核心参数输入!$B$112)),0),0)</f>
        <v>0</v>
      </c>
      <c r="BH73" s="9">
        <f>IF(56&lt;=核心参数输入!$B$9*4,IF(56=核心参数输入!$B$9*4,SUMPRODUCT(季度经营税费!$D$51:$DT$51,--(季度经营税费!$D$4:$DT$4&gt;核心参数输入!$B$9*4-核心参数输入!$B$112)),0),0)</f>
        <v>0</v>
      </c>
      <c r="BI73" s="9">
        <f>IF(57&lt;=核心参数输入!$B$9*4,IF(57=核心参数输入!$B$9*4,SUMPRODUCT(季度经营税费!$D$51:$DT$51,--(季度经营税费!$D$4:$DT$4&gt;核心参数输入!$B$9*4-核心参数输入!$B$112)),0),0)</f>
        <v>0</v>
      </c>
      <c r="BJ73" s="9">
        <f>IF(58&lt;=核心参数输入!$B$9*4,IF(58=核心参数输入!$B$9*4,SUMPRODUCT(季度经营税费!$D$51:$DT$51,--(季度经营税费!$D$4:$DT$4&gt;核心参数输入!$B$9*4-核心参数输入!$B$112)),0),0)</f>
        <v>0</v>
      </c>
      <c r="BK73" s="9">
        <f>IF(59&lt;=核心参数输入!$B$9*4,IF(59=核心参数输入!$B$9*4,SUMPRODUCT(季度经营税费!$D$51:$DT$51,--(季度经营税费!$D$4:$DT$4&gt;核心参数输入!$B$9*4-核心参数输入!$B$112)),0),0)</f>
        <v>0</v>
      </c>
      <c r="BL73" s="9">
        <f>IF(60&lt;=核心参数输入!$B$9*4,IF(60=核心参数输入!$B$9*4,SUMPRODUCT(季度经营税费!$D$51:$DT$51,--(季度经营税费!$D$4:$DT$4&gt;核心参数输入!$B$9*4-核心参数输入!$B$112)),0),0)</f>
        <v>0</v>
      </c>
      <c r="BM73" s="9">
        <f>IF(61&lt;=核心参数输入!$B$9*4,IF(61=核心参数输入!$B$9*4,SUMPRODUCT(季度经营税费!$D$51:$DT$51,--(季度经营税费!$D$4:$DT$4&gt;核心参数输入!$B$9*4-核心参数输入!$B$112)),0),0)</f>
        <v>0</v>
      </c>
      <c r="BN73" s="9">
        <f>IF(62&lt;=核心参数输入!$B$9*4,IF(62=核心参数输入!$B$9*4,SUMPRODUCT(季度经营税费!$D$51:$DT$51,--(季度经营税费!$D$4:$DT$4&gt;核心参数输入!$B$9*4-核心参数输入!$B$112)),0),0)</f>
        <v>0</v>
      </c>
      <c r="BO73" s="9">
        <f>IF(63&lt;=核心参数输入!$B$9*4,IF(63=核心参数输入!$B$9*4,SUMPRODUCT(季度经营税费!$D$51:$DT$51,--(季度经营税费!$D$4:$DT$4&gt;核心参数输入!$B$9*4-核心参数输入!$B$112)),0),0)</f>
        <v>0</v>
      </c>
      <c r="BP73" s="9">
        <f>IF(64&lt;=核心参数输入!$B$9*4,IF(64=核心参数输入!$B$9*4,SUMPRODUCT(季度经营税费!$D$51:$DT$51,--(季度经营税费!$D$4:$DT$4&gt;核心参数输入!$B$9*4-核心参数输入!$B$112)),0),0)</f>
        <v>0</v>
      </c>
      <c r="BQ73" s="9">
        <f>IF(65&lt;=核心参数输入!$B$9*4,IF(65=核心参数输入!$B$9*4,SUMPRODUCT(季度经营税费!$D$51:$DT$51,--(季度经营税费!$D$4:$DT$4&gt;核心参数输入!$B$9*4-核心参数输入!$B$112)),0),0)</f>
        <v>0</v>
      </c>
      <c r="BR73" s="9">
        <f>IF(66&lt;=核心参数输入!$B$9*4,IF(66=核心参数输入!$B$9*4,SUMPRODUCT(季度经营税费!$D$51:$DT$51,--(季度经营税费!$D$4:$DT$4&gt;核心参数输入!$B$9*4-核心参数输入!$B$112)),0),0)</f>
        <v>0</v>
      </c>
      <c r="BS73" s="9">
        <f>IF(67&lt;=核心参数输入!$B$9*4,IF(67=核心参数输入!$B$9*4,SUMPRODUCT(季度经营税费!$D$51:$DT$51,--(季度经营税费!$D$4:$DT$4&gt;核心参数输入!$B$9*4-核心参数输入!$B$112)),0),0)</f>
        <v>0</v>
      </c>
      <c r="BT73" s="9">
        <f>IF(68&lt;=核心参数输入!$B$9*4,IF(68=核心参数输入!$B$9*4,SUMPRODUCT(季度经营税费!$D$51:$DT$51,--(季度经营税费!$D$4:$DT$4&gt;核心参数输入!$B$9*4-核心参数输入!$B$112)),0),0)</f>
        <v>0</v>
      </c>
      <c r="BU73" s="9">
        <f>IF(69&lt;=核心参数输入!$B$9*4,IF(69=核心参数输入!$B$9*4,SUMPRODUCT(季度经营税费!$D$51:$DT$51,--(季度经营税费!$D$4:$DT$4&gt;核心参数输入!$B$9*4-核心参数输入!$B$112)),0),0)</f>
        <v>0</v>
      </c>
      <c r="BV73" s="9">
        <f>IF(70&lt;=核心参数输入!$B$9*4,IF(70=核心参数输入!$B$9*4,SUMPRODUCT(季度经营税费!$D$51:$DT$51,--(季度经营税费!$D$4:$DT$4&gt;核心参数输入!$B$9*4-核心参数输入!$B$112)),0),0)</f>
        <v>0</v>
      </c>
      <c r="BW73" s="9">
        <f>IF(71&lt;=核心参数输入!$B$9*4,IF(71=核心参数输入!$B$9*4,SUMPRODUCT(季度经营税费!$D$51:$DT$51,--(季度经营税费!$D$4:$DT$4&gt;核心参数输入!$B$9*4-核心参数输入!$B$112)),0),0)</f>
        <v>0</v>
      </c>
      <c r="BX73" s="9">
        <f>IF(72&lt;=核心参数输入!$B$9*4,IF(72=核心参数输入!$B$9*4,SUMPRODUCT(季度经营税费!$D$51:$DT$51,--(季度经营税费!$D$4:$DT$4&gt;核心参数输入!$B$9*4-核心参数输入!$B$112)),0),0)</f>
        <v>0</v>
      </c>
      <c r="BY73" s="9">
        <f>IF(73&lt;=核心参数输入!$B$9*4,IF(73=核心参数输入!$B$9*4,SUMPRODUCT(季度经营税费!$D$51:$DT$51,--(季度经营税费!$D$4:$DT$4&gt;核心参数输入!$B$9*4-核心参数输入!$B$112)),0),0)</f>
        <v>0</v>
      </c>
      <c r="BZ73" s="9">
        <f>IF(74&lt;=核心参数输入!$B$9*4,IF(74=核心参数输入!$B$9*4,SUMPRODUCT(季度经营税费!$D$51:$DT$51,--(季度经营税费!$D$4:$DT$4&gt;核心参数输入!$B$9*4-核心参数输入!$B$112)),0),0)</f>
        <v>0</v>
      </c>
      <c r="CA73" s="9">
        <f>IF(75&lt;=核心参数输入!$B$9*4,IF(75=核心参数输入!$B$9*4,SUMPRODUCT(季度经营税费!$D$51:$DT$51,--(季度经营税费!$D$4:$DT$4&gt;核心参数输入!$B$9*4-核心参数输入!$B$112)),0),0)</f>
        <v>0</v>
      </c>
      <c r="CB73" s="9">
        <f>IF(76&lt;=核心参数输入!$B$9*4,IF(76=核心参数输入!$B$9*4,SUMPRODUCT(季度经营税费!$D$51:$DT$51,--(季度经营税费!$D$4:$DT$4&gt;核心参数输入!$B$9*4-核心参数输入!$B$112)),0),0)</f>
        <v>0</v>
      </c>
      <c r="CC73" s="9">
        <f>IF(77&lt;=核心参数输入!$B$9*4,IF(77=核心参数输入!$B$9*4,SUMPRODUCT(季度经营税费!$D$51:$DT$51,--(季度经营税费!$D$4:$DT$4&gt;核心参数输入!$B$9*4-核心参数输入!$B$112)),0),0)</f>
        <v>0</v>
      </c>
      <c r="CD73" s="9">
        <f>IF(78&lt;=核心参数输入!$B$9*4,IF(78=核心参数输入!$B$9*4,SUMPRODUCT(季度经营税费!$D$51:$DT$51,--(季度经营税费!$D$4:$DT$4&gt;核心参数输入!$B$9*4-核心参数输入!$B$112)),0),0)</f>
        <v>0</v>
      </c>
      <c r="CE73" s="9">
        <f>IF(79&lt;=核心参数输入!$B$9*4,IF(79=核心参数输入!$B$9*4,SUMPRODUCT(季度经营税费!$D$51:$DT$51,--(季度经营税费!$D$4:$DT$4&gt;核心参数输入!$B$9*4-核心参数输入!$B$112)),0),0)</f>
        <v>0</v>
      </c>
      <c r="CF73" s="9">
        <f>IF(80&lt;=核心参数输入!$B$9*4,IF(80=核心参数输入!$B$9*4,SUMPRODUCT(季度经营税费!$D$51:$DT$51,--(季度经营税费!$D$4:$DT$4&gt;核心参数输入!$B$9*4-核心参数输入!$B$112)),0),0)</f>
        <v>0</v>
      </c>
      <c r="CG73" s="9">
        <f>IF(81&lt;=核心参数输入!$B$9*4,IF(81=核心参数输入!$B$9*4,SUMPRODUCT(季度经营税费!$D$51:$DT$51,--(季度经营税费!$D$4:$DT$4&gt;核心参数输入!$B$9*4-核心参数输入!$B$112)),0),0)</f>
        <v>0</v>
      </c>
      <c r="CH73" s="9">
        <f>IF(82&lt;=核心参数输入!$B$9*4,IF(82=核心参数输入!$B$9*4,SUMPRODUCT(季度经营税费!$D$51:$DT$51,--(季度经营税费!$D$4:$DT$4&gt;核心参数输入!$B$9*4-核心参数输入!$B$112)),0),0)</f>
        <v>0</v>
      </c>
      <c r="CI73" s="9">
        <f>IF(83&lt;=核心参数输入!$B$9*4,IF(83=核心参数输入!$B$9*4,SUMPRODUCT(季度经营税费!$D$51:$DT$51,--(季度经营税费!$D$4:$DT$4&gt;核心参数输入!$B$9*4-核心参数输入!$B$112)),0),0)</f>
        <v>0</v>
      </c>
      <c r="CJ73" s="9">
        <f>IF(84&lt;=核心参数输入!$B$9*4,IF(84=核心参数输入!$B$9*4,SUMPRODUCT(季度经营税费!$D$51:$DT$51,--(季度经营税费!$D$4:$DT$4&gt;核心参数输入!$B$9*4-核心参数输入!$B$112)),0),0)</f>
        <v>0</v>
      </c>
      <c r="CK73" s="9">
        <f>IF(85&lt;=核心参数输入!$B$9*4,IF(85=核心参数输入!$B$9*4,SUMPRODUCT(季度经营税费!$D$51:$DT$51,--(季度经营税费!$D$4:$DT$4&gt;核心参数输入!$B$9*4-核心参数输入!$B$112)),0),0)</f>
        <v>0</v>
      </c>
      <c r="CL73" s="9">
        <f>IF(86&lt;=核心参数输入!$B$9*4,IF(86=核心参数输入!$B$9*4,SUMPRODUCT(季度经营税费!$D$51:$DT$51,--(季度经营税费!$D$4:$DT$4&gt;核心参数输入!$B$9*4-核心参数输入!$B$112)),0),0)</f>
        <v>0</v>
      </c>
      <c r="CM73" s="9">
        <f>IF(87&lt;=核心参数输入!$B$9*4,IF(87=核心参数输入!$B$9*4,SUMPRODUCT(季度经营税费!$D$51:$DT$51,--(季度经营税费!$D$4:$DT$4&gt;核心参数输入!$B$9*4-核心参数输入!$B$112)),0),0)</f>
        <v>0</v>
      </c>
      <c r="CN73" s="9">
        <f>IF(88&lt;=核心参数输入!$B$9*4,IF(88=核心参数输入!$B$9*4,SUMPRODUCT(季度经营税费!$D$51:$DT$51,--(季度经营税费!$D$4:$DT$4&gt;核心参数输入!$B$9*4-核心参数输入!$B$112)),0),0)</f>
        <v>0</v>
      </c>
      <c r="CO73" s="9">
        <f>IF(89&lt;=核心参数输入!$B$9*4,IF(89=核心参数输入!$B$9*4,SUMPRODUCT(季度经营税费!$D$51:$DT$51,--(季度经营税费!$D$4:$DT$4&gt;核心参数输入!$B$9*4-核心参数输入!$B$112)),0),0)</f>
        <v>0</v>
      </c>
      <c r="CP73" s="9">
        <f>IF(90&lt;=核心参数输入!$B$9*4,IF(90=核心参数输入!$B$9*4,SUMPRODUCT(季度经营税费!$D$51:$DT$51,--(季度经营税费!$D$4:$DT$4&gt;核心参数输入!$B$9*4-核心参数输入!$B$112)),0),0)</f>
        <v>0</v>
      </c>
      <c r="CQ73" s="9">
        <f>IF(91&lt;=核心参数输入!$B$9*4,IF(91=核心参数输入!$B$9*4,SUMPRODUCT(季度经营税费!$D$51:$DT$51,--(季度经营税费!$D$4:$DT$4&gt;核心参数输入!$B$9*4-核心参数输入!$B$112)),0),0)</f>
        <v>0</v>
      </c>
      <c r="CR73" s="9">
        <f>IF(92&lt;=核心参数输入!$B$9*4,IF(92=核心参数输入!$B$9*4,SUMPRODUCT(季度经营税费!$D$51:$DT$51,--(季度经营税费!$D$4:$DT$4&gt;核心参数输入!$B$9*4-核心参数输入!$B$112)),0),0)</f>
        <v>0</v>
      </c>
      <c r="CS73" s="9">
        <f>IF(93&lt;=核心参数输入!$B$9*4,IF(93=核心参数输入!$B$9*4,SUMPRODUCT(季度经营税费!$D$51:$DT$51,--(季度经营税费!$D$4:$DT$4&gt;核心参数输入!$B$9*4-核心参数输入!$B$112)),0),0)</f>
        <v>0</v>
      </c>
      <c r="CT73" s="9">
        <f>IF(94&lt;=核心参数输入!$B$9*4,IF(94=核心参数输入!$B$9*4,SUMPRODUCT(季度经营税费!$D$51:$DT$51,--(季度经营税费!$D$4:$DT$4&gt;核心参数输入!$B$9*4-核心参数输入!$B$112)),0),0)</f>
        <v>0</v>
      </c>
      <c r="CU73" s="9">
        <f>IF(95&lt;=核心参数输入!$B$9*4,IF(95=核心参数输入!$B$9*4,SUMPRODUCT(季度经营税费!$D$51:$DT$51,--(季度经营税费!$D$4:$DT$4&gt;核心参数输入!$B$9*4-核心参数输入!$B$112)),0),0)</f>
        <v>0</v>
      </c>
      <c r="CV73" s="9">
        <f>IF(96&lt;=核心参数输入!$B$9*4,IF(96=核心参数输入!$B$9*4,SUMPRODUCT(季度经营税费!$D$51:$DT$51,--(季度经营税费!$D$4:$DT$4&gt;核心参数输入!$B$9*4-核心参数输入!$B$112)),0),0)</f>
        <v>0</v>
      </c>
      <c r="CW73" s="9">
        <f>IF(97&lt;=核心参数输入!$B$9*4,IF(97=核心参数输入!$B$9*4,SUMPRODUCT(季度经营税费!$D$51:$DT$51,--(季度经营税费!$D$4:$DT$4&gt;核心参数输入!$B$9*4-核心参数输入!$B$112)),0),0)</f>
        <v>0</v>
      </c>
      <c r="CX73" s="9">
        <f>IF(98&lt;=核心参数输入!$B$9*4,IF(98=核心参数输入!$B$9*4,SUMPRODUCT(季度经营税费!$D$51:$DT$51,--(季度经营税费!$D$4:$DT$4&gt;核心参数输入!$B$9*4-核心参数输入!$B$112)),0),0)</f>
        <v>0</v>
      </c>
      <c r="CY73" s="9">
        <f>IF(99&lt;=核心参数输入!$B$9*4,IF(99=核心参数输入!$B$9*4,SUMPRODUCT(季度经营税费!$D$51:$DT$51,--(季度经营税费!$D$4:$DT$4&gt;核心参数输入!$B$9*4-核心参数输入!$B$112)),0),0)</f>
        <v>0</v>
      </c>
      <c r="CZ73" s="9">
        <f>IF(100&lt;=核心参数输入!$B$9*4,IF(100=核心参数输入!$B$9*4,SUMPRODUCT(季度经营税费!$D$51:$DT$51,--(季度经营税费!$D$4:$DT$4&gt;核心参数输入!$B$9*4-核心参数输入!$B$112)),0),0)</f>
        <v>0</v>
      </c>
      <c r="DA73" s="9">
        <f>IF(101&lt;=核心参数输入!$B$9*4,IF(101=核心参数输入!$B$9*4,SUMPRODUCT(季度经营税费!$D$51:$DT$51,--(季度经营税费!$D$4:$DT$4&gt;核心参数输入!$B$9*4-核心参数输入!$B$112)),0),0)</f>
        <v>0</v>
      </c>
      <c r="DB73" s="9">
        <f>IF(102&lt;=核心参数输入!$B$9*4,IF(102=核心参数输入!$B$9*4,SUMPRODUCT(季度经营税费!$D$51:$DT$51,--(季度经营税费!$D$4:$DT$4&gt;核心参数输入!$B$9*4-核心参数输入!$B$112)),0),0)</f>
        <v>0</v>
      </c>
      <c r="DC73" s="9">
        <f>IF(103&lt;=核心参数输入!$B$9*4,IF(103=核心参数输入!$B$9*4,SUMPRODUCT(季度经营税费!$D$51:$DT$51,--(季度经营税费!$D$4:$DT$4&gt;核心参数输入!$B$9*4-核心参数输入!$B$112)),0),0)</f>
        <v>0</v>
      </c>
      <c r="DD73" s="9">
        <f>IF(104&lt;=核心参数输入!$B$9*4,IF(104=核心参数输入!$B$9*4,SUMPRODUCT(季度经营税费!$D$51:$DT$51,--(季度经营税费!$D$4:$DT$4&gt;核心参数输入!$B$9*4-核心参数输入!$B$112)),0),0)</f>
        <v>0</v>
      </c>
      <c r="DE73" s="9">
        <f>IF(105&lt;=核心参数输入!$B$9*4,IF(105=核心参数输入!$B$9*4,SUMPRODUCT(季度经营税费!$D$51:$DT$51,--(季度经营税费!$D$4:$DT$4&gt;核心参数输入!$B$9*4-核心参数输入!$B$112)),0),0)</f>
        <v>0</v>
      </c>
      <c r="DF73" s="9">
        <f>IF(106&lt;=核心参数输入!$B$9*4,IF(106=核心参数输入!$B$9*4,SUMPRODUCT(季度经营税费!$D$51:$DT$51,--(季度经营税费!$D$4:$DT$4&gt;核心参数输入!$B$9*4-核心参数输入!$B$112)),0),0)</f>
        <v>0</v>
      </c>
      <c r="DG73" s="9">
        <f>IF(107&lt;=核心参数输入!$B$9*4,IF(107=核心参数输入!$B$9*4,SUMPRODUCT(季度经营税费!$D$51:$DT$51,--(季度经营税费!$D$4:$DT$4&gt;核心参数输入!$B$9*4-核心参数输入!$B$112)),0),0)</f>
        <v>0</v>
      </c>
      <c r="DH73" s="9">
        <f>IF(108&lt;=核心参数输入!$B$9*4,IF(108=核心参数输入!$B$9*4,SUMPRODUCT(季度经营税费!$D$51:$DT$51,--(季度经营税费!$D$4:$DT$4&gt;核心参数输入!$B$9*4-核心参数输入!$B$112)),0),0)</f>
        <v>0</v>
      </c>
      <c r="DI73" s="9">
        <f>IF(109&lt;=核心参数输入!$B$9*4,IF(109=核心参数输入!$B$9*4,SUMPRODUCT(季度经营税费!$D$51:$DT$51,--(季度经营税费!$D$4:$DT$4&gt;核心参数输入!$B$9*4-核心参数输入!$B$112)),0),0)</f>
        <v>0</v>
      </c>
      <c r="DJ73" s="9">
        <f>IF(110&lt;=核心参数输入!$B$9*4,IF(110=核心参数输入!$B$9*4,SUMPRODUCT(季度经营税费!$D$51:$DT$51,--(季度经营税费!$D$4:$DT$4&gt;核心参数输入!$B$9*4-核心参数输入!$B$112)),0),0)</f>
        <v>0</v>
      </c>
      <c r="DK73" s="9">
        <f>IF(111&lt;=核心参数输入!$B$9*4,IF(111=核心参数输入!$B$9*4,SUMPRODUCT(季度经营税费!$D$51:$DT$51,--(季度经营税费!$D$4:$DT$4&gt;核心参数输入!$B$9*4-核心参数输入!$B$112)),0),0)</f>
        <v>0</v>
      </c>
      <c r="DL73" s="9">
        <f>IF(112&lt;=核心参数输入!$B$9*4,IF(112=核心参数输入!$B$9*4,SUMPRODUCT(季度经营税费!$D$51:$DT$51,--(季度经营税费!$D$4:$DT$4&gt;核心参数输入!$B$9*4-核心参数输入!$B$112)),0),0)</f>
        <v>0</v>
      </c>
      <c r="DM73" s="9">
        <f>IF(113&lt;=核心参数输入!$B$9*4,IF(113=核心参数输入!$B$9*4,SUMPRODUCT(季度经营税费!$D$51:$DT$51,--(季度经营税费!$D$4:$DT$4&gt;核心参数输入!$B$9*4-核心参数输入!$B$112)),0),0)</f>
        <v>0</v>
      </c>
      <c r="DN73" s="9">
        <f>IF(114&lt;=核心参数输入!$B$9*4,IF(114=核心参数输入!$B$9*4,SUMPRODUCT(季度经营税费!$D$51:$DT$51,--(季度经营税费!$D$4:$DT$4&gt;核心参数输入!$B$9*4-核心参数输入!$B$112)),0),0)</f>
        <v>0</v>
      </c>
      <c r="DO73" s="9">
        <f>IF(115&lt;=核心参数输入!$B$9*4,IF(115=核心参数输入!$B$9*4,SUMPRODUCT(季度经营税费!$D$51:$DT$51,--(季度经营税费!$D$4:$DT$4&gt;核心参数输入!$B$9*4-核心参数输入!$B$112)),0),0)</f>
        <v>0</v>
      </c>
      <c r="DP73" s="9">
        <f>IF(116&lt;=核心参数输入!$B$9*4,IF(116=核心参数输入!$B$9*4,SUMPRODUCT(季度经营税费!$D$51:$DT$51,--(季度经营税费!$D$4:$DT$4&gt;核心参数输入!$B$9*4-核心参数输入!$B$112)),0),0)</f>
        <v>0</v>
      </c>
      <c r="DQ73" s="9">
        <f>IF(117&lt;=核心参数输入!$B$9*4,IF(117=核心参数输入!$B$9*4,SUMPRODUCT(季度经营税费!$D$51:$DT$51,--(季度经营税费!$D$4:$DT$4&gt;核心参数输入!$B$9*4-核心参数输入!$B$112)),0),0)</f>
        <v>0</v>
      </c>
      <c r="DR73" s="9">
        <f>IF(118&lt;=核心参数输入!$B$9*4,IF(118=核心参数输入!$B$9*4,SUMPRODUCT(季度经营税费!$D$51:$DT$51,--(季度经营税费!$D$4:$DT$4&gt;核心参数输入!$B$9*4-核心参数输入!$B$112)),0),0)</f>
        <v>0</v>
      </c>
      <c r="DS73" s="9">
        <f>IF(119&lt;=核心参数输入!$B$9*4,IF(119=核心参数输入!$B$9*4,SUMPRODUCT(季度经营税费!$D$51:$DT$51,--(季度经营税费!$D$4:$DT$4&gt;核心参数输入!$B$9*4-核心参数输入!$B$112)),0),0)</f>
        <v>0</v>
      </c>
      <c r="DT73" s="9">
        <f>IF(120&lt;=核心参数输入!$B$9*4,IF(120=核心参数输入!$B$9*4,SUMPRODUCT(季度经营税费!$D$51:$DT$51,--(季度经营税费!$D$4:$DT$4&gt;核心参数输入!$B$9*4-核心参数输入!$B$112)),0),0)</f>
        <v>0</v>
      </c>
    </row>
    <row r="74" spans="1:124" ht="21" customHeight="1">
      <c r="A74" s="8" t="s">
        <v>505</v>
      </c>
      <c r="B74" s="8" t="s">
        <v>39</v>
      </c>
      <c r="C74" s="8"/>
      <c r="D74" s="9">
        <f>IF(0&lt;=核心参数输入!$B$9*4,IF(0=核心参数输入!$B$9*4,SUMPRODUCT(季度经营税费!$D$36:$DT$36+季度经营税费!$D$40:$DT$40,--(季度经营税费!$D$4:$DT$4&gt;核心参数输入!$B$9*4-核心参数输入!$B$112)),0),0)</f>
        <v>0</v>
      </c>
      <c r="E74" s="9">
        <f>IF(1&lt;=核心参数输入!$B$9*4,IF(1=核心参数输入!$B$9*4,SUMPRODUCT(季度经营税费!$D$36:$DT$36+季度经营税费!$D$40:$DT$40,--(季度经营税费!$D$4:$DT$4&gt;核心参数输入!$B$9*4-核心参数输入!$B$112)),0),0)</f>
        <v>0</v>
      </c>
      <c r="F74" s="9">
        <f>IF(2&lt;=核心参数输入!$B$9*4,IF(2=核心参数输入!$B$9*4,SUMPRODUCT(季度经营税费!$D$36:$DT$36+季度经营税费!$D$40:$DT$40,--(季度经营税费!$D$4:$DT$4&gt;核心参数输入!$B$9*4-核心参数输入!$B$112)),0),0)</f>
        <v>0</v>
      </c>
      <c r="G74" s="9">
        <f>IF(3&lt;=核心参数输入!$B$9*4,IF(3=核心参数输入!$B$9*4,SUMPRODUCT(季度经营税费!$D$36:$DT$36+季度经营税费!$D$40:$DT$40,--(季度经营税费!$D$4:$DT$4&gt;核心参数输入!$B$9*4-核心参数输入!$B$112)),0),0)</f>
        <v>0</v>
      </c>
      <c r="H74" s="9">
        <f>IF(4&lt;=核心参数输入!$B$9*4,IF(4=核心参数输入!$B$9*4,SUMPRODUCT(季度经营税费!$D$36:$DT$36+季度经营税费!$D$40:$DT$40,--(季度经营税费!$D$4:$DT$4&gt;核心参数输入!$B$9*4-核心参数输入!$B$112)),0),0)</f>
        <v>0</v>
      </c>
      <c r="I74" s="9">
        <f>IF(5&lt;=核心参数输入!$B$9*4,IF(5=核心参数输入!$B$9*4,SUMPRODUCT(季度经营税费!$D$36:$DT$36+季度经营税费!$D$40:$DT$40,--(季度经营税费!$D$4:$DT$4&gt;核心参数输入!$B$9*4-核心参数输入!$B$112)),0),0)</f>
        <v>0</v>
      </c>
      <c r="J74" s="9">
        <f>IF(6&lt;=核心参数输入!$B$9*4,IF(6=核心参数输入!$B$9*4,SUMPRODUCT(季度经营税费!$D$36:$DT$36+季度经营税费!$D$40:$DT$40,--(季度经营税费!$D$4:$DT$4&gt;核心参数输入!$B$9*4-核心参数输入!$B$112)),0),0)</f>
        <v>0</v>
      </c>
      <c r="K74" s="9">
        <f>IF(7&lt;=核心参数输入!$B$9*4,IF(7=核心参数输入!$B$9*4,SUMPRODUCT(季度经营税费!$D$36:$DT$36+季度经营税费!$D$40:$DT$40,--(季度经营税费!$D$4:$DT$4&gt;核心参数输入!$B$9*4-核心参数输入!$B$112)),0),0)</f>
        <v>0</v>
      </c>
      <c r="L74" s="9">
        <f>IF(8&lt;=核心参数输入!$B$9*4,IF(8=核心参数输入!$B$9*4,SUMPRODUCT(季度经营税费!$D$36:$DT$36+季度经营税费!$D$40:$DT$40,--(季度经营税费!$D$4:$DT$4&gt;核心参数输入!$B$9*4-核心参数输入!$B$112)),0),0)</f>
        <v>0</v>
      </c>
      <c r="M74" s="9">
        <f>IF(9&lt;=核心参数输入!$B$9*4,IF(9=核心参数输入!$B$9*4,SUMPRODUCT(季度经营税费!$D$36:$DT$36+季度经营税费!$D$40:$DT$40,--(季度经营税费!$D$4:$DT$4&gt;核心参数输入!$B$9*4-核心参数输入!$B$112)),0),0)</f>
        <v>0</v>
      </c>
      <c r="N74" s="9">
        <f>IF(10&lt;=核心参数输入!$B$9*4,IF(10=核心参数输入!$B$9*4,SUMPRODUCT(季度经营税费!$D$36:$DT$36+季度经营税费!$D$40:$DT$40,--(季度经营税费!$D$4:$DT$4&gt;核心参数输入!$B$9*4-核心参数输入!$B$112)),0),0)</f>
        <v>0</v>
      </c>
      <c r="O74" s="9">
        <f>IF(11&lt;=核心参数输入!$B$9*4,IF(11=核心参数输入!$B$9*4,SUMPRODUCT(季度经营税费!$D$36:$DT$36+季度经营税费!$D$40:$DT$40,--(季度经营税费!$D$4:$DT$4&gt;核心参数输入!$B$9*4-核心参数输入!$B$112)),0),0)</f>
        <v>0</v>
      </c>
      <c r="P74" s="9">
        <f>IF(12&lt;=核心参数输入!$B$9*4,IF(12=核心参数输入!$B$9*4,SUMPRODUCT(季度经营税费!$D$36:$DT$36+季度经营税费!$D$40:$DT$40,--(季度经营税费!$D$4:$DT$4&gt;核心参数输入!$B$9*4-核心参数输入!$B$112)),0),0)</f>
        <v>0</v>
      </c>
      <c r="Q74" s="9">
        <f>IF(13&lt;=核心参数输入!$B$9*4,IF(13=核心参数输入!$B$9*4,SUMPRODUCT(季度经营税费!$D$36:$DT$36+季度经营税费!$D$40:$DT$40,--(季度经营税费!$D$4:$DT$4&gt;核心参数输入!$B$9*4-核心参数输入!$B$112)),0),0)</f>
        <v>0</v>
      </c>
      <c r="R74" s="9">
        <f>IF(14&lt;=核心参数输入!$B$9*4,IF(14=核心参数输入!$B$9*4,SUMPRODUCT(季度经营税费!$D$36:$DT$36+季度经营税费!$D$40:$DT$40,--(季度经营税费!$D$4:$DT$4&gt;核心参数输入!$B$9*4-核心参数输入!$B$112)),0),0)</f>
        <v>0</v>
      </c>
      <c r="S74" s="9">
        <f>IF(15&lt;=核心参数输入!$B$9*4,IF(15=核心参数输入!$B$9*4,SUMPRODUCT(季度经营税费!$D$36:$DT$36+季度经营税费!$D$40:$DT$40,--(季度经营税费!$D$4:$DT$4&gt;核心参数输入!$B$9*4-核心参数输入!$B$112)),0),0)</f>
        <v>0</v>
      </c>
      <c r="T74" s="9">
        <f>IF(16&lt;=核心参数输入!$B$9*4,IF(16=核心参数输入!$B$9*4,SUMPRODUCT(季度经营税费!$D$36:$DT$36+季度经营税费!$D$40:$DT$40,--(季度经营税费!$D$4:$DT$4&gt;核心参数输入!$B$9*4-核心参数输入!$B$112)),0),0)</f>
        <v>0</v>
      </c>
      <c r="U74" s="9">
        <f>IF(17&lt;=核心参数输入!$B$9*4,IF(17=核心参数输入!$B$9*4,SUMPRODUCT(季度经营税费!$D$36:$DT$36+季度经营税费!$D$40:$DT$40,--(季度经营税费!$D$4:$DT$4&gt;核心参数输入!$B$9*4-核心参数输入!$B$112)),0),0)</f>
        <v>0</v>
      </c>
      <c r="V74" s="9">
        <f>IF(18&lt;=核心参数输入!$B$9*4,IF(18=核心参数输入!$B$9*4,SUMPRODUCT(季度经营税费!$D$36:$DT$36+季度经营税费!$D$40:$DT$40,--(季度经营税费!$D$4:$DT$4&gt;核心参数输入!$B$9*4-核心参数输入!$B$112)),0),0)</f>
        <v>0</v>
      </c>
      <c r="W74" s="9">
        <f>IF(19&lt;=核心参数输入!$B$9*4,IF(19=核心参数输入!$B$9*4,SUMPRODUCT(季度经营税费!$D$36:$DT$36+季度经营税费!$D$40:$DT$40,--(季度经营税费!$D$4:$DT$4&gt;核心参数输入!$B$9*4-核心参数输入!$B$112)),0),0)</f>
        <v>0</v>
      </c>
      <c r="X74" s="9">
        <f>IF(20&lt;=核心参数输入!$B$9*4,IF(20=核心参数输入!$B$9*4,SUMPRODUCT(季度经营税费!$D$36:$DT$36+季度经营税费!$D$40:$DT$40,--(季度经营税费!$D$4:$DT$4&gt;核心参数输入!$B$9*4-核心参数输入!$B$112)),0),0)</f>
        <v>0</v>
      </c>
      <c r="Y74" s="9">
        <f>IF(21&lt;=核心参数输入!$B$9*4,IF(21=核心参数输入!$B$9*4,SUMPRODUCT(季度经营税费!$D$36:$DT$36+季度经营税费!$D$40:$DT$40,--(季度经营税费!$D$4:$DT$4&gt;核心参数输入!$B$9*4-核心参数输入!$B$112)),0),0)</f>
        <v>0</v>
      </c>
      <c r="Z74" s="9">
        <f>IF(22&lt;=核心参数输入!$B$9*4,IF(22=核心参数输入!$B$9*4,SUMPRODUCT(季度经营税费!$D$36:$DT$36+季度经营税费!$D$40:$DT$40,--(季度经营税费!$D$4:$DT$4&gt;核心参数输入!$B$9*4-核心参数输入!$B$112)),0),0)</f>
        <v>0</v>
      </c>
      <c r="AA74" s="9">
        <f>IF(23&lt;=核心参数输入!$B$9*4,IF(23=核心参数输入!$B$9*4,SUMPRODUCT(季度经营税费!$D$36:$DT$36+季度经营税费!$D$40:$DT$40,--(季度经营税费!$D$4:$DT$4&gt;核心参数输入!$B$9*4-核心参数输入!$B$112)),0),0)</f>
        <v>0</v>
      </c>
      <c r="AB74" s="9">
        <f>IF(24&lt;=核心参数输入!$B$9*4,IF(24=核心参数输入!$B$9*4,SUMPRODUCT(季度经营税费!$D$36:$DT$36+季度经营税费!$D$40:$DT$40,--(季度经营税费!$D$4:$DT$4&gt;核心参数输入!$B$9*4-核心参数输入!$B$112)),0),0)</f>
        <v>0</v>
      </c>
      <c r="AC74" s="9">
        <f>IF(25&lt;=核心参数输入!$B$9*4,IF(25=核心参数输入!$B$9*4,SUMPRODUCT(季度经营税费!$D$36:$DT$36+季度经营税费!$D$40:$DT$40,--(季度经营税费!$D$4:$DT$4&gt;核心参数输入!$B$9*4-核心参数输入!$B$112)),0),0)</f>
        <v>0</v>
      </c>
      <c r="AD74" s="9">
        <f>IF(26&lt;=核心参数输入!$B$9*4,IF(26=核心参数输入!$B$9*4,SUMPRODUCT(季度经营税费!$D$36:$DT$36+季度经营税费!$D$40:$DT$40,--(季度经营税费!$D$4:$DT$4&gt;核心参数输入!$B$9*4-核心参数输入!$B$112)),0),0)</f>
        <v>0</v>
      </c>
      <c r="AE74" s="9">
        <f>IF(27&lt;=核心参数输入!$B$9*4,IF(27=核心参数输入!$B$9*4,SUMPRODUCT(季度经营税费!$D$36:$DT$36+季度经营税费!$D$40:$DT$40,--(季度经营税费!$D$4:$DT$4&gt;核心参数输入!$B$9*4-核心参数输入!$B$112)),0),0)</f>
        <v>0</v>
      </c>
      <c r="AF74" s="9">
        <f>IF(28&lt;=核心参数输入!$B$9*4,IF(28=核心参数输入!$B$9*4,SUMPRODUCT(季度经营税费!$D$36:$DT$36+季度经营税费!$D$40:$DT$40,--(季度经营税费!$D$4:$DT$4&gt;核心参数输入!$B$9*4-核心参数输入!$B$112)),0),0)</f>
        <v>0</v>
      </c>
      <c r="AG74" s="9">
        <f>IF(29&lt;=核心参数输入!$B$9*4,IF(29=核心参数输入!$B$9*4,SUMPRODUCT(季度经营税费!$D$36:$DT$36+季度经营税费!$D$40:$DT$40,--(季度经营税费!$D$4:$DT$4&gt;核心参数输入!$B$9*4-核心参数输入!$B$112)),0),0)</f>
        <v>0</v>
      </c>
      <c r="AH74" s="9">
        <f>IF(30&lt;=核心参数输入!$B$9*4,IF(30=核心参数输入!$B$9*4,SUMPRODUCT(季度经营税费!$D$36:$DT$36+季度经营税费!$D$40:$DT$40,--(季度经营税费!$D$4:$DT$4&gt;核心参数输入!$B$9*4-核心参数输入!$B$112)),0),0)</f>
        <v>0</v>
      </c>
      <c r="AI74" s="9">
        <f>IF(31&lt;=核心参数输入!$B$9*4,IF(31=核心参数输入!$B$9*4,SUMPRODUCT(季度经营税费!$D$36:$DT$36+季度经营税费!$D$40:$DT$40,--(季度经营税费!$D$4:$DT$4&gt;核心参数输入!$B$9*4-核心参数输入!$B$112)),0),0)</f>
        <v>0</v>
      </c>
      <c r="AJ74" s="9">
        <f>IF(32&lt;=核心参数输入!$B$9*4,IF(32=核心参数输入!$B$9*4,SUMPRODUCT(季度经营税费!$D$36:$DT$36+季度经营税费!$D$40:$DT$40,--(季度经营税费!$D$4:$DT$4&gt;核心参数输入!$B$9*4-核心参数输入!$B$112)),0),0)</f>
        <v>0</v>
      </c>
      <c r="AK74" s="9">
        <f>IF(33&lt;=核心参数输入!$B$9*4,IF(33=核心参数输入!$B$9*4,SUMPRODUCT(季度经营税费!$D$36:$DT$36+季度经营税费!$D$40:$DT$40,--(季度经营税费!$D$4:$DT$4&gt;核心参数输入!$B$9*4-核心参数输入!$B$112)),0),0)</f>
        <v>0</v>
      </c>
      <c r="AL74" s="9">
        <f>IF(34&lt;=核心参数输入!$B$9*4,IF(34=核心参数输入!$B$9*4,SUMPRODUCT(季度经营税费!$D$36:$DT$36+季度经营税费!$D$40:$DT$40,--(季度经营税费!$D$4:$DT$4&gt;核心参数输入!$B$9*4-核心参数输入!$B$112)),0),0)</f>
        <v>0</v>
      </c>
      <c r="AM74" s="9">
        <f>IF(35&lt;=核心参数输入!$B$9*4,IF(35=核心参数输入!$B$9*4,SUMPRODUCT(季度经营税费!$D$36:$DT$36+季度经营税费!$D$40:$DT$40,--(季度经营税费!$D$4:$DT$4&gt;核心参数输入!$B$9*4-核心参数输入!$B$112)),0),0)</f>
        <v>0</v>
      </c>
      <c r="AN74" s="9">
        <f>IF(36&lt;=核心参数输入!$B$9*4,IF(36=核心参数输入!$B$9*4,SUMPRODUCT(季度经营税费!$D$36:$DT$36+季度经营税费!$D$40:$DT$40,--(季度经营税费!$D$4:$DT$4&gt;核心参数输入!$B$9*4-核心参数输入!$B$112)),0),0)</f>
        <v>0</v>
      </c>
      <c r="AO74" s="9">
        <f>IF(37&lt;=核心参数输入!$B$9*4,IF(37=核心参数输入!$B$9*4,SUMPRODUCT(季度经营税费!$D$36:$DT$36+季度经营税费!$D$40:$DT$40,--(季度经营税费!$D$4:$DT$4&gt;核心参数输入!$B$9*4-核心参数输入!$B$112)),0),0)</f>
        <v>0</v>
      </c>
      <c r="AP74" s="9">
        <f>IF(38&lt;=核心参数输入!$B$9*4,IF(38=核心参数输入!$B$9*4,SUMPRODUCT(季度经营税费!$D$36:$DT$36+季度经营税费!$D$40:$DT$40,--(季度经营税费!$D$4:$DT$4&gt;核心参数输入!$B$9*4-核心参数输入!$B$112)),0),0)</f>
        <v>0</v>
      </c>
      <c r="AQ74" s="9">
        <f>IF(39&lt;=核心参数输入!$B$9*4,IF(39=核心参数输入!$B$9*4,SUMPRODUCT(季度经营税费!$D$36:$DT$36+季度经营税费!$D$40:$DT$40,--(季度经营税费!$D$4:$DT$4&gt;核心参数输入!$B$9*4-核心参数输入!$B$112)),0),0)</f>
        <v>0</v>
      </c>
      <c r="AR74" s="9">
        <f>IF(40&lt;=核心参数输入!$B$9*4,IF(40=核心参数输入!$B$9*4,SUMPRODUCT(季度经营税费!$D$36:$DT$36+季度经营税费!$D$40:$DT$40,--(季度经营税费!$D$4:$DT$4&gt;核心参数输入!$B$9*4-核心参数输入!$B$112)),0),0)</f>
        <v>0</v>
      </c>
      <c r="AS74" s="9">
        <f>IF(41&lt;=核心参数输入!$B$9*4,IF(41=核心参数输入!$B$9*4,SUMPRODUCT(季度经营税费!$D$36:$DT$36+季度经营税费!$D$40:$DT$40,--(季度经营税费!$D$4:$DT$4&gt;核心参数输入!$B$9*4-核心参数输入!$B$112)),0),0)</f>
        <v>0</v>
      </c>
      <c r="AT74" s="9">
        <f>IF(42&lt;=核心参数输入!$B$9*4,IF(42=核心参数输入!$B$9*4,SUMPRODUCT(季度经营税费!$D$36:$DT$36+季度经营税费!$D$40:$DT$40,--(季度经营税费!$D$4:$DT$4&gt;核心参数输入!$B$9*4-核心参数输入!$B$112)),0),0)</f>
        <v>0</v>
      </c>
      <c r="AU74" s="9">
        <f>IF(43&lt;=核心参数输入!$B$9*4,IF(43=核心参数输入!$B$9*4,SUMPRODUCT(季度经营税费!$D$36:$DT$36+季度经营税费!$D$40:$DT$40,--(季度经营税费!$D$4:$DT$4&gt;核心参数输入!$B$9*4-核心参数输入!$B$112)),0),0)</f>
        <v>0</v>
      </c>
      <c r="AV74" s="9">
        <f>IF(44&lt;=核心参数输入!$B$9*4,IF(44=核心参数输入!$B$9*4,SUMPRODUCT(季度经营税费!$D$36:$DT$36+季度经营税费!$D$40:$DT$40,--(季度经营税费!$D$4:$DT$4&gt;核心参数输入!$B$9*4-核心参数输入!$B$112)),0),0)</f>
        <v>0</v>
      </c>
      <c r="AW74" s="9">
        <f>IF(45&lt;=核心参数输入!$B$9*4,IF(45=核心参数输入!$B$9*4,SUMPRODUCT(季度经营税费!$D$36:$DT$36+季度经营税费!$D$40:$DT$40,--(季度经营税费!$D$4:$DT$4&gt;核心参数输入!$B$9*4-核心参数输入!$B$112)),0),0)</f>
        <v>0</v>
      </c>
      <c r="AX74" s="9">
        <f>IF(46&lt;=核心参数输入!$B$9*4,IF(46=核心参数输入!$B$9*4,SUMPRODUCT(季度经营税费!$D$36:$DT$36+季度经营税费!$D$40:$DT$40,--(季度经营税费!$D$4:$DT$4&gt;核心参数输入!$B$9*4-核心参数输入!$B$112)),0),0)</f>
        <v>0</v>
      </c>
      <c r="AY74" s="9">
        <f>IF(47&lt;=核心参数输入!$B$9*4,IF(47=核心参数输入!$B$9*4,SUMPRODUCT(季度经营税费!$D$36:$DT$36+季度经营税费!$D$40:$DT$40,--(季度经营税费!$D$4:$DT$4&gt;核心参数输入!$B$9*4-核心参数输入!$B$112)),0),0)</f>
        <v>0</v>
      </c>
      <c r="AZ74" s="9">
        <f>IF(48&lt;=核心参数输入!$B$9*4,IF(48=核心参数输入!$B$9*4,SUMPRODUCT(季度经营税费!$D$36:$DT$36+季度经营税费!$D$40:$DT$40,--(季度经营税费!$D$4:$DT$4&gt;核心参数输入!$B$9*4-核心参数输入!$B$112)),0),0)</f>
        <v>0</v>
      </c>
      <c r="BA74" s="9">
        <f>IF(49&lt;=核心参数输入!$B$9*4,IF(49=核心参数输入!$B$9*4,SUMPRODUCT(季度经营税费!$D$36:$DT$36+季度经营税费!$D$40:$DT$40,--(季度经营税费!$D$4:$DT$4&gt;核心参数输入!$B$9*4-核心参数输入!$B$112)),0),0)</f>
        <v>0</v>
      </c>
      <c r="BB74" s="9">
        <f>IF(50&lt;=核心参数输入!$B$9*4,IF(50=核心参数输入!$B$9*4,SUMPRODUCT(季度经营税费!$D$36:$DT$36+季度经营税费!$D$40:$DT$40,--(季度经营税费!$D$4:$DT$4&gt;核心参数输入!$B$9*4-核心参数输入!$B$112)),0),0)</f>
        <v>0</v>
      </c>
      <c r="BC74" s="9">
        <f>IF(51&lt;=核心参数输入!$B$9*4,IF(51=核心参数输入!$B$9*4,SUMPRODUCT(季度经营税费!$D$36:$DT$36+季度经营税费!$D$40:$DT$40,--(季度经营税费!$D$4:$DT$4&gt;核心参数输入!$B$9*4-核心参数输入!$B$112)),0),0)</f>
        <v>0</v>
      </c>
      <c r="BD74" s="9">
        <f>IF(52&lt;=核心参数输入!$B$9*4,IF(52=核心参数输入!$B$9*4,SUMPRODUCT(季度经营税费!$D$36:$DT$36+季度经营税费!$D$40:$DT$40,--(季度经营税费!$D$4:$DT$4&gt;核心参数输入!$B$9*4-核心参数输入!$B$112)),0),0)</f>
        <v>0</v>
      </c>
      <c r="BE74" s="9">
        <f>IF(53&lt;=核心参数输入!$B$9*4,IF(53=核心参数输入!$B$9*4,SUMPRODUCT(季度经营税费!$D$36:$DT$36+季度经营税费!$D$40:$DT$40,--(季度经营税费!$D$4:$DT$4&gt;核心参数输入!$B$9*4-核心参数输入!$B$112)),0),0)</f>
        <v>0</v>
      </c>
      <c r="BF74" s="9">
        <f>IF(54&lt;=核心参数输入!$B$9*4,IF(54=核心参数输入!$B$9*4,SUMPRODUCT(季度经营税费!$D$36:$DT$36+季度经营税费!$D$40:$DT$40,--(季度经营税费!$D$4:$DT$4&gt;核心参数输入!$B$9*4-核心参数输入!$B$112)),0),0)</f>
        <v>0</v>
      </c>
      <c r="BG74" s="9">
        <f>IF(55&lt;=核心参数输入!$B$9*4,IF(55=核心参数输入!$B$9*4,SUMPRODUCT(季度经营税费!$D$36:$DT$36+季度经营税费!$D$40:$DT$40,--(季度经营税费!$D$4:$DT$4&gt;核心参数输入!$B$9*4-核心参数输入!$B$112)),0),0)</f>
        <v>0</v>
      </c>
      <c r="BH74" s="9">
        <f>IF(56&lt;=核心参数输入!$B$9*4,IF(56=核心参数输入!$B$9*4,SUMPRODUCT(季度经营税费!$D$36:$DT$36+季度经营税费!$D$40:$DT$40,--(季度经营税费!$D$4:$DT$4&gt;核心参数输入!$B$9*4-核心参数输入!$B$112)),0),0)</f>
        <v>0</v>
      </c>
      <c r="BI74" s="9">
        <f>IF(57&lt;=核心参数输入!$B$9*4,IF(57=核心参数输入!$B$9*4,SUMPRODUCT(季度经营税费!$D$36:$DT$36+季度经营税费!$D$40:$DT$40,--(季度经营税费!$D$4:$DT$4&gt;核心参数输入!$B$9*4-核心参数输入!$B$112)),0),0)</f>
        <v>0</v>
      </c>
      <c r="BJ74" s="9">
        <f>IF(58&lt;=核心参数输入!$B$9*4,IF(58=核心参数输入!$B$9*4,SUMPRODUCT(季度经营税费!$D$36:$DT$36+季度经营税费!$D$40:$DT$40,--(季度经营税费!$D$4:$DT$4&gt;核心参数输入!$B$9*4-核心参数输入!$B$112)),0),0)</f>
        <v>0</v>
      </c>
      <c r="BK74" s="9">
        <f>IF(59&lt;=核心参数输入!$B$9*4,IF(59=核心参数输入!$B$9*4,SUMPRODUCT(季度经营税费!$D$36:$DT$36+季度经营税费!$D$40:$DT$40,--(季度经营税费!$D$4:$DT$4&gt;核心参数输入!$B$9*4-核心参数输入!$B$112)),0),0)</f>
        <v>0</v>
      </c>
      <c r="BL74" s="9">
        <f>IF(60&lt;=核心参数输入!$B$9*4,IF(60=核心参数输入!$B$9*4,SUMPRODUCT(季度经营税费!$D$36:$DT$36+季度经营税费!$D$40:$DT$40,--(季度经营税费!$D$4:$DT$4&gt;核心参数输入!$B$9*4-核心参数输入!$B$112)),0),0)</f>
        <v>0</v>
      </c>
      <c r="BM74" s="9">
        <f>IF(61&lt;=核心参数输入!$B$9*4,IF(61=核心参数输入!$B$9*4,SUMPRODUCT(季度经营税费!$D$36:$DT$36+季度经营税费!$D$40:$DT$40,--(季度经营税费!$D$4:$DT$4&gt;核心参数输入!$B$9*4-核心参数输入!$B$112)),0),0)</f>
        <v>0</v>
      </c>
      <c r="BN74" s="9">
        <f>IF(62&lt;=核心参数输入!$B$9*4,IF(62=核心参数输入!$B$9*4,SUMPRODUCT(季度经营税费!$D$36:$DT$36+季度经营税费!$D$40:$DT$40,--(季度经营税费!$D$4:$DT$4&gt;核心参数输入!$B$9*4-核心参数输入!$B$112)),0),0)</f>
        <v>0</v>
      </c>
      <c r="BO74" s="9">
        <f>IF(63&lt;=核心参数输入!$B$9*4,IF(63=核心参数输入!$B$9*4,SUMPRODUCT(季度经营税费!$D$36:$DT$36+季度经营税费!$D$40:$DT$40,--(季度经营税费!$D$4:$DT$4&gt;核心参数输入!$B$9*4-核心参数输入!$B$112)),0),0)</f>
        <v>0</v>
      </c>
      <c r="BP74" s="9">
        <f>IF(64&lt;=核心参数输入!$B$9*4,IF(64=核心参数输入!$B$9*4,SUMPRODUCT(季度经营税费!$D$36:$DT$36+季度经营税费!$D$40:$DT$40,--(季度经营税费!$D$4:$DT$4&gt;核心参数输入!$B$9*4-核心参数输入!$B$112)),0),0)</f>
        <v>0</v>
      </c>
      <c r="BQ74" s="9">
        <f>IF(65&lt;=核心参数输入!$B$9*4,IF(65=核心参数输入!$B$9*4,SUMPRODUCT(季度经营税费!$D$36:$DT$36+季度经营税费!$D$40:$DT$40,--(季度经营税费!$D$4:$DT$4&gt;核心参数输入!$B$9*4-核心参数输入!$B$112)),0),0)</f>
        <v>0</v>
      </c>
      <c r="BR74" s="9">
        <f>IF(66&lt;=核心参数输入!$B$9*4,IF(66=核心参数输入!$B$9*4,SUMPRODUCT(季度经营税费!$D$36:$DT$36+季度经营税费!$D$40:$DT$40,--(季度经营税费!$D$4:$DT$4&gt;核心参数输入!$B$9*4-核心参数输入!$B$112)),0),0)</f>
        <v>0</v>
      </c>
      <c r="BS74" s="9">
        <f>IF(67&lt;=核心参数输入!$B$9*4,IF(67=核心参数输入!$B$9*4,SUMPRODUCT(季度经营税费!$D$36:$DT$36+季度经营税费!$D$40:$DT$40,--(季度经营税费!$D$4:$DT$4&gt;核心参数输入!$B$9*4-核心参数输入!$B$112)),0),0)</f>
        <v>0</v>
      </c>
      <c r="BT74" s="9">
        <f>IF(68&lt;=核心参数输入!$B$9*4,IF(68=核心参数输入!$B$9*4,SUMPRODUCT(季度经营税费!$D$36:$DT$36+季度经营税费!$D$40:$DT$40,--(季度经营税费!$D$4:$DT$4&gt;核心参数输入!$B$9*4-核心参数输入!$B$112)),0),0)</f>
        <v>0</v>
      </c>
      <c r="BU74" s="9">
        <f>IF(69&lt;=核心参数输入!$B$9*4,IF(69=核心参数输入!$B$9*4,SUMPRODUCT(季度经营税费!$D$36:$DT$36+季度经营税费!$D$40:$DT$40,--(季度经营税费!$D$4:$DT$4&gt;核心参数输入!$B$9*4-核心参数输入!$B$112)),0),0)</f>
        <v>0</v>
      </c>
      <c r="BV74" s="9">
        <f>IF(70&lt;=核心参数输入!$B$9*4,IF(70=核心参数输入!$B$9*4,SUMPRODUCT(季度经营税费!$D$36:$DT$36+季度经营税费!$D$40:$DT$40,--(季度经营税费!$D$4:$DT$4&gt;核心参数输入!$B$9*4-核心参数输入!$B$112)),0),0)</f>
        <v>0</v>
      </c>
      <c r="BW74" s="9">
        <f>IF(71&lt;=核心参数输入!$B$9*4,IF(71=核心参数输入!$B$9*4,SUMPRODUCT(季度经营税费!$D$36:$DT$36+季度经营税费!$D$40:$DT$40,--(季度经营税费!$D$4:$DT$4&gt;核心参数输入!$B$9*4-核心参数输入!$B$112)),0),0)</f>
        <v>0</v>
      </c>
      <c r="BX74" s="9">
        <f>IF(72&lt;=核心参数输入!$B$9*4,IF(72=核心参数输入!$B$9*4,SUMPRODUCT(季度经营税费!$D$36:$DT$36+季度经营税费!$D$40:$DT$40,--(季度经营税费!$D$4:$DT$4&gt;核心参数输入!$B$9*4-核心参数输入!$B$112)),0),0)</f>
        <v>0</v>
      </c>
      <c r="BY74" s="9">
        <f>IF(73&lt;=核心参数输入!$B$9*4,IF(73=核心参数输入!$B$9*4,SUMPRODUCT(季度经营税费!$D$36:$DT$36+季度经营税费!$D$40:$DT$40,--(季度经营税费!$D$4:$DT$4&gt;核心参数输入!$B$9*4-核心参数输入!$B$112)),0),0)</f>
        <v>0</v>
      </c>
      <c r="BZ74" s="9">
        <f>IF(74&lt;=核心参数输入!$B$9*4,IF(74=核心参数输入!$B$9*4,SUMPRODUCT(季度经营税费!$D$36:$DT$36+季度经营税费!$D$40:$DT$40,--(季度经营税费!$D$4:$DT$4&gt;核心参数输入!$B$9*4-核心参数输入!$B$112)),0),0)</f>
        <v>0</v>
      </c>
      <c r="CA74" s="9">
        <f>IF(75&lt;=核心参数输入!$B$9*4,IF(75=核心参数输入!$B$9*4,SUMPRODUCT(季度经营税费!$D$36:$DT$36+季度经营税费!$D$40:$DT$40,--(季度经营税费!$D$4:$DT$4&gt;核心参数输入!$B$9*4-核心参数输入!$B$112)),0),0)</f>
        <v>0</v>
      </c>
      <c r="CB74" s="9">
        <f>IF(76&lt;=核心参数输入!$B$9*4,IF(76=核心参数输入!$B$9*4,SUMPRODUCT(季度经营税费!$D$36:$DT$36+季度经营税费!$D$40:$DT$40,--(季度经营税费!$D$4:$DT$4&gt;核心参数输入!$B$9*4-核心参数输入!$B$112)),0),0)</f>
        <v>0</v>
      </c>
      <c r="CC74" s="9">
        <f>IF(77&lt;=核心参数输入!$B$9*4,IF(77=核心参数输入!$B$9*4,SUMPRODUCT(季度经营税费!$D$36:$DT$36+季度经营税费!$D$40:$DT$40,--(季度经营税费!$D$4:$DT$4&gt;核心参数输入!$B$9*4-核心参数输入!$B$112)),0),0)</f>
        <v>0</v>
      </c>
      <c r="CD74" s="9">
        <f>IF(78&lt;=核心参数输入!$B$9*4,IF(78=核心参数输入!$B$9*4,SUMPRODUCT(季度经营税费!$D$36:$DT$36+季度经营税费!$D$40:$DT$40,--(季度经营税费!$D$4:$DT$4&gt;核心参数输入!$B$9*4-核心参数输入!$B$112)),0),0)</f>
        <v>0</v>
      </c>
      <c r="CE74" s="9">
        <f>IF(79&lt;=核心参数输入!$B$9*4,IF(79=核心参数输入!$B$9*4,SUMPRODUCT(季度经营税费!$D$36:$DT$36+季度经营税费!$D$40:$DT$40,--(季度经营税费!$D$4:$DT$4&gt;核心参数输入!$B$9*4-核心参数输入!$B$112)),0),0)</f>
        <v>0</v>
      </c>
      <c r="CF74" s="9">
        <f>IF(80&lt;=核心参数输入!$B$9*4,IF(80=核心参数输入!$B$9*4,SUMPRODUCT(季度经营税费!$D$36:$DT$36+季度经营税费!$D$40:$DT$40,--(季度经营税费!$D$4:$DT$4&gt;核心参数输入!$B$9*4-核心参数输入!$B$112)),0),0)</f>
        <v>0</v>
      </c>
      <c r="CG74" s="9">
        <f>IF(81&lt;=核心参数输入!$B$9*4,IF(81=核心参数输入!$B$9*4,SUMPRODUCT(季度经营税费!$D$36:$DT$36+季度经营税费!$D$40:$DT$40,--(季度经营税费!$D$4:$DT$4&gt;核心参数输入!$B$9*4-核心参数输入!$B$112)),0),0)</f>
        <v>0</v>
      </c>
      <c r="CH74" s="9">
        <f>IF(82&lt;=核心参数输入!$B$9*4,IF(82=核心参数输入!$B$9*4,SUMPRODUCT(季度经营税费!$D$36:$DT$36+季度经营税费!$D$40:$DT$40,--(季度经营税费!$D$4:$DT$4&gt;核心参数输入!$B$9*4-核心参数输入!$B$112)),0),0)</f>
        <v>0</v>
      </c>
      <c r="CI74" s="9">
        <f>IF(83&lt;=核心参数输入!$B$9*4,IF(83=核心参数输入!$B$9*4,SUMPRODUCT(季度经营税费!$D$36:$DT$36+季度经营税费!$D$40:$DT$40,--(季度经营税费!$D$4:$DT$4&gt;核心参数输入!$B$9*4-核心参数输入!$B$112)),0),0)</f>
        <v>0</v>
      </c>
      <c r="CJ74" s="9">
        <f>IF(84&lt;=核心参数输入!$B$9*4,IF(84=核心参数输入!$B$9*4,SUMPRODUCT(季度经营税费!$D$36:$DT$36+季度经营税费!$D$40:$DT$40,--(季度经营税费!$D$4:$DT$4&gt;核心参数输入!$B$9*4-核心参数输入!$B$112)),0),0)</f>
        <v>0</v>
      </c>
      <c r="CK74" s="9">
        <f>IF(85&lt;=核心参数输入!$B$9*4,IF(85=核心参数输入!$B$9*4,SUMPRODUCT(季度经营税费!$D$36:$DT$36+季度经营税费!$D$40:$DT$40,--(季度经营税费!$D$4:$DT$4&gt;核心参数输入!$B$9*4-核心参数输入!$B$112)),0),0)</f>
        <v>0</v>
      </c>
      <c r="CL74" s="9">
        <f>IF(86&lt;=核心参数输入!$B$9*4,IF(86=核心参数输入!$B$9*4,SUMPRODUCT(季度经营税费!$D$36:$DT$36+季度经营税费!$D$40:$DT$40,--(季度经营税费!$D$4:$DT$4&gt;核心参数输入!$B$9*4-核心参数输入!$B$112)),0),0)</f>
        <v>0</v>
      </c>
      <c r="CM74" s="9">
        <f>IF(87&lt;=核心参数输入!$B$9*4,IF(87=核心参数输入!$B$9*4,SUMPRODUCT(季度经营税费!$D$36:$DT$36+季度经营税费!$D$40:$DT$40,--(季度经营税费!$D$4:$DT$4&gt;核心参数输入!$B$9*4-核心参数输入!$B$112)),0),0)</f>
        <v>0</v>
      </c>
      <c r="CN74" s="9">
        <f>IF(88&lt;=核心参数输入!$B$9*4,IF(88=核心参数输入!$B$9*4,SUMPRODUCT(季度经营税费!$D$36:$DT$36+季度经营税费!$D$40:$DT$40,--(季度经营税费!$D$4:$DT$4&gt;核心参数输入!$B$9*4-核心参数输入!$B$112)),0),0)</f>
        <v>0</v>
      </c>
      <c r="CO74" s="9">
        <f>IF(89&lt;=核心参数输入!$B$9*4,IF(89=核心参数输入!$B$9*4,SUMPRODUCT(季度经营税费!$D$36:$DT$36+季度经营税费!$D$40:$DT$40,--(季度经营税费!$D$4:$DT$4&gt;核心参数输入!$B$9*4-核心参数输入!$B$112)),0),0)</f>
        <v>0</v>
      </c>
      <c r="CP74" s="9">
        <f>IF(90&lt;=核心参数输入!$B$9*4,IF(90=核心参数输入!$B$9*4,SUMPRODUCT(季度经营税费!$D$36:$DT$36+季度经营税费!$D$40:$DT$40,--(季度经营税费!$D$4:$DT$4&gt;核心参数输入!$B$9*4-核心参数输入!$B$112)),0),0)</f>
        <v>0</v>
      </c>
      <c r="CQ74" s="9">
        <f>IF(91&lt;=核心参数输入!$B$9*4,IF(91=核心参数输入!$B$9*4,SUMPRODUCT(季度经营税费!$D$36:$DT$36+季度经营税费!$D$40:$DT$40,--(季度经营税费!$D$4:$DT$4&gt;核心参数输入!$B$9*4-核心参数输入!$B$112)),0),0)</f>
        <v>0</v>
      </c>
      <c r="CR74" s="9">
        <f>IF(92&lt;=核心参数输入!$B$9*4,IF(92=核心参数输入!$B$9*4,SUMPRODUCT(季度经营税费!$D$36:$DT$36+季度经营税费!$D$40:$DT$40,--(季度经营税费!$D$4:$DT$4&gt;核心参数输入!$B$9*4-核心参数输入!$B$112)),0),0)</f>
        <v>0</v>
      </c>
      <c r="CS74" s="9">
        <f>IF(93&lt;=核心参数输入!$B$9*4,IF(93=核心参数输入!$B$9*4,SUMPRODUCT(季度经营税费!$D$36:$DT$36+季度经营税费!$D$40:$DT$40,--(季度经营税费!$D$4:$DT$4&gt;核心参数输入!$B$9*4-核心参数输入!$B$112)),0),0)</f>
        <v>0</v>
      </c>
      <c r="CT74" s="9">
        <f>IF(94&lt;=核心参数输入!$B$9*4,IF(94=核心参数输入!$B$9*4,SUMPRODUCT(季度经营税费!$D$36:$DT$36+季度经营税费!$D$40:$DT$40,--(季度经营税费!$D$4:$DT$4&gt;核心参数输入!$B$9*4-核心参数输入!$B$112)),0),0)</f>
        <v>0</v>
      </c>
      <c r="CU74" s="9">
        <f>IF(95&lt;=核心参数输入!$B$9*4,IF(95=核心参数输入!$B$9*4,SUMPRODUCT(季度经营税费!$D$36:$DT$36+季度经营税费!$D$40:$DT$40,--(季度经营税费!$D$4:$DT$4&gt;核心参数输入!$B$9*4-核心参数输入!$B$112)),0),0)</f>
        <v>0</v>
      </c>
      <c r="CV74" s="9">
        <f>IF(96&lt;=核心参数输入!$B$9*4,IF(96=核心参数输入!$B$9*4,SUMPRODUCT(季度经营税费!$D$36:$DT$36+季度经营税费!$D$40:$DT$40,--(季度经营税费!$D$4:$DT$4&gt;核心参数输入!$B$9*4-核心参数输入!$B$112)),0),0)</f>
        <v>0</v>
      </c>
      <c r="CW74" s="9">
        <f>IF(97&lt;=核心参数输入!$B$9*4,IF(97=核心参数输入!$B$9*4,SUMPRODUCT(季度经营税费!$D$36:$DT$36+季度经营税费!$D$40:$DT$40,--(季度经营税费!$D$4:$DT$4&gt;核心参数输入!$B$9*4-核心参数输入!$B$112)),0),0)</f>
        <v>0</v>
      </c>
      <c r="CX74" s="9">
        <f>IF(98&lt;=核心参数输入!$B$9*4,IF(98=核心参数输入!$B$9*4,SUMPRODUCT(季度经营税费!$D$36:$DT$36+季度经营税费!$D$40:$DT$40,--(季度经营税费!$D$4:$DT$4&gt;核心参数输入!$B$9*4-核心参数输入!$B$112)),0),0)</f>
        <v>0</v>
      </c>
      <c r="CY74" s="9">
        <f>IF(99&lt;=核心参数输入!$B$9*4,IF(99=核心参数输入!$B$9*4,SUMPRODUCT(季度经营税费!$D$36:$DT$36+季度经营税费!$D$40:$DT$40,--(季度经营税费!$D$4:$DT$4&gt;核心参数输入!$B$9*4-核心参数输入!$B$112)),0),0)</f>
        <v>0</v>
      </c>
      <c r="CZ74" s="9">
        <f>IF(100&lt;=核心参数输入!$B$9*4,IF(100=核心参数输入!$B$9*4,SUMPRODUCT(季度经营税费!$D$36:$DT$36+季度经营税费!$D$40:$DT$40,--(季度经营税费!$D$4:$DT$4&gt;核心参数输入!$B$9*4-核心参数输入!$B$112)),0),0)</f>
        <v>0</v>
      </c>
      <c r="DA74" s="9">
        <f>IF(101&lt;=核心参数输入!$B$9*4,IF(101=核心参数输入!$B$9*4,SUMPRODUCT(季度经营税费!$D$36:$DT$36+季度经营税费!$D$40:$DT$40,--(季度经营税费!$D$4:$DT$4&gt;核心参数输入!$B$9*4-核心参数输入!$B$112)),0),0)</f>
        <v>0</v>
      </c>
      <c r="DB74" s="9">
        <f>IF(102&lt;=核心参数输入!$B$9*4,IF(102=核心参数输入!$B$9*4,SUMPRODUCT(季度经营税费!$D$36:$DT$36+季度经营税费!$D$40:$DT$40,--(季度经营税费!$D$4:$DT$4&gt;核心参数输入!$B$9*4-核心参数输入!$B$112)),0),0)</f>
        <v>0</v>
      </c>
      <c r="DC74" s="9">
        <f>IF(103&lt;=核心参数输入!$B$9*4,IF(103=核心参数输入!$B$9*4,SUMPRODUCT(季度经营税费!$D$36:$DT$36+季度经营税费!$D$40:$DT$40,--(季度经营税费!$D$4:$DT$4&gt;核心参数输入!$B$9*4-核心参数输入!$B$112)),0),0)</f>
        <v>0</v>
      </c>
      <c r="DD74" s="9">
        <f>IF(104&lt;=核心参数输入!$B$9*4,IF(104=核心参数输入!$B$9*4,SUMPRODUCT(季度经营税费!$D$36:$DT$36+季度经营税费!$D$40:$DT$40,--(季度经营税费!$D$4:$DT$4&gt;核心参数输入!$B$9*4-核心参数输入!$B$112)),0),0)</f>
        <v>0</v>
      </c>
      <c r="DE74" s="9">
        <f>IF(105&lt;=核心参数输入!$B$9*4,IF(105=核心参数输入!$B$9*4,SUMPRODUCT(季度经营税费!$D$36:$DT$36+季度经营税费!$D$40:$DT$40,--(季度经营税费!$D$4:$DT$4&gt;核心参数输入!$B$9*4-核心参数输入!$B$112)),0),0)</f>
        <v>0</v>
      </c>
      <c r="DF74" s="9">
        <f>IF(106&lt;=核心参数输入!$B$9*4,IF(106=核心参数输入!$B$9*4,SUMPRODUCT(季度经营税费!$D$36:$DT$36+季度经营税费!$D$40:$DT$40,--(季度经营税费!$D$4:$DT$4&gt;核心参数输入!$B$9*4-核心参数输入!$B$112)),0),0)</f>
        <v>0</v>
      </c>
      <c r="DG74" s="9">
        <f>IF(107&lt;=核心参数输入!$B$9*4,IF(107=核心参数输入!$B$9*4,SUMPRODUCT(季度经营税费!$D$36:$DT$36+季度经营税费!$D$40:$DT$40,--(季度经营税费!$D$4:$DT$4&gt;核心参数输入!$B$9*4-核心参数输入!$B$112)),0),0)</f>
        <v>0</v>
      </c>
      <c r="DH74" s="9">
        <f>IF(108&lt;=核心参数输入!$B$9*4,IF(108=核心参数输入!$B$9*4,SUMPRODUCT(季度经营税费!$D$36:$DT$36+季度经营税费!$D$40:$DT$40,--(季度经营税费!$D$4:$DT$4&gt;核心参数输入!$B$9*4-核心参数输入!$B$112)),0),0)</f>
        <v>0</v>
      </c>
      <c r="DI74" s="9">
        <f>IF(109&lt;=核心参数输入!$B$9*4,IF(109=核心参数输入!$B$9*4,SUMPRODUCT(季度经营税费!$D$36:$DT$36+季度经营税费!$D$40:$DT$40,--(季度经营税费!$D$4:$DT$4&gt;核心参数输入!$B$9*4-核心参数输入!$B$112)),0),0)</f>
        <v>0</v>
      </c>
      <c r="DJ74" s="9">
        <f>IF(110&lt;=核心参数输入!$B$9*4,IF(110=核心参数输入!$B$9*4,SUMPRODUCT(季度经营税费!$D$36:$DT$36+季度经营税费!$D$40:$DT$40,--(季度经营税费!$D$4:$DT$4&gt;核心参数输入!$B$9*4-核心参数输入!$B$112)),0),0)</f>
        <v>0</v>
      </c>
      <c r="DK74" s="9">
        <f>IF(111&lt;=核心参数输入!$B$9*4,IF(111=核心参数输入!$B$9*4,SUMPRODUCT(季度经营税费!$D$36:$DT$36+季度经营税费!$D$40:$DT$40,--(季度经营税费!$D$4:$DT$4&gt;核心参数输入!$B$9*4-核心参数输入!$B$112)),0),0)</f>
        <v>0</v>
      </c>
      <c r="DL74" s="9">
        <f>IF(112&lt;=核心参数输入!$B$9*4,IF(112=核心参数输入!$B$9*4,SUMPRODUCT(季度经营税费!$D$36:$DT$36+季度经营税费!$D$40:$DT$40,--(季度经营税费!$D$4:$DT$4&gt;核心参数输入!$B$9*4-核心参数输入!$B$112)),0),0)</f>
        <v>0</v>
      </c>
      <c r="DM74" s="9">
        <f>IF(113&lt;=核心参数输入!$B$9*4,IF(113=核心参数输入!$B$9*4,SUMPRODUCT(季度经营税费!$D$36:$DT$36+季度经营税费!$D$40:$DT$40,--(季度经营税费!$D$4:$DT$4&gt;核心参数输入!$B$9*4-核心参数输入!$B$112)),0),0)</f>
        <v>0</v>
      </c>
      <c r="DN74" s="9">
        <f>IF(114&lt;=核心参数输入!$B$9*4,IF(114=核心参数输入!$B$9*4,SUMPRODUCT(季度经营税费!$D$36:$DT$36+季度经营税费!$D$40:$DT$40,--(季度经营税费!$D$4:$DT$4&gt;核心参数输入!$B$9*4-核心参数输入!$B$112)),0),0)</f>
        <v>0</v>
      </c>
      <c r="DO74" s="9">
        <f>IF(115&lt;=核心参数输入!$B$9*4,IF(115=核心参数输入!$B$9*4,SUMPRODUCT(季度经营税费!$D$36:$DT$36+季度经营税费!$D$40:$DT$40,--(季度经营税费!$D$4:$DT$4&gt;核心参数输入!$B$9*4-核心参数输入!$B$112)),0),0)</f>
        <v>0</v>
      </c>
      <c r="DP74" s="9">
        <f>IF(116&lt;=核心参数输入!$B$9*4,IF(116=核心参数输入!$B$9*4,SUMPRODUCT(季度经营税费!$D$36:$DT$36+季度经营税费!$D$40:$DT$40,--(季度经营税费!$D$4:$DT$4&gt;核心参数输入!$B$9*4-核心参数输入!$B$112)),0),0)</f>
        <v>0</v>
      </c>
      <c r="DQ74" s="9">
        <f>IF(117&lt;=核心参数输入!$B$9*4,IF(117=核心参数输入!$B$9*4,SUMPRODUCT(季度经营税费!$D$36:$DT$36+季度经营税费!$D$40:$DT$40,--(季度经营税费!$D$4:$DT$4&gt;核心参数输入!$B$9*4-核心参数输入!$B$112)),0),0)</f>
        <v>0</v>
      </c>
      <c r="DR74" s="9">
        <f>IF(118&lt;=核心参数输入!$B$9*4,IF(118=核心参数输入!$B$9*4,SUMPRODUCT(季度经营税费!$D$36:$DT$36+季度经营税费!$D$40:$DT$40,--(季度经营税费!$D$4:$DT$4&gt;核心参数输入!$B$9*4-核心参数输入!$B$112)),0),0)</f>
        <v>0</v>
      </c>
      <c r="DS74" s="9">
        <f>IF(119&lt;=核心参数输入!$B$9*4,IF(119=核心参数输入!$B$9*4,SUMPRODUCT(季度经营税费!$D$36:$DT$36+季度经营税费!$D$40:$DT$40,--(季度经营税费!$D$4:$DT$4&gt;核心参数输入!$B$9*4-核心参数输入!$B$112)),0),0)</f>
        <v>0</v>
      </c>
      <c r="DT74" s="9">
        <f>IF(120&lt;=核心参数输入!$B$9*4,IF(120=核心参数输入!$B$9*4,SUMPRODUCT(季度经营税费!$D$36:$DT$36+季度经营税费!$D$40:$DT$40,--(季度经营税费!$D$4:$DT$4&gt;核心参数输入!$B$9*4-核心参数输入!$B$112)),0),0)</f>
        <v>0</v>
      </c>
    </row>
    <row r="75" spans="1:124" ht="21" customHeight="1">
      <c r="A75" s="8" t="s">
        <v>506</v>
      </c>
      <c r="B75" s="8" t="s">
        <v>39</v>
      </c>
      <c r="C75" s="8"/>
      <c r="D75" s="9">
        <f>IF(0&lt;=核心参数输入!$B$9*4,IF(0=核心参数输入!$B$9*4,SUMIFS(年度所得税!$D$15:$AH$15,年度所得税!$D$4:$AH$4,"&gt;"&amp;(核心参数输入!$B$9*4-核心参数输入!$B$111)/4),0),0)</f>
        <v>0</v>
      </c>
      <c r="E75" s="9">
        <f>IF(1&lt;=核心参数输入!$B$9*4,IF(1=核心参数输入!$B$9*4,SUMIFS(年度所得税!$D$15:$AH$15,年度所得税!$D$4:$AH$4,"&gt;"&amp;(核心参数输入!$B$9*4-核心参数输入!$B$111)/4),0),0)</f>
        <v>0</v>
      </c>
      <c r="F75" s="9">
        <f>IF(2&lt;=核心参数输入!$B$9*4,IF(2=核心参数输入!$B$9*4,SUMIFS(年度所得税!$D$15:$AH$15,年度所得税!$D$4:$AH$4,"&gt;"&amp;(核心参数输入!$B$9*4-核心参数输入!$B$111)/4),0),0)</f>
        <v>0</v>
      </c>
      <c r="G75" s="9">
        <f>IF(3&lt;=核心参数输入!$B$9*4,IF(3=核心参数输入!$B$9*4,SUMIFS(年度所得税!$D$15:$AH$15,年度所得税!$D$4:$AH$4,"&gt;"&amp;(核心参数输入!$B$9*4-核心参数输入!$B$111)/4),0),0)</f>
        <v>0</v>
      </c>
      <c r="H75" s="9">
        <f>IF(4&lt;=核心参数输入!$B$9*4,IF(4=核心参数输入!$B$9*4,SUMIFS(年度所得税!$D$15:$AH$15,年度所得税!$D$4:$AH$4,"&gt;"&amp;(核心参数输入!$B$9*4-核心参数输入!$B$111)/4),0),0)</f>
        <v>0</v>
      </c>
      <c r="I75" s="9">
        <f>IF(5&lt;=核心参数输入!$B$9*4,IF(5=核心参数输入!$B$9*4,SUMIFS(年度所得税!$D$15:$AH$15,年度所得税!$D$4:$AH$4,"&gt;"&amp;(核心参数输入!$B$9*4-核心参数输入!$B$111)/4),0),0)</f>
        <v>0</v>
      </c>
      <c r="J75" s="9">
        <f>IF(6&lt;=核心参数输入!$B$9*4,IF(6=核心参数输入!$B$9*4,SUMIFS(年度所得税!$D$15:$AH$15,年度所得税!$D$4:$AH$4,"&gt;"&amp;(核心参数输入!$B$9*4-核心参数输入!$B$111)/4),0),0)</f>
        <v>0</v>
      </c>
      <c r="K75" s="9">
        <f>IF(7&lt;=核心参数输入!$B$9*4,IF(7=核心参数输入!$B$9*4,SUMIFS(年度所得税!$D$15:$AH$15,年度所得税!$D$4:$AH$4,"&gt;"&amp;(核心参数输入!$B$9*4-核心参数输入!$B$111)/4),0),0)</f>
        <v>0</v>
      </c>
      <c r="L75" s="9">
        <f>IF(8&lt;=核心参数输入!$B$9*4,IF(8=核心参数输入!$B$9*4,SUMIFS(年度所得税!$D$15:$AH$15,年度所得税!$D$4:$AH$4,"&gt;"&amp;(核心参数输入!$B$9*4-核心参数输入!$B$111)/4),0),0)</f>
        <v>0</v>
      </c>
      <c r="M75" s="9">
        <f>IF(9&lt;=核心参数输入!$B$9*4,IF(9=核心参数输入!$B$9*4,SUMIFS(年度所得税!$D$15:$AH$15,年度所得税!$D$4:$AH$4,"&gt;"&amp;(核心参数输入!$B$9*4-核心参数输入!$B$111)/4),0),0)</f>
        <v>0</v>
      </c>
      <c r="N75" s="9">
        <f>IF(10&lt;=核心参数输入!$B$9*4,IF(10=核心参数输入!$B$9*4,SUMIFS(年度所得税!$D$15:$AH$15,年度所得税!$D$4:$AH$4,"&gt;"&amp;(核心参数输入!$B$9*4-核心参数输入!$B$111)/4),0),0)</f>
        <v>0</v>
      </c>
      <c r="O75" s="9">
        <f>IF(11&lt;=核心参数输入!$B$9*4,IF(11=核心参数输入!$B$9*4,SUMIFS(年度所得税!$D$15:$AH$15,年度所得税!$D$4:$AH$4,"&gt;"&amp;(核心参数输入!$B$9*4-核心参数输入!$B$111)/4),0),0)</f>
        <v>0</v>
      </c>
      <c r="P75" s="9">
        <f>IF(12&lt;=核心参数输入!$B$9*4,IF(12=核心参数输入!$B$9*4,SUMIFS(年度所得税!$D$15:$AH$15,年度所得税!$D$4:$AH$4,"&gt;"&amp;(核心参数输入!$B$9*4-核心参数输入!$B$111)/4),0),0)</f>
        <v>0</v>
      </c>
      <c r="Q75" s="9">
        <f>IF(13&lt;=核心参数输入!$B$9*4,IF(13=核心参数输入!$B$9*4,SUMIFS(年度所得税!$D$15:$AH$15,年度所得税!$D$4:$AH$4,"&gt;"&amp;(核心参数输入!$B$9*4-核心参数输入!$B$111)/4),0),0)</f>
        <v>0</v>
      </c>
      <c r="R75" s="9">
        <f>IF(14&lt;=核心参数输入!$B$9*4,IF(14=核心参数输入!$B$9*4,SUMIFS(年度所得税!$D$15:$AH$15,年度所得税!$D$4:$AH$4,"&gt;"&amp;(核心参数输入!$B$9*4-核心参数输入!$B$111)/4),0),0)</f>
        <v>0</v>
      </c>
      <c r="S75" s="9">
        <f>IF(15&lt;=核心参数输入!$B$9*4,IF(15=核心参数输入!$B$9*4,SUMIFS(年度所得税!$D$15:$AH$15,年度所得税!$D$4:$AH$4,"&gt;"&amp;(核心参数输入!$B$9*4-核心参数输入!$B$111)/4),0),0)</f>
        <v>0</v>
      </c>
      <c r="T75" s="9">
        <f>IF(16&lt;=核心参数输入!$B$9*4,IF(16=核心参数输入!$B$9*4,SUMIFS(年度所得税!$D$15:$AH$15,年度所得税!$D$4:$AH$4,"&gt;"&amp;(核心参数输入!$B$9*4-核心参数输入!$B$111)/4),0),0)</f>
        <v>0</v>
      </c>
      <c r="U75" s="9">
        <f>IF(17&lt;=核心参数输入!$B$9*4,IF(17=核心参数输入!$B$9*4,SUMIFS(年度所得税!$D$15:$AH$15,年度所得税!$D$4:$AH$4,"&gt;"&amp;(核心参数输入!$B$9*4-核心参数输入!$B$111)/4),0),0)</f>
        <v>0</v>
      </c>
      <c r="V75" s="9">
        <f>IF(18&lt;=核心参数输入!$B$9*4,IF(18=核心参数输入!$B$9*4,SUMIFS(年度所得税!$D$15:$AH$15,年度所得税!$D$4:$AH$4,"&gt;"&amp;(核心参数输入!$B$9*4-核心参数输入!$B$111)/4),0),0)</f>
        <v>0</v>
      </c>
      <c r="W75" s="9">
        <f>IF(19&lt;=核心参数输入!$B$9*4,IF(19=核心参数输入!$B$9*4,SUMIFS(年度所得税!$D$15:$AH$15,年度所得税!$D$4:$AH$4,"&gt;"&amp;(核心参数输入!$B$9*4-核心参数输入!$B$111)/4),0),0)</f>
        <v>0</v>
      </c>
      <c r="X75" s="9">
        <f>IF(20&lt;=核心参数输入!$B$9*4,IF(20=核心参数输入!$B$9*4,SUMIFS(年度所得税!$D$15:$AH$15,年度所得税!$D$4:$AH$4,"&gt;"&amp;(核心参数输入!$B$9*4-核心参数输入!$B$111)/4),0),0)</f>
        <v>0</v>
      </c>
      <c r="Y75" s="9">
        <f>IF(21&lt;=核心参数输入!$B$9*4,IF(21=核心参数输入!$B$9*4,SUMIFS(年度所得税!$D$15:$AH$15,年度所得税!$D$4:$AH$4,"&gt;"&amp;(核心参数输入!$B$9*4-核心参数输入!$B$111)/4),0),0)</f>
        <v>0</v>
      </c>
      <c r="Z75" s="9">
        <f>IF(22&lt;=核心参数输入!$B$9*4,IF(22=核心参数输入!$B$9*4,SUMIFS(年度所得税!$D$15:$AH$15,年度所得税!$D$4:$AH$4,"&gt;"&amp;(核心参数输入!$B$9*4-核心参数输入!$B$111)/4),0),0)</f>
        <v>0</v>
      </c>
      <c r="AA75" s="9">
        <f>IF(23&lt;=核心参数输入!$B$9*4,IF(23=核心参数输入!$B$9*4,SUMIFS(年度所得税!$D$15:$AH$15,年度所得税!$D$4:$AH$4,"&gt;"&amp;(核心参数输入!$B$9*4-核心参数输入!$B$111)/4),0),0)</f>
        <v>0</v>
      </c>
      <c r="AB75" s="9">
        <f>IF(24&lt;=核心参数输入!$B$9*4,IF(24=核心参数输入!$B$9*4,SUMIFS(年度所得税!$D$15:$AH$15,年度所得税!$D$4:$AH$4,"&gt;"&amp;(核心参数输入!$B$9*4-核心参数输入!$B$111)/4),0),0)</f>
        <v>0</v>
      </c>
      <c r="AC75" s="9">
        <f>IF(25&lt;=核心参数输入!$B$9*4,IF(25=核心参数输入!$B$9*4,SUMIFS(年度所得税!$D$15:$AH$15,年度所得税!$D$4:$AH$4,"&gt;"&amp;(核心参数输入!$B$9*4-核心参数输入!$B$111)/4),0),0)</f>
        <v>0</v>
      </c>
      <c r="AD75" s="9">
        <f>IF(26&lt;=核心参数输入!$B$9*4,IF(26=核心参数输入!$B$9*4,SUMIFS(年度所得税!$D$15:$AH$15,年度所得税!$D$4:$AH$4,"&gt;"&amp;(核心参数输入!$B$9*4-核心参数输入!$B$111)/4),0),0)</f>
        <v>0</v>
      </c>
      <c r="AE75" s="9">
        <f>IF(27&lt;=核心参数输入!$B$9*4,IF(27=核心参数输入!$B$9*4,SUMIFS(年度所得税!$D$15:$AH$15,年度所得税!$D$4:$AH$4,"&gt;"&amp;(核心参数输入!$B$9*4-核心参数输入!$B$111)/4),0),0)</f>
        <v>0</v>
      </c>
      <c r="AF75" s="9">
        <f>IF(28&lt;=核心参数输入!$B$9*4,IF(28=核心参数输入!$B$9*4,SUMIFS(年度所得税!$D$15:$AH$15,年度所得税!$D$4:$AH$4,"&gt;"&amp;(核心参数输入!$B$9*4-核心参数输入!$B$111)/4),0),0)</f>
        <v>0</v>
      </c>
      <c r="AG75" s="9">
        <f>IF(29&lt;=核心参数输入!$B$9*4,IF(29=核心参数输入!$B$9*4,SUMIFS(年度所得税!$D$15:$AH$15,年度所得税!$D$4:$AH$4,"&gt;"&amp;(核心参数输入!$B$9*4-核心参数输入!$B$111)/4),0),0)</f>
        <v>0</v>
      </c>
      <c r="AH75" s="9">
        <f>IF(30&lt;=核心参数输入!$B$9*4,IF(30=核心参数输入!$B$9*4,SUMIFS(年度所得税!$D$15:$AH$15,年度所得税!$D$4:$AH$4,"&gt;"&amp;(核心参数输入!$B$9*4-核心参数输入!$B$111)/4),0),0)</f>
        <v>0</v>
      </c>
      <c r="AI75" s="9">
        <f>IF(31&lt;=核心参数输入!$B$9*4,IF(31=核心参数输入!$B$9*4,SUMIFS(年度所得税!$D$15:$AH$15,年度所得税!$D$4:$AH$4,"&gt;"&amp;(核心参数输入!$B$9*4-核心参数输入!$B$111)/4),0),0)</f>
        <v>0</v>
      </c>
      <c r="AJ75" s="9">
        <f>IF(32&lt;=核心参数输入!$B$9*4,IF(32=核心参数输入!$B$9*4,SUMIFS(年度所得税!$D$15:$AH$15,年度所得税!$D$4:$AH$4,"&gt;"&amp;(核心参数输入!$B$9*4-核心参数输入!$B$111)/4),0),0)</f>
        <v>0</v>
      </c>
      <c r="AK75" s="9">
        <f>IF(33&lt;=核心参数输入!$B$9*4,IF(33=核心参数输入!$B$9*4,SUMIFS(年度所得税!$D$15:$AH$15,年度所得税!$D$4:$AH$4,"&gt;"&amp;(核心参数输入!$B$9*4-核心参数输入!$B$111)/4),0),0)</f>
        <v>0</v>
      </c>
      <c r="AL75" s="9">
        <f>IF(34&lt;=核心参数输入!$B$9*4,IF(34=核心参数输入!$B$9*4,SUMIFS(年度所得税!$D$15:$AH$15,年度所得税!$D$4:$AH$4,"&gt;"&amp;(核心参数输入!$B$9*4-核心参数输入!$B$111)/4),0),0)</f>
        <v>0</v>
      </c>
      <c r="AM75" s="9">
        <f>IF(35&lt;=核心参数输入!$B$9*4,IF(35=核心参数输入!$B$9*4,SUMIFS(年度所得税!$D$15:$AH$15,年度所得税!$D$4:$AH$4,"&gt;"&amp;(核心参数输入!$B$9*4-核心参数输入!$B$111)/4),0),0)</f>
        <v>0</v>
      </c>
      <c r="AN75" s="9">
        <f>IF(36&lt;=核心参数输入!$B$9*4,IF(36=核心参数输入!$B$9*4,SUMIFS(年度所得税!$D$15:$AH$15,年度所得税!$D$4:$AH$4,"&gt;"&amp;(核心参数输入!$B$9*4-核心参数输入!$B$111)/4),0),0)</f>
        <v>0</v>
      </c>
      <c r="AO75" s="9">
        <f>IF(37&lt;=核心参数输入!$B$9*4,IF(37=核心参数输入!$B$9*4,SUMIFS(年度所得税!$D$15:$AH$15,年度所得税!$D$4:$AH$4,"&gt;"&amp;(核心参数输入!$B$9*4-核心参数输入!$B$111)/4),0),0)</f>
        <v>0</v>
      </c>
      <c r="AP75" s="9">
        <f>IF(38&lt;=核心参数输入!$B$9*4,IF(38=核心参数输入!$B$9*4,SUMIFS(年度所得税!$D$15:$AH$15,年度所得税!$D$4:$AH$4,"&gt;"&amp;(核心参数输入!$B$9*4-核心参数输入!$B$111)/4),0),0)</f>
        <v>0</v>
      </c>
      <c r="AQ75" s="9">
        <f>IF(39&lt;=核心参数输入!$B$9*4,IF(39=核心参数输入!$B$9*4,SUMIFS(年度所得税!$D$15:$AH$15,年度所得税!$D$4:$AH$4,"&gt;"&amp;(核心参数输入!$B$9*4-核心参数输入!$B$111)/4),0),0)</f>
        <v>0</v>
      </c>
      <c r="AR75" s="9">
        <f>IF(40&lt;=核心参数输入!$B$9*4,IF(40=核心参数输入!$B$9*4,SUMIFS(年度所得税!$D$15:$AH$15,年度所得税!$D$4:$AH$4,"&gt;"&amp;(核心参数输入!$B$9*4-核心参数输入!$B$111)/4),0),0)</f>
        <v>0</v>
      </c>
      <c r="AS75" s="9">
        <f>IF(41&lt;=核心参数输入!$B$9*4,IF(41=核心参数输入!$B$9*4,SUMIFS(年度所得税!$D$15:$AH$15,年度所得税!$D$4:$AH$4,"&gt;"&amp;(核心参数输入!$B$9*4-核心参数输入!$B$111)/4),0),0)</f>
        <v>0</v>
      </c>
      <c r="AT75" s="9">
        <f>IF(42&lt;=核心参数输入!$B$9*4,IF(42=核心参数输入!$B$9*4,SUMIFS(年度所得税!$D$15:$AH$15,年度所得税!$D$4:$AH$4,"&gt;"&amp;(核心参数输入!$B$9*4-核心参数输入!$B$111)/4),0),0)</f>
        <v>0</v>
      </c>
      <c r="AU75" s="9">
        <f>IF(43&lt;=核心参数输入!$B$9*4,IF(43=核心参数输入!$B$9*4,SUMIFS(年度所得税!$D$15:$AH$15,年度所得税!$D$4:$AH$4,"&gt;"&amp;(核心参数输入!$B$9*4-核心参数输入!$B$111)/4),0),0)</f>
        <v>0</v>
      </c>
      <c r="AV75" s="9">
        <f>IF(44&lt;=核心参数输入!$B$9*4,IF(44=核心参数输入!$B$9*4,SUMIFS(年度所得税!$D$15:$AH$15,年度所得税!$D$4:$AH$4,"&gt;"&amp;(核心参数输入!$B$9*4-核心参数输入!$B$111)/4),0),0)</f>
        <v>0</v>
      </c>
      <c r="AW75" s="9">
        <f>IF(45&lt;=核心参数输入!$B$9*4,IF(45=核心参数输入!$B$9*4,SUMIFS(年度所得税!$D$15:$AH$15,年度所得税!$D$4:$AH$4,"&gt;"&amp;(核心参数输入!$B$9*4-核心参数输入!$B$111)/4),0),0)</f>
        <v>0</v>
      </c>
      <c r="AX75" s="9">
        <f>IF(46&lt;=核心参数输入!$B$9*4,IF(46=核心参数输入!$B$9*4,SUMIFS(年度所得税!$D$15:$AH$15,年度所得税!$D$4:$AH$4,"&gt;"&amp;(核心参数输入!$B$9*4-核心参数输入!$B$111)/4),0),0)</f>
        <v>0</v>
      </c>
      <c r="AY75" s="9">
        <f>IF(47&lt;=核心参数输入!$B$9*4,IF(47=核心参数输入!$B$9*4,SUMIFS(年度所得税!$D$15:$AH$15,年度所得税!$D$4:$AH$4,"&gt;"&amp;(核心参数输入!$B$9*4-核心参数输入!$B$111)/4),0),0)</f>
        <v>0</v>
      </c>
      <c r="AZ75" s="9">
        <f>IF(48&lt;=核心参数输入!$B$9*4,IF(48=核心参数输入!$B$9*4,SUMIFS(年度所得税!$D$15:$AH$15,年度所得税!$D$4:$AH$4,"&gt;"&amp;(核心参数输入!$B$9*4-核心参数输入!$B$111)/4),0),0)</f>
        <v>0</v>
      </c>
      <c r="BA75" s="9">
        <f>IF(49&lt;=核心参数输入!$B$9*4,IF(49=核心参数输入!$B$9*4,SUMIFS(年度所得税!$D$15:$AH$15,年度所得税!$D$4:$AH$4,"&gt;"&amp;(核心参数输入!$B$9*4-核心参数输入!$B$111)/4),0),0)</f>
        <v>0</v>
      </c>
      <c r="BB75" s="9">
        <f>IF(50&lt;=核心参数输入!$B$9*4,IF(50=核心参数输入!$B$9*4,SUMIFS(年度所得税!$D$15:$AH$15,年度所得税!$D$4:$AH$4,"&gt;"&amp;(核心参数输入!$B$9*4-核心参数输入!$B$111)/4),0),0)</f>
        <v>0</v>
      </c>
      <c r="BC75" s="9">
        <f>IF(51&lt;=核心参数输入!$B$9*4,IF(51=核心参数输入!$B$9*4,SUMIFS(年度所得税!$D$15:$AH$15,年度所得税!$D$4:$AH$4,"&gt;"&amp;(核心参数输入!$B$9*4-核心参数输入!$B$111)/4),0),0)</f>
        <v>0</v>
      </c>
      <c r="BD75" s="9">
        <f>IF(52&lt;=核心参数输入!$B$9*4,IF(52=核心参数输入!$B$9*4,SUMIFS(年度所得税!$D$15:$AH$15,年度所得税!$D$4:$AH$4,"&gt;"&amp;(核心参数输入!$B$9*4-核心参数输入!$B$111)/4),0),0)</f>
        <v>0</v>
      </c>
      <c r="BE75" s="9">
        <f>IF(53&lt;=核心参数输入!$B$9*4,IF(53=核心参数输入!$B$9*4,SUMIFS(年度所得税!$D$15:$AH$15,年度所得税!$D$4:$AH$4,"&gt;"&amp;(核心参数输入!$B$9*4-核心参数输入!$B$111)/4),0),0)</f>
        <v>0</v>
      </c>
      <c r="BF75" s="9">
        <f>IF(54&lt;=核心参数输入!$B$9*4,IF(54=核心参数输入!$B$9*4,SUMIFS(年度所得税!$D$15:$AH$15,年度所得税!$D$4:$AH$4,"&gt;"&amp;(核心参数输入!$B$9*4-核心参数输入!$B$111)/4),0),0)</f>
        <v>0</v>
      </c>
      <c r="BG75" s="9">
        <f>IF(55&lt;=核心参数输入!$B$9*4,IF(55=核心参数输入!$B$9*4,SUMIFS(年度所得税!$D$15:$AH$15,年度所得税!$D$4:$AH$4,"&gt;"&amp;(核心参数输入!$B$9*4-核心参数输入!$B$111)/4),0),0)</f>
        <v>0</v>
      </c>
      <c r="BH75" s="9">
        <f>IF(56&lt;=核心参数输入!$B$9*4,IF(56=核心参数输入!$B$9*4,SUMIFS(年度所得税!$D$15:$AH$15,年度所得税!$D$4:$AH$4,"&gt;"&amp;(核心参数输入!$B$9*4-核心参数输入!$B$111)/4),0),0)</f>
        <v>0</v>
      </c>
      <c r="BI75" s="9">
        <f>IF(57&lt;=核心参数输入!$B$9*4,IF(57=核心参数输入!$B$9*4,SUMIFS(年度所得税!$D$15:$AH$15,年度所得税!$D$4:$AH$4,"&gt;"&amp;(核心参数输入!$B$9*4-核心参数输入!$B$111)/4),0),0)</f>
        <v>0</v>
      </c>
      <c r="BJ75" s="9">
        <f>IF(58&lt;=核心参数输入!$B$9*4,IF(58=核心参数输入!$B$9*4,SUMIFS(年度所得税!$D$15:$AH$15,年度所得税!$D$4:$AH$4,"&gt;"&amp;(核心参数输入!$B$9*4-核心参数输入!$B$111)/4),0),0)</f>
        <v>0</v>
      </c>
      <c r="BK75" s="9">
        <f>IF(59&lt;=核心参数输入!$B$9*4,IF(59=核心参数输入!$B$9*4,SUMIFS(年度所得税!$D$15:$AH$15,年度所得税!$D$4:$AH$4,"&gt;"&amp;(核心参数输入!$B$9*4-核心参数输入!$B$111)/4),0),0)</f>
        <v>0</v>
      </c>
      <c r="BL75" s="9">
        <f>IF(60&lt;=核心参数输入!$B$9*4,IF(60=核心参数输入!$B$9*4,SUMIFS(年度所得税!$D$15:$AH$15,年度所得税!$D$4:$AH$4,"&gt;"&amp;(核心参数输入!$B$9*4-核心参数输入!$B$111)/4),0),0)</f>
        <v>0</v>
      </c>
      <c r="BM75" s="9">
        <f>IF(61&lt;=核心参数输入!$B$9*4,IF(61=核心参数输入!$B$9*4,SUMIFS(年度所得税!$D$15:$AH$15,年度所得税!$D$4:$AH$4,"&gt;"&amp;(核心参数输入!$B$9*4-核心参数输入!$B$111)/4),0),0)</f>
        <v>0</v>
      </c>
      <c r="BN75" s="9">
        <f>IF(62&lt;=核心参数输入!$B$9*4,IF(62=核心参数输入!$B$9*4,SUMIFS(年度所得税!$D$15:$AH$15,年度所得税!$D$4:$AH$4,"&gt;"&amp;(核心参数输入!$B$9*4-核心参数输入!$B$111)/4),0),0)</f>
        <v>0</v>
      </c>
      <c r="BO75" s="9">
        <f>IF(63&lt;=核心参数输入!$B$9*4,IF(63=核心参数输入!$B$9*4,SUMIFS(年度所得税!$D$15:$AH$15,年度所得税!$D$4:$AH$4,"&gt;"&amp;(核心参数输入!$B$9*4-核心参数输入!$B$111)/4),0),0)</f>
        <v>0</v>
      </c>
      <c r="BP75" s="9">
        <f>IF(64&lt;=核心参数输入!$B$9*4,IF(64=核心参数输入!$B$9*4,SUMIFS(年度所得税!$D$15:$AH$15,年度所得税!$D$4:$AH$4,"&gt;"&amp;(核心参数输入!$B$9*4-核心参数输入!$B$111)/4),0),0)</f>
        <v>0</v>
      </c>
      <c r="BQ75" s="9">
        <f>IF(65&lt;=核心参数输入!$B$9*4,IF(65=核心参数输入!$B$9*4,SUMIFS(年度所得税!$D$15:$AH$15,年度所得税!$D$4:$AH$4,"&gt;"&amp;(核心参数输入!$B$9*4-核心参数输入!$B$111)/4),0),0)</f>
        <v>0</v>
      </c>
      <c r="BR75" s="9">
        <f>IF(66&lt;=核心参数输入!$B$9*4,IF(66=核心参数输入!$B$9*4,SUMIFS(年度所得税!$D$15:$AH$15,年度所得税!$D$4:$AH$4,"&gt;"&amp;(核心参数输入!$B$9*4-核心参数输入!$B$111)/4),0),0)</f>
        <v>0</v>
      </c>
      <c r="BS75" s="9">
        <f>IF(67&lt;=核心参数输入!$B$9*4,IF(67=核心参数输入!$B$9*4,SUMIFS(年度所得税!$D$15:$AH$15,年度所得税!$D$4:$AH$4,"&gt;"&amp;(核心参数输入!$B$9*4-核心参数输入!$B$111)/4),0),0)</f>
        <v>0</v>
      </c>
      <c r="BT75" s="9">
        <f>IF(68&lt;=核心参数输入!$B$9*4,IF(68=核心参数输入!$B$9*4,SUMIFS(年度所得税!$D$15:$AH$15,年度所得税!$D$4:$AH$4,"&gt;"&amp;(核心参数输入!$B$9*4-核心参数输入!$B$111)/4),0),0)</f>
        <v>0</v>
      </c>
      <c r="BU75" s="9">
        <f>IF(69&lt;=核心参数输入!$B$9*4,IF(69=核心参数输入!$B$9*4,SUMIFS(年度所得税!$D$15:$AH$15,年度所得税!$D$4:$AH$4,"&gt;"&amp;(核心参数输入!$B$9*4-核心参数输入!$B$111)/4),0),0)</f>
        <v>0</v>
      </c>
      <c r="BV75" s="9">
        <f>IF(70&lt;=核心参数输入!$B$9*4,IF(70=核心参数输入!$B$9*4,SUMIFS(年度所得税!$D$15:$AH$15,年度所得税!$D$4:$AH$4,"&gt;"&amp;(核心参数输入!$B$9*4-核心参数输入!$B$111)/4),0),0)</f>
        <v>0</v>
      </c>
      <c r="BW75" s="9">
        <f>IF(71&lt;=核心参数输入!$B$9*4,IF(71=核心参数输入!$B$9*4,SUMIFS(年度所得税!$D$15:$AH$15,年度所得税!$D$4:$AH$4,"&gt;"&amp;(核心参数输入!$B$9*4-核心参数输入!$B$111)/4),0),0)</f>
        <v>0</v>
      </c>
      <c r="BX75" s="9">
        <f>IF(72&lt;=核心参数输入!$B$9*4,IF(72=核心参数输入!$B$9*4,SUMIFS(年度所得税!$D$15:$AH$15,年度所得税!$D$4:$AH$4,"&gt;"&amp;(核心参数输入!$B$9*4-核心参数输入!$B$111)/4),0),0)</f>
        <v>0</v>
      </c>
      <c r="BY75" s="9">
        <f>IF(73&lt;=核心参数输入!$B$9*4,IF(73=核心参数输入!$B$9*4,SUMIFS(年度所得税!$D$15:$AH$15,年度所得税!$D$4:$AH$4,"&gt;"&amp;(核心参数输入!$B$9*4-核心参数输入!$B$111)/4),0),0)</f>
        <v>0</v>
      </c>
      <c r="BZ75" s="9">
        <f>IF(74&lt;=核心参数输入!$B$9*4,IF(74=核心参数输入!$B$9*4,SUMIFS(年度所得税!$D$15:$AH$15,年度所得税!$D$4:$AH$4,"&gt;"&amp;(核心参数输入!$B$9*4-核心参数输入!$B$111)/4),0),0)</f>
        <v>0</v>
      </c>
      <c r="CA75" s="9">
        <f>IF(75&lt;=核心参数输入!$B$9*4,IF(75=核心参数输入!$B$9*4,SUMIFS(年度所得税!$D$15:$AH$15,年度所得税!$D$4:$AH$4,"&gt;"&amp;(核心参数输入!$B$9*4-核心参数输入!$B$111)/4),0),0)</f>
        <v>0</v>
      </c>
      <c r="CB75" s="9">
        <f>IF(76&lt;=核心参数输入!$B$9*4,IF(76=核心参数输入!$B$9*4,SUMIFS(年度所得税!$D$15:$AH$15,年度所得税!$D$4:$AH$4,"&gt;"&amp;(核心参数输入!$B$9*4-核心参数输入!$B$111)/4),0),0)</f>
        <v>0</v>
      </c>
      <c r="CC75" s="9">
        <f>IF(77&lt;=核心参数输入!$B$9*4,IF(77=核心参数输入!$B$9*4,SUMIFS(年度所得税!$D$15:$AH$15,年度所得税!$D$4:$AH$4,"&gt;"&amp;(核心参数输入!$B$9*4-核心参数输入!$B$111)/4),0),0)</f>
        <v>0</v>
      </c>
      <c r="CD75" s="9">
        <f>IF(78&lt;=核心参数输入!$B$9*4,IF(78=核心参数输入!$B$9*4,SUMIFS(年度所得税!$D$15:$AH$15,年度所得税!$D$4:$AH$4,"&gt;"&amp;(核心参数输入!$B$9*4-核心参数输入!$B$111)/4),0),0)</f>
        <v>0</v>
      </c>
      <c r="CE75" s="9">
        <f>IF(79&lt;=核心参数输入!$B$9*4,IF(79=核心参数输入!$B$9*4,SUMIFS(年度所得税!$D$15:$AH$15,年度所得税!$D$4:$AH$4,"&gt;"&amp;(核心参数输入!$B$9*4-核心参数输入!$B$111)/4),0),0)</f>
        <v>0</v>
      </c>
      <c r="CF75" s="9">
        <f>IF(80&lt;=核心参数输入!$B$9*4,IF(80=核心参数输入!$B$9*4,SUMIFS(年度所得税!$D$15:$AH$15,年度所得税!$D$4:$AH$4,"&gt;"&amp;(核心参数输入!$B$9*4-核心参数输入!$B$111)/4),0),0)</f>
        <v>0</v>
      </c>
      <c r="CG75" s="9">
        <f>IF(81&lt;=核心参数输入!$B$9*4,IF(81=核心参数输入!$B$9*4,SUMIFS(年度所得税!$D$15:$AH$15,年度所得税!$D$4:$AH$4,"&gt;"&amp;(核心参数输入!$B$9*4-核心参数输入!$B$111)/4),0),0)</f>
        <v>0</v>
      </c>
      <c r="CH75" s="9">
        <f>IF(82&lt;=核心参数输入!$B$9*4,IF(82=核心参数输入!$B$9*4,SUMIFS(年度所得税!$D$15:$AH$15,年度所得税!$D$4:$AH$4,"&gt;"&amp;(核心参数输入!$B$9*4-核心参数输入!$B$111)/4),0),0)</f>
        <v>0</v>
      </c>
      <c r="CI75" s="9">
        <f>IF(83&lt;=核心参数输入!$B$9*4,IF(83=核心参数输入!$B$9*4,SUMIFS(年度所得税!$D$15:$AH$15,年度所得税!$D$4:$AH$4,"&gt;"&amp;(核心参数输入!$B$9*4-核心参数输入!$B$111)/4),0),0)</f>
        <v>0</v>
      </c>
      <c r="CJ75" s="9">
        <f>IF(84&lt;=核心参数输入!$B$9*4,IF(84=核心参数输入!$B$9*4,SUMIFS(年度所得税!$D$15:$AH$15,年度所得税!$D$4:$AH$4,"&gt;"&amp;(核心参数输入!$B$9*4-核心参数输入!$B$111)/4),0),0)</f>
        <v>0</v>
      </c>
      <c r="CK75" s="9">
        <f>IF(85&lt;=核心参数输入!$B$9*4,IF(85=核心参数输入!$B$9*4,SUMIFS(年度所得税!$D$15:$AH$15,年度所得税!$D$4:$AH$4,"&gt;"&amp;(核心参数输入!$B$9*4-核心参数输入!$B$111)/4),0),0)</f>
        <v>0</v>
      </c>
      <c r="CL75" s="9">
        <f>IF(86&lt;=核心参数输入!$B$9*4,IF(86=核心参数输入!$B$9*4,SUMIFS(年度所得税!$D$15:$AH$15,年度所得税!$D$4:$AH$4,"&gt;"&amp;(核心参数输入!$B$9*4-核心参数输入!$B$111)/4),0),0)</f>
        <v>0</v>
      </c>
      <c r="CM75" s="9">
        <f>IF(87&lt;=核心参数输入!$B$9*4,IF(87=核心参数输入!$B$9*4,SUMIFS(年度所得税!$D$15:$AH$15,年度所得税!$D$4:$AH$4,"&gt;"&amp;(核心参数输入!$B$9*4-核心参数输入!$B$111)/4),0),0)</f>
        <v>0</v>
      </c>
      <c r="CN75" s="9">
        <f>IF(88&lt;=核心参数输入!$B$9*4,IF(88=核心参数输入!$B$9*4,SUMIFS(年度所得税!$D$15:$AH$15,年度所得税!$D$4:$AH$4,"&gt;"&amp;(核心参数输入!$B$9*4-核心参数输入!$B$111)/4),0),0)</f>
        <v>0</v>
      </c>
      <c r="CO75" s="9">
        <f>IF(89&lt;=核心参数输入!$B$9*4,IF(89=核心参数输入!$B$9*4,SUMIFS(年度所得税!$D$15:$AH$15,年度所得税!$D$4:$AH$4,"&gt;"&amp;(核心参数输入!$B$9*4-核心参数输入!$B$111)/4),0),0)</f>
        <v>0</v>
      </c>
      <c r="CP75" s="9">
        <f>IF(90&lt;=核心参数输入!$B$9*4,IF(90=核心参数输入!$B$9*4,SUMIFS(年度所得税!$D$15:$AH$15,年度所得税!$D$4:$AH$4,"&gt;"&amp;(核心参数输入!$B$9*4-核心参数输入!$B$111)/4),0),0)</f>
        <v>0</v>
      </c>
      <c r="CQ75" s="9">
        <f>IF(91&lt;=核心参数输入!$B$9*4,IF(91=核心参数输入!$B$9*4,SUMIFS(年度所得税!$D$15:$AH$15,年度所得税!$D$4:$AH$4,"&gt;"&amp;(核心参数输入!$B$9*4-核心参数输入!$B$111)/4),0),0)</f>
        <v>0</v>
      </c>
      <c r="CR75" s="9">
        <f>IF(92&lt;=核心参数输入!$B$9*4,IF(92=核心参数输入!$B$9*4,SUMIFS(年度所得税!$D$15:$AH$15,年度所得税!$D$4:$AH$4,"&gt;"&amp;(核心参数输入!$B$9*4-核心参数输入!$B$111)/4),0),0)</f>
        <v>0</v>
      </c>
      <c r="CS75" s="9">
        <f>IF(93&lt;=核心参数输入!$B$9*4,IF(93=核心参数输入!$B$9*4,SUMIFS(年度所得税!$D$15:$AH$15,年度所得税!$D$4:$AH$4,"&gt;"&amp;(核心参数输入!$B$9*4-核心参数输入!$B$111)/4),0),0)</f>
        <v>0</v>
      </c>
      <c r="CT75" s="9">
        <f>IF(94&lt;=核心参数输入!$B$9*4,IF(94=核心参数输入!$B$9*4,SUMIFS(年度所得税!$D$15:$AH$15,年度所得税!$D$4:$AH$4,"&gt;"&amp;(核心参数输入!$B$9*4-核心参数输入!$B$111)/4),0),0)</f>
        <v>0</v>
      </c>
      <c r="CU75" s="9">
        <f>IF(95&lt;=核心参数输入!$B$9*4,IF(95=核心参数输入!$B$9*4,SUMIFS(年度所得税!$D$15:$AH$15,年度所得税!$D$4:$AH$4,"&gt;"&amp;(核心参数输入!$B$9*4-核心参数输入!$B$111)/4),0),0)</f>
        <v>0</v>
      </c>
      <c r="CV75" s="9">
        <f>IF(96&lt;=核心参数输入!$B$9*4,IF(96=核心参数输入!$B$9*4,SUMIFS(年度所得税!$D$15:$AH$15,年度所得税!$D$4:$AH$4,"&gt;"&amp;(核心参数输入!$B$9*4-核心参数输入!$B$111)/4),0),0)</f>
        <v>0</v>
      </c>
      <c r="CW75" s="9">
        <f>IF(97&lt;=核心参数输入!$B$9*4,IF(97=核心参数输入!$B$9*4,SUMIFS(年度所得税!$D$15:$AH$15,年度所得税!$D$4:$AH$4,"&gt;"&amp;(核心参数输入!$B$9*4-核心参数输入!$B$111)/4),0),0)</f>
        <v>0</v>
      </c>
      <c r="CX75" s="9">
        <f>IF(98&lt;=核心参数输入!$B$9*4,IF(98=核心参数输入!$B$9*4,SUMIFS(年度所得税!$D$15:$AH$15,年度所得税!$D$4:$AH$4,"&gt;"&amp;(核心参数输入!$B$9*4-核心参数输入!$B$111)/4),0),0)</f>
        <v>0</v>
      </c>
      <c r="CY75" s="9">
        <f>IF(99&lt;=核心参数输入!$B$9*4,IF(99=核心参数输入!$B$9*4,SUMIFS(年度所得税!$D$15:$AH$15,年度所得税!$D$4:$AH$4,"&gt;"&amp;(核心参数输入!$B$9*4-核心参数输入!$B$111)/4),0),0)</f>
        <v>0</v>
      </c>
      <c r="CZ75" s="9">
        <f>IF(100&lt;=核心参数输入!$B$9*4,IF(100=核心参数输入!$B$9*4,SUMIFS(年度所得税!$D$15:$AH$15,年度所得税!$D$4:$AH$4,"&gt;"&amp;(核心参数输入!$B$9*4-核心参数输入!$B$111)/4),0),0)</f>
        <v>0</v>
      </c>
      <c r="DA75" s="9">
        <f>IF(101&lt;=核心参数输入!$B$9*4,IF(101=核心参数输入!$B$9*4,SUMIFS(年度所得税!$D$15:$AH$15,年度所得税!$D$4:$AH$4,"&gt;"&amp;(核心参数输入!$B$9*4-核心参数输入!$B$111)/4),0),0)</f>
        <v>0</v>
      </c>
      <c r="DB75" s="9">
        <f>IF(102&lt;=核心参数输入!$B$9*4,IF(102=核心参数输入!$B$9*4,SUMIFS(年度所得税!$D$15:$AH$15,年度所得税!$D$4:$AH$4,"&gt;"&amp;(核心参数输入!$B$9*4-核心参数输入!$B$111)/4),0),0)</f>
        <v>0</v>
      </c>
      <c r="DC75" s="9">
        <f>IF(103&lt;=核心参数输入!$B$9*4,IF(103=核心参数输入!$B$9*4,SUMIFS(年度所得税!$D$15:$AH$15,年度所得税!$D$4:$AH$4,"&gt;"&amp;(核心参数输入!$B$9*4-核心参数输入!$B$111)/4),0),0)</f>
        <v>0</v>
      </c>
      <c r="DD75" s="9">
        <f>IF(104&lt;=核心参数输入!$B$9*4,IF(104=核心参数输入!$B$9*4,SUMIFS(年度所得税!$D$15:$AH$15,年度所得税!$D$4:$AH$4,"&gt;"&amp;(核心参数输入!$B$9*4-核心参数输入!$B$111)/4),0),0)</f>
        <v>0</v>
      </c>
      <c r="DE75" s="9">
        <f>IF(105&lt;=核心参数输入!$B$9*4,IF(105=核心参数输入!$B$9*4,SUMIFS(年度所得税!$D$15:$AH$15,年度所得税!$D$4:$AH$4,"&gt;"&amp;(核心参数输入!$B$9*4-核心参数输入!$B$111)/4),0),0)</f>
        <v>0</v>
      </c>
      <c r="DF75" s="9">
        <f>IF(106&lt;=核心参数输入!$B$9*4,IF(106=核心参数输入!$B$9*4,SUMIFS(年度所得税!$D$15:$AH$15,年度所得税!$D$4:$AH$4,"&gt;"&amp;(核心参数输入!$B$9*4-核心参数输入!$B$111)/4),0),0)</f>
        <v>0</v>
      </c>
      <c r="DG75" s="9">
        <f>IF(107&lt;=核心参数输入!$B$9*4,IF(107=核心参数输入!$B$9*4,SUMIFS(年度所得税!$D$15:$AH$15,年度所得税!$D$4:$AH$4,"&gt;"&amp;(核心参数输入!$B$9*4-核心参数输入!$B$111)/4),0),0)</f>
        <v>0</v>
      </c>
      <c r="DH75" s="9">
        <f>IF(108&lt;=核心参数输入!$B$9*4,IF(108=核心参数输入!$B$9*4,SUMIFS(年度所得税!$D$15:$AH$15,年度所得税!$D$4:$AH$4,"&gt;"&amp;(核心参数输入!$B$9*4-核心参数输入!$B$111)/4),0),0)</f>
        <v>0</v>
      </c>
      <c r="DI75" s="9">
        <f>IF(109&lt;=核心参数输入!$B$9*4,IF(109=核心参数输入!$B$9*4,SUMIFS(年度所得税!$D$15:$AH$15,年度所得税!$D$4:$AH$4,"&gt;"&amp;(核心参数输入!$B$9*4-核心参数输入!$B$111)/4),0),0)</f>
        <v>0</v>
      </c>
      <c r="DJ75" s="9">
        <f>IF(110&lt;=核心参数输入!$B$9*4,IF(110=核心参数输入!$B$9*4,SUMIFS(年度所得税!$D$15:$AH$15,年度所得税!$D$4:$AH$4,"&gt;"&amp;(核心参数输入!$B$9*4-核心参数输入!$B$111)/4),0),0)</f>
        <v>0</v>
      </c>
      <c r="DK75" s="9">
        <f>IF(111&lt;=核心参数输入!$B$9*4,IF(111=核心参数输入!$B$9*4,SUMIFS(年度所得税!$D$15:$AH$15,年度所得税!$D$4:$AH$4,"&gt;"&amp;(核心参数输入!$B$9*4-核心参数输入!$B$111)/4),0),0)</f>
        <v>0</v>
      </c>
      <c r="DL75" s="9">
        <f>IF(112&lt;=核心参数输入!$B$9*4,IF(112=核心参数输入!$B$9*4,SUMIFS(年度所得税!$D$15:$AH$15,年度所得税!$D$4:$AH$4,"&gt;"&amp;(核心参数输入!$B$9*4-核心参数输入!$B$111)/4),0),0)</f>
        <v>0</v>
      </c>
      <c r="DM75" s="9">
        <f>IF(113&lt;=核心参数输入!$B$9*4,IF(113=核心参数输入!$B$9*4,SUMIFS(年度所得税!$D$15:$AH$15,年度所得税!$D$4:$AH$4,"&gt;"&amp;(核心参数输入!$B$9*4-核心参数输入!$B$111)/4),0),0)</f>
        <v>0</v>
      </c>
      <c r="DN75" s="9">
        <f>IF(114&lt;=核心参数输入!$B$9*4,IF(114=核心参数输入!$B$9*4,SUMIFS(年度所得税!$D$15:$AH$15,年度所得税!$D$4:$AH$4,"&gt;"&amp;(核心参数输入!$B$9*4-核心参数输入!$B$111)/4),0),0)</f>
        <v>0</v>
      </c>
      <c r="DO75" s="9">
        <f>IF(115&lt;=核心参数输入!$B$9*4,IF(115=核心参数输入!$B$9*4,SUMIFS(年度所得税!$D$15:$AH$15,年度所得税!$D$4:$AH$4,"&gt;"&amp;(核心参数输入!$B$9*4-核心参数输入!$B$111)/4),0),0)</f>
        <v>0</v>
      </c>
      <c r="DP75" s="9">
        <f>IF(116&lt;=核心参数输入!$B$9*4,IF(116=核心参数输入!$B$9*4,SUMIFS(年度所得税!$D$15:$AH$15,年度所得税!$D$4:$AH$4,"&gt;"&amp;(核心参数输入!$B$9*4-核心参数输入!$B$111)/4),0),0)</f>
        <v>0</v>
      </c>
      <c r="DQ75" s="9">
        <f>IF(117&lt;=核心参数输入!$B$9*4,IF(117=核心参数输入!$B$9*4,SUMIFS(年度所得税!$D$15:$AH$15,年度所得税!$D$4:$AH$4,"&gt;"&amp;(核心参数输入!$B$9*4-核心参数输入!$B$111)/4),0),0)</f>
        <v>0</v>
      </c>
      <c r="DR75" s="9">
        <f>IF(118&lt;=核心参数输入!$B$9*4,IF(118=核心参数输入!$B$9*4,SUMIFS(年度所得税!$D$15:$AH$15,年度所得税!$D$4:$AH$4,"&gt;"&amp;(核心参数输入!$B$9*4-核心参数输入!$B$111)/4),0),0)</f>
        <v>0</v>
      </c>
      <c r="DS75" s="9">
        <f>IF(119&lt;=核心参数输入!$B$9*4,IF(119=核心参数输入!$B$9*4,SUMIFS(年度所得税!$D$15:$AH$15,年度所得税!$D$4:$AH$4,"&gt;"&amp;(核心参数输入!$B$9*4-核心参数输入!$B$111)/4),0),0)</f>
        <v>0</v>
      </c>
      <c r="DT75" s="9">
        <f>IF(120&lt;=核心参数输入!$B$9*4,IF(120=核心参数输入!$B$9*4,SUMIFS(年度所得税!$D$15:$AH$15,年度所得税!$D$4:$AH$4,"&gt;"&amp;(核心参数输入!$B$9*4-核心参数输入!$B$111)/4),0),0)</f>
        <v>0</v>
      </c>
    </row>
    <row r="76" spans="1:124" ht="21" customHeight="1">
      <c r="A76" s="8" t="s">
        <v>507</v>
      </c>
      <c r="B76" s="8" t="s">
        <v>39</v>
      </c>
      <c r="C76" s="8"/>
      <c r="D76" s="9">
        <f>IF(0&lt;=核心参数输入!$B$9*4,IF(0=核心参数输入!$B$9*4,SUMIFS(年度所得税!$D$90:$AH$90,年度所得税!$D$4:$AH$4,"&gt;"&amp;(核心参数输入!$B$9*4-核心参数输入!$B$111)/4),0),0)</f>
        <v>0</v>
      </c>
      <c r="E76" s="9">
        <f>IF(1&lt;=核心参数输入!$B$9*4,IF(1=核心参数输入!$B$9*4,SUMIFS(年度所得税!$D$90:$AH$90,年度所得税!$D$4:$AH$4,"&gt;"&amp;(核心参数输入!$B$9*4-核心参数输入!$B$111)/4),0),0)</f>
        <v>0</v>
      </c>
      <c r="F76" s="9">
        <f>IF(2&lt;=核心参数输入!$B$9*4,IF(2=核心参数输入!$B$9*4,SUMIFS(年度所得税!$D$90:$AH$90,年度所得税!$D$4:$AH$4,"&gt;"&amp;(核心参数输入!$B$9*4-核心参数输入!$B$111)/4),0),0)</f>
        <v>0</v>
      </c>
      <c r="G76" s="9">
        <f>IF(3&lt;=核心参数输入!$B$9*4,IF(3=核心参数输入!$B$9*4,SUMIFS(年度所得税!$D$90:$AH$90,年度所得税!$D$4:$AH$4,"&gt;"&amp;(核心参数输入!$B$9*4-核心参数输入!$B$111)/4),0),0)</f>
        <v>0</v>
      </c>
      <c r="H76" s="9">
        <f>IF(4&lt;=核心参数输入!$B$9*4,IF(4=核心参数输入!$B$9*4,SUMIFS(年度所得税!$D$90:$AH$90,年度所得税!$D$4:$AH$4,"&gt;"&amp;(核心参数输入!$B$9*4-核心参数输入!$B$111)/4),0),0)</f>
        <v>0</v>
      </c>
      <c r="I76" s="9">
        <f>IF(5&lt;=核心参数输入!$B$9*4,IF(5=核心参数输入!$B$9*4,SUMIFS(年度所得税!$D$90:$AH$90,年度所得税!$D$4:$AH$4,"&gt;"&amp;(核心参数输入!$B$9*4-核心参数输入!$B$111)/4),0),0)</f>
        <v>0</v>
      </c>
      <c r="J76" s="9">
        <f>IF(6&lt;=核心参数输入!$B$9*4,IF(6=核心参数输入!$B$9*4,SUMIFS(年度所得税!$D$90:$AH$90,年度所得税!$D$4:$AH$4,"&gt;"&amp;(核心参数输入!$B$9*4-核心参数输入!$B$111)/4),0),0)</f>
        <v>0</v>
      </c>
      <c r="K76" s="9">
        <f>IF(7&lt;=核心参数输入!$B$9*4,IF(7=核心参数输入!$B$9*4,SUMIFS(年度所得税!$D$90:$AH$90,年度所得税!$D$4:$AH$4,"&gt;"&amp;(核心参数输入!$B$9*4-核心参数输入!$B$111)/4),0),0)</f>
        <v>0</v>
      </c>
      <c r="L76" s="9">
        <f>IF(8&lt;=核心参数输入!$B$9*4,IF(8=核心参数输入!$B$9*4,SUMIFS(年度所得税!$D$90:$AH$90,年度所得税!$D$4:$AH$4,"&gt;"&amp;(核心参数输入!$B$9*4-核心参数输入!$B$111)/4),0),0)</f>
        <v>0</v>
      </c>
      <c r="M76" s="9">
        <f>IF(9&lt;=核心参数输入!$B$9*4,IF(9=核心参数输入!$B$9*4,SUMIFS(年度所得税!$D$90:$AH$90,年度所得税!$D$4:$AH$4,"&gt;"&amp;(核心参数输入!$B$9*4-核心参数输入!$B$111)/4),0),0)</f>
        <v>0</v>
      </c>
      <c r="N76" s="9">
        <f>IF(10&lt;=核心参数输入!$B$9*4,IF(10=核心参数输入!$B$9*4,SUMIFS(年度所得税!$D$90:$AH$90,年度所得税!$D$4:$AH$4,"&gt;"&amp;(核心参数输入!$B$9*4-核心参数输入!$B$111)/4),0),0)</f>
        <v>0</v>
      </c>
      <c r="O76" s="9">
        <f>IF(11&lt;=核心参数输入!$B$9*4,IF(11=核心参数输入!$B$9*4,SUMIFS(年度所得税!$D$90:$AH$90,年度所得税!$D$4:$AH$4,"&gt;"&amp;(核心参数输入!$B$9*4-核心参数输入!$B$111)/4),0),0)</f>
        <v>0</v>
      </c>
      <c r="P76" s="9">
        <f>IF(12&lt;=核心参数输入!$B$9*4,IF(12=核心参数输入!$B$9*4,SUMIFS(年度所得税!$D$90:$AH$90,年度所得税!$D$4:$AH$4,"&gt;"&amp;(核心参数输入!$B$9*4-核心参数输入!$B$111)/4),0),0)</f>
        <v>0</v>
      </c>
      <c r="Q76" s="9">
        <f>IF(13&lt;=核心参数输入!$B$9*4,IF(13=核心参数输入!$B$9*4,SUMIFS(年度所得税!$D$90:$AH$90,年度所得税!$D$4:$AH$4,"&gt;"&amp;(核心参数输入!$B$9*4-核心参数输入!$B$111)/4),0),0)</f>
        <v>0</v>
      </c>
      <c r="R76" s="9">
        <f>IF(14&lt;=核心参数输入!$B$9*4,IF(14=核心参数输入!$B$9*4,SUMIFS(年度所得税!$D$90:$AH$90,年度所得税!$D$4:$AH$4,"&gt;"&amp;(核心参数输入!$B$9*4-核心参数输入!$B$111)/4),0),0)</f>
        <v>0</v>
      </c>
      <c r="S76" s="9">
        <f>IF(15&lt;=核心参数输入!$B$9*4,IF(15=核心参数输入!$B$9*4,SUMIFS(年度所得税!$D$90:$AH$90,年度所得税!$D$4:$AH$4,"&gt;"&amp;(核心参数输入!$B$9*4-核心参数输入!$B$111)/4),0),0)</f>
        <v>0</v>
      </c>
      <c r="T76" s="9">
        <f>IF(16&lt;=核心参数输入!$B$9*4,IF(16=核心参数输入!$B$9*4,SUMIFS(年度所得税!$D$90:$AH$90,年度所得税!$D$4:$AH$4,"&gt;"&amp;(核心参数输入!$B$9*4-核心参数输入!$B$111)/4),0),0)</f>
        <v>0</v>
      </c>
      <c r="U76" s="9">
        <f>IF(17&lt;=核心参数输入!$B$9*4,IF(17=核心参数输入!$B$9*4,SUMIFS(年度所得税!$D$90:$AH$90,年度所得税!$D$4:$AH$4,"&gt;"&amp;(核心参数输入!$B$9*4-核心参数输入!$B$111)/4),0),0)</f>
        <v>0</v>
      </c>
      <c r="V76" s="9">
        <f>IF(18&lt;=核心参数输入!$B$9*4,IF(18=核心参数输入!$B$9*4,SUMIFS(年度所得税!$D$90:$AH$90,年度所得税!$D$4:$AH$4,"&gt;"&amp;(核心参数输入!$B$9*4-核心参数输入!$B$111)/4),0),0)</f>
        <v>0</v>
      </c>
      <c r="W76" s="9">
        <f>IF(19&lt;=核心参数输入!$B$9*4,IF(19=核心参数输入!$B$9*4,SUMIFS(年度所得税!$D$90:$AH$90,年度所得税!$D$4:$AH$4,"&gt;"&amp;(核心参数输入!$B$9*4-核心参数输入!$B$111)/4),0),0)</f>
        <v>0</v>
      </c>
      <c r="X76" s="9">
        <f>IF(20&lt;=核心参数输入!$B$9*4,IF(20=核心参数输入!$B$9*4,SUMIFS(年度所得税!$D$90:$AH$90,年度所得税!$D$4:$AH$4,"&gt;"&amp;(核心参数输入!$B$9*4-核心参数输入!$B$111)/4),0),0)</f>
        <v>0</v>
      </c>
      <c r="Y76" s="9">
        <f>IF(21&lt;=核心参数输入!$B$9*4,IF(21=核心参数输入!$B$9*4,SUMIFS(年度所得税!$D$90:$AH$90,年度所得税!$D$4:$AH$4,"&gt;"&amp;(核心参数输入!$B$9*4-核心参数输入!$B$111)/4),0),0)</f>
        <v>0</v>
      </c>
      <c r="Z76" s="9">
        <f>IF(22&lt;=核心参数输入!$B$9*4,IF(22=核心参数输入!$B$9*4,SUMIFS(年度所得税!$D$90:$AH$90,年度所得税!$D$4:$AH$4,"&gt;"&amp;(核心参数输入!$B$9*4-核心参数输入!$B$111)/4),0),0)</f>
        <v>0</v>
      </c>
      <c r="AA76" s="9">
        <f>IF(23&lt;=核心参数输入!$B$9*4,IF(23=核心参数输入!$B$9*4,SUMIFS(年度所得税!$D$90:$AH$90,年度所得税!$D$4:$AH$4,"&gt;"&amp;(核心参数输入!$B$9*4-核心参数输入!$B$111)/4),0),0)</f>
        <v>0</v>
      </c>
      <c r="AB76" s="9">
        <f>IF(24&lt;=核心参数输入!$B$9*4,IF(24=核心参数输入!$B$9*4,SUMIFS(年度所得税!$D$90:$AH$90,年度所得税!$D$4:$AH$4,"&gt;"&amp;(核心参数输入!$B$9*4-核心参数输入!$B$111)/4),0),0)</f>
        <v>0</v>
      </c>
      <c r="AC76" s="9">
        <f>IF(25&lt;=核心参数输入!$B$9*4,IF(25=核心参数输入!$B$9*4,SUMIFS(年度所得税!$D$90:$AH$90,年度所得税!$D$4:$AH$4,"&gt;"&amp;(核心参数输入!$B$9*4-核心参数输入!$B$111)/4),0),0)</f>
        <v>0</v>
      </c>
      <c r="AD76" s="9">
        <f>IF(26&lt;=核心参数输入!$B$9*4,IF(26=核心参数输入!$B$9*4,SUMIFS(年度所得税!$D$90:$AH$90,年度所得税!$D$4:$AH$4,"&gt;"&amp;(核心参数输入!$B$9*4-核心参数输入!$B$111)/4),0),0)</f>
        <v>0</v>
      </c>
      <c r="AE76" s="9">
        <f>IF(27&lt;=核心参数输入!$B$9*4,IF(27=核心参数输入!$B$9*4,SUMIFS(年度所得税!$D$90:$AH$90,年度所得税!$D$4:$AH$4,"&gt;"&amp;(核心参数输入!$B$9*4-核心参数输入!$B$111)/4),0),0)</f>
        <v>0</v>
      </c>
      <c r="AF76" s="9">
        <f>IF(28&lt;=核心参数输入!$B$9*4,IF(28=核心参数输入!$B$9*4,SUMIFS(年度所得税!$D$90:$AH$90,年度所得税!$D$4:$AH$4,"&gt;"&amp;(核心参数输入!$B$9*4-核心参数输入!$B$111)/4),0),0)</f>
        <v>0</v>
      </c>
      <c r="AG76" s="9">
        <f>IF(29&lt;=核心参数输入!$B$9*4,IF(29=核心参数输入!$B$9*4,SUMIFS(年度所得税!$D$90:$AH$90,年度所得税!$D$4:$AH$4,"&gt;"&amp;(核心参数输入!$B$9*4-核心参数输入!$B$111)/4),0),0)</f>
        <v>0</v>
      </c>
      <c r="AH76" s="9">
        <f>IF(30&lt;=核心参数输入!$B$9*4,IF(30=核心参数输入!$B$9*4,SUMIFS(年度所得税!$D$90:$AH$90,年度所得税!$D$4:$AH$4,"&gt;"&amp;(核心参数输入!$B$9*4-核心参数输入!$B$111)/4),0),0)</f>
        <v>0</v>
      </c>
      <c r="AI76" s="9">
        <f>IF(31&lt;=核心参数输入!$B$9*4,IF(31=核心参数输入!$B$9*4,SUMIFS(年度所得税!$D$90:$AH$90,年度所得税!$D$4:$AH$4,"&gt;"&amp;(核心参数输入!$B$9*4-核心参数输入!$B$111)/4),0),0)</f>
        <v>0</v>
      </c>
      <c r="AJ76" s="9">
        <f>IF(32&lt;=核心参数输入!$B$9*4,IF(32=核心参数输入!$B$9*4,SUMIFS(年度所得税!$D$90:$AH$90,年度所得税!$D$4:$AH$4,"&gt;"&amp;(核心参数输入!$B$9*4-核心参数输入!$B$111)/4),0),0)</f>
        <v>0</v>
      </c>
      <c r="AK76" s="9">
        <f>IF(33&lt;=核心参数输入!$B$9*4,IF(33=核心参数输入!$B$9*4,SUMIFS(年度所得税!$D$90:$AH$90,年度所得税!$D$4:$AH$4,"&gt;"&amp;(核心参数输入!$B$9*4-核心参数输入!$B$111)/4),0),0)</f>
        <v>0</v>
      </c>
      <c r="AL76" s="9">
        <f>IF(34&lt;=核心参数输入!$B$9*4,IF(34=核心参数输入!$B$9*4,SUMIFS(年度所得税!$D$90:$AH$90,年度所得税!$D$4:$AH$4,"&gt;"&amp;(核心参数输入!$B$9*4-核心参数输入!$B$111)/4),0),0)</f>
        <v>0</v>
      </c>
      <c r="AM76" s="9">
        <f>IF(35&lt;=核心参数输入!$B$9*4,IF(35=核心参数输入!$B$9*4,SUMIFS(年度所得税!$D$90:$AH$90,年度所得税!$D$4:$AH$4,"&gt;"&amp;(核心参数输入!$B$9*4-核心参数输入!$B$111)/4),0),0)</f>
        <v>0</v>
      </c>
      <c r="AN76" s="9">
        <f>IF(36&lt;=核心参数输入!$B$9*4,IF(36=核心参数输入!$B$9*4,SUMIFS(年度所得税!$D$90:$AH$90,年度所得税!$D$4:$AH$4,"&gt;"&amp;(核心参数输入!$B$9*4-核心参数输入!$B$111)/4),0),0)</f>
        <v>0</v>
      </c>
      <c r="AO76" s="9">
        <f>IF(37&lt;=核心参数输入!$B$9*4,IF(37=核心参数输入!$B$9*4,SUMIFS(年度所得税!$D$90:$AH$90,年度所得税!$D$4:$AH$4,"&gt;"&amp;(核心参数输入!$B$9*4-核心参数输入!$B$111)/4),0),0)</f>
        <v>0</v>
      </c>
      <c r="AP76" s="9">
        <f>IF(38&lt;=核心参数输入!$B$9*4,IF(38=核心参数输入!$B$9*4,SUMIFS(年度所得税!$D$90:$AH$90,年度所得税!$D$4:$AH$4,"&gt;"&amp;(核心参数输入!$B$9*4-核心参数输入!$B$111)/4),0),0)</f>
        <v>0</v>
      </c>
      <c r="AQ76" s="9">
        <f>IF(39&lt;=核心参数输入!$B$9*4,IF(39=核心参数输入!$B$9*4,SUMIFS(年度所得税!$D$90:$AH$90,年度所得税!$D$4:$AH$4,"&gt;"&amp;(核心参数输入!$B$9*4-核心参数输入!$B$111)/4),0),0)</f>
        <v>0</v>
      </c>
      <c r="AR76" s="9">
        <f>IF(40&lt;=核心参数输入!$B$9*4,IF(40=核心参数输入!$B$9*4,SUMIFS(年度所得税!$D$90:$AH$90,年度所得税!$D$4:$AH$4,"&gt;"&amp;(核心参数输入!$B$9*4-核心参数输入!$B$111)/4),0),0)</f>
        <v>0</v>
      </c>
      <c r="AS76" s="9">
        <f>IF(41&lt;=核心参数输入!$B$9*4,IF(41=核心参数输入!$B$9*4,SUMIFS(年度所得税!$D$90:$AH$90,年度所得税!$D$4:$AH$4,"&gt;"&amp;(核心参数输入!$B$9*4-核心参数输入!$B$111)/4),0),0)</f>
        <v>0</v>
      </c>
      <c r="AT76" s="9">
        <f>IF(42&lt;=核心参数输入!$B$9*4,IF(42=核心参数输入!$B$9*4,SUMIFS(年度所得税!$D$90:$AH$90,年度所得税!$D$4:$AH$4,"&gt;"&amp;(核心参数输入!$B$9*4-核心参数输入!$B$111)/4),0),0)</f>
        <v>0</v>
      </c>
      <c r="AU76" s="9">
        <f>IF(43&lt;=核心参数输入!$B$9*4,IF(43=核心参数输入!$B$9*4,SUMIFS(年度所得税!$D$90:$AH$90,年度所得税!$D$4:$AH$4,"&gt;"&amp;(核心参数输入!$B$9*4-核心参数输入!$B$111)/4),0),0)</f>
        <v>0</v>
      </c>
      <c r="AV76" s="9">
        <f>IF(44&lt;=核心参数输入!$B$9*4,IF(44=核心参数输入!$B$9*4,SUMIFS(年度所得税!$D$90:$AH$90,年度所得税!$D$4:$AH$4,"&gt;"&amp;(核心参数输入!$B$9*4-核心参数输入!$B$111)/4),0),0)</f>
        <v>0</v>
      </c>
      <c r="AW76" s="9">
        <f>IF(45&lt;=核心参数输入!$B$9*4,IF(45=核心参数输入!$B$9*4,SUMIFS(年度所得税!$D$90:$AH$90,年度所得税!$D$4:$AH$4,"&gt;"&amp;(核心参数输入!$B$9*4-核心参数输入!$B$111)/4),0),0)</f>
        <v>0</v>
      </c>
      <c r="AX76" s="9">
        <f>IF(46&lt;=核心参数输入!$B$9*4,IF(46=核心参数输入!$B$9*4,SUMIFS(年度所得税!$D$90:$AH$90,年度所得税!$D$4:$AH$4,"&gt;"&amp;(核心参数输入!$B$9*4-核心参数输入!$B$111)/4),0),0)</f>
        <v>0</v>
      </c>
      <c r="AY76" s="9">
        <f>IF(47&lt;=核心参数输入!$B$9*4,IF(47=核心参数输入!$B$9*4,SUMIFS(年度所得税!$D$90:$AH$90,年度所得税!$D$4:$AH$4,"&gt;"&amp;(核心参数输入!$B$9*4-核心参数输入!$B$111)/4),0),0)</f>
        <v>0</v>
      </c>
      <c r="AZ76" s="9">
        <f>IF(48&lt;=核心参数输入!$B$9*4,IF(48=核心参数输入!$B$9*4,SUMIFS(年度所得税!$D$90:$AH$90,年度所得税!$D$4:$AH$4,"&gt;"&amp;(核心参数输入!$B$9*4-核心参数输入!$B$111)/4),0),0)</f>
        <v>0</v>
      </c>
      <c r="BA76" s="9">
        <f>IF(49&lt;=核心参数输入!$B$9*4,IF(49=核心参数输入!$B$9*4,SUMIFS(年度所得税!$D$90:$AH$90,年度所得税!$D$4:$AH$4,"&gt;"&amp;(核心参数输入!$B$9*4-核心参数输入!$B$111)/4),0),0)</f>
        <v>0</v>
      </c>
      <c r="BB76" s="9">
        <f>IF(50&lt;=核心参数输入!$B$9*4,IF(50=核心参数输入!$B$9*4,SUMIFS(年度所得税!$D$90:$AH$90,年度所得税!$D$4:$AH$4,"&gt;"&amp;(核心参数输入!$B$9*4-核心参数输入!$B$111)/4),0),0)</f>
        <v>0</v>
      </c>
      <c r="BC76" s="9">
        <f>IF(51&lt;=核心参数输入!$B$9*4,IF(51=核心参数输入!$B$9*4,SUMIFS(年度所得税!$D$90:$AH$90,年度所得税!$D$4:$AH$4,"&gt;"&amp;(核心参数输入!$B$9*4-核心参数输入!$B$111)/4),0),0)</f>
        <v>0</v>
      </c>
      <c r="BD76" s="9">
        <f>IF(52&lt;=核心参数输入!$B$9*4,IF(52=核心参数输入!$B$9*4,SUMIFS(年度所得税!$D$90:$AH$90,年度所得税!$D$4:$AH$4,"&gt;"&amp;(核心参数输入!$B$9*4-核心参数输入!$B$111)/4),0),0)</f>
        <v>0</v>
      </c>
      <c r="BE76" s="9">
        <f>IF(53&lt;=核心参数输入!$B$9*4,IF(53=核心参数输入!$B$9*4,SUMIFS(年度所得税!$D$90:$AH$90,年度所得税!$D$4:$AH$4,"&gt;"&amp;(核心参数输入!$B$9*4-核心参数输入!$B$111)/4),0),0)</f>
        <v>0</v>
      </c>
      <c r="BF76" s="9">
        <f>IF(54&lt;=核心参数输入!$B$9*4,IF(54=核心参数输入!$B$9*4,SUMIFS(年度所得税!$D$90:$AH$90,年度所得税!$D$4:$AH$4,"&gt;"&amp;(核心参数输入!$B$9*4-核心参数输入!$B$111)/4),0),0)</f>
        <v>0</v>
      </c>
      <c r="BG76" s="9">
        <f>IF(55&lt;=核心参数输入!$B$9*4,IF(55=核心参数输入!$B$9*4,SUMIFS(年度所得税!$D$90:$AH$90,年度所得税!$D$4:$AH$4,"&gt;"&amp;(核心参数输入!$B$9*4-核心参数输入!$B$111)/4),0),0)</f>
        <v>0</v>
      </c>
      <c r="BH76" s="9">
        <f>IF(56&lt;=核心参数输入!$B$9*4,IF(56=核心参数输入!$B$9*4,SUMIFS(年度所得税!$D$90:$AH$90,年度所得税!$D$4:$AH$4,"&gt;"&amp;(核心参数输入!$B$9*4-核心参数输入!$B$111)/4),0),0)</f>
        <v>0</v>
      </c>
      <c r="BI76" s="9">
        <f>IF(57&lt;=核心参数输入!$B$9*4,IF(57=核心参数输入!$B$9*4,SUMIFS(年度所得税!$D$90:$AH$90,年度所得税!$D$4:$AH$4,"&gt;"&amp;(核心参数输入!$B$9*4-核心参数输入!$B$111)/4),0),0)</f>
        <v>0</v>
      </c>
      <c r="BJ76" s="9">
        <f>IF(58&lt;=核心参数输入!$B$9*4,IF(58=核心参数输入!$B$9*4,SUMIFS(年度所得税!$D$90:$AH$90,年度所得税!$D$4:$AH$4,"&gt;"&amp;(核心参数输入!$B$9*4-核心参数输入!$B$111)/4),0),0)</f>
        <v>0</v>
      </c>
      <c r="BK76" s="9">
        <f>IF(59&lt;=核心参数输入!$B$9*4,IF(59=核心参数输入!$B$9*4,SUMIFS(年度所得税!$D$90:$AH$90,年度所得税!$D$4:$AH$4,"&gt;"&amp;(核心参数输入!$B$9*4-核心参数输入!$B$111)/4),0),0)</f>
        <v>0</v>
      </c>
      <c r="BL76" s="9">
        <f>IF(60&lt;=核心参数输入!$B$9*4,IF(60=核心参数输入!$B$9*4,SUMIFS(年度所得税!$D$90:$AH$90,年度所得税!$D$4:$AH$4,"&gt;"&amp;(核心参数输入!$B$9*4-核心参数输入!$B$111)/4),0),0)</f>
        <v>0</v>
      </c>
      <c r="BM76" s="9">
        <f>IF(61&lt;=核心参数输入!$B$9*4,IF(61=核心参数输入!$B$9*4,SUMIFS(年度所得税!$D$90:$AH$90,年度所得税!$D$4:$AH$4,"&gt;"&amp;(核心参数输入!$B$9*4-核心参数输入!$B$111)/4),0),0)</f>
        <v>0</v>
      </c>
      <c r="BN76" s="9">
        <f>IF(62&lt;=核心参数输入!$B$9*4,IF(62=核心参数输入!$B$9*4,SUMIFS(年度所得税!$D$90:$AH$90,年度所得税!$D$4:$AH$4,"&gt;"&amp;(核心参数输入!$B$9*4-核心参数输入!$B$111)/4),0),0)</f>
        <v>0</v>
      </c>
      <c r="BO76" s="9">
        <f>IF(63&lt;=核心参数输入!$B$9*4,IF(63=核心参数输入!$B$9*4,SUMIFS(年度所得税!$D$90:$AH$90,年度所得税!$D$4:$AH$4,"&gt;"&amp;(核心参数输入!$B$9*4-核心参数输入!$B$111)/4),0),0)</f>
        <v>0</v>
      </c>
      <c r="BP76" s="9">
        <f>IF(64&lt;=核心参数输入!$B$9*4,IF(64=核心参数输入!$B$9*4,SUMIFS(年度所得税!$D$90:$AH$90,年度所得税!$D$4:$AH$4,"&gt;"&amp;(核心参数输入!$B$9*4-核心参数输入!$B$111)/4),0),0)</f>
        <v>0</v>
      </c>
      <c r="BQ76" s="9">
        <f>IF(65&lt;=核心参数输入!$B$9*4,IF(65=核心参数输入!$B$9*4,SUMIFS(年度所得税!$D$90:$AH$90,年度所得税!$D$4:$AH$4,"&gt;"&amp;(核心参数输入!$B$9*4-核心参数输入!$B$111)/4),0),0)</f>
        <v>0</v>
      </c>
      <c r="BR76" s="9">
        <f>IF(66&lt;=核心参数输入!$B$9*4,IF(66=核心参数输入!$B$9*4,SUMIFS(年度所得税!$D$90:$AH$90,年度所得税!$D$4:$AH$4,"&gt;"&amp;(核心参数输入!$B$9*4-核心参数输入!$B$111)/4),0),0)</f>
        <v>0</v>
      </c>
      <c r="BS76" s="9">
        <f>IF(67&lt;=核心参数输入!$B$9*4,IF(67=核心参数输入!$B$9*4,SUMIFS(年度所得税!$D$90:$AH$90,年度所得税!$D$4:$AH$4,"&gt;"&amp;(核心参数输入!$B$9*4-核心参数输入!$B$111)/4),0),0)</f>
        <v>0</v>
      </c>
      <c r="BT76" s="9">
        <f>IF(68&lt;=核心参数输入!$B$9*4,IF(68=核心参数输入!$B$9*4,SUMIFS(年度所得税!$D$90:$AH$90,年度所得税!$D$4:$AH$4,"&gt;"&amp;(核心参数输入!$B$9*4-核心参数输入!$B$111)/4),0),0)</f>
        <v>0</v>
      </c>
      <c r="BU76" s="9">
        <f>IF(69&lt;=核心参数输入!$B$9*4,IF(69=核心参数输入!$B$9*4,SUMIFS(年度所得税!$D$90:$AH$90,年度所得税!$D$4:$AH$4,"&gt;"&amp;(核心参数输入!$B$9*4-核心参数输入!$B$111)/4),0),0)</f>
        <v>0</v>
      </c>
      <c r="BV76" s="9">
        <f>IF(70&lt;=核心参数输入!$B$9*4,IF(70=核心参数输入!$B$9*4,SUMIFS(年度所得税!$D$90:$AH$90,年度所得税!$D$4:$AH$4,"&gt;"&amp;(核心参数输入!$B$9*4-核心参数输入!$B$111)/4),0),0)</f>
        <v>0</v>
      </c>
      <c r="BW76" s="9">
        <f>IF(71&lt;=核心参数输入!$B$9*4,IF(71=核心参数输入!$B$9*4,SUMIFS(年度所得税!$D$90:$AH$90,年度所得税!$D$4:$AH$4,"&gt;"&amp;(核心参数输入!$B$9*4-核心参数输入!$B$111)/4),0),0)</f>
        <v>0</v>
      </c>
      <c r="BX76" s="9">
        <f>IF(72&lt;=核心参数输入!$B$9*4,IF(72=核心参数输入!$B$9*4,SUMIFS(年度所得税!$D$90:$AH$90,年度所得税!$D$4:$AH$4,"&gt;"&amp;(核心参数输入!$B$9*4-核心参数输入!$B$111)/4),0),0)</f>
        <v>0</v>
      </c>
      <c r="BY76" s="9">
        <f>IF(73&lt;=核心参数输入!$B$9*4,IF(73=核心参数输入!$B$9*4,SUMIFS(年度所得税!$D$90:$AH$90,年度所得税!$D$4:$AH$4,"&gt;"&amp;(核心参数输入!$B$9*4-核心参数输入!$B$111)/4),0),0)</f>
        <v>0</v>
      </c>
      <c r="BZ76" s="9">
        <f>IF(74&lt;=核心参数输入!$B$9*4,IF(74=核心参数输入!$B$9*4,SUMIFS(年度所得税!$D$90:$AH$90,年度所得税!$D$4:$AH$4,"&gt;"&amp;(核心参数输入!$B$9*4-核心参数输入!$B$111)/4),0),0)</f>
        <v>0</v>
      </c>
      <c r="CA76" s="9">
        <f>IF(75&lt;=核心参数输入!$B$9*4,IF(75=核心参数输入!$B$9*4,SUMIFS(年度所得税!$D$90:$AH$90,年度所得税!$D$4:$AH$4,"&gt;"&amp;(核心参数输入!$B$9*4-核心参数输入!$B$111)/4),0),0)</f>
        <v>0</v>
      </c>
      <c r="CB76" s="9">
        <f>IF(76&lt;=核心参数输入!$B$9*4,IF(76=核心参数输入!$B$9*4,SUMIFS(年度所得税!$D$90:$AH$90,年度所得税!$D$4:$AH$4,"&gt;"&amp;(核心参数输入!$B$9*4-核心参数输入!$B$111)/4),0),0)</f>
        <v>0</v>
      </c>
      <c r="CC76" s="9">
        <f>IF(77&lt;=核心参数输入!$B$9*4,IF(77=核心参数输入!$B$9*4,SUMIFS(年度所得税!$D$90:$AH$90,年度所得税!$D$4:$AH$4,"&gt;"&amp;(核心参数输入!$B$9*4-核心参数输入!$B$111)/4),0),0)</f>
        <v>0</v>
      </c>
      <c r="CD76" s="9">
        <f>IF(78&lt;=核心参数输入!$B$9*4,IF(78=核心参数输入!$B$9*4,SUMIFS(年度所得税!$D$90:$AH$90,年度所得税!$D$4:$AH$4,"&gt;"&amp;(核心参数输入!$B$9*4-核心参数输入!$B$111)/4),0),0)</f>
        <v>0</v>
      </c>
      <c r="CE76" s="9">
        <f>IF(79&lt;=核心参数输入!$B$9*4,IF(79=核心参数输入!$B$9*4,SUMIFS(年度所得税!$D$90:$AH$90,年度所得税!$D$4:$AH$4,"&gt;"&amp;(核心参数输入!$B$9*4-核心参数输入!$B$111)/4),0),0)</f>
        <v>0</v>
      </c>
      <c r="CF76" s="9">
        <f>IF(80&lt;=核心参数输入!$B$9*4,IF(80=核心参数输入!$B$9*4,SUMIFS(年度所得税!$D$90:$AH$90,年度所得税!$D$4:$AH$4,"&gt;"&amp;(核心参数输入!$B$9*4-核心参数输入!$B$111)/4),0),0)</f>
        <v>0</v>
      </c>
      <c r="CG76" s="9">
        <f>IF(81&lt;=核心参数输入!$B$9*4,IF(81=核心参数输入!$B$9*4,SUMIFS(年度所得税!$D$90:$AH$90,年度所得税!$D$4:$AH$4,"&gt;"&amp;(核心参数输入!$B$9*4-核心参数输入!$B$111)/4),0),0)</f>
        <v>0</v>
      </c>
      <c r="CH76" s="9">
        <f>IF(82&lt;=核心参数输入!$B$9*4,IF(82=核心参数输入!$B$9*4,SUMIFS(年度所得税!$D$90:$AH$90,年度所得税!$D$4:$AH$4,"&gt;"&amp;(核心参数输入!$B$9*4-核心参数输入!$B$111)/4),0),0)</f>
        <v>0</v>
      </c>
      <c r="CI76" s="9">
        <f>IF(83&lt;=核心参数输入!$B$9*4,IF(83=核心参数输入!$B$9*4,SUMIFS(年度所得税!$D$90:$AH$90,年度所得税!$D$4:$AH$4,"&gt;"&amp;(核心参数输入!$B$9*4-核心参数输入!$B$111)/4),0),0)</f>
        <v>0</v>
      </c>
      <c r="CJ76" s="9">
        <f>IF(84&lt;=核心参数输入!$B$9*4,IF(84=核心参数输入!$B$9*4,SUMIFS(年度所得税!$D$90:$AH$90,年度所得税!$D$4:$AH$4,"&gt;"&amp;(核心参数输入!$B$9*4-核心参数输入!$B$111)/4),0),0)</f>
        <v>0</v>
      </c>
      <c r="CK76" s="9">
        <f>IF(85&lt;=核心参数输入!$B$9*4,IF(85=核心参数输入!$B$9*4,SUMIFS(年度所得税!$D$90:$AH$90,年度所得税!$D$4:$AH$4,"&gt;"&amp;(核心参数输入!$B$9*4-核心参数输入!$B$111)/4),0),0)</f>
        <v>0</v>
      </c>
      <c r="CL76" s="9">
        <f>IF(86&lt;=核心参数输入!$B$9*4,IF(86=核心参数输入!$B$9*4,SUMIFS(年度所得税!$D$90:$AH$90,年度所得税!$D$4:$AH$4,"&gt;"&amp;(核心参数输入!$B$9*4-核心参数输入!$B$111)/4),0),0)</f>
        <v>0</v>
      </c>
      <c r="CM76" s="9">
        <f>IF(87&lt;=核心参数输入!$B$9*4,IF(87=核心参数输入!$B$9*4,SUMIFS(年度所得税!$D$90:$AH$90,年度所得税!$D$4:$AH$4,"&gt;"&amp;(核心参数输入!$B$9*4-核心参数输入!$B$111)/4),0),0)</f>
        <v>0</v>
      </c>
      <c r="CN76" s="9">
        <f>IF(88&lt;=核心参数输入!$B$9*4,IF(88=核心参数输入!$B$9*4,SUMIFS(年度所得税!$D$90:$AH$90,年度所得税!$D$4:$AH$4,"&gt;"&amp;(核心参数输入!$B$9*4-核心参数输入!$B$111)/4),0),0)</f>
        <v>0</v>
      </c>
      <c r="CO76" s="9">
        <f>IF(89&lt;=核心参数输入!$B$9*4,IF(89=核心参数输入!$B$9*4,SUMIFS(年度所得税!$D$90:$AH$90,年度所得税!$D$4:$AH$4,"&gt;"&amp;(核心参数输入!$B$9*4-核心参数输入!$B$111)/4),0),0)</f>
        <v>0</v>
      </c>
      <c r="CP76" s="9">
        <f>IF(90&lt;=核心参数输入!$B$9*4,IF(90=核心参数输入!$B$9*4,SUMIFS(年度所得税!$D$90:$AH$90,年度所得税!$D$4:$AH$4,"&gt;"&amp;(核心参数输入!$B$9*4-核心参数输入!$B$111)/4),0),0)</f>
        <v>0</v>
      </c>
      <c r="CQ76" s="9">
        <f>IF(91&lt;=核心参数输入!$B$9*4,IF(91=核心参数输入!$B$9*4,SUMIFS(年度所得税!$D$90:$AH$90,年度所得税!$D$4:$AH$4,"&gt;"&amp;(核心参数输入!$B$9*4-核心参数输入!$B$111)/4),0),0)</f>
        <v>0</v>
      </c>
      <c r="CR76" s="9">
        <f>IF(92&lt;=核心参数输入!$B$9*4,IF(92=核心参数输入!$B$9*4,SUMIFS(年度所得税!$D$90:$AH$90,年度所得税!$D$4:$AH$4,"&gt;"&amp;(核心参数输入!$B$9*4-核心参数输入!$B$111)/4),0),0)</f>
        <v>0</v>
      </c>
      <c r="CS76" s="9">
        <f>IF(93&lt;=核心参数输入!$B$9*4,IF(93=核心参数输入!$B$9*4,SUMIFS(年度所得税!$D$90:$AH$90,年度所得税!$D$4:$AH$4,"&gt;"&amp;(核心参数输入!$B$9*4-核心参数输入!$B$111)/4),0),0)</f>
        <v>0</v>
      </c>
      <c r="CT76" s="9">
        <f>IF(94&lt;=核心参数输入!$B$9*4,IF(94=核心参数输入!$B$9*4,SUMIFS(年度所得税!$D$90:$AH$90,年度所得税!$D$4:$AH$4,"&gt;"&amp;(核心参数输入!$B$9*4-核心参数输入!$B$111)/4),0),0)</f>
        <v>0</v>
      </c>
      <c r="CU76" s="9">
        <f>IF(95&lt;=核心参数输入!$B$9*4,IF(95=核心参数输入!$B$9*4,SUMIFS(年度所得税!$D$90:$AH$90,年度所得税!$D$4:$AH$4,"&gt;"&amp;(核心参数输入!$B$9*4-核心参数输入!$B$111)/4),0),0)</f>
        <v>0</v>
      </c>
      <c r="CV76" s="9">
        <f>IF(96&lt;=核心参数输入!$B$9*4,IF(96=核心参数输入!$B$9*4,SUMIFS(年度所得税!$D$90:$AH$90,年度所得税!$D$4:$AH$4,"&gt;"&amp;(核心参数输入!$B$9*4-核心参数输入!$B$111)/4),0),0)</f>
        <v>0</v>
      </c>
      <c r="CW76" s="9">
        <f>IF(97&lt;=核心参数输入!$B$9*4,IF(97=核心参数输入!$B$9*4,SUMIFS(年度所得税!$D$90:$AH$90,年度所得税!$D$4:$AH$4,"&gt;"&amp;(核心参数输入!$B$9*4-核心参数输入!$B$111)/4),0),0)</f>
        <v>0</v>
      </c>
      <c r="CX76" s="9">
        <f>IF(98&lt;=核心参数输入!$B$9*4,IF(98=核心参数输入!$B$9*4,SUMIFS(年度所得税!$D$90:$AH$90,年度所得税!$D$4:$AH$4,"&gt;"&amp;(核心参数输入!$B$9*4-核心参数输入!$B$111)/4),0),0)</f>
        <v>0</v>
      </c>
      <c r="CY76" s="9">
        <f>IF(99&lt;=核心参数输入!$B$9*4,IF(99=核心参数输入!$B$9*4,SUMIFS(年度所得税!$D$90:$AH$90,年度所得税!$D$4:$AH$4,"&gt;"&amp;(核心参数输入!$B$9*4-核心参数输入!$B$111)/4),0),0)</f>
        <v>0</v>
      </c>
      <c r="CZ76" s="9">
        <f>IF(100&lt;=核心参数输入!$B$9*4,IF(100=核心参数输入!$B$9*4,SUMIFS(年度所得税!$D$90:$AH$90,年度所得税!$D$4:$AH$4,"&gt;"&amp;(核心参数输入!$B$9*4-核心参数输入!$B$111)/4),0),0)</f>
        <v>0</v>
      </c>
      <c r="DA76" s="9">
        <f>IF(101&lt;=核心参数输入!$B$9*4,IF(101=核心参数输入!$B$9*4,SUMIFS(年度所得税!$D$90:$AH$90,年度所得税!$D$4:$AH$4,"&gt;"&amp;(核心参数输入!$B$9*4-核心参数输入!$B$111)/4),0),0)</f>
        <v>0</v>
      </c>
      <c r="DB76" s="9">
        <f>IF(102&lt;=核心参数输入!$B$9*4,IF(102=核心参数输入!$B$9*4,SUMIFS(年度所得税!$D$90:$AH$90,年度所得税!$D$4:$AH$4,"&gt;"&amp;(核心参数输入!$B$9*4-核心参数输入!$B$111)/4),0),0)</f>
        <v>0</v>
      </c>
      <c r="DC76" s="9">
        <f>IF(103&lt;=核心参数输入!$B$9*4,IF(103=核心参数输入!$B$9*4,SUMIFS(年度所得税!$D$90:$AH$90,年度所得税!$D$4:$AH$4,"&gt;"&amp;(核心参数输入!$B$9*4-核心参数输入!$B$111)/4),0),0)</f>
        <v>0</v>
      </c>
      <c r="DD76" s="9">
        <f>IF(104&lt;=核心参数输入!$B$9*4,IF(104=核心参数输入!$B$9*4,SUMIFS(年度所得税!$D$90:$AH$90,年度所得税!$D$4:$AH$4,"&gt;"&amp;(核心参数输入!$B$9*4-核心参数输入!$B$111)/4),0),0)</f>
        <v>0</v>
      </c>
      <c r="DE76" s="9">
        <f>IF(105&lt;=核心参数输入!$B$9*4,IF(105=核心参数输入!$B$9*4,SUMIFS(年度所得税!$D$90:$AH$90,年度所得税!$D$4:$AH$4,"&gt;"&amp;(核心参数输入!$B$9*4-核心参数输入!$B$111)/4),0),0)</f>
        <v>0</v>
      </c>
      <c r="DF76" s="9">
        <f>IF(106&lt;=核心参数输入!$B$9*4,IF(106=核心参数输入!$B$9*4,SUMIFS(年度所得税!$D$90:$AH$90,年度所得税!$D$4:$AH$4,"&gt;"&amp;(核心参数输入!$B$9*4-核心参数输入!$B$111)/4),0),0)</f>
        <v>0</v>
      </c>
      <c r="DG76" s="9">
        <f>IF(107&lt;=核心参数输入!$B$9*4,IF(107=核心参数输入!$B$9*4,SUMIFS(年度所得税!$D$90:$AH$90,年度所得税!$D$4:$AH$4,"&gt;"&amp;(核心参数输入!$B$9*4-核心参数输入!$B$111)/4),0),0)</f>
        <v>0</v>
      </c>
      <c r="DH76" s="9">
        <f>IF(108&lt;=核心参数输入!$B$9*4,IF(108=核心参数输入!$B$9*4,SUMIFS(年度所得税!$D$90:$AH$90,年度所得税!$D$4:$AH$4,"&gt;"&amp;(核心参数输入!$B$9*4-核心参数输入!$B$111)/4),0),0)</f>
        <v>0</v>
      </c>
      <c r="DI76" s="9">
        <f>IF(109&lt;=核心参数输入!$B$9*4,IF(109=核心参数输入!$B$9*4,SUMIFS(年度所得税!$D$90:$AH$90,年度所得税!$D$4:$AH$4,"&gt;"&amp;(核心参数输入!$B$9*4-核心参数输入!$B$111)/4),0),0)</f>
        <v>0</v>
      </c>
      <c r="DJ76" s="9">
        <f>IF(110&lt;=核心参数输入!$B$9*4,IF(110=核心参数输入!$B$9*4,SUMIFS(年度所得税!$D$90:$AH$90,年度所得税!$D$4:$AH$4,"&gt;"&amp;(核心参数输入!$B$9*4-核心参数输入!$B$111)/4),0),0)</f>
        <v>0</v>
      </c>
      <c r="DK76" s="9">
        <f>IF(111&lt;=核心参数输入!$B$9*4,IF(111=核心参数输入!$B$9*4,SUMIFS(年度所得税!$D$90:$AH$90,年度所得税!$D$4:$AH$4,"&gt;"&amp;(核心参数输入!$B$9*4-核心参数输入!$B$111)/4),0),0)</f>
        <v>0</v>
      </c>
      <c r="DL76" s="9">
        <f>IF(112&lt;=核心参数输入!$B$9*4,IF(112=核心参数输入!$B$9*4,SUMIFS(年度所得税!$D$90:$AH$90,年度所得税!$D$4:$AH$4,"&gt;"&amp;(核心参数输入!$B$9*4-核心参数输入!$B$111)/4),0),0)</f>
        <v>0</v>
      </c>
      <c r="DM76" s="9">
        <f>IF(113&lt;=核心参数输入!$B$9*4,IF(113=核心参数输入!$B$9*4,SUMIFS(年度所得税!$D$90:$AH$90,年度所得税!$D$4:$AH$4,"&gt;"&amp;(核心参数输入!$B$9*4-核心参数输入!$B$111)/4),0),0)</f>
        <v>0</v>
      </c>
      <c r="DN76" s="9">
        <f>IF(114&lt;=核心参数输入!$B$9*4,IF(114=核心参数输入!$B$9*4,SUMIFS(年度所得税!$D$90:$AH$90,年度所得税!$D$4:$AH$4,"&gt;"&amp;(核心参数输入!$B$9*4-核心参数输入!$B$111)/4),0),0)</f>
        <v>0</v>
      </c>
      <c r="DO76" s="9">
        <f>IF(115&lt;=核心参数输入!$B$9*4,IF(115=核心参数输入!$B$9*4,SUMIFS(年度所得税!$D$90:$AH$90,年度所得税!$D$4:$AH$4,"&gt;"&amp;(核心参数输入!$B$9*4-核心参数输入!$B$111)/4),0),0)</f>
        <v>0</v>
      </c>
      <c r="DP76" s="9">
        <f>IF(116&lt;=核心参数输入!$B$9*4,IF(116=核心参数输入!$B$9*4,SUMIFS(年度所得税!$D$90:$AH$90,年度所得税!$D$4:$AH$4,"&gt;"&amp;(核心参数输入!$B$9*4-核心参数输入!$B$111)/4),0),0)</f>
        <v>0</v>
      </c>
      <c r="DQ76" s="9">
        <f>IF(117&lt;=核心参数输入!$B$9*4,IF(117=核心参数输入!$B$9*4,SUMIFS(年度所得税!$D$90:$AH$90,年度所得税!$D$4:$AH$4,"&gt;"&amp;(核心参数输入!$B$9*4-核心参数输入!$B$111)/4),0),0)</f>
        <v>0</v>
      </c>
      <c r="DR76" s="9">
        <f>IF(118&lt;=核心参数输入!$B$9*4,IF(118=核心参数输入!$B$9*4,SUMIFS(年度所得税!$D$90:$AH$90,年度所得税!$D$4:$AH$4,"&gt;"&amp;(核心参数输入!$B$9*4-核心参数输入!$B$111)/4),0),0)</f>
        <v>0</v>
      </c>
      <c r="DS76" s="9">
        <f>IF(119&lt;=核心参数输入!$B$9*4,IF(119=核心参数输入!$B$9*4,SUMIFS(年度所得税!$D$90:$AH$90,年度所得税!$D$4:$AH$4,"&gt;"&amp;(核心参数输入!$B$9*4-核心参数输入!$B$111)/4),0),0)</f>
        <v>0</v>
      </c>
      <c r="DT76" s="9">
        <f>IF(120&lt;=核心参数输入!$B$9*4,IF(120=核心参数输入!$B$9*4,SUMIFS(年度所得税!$D$90:$AH$90,年度所得税!$D$4:$AH$4,"&gt;"&amp;(核心参数输入!$B$9*4-核心参数输入!$B$111)/4),0),0)</f>
        <v>0</v>
      </c>
    </row>
    <row r="77" spans="1:124" ht="21" customHeight="1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</row>
    <row r="78" spans="1:124" ht="21" customHeight="1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</row>
    <row r="79" spans="1:124" ht="21" customHeight="1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</row>
    <row r="80" spans="1:124" ht="21" customHeight="1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</row>
    <row r="81" spans="1:124" ht="21" customHeight="1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</row>
    <row r="82" spans="1:124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</row>
    <row r="83" spans="1:124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</row>
    <row r="84" spans="1:124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</row>
    <row r="85" spans="1:124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</row>
    <row r="86" spans="1:124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</row>
    <row r="87" spans="1:124" ht="21" customHeigh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</row>
    <row r="88" spans="1:124" ht="21" customHeight="1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</row>
    <row r="89" spans="1:124" ht="21" customHeight="1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</row>
    <row r="90" spans="1:124" ht="21" customHeight="1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</row>
    <row r="91" spans="1:124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</row>
    <row r="92" spans="1:124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</row>
    <row r="93" spans="1:124" ht="21" customHeight="1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</row>
    <row r="94" spans="1:124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</row>
    <row r="95" spans="1:124" ht="21" customHeight="1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</row>
    <row r="96" spans="1:124" ht="21" customHeight="1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</row>
    <row r="97" spans="1:124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</row>
    <row r="98" spans="1:124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</row>
    <row r="99" spans="1:124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</row>
    <row r="100" spans="1:124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</row>
    <row r="101" spans="1:124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</row>
    <row r="102" spans="1:124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</row>
    <row r="103" spans="1:124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</row>
    <row r="104" spans="1:124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</row>
    <row r="105" spans="1:124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</row>
    <row r="106" spans="1:124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</row>
    <row r="107" spans="1:124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</row>
    <row r="108" spans="1:124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</row>
    <row r="109" spans="1:124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</row>
    <row r="110" spans="1:124" ht="21" customHeight="1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</row>
    <row r="111" spans="1:124" ht="21" customHeight="1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</row>
    <row r="112" spans="1:124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</row>
    <row r="113" spans="1:124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</row>
    <row r="114" spans="1:124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</row>
    <row r="115" spans="1:124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</row>
    <row r="116" spans="1:124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</row>
    <row r="117" spans="1:124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</row>
    <row r="118" spans="1:124" ht="24" customHeight="1">
      <c r="A118" s="23" t="s">
        <v>508</v>
      </c>
      <c r="B118" s="23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</row>
    <row r="119" spans="1:124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</row>
    <row r="120" spans="1:124" ht="21" customHeight="1">
      <c r="A120" s="8" t="s">
        <v>447</v>
      </c>
      <c r="B120" s="8" t="s">
        <v>39</v>
      </c>
      <c r="C120" s="8"/>
      <c r="D120" s="9">
        <f>IF(0&lt;=核心参数输入!$B$9*4,(核心参数输入!$B$10*核心参数输入!$B$11*核心参数输入!$B$12*核心参数输入!$B$142)*季度计划!D125,0)</f>
        <v>0</v>
      </c>
      <c r="E120" s="9">
        <f>IF(1&lt;=核心参数输入!$B$9*4,(核心参数输入!$B$10*核心参数输入!$B$11*核心参数输入!$B$12*核心参数输入!$B$142)*季度计划!E125,0)</f>
        <v>0</v>
      </c>
      <c r="F120" s="9">
        <f>IF(2&lt;=核心参数输入!$B$9*4,(核心参数输入!$B$10*核心参数输入!$B$11*核心参数输入!$B$12*核心参数输入!$B$142)*季度计划!F125,0)</f>
        <v>0</v>
      </c>
      <c r="G120" s="9">
        <f>IF(3&lt;=核心参数输入!$B$9*4,(核心参数输入!$B$10*核心参数输入!$B$11*核心参数输入!$B$12*核心参数输入!$B$142)*季度计划!G125,0)</f>
        <v>0</v>
      </c>
      <c r="H120" s="9">
        <f>IF(4&lt;=核心参数输入!$B$9*4,(核心参数输入!$B$10*核心参数输入!$B$11*核心参数输入!$B$12*核心参数输入!$B$142)*季度计划!H125,0)</f>
        <v>0</v>
      </c>
      <c r="I120" s="9">
        <f>IF(5&lt;=核心参数输入!$B$9*4,(核心参数输入!$B$10*核心参数输入!$B$11*核心参数输入!$B$12*核心参数输入!$B$142)*季度计划!I125,0)</f>
        <v>0</v>
      </c>
      <c r="J120" s="9">
        <f>IF(6&lt;=核心参数输入!$B$9*4,(核心参数输入!$B$10*核心参数输入!$B$11*核心参数输入!$B$12*核心参数输入!$B$142)*季度计划!J125,0)</f>
        <v>0</v>
      </c>
      <c r="K120" s="9">
        <f>IF(7&lt;=核心参数输入!$B$9*4,(核心参数输入!$B$10*核心参数输入!$B$11*核心参数输入!$B$12*核心参数输入!$B$142)*季度计划!K125,0)</f>
        <v>0</v>
      </c>
      <c r="L120" s="9">
        <f>IF(8&lt;=核心参数输入!$B$9*4,(核心参数输入!$B$10*核心参数输入!$B$11*核心参数输入!$B$12*核心参数输入!$B$142)*季度计划!L125,0)</f>
        <v>0</v>
      </c>
      <c r="M120" s="9">
        <f>IF(9&lt;=核心参数输入!$B$9*4,(核心参数输入!$B$10*核心参数输入!$B$11*核心参数输入!$B$12*核心参数输入!$B$142)*季度计划!M125,0)</f>
        <v>0</v>
      </c>
      <c r="N120" s="9">
        <f>IF(10&lt;=核心参数输入!$B$9*4,(核心参数输入!$B$10*核心参数输入!$B$11*核心参数输入!$B$12*核心参数输入!$B$142)*季度计划!N125,0)</f>
        <v>0</v>
      </c>
      <c r="O120" s="9">
        <f>IF(11&lt;=核心参数输入!$B$9*4,(核心参数输入!$B$10*核心参数输入!$B$11*核心参数输入!$B$12*核心参数输入!$B$142)*季度计划!O125,0)</f>
        <v>0</v>
      </c>
      <c r="P120" s="9">
        <f>IF(12&lt;=核心参数输入!$B$9*4,(核心参数输入!$B$10*核心参数输入!$B$11*核心参数输入!$B$12*核心参数输入!$B$142)*季度计划!P125,0)</f>
        <v>0</v>
      </c>
      <c r="Q120" s="9">
        <f>IF(13&lt;=核心参数输入!$B$9*4,(核心参数输入!$B$10*核心参数输入!$B$11*核心参数输入!$B$12*核心参数输入!$B$142)*季度计划!Q125,0)</f>
        <v>5568.75</v>
      </c>
      <c r="R120" s="9">
        <f>IF(14&lt;=核心参数输入!$B$9*4,(核心参数输入!$B$10*核心参数输入!$B$11*核心参数输入!$B$12*核心参数输入!$B$142)*季度计划!R125,0)</f>
        <v>5568.75</v>
      </c>
      <c r="S120" s="9">
        <f>IF(15&lt;=核心参数输入!$B$9*4,(核心参数输入!$B$10*核心参数输入!$B$11*核心参数输入!$B$12*核心参数输入!$B$142)*季度计划!S125,0)</f>
        <v>5568.75</v>
      </c>
      <c r="T120" s="9">
        <f>IF(16&lt;=核心参数输入!$B$9*4,(核心参数输入!$B$10*核心参数输入!$B$11*核心参数输入!$B$12*核心参数输入!$B$142)*季度计划!T125,0)</f>
        <v>5568.75</v>
      </c>
      <c r="U120" s="9">
        <f>IF(17&lt;=核心参数输入!$B$9*4,(核心参数输入!$B$10*核心参数输入!$B$11*核心参数输入!$B$12*核心参数输入!$B$142)*季度计划!U125,0)</f>
        <v>7425</v>
      </c>
      <c r="V120" s="9">
        <f>IF(18&lt;=核心参数输入!$B$9*4,(核心参数输入!$B$10*核心参数输入!$B$11*核心参数输入!$B$12*核心参数输入!$B$142)*季度计划!V125,0)</f>
        <v>7425</v>
      </c>
      <c r="W120" s="9">
        <f>IF(19&lt;=核心参数输入!$B$9*4,(核心参数输入!$B$10*核心参数输入!$B$11*核心参数输入!$B$12*核心参数输入!$B$142)*季度计划!W125,0)</f>
        <v>7425</v>
      </c>
      <c r="X120" s="9">
        <f>IF(20&lt;=核心参数输入!$B$9*4,(核心参数输入!$B$10*核心参数输入!$B$11*核心参数输入!$B$12*核心参数输入!$B$142)*季度计划!X125,0)</f>
        <v>7425</v>
      </c>
      <c r="Y120" s="9">
        <f>IF(21&lt;=核心参数输入!$B$9*4,(核心参数输入!$B$10*核心参数输入!$B$11*核心参数输入!$B$12*核心参数输入!$B$142)*季度计划!Y125,0)</f>
        <v>5568.75</v>
      </c>
      <c r="Z120" s="9">
        <f>IF(22&lt;=核心参数输入!$B$9*4,(核心参数输入!$B$10*核心参数输入!$B$11*核心参数输入!$B$12*核心参数输入!$B$142)*季度计划!Z125,0)</f>
        <v>5568.75</v>
      </c>
      <c r="AA120" s="9">
        <f>IF(23&lt;=核心参数输入!$B$9*4,(核心参数输入!$B$10*核心参数输入!$B$11*核心参数输入!$B$12*核心参数输入!$B$142)*季度计划!AA125,0)</f>
        <v>5568.75</v>
      </c>
      <c r="AB120" s="9">
        <f>IF(24&lt;=核心参数输入!$B$9*4,(核心参数输入!$B$10*核心参数输入!$B$11*核心参数输入!$B$12*核心参数输入!$B$142)*季度计划!AB125,0)</f>
        <v>5568.75</v>
      </c>
      <c r="AC120" s="9">
        <f>IF(25&lt;=核心参数输入!$B$9*4,(核心参数输入!$B$10*核心参数输入!$B$11*核心参数输入!$B$12*核心参数输入!$B$142)*季度计划!AC125,0)</f>
        <v>0</v>
      </c>
      <c r="AD120" s="9">
        <f>IF(26&lt;=核心参数输入!$B$9*4,(核心参数输入!$B$10*核心参数输入!$B$11*核心参数输入!$B$12*核心参数输入!$B$142)*季度计划!AD125,0)</f>
        <v>0</v>
      </c>
      <c r="AE120" s="9">
        <f>IF(27&lt;=核心参数输入!$B$9*4,(核心参数输入!$B$10*核心参数输入!$B$11*核心参数输入!$B$12*核心参数输入!$B$142)*季度计划!AE125,0)</f>
        <v>0</v>
      </c>
      <c r="AF120" s="9">
        <f>IF(28&lt;=核心参数输入!$B$9*4,(核心参数输入!$B$10*核心参数输入!$B$11*核心参数输入!$B$12*核心参数输入!$B$142)*季度计划!AF125,0)</f>
        <v>0</v>
      </c>
      <c r="AG120" s="9">
        <f>IF(29&lt;=核心参数输入!$B$9*4,(核心参数输入!$B$10*核心参数输入!$B$11*核心参数输入!$B$12*核心参数输入!$B$142)*季度计划!AG125,0)</f>
        <v>0</v>
      </c>
      <c r="AH120" s="9">
        <f>IF(30&lt;=核心参数输入!$B$9*4,(核心参数输入!$B$10*核心参数输入!$B$11*核心参数输入!$B$12*核心参数输入!$B$142)*季度计划!AH125,0)</f>
        <v>0</v>
      </c>
      <c r="AI120" s="9">
        <f>IF(31&lt;=核心参数输入!$B$9*4,(核心参数输入!$B$10*核心参数输入!$B$11*核心参数输入!$B$12*核心参数输入!$B$142)*季度计划!AI125,0)</f>
        <v>0</v>
      </c>
      <c r="AJ120" s="9">
        <f>IF(32&lt;=核心参数输入!$B$9*4,(核心参数输入!$B$10*核心参数输入!$B$11*核心参数输入!$B$12*核心参数输入!$B$142)*季度计划!AJ125,0)</f>
        <v>0</v>
      </c>
      <c r="AK120" s="9">
        <f>IF(33&lt;=核心参数输入!$B$9*4,(核心参数输入!$B$10*核心参数输入!$B$11*核心参数输入!$B$12*核心参数输入!$B$142)*季度计划!AK125,0)</f>
        <v>0</v>
      </c>
      <c r="AL120" s="9">
        <f>IF(34&lt;=核心参数输入!$B$9*4,(核心参数输入!$B$10*核心参数输入!$B$11*核心参数输入!$B$12*核心参数输入!$B$142)*季度计划!AL125,0)</f>
        <v>0</v>
      </c>
      <c r="AM120" s="9">
        <f>IF(35&lt;=核心参数输入!$B$9*4,(核心参数输入!$B$10*核心参数输入!$B$11*核心参数输入!$B$12*核心参数输入!$B$142)*季度计划!AM125,0)</f>
        <v>0</v>
      </c>
      <c r="AN120" s="9">
        <f>IF(36&lt;=核心参数输入!$B$9*4,(核心参数输入!$B$10*核心参数输入!$B$11*核心参数输入!$B$12*核心参数输入!$B$142)*季度计划!AN125,0)</f>
        <v>0</v>
      </c>
      <c r="AO120" s="9">
        <f>IF(37&lt;=核心参数输入!$B$9*4,(核心参数输入!$B$10*核心参数输入!$B$11*核心参数输入!$B$12*核心参数输入!$B$142)*季度计划!AO125,0)</f>
        <v>0</v>
      </c>
      <c r="AP120" s="9">
        <f>IF(38&lt;=核心参数输入!$B$9*4,(核心参数输入!$B$10*核心参数输入!$B$11*核心参数输入!$B$12*核心参数输入!$B$142)*季度计划!AP125,0)</f>
        <v>0</v>
      </c>
      <c r="AQ120" s="9">
        <f>IF(39&lt;=核心参数输入!$B$9*4,(核心参数输入!$B$10*核心参数输入!$B$11*核心参数输入!$B$12*核心参数输入!$B$142)*季度计划!AQ125,0)</f>
        <v>0</v>
      </c>
      <c r="AR120" s="9">
        <f>IF(40&lt;=核心参数输入!$B$9*4,(核心参数输入!$B$10*核心参数输入!$B$11*核心参数输入!$B$12*核心参数输入!$B$142)*季度计划!AR125,0)</f>
        <v>0</v>
      </c>
      <c r="AS120" s="9">
        <f>IF(41&lt;=核心参数输入!$B$9*4,(核心参数输入!$B$10*核心参数输入!$B$11*核心参数输入!$B$12*核心参数输入!$B$142)*季度计划!AS125,0)</f>
        <v>0</v>
      </c>
      <c r="AT120" s="9">
        <f>IF(42&lt;=核心参数输入!$B$9*4,(核心参数输入!$B$10*核心参数输入!$B$11*核心参数输入!$B$12*核心参数输入!$B$142)*季度计划!AT125,0)</f>
        <v>0</v>
      </c>
      <c r="AU120" s="9">
        <f>IF(43&lt;=核心参数输入!$B$9*4,(核心参数输入!$B$10*核心参数输入!$B$11*核心参数输入!$B$12*核心参数输入!$B$142)*季度计划!AU125,0)</f>
        <v>0</v>
      </c>
      <c r="AV120" s="9">
        <f>IF(44&lt;=核心参数输入!$B$9*4,(核心参数输入!$B$10*核心参数输入!$B$11*核心参数输入!$B$12*核心参数输入!$B$142)*季度计划!AV125,0)</f>
        <v>0</v>
      </c>
      <c r="AW120" s="9">
        <f>IF(45&lt;=核心参数输入!$B$9*4,(核心参数输入!$B$10*核心参数输入!$B$11*核心参数输入!$B$12*核心参数输入!$B$142)*季度计划!AW125,0)</f>
        <v>0</v>
      </c>
      <c r="AX120" s="9">
        <f>IF(46&lt;=核心参数输入!$B$9*4,(核心参数输入!$B$10*核心参数输入!$B$11*核心参数输入!$B$12*核心参数输入!$B$142)*季度计划!AX125,0)</f>
        <v>0</v>
      </c>
      <c r="AY120" s="9">
        <f>IF(47&lt;=核心参数输入!$B$9*4,(核心参数输入!$B$10*核心参数输入!$B$11*核心参数输入!$B$12*核心参数输入!$B$142)*季度计划!AY125,0)</f>
        <v>0</v>
      </c>
      <c r="AZ120" s="9">
        <f>IF(48&lt;=核心参数输入!$B$9*4,(核心参数输入!$B$10*核心参数输入!$B$11*核心参数输入!$B$12*核心参数输入!$B$142)*季度计划!AZ125,0)</f>
        <v>0</v>
      </c>
      <c r="BA120" s="9">
        <f>IF(49&lt;=核心参数输入!$B$9*4,(核心参数输入!$B$10*核心参数输入!$B$11*核心参数输入!$B$12*核心参数输入!$B$142)*季度计划!BA125,0)</f>
        <v>0</v>
      </c>
      <c r="BB120" s="9">
        <f>IF(50&lt;=核心参数输入!$B$9*4,(核心参数输入!$B$10*核心参数输入!$B$11*核心参数输入!$B$12*核心参数输入!$B$142)*季度计划!BB125,0)</f>
        <v>0</v>
      </c>
      <c r="BC120" s="9">
        <f>IF(51&lt;=核心参数输入!$B$9*4,(核心参数输入!$B$10*核心参数输入!$B$11*核心参数输入!$B$12*核心参数输入!$B$142)*季度计划!BC125,0)</f>
        <v>0</v>
      </c>
      <c r="BD120" s="9">
        <f>IF(52&lt;=核心参数输入!$B$9*4,(核心参数输入!$B$10*核心参数输入!$B$11*核心参数输入!$B$12*核心参数输入!$B$142)*季度计划!BD125,0)</f>
        <v>0</v>
      </c>
      <c r="BE120" s="9">
        <f>IF(53&lt;=核心参数输入!$B$9*4,(核心参数输入!$B$10*核心参数输入!$B$11*核心参数输入!$B$12*核心参数输入!$B$142)*季度计划!BE125,0)</f>
        <v>0</v>
      </c>
      <c r="BF120" s="9">
        <f>IF(54&lt;=核心参数输入!$B$9*4,(核心参数输入!$B$10*核心参数输入!$B$11*核心参数输入!$B$12*核心参数输入!$B$142)*季度计划!BF125,0)</f>
        <v>0</v>
      </c>
      <c r="BG120" s="9">
        <f>IF(55&lt;=核心参数输入!$B$9*4,(核心参数输入!$B$10*核心参数输入!$B$11*核心参数输入!$B$12*核心参数输入!$B$142)*季度计划!BG125,0)</f>
        <v>0</v>
      </c>
      <c r="BH120" s="9">
        <f>IF(56&lt;=核心参数输入!$B$9*4,(核心参数输入!$B$10*核心参数输入!$B$11*核心参数输入!$B$12*核心参数输入!$B$142)*季度计划!BH125,0)</f>
        <v>0</v>
      </c>
      <c r="BI120" s="9">
        <f>IF(57&lt;=核心参数输入!$B$9*4,(核心参数输入!$B$10*核心参数输入!$B$11*核心参数输入!$B$12*核心参数输入!$B$142)*季度计划!BI125,0)</f>
        <v>0</v>
      </c>
      <c r="BJ120" s="9">
        <f>IF(58&lt;=核心参数输入!$B$9*4,(核心参数输入!$B$10*核心参数输入!$B$11*核心参数输入!$B$12*核心参数输入!$B$142)*季度计划!BJ125,0)</f>
        <v>0</v>
      </c>
      <c r="BK120" s="9">
        <f>IF(59&lt;=核心参数输入!$B$9*4,(核心参数输入!$B$10*核心参数输入!$B$11*核心参数输入!$B$12*核心参数输入!$B$142)*季度计划!BK125,0)</f>
        <v>0</v>
      </c>
      <c r="BL120" s="9">
        <f>IF(60&lt;=核心参数输入!$B$9*4,(核心参数输入!$B$10*核心参数输入!$B$11*核心参数输入!$B$12*核心参数输入!$B$142)*季度计划!BL125,0)</f>
        <v>0</v>
      </c>
      <c r="BM120" s="9">
        <f>IF(61&lt;=核心参数输入!$B$9*4,(核心参数输入!$B$10*核心参数输入!$B$11*核心参数输入!$B$12*核心参数输入!$B$142)*季度计划!BM125,0)</f>
        <v>0</v>
      </c>
      <c r="BN120" s="9">
        <f>IF(62&lt;=核心参数输入!$B$9*4,(核心参数输入!$B$10*核心参数输入!$B$11*核心参数输入!$B$12*核心参数输入!$B$142)*季度计划!BN125,0)</f>
        <v>0</v>
      </c>
      <c r="BO120" s="9">
        <f>IF(63&lt;=核心参数输入!$B$9*4,(核心参数输入!$B$10*核心参数输入!$B$11*核心参数输入!$B$12*核心参数输入!$B$142)*季度计划!BO125,0)</f>
        <v>0</v>
      </c>
      <c r="BP120" s="9">
        <f>IF(64&lt;=核心参数输入!$B$9*4,(核心参数输入!$B$10*核心参数输入!$B$11*核心参数输入!$B$12*核心参数输入!$B$142)*季度计划!BP125,0)</f>
        <v>0</v>
      </c>
      <c r="BQ120" s="9">
        <f>IF(65&lt;=核心参数输入!$B$9*4,(核心参数输入!$B$10*核心参数输入!$B$11*核心参数输入!$B$12*核心参数输入!$B$142)*季度计划!BQ125,0)</f>
        <v>0</v>
      </c>
      <c r="BR120" s="9">
        <f>IF(66&lt;=核心参数输入!$B$9*4,(核心参数输入!$B$10*核心参数输入!$B$11*核心参数输入!$B$12*核心参数输入!$B$142)*季度计划!BR125,0)</f>
        <v>0</v>
      </c>
      <c r="BS120" s="9">
        <f>IF(67&lt;=核心参数输入!$B$9*4,(核心参数输入!$B$10*核心参数输入!$B$11*核心参数输入!$B$12*核心参数输入!$B$142)*季度计划!BS125,0)</f>
        <v>0</v>
      </c>
      <c r="BT120" s="9">
        <f>IF(68&lt;=核心参数输入!$B$9*4,(核心参数输入!$B$10*核心参数输入!$B$11*核心参数输入!$B$12*核心参数输入!$B$142)*季度计划!BT125,0)</f>
        <v>0</v>
      </c>
      <c r="BU120" s="9">
        <f>IF(69&lt;=核心参数输入!$B$9*4,(核心参数输入!$B$10*核心参数输入!$B$11*核心参数输入!$B$12*核心参数输入!$B$142)*季度计划!BU125,0)</f>
        <v>0</v>
      </c>
      <c r="BV120" s="9">
        <f>IF(70&lt;=核心参数输入!$B$9*4,(核心参数输入!$B$10*核心参数输入!$B$11*核心参数输入!$B$12*核心参数输入!$B$142)*季度计划!BV125,0)</f>
        <v>0</v>
      </c>
      <c r="BW120" s="9">
        <f>IF(71&lt;=核心参数输入!$B$9*4,(核心参数输入!$B$10*核心参数输入!$B$11*核心参数输入!$B$12*核心参数输入!$B$142)*季度计划!BW125,0)</f>
        <v>0</v>
      </c>
      <c r="BX120" s="9">
        <f>IF(72&lt;=核心参数输入!$B$9*4,(核心参数输入!$B$10*核心参数输入!$B$11*核心参数输入!$B$12*核心参数输入!$B$142)*季度计划!BX125,0)</f>
        <v>0</v>
      </c>
      <c r="BY120" s="9">
        <f>IF(73&lt;=核心参数输入!$B$9*4,(核心参数输入!$B$10*核心参数输入!$B$11*核心参数输入!$B$12*核心参数输入!$B$142)*季度计划!BY125,0)</f>
        <v>0</v>
      </c>
      <c r="BZ120" s="9">
        <f>IF(74&lt;=核心参数输入!$B$9*4,(核心参数输入!$B$10*核心参数输入!$B$11*核心参数输入!$B$12*核心参数输入!$B$142)*季度计划!BZ125,0)</f>
        <v>0</v>
      </c>
      <c r="CA120" s="9">
        <f>IF(75&lt;=核心参数输入!$B$9*4,(核心参数输入!$B$10*核心参数输入!$B$11*核心参数输入!$B$12*核心参数输入!$B$142)*季度计划!CA125,0)</f>
        <v>0</v>
      </c>
      <c r="CB120" s="9">
        <f>IF(76&lt;=核心参数输入!$B$9*4,(核心参数输入!$B$10*核心参数输入!$B$11*核心参数输入!$B$12*核心参数输入!$B$142)*季度计划!CB125,0)</f>
        <v>0</v>
      </c>
      <c r="CC120" s="9">
        <f>IF(77&lt;=核心参数输入!$B$9*4,(核心参数输入!$B$10*核心参数输入!$B$11*核心参数输入!$B$12*核心参数输入!$B$142)*季度计划!CC125,0)</f>
        <v>0</v>
      </c>
      <c r="CD120" s="9">
        <f>IF(78&lt;=核心参数输入!$B$9*4,(核心参数输入!$B$10*核心参数输入!$B$11*核心参数输入!$B$12*核心参数输入!$B$142)*季度计划!CD125,0)</f>
        <v>0</v>
      </c>
      <c r="CE120" s="9">
        <f>IF(79&lt;=核心参数输入!$B$9*4,(核心参数输入!$B$10*核心参数输入!$B$11*核心参数输入!$B$12*核心参数输入!$B$142)*季度计划!CE125,0)</f>
        <v>0</v>
      </c>
      <c r="CF120" s="9">
        <f>IF(80&lt;=核心参数输入!$B$9*4,(核心参数输入!$B$10*核心参数输入!$B$11*核心参数输入!$B$12*核心参数输入!$B$142)*季度计划!CF125,0)</f>
        <v>0</v>
      </c>
      <c r="CG120" s="9">
        <f>IF(81&lt;=核心参数输入!$B$9*4,(核心参数输入!$B$10*核心参数输入!$B$11*核心参数输入!$B$12*核心参数输入!$B$142)*季度计划!CG125,0)</f>
        <v>0</v>
      </c>
      <c r="CH120" s="9">
        <f>IF(82&lt;=核心参数输入!$B$9*4,(核心参数输入!$B$10*核心参数输入!$B$11*核心参数输入!$B$12*核心参数输入!$B$142)*季度计划!CH125,0)</f>
        <v>0</v>
      </c>
      <c r="CI120" s="9">
        <f>IF(83&lt;=核心参数输入!$B$9*4,(核心参数输入!$B$10*核心参数输入!$B$11*核心参数输入!$B$12*核心参数输入!$B$142)*季度计划!CI125,0)</f>
        <v>0</v>
      </c>
      <c r="CJ120" s="9">
        <f>IF(84&lt;=核心参数输入!$B$9*4,(核心参数输入!$B$10*核心参数输入!$B$11*核心参数输入!$B$12*核心参数输入!$B$142)*季度计划!CJ125,0)</f>
        <v>0</v>
      </c>
      <c r="CK120" s="9">
        <f>IF(85&lt;=核心参数输入!$B$9*4,(核心参数输入!$B$10*核心参数输入!$B$11*核心参数输入!$B$12*核心参数输入!$B$142)*季度计划!CK125,0)</f>
        <v>0</v>
      </c>
      <c r="CL120" s="9">
        <f>IF(86&lt;=核心参数输入!$B$9*4,(核心参数输入!$B$10*核心参数输入!$B$11*核心参数输入!$B$12*核心参数输入!$B$142)*季度计划!CL125,0)</f>
        <v>0</v>
      </c>
      <c r="CM120" s="9">
        <f>IF(87&lt;=核心参数输入!$B$9*4,(核心参数输入!$B$10*核心参数输入!$B$11*核心参数输入!$B$12*核心参数输入!$B$142)*季度计划!CM125,0)</f>
        <v>0</v>
      </c>
      <c r="CN120" s="9">
        <f>IF(88&lt;=核心参数输入!$B$9*4,(核心参数输入!$B$10*核心参数输入!$B$11*核心参数输入!$B$12*核心参数输入!$B$142)*季度计划!CN125,0)</f>
        <v>0</v>
      </c>
      <c r="CO120" s="9">
        <f>IF(89&lt;=核心参数输入!$B$9*4,(核心参数输入!$B$10*核心参数输入!$B$11*核心参数输入!$B$12*核心参数输入!$B$142)*季度计划!CO125,0)</f>
        <v>0</v>
      </c>
      <c r="CP120" s="9">
        <f>IF(90&lt;=核心参数输入!$B$9*4,(核心参数输入!$B$10*核心参数输入!$B$11*核心参数输入!$B$12*核心参数输入!$B$142)*季度计划!CP125,0)</f>
        <v>0</v>
      </c>
      <c r="CQ120" s="9">
        <f>IF(91&lt;=核心参数输入!$B$9*4,(核心参数输入!$B$10*核心参数输入!$B$11*核心参数输入!$B$12*核心参数输入!$B$142)*季度计划!CQ125,0)</f>
        <v>0</v>
      </c>
      <c r="CR120" s="9">
        <f>IF(92&lt;=核心参数输入!$B$9*4,(核心参数输入!$B$10*核心参数输入!$B$11*核心参数输入!$B$12*核心参数输入!$B$142)*季度计划!CR125,0)</f>
        <v>0</v>
      </c>
      <c r="CS120" s="9">
        <f>IF(93&lt;=核心参数输入!$B$9*4,(核心参数输入!$B$10*核心参数输入!$B$11*核心参数输入!$B$12*核心参数输入!$B$142)*季度计划!CS125,0)</f>
        <v>0</v>
      </c>
      <c r="CT120" s="9">
        <f>IF(94&lt;=核心参数输入!$B$9*4,(核心参数输入!$B$10*核心参数输入!$B$11*核心参数输入!$B$12*核心参数输入!$B$142)*季度计划!CT125,0)</f>
        <v>0</v>
      </c>
      <c r="CU120" s="9">
        <f>IF(95&lt;=核心参数输入!$B$9*4,(核心参数输入!$B$10*核心参数输入!$B$11*核心参数输入!$B$12*核心参数输入!$B$142)*季度计划!CU125,0)</f>
        <v>0</v>
      </c>
      <c r="CV120" s="9">
        <f>IF(96&lt;=核心参数输入!$B$9*4,(核心参数输入!$B$10*核心参数输入!$B$11*核心参数输入!$B$12*核心参数输入!$B$142)*季度计划!CV125,0)</f>
        <v>0</v>
      </c>
      <c r="CW120" s="9">
        <f>IF(97&lt;=核心参数输入!$B$9*4,(核心参数输入!$B$10*核心参数输入!$B$11*核心参数输入!$B$12*核心参数输入!$B$142)*季度计划!CW125,0)</f>
        <v>0</v>
      </c>
      <c r="CX120" s="9">
        <f>IF(98&lt;=核心参数输入!$B$9*4,(核心参数输入!$B$10*核心参数输入!$B$11*核心参数输入!$B$12*核心参数输入!$B$142)*季度计划!CX125,0)</f>
        <v>0</v>
      </c>
      <c r="CY120" s="9">
        <f>IF(99&lt;=核心参数输入!$B$9*4,(核心参数输入!$B$10*核心参数输入!$B$11*核心参数输入!$B$12*核心参数输入!$B$142)*季度计划!CY125,0)</f>
        <v>0</v>
      </c>
      <c r="CZ120" s="9">
        <f>IF(100&lt;=核心参数输入!$B$9*4,(核心参数输入!$B$10*核心参数输入!$B$11*核心参数输入!$B$12*核心参数输入!$B$142)*季度计划!CZ125,0)</f>
        <v>0</v>
      </c>
      <c r="DA120" s="9">
        <f>IF(101&lt;=核心参数输入!$B$9*4,(核心参数输入!$B$10*核心参数输入!$B$11*核心参数输入!$B$12*核心参数输入!$B$142)*季度计划!DA125,0)</f>
        <v>0</v>
      </c>
      <c r="DB120" s="9">
        <f>IF(102&lt;=核心参数输入!$B$9*4,(核心参数输入!$B$10*核心参数输入!$B$11*核心参数输入!$B$12*核心参数输入!$B$142)*季度计划!DB125,0)</f>
        <v>0</v>
      </c>
      <c r="DC120" s="9">
        <f>IF(103&lt;=核心参数输入!$B$9*4,(核心参数输入!$B$10*核心参数输入!$B$11*核心参数输入!$B$12*核心参数输入!$B$142)*季度计划!DC125,0)</f>
        <v>0</v>
      </c>
      <c r="DD120" s="9">
        <f>IF(104&lt;=核心参数输入!$B$9*4,(核心参数输入!$B$10*核心参数输入!$B$11*核心参数输入!$B$12*核心参数输入!$B$142)*季度计划!DD125,0)</f>
        <v>0</v>
      </c>
      <c r="DE120" s="9">
        <f>IF(105&lt;=核心参数输入!$B$9*4,(核心参数输入!$B$10*核心参数输入!$B$11*核心参数输入!$B$12*核心参数输入!$B$142)*季度计划!DE125,0)</f>
        <v>0</v>
      </c>
      <c r="DF120" s="9">
        <f>IF(106&lt;=核心参数输入!$B$9*4,(核心参数输入!$B$10*核心参数输入!$B$11*核心参数输入!$B$12*核心参数输入!$B$142)*季度计划!DF125,0)</f>
        <v>0</v>
      </c>
      <c r="DG120" s="9">
        <f>IF(107&lt;=核心参数输入!$B$9*4,(核心参数输入!$B$10*核心参数输入!$B$11*核心参数输入!$B$12*核心参数输入!$B$142)*季度计划!DG125,0)</f>
        <v>0</v>
      </c>
      <c r="DH120" s="9">
        <f>IF(108&lt;=核心参数输入!$B$9*4,(核心参数输入!$B$10*核心参数输入!$B$11*核心参数输入!$B$12*核心参数输入!$B$142)*季度计划!DH125,0)</f>
        <v>0</v>
      </c>
      <c r="DI120" s="9">
        <f>IF(109&lt;=核心参数输入!$B$9*4,(核心参数输入!$B$10*核心参数输入!$B$11*核心参数输入!$B$12*核心参数输入!$B$142)*季度计划!DI125,0)</f>
        <v>0</v>
      </c>
      <c r="DJ120" s="9">
        <f>IF(110&lt;=核心参数输入!$B$9*4,(核心参数输入!$B$10*核心参数输入!$B$11*核心参数输入!$B$12*核心参数输入!$B$142)*季度计划!DJ125,0)</f>
        <v>0</v>
      </c>
      <c r="DK120" s="9">
        <f>IF(111&lt;=核心参数输入!$B$9*4,(核心参数输入!$B$10*核心参数输入!$B$11*核心参数输入!$B$12*核心参数输入!$B$142)*季度计划!DK125,0)</f>
        <v>0</v>
      </c>
      <c r="DL120" s="9">
        <f>IF(112&lt;=核心参数输入!$B$9*4,(核心参数输入!$B$10*核心参数输入!$B$11*核心参数输入!$B$12*核心参数输入!$B$142)*季度计划!DL125,0)</f>
        <v>0</v>
      </c>
      <c r="DM120" s="9">
        <f>IF(113&lt;=核心参数输入!$B$9*4,(核心参数输入!$B$10*核心参数输入!$B$11*核心参数输入!$B$12*核心参数输入!$B$142)*季度计划!DM125,0)</f>
        <v>0</v>
      </c>
      <c r="DN120" s="9">
        <f>IF(114&lt;=核心参数输入!$B$9*4,(核心参数输入!$B$10*核心参数输入!$B$11*核心参数输入!$B$12*核心参数输入!$B$142)*季度计划!DN125,0)</f>
        <v>0</v>
      </c>
      <c r="DO120" s="9">
        <f>IF(115&lt;=核心参数输入!$B$9*4,(核心参数输入!$B$10*核心参数输入!$B$11*核心参数输入!$B$12*核心参数输入!$B$142)*季度计划!DO125,0)</f>
        <v>0</v>
      </c>
      <c r="DP120" s="9">
        <f>IF(116&lt;=核心参数输入!$B$9*4,(核心参数输入!$B$10*核心参数输入!$B$11*核心参数输入!$B$12*核心参数输入!$B$142)*季度计划!DP125,0)</f>
        <v>0</v>
      </c>
      <c r="DQ120" s="9">
        <f>IF(117&lt;=核心参数输入!$B$9*4,(核心参数输入!$B$10*核心参数输入!$B$11*核心参数输入!$B$12*核心参数输入!$B$142)*季度计划!DQ125,0)</f>
        <v>0</v>
      </c>
      <c r="DR120" s="9">
        <f>IF(118&lt;=核心参数输入!$B$9*4,(核心参数输入!$B$10*核心参数输入!$B$11*核心参数输入!$B$12*核心参数输入!$B$142)*季度计划!DR125,0)</f>
        <v>0</v>
      </c>
      <c r="DS120" s="9">
        <f>IF(119&lt;=核心参数输入!$B$9*4,(核心参数输入!$B$10*核心参数输入!$B$11*核心参数输入!$B$12*核心参数输入!$B$142)*季度计划!DS125,0)</f>
        <v>0</v>
      </c>
      <c r="DT120" s="9">
        <f>IF(120&lt;=核心参数输入!$B$9*4,(核心参数输入!$B$10*核心参数输入!$B$11*核心参数输入!$B$12*核心参数输入!$B$142)*季度计划!DT125,0)</f>
        <v>0</v>
      </c>
    </row>
    <row r="121" spans="1:124" ht="21" customHeight="1">
      <c r="A121" s="8" t="s">
        <v>448</v>
      </c>
      <c r="B121" s="8" t="s">
        <v>39</v>
      </c>
      <c r="C121" s="8"/>
      <c r="D121" s="9">
        <f>IF(0&lt;=核心参数输入!$B$9*4,D120*核心参数输入!$B$145*(1-核心参数输入!$B$78)/10000,0)</f>
        <v>0</v>
      </c>
      <c r="E121" s="9">
        <f>IF(1&lt;=核心参数输入!$B$9*4,E120*核心参数输入!$B$145*(1-核心参数输入!$B$78)/10000,0)</f>
        <v>0</v>
      </c>
      <c r="F121" s="9">
        <f>IF(2&lt;=核心参数输入!$B$9*4,F120*核心参数输入!$B$145*(1-核心参数输入!$B$78)/10000,0)</f>
        <v>0</v>
      </c>
      <c r="G121" s="9">
        <f>IF(3&lt;=核心参数输入!$B$9*4,G120*核心参数输入!$B$145*(1-核心参数输入!$B$78)/10000,0)</f>
        <v>0</v>
      </c>
      <c r="H121" s="9">
        <f>IF(4&lt;=核心参数输入!$B$9*4,H120*核心参数输入!$B$145*(1-核心参数输入!$B$78)/10000,0)</f>
        <v>0</v>
      </c>
      <c r="I121" s="9">
        <f>IF(5&lt;=核心参数输入!$B$9*4,I120*核心参数输入!$B$145*(1-核心参数输入!$B$78)/10000,0)</f>
        <v>0</v>
      </c>
      <c r="J121" s="9">
        <f>IF(6&lt;=核心参数输入!$B$9*4,J120*核心参数输入!$B$145*(1-核心参数输入!$B$78)/10000,0)</f>
        <v>0</v>
      </c>
      <c r="K121" s="9">
        <f>IF(7&lt;=核心参数输入!$B$9*4,K120*核心参数输入!$B$145*(1-核心参数输入!$B$78)/10000,0)</f>
        <v>0</v>
      </c>
      <c r="L121" s="9">
        <f>IF(8&lt;=核心参数输入!$B$9*4,L120*核心参数输入!$B$145*(1-核心参数输入!$B$78)/10000,0)</f>
        <v>0</v>
      </c>
      <c r="M121" s="9">
        <f>IF(9&lt;=核心参数输入!$B$9*4,M120*核心参数输入!$B$145*(1-核心参数输入!$B$78)/10000,0)</f>
        <v>0</v>
      </c>
      <c r="N121" s="9">
        <f>IF(10&lt;=核心参数输入!$B$9*4,N120*核心参数输入!$B$145*(1-核心参数输入!$B$78)/10000,0)</f>
        <v>0</v>
      </c>
      <c r="O121" s="9">
        <f>IF(11&lt;=核心参数输入!$B$9*4,O120*核心参数输入!$B$145*(1-核心参数输入!$B$78)/10000,0)</f>
        <v>0</v>
      </c>
      <c r="P121" s="9">
        <f>IF(12&lt;=核心参数输入!$B$9*4,P120*核心参数输入!$B$145*(1-核心参数输入!$B$78)/10000,0)</f>
        <v>0</v>
      </c>
      <c r="Q121" s="9">
        <f>IF(13&lt;=核心参数输入!$B$9*4,Q120*核心参数输入!$B$145*(1-核心参数输入!$B$78)/10000,0)</f>
        <v>3257.71875</v>
      </c>
      <c r="R121" s="9">
        <f>IF(14&lt;=核心参数输入!$B$9*4,R120*核心参数输入!$B$145*(1-核心参数输入!$B$78)/10000,0)</f>
        <v>3257.71875</v>
      </c>
      <c r="S121" s="9">
        <f>IF(15&lt;=核心参数输入!$B$9*4,S120*核心参数输入!$B$145*(1-核心参数输入!$B$78)/10000,0)</f>
        <v>3257.71875</v>
      </c>
      <c r="T121" s="9">
        <f>IF(16&lt;=核心参数输入!$B$9*4,T120*核心参数输入!$B$145*(1-核心参数输入!$B$78)/10000,0)</f>
        <v>3257.71875</v>
      </c>
      <c r="U121" s="9">
        <f>IF(17&lt;=核心参数输入!$B$9*4,U120*核心参数输入!$B$145*(1-核心参数输入!$B$78)/10000,0)</f>
        <v>4343.625</v>
      </c>
      <c r="V121" s="9">
        <f>IF(18&lt;=核心参数输入!$B$9*4,V120*核心参数输入!$B$145*(1-核心参数输入!$B$78)/10000,0)</f>
        <v>4343.625</v>
      </c>
      <c r="W121" s="9">
        <f>IF(19&lt;=核心参数输入!$B$9*4,W120*核心参数输入!$B$145*(1-核心参数输入!$B$78)/10000,0)</f>
        <v>4343.625</v>
      </c>
      <c r="X121" s="9">
        <f>IF(20&lt;=核心参数输入!$B$9*4,X120*核心参数输入!$B$145*(1-核心参数输入!$B$78)/10000,0)</f>
        <v>4343.625</v>
      </c>
      <c r="Y121" s="9">
        <f>IF(21&lt;=核心参数输入!$B$9*4,Y120*核心参数输入!$B$145*(1-核心参数输入!$B$78)/10000,0)</f>
        <v>3257.71875</v>
      </c>
      <c r="Z121" s="9">
        <f>IF(22&lt;=核心参数输入!$B$9*4,Z120*核心参数输入!$B$145*(1-核心参数输入!$B$78)/10000,0)</f>
        <v>3257.71875</v>
      </c>
      <c r="AA121" s="9">
        <f>IF(23&lt;=核心参数输入!$B$9*4,AA120*核心参数输入!$B$145*(1-核心参数输入!$B$78)/10000,0)</f>
        <v>3257.71875</v>
      </c>
      <c r="AB121" s="9">
        <f>IF(24&lt;=核心参数输入!$B$9*4,AB120*核心参数输入!$B$145*(1-核心参数输入!$B$78)/10000,0)</f>
        <v>3257.71875</v>
      </c>
      <c r="AC121" s="9">
        <f>IF(25&lt;=核心参数输入!$B$9*4,AC120*核心参数输入!$B$145*(1-核心参数输入!$B$78)/10000,0)</f>
        <v>0</v>
      </c>
      <c r="AD121" s="9">
        <f>IF(26&lt;=核心参数输入!$B$9*4,AD120*核心参数输入!$B$145*(1-核心参数输入!$B$78)/10000,0)</f>
        <v>0</v>
      </c>
      <c r="AE121" s="9">
        <f>IF(27&lt;=核心参数输入!$B$9*4,AE120*核心参数输入!$B$145*(1-核心参数输入!$B$78)/10000,0)</f>
        <v>0</v>
      </c>
      <c r="AF121" s="9">
        <f>IF(28&lt;=核心参数输入!$B$9*4,AF120*核心参数输入!$B$145*(1-核心参数输入!$B$78)/10000,0)</f>
        <v>0</v>
      </c>
      <c r="AG121" s="9">
        <f>IF(29&lt;=核心参数输入!$B$9*4,AG120*核心参数输入!$B$145*(1-核心参数输入!$B$78)/10000,0)</f>
        <v>0</v>
      </c>
      <c r="AH121" s="9">
        <f>IF(30&lt;=核心参数输入!$B$9*4,AH120*核心参数输入!$B$145*(1-核心参数输入!$B$78)/10000,0)</f>
        <v>0</v>
      </c>
      <c r="AI121" s="9">
        <f>IF(31&lt;=核心参数输入!$B$9*4,AI120*核心参数输入!$B$145*(1-核心参数输入!$B$78)/10000,0)</f>
        <v>0</v>
      </c>
      <c r="AJ121" s="9">
        <f>IF(32&lt;=核心参数输入!$B$9*4,AJ120*核心参数输入!$B$145*(1-核心参数输入!$B$78)/10000,0)</f>
        <v>0</v>
      </c>
      <c r="AK121" s="9">
        <f>IF(33&lt;=核心参数输入!$B$9*4,AK120*核心参数输入!$B$145*(1-核心参数输入!$B$78)/10000,0)</f>
        <v>0</v>
      </c>
      <c r="AL121" s="9">
        <f>IF(34&lt;=核心参数输入!$B$9*4,AL120*核心参数输入!$B$145*(1-核心参数输入!$B$78)/10000,0)</f>
        <v>0</v>
      </c>
      <c r="AM121" s="9">
        <f>IF(35&lt;=核心参数输入!$B$9*4,AM120*核心参数输入!$B$145*(1-核心参数输入!$B$78)/10000,0)</f>
        <v>0</v>
      </c>
      <c r="AN121" s="9">
        <f>IF(36&lt;=核心参数输入!$B$9*4,AN120*核心参数输入!$B$145*(1-核心参数输入!$B$78)/10000,0)</f>
        <v>0</v>
      </c>
      <c r="AO121" s="9">
        <f>IF(37&lt;=核心参数输入!$B$9*4,AO120*核心参数输入!$B$145*(1-核心参数输入!$B$78)/10000,0)</f>
        <v>0</v>
      </c>
      <c r="AP121" s="9">
        <f>IF(38&lt;=核心参数输入!$B$9*4,AP120*核心参数输入!$B$145*(1-核心参数输入!$B$78)/10000,0)</f>
        <v>0</v>
      </c>
      <c r="AQ121" s="9">
        <f>IF(39&lt;=核心参数输入!$B$9*4,AQ120*核心参数输入!$B$145*(1-核心参数输入!$B$78)/10000,0)</f>
        <v>0</v>
      </c>
      <c r="AR121" s="9">
        <f>IF(40&lt;=核心参数输入!$B$9*4,AR120*核心参数输入!$B$145*(1-核心参数输入!$B$78)/10000,0)</f>
        <v>0</v>
      </c>
      <c r="AS121" s="9">
        <f>IF(41&lt;=核心参数输入!$B$9*4,AS120*核心参数输入!$B$145*(1-核心参数输入!$B$78)/10000,0)</f>
        <v>0</v>
      </c>
      <c r="AT121" s="9">
        <f>IF(42&lt;=核心参数输入!$B$9*4,AT120*核心参数输入!$B$145*(1-核心参数输入!$B$78)/10000,0)</f>
        <v>0</v>
      </c>
      <c r="AU121" s="9">
        <f>IF(43&lt;=核心参数输入!$B$9*4,AU120*核心参数输入!$B$145*(1-核心参数输入!$B$78)/10000,0)</f>
        <v>0</v>
      </c>
      <c r="AV121" s="9">
        <f>IF(44&lt;=核心参数输入!$B$9*4,AV120*核心参数输入!$B$145*(1-核心参数输入!$B$78)/10000,0)</f>
        <v>0</v>
      </c>
      <c r="AW121" s="9">
        <f>IF(45&lt;=核心参数输入!$B$9*4,AW120*核心参数输入!$B$145*(1-核心参数输入!$B$78)/10000,0)</f>
        <v>0</v>
      </c>
      <c r="AX121" s="9">
        <f>IF(46&lt;=核心参数输入!$B$9*4,AX120*核心参数输入!$B$145*(1-核心参数输入!$B$78)/10000,0)</f>
        <v>0</v>
      </c>
      <c r="AY121" s="9">
        <f>IF(47&lt;=核心参数输入!$B$9*4,AY120*核心参数输入!$B$145*(1-核心参数输入!$B$78)/10000,0)</f>
        <v>0</v>
      </c>
      <c r="AZ121" s="9">
        <f>IF(48&lt;=核心参数输入!$B$9*4,AZ120*核心参数输入!$B$145*(1-核心参数输入!$B$78)/10000,0)</f>
        <v>0</v>
      </c>
      <c r="BA121" s="9">
        <f>IF(49&lt;=核心参数输入!$B$9*4,BA120*核心参数输入!$B$145*(1-核心参数输入!$B$78)/10000,0)</f>
        <v>0</v>
      </c>
      <c r="BB121" s="9">
        <f>IF(50&lt;=核心参数输入!$B$9*4,BB120*核心参数输入!$B$145*(1-核心参数输入!$B$78)/10000,0)</f>
        <v>0</v>
      </c>
      <c r="BC121" s="9">
        <f>IF(51&lt;=核心参数输入!$B$9*4,BC120*核心参数输入!$B$145*(1-核心参数输入!$B$78)/10000,0)</f>
        <v>0</v>
      </c>
      <c r="BD121" s="9">
        <f>IF(52&lt;=核心参数输入!$B$9*4,BD120*核心参数输入!$B$145*(1-核心参数输入!$B$78)/10000,0)</f>
        <v>0</v>
      </c>
      <c r="BE121" s="9">
        <f>IF(53&lt;=核心参数输入!$B$9*4,BE120*核心参数输入!$B$145*(1-核心参数输入!$B$78)/10000,0)</f>
        <v>0</v>
      </c>
      <c r="BF121" s="9">
        <f>IF(54&lt;=核心参数输入!$B$9*4,BF120*核心参数输入!$B$145*(1-核心参数输入!$B$78)/10000,0)</f>
        <v>0</v>
      </c>
      <c r="BG121" s="9">
        <f>IF(55&lt;=核心参数输入!$B$9*4,BG120*核心参数输入!$B$145*(1-核心参数输入!$B$78)/10000,0)</f>
        <v>0</v>
      </c>
      <c r="BH121" s="9">
        <f>IF(56&lt;=核心参数输入!$B$9*4,BH120*核心参数输入!$B$145*(1-核心参数输入!$B$78)/10000,0)</f>
        <v>0</v>
      </c>
      <c r="BI121" s="9">
        <f>IF(57&lt;=核心参数输入!$B$9*4,BI120*核心参数输入!$B$145*(1-核心参数输入!$B$78)/10000,0)</f>
        <v>0</v>
      </c>
      <c r="BJ121" s="9">
        <f>IF(58&lt;=核心参数输入!$B$9*4,BJ120*核心参数输入!$B$145*(1-核心参数输入!$B$78)/10000,0)</f>
        <v>0</v>
      </c>
      <c r="BK121" s="9">
        <f>IF(59&lt;=核心参数输入!$B$9*4,BK120*核心参数输入!$B$145*(1-核心参数输入!$B$78)/10000,0)</f>
        <v>0</v>
      </c>
      <c r="BL121" s="9">
        <f>IF(60&lt;=核心参数输入!$B$9*4,BL120*核心参数输入!$B$145*(1-核心参数输入!$B$78)/10000,0)</f>
        <v>0</v>
      </c>
      <c r="BM121" s="9">
        <f>IF(61&lt;=核心参数输入!$B$9*4,BM120*核心参数输入!$B$145*(1-核心参数输入!$B$78)/10000,0)</f>
        <v>0</v>
      </c>
      <c r="BN121" s="9">
        <f>IF(62&lt;=核心参数输入!$B$9*4,BN120*核心参数输入!$B$145*(1-核心参数输入!$B$78)/10000,0)</f>
        <v>0</v>
      </c>
      <c r="BO121" s="9">
        <f>IF(63&lt;=核心参数输入!$B$9*4,BO120*核心参数输入!$B$145*(1-核心参数输入!$B$78)/10000,0)</f>
        <v>0</v>
      </c>
      <c r="BP121" s="9">
        <f>IF(64&lt;=核心参数输入!$B$9*4,BP120*核心参数输入!$B$145*(1-核心参数输入!$B$78)/10000,0)</f>
        <v>0</v>
      </c>
      <c r="BQ121" s="9">
        <f>IF(65&lt;=核心参数输入!$B$9*4,BQ120*核心参数输入!$B$145*(1-核心参数输入!$B$78)/10000,0)</f>
        <v>0</v>
      </c>
      <c r="BR121" s="9">
        <f>IF(66&lt;=核心参数输入!$B$9*4,BR120*核心参数输入!$B$145*(1-核心参数输入!$B$78)/10000,0)</f>
        <v>0</v>
      </c>
      <c r="BS121" s="9">
        <f>IF(67&lt;=核心参数输入!$B$9*4,BS120*核心参数输入!$B$145*(1-核心参数输入!$B$78)/10000,0)</f>
        <v>0</v>
      </c>
      <c r="BT121" s="9">
        <f>IF(68&lt;=核心参数输入!$B$9*4,BT120*核心参数输入!$B$145*(1-核心参数输入!$B$78)/10000,0)</f>
        <v>0</v>
      </c>
      <c r="BU121" s="9">
        <f>IF(69&lt;=核心参数输入!$B$9*4,BU120*核心参数输入!$B$145*(1-核心参数输入!$B$78)/10000,0)</f>
        <v>0</v>
      </c>
      <c r="BV121" s="9">
        <f>IF(70&lt;=核心参数输入!$B$9*4,BV120*核心参数输入!$B$145*(1-核心参数输入!$B$78)/10000,0)</f>
        <v>0</v>
      </c>
      <c r="BW121" s="9">
        <f>IF(71&lt;=核心参数输入!$B$9*4,BW120*核心参数输入!$B$145*(1-核心参数输入!$B$78)/10000,0)</f>
        <v>0</v>
      </c>
      <c r="BX121" s="9">
        <f>IF(72&lt;=核心参数输入!$B$9*4,BX120*核心参数输入!$B$145*(1-核心参数输入!$B$78)/10000,0)</f>
        <v>0</v>
      </c>
      <c r="BY121" s="9">
        <f>IF(73&lt;=核心参数输入!$B$9*4,BY120*核心参数输入!$B$145*(1-核心参数输入!$B$78)/10000,0)</f>
        <v>0</v>
      </c>
      <c r="BZ121" s="9">
        <f>IF(74&lt;=核心参数输入!$B$9*4,BZ120*核心参数输入!$B$145*(1-核心参数输入!$B$78)/10000,0)</f>
        <v>0</v>
      </c>
      <c r="CA121" s="9">
        <f>IF(75&lt;=核心参数输入!$B$9*4,CA120*核心参数输入!$B$145*(1-核心参数输入!$B$78)/10000,0)</f>
        <v>0</v>
      </c>
      <c r="CB121" s="9">
        <f>IF(76&lt;=核心参数输入!$B$9*4,CB120*核心参数输入!$B$145*(1-核心参数输入!$B$78)/10000,0)</f>
        <v>0</v>
      </c>
      <c r="CC121" s="9">
        <f>IF(77&lt;=核心参数输入!$B$9*4,CC120*核心参数输入!$B$145*(1-核心参数输入!$B$78)/10000,0)</f>
        <v>0</v>
      </c>
      <c r="CD121" s="9">
        <f>IF(78&lt;=核心参数输入!$B$9*4,CD120*核心参数输入!$B$145*(1-核心参数输入!$B$78)/10000,0)</f>
        <v>0</v>
      </c>
      <c r="CE121" s="9">
        <f>IF(79&lt;=核心参数输入!$B$9*4,CE120*核心参数输入!$B$145*(1-核心参数输入!$B$78)/10000,0)</f>
        <v>0</v>
      </c>
      <c r="CF121" s="9">
        <f>IF(80&lt;=核心参数输入!$B$9*4,CF120*核心参数输入!$B$145*(1-核心参数输入!$B$78)/10000,0)</f>
        <v>0</v>
      </c>
      <c r="CG121" s="9">
        <f>IF(81&lt;=核心参数输入!$B$9*4,CG120*核心参数输入!$B$145*(1-核心参数输入!$B$78)/10000,0)</f>
        <v>0</v>
      </c>
      <c r="CH121" s="9">
        <f>IF(82&lt;=核心参数输入!$B$9*4,CH120*核心参数输入!$B$145*(1-核心参数输入!$B$78)/10000,0)</f>
        <v>0</v>
      </c>
      <c r="CI121" s="9">
        <f>IF(83&lt;=核心参数输入!$B$9*4,CI120*核心参数输入!$B$145*(1-核心参数输入!$B$78)/10000,0)</f>
        <v>0</v>
      </c>
      <c r="CJ121" s="9">
        <f>IF(84&lt;=核心参数输入!$B$9*4,CJ120*核心参数输入!$B$145*(1-核心参数输入!$B$78)/10000,0)</f>
        <v>0</v>
      </c>
      <c r="CK121" s="9">
        <f>IF(85&lt;=核心参数输入!$B$9*4,CK120*核心参数输入!$B$145*(1-核心参数输入!$B$78)/10000,0)</f>
        <v>0</v>
      </c>
      <c r="CL121" s="9">
        <f>IF(86&lt;=核心参数输入!$B$9*4,CL120*核心参数输入!$B$145*(1-核心参数输入!$B$78)/10000,0)</f>
        <v>0</v>
      </c>
      <c r="CM121" s="9">
        <f>IF(87&lt;=核心参数输入!$B$9*4,CM120*核心参数输入!$B$145*(1-核心参数输入!$B$78)/10000,0)</f>
        <v>0</v>
      </c>
      <c r="CN121" s="9">
        <f>IF(88&lt;=核心参数输入!$B$9*4,CN120*核心参数输入!$B$145*(1-核心参数输入!$B$78)/10000,0)</f>
        <v>0</v>
      </c>
      <c r="CO121" s="9">
        <f>IF(89&lt;=核心参数输入!$B$9*4,CO120*核心参数输入!$B$145*(1-核心参数输入!$B$78)/10000,0)</f>
        <v>0</v>
      </c>
      <c r="CP121" s="9">
        <f>IF(90&lt;=核心参数输入!$B$9*4,CP120*核心参数输入!$B$145*(1-核心参数输入!$B$78)/10000,0)</f>
        <v>0</v>
      </c>
      <c r="CQ121" s="9">
        <f>IF(91&lt;=核心参数输入!$B$9*4,CQ120*核心参数输入!$B$145*(1-核心参数输入!$B$78)/10000,0)</f>
        <v>0</v>
      </c>
      <c r="CR121" s="9">
        <f>IF(92&lt;=核心参数输入!$B$9*4,CR120*核心参数输入!$B$145*(1-核心参数输入!$B$78)/10000,0)</f>
        <v>0</v>
      </c>
      <c r="CS121" s="9">
        <f>IF(93&lt;=核心参数输入!$B$9*4,CS120*核心参数输入!$B$145*(1-核心参数输入!$B$78)/10000,0)</f>
        <v>0</v>
      </c>
      <c r="CT121" s="9">
        <f>IF(94&lt;=核心参数输入!$B$9*4,CT120*核心参数输入!$B$145*(1-核心参数输入!$B$78)/10000,0)</f>
        <v>0</v>
      </c>
      <c r="CU121" s="9">
        <f>IF(95&lt;=核心参数输入!$B$9*4,CU120*核心参数输入!$B$145*(1-核心参数输入!$B$78)/10000,0)</f>
        <v>0</v>
      </c>
      <c r="CV121" s="9">
        <f>IF(96&lt;=核心参数输入!$B$9*4,CV120*核心参数输入!$B$145*(1-核心参数输入!$B$78)/10000,0)</f>
        <v>0</v>
      </c>
      <c r="CW121" s="9">
        <f>IF(97&lt;=核心参数输入!$B$9*4,CW120*核心参数输入!$B$145*(1-核心参数输入!$B$78)/10000,0)</f>
        <v>0</v>
      </c>
      <c r="CX121" s="9">
        <f>IF(98&lt;=核心参数输入!$B$9*4,CX120*核心参数输入!$B$145*(1-核心参数输入!$B$78)/10000,0)</f>
        <v>0</v>
      </c>
      <c r="CY121" s="9">
        <f>IF(99&lt;=核心参数输入!$B$9*4,CY120*核心参数输入!$B$145*(1-核心参数输入!$B$78)/10000,0)</f>
        <v>0</v>
      </c>
      <c r="CZ121" s="9">
        <f>IF(100&lt;=核心参数输入!$B$9*4,CZ120*核心参数输入!$B$145*(1-核心参数输入!$B$78)/10000,0)</f>
        <v>0</v>
      </c>
      <c r="DA121" s="9">
        <f>IF(101&lt;=核心参数输入!$B$9*4,DA120*核心参数输入!$B$145*(1-核心参数输入!$B$78)/10000,0)</f>
        <v>0</v>
      </c>
      <c r="DB121" s="9">
        <f>IF(102&lt;=核心参数输入!$B$9*4,DB120*核心参数输入!$B$145*(1-核心参数输入!$B$78)/10000,0)</f>
        <v>0</v>
      </c>
      <c r="DC121" s="9">
        <f>IF(103&lt;=核心参数输入!$B$9*4,DC120*核心参数输入!$B$145*(1-核心参数输入!$B$78)/10000,0)</f>
        <v>0</v>
      </c>
      <c r="DD121" s="9">
        <f>IF(104&lt;=核心参数输入!$B$9*4,DD120*核心参数输入!$B$145*(1-核心参数输入!$B$78)/10000,0)</f>
        <v>0</v>
      </c>
      <c r="DE121" s="9">
        <f>IF(105&lt;=核心参数输入!$B$9*4,DE120*核心参数输入!$B$145*(1-核心参数输入!$B$78)/10000,0)</f>
        <v>0</v>
      </c>
      <c r="DF121" s="9">
        <f>IF(106&lt;=核心参数输入!$B$9*4,DF120*核心参数输入!$B$145*(1-核心参数输入!$B$78)/10000,0)</f>
        <v>0</v>
      </c>
      <c r="DG121" s="9">
        <f>IF(107&lt;=核心参数输入!$B$9*4,DG120*核心参数输入!$B$145*(1-核心参数输入!$B$78)/10000,0)</f>
        <v>0</v>
      </c>
      <c r="DH121" s="9">
        <f>IF(108&lt;=核心参数输入!$B$9*4,DH120*核心参数输入!$B$145*(1-核心参数输入!$B$78)/10000,0)</f>
        <v>0</v>
      </c>
      <c r="DI121" s="9">
        <f>IF(109&lt;=核心参数输入!$B$9*4,DI120*核心参数输入!$B$145*(1-核心参数输入!$B$78)/10000,0)</f>
        <v>0</v>
      </c>
      <c r="DJ121" s="9">
        <f>IF(110&lt;=核心参数输入!$B$9*4,DJ120*核心参数输入!$B$145*(1-核心参数输入!$B$78)/10000,0)</f>
        <v>0</v>
      </c>
      <c r="DK121" s="9">
        <f>IF(111&lt;=核心参数输入!$B$9*4,DK120*核心参数输入!$B$145*(1-核心参数输入!$B$78)/10000,0)</f>
        <v>0</v>
      </c>
      <c r="DL121" s="9">
        <f>IF(112&lt;=核心参数输入!$B$9*4,DL120*核心参数输入!$B$145*(1-核心参数输入!$B$78)/10000,0)</f>
        <v>0</v>
      </c>
      <c r="DM121" s="9">
        <f>IF(113&lt;=核心参数输入!$B$9*4,DM120*核心参数输入!$B$145*(1-核心参数输入!$B$78)/10000,0)</f>
        <v>0</v>
      </c>
      <c r="DN121" s="9">
        <f>IF(114&lt;=核心参数输入!$B$9*4,DN120*核心参数输入!$B$145*(1-核心参数输入!$B$78)/10000,0)</f>
        <v>0</v>
      </c>
      <c r="DO121" s="9">
        <f>IF(115&lt;=核心参数输入!$B$9*4,DO120*核心参数输入!$B$145*(1-核心参数输入!$B$78)/10000,0)</f>
        <v>0</v>
      </c>
      <c r="DP121" s="9">
        <f>IF(116&lt;=核心参数输入!$B$9*4,DP120*核心参数输入!$B$145*(1-核心参数输入!$B$78)/10000,0)</f>
        <v>0</v>
      </c>
      <c r="DQ121" s="9">
        <f>IF(117&lt;=核心参数输入!$B$9*4,DQ120*核心参数输入!$B$145*(1-核心参数输入!$B$78)/10000,0)</f>
        <v>0</v>
      </c>
      <c r="DR121" s="9">
        <f>IF(118&lt;=核心参数输入!$B$9*4,DR120*核心参数输入!$B$145*(1-核心参数输入!$B$78)/10000,0)</f>
        <v>0</v>
      </c>
      <c r="DS121" s="9">
        <f>IF(119&lt;=核心参数输入!$B$9*4,DS120*核心参数输入!$B$145*(1-核心参数输入!$B$78)/10000,0)</f>
        <v>0</v>
      </c>
      <c r="DT121" s="9">
        <f>IF(120&lt;=核心参数输入!$B$9*4,DT120*核心参数输入!$B$145*(1-核心参数输入!$B$78)/10000,0)</f>
        <v>0</v>
      </c>
    </row>
    <row r="122" spans="1:124" ht="21" customHeight="1">
      <c r="A122" s="8" t="s">
        <v>365</v>
      </c>
      <c r="B122" s="8" t="s">
        <v>39</v>
      </c>
      <c r="C122" s="8"/>
      <c r="D122" s="9">
        <f>IF(0&lt;=核心参数输入!$B$9*4,D121*核心参数输入!$B$102+(IF(AND(0-核心参数输入!$B$103&gt;=0,0-核心参数输入!$B$103&lt;=120),INDEX(季度经营税费!$D$121:$DT$121,1,MAX(1,MIN(121,0-核心参数输入!$B$103+1))),0))*(1-核心参数输入!$B$102),0)</f>
        <v>0</v>
      </c>
      <c r="E122" s="9">
        <f>IF(1&lt;=核心参数输入!$B$9*4,E121*核心参数输入!$B$102+(IF(AND(1-核心参数输入!$B$103&gt;=0,1-核心参数输入!$B$103&lt;=120),INDEX(季度经营税费!$D$121:$DT$121,1,MAX(1,MIN(121,1-核心参数输入!$B$103+1))),0))*(1-核心参数输入!$B$102),0)</f>
        <v>0</v>
      </c>
      <c r="F122" s="9">
        <f>IF(2&lt;=核心参数输入!$B$9*4,F121*核心参数输入!$B$102+(IF(AND(2-核心参数输入!$B$103&gt;=0,2-核心参数输入!$B$103&lt;=120),INDEX(季度经营税费!$D$121:$DT$121,1,MAX(1,MIN(121,2-核心参数输入!$B$103+1))),0))*(1-核心参数输入!$B$102),0)</f>
        <v>0</v>
      </c>
      <c r="G122" s="9">
        <f>IF(3&lt;=核心参数输入!$B$9*4,G121*核心参数输入!$B$102+(IF(AND(3-核心参数输入!$B$103&gt;=0,3-核心参数输入!$B$103&lt;=120),INDEX(季度经营税费!$D$121:$DT$121,1,MAX(1,MIN(121,3-核心参数输入!$B$103+1))),0))*(1-核心参数输入!$B$102),0)</f>
        <v>0</v>
      </c>
      <c r="H122" s="9">
        <f>IF(4&lt;=核心参数输入!$B$9*4,H121*核心参数输入!$B$102+(IF(AND(4-核心参数输入!$B$103&gt;=0,4-核心参数输入!$B$103&lt;=120),INDEX(季度经营税费!$D$121:$DT$121,1,MAX(1,MIN(121,4-核心参数输入!$B$103+1))),0))*(1-核心参数输入!$B$102),0)</f>
        <v>0</v>
      </c>
      <c r="I122" s="9">
        <f>IF(5&lt;=核心参数输入!$B$9*4,I121*核心参数输入!$B$102+(IF(AND(5-核心参数输入!$B$103&gt;=0,5-核心参数输入!$B$103&lt;=120),INDEX(季度经营税费!$D$121:$DT$121,1,MAX(1,MIN(121,5-核心参数输入!$B$103+1))),0))*(1-核心参数输入!$B$102),0)</f>
        <v>0</v>
      </c>
      <c r="J122" s="9">
        <f>IF(6&lt;=核心参数输入!$B$9*4,J121*核心参数输入!$B$102+(IF(AND(6-核心参数输入!$B$103&gt;=0,6-核心参数输入!$B$103&lt;=120),INDEX(季度经营税费!$D$121:$DT$121,1,MAX(1,MIN(121,6-核心参数输入!$B$103+1))),0))*(1-核心参数输入!$B$102),0)</f>
        <v>0</v>
      </c>
      <c r="K122" s="9">
        <f>IF(7&lt;=核心参数输入!$B$9*4,K121*核心参数输入!$B$102+(IF(AND(7-核心参数输入!$B$103&gt;=0,7-核心参数输入!$B$103&lt;=120),INDEX(季度经营税费!$D$121:$DT$121,1,MAX(1,MIN(121,7-核心参数输入!$B$103+1))),0))*(1-核心参数输入!$B$102),0)</f>
        <v>0</v>
      </c>
      <c r="L122" s="9">
        <f>IF(8&lt;=核心参数输入!$B$9*4,L121*核心参数输入!$B$102+(IF(AND(8-核心参数输入!$B$103&gt;=0,8-核心参数输入!$B$103&lt;=120),INDEX(季度经营税费!$D$121:$DT$121,1,MAX(1,MIN(121,8-核心参数输入!$B$103+1))),0))*(1-核心参数输入!$B$102),0)</f>
        <v>0</v>
      </c>
      <c r="M122" s="9">
        <f>IF(9&lt;=核心参数输入!$B$9*4,M121*核心参数输入!$B$102+(IF(AND(9-核心参数输入!$B$103&gt;=0,9-核心参数输入!$B$103&lt;=120),INDEX(季度经营税费!$D$121:$DT$121,1,MAX(1,MIN(121,9-核心参数输入!$B$103+1))),0))*(1-核心参数输入!$B$102),0)</f>
        <v>0</v>
      </c>
      <c r="N122" s="9">
        <f>IF(10&lt;=核心参数输入!$B$9*4,N121*核心参数输入!$B$102+(IF(AND(10-核心参数输入!$B$103&gt;=0,10-核心参数输入!$B$103&lt;=120),INDEX(季度经营税费!$D$121:$DT$121,1,MAX(1,MIN(121,10-核心参数输入!$B$103+1))),0))*(1-核心参数输入!$B$102),0)</f>
        <v>0</v>
      </c>
      <c r="O122" s="9">
        <f>IF(11&lt;=核心参数输入!$B$9*4,O121*核心参数输入!$B$102+(IF(AND(11-核心参数输入!$B$103&gt;=0,11-核心参数输入!$B$103&lt;=120),INDEX(季度经营税费!$D$121:$DT$121,1,MAX(1,MIN(121,11-核心参数输入!$B$103+1))),0))*(1-核心参数输入!$B$102),0)</f>
        <v>0</v>
      </c>
      <c r="P122" s="9">
        <f>IF(12&lt;=核心参数输入!$B$9*4,P121*核心参数输入!$B$102+(IF(AND(12-核心参数输入!$B$103&gt;=0,12-核心参数输入!$B$103&lt;=120),INDEX(季度经营税费!$D$121:$DT$121,1,MAX(1,MIN(121,12-核心参数输入!$B$103+1))),0))*(1-核心参数输入!$B$102),0)</f>
        <v>0</v>
      </c>
      <c r="Q122" s="9">
        <f>IF(13&lt;=核心参数输入!$B$9*4,Q121*核心参数输入!$B$102+(IF(AND(13-核心参数输入!$B$103&gt;=0,13-核心参数输入!$B$103&lt;=120),INDEX(季度经营税费!$D$121:$DT$121,1,MAX(1,MIN(121,13-核心参数输入!$B$103+1))),0))*(1-核心参数输入!$B$102),0)</f>
        <v>2280.4031249999998</v>
      </c>
      <c r="R122" s="9">
        <f>IF(14&lt;=核心参数输入!$B$9*4,R121*核心参数输入!$B$102+(IF(AND(14-核心参数输入!$B$103&gt;=0,14-核心参数输入!$B$103&lt;=120),INDEX(季度经营税费!$D$121:$DT$121,1,MAX(1,MIN(121,14-核心参数输入!$B$103+1))),0))*(1-核心参数输入!$B$102),0)</f>
        <v>3257.71875</v>
      </c>
      <c r="S122" s="9">
        <f>IF(15&lt;=核心参数输入!$B$9*4,S121*核心参数输入!$B$102+(IF(AND(15-核心参数输入!$B$103&gt;=0,15-核心参数输入!$B$103&lt;=120),INDEX(季度经营税费!$D$121:$DT$121,1,MAX(1,MIN(121,15-核心参数输入!$B$103+1))),0))*(1-核心参数输入!$B$102),0)</f>
        <v>3257.71875</v>
      </c>
      <c r="T122" s="9">
        <f>IF(16&lt;=核心参数输入!$B$9*4,T121*核心参数输入!$B$102+(IF(AND(16-核心参数输入!$B$103&gt;=0,16-核心参数输入!$B$103&lt;=120),INDEX(季度经营税费!$D$121:$DT$121,1,MAX(1,MIN(121,16-核心参数输入!$B$103+1))),0))*(1-核心参数输入!$B$102),0)</f>
        <v>3257.71875</v>
      </c>
      <c r="U122" s="9">
        <f>IF(17&lt;=核心参数输入!$B$9*4,U121*核心参数输入!$B$102+(IF(AND(17-核心参数输入!$B$103&gt;=0,17-核心参数输入!$B$103&lt;=120),INDEX(季度经营税费!$D$121:$DT$121,1,MAX(1,MIN(121,17-核心参数输入!$B$103+1))),0))*(1-核心参数输入!$B$102),0)</f>
        <v>4017.8531250000001</v>
      </c>
      <c r="V122" s="9">
        <f>IF(18&lt;=核心参数输入!$B$9*4,V121*核心参数输入!$B$102+(IF(AND(18-核心参数输入!$B$103&gt;=0,18-核心参数输入!$B$103&lt;=120),INDEX(季度经营税费!$D$121:$DT$121,1,MAX(1,MIN(121,18-核心参数输入!$B$103+1))),0))*(1-核心参数输入!$B$102),0)</f>
        <v>4343.625</v>
      </c>
      <c r="W122" s="9">
        <f>IF(19&lt;=核心参数输入!$B$9*4,W121*核心参数输入!$B$102+(IF(AND(19-核心参数输入!$B$103&gt;=0,19-核心参数输入!$B$103&lt;=120),INDEX(季度经营税费!$D$121:$DT$121,1,MAX(1,MIN(121,19-核心参数输入!$B$103+1))),0))*(1-核心参数输入!$B$102),0)</f>
        <v>4343.625</v>
      </c>
      <c r="X122" s="9">
        <f>IF(20&lt;=核心参数输入!$B$9*4,X121*核心参数输入!$B$102+(IF(AND(20-核心参数输入!$B$103&gt;=0,20-核心参数输入!$B$103&lt;=120),INDEX(季度经营税费!$D$121:$DT$121,1,MAX(1,MIN(121,20-核心参数输入!$B$103+1))),0))*(1-核心参数输入!$B$102),0)</f>
        <v>4343.625</v>
      </c>
      <c r="Y122" s="9">
        <f>IF(21&lt;=核心参数输入!$B$9*4,Y121*核心参数输入!$B$102+(IF(AND(21-核心参数输入!$B$103&gt;=0,21-核心参数输入!$B$103&lt;=120),INDEX(季度经营税费!$D$121:$DT$121,1,MAX(1,MIN(121,21-核心参数输入!$B$103+1))),0))*(1-核心参数输入!$B$102),0)</f>
        <v>3583.4906249999999</v>
      </c>
      <c r="Z122" s="9">
        <f>IF(22&lt;=核心参数输入!$B$9*4,Z121*核心参数输入!$B$102+(IF(AND(22-核心参数输入!$B$103&gt;=0,22-核心参数输入!$B$103&lt;=120),INDEX(季度经营税费!$D$121:$DT$121,1,MAX(1,MIN(121,22-核心参数输入!$B$103+1))),0))*(1-核心参数输入!$B$102),0)</f>
        <v>3257.71875</v>
      </c>
      <c r="AA122" s="9">
        <f>IF(23&lt;=核心参数输入!$B$9*4,AA121*核心参数输入!$B$102+(IF(AND(23-核心参数输入!$B$103&gt;=0,23-核心参数输入!$B$103&lt;=120),INDEX(季度经营税费!$D$121:$DT$121,1,MAX(1,MIN(121,23-核心参数输入!$B$103+1))),0))*(1-核心参数输入!$B$102),0)</f>
        <v>3257.71875</v>
      </c>
      <c r="AB122" s="9">
        <f>IF(24&lt;=核心参数输入!$B$9*4,AB121*核心参数输入!$B$102+(IF(AND(24-核心参数输入!$B$103&gt;=0,24-核心参数输入!$B$103&lt;=120),INDEX(季度经营税费!$D$121:$DT$121,1,MAX(1,MIN(121,24-核心参数输入!$B$103+1))),0))*(1-核心参数输入!$B$102),0)</f>
        <v>3257.71875</v>
      </c>
      <c r="AC122" s="9">
        <f>IF(25&lt;=核心参数输入!$B$9*4,AC121*核心参数输入!$B$102+(IF(AND(25-核心参数输入!$B$103&gt;=0,25-核心参数输入!$B$103&lt;=120),INDEX(季度经营税费!$D$121:$DT$121,1,MAX(1,MIN(121,25-核心参数输入!$B$103+1))),0))*(1-核心参数输入!$B$102),0)</f>
        <v>977.31562500000018</v>
      </c>
      <c r="AD122" s="9">
        <f>IF(26&lt;=核心参数输入!$B$9*4,AD121*核心参数输入!$B$102+(IF(AND(26-核心参数输入!$B$103&gt;=0,26-核心参数输入!$B$103&lt;=120),INDEX(季度经营税费!$D$121:$DT$121,1,MAX(1,MIN(121,26-核心参数输入!$B$103+1))),0))*(1-核心参数输入!$B$102),0)</f>
        <v>0</v>
      </c>
      <c r="AE122" s="9">
        <f>IF(27&lt;=核心参数输入!$B$9*4,AE121*核心参数输入!$B$102+(IF(AND(27-核心参数输入!$B$103&gt;=0,27-核心参数输入!$B$103&lt;=120),INDEX(季度经营税费!$D$121:$DT$121,1,MAX(1,MIN(121,27-核心参数输入!$B$103+1))),0))*(1-核心参数输入!$B$102),0)</f>
        <v>0</v>
      </c>
      <c r="AF122" s="9">
        <f>IF(28&lt;=核心参数输入!$B$9*4,AF121*核心参数输入!$B$102+(IF(AND(28-核心参数输入!$B$103&gt;=0,28-核心参数输入!$B$103&lt;=120),INDEX(季度经营税费!$D$121:$DT$121,1,MAX(1,MIN(121,28-核心参数输入!$B$103+1))),0))*(1-核心参数输入!$B$102),0)</f>
        <v>0</v>
      </c>
      <c r="AG122" s="9">
        <f>IF(29&lt;=核心参数输入!$B$9*4,AG121*核心参数输入!$B$102+(IF(AND(29-核心参数输入!$B$103&gt;=0,29-核心参数输入!$B$103&lt;=120),INDEX(季度经营税费!$D$121:$DT$121,1,MAX(1,MIN(121,29-核心参数输入!$B$103+1))),0))*(1-核心参数输入!$B$102),0)</f>
        <v>0</v>
      </c>
      <c r="AH122" s="9">
        <f>IF(30&lt;=核心参数输入!$B$9*4,AH121*核心参数输入!$B$102+(IF(AND(30-核心参数输入!$B$103&gt;=0,30-核心参数输入!$B$103&lt;=120),INDEX(季度经营税费!$D$121:$DT$121,1,MAX(1,MIN(121,30-核心参数输入!$B$103+1))),0))*(1-核心参数输入!$B$102),0)</f>
        <v>0</v>
      </c>
      <c r="AI122" s="9">
        <f>IF(31&lt;=核心参数输入!$B$9*4,AI121*核心参数输入!$B$102+(IF(AND(31-核心参数输入!$B$103&gt;=0,31-核心参数输入!$B$103&lt;=120),INDEX(季度经营税费!$D$121:$DT$121,1,MAX(1,MIN(121,31-核心参数输入!$B$103+1))),0))*(1-核心参数输入!$B$102),0)</f>
        <v>0</v>
      </c>
      <c r="AJ122" s="9">
        <f>IF(32&lt;=核心参数输入!$B$9*4,AJ121*核心参数输入!$B$102+(IF(AND(32-核心参数输入!$B$103&gt;=0,32-核心参数输入!$B$103&lt;=120),INDEX(季度经营税费!$D$121:$DT$121,1,MAX(1,MIN(121,32-核心参数输入!$B$103+1))),0))*(1-核心参数输入!$B$102),0)</f>
        <v>0</v>
      </c>
      <c r="AK122" s="9">
        <f>IF(33&lt;=核心参数输入!$B$9*4,AK121*核心参数输入!$B$102+(IF(AND(33-核心参数输入!$B$103&gt;=0,33-核心参数输入!$B$103&lt;=120),INDEX(季度经营税费!$D$121:$DT$121,1,MAX(1,MIN(121,33-核心参数输入!$B$103+1))),0))*(1-核心参数输入!$B$102),0)</f>
        <v>0</v>
      </c>
      <c r="AL122" s="9">
        <f>IF(34&lt;=核心参数输入!$B$9*4,AL121*核心参数输入!$B$102+(IF(AND(34-核心参数输入!$B$103&gt;=0,34-核心参数输入!$B$103&lt;=120),INDEX(季度经营税费!$D$121:$DT$121,1,MAX(1,MIN(121,34-核心参数输入!$B$103+1))),0))*(1-核心参数输入!$B$102),0)</f>
        <v>0</v>
      </c>
      <c r="AM122" s="9">
        <f>IF(35&lt;=核心参数输入!$B$9*4,AM121*核心参数输入!$B$102+(IF(AND(35-核心参数输入!$B$103&gt;=0,35-核心参数输入!$B$103&lt;=120),INDEX(季度经营税费!$D$121:$DT$121,1,MAX(1,MIN(121,35-核心参数输入!$B$103+1))),0))*(1-核心参数输入!$B$102),0)</f>
        <v>0</v>
      </c>
      <c r="AN122" s="9">
        <f>IF(36&lt;=核心参数输入!$B$9*4,AN121*核心参数输入!$B$102+(IF(AND(36-核心参数输入!$B$103&gt;=0,36-核心参数输入!$B$103&lt;=120),INDEX(季度经营税费!$D$121:$DT$121,1,MAX(1,MIN(121,36-核心参数输入!$B$103+1))),0))*(1-核心参数输入!$B$102),0)</f>
        <v>0</v>
      </c>
      <c r="AO122" s="9">
        <f>IF(37&lt;=核心参数输入!$B$9*4,AO121*核心参数输入!$B$102+(IF(AND(37-核心参数输入!$B$103&gt;=0,37-核心参数输入!$B$103&lt;=120),INDEX(季度经营税费!$D$121:$DT$121,1,MAX(1,MIN(121,37-核心参数输入!$B$103+1))),0))*(1-核心参数输入!$B$102),0)</f>
        <v>0</v>
      </c>
      <c r="AP122" s="9">
        <f>IF(38&lt;=核心参数输入!$B$9*4,AP121*核心参数输入!$B$102+(IF(AND(38-核心参数输入!$B$103&gt;=0,38-核心参数输入!$B$103&lt;=120),INDEX(季度经营税费!$D$121:$DT$121,1,MAX(1,MIN(121,38-核心参数输入!$B$103+1))),0))*(1-核心参数输入!$B$102),0)</f>
        <v>0</v>
      </c>
      <c r="AQ122" s="9">
        <f>IF(39&lt;=核心参数输入!$B$9*4,AQ121*核心参数输入!$B$102+(IF(AND(39-核心参数输入!$B$103&gt;=0,39-核心参数输入!$B$103&lt;=120),INDEX(季度经营税费!$D$121:$DT$121,1,MAX(1,MIN(121,39-核心参数输入!$B$103+1))),0))*(1-核心参数输入!$B$102),0)</f>
        <v>0</v>
      </c>
      <c r="AR122" s="9">
        <f>IF(40&lt;=核心参数输入!$B$9*4,AR121*核心参数输入!$B$102+(IF(AND(40-核心参数输入!$B$103&gt;=0,40-核心参数输入!$B$103&lt;=120),INDEX(季度经营税费!$D$121:$DT$121,1,MAX(1,MIN(121,40-核心参数输入!$B$103+1))),0))*(1-核心参数输入!$B$102),0)</f>
        <v>0</v>
      </c>
      <c r="AS122" s="9">
        <f>IF(41&lt;=核心参数输入!$B$9*4,AS121*核心参数输入!$B$102+(IF(AND(41-核心参数输入!$B$103&gt;=0,41-核心参数输入!$B$103&lt;=120),INDEX(季度经营税费!$D$121:$DT$121,1,MAX(1,MIN(121,41-核心参数输入!$B$103+1))),0))*(1-核心参数输入!$B$102),0)</f>
        <v>0</v>
      </c>
      <c r="AT122" s="9">
        <f>IF(42&lt;=核心参数输入!$B$9*4,AT121*核心参数输入!$B$102+(IF(AND(42-核心参数输入!$B$103&gt;=0,42-核心参数输入!$B$103&lt;=120),INDEX(季度经营税费!$D$121:$DT$121,1,MAX(1,MIN(121,42-核心参数输入!$B$103+1))),0))*(1-核心参数输入!$B$102),0)</f>
        <v>0</v>
      </c>
      <c r="AU122" s="9">
        <f>IF(43&lt;=核心参数输入!$B$9*4,AU121*核心参数输入!$B$102+(IF(AND(43-核心参数输入!$B$103&gt;=0,43-核心参数输入!$B$103&lt;=120),INDEX(季度经营税费!$D$121:$DT$121,1,MAX(1,MIN(121,43-核心参数输入!$B$103+1))),0))*(1-核心参数输入!$B$102),0)</f>
        <v>0</v>
      </c>
      <c r="AV122" s="9">
        <f>IF(44&lt;=核心参数输入!$B$9*4,AV121*核心参数输入!$B$102+(IF(AND(44-核心参数输入!$B$103&gt;=0,44-核心参数输入!$B$103&lt;=120),INDEX(季度经营税费!$D$121:$DT$121,1,MAX(1,MIN(121,44-核心参数输入!$B$103+1))),0))*(1-核心参数输入!$B$102),0)</f>
        <v>0</v>
      </c>
      <c r="AW122" s="9">
        <f>IF(45&lt;=核心参数输入!$B$9*4,AW121*核心参数输入!$B$102+(IF(AND(45-核心参数输入!$B$103&gt;=0,45-核心参数输入!$B$103&lt;=120),INDEX(季度经营税费!$D$121:$DT$121,1,MAX(1,MIN(121,45-核心参数输入!$B$103+1))),0))*(1-核心参数输入!$B$102),0)</f>
        <v>0</v>
      </c>
      <c r="AX122" s="9">
        <f>IF(46&lt;=核心参数输入!$B$9*4,AX121*核心参数输入!$B$102+(IF(AND(46-核心参数输入!$B$103&gt;=0,46-核心参数输入!$B$103&lt;=120),INDEX(季度经营税费!$D$121:$DT$121,1,MAX(1,MIN(121,46-核心参数输入!$B$103+1))),0))*(1-核心参数输入!$B$102),0)</f>
        <v>0</v>
      </c>
      <c r="AY122" s="9">
        <f>IF(47&lt;=核心参数输入!$B$9*4,AY121*核心参数输入!$B$102+(IF(AND(47-核心参数输入!$B$103&gt;=0,47-核心参数输入!$B$103&lt;=120),INDEX(季度经营税费!$D$121:$DT$121,1,MAX(1,MIN(121,47-核心参数输入!$B$103+1))),0))*(1-核心参数输入!$B$102),0)</f>
        <v>0</v>
      </c>
      <c r="AZ122" s="9">
        <f>IF(48&lt;=核心参数输入!$B$9*4,AZ121*核心参数输入!$B$102+(IF(AND(48-核心参数输入!$B$103&gt;=0,48-核心参数输入!$B$103&lt;=120),INDEX(季度经营税费!$D$121:$DT$121,1,MAX(1,MIN(121,48-核心参数输入!$B$103+1))),0))*(1-核心参数输入!$B$102),0)</f>
        <v>0</v>
      </c>
      <c r="BA122" s="9">
        <f>IF(49&lt;=核心参数输入!$B$9*4,BA121*核心参数输入!$B$102+(IF(AND(49-核心参数输入!$B$103&gt;=0,49-核心参数输入!$B$103&lt;=120),INDEX(季度经营税费!$D$121:$DT$121,1,MAX(1,MIN(121,49-核心参数输入!$B$103+1))),0))*(1-核心参数输入!$B$102),0)</f>
        <v>0</v>
      </c>
      <c r="BB122" s="9">
        <f>IF(50&lt;=核心参数输入!$B$9*4,BB121*核心参数输入!$B$102+(IF(AND(50-核心参数输入!$B$103&gt;=0,50-核心参数输入!$B$103&lt;=120),INDEX(季度经营税费!$D$121:$DT$121,1,MAX(1,MIN(121,50-核心参数输入!$B$103+1))),0))*(1-核心参数输入!$B$102),0)</f>
        <v>0</v>
      </c>
      <c r="BC122" s="9">
        <f>IF(51&lt;=核心参数输入!$B$9*4,BC121*核心参数输入!$B$102+(IF(AND(51-核心参数输入!$B$103&gt;=0,51-核心参数输入!$B$103&lt;=120),INDEX(季度经营税费!$D$121:$DT$121,1,MAX(1,MIN(121,51-核心参数输入!$B$103+1))),0))*(1-核心参数输入!$B$102),0)</f>
        <v>0</v>
      </c>
      <c r="BD122" s="9">
        <f>IF(52&lt;=核心参数输入!$B$9*4,BD121*核心参数输入!$B$102+(IF(AND(52-核心参数输入!$B$103&gt;=0,52-核心参数输入!$B$103&lt;=120),INDEX(季度经营税费!$D$121:$DT$121,1,MAX(1,MIN(121,52-核心参数输入!$B$103+1))),0))*(1-核心参数输入!$B$102),0)</f>
        <v>0</v>
      </c>
      <c r="BE122" s="9">
        <f>IF(53&lt;=核心参数输入!$B$9*4,BE121*核心参数输入!$B$102+(IF(AND(53-核心参数输入!$B$103&gt;=0,53-核心参数输入!$B$103&lt;=120),INDEX(季度经营税费!$D$121:$DT$121,1,MAX(1,MIN(121,53-核心参数输入!$B$103+1))),0))*(1-核心参数输入!$B$102),0)</f>
        <v>0</v>
      </c>
      <c r="BF122" s="9">
        <f>IF(54&lt;=核心参数输入!$B$9*4,BF121*核心参数输入!$B$102+(IF(AND(54-核心参数输入!$B$103&gt;=0,54-核心参数输入!$B$103&lt;=120),INDEX(季度经营税费!$D$121:$DT$121,1,MAX(1,MIN(121,54-核心参数输入!$B$103+1))),0))*(1-核心参数输入!$B$102),0)</f>
        <v>0</v>
      </c>
      <c r="BG122" s="9">
        <f>IF(55&lt;=核心参数输入!$B$9*4,BG121*核心参数输入!$B$102+(IF(AND(55-核心参数输入!$B$103&gt;=0,55-核心参数输入!$B$103&lt;=120),INDEX(季度经营税费!$D$121:$DT$121,1,MAX(1,MIN(121,55-核心参数输入!$B$103+1))),0))*(1-核心参数输入!$B$102),0)</f>
        <v>0</v>
      </c>
      <c r="BH122" s="9">
        <f>IF(56&lt;=核心参数输入!$B$9*4,BH121*核心参数输入!$B$102+(IF(AND(56-核心参数输入!$B$103&gt;=0,56-核心参数输入!$B$103&lt;=120),INDEX(季度经营税费!$D$121:$DT$121,1,MAX(1,MIN(121,56-核心参数输入!$B$103+1))),0))*(1-核心参数输入!$B$102),0)</f>
        <v>0</v>
      </c>
      <c r="BI122" s="9">
        <f>IF(57&lt;=核心参数输入!$B$9*4,BI121*核心参数输入!$B$102+(IF(AND(57-核心参数输入!$B$103&gt;=0,57-核心参数输入!$B$103&lt;=120),INDEX(季度经营税费!$D$121:$DT$121,1,MAX(1,MIN(121,57-核心参数输入!$B$103+1))),0))*(1-核心参数输入!$B$102),0)</f>
        <v>0</v>
      </c>
      <c r="BJ122" s="9">
        <f>IF(58&lt;=核心参数输入!$B$9*4,BJ121*核心参数输入!$B$102+(IF(AND(58-核心参数输入!$B$103&gt;=0,58-核心参数输入!$B$103&lt;=120),INDEX(季度经营税费!$D$121:$DT$121,1,MAX(1,MIN(121,58-核心参数输入!$B$103+1))),0))*(1-核心参数输入!$B$102),0)</f>
        <v>0</v>
      </c>
      <c r="BK122" s="9">
        <f>IF(59&lt;=核心参数输入!$B$9*4,BK121*核心参数输入!$B$102+(IF(AND(59-核心参数输入!$B$103&gt;=0,59-核心参数输入!$B$103&lt;=120),INDEX(季度经营税费!$D$121:$DT$121,1,MAX(1,MIN(121,59-核心参数输入!$B$103+1))),0))*(1-核心参数输入!$B$102),0)</f>
        <v>0</v>
      </c>
      <c r="BL122" s="9">
        <f>IF(60&lt;=核心参数输入!$B$9*4,BL121*核心参数输入!$B$102+(IF(AND(60-核心参数输入!$B$103&gt;=0,60-核心参数输入!$B$103&lt;=120),INDEX(季度经营税费!$D$121:$DT$121,1,MAX(1,MIN(121,60-核心参数输入!$B$103+1))),0))*(1-核心参数输入!$B$102),0)</f>
        <v>0</v>
      </c>
      <c r="BM122" s="9">
        <f>IF(61&lt;=核心参数输入!$B$9*4,BM121*核心参数输入!$B$102+(IF(AND(61-核心参数输入!$B$103&gt;=0,61-核心参数输入!$B$103&lt;=120),INDEX(季度经营税费!$D$121:$DT$121,1,MAX(1,MIN(121,61-核心参数输入!$B$103+1))),0))*(1-核心参数输入!$B$102),0)</f>
        <v>0</v>
      </c>
      <c r="BN122" s="9">
        <f>IF(62&lt;=核心参数输入!$B$9*4,BN121*核心参数输入!$B$102+(IF(AND(62-核心参数输入!$B$103&gt;=0,62-核心参数输入!$B$103&lt;=120),INDEX(季度经营税费!$D$121:$DT$121,1,MAX(1,MIN(121,62-核心参数输入!$B$103+1))),0))*(1-核心参数输入!$B$102),0)</f>
        <v>0</v>
      </c>
      <c r="BO122" s="9">
        <f>IF(63&lt;=核心参数输入!$B$9*4,BO121*核心参数输入!$B$102+(IF(AND(63-核心参数输入!$B$103&gt;=0,63-核心参数输入!$B$103&lt;=120),INDEX(季度经营税费!$D$121:$DT$121,1,MAX(1,MIN(121,63-核心参数输入!$B$103+1))),0))*(1-核心参数输入!$B$102),0)</f>
        <v>0</v>
      </c>
      <c r="BP122" s="9">
        <f>IF(64&lt;=核心参数输入!$B$9*4,BP121*核心参数输入!$B$102+(IF(AND(64-核心参数输入!$B$103&gt;=0,64-核心参数输入!$B$103&lt;=120),INDEX(季度经营税费!$D$121:$DT$121,1,MAX(1,MIN(121,64-核心参数输入!$B$103+1))),0))*(1-核心参数输入!$B$102),0)</f>
        <v>0</v>
      </c>
      <c r="BQ122" s="9">
        <f>IF(65&lt;=核心参数输入!$B$9*4,BQ121*核心参数输入!$B$102+(IF(AND(65-核心参数输入!$B$103&gt;=0,65-核心参数输入!$B$103&lt;=120),INDEX(季度经营税费!$D$121:$DT$121,1,MAX(1,MIN(121,65-核心参数输入!$B$103+1))),0))*(1-核心参数输入!$B$102),0)</f>
        <v>0</v>
      </c>
      <c r="BR122" s="9">
        <f>IF(66&lt;=核心参数输入!$B$9*4,BR121*核心参数输入!$B$102+(IF(AND(66-核心参数输入!$B$103&gt;=0,66-核心参数输入!$B$103&lt;=120),INDEX(季度经营税费!$D$121:$DT$121,1,MAX(1,MIN(121,66-核心参数输入!$B$103+1))),0))*(1-核心参数输入!$B$102),0)</f>
        <v>0</v>
      </c>
      <c r="BS122" s="9">
        <f>IF(67&lt;=核心参数输入!$B$9*4,BS121*核心参数输入!$B$102+(IF(AND(67-核心参数输入!$B$103&gt;=0,67-核心参数输入!$B$103&lt;=120),INDEX(季度经营税费!$D$121:$DT$121,1,MAX(1,MIN(121,67-核心参数输入!$B$103+1))),0))*(1-核心参数输入!$B$102),0)</f>
        <v>0</v>
      </c>
      <c r="BT122" s="9">
        <f>IF(68&lt;=核心参数输入!$B$9*4,BT121*核心参数输入!$B$102+(IF(AND(68-核心参数输入!$B$103&gt;=0,68-核心参数输入!$B$103&lt;=120),INDEX(季度经营税费!$D$121:$DT$121,1,MAX(1,MIN(121,68-核心参数输入!$B$103+1))),0))*(1-核心参数输入!$B$102),0)</f>
        <v>0</v>
      </c>
      <c r="BU122" s="9">
        <f>IF(69&lt;=核心参数输入!$B$9*4,BU121*核心参数输入!$B$102+(IF(AND(69-核心参数输入!$B$103&gt;=0,69-核心参数输入!$B$103&lt;=120),INDEX(季度经营税费!$D$121:$DT$121,1,MAX(1,MIN(121,69-核心参数输入!$B$103+1))),0))*(1-核心参数输入!$B$102),0)</f>
        <v>0</v>
      </c>
      <c r="BV122" s="9">
        <f>IF(70&lt;=核心参数输入!$B$9*4,BV121*核心参数输入!$B$102+(IF(AND(70-核心参数输入!$B$103&gt;=0,70-核心参数输入!$B$103&lt;=120),INDEX(季度经营税费!$D$121:$DT$121,1,MAX(1,MIN(121,70-核心参数输入!$B$103+1))),0))*(1-核心参数输入!$B$102),0)</f>
        <v>0</v>
      </c>
      <c r="BW122" s="9">
        <f>IF(71&lt;=核心参数输入!$B$9*4,BW121*核心参数输入!$B$102+(IF(AND(71-核心参数输入!$B$103&gt;=0,71-核心参数输入!$B$103&lt;=120),INDEX(季度经营税费!$D$121:$DT$121,1,MAX(1,MIN(121,71-核心参数输入!$B$103+1))),0))*(1-核心参数输入!$B$102),0)</f>
        <v>0</v>
      </c>
      <c r="BX122" s="9">
        <f>IF(72&lt;=核心参数输入!$B$9*4,BX121*核心参数输入!$B$102+(IF(AND(72-核心参数输入!$B$103&gt;=0,72-核心参数输入!$B$103&lt;=120),INDEX(季度经营税费!$D$121:$DT$121,1,MAX(1,MIN(121,72-核心参数输入!$B$103+1))),0))*(1-核心参数输入!$B$102),0)</f>
        <v>0</v>
      </c>
      <c r="BY122" s="9">
        <f>IF(73&lt;=核心参数输入!$B$9*4,BY121*核心参数输入!$B$102+(IF(AND(73-核心参数输入!$B$103&gt;=0,73-核心参数输入!$B$103&lt;=120),INDEX(季度经营税费!$D$121:$DT$121,1,MAX(1,MIN(121,73-核心参数输入!$B$103+1))),0))*(1-核心参数输入!$B$102),0)</f>
        <v>0</v>
      </c>
      <c r="BZ122" s="9">
        <f>IF(74&lt;=核心参数输入!$B$9*4,BZ121*核心参数输入!$B$102+(IF(AND(74-核心参数输入!$B$103&gt;=0,74-核心参数输入!$B$103&lt;=120),INDEX(季度经营税费!$D$121:$DT$121,1,MAX(1,MIN(121,74-核心参数输入!$B$103+1))),0))*(1-核心参数输入!$B$102),0)</f>
        <v>0</v>
      </c>
      <c r="CA122" s="9">
        <f>IF(75&lt;=核心参数输入!$B$9*4,CA121*核心参数输入!$B$102+(IF(AND(75-核心参数输入!$B$103&gt;=0,75-核心参数输入!$B$103&lt;=120),INDEX(季度经营税费!$D$121:$DT$121,1,MAX(1,MIN(121,75-核心参数输入!$B$103+1))),0))*(1-核心参数输入!$B$102),0)</f>
        <v>0</v>
      </c>
      <c r="CB122" s="9">
        <f>IF(76&lt;=核心参数输入!$B$9*4,CB121*核心参数输入!$B$102+(IF(AND(76-核心参数输入!$B$103&gt;=0,76-核心参数输入!$B$103&lt;=120),INDEX(季度经营税费!$D$121:$DT$121,1,MAX(1,MIN(121,76-核心参数输入!$B$103+1))),0))*(1-核心参数输入!$B$102),0)</f>
        <v>0</v>
      </c>
      <c r="CC122" s="9">
        <f>IF(77&lt;=核心参数输入!$B$9*4,CC121*核心参数输入!$B$102+(IF(AND(77-核心参数输入!$B$103&gt;=0,77-核心参数输入!$B$103&lt;=120),INDEX(季度经营税费!$D$121:$DT$121,1,MAX(1,MIN(121,77-核心参数输入!$B$103+1))),0))*(1-核心参数输入!$B$102),0)</f>
        <v>0</v>
      </c>
      <c r="CD122" s="9">
        <f>IF(78&lt;=核心参数输入!$B$9*4,CD121*核心参数输入!$B$102+(IF(AND(78-核心参数输入!$B$103&gt;=0,78-核心参数输入!$B$103&lt;=120),INDEX(季度经营税费!$D$121:$DT$121,1,MAX(1,MIN(121,78-核心参数输入!$B$103+1))),0))*(1-核心参数输入!$B$102),0)</f>
        <v>0</v>
      </c>
      <c r="CE122" s="9">
        <f>IF(79&lt;=核心参数输入!$B$9*4,CE121*核心参数输入!$B$102+(IF(AND(79-核心参数输入!$B$103&gt;=0,79-核心参数输入!$B$103&lt;=120),INDEX(季度经营税费!$D$121:$DT$121,1,MAX(1,MIN(121,79-核心参数输入!$B$103+1))),0))*(1-核心参数输入!$B$102),0)</f>
        <v>0</v>
      </c>
      <c r="CF122" s="9">
        <f>IF(80&lt;=核心参数输入!$B$9*4,CF121*核心参数输入!$B$102+(IF(AND(80-核心参数输入!$B$103&gt;=0,80-核心参数输入!$B$103&lt;=120),INDEX(季度经营税费!$D$121:$DT$121,1,MAX(1,MIN(121,80-核心参数输入!$B$103+1))),0))*(1-核心参数输入!$B$102),0)</f>
        <v>0</v>
      </c>
      <c r="CG122" s="9">
        <f>IF(81&lt;=核心参数输入!$B$9*4,CG121*核心参数输入!$B$102+(IF(AND(81-核心参数输入!$B$103&gt;=0,81-核心参数输入!$B$103&lt;=120),INDEX(季度经营税费!$D$121:$DT$121,1,MAX(1,MIN(121,81-核心参数输入!$B$103+1))),0))*(1-核心参数输入!$B$102),0)</f>
        <v>0</v>
      </c>
      <c r="CH122" s="9">
        <f>IF(82&lt;=核心参数输入!$B$9*4,CH121*核心参数输入!$B$102+(IF(AND(82-核心参数输入!$B$103&gt;=0,82-核心参数输入!$B$103&lt;=120),INDEX(季度经营税费!$D$121:$DT$121,1,MAX(1,MIN(121,82-核心参数输入!$B$103+1))),0))*(1-核心参数输入!$B$102),0)</f>
        <v>0</v>
      </c>
      <c r="CI122" s="9">
        <f>IF(83&lt;=核心参数输入!$B$9*4,CI121*核心参数输入!$B$102+(IF(AND(83-核心参数输入!$B$103&gt;=0,83-核心参数输入!$B$103&lt;=120),INDEX(季度经营税费!$D$121:$DT$121,1,MAX(1,MIN(121,83-核心参数输入!$B$103+1))),0))*(1-核心参数输入!$B$102),0)</f>
        <v>0</v>
      </c>
      <c r="CJ122" s="9">
        <f>IF(84&lt;=核心参数输入!$B$9*4,CJ121*核心参数输入!$B$102+(IF(AND(84-核心参数输入!$B$103&gt;=0,84-核心参数输入!$B$103&lt;=120),INDEX(季度经营税费!$D$121:$DT$121,1,MAX(1,MIN(121,84-核心参数输入!$B$103+1))),0))*(1-核心参数输入!$B$102),0)</f>
        <v>0</v>
      </c>
      <c r="CK122" s="9">
        <f>IF(85&lt;=核心参数输入!$B$9*4,CK121*核心参数输入!$B$102+(IF(AND(85-核心参数输入!$B$103&gt;=0,85-核心参数输入!$B$103&lt;=120),INDEX(季度经营税费!$D$121:$DT$121,1,MAX(1,MIN(121,85-核心参数输入!$B$103+1))),0))*(1-核心参数输入!$B$102),0)</f>
        <v>0</v>
      </c>
      <c r="CL122" s="9">
        <f>IF(86&lt;=核心参数输入!$B$9*4,CL121*核心参数输入!$B$102+(IF(AND(86-核心参数输入!$B$103&gt;=0,86-核心参数输入!$B$103&lt;=120),INDEX(季度经营税费!$D$121:$DT$121,1,MAX(1,MIN(121,86-核心参数输入!$B$103+1))),0))*(1-核心参数输入!$B$102),0)</f>
        <v>0</v>
      </c>
      <c r="CM122" s="9">
        <f>IF(87&lt;=核心参数输入!$B$9*4,CM121*核心参数输入!$B$102+(IF(AND(87-核心参数输入!$B$103&gt;=0,87-核心参数输入!$B$103&lt;=120),INDEX(季度经营税费!$D$121:$DT$121,1,MAX(1,MIN(121,87-核心参数输入!$B$103+1))),0))*(1-核心参数输入!$B$102),0)</f>
        <v>0</v>
      </c>
      <c r="CN122" s="9">
        <f>IF(88&lt;=核心参数输入!$B$9*4,CN121*核心参数输入!$B$102+(IF(AND(88-核心参数输入!$B$103&gt;=0,88-核心参数输入!$B$103&lt;=120),INDEX(季度经营税费!$D$121:$DT$121,1,MAX(1,MIN(121,88-核心参数输入!$B$103+1))),0))*(1-核心参数输入!$B$102),0)</f>
        <v>0</v>
      </c>
      <c r="CO122" s="9">
        <f>IF(89&lt;=核心参数输入!$B$9*4,CO121*核心参数输入!$B$102+(IF(AND(89-核心参数输入!$B$103&gt;=0,89-核心参数输入!$B$103&lt;=120),INDEX(季度经营税费!$D$121:$DT$121,1,MAX(1,MIN(121,89-核心参数输入!$B$103+1))),0))*(1-核心参数输入!$B$102),0)</f>
        <v>0</v>
      </c>
      <c r="CP122" s="9">
        <f>IF(90&lt;=核心参数输入!$B$9*4,CP121*核心参数输入!$B$102+(IF(AND(90-核心参数输入!$B$103&gt;=0,90-核心参数输入!$B$103&lt;=120),INDEX(季度经营税费!$D$121:$DT$121,1,MAX(1,MIN(121,90-核心参数输入!$B$103+1))),0))*(1-核心参数输入!$B$102),0)</f>
        <v>0</v>
      </c>
      <c r="CQ122" s="9">
        <f>IF(91&lt;=核心参数输入!$B$9*4,CQ121*核心参数输入!$B$102+(IF(AND(91-核心参数输入!$B$103&gt;=0,91-核心参数输入!$B$103&lt;=120),INDEX(季度经营税费!$D$121:$DT$121,1,MAX(1,MIN(121,91-核心参数输入!$B$103+1))),0))*(1-核心参数输入!$B$102),0)</f>
        <v>0</v>
      </c>
      <c r="CR122" s="9">
        <f>IF(92&lt;=核心参数输入!$B$9*4,CR121*核心参数输入!$B$102+(IF(AND(92-核心参数输入!$B$103&gt;=0,92-核心参数输入!$B$103&lt;=120),INDEX(季度经营税费!$D$121:$DT$121,1,MAX(1,MIN(121,92-核心参数输入!$B$103+1))),0))*(1-核心参数输入!$B$102),0)</f>
        <v>0</v>
      </c>
      <c r="CS122" s="9">
        <f>IF(93&lt;=核心参数输入!$B$9*4,CS121*核心参数输入!$B$102+(IF(AND(93-核心参数输入!$B$103&gt;=0,93-核心参数输入!$B$103&lt;=120),INDEX(季度经营税费!$D$121:$DT$121,1,MAX(1,MIN(121,93-核心参数输入!$B$103+1))),0))*(1-核心参数输入!$B$102),0)</f>
        <v>0</v>
      </c>
      <c r="CT122" s="9">
        <f>IF(94&lt;=核心参数输入!$B$9*4,CT121*核心参数输入!$B$102+(IF(AND(94-核心参数输入!$B$103&gt;=0,94-核心参数输入!$B$103&lt;=120),INDEX(季度经营税费!$D$121:$DT$121,1,MAX(1,MIN(121,94-核心参数输入!$B$103+1))),0))*(1-核心参数输入!$B$102),0)</f>
        <v>0</v>
      </c>
      <c r="CU122" s="9">
        <f>IF(95&lt;=核心参数输入!$B$9*4,CU121*核心参数输入!$B$102+(IF(AND(95-核心参数输入!$B$103&gt;=0,95-核心参数输入!$B$103&lt;=120),INDEX(季度经营税费!$D$121:$DT$121,1,MAX(1,MIN(121,95-核心参数输入!$B$103+1))),0))*(1-核心参数输入!$B$102),0)</f>
        <v>0</v>
      </c>
      <c r="CV122" s="9">
        <f>IF(96&lt;=核心参数输入!$B$9*4,CV121*核心参数输入!$B$102+(IF(AND(96-核心参数输入!$B$103&gt;=0,96-核心参数输入!$B$103&lt;=120),INDEX(季度经营税费!$D$121:$DT$121,1,MAX(1,MIN(121,96-核心参数输入!$B$103+1))),0))*(1-核心参数输入!$B$102),0)</f>
        <v>0</v>
      </c>
      <c r="CW122" s="9">
        <f>IF(97&lt;=核心参数输入!$B$9*4,CW121*核心参数输入!$B$102+(IF(AND(97-核心参数输入!$B$103&gt;=0,97-核心参数输入!$B$103&lt;=120),INDEX(季度经营税费!$D$121:$DT$121,1,MAX(1,MIN(121,97-核心参数输入!$B$103+1))),0))*(1-核心参数输入!$B$102),0)</f>
        <v>0</v>
      </c>
      <c r="CX122" s="9">
        <f>IF(98&lt;=核心参数输入!$B$9*4,CX121*核心参数输入!$B$102+(IF(AND(98-核心参数输入!$B$103&gt;=0,98-核心参数输入!$B$103&lt;=120),INDEX(季度经营税费!$D$121:$DT$121,1,MAX(1,MIN(121,98-核心参数输入!$B$103+1))),0))*(1-核心参数输入!$B$102),0)</f>
        <v>0</v>
      </c>
      <c r="CY122" s="9">
        <f>IF(99&lt;=核心参数输入!$B$9*4,CY121*核心参数输入!$B$102+(IF(AND(99-核心参数输入!$B$103&gt;=0,99-核心参数输入!$B$103&lt;=120),INDEX(季度经营税费!$D$121:$DT$121,1,MAX(1,MIN(121,99-核心参数输入!$B$103+1))),0))*(1-核心参数输入!$B$102),0)</f>
        <v>0</v>
      </c>
      <c r="CZ122" s="9">
        <f>IF(100&lt;=核心参数输入!$B$9*4,CZ121*核心参数输入!$B$102+(IF(AND(100-核心参数输入!$B$103&gt;=0,100-核心参数输入!$B$103&lt;=120),INDEX(季度经营税费!$D$121:$DT$121,1,MAX(1,MIN(121,100-核心参数输入!$B$103+1))),0))*(1-核心参数输入!$B$102),0)</f>
        <v>0</v>
      </c>
      <c r="DA122" s="9">
        <f>IF(101&lt;=核心参数输入!$B$9*4,DA121*核心参数输入!$B$102+(IF(AND(101-核心参数输入!$B$103&gt;=0,101-核心参数输入!$B$103&lt;=120),INDEX(季度经营税费!$D$121:$DT$121,1,MAX(1,MIN(121,101-核心参数输入!$B$103+1))),0))*(1-核心参数输入!$B$102),0)</f>
        <v>0</v>
      </c>
      <c r="DB122" s="9">
        <f>IF(102&lt;=核心参数输入!$B$9*4,DB121*核心参数输入!$B$102+(IF(AND(102-核心参数输入!$B$103&gt;=0,102-核心参数输入!$B$103&lt;=120),INDEX(季度经营税费!$D$121:$DT$121,1,MAX(1,MIN(121,102-核心参数输入!$B$103+1))),0))*(1-核心参数输入!$B$102),0)</f>
        <v>0</v>
      </c>
      <c r="DC122" s="9">
        <f>IF(103&lt;=核心参数输入!$B$9*4,DC121*核心参数输入!$B$102+(IF(AND(103-核心参数输入!$B$103&gt;=0,103-核心参数输入!$B$103&lt;=120),INDEX(季度经营税费!$D$121:$DT$121,1,MAX(1,MIN(121,103-核心参数输入!$B$103+1))),0))*(1-核心参数输入!$B$102),0)</f>
        <v>0</v>
      </c>
      <c r="DD122" s="9">
        <f>IF(104&lt;=核心参数输入!$B$9*4,DD121*核心参数输入!$B$102+(IF(AND(104-核心参数输入!$B$103&gt;=0,104-核心参数输入!$B$103&lt;=120),INDEX(季度经营税费!$D$121:$DT$121,1,MAX(1,MIN(121,104-核心参数输入!$B$103+1))),0))*(1-核心参数输入!$B$102),0)</f>
        <v>0</v>
      </c>
      <c r="DE122" s="9">
        <f>IF(105&lt;=核心参数输入!$B$9*4,DE121*核心参数输入!$B$102+(IF(AND(105-核心参数输入!$B$103&gt;=0,105-核心参数输入!$B$103&lt;=120),INDEX(季度经营税费!$D$121:$DT$121,1,MAX(1,MIN(121,105-核心参数输入!$B$103+1))),0))*(1-核心参数输入!$B$102),0)</f>
        <v>0</v>
      </c>
      <c r="DF122" s="9">
        <f>IF(106&lt;=核心参数输入!$B$9*4,DF121*核心参数输入!$B$102+(IF(AND(106-核心参数输入!$B$103&gt;=0,106-核心参数输入!$B$103&lt;=120),INDEX(季度经营税费!$D$121:$DT$121,1,MAX(1,MIN(121,106-核心参数输入!$B$103+1))),0))*(1-核心参数输入!$B$102),0)</f>
        <v>0</v>
      </c>
      <c r="DG122" s="9">
        <f>IF(107&lt;=核心参数输入!$B$9*4,DG121*核心参数输入!$B$102+(IF(AND(107-核心参数输入!$B$103&gt;=0,107-核心参数输入!$B$103&lt;=120),INDEX(季度经营税费!$D$121:$DT$121,1,MAX(1,MIN(121,107-核心参数输入!$B$103+1))),0))*(1-核心参数输入!$B$102),0)</f>
        <v>0</v>
      </c>
      <c r="DH122" s="9">
        <f>IF(108&lt;=核心参数输入!$B$9*4,DH121*核心参数输入!$B$102+(IF(AND(108-核心参数输入!$B$103&gt;=0,108-核心参数输入!$B$103&lt;=120),INDEX(季度经营税费!$D$121:$DT$121,1,MAX(1,MIN(121,108-核心参数输入!$B$103+1))),0))*(1-核心参数输入!$B$102),0)</f>
        <v>0</v>
      </c>
      <c r="DI122" s="9">
        <f>IF(109&lt;=核心参数输入!$B$9*4,DI121*核心参数输入!$B$102+(IF(AND(109-核心参数输入!$B$103&gt;=0,109-核心参数输入!$B$103&lt;=120),INDEX(季度经营税费!$D$121:$DT$121,1,MAX(1,MIN(121,109-核心参数输入!$B$103+1))),0))*(1-核心参数输入!$B$102),0)</f>
        <v>0</v>
      </c>
      <c r="DJ122" s="9">
        <f>IF(110&lt;=核心参数输入!$B$9*4,DJ121*核心参数输入!$B$102+(IF(AND(110-核心参数输入!$B$103&gt;=0,110-核心参数输入!$B$103&lt;=120),INDEX(季度经营税费!$D$121:$DT$121,1,MAX(1,MIN(121,110-核心参数输入!$B$103+1))),0))*(1-核心参数输入!$B$102),0)</f>
        <v>0</v>
      </c>
      <c r="DK122" s="9">
        <f>IF(111&lt;=核心参数输入!$B$9*4,DK121*核心参数输入!$B$102+(IF(AND(111-核心参数输入!$B$103&gt;=0,111-核心参数输入!$B$103&lt;=120),INDEX(季度经营税费!$D$121:$DT$121,1,MAX(1,MIN(121,111-核心参数输入!$B$103+1))),0))*(1-核心参数输入!$B$102),0)</f>
        <v>0</v>
      </c>
      <c r="DL122" s="9">
        <f>IF(112&lt;=核心参数输入!$B$9*4,DL121*核心参数输入!$B$102+(IF(AND(112-核心参数输入!$B$103&gt;=0,112-核心参数输入!$B$103&lt;=120),INDEX(季度经营税费!$D$121:$DT$121,1,MAX(1,MIN(121,112-核心参数输入!$B$103+1))),0))*(1-核心参数输入!$B$102),0)</f>
        <v>0</v>
      </c>
      <c r="DM122" s="9">
        <f>IF(113&lt;=核心参数输入!$B$9*4,DM121*核心参数输入!$B$102+(IF(AND(113-核心参数输入!$B$103&gt;=0,113-核心参数输入!$B$103&lt;=120),INDEX(季度经营税费!$D$121:$DT$121,1,MAX(1,MIN(121,113-核心参数输入!$B$103+1))),0))*(1-核心参数输入!$B$102),0)</f>
        <v>0</v>
      </c>
      <c r="DN122" s="9">
        <f>IF(114&lt;=核心参数输入!$B$9*4,DN121*核心参数输入!$B$102+(IF(AND(114-核心参数输入!$B$103&gt;=0,114-核心参数输入!$B$103&lt;=120),INDEX(季度经营税费!$D$121:$DT$121,1,MAX(1,MIN(121,114-核心参数输入!$B$103+1))),0))*(1-核心参数输入!$B$102),0)</f>
        <v>0</v>
      </c>
      <c r="DO122" s="9">
        <f>IF(115&lt;=核心参数输入!$B$9*4,DO121*核心参数输入!$B$102+(IF(AND(115-核心参数输入!$B$103&gt;=0,115-核心参数输入!$B$103&lt;=120),INDEX(季度经营税费!$D$121:$DT$121,1,MAX(1,MIN(121,115-核心参数输入!$B$103+1))),0))*(1-核心参数输入!$B$102),0)</f>
        <v>0</v>
      </c>
      <c r="DP122" s="9">
        <f>IF(116&lt;=核心参数输入!$B$9*4,DP121*核心参数输入!$B$102+(IF(AND(116-核心参数输入!$B$103&gt;=0,116-核心参数输入!$B$103&lt;=120),INDEX(季度经营税费!$D$121:$DT$121,1,MAX(1,MIN(121,116-核心参数输入!$B$103+1))),0))*(1-核心参数输入!$B$102),0)</f>
        <v>0</v>
      </c>
      <c r="DQ122" s="9">
        <f>IF(117&lt;=核心参数输入!$B$9*4,DQ121*核心参数输入!$B$102+(IF(AND(117-核心参数输入!$B$103&gt;=0,117-核心参数输入!$B$103&lt;=120),INDEX(季度经营税费!$D$121:$DT$121,1,MAX(1,MIN(121,117-核心参数输入!$B$103+1))),0))*(1-核心参数输入!$B$102),0)</f>
        <v>0</v>
      </c>
      <c r="DR122" s="9">
        <f>IF(118&lt;=核心参数输入!$B$9*4,DR121*核心参数输入!$B$102+(IF(AND(118-核心参数输入!$B$103&gt;=0,118-核心参数输入!$B$103&lt;=120),INDEX(季度经营税费!$D$121:$DT$121,1,MAX(1,MIN(121,118-核心参数输入!$B$103+1))),0))*(1-核心参数输入!$B$102),0)</f>
        <v>0</v>
      </c>
      <c r="DS122" s="9">
        <f>IF(119&lt;=核心参数输入!$B$9*4,DS121*核心参数输入!$B$102+(IF(AND(119-核心参数输入!$B$103&gt;=0,119-核心参数输入!$B$103&lt;=120),INDEX(季度经营税费!$D$121:$DT$121,1,MAX(1,MIN(121,119-核心参数输入!$B$103+1))),0))*(1-核心参数输入!$B$102),0)</f>
        <v>0</v>
      </c>
      <c r="DT122" s="9">
        <f>IF(120&lt;=核心参数输入!$B$9*4,DT121*核心参数输入!$B$102+(IF(AND(120-核心参数输入!$B$103&gt;=0,120-核心参数输入!$B$103&lt;=120),INDEX(季度经营税费!$D$121:$DT$121,1,MAX(1,MIN(121,120-核心参数输入!$B$103+1))),0))*(1-核心参数输入!$B$102),0)</f>
        <v>0</v>
      </c>
    </row>
    <row r="123" spans="1:124" ht="21" customHeight="1">
      <c r="A123" s="8" t="s">
        <v>449</v>
      </c>
      <c r="B123" s="8" t="s">
        <v>39</v>
      </c>
      <c r="C123" s="8"/>
      <c r="D123" s="9">
        <f>IF(0&lt;=核心参数输入!$B$9*4,SUM($D121:D121)-SUM($D122:D122),0)</f>
        <v>0</v>
      </c>
      <c r="E123" s="9">
        <f>IF(1&lt;=核心参数输入!$B$9*4,SUM($D121:E121)-SUM($D122:E122),0)</f>
        <v>0</v>
      </c>
      <c r="F123" s="9">
        <f>IF(2&lt;=核心参数输入!$B$9*4,SUM($D121:F121)-SUM($D122:F122),0)</f>
        <v>0</v>
      </c>
      <c r="G123" s="9">
        <f>IF(3&lt;=核心参数输入!$B$9*4,SUM($D121:G121)-SUM($D122:G122),0)</f>
        <v>0</v>
      </c>
      <c r="H123" s="9">
        <f>IF(4&lt;=核心参数输入!$B$9*4,SUM($D121:H121)-SUM($D122:H122),0)</f>
        <v>0</v>
      </c>
      <c r="I123" s="9">
        <f>IF(5&lt;=核心参数输入!$B$9*4,SUM($D121:I121)-SUM($D122:I122),0)</f>
        <v>0</v>
      </c>
      <c r="J123" s="9">
        <f>IF(6&lt;=核心参数输入!$B$9*4,SUM($D121:J121)-SUM($D122:J122),0)</f>
        <v>0</v>
      </c>
      <c r="K123" s="9">
        <f>IF(7&lt;=核心参数输入!$B$9*4,SUM($D121:K121)-SUM($D122:K122),0)</f>
        <v>0</v>
      </c>
      <c r="L123" s="9">
        <f>IF(8&lt;=核心参数输入!$B$9*4,SUM($D121:L121)-SUM($D122:L122),0)</f>
        <v>0</v>
      </c>
      <c r="M123" s="9">
        <f>IF(9&lt;=核心参数输入!$B$9*4,SUM($D121:M121)-SUM($D122:M122),0)</f>
        <v>0</v>
      </c>
      <c r="N123" s="9">
        <f>IF(10&lt;=核心参数输入!$B$9*4,SUM($D121:N121)-SUM($D122:N122),0)</f>
        <v>0</v>
      </c>
      <c r="O123" s="9">
        <f>IF(11&lt;=核心参数输入!$B$9*4,SUM($D121:O121)-SUM($D122:O122),0)</f>
        <v>0</v>
      </c>
      <c r="P123" s="9">
        <f>IF(12&lt;=核心参数输入!$B$9*4,SUM($D121:P121)-SUM($D122:P122),0)</f>
        <v>0</v>
      </c>
      <c r="Q123" s="9">
        <f>IF(13&lt;=核心参数输入!$B$9*4,SUM($D121:Q121)-SUM($D122:Q122),0)</f>
        <v>977.31562500000018</v>
      </c>
      <c r="R123" s="9">
        <f>IF(14&lt;=核心参数输入!$B$9*4,SUM($D121:R121)-SUM($D122:R122),0)</f>
        <v>977.31562500000018</v>
      </c>
      <c r="S123" s="9">
        <f>IF(15&lt;=核心参数输入!$B$9*4,SUM($D121:S121)-SUM($D122:S122),0)</f>
        <v>977.31562499999927</v>
      </c>
      <c r="T123" s="9">
        <f>IF(16&lt;=核心参数输入!$B$9*4,SUM($D121:T121)-SUM($D122:T122),0)</f>
        <v>977.31562499999927</v>
      </c>
      <c r="U123" s="9">
        <f>IF(17&lt;=核心参数输入!$B$9*4,SUM($D121:U121)-SUM($D122:U122),0)</f>
        <v>1303.0874999999996</v>
      </c>
      <c r="V123" s="9">
        <f>IF(18&lt;=核心参数输入!$B$9*4,SUM($D121:V121)-SUM($D122:V122),0)</f>
        <v>1303.0875000000015</v>
      </c>
      <c r="W123" s="9">
        <f>IF(19&lt;=核心参数输入!$B$9*4,SUM($D121:W121)-SUM($D122:W122),0)</f>
        <v>1303.0875000000015</v>
      </c>
      <c r="X123" s="9">
        <f>IF(20&lt;=核心参数输入!$B$9*4,SUM($D121:X121)-SUM($D122:X122),0)</f>
        <v>1303.0875000000015</v>
      </c>
      <c r="Y123" s="9">
        <f>IF(21&lt;=核心参数输入!$B$9*4,SUM($D121:Y121)-SUM($D122:Y122),0)</f>
        <v>977.31562500000291</v>
      </c>
      <c r="Z123" s="9">
        <f>IF(22&lt;=核心参数输入!$B$9*4,SUM($D121:Z121)-SUM($D122:Z122),0)</f>
        <v>977.31562500000291</v>
      </c>
      <c r="AA123" s="9">
        <f>IF(23&lt;=核心参数输入!$B$9*4,SUM($D121:AA121)-SUM($D122:AA122),0)</f>
        <v>977.31562500000291</v>
      </c>
      <c r="AB123" s="9">
        <f>IF(24&lt;=核心参数输入!$B$9*4,SUM($D121:AB121)-SUM($D122:AB122),0)</f>
        <v>977.31562500000291</v>
      </c>
      <c r="AC123" s="9">
        <f>IF(25&lt;=核心参数输入!$B$9*4,SUM($D121:AC121)-SUM($D122:AC122),0)</f>
        <v>0</v>
      </c>
      <c r="AD123" s="9">
        <f>IF(26&lt;=核心参数输入!$B$9*4,SUM($D121:AD121)-SUM($D122:AD122),0)</f>
        <v>0</v>
      </c>
      <c r="AE123" s="9">
        <f>IF(27&lt;=核心参数输入!$B$9*4,SUM($D121:AE121)-SUM($D122:AE122),0)</f>
        <v>0</v>
      </c>
      <c r="AF123" s="9">
        <f>IF(28&lt;=核心参数输入!$B$9*4,SUM($D121:AF121)-SUM($D122:AF122),0)</f>
        <v>0</v>
      </c>
      <c r="AG123" s="9">
        <f>IF(29&lt;=核心参数输入!$B$9*4,SUM($D121:AG121)-SUM($D122:AG122),0)</f>
        <v>0</v>
      </c>
      <c r="AH123" s="9">
        <f>IF(30&lt;=核心参数输入!$B$9*4,SUM($D121:AH121)-SUM($D122:AH122),0)</f>
        <v>0</v>
      </c>
      <c r="AI123" s="9">
        <f>IF(31&lt;=核心参数输入!$B$9*4,SUM($D121:AI121)-SUM($D122:AI122),0)</f>
        <v>0</v>
      </c>
      <c r="AJ123" s="9">
        <f>IF(32&lt;=核心参数输入!$B$9*4,SUM($D121:AJ121)-SUM($D122:AJ122),0)</f>
        <v>0</v>
      </c>
      <c r="AK123" s="9">
        <f>IF(33&lt;=核心参数输入!$B$9*4,SUM($D121:AK121)-SUM($D122:AK122),0)</f>
        <v>0</v>
      </c>
      <c r="AL123" s="9">
        <f>IF(34&lt;=核心参数输入!$B$9*4,SUM($D121:AL121)-SUM($D122:AL122),0)</f>
        <v>0</v>
      </c>
      <c r="AM123" s="9">
        <f>IF(35&lt;=核心参数输入!$B$9*4,SUM($D121:AM121)-SUM($D122:AM122),0)</f>
        <v>0</v>
      </c>
      <c r="AN123" s="9">
        <f>IF(36&lt;=核心参数输入!$B$9*4,SUM($D121:AN121)-SUM($D122:AN122),0)</f>
        <v>0</v>
      </c>
      <c r="AO123" s="9">
        <f>IF(37&lt;=核心参数输入!$B$9*4,SUM($D121:AO121)-SUM($D122:AO122),0)</f>
        <v>0</v>
      </c>
      <c r="AP123" s="9">
        <f>IF(38&lt;=核心参数输入!$B$9*4,SUM($D121:AP121)-SUM($D122:AP122),0)</f>
        <v>0</v>
      </c>
      <c r="AQ123" s="9">
        <f>IF(39&lt;=核心参数输入!$B$9*4,SUM($D121:AQ121)-SUM($D122:AQ122),0)</f>
        <v>0</v>
      </c>
      <c r="AR123" s="9">
        <f>IF(40&lt;=核心参数输入!$B$9*4,SUM($D121:AR121)-SUM($D122:AR122),0)</f>
        <v>0</v>
      </c>
      <c r="AS123" s="9">
        <f>IF(41&lt;=核心参数输入!$B$9*4,SUM($D121:AS121)-SUM($D122:AS122),0)</f>
        <v>0</v>
      </c>
      <c r="AT123" s="9">
        <f>IF(42&lt;=核心参数输入!$B$9*4,SUM($D121:AT121)-SUM($D122:AT122),0)</f>
        <v>0</v>
      </c>
      <c r="AU123" s="9">
        <f>IF(43&lt;=核心参数输入!$B$9*4,SUM($D121:AU121)-SUM($D122:AU122),0)</f>
        <v>0</v>
      </c>
      <c r="AV123" s="9">
        <f>IF(44&lt;=核心参数输入!$B$9*4,SUM($D121:AV121)-SUM($D122:AV122),0)</f>
        <v>0</v>
      </c>
      <c r="AW123" s="9">
        <f>IF(45&lt;=核心参数输入!$B$9*4,SUM($D121:AW121)-SUM($D122:AW122),0)</f>
        <v>0</v>
      </c>
      <c r="AX123" s="9">
        <f>IF(46&lt;=核心参数输入!$B$9*4,SUM($D121:AX121)-SUM($D122:AX122),0)</f>
        <v>0</v>
      </c>
      <c r="AY123" s="9">
        <f>IF(47&lt;=核心参数输入!$B$9*4,SUM($D121:AY121)-SUM($D122:AY122),0)</f>
        <v>0</v>
      </c>
      <c r="AZ123" s="9">
        <f>IF(48&lt;=核心参数输入!$B$9*4,SUM($D121:AZ121)-SUM($D122:AZ122),0)</f>
        <v>0</v>
      </c>
      <c r="BA123" s="9">
        <f>IF(49&lt;=核心参数输入!$B$9*4,SUM($D121:BA121)-SUM($D122:BA122),0)</f>
        <v>0</v>
      </c>
      <c r="BB123" s="9">
        <f>IF(50&lt;=核心参数输入!$B$9*4,SUM($D121:BB121)-SUM($D122:BB122),0)</f>
        <v>0</v>
      </c>
      <c r="BC123" s="9">
        <f>IF(51&lt;=核心参数输入!$B$9*4,SUM($D121:BC121)-SUM($D122:BC122),0)</f>
        <v>0</v>
      </c>
      <c r="BD123" s="9">
        <f>IF(52&lt;=核心参数输入!$B$9*4,SUM($D121:BD121)-SUM($D122:BD122),0)</f>
        <v>0</v>
      </c>
      <c r="BE123" s="9">
        <f>IF(53&lt;=核心参数输入!$B$9*4,SUM($D121:BE121)-SUM($D122:BE122),0)</f>
        <v>0</v>
      </c>
      <c r="BF123" s="9">
        <f>IF(54&lt;=核心参数输入!$B$9*4,SUM($D121:BF121)-SUM($D122:BF122),0)</f>
        <v>0</v>
      </c>
      <c r="BG123" s="9">
        <f>IF(55&lt;=核心参数输入!$B$9*4,SUM($D121:BG121)-SUM($D122:BG122),0)</f>
        <v>0</v>
      </c>
      <c r="BH123" s="9">
        <f>IF(56&lt;=核心参数输入!$B$9*4,SUM($D121:BH121)-SUM($D122:BH122),0)</f>
        <v>0</v>
      </c>
      <c r="BI123" s="9">
        <f>IF(57&lt;=核心参数输入!$B$9*4,SUM($D121:BI121)-SUM($D122:BI122),0)</f>
        <v>0</v>
      </c>
      <c r="BJ123" s="9">
        <f>IF(58&lt;=核心参数输入!$B$9*4,SUM($D121:BJ121)-SUM($D122:BJ122),0)</f>
        <v>0</v>
      </c>
      <c r="BK123" s="9">
        <f>IF(59&lt;=核心参数输入!$B$9*4,SUM($D121:BK121)-SUM($D122:BK122),0)</f>
        <v>0</v>
      </c>
      <c r="BL123" s="9">
        <f>IF(60&lt;=核心参数输入!$B$9*4,SUM($D121:BL121)-SUM($D122:BL122),0)</f>
        <v>0</v>
      </c>
      <c r="BM123" s="9">
        <f>IF(61&lt;=核心参数输入!$B$9*4,SUM($D121:BM121)-SUM($D122:BM122),0)</f>
        <v>0</v>
      </c>
      <c r="BN123" s="9">
        <f>IF(62&lt;=核心参数输入!$B$9*4,SUM($D121:BN121)-SUM($D122:BN122),0)</f>
        <v>0</v>
      </c>
      <c r="BO123" s="9">
        <f>IF(63&lt;=核心参数输入!$B$9*4,SUM($D121:BO121)-SUM($D122:BO122),0)</f>
        <v>0</v>
      </c>
      <c r="BP123" s="9">
        <f>IF(64&lt;=核心参数输入!$B$9*4,SUM($D121:BP121)-SUM($D122:BP122),0)</f>
        <v>0</v>
      </c>
      <c r="BQ123" s="9">
        <f>IF(65&lt;=核心参数输入!$B$9*4,SUM($D121:BQ121)-SUM($D122:BQ122),0)</f>
        <v>0</v>
      </c>
      <c r="BR123" s="9">
        <f>IF(66&lt;=核心参数输入!$B$9*4,SUM($D121:BR121)-SUM($D122:BR122),0)</f>
        <v>0</v>
      </c>
      <c r="BS123" s="9">
        <f>IF(67&lt;=核心参数输入!$B$9*4,SUM($D121:BS121)-SUM($D122:BS122),0)</f>
        <v>0</v>
      </c>
      <c r="BT123" s="9">
        <f>IF(68&lt;=核心参数输入!$B$9*4,SUM($D121:BT121)-SUM($D122:BT122),0)</f>
        <v>0</v>
      </c>
      <c r="BU123" s="9">
        <f>IF(69&lt;=核心参数输入!$B$9*4,SUM($D121:BU121)-SUM($D122:BU122),0)</f>
        <v>0</v>
      </c>
      <c r="BV123" s="9">
        <f>IF(70&lt;=核心参数输入!$B$9*4,SUM($D121:BV121)-SUM($D122:BV122),0)</f>
        <v>0</v>
      </c>
      <c r="BW123" s="9">
        <f>IF(71&lt;=核心参数输入!$B$9*4,SUM($D121:BW121)-SUM($D122:BW122),0)</f>
        <v>0</v>
      </c>
      <c r="BX123" s="9">
        <f>IF(72&lt;=核心参数输入!$B$9*4,SUM($D121:BX121)-SUM($D122:BX122),0)</f>
        <v>0</v>
      </c>
      <c r="BY123" s="9">
        <f>IF(73&lt;=核心参数输入!$B$9*4,SUM($D121:BY121)-SUM($D122:BY122),0)</f>
        <v>0</v>
      </c>
      <c r="BZ123" s="9">
        <f>IF(74&lt;=核心参数输入!$B$9*4,SUM($D121:BZ121)-SUM($D122:BZ122),0)</f>
        <v>0</v>
      </c>
      <c r="CA123" s="9">
        <f>IF(75&lt;=核心参数输入!$B$9*4,SUM($D121:CA121)-SUM($D122:CA122),0)</f>
        <v>0</v>
      </c>
      <c r="CB123" s="9">
        <f>IF(76&lt;=核心参数输入!$B$9*4,SUM($D121:CB121)-SUM($D122:CB122),0)</f>
        <v>0</v>
      </c>
      <c r="CC123" s="9">
        <f>IF(77&lt;=核心参数输入!$B$9*4,SUM($D121:CC121)-SUM($D122:CC122),0)</f>
        <v>0</v>
      </c>
      <c r="CD123" s="9">
        <f>IF(78&lt;=核心参数输入!$B$9*4,SUM($D121:CD121)-SUM($D122:CD122),0)</f>
        <v>0</v>
      </c>
      <c r="CE123" s="9">
        <f>IF(79&lt;=核心参数输入!$B$9*4,SUM($D121:CE121)-SUM($D122:CE122),0)</f>
        <v>0</v>
      </c>
      <c r="CF123" s="9">
        <f>IF(80&lt;=核心参数输入!$B$9*4,SUM($D121:CF121)-SUM($D122:CF122),0)</f>
        <v>0</v>
      </c>
      <c r="CG123" s="9">
        <f>IF(81&lt;=核心参数输入!$B$9*4,SUM($D121:CG121)-SUM($D122:CG122),0)</f>
        <v>0</v>
      </c>
      <c r="CH123" s="9">
        <f>IF(82&lt;=核心参数输入!$B$9*4,SUM($D121:CH121)-SUM($D122:CH122),0)</f>
        <v>0</v>
      </c>
      <c r="CI123" s="9">
        <f>IF(83&lt;=核心参数输入!$B$9*4,SUM($D121:CI121)-SUM($D122:CI122),0)</f>
        <v>0</v>
      </c>
      <c r="CJ123" s="9">
        <f>IF(84&lt;=核心参数输入!$B$9*4,SUM($D121:CJ121)-SUM($D122:CJ122),0)</f>
        <v>0</v>
      </c>
      <c r="CK123" s="9">
        <f>IF(85&lt;=核心参数输入!$B$9*4,SUM($D121:CK121)-SUM($D122:CK122),0)</f>
        <v>0</v>
      </c>
      <c r="CL123" s="9">
        <f>IF(86&lt;=核心参数输入!$B$9*4,SUM($D121:CL121)-SUM($D122:CL122),0)</f>
        <v>0</v>
      </c>
      <c r="CM123" s="9">
        <f>IF(87&lt;=核心参数输入!$B$9*4,SUM($D121:CM121)-SUM($D122:CM122),0)</f>
        <v>0</v>
      </c>
      <c r="CN123" s="9">
        <f>IF(88&lt;=核心参数输入!$B$9*4,SUM($D121:CN121)-SUM($D122:CN122),0)</f>
        <v>0</v>
      </c>
      <c r="CO123" s="9">
        <f>IF(89&lt;=核心参数输入!$B$9*4,SUM($D121:CO121)-SUM($D122:CO122),0)</f>
        <v>0</v>
      </c>
      <c r="CP123" s="9">
        <f>IF(90&lt;=核心参数输入!$B$9*4,SUM($D121:CP121)-SUM($D122:CP122),0)</f>
        <v>0</v>
      </c>
      <c r="CQ123" s="9">
        <f>IF(91&lt;=核心参数输入!$B$9*4,SUM($D121:CQ121)-SUM($D122:CQ122),0)</f>
        <v>0</v>
      </c>
      <c r="CR123" s="9">
        <f>IF(92&lt;=核心参数输入!$B$9*4,SUM($D121:CR121)-SUM($D122:CR122),0)</f>
        <v>0</v>
      </c>
      <c r="CS123" s="9">
        <f>IF(93&lt;=核心参数输入!$B$9*4,SUM($D121:CS121)-SUM($D122:CS122),0)</f>
        <v>0</v>
      </c>
      <c r="CT123" s="9">
        <f>IF(94&lt;=核心参数输入!$B$9*4,SUM($D121:CT121)-SUM($D122:CT122),0)</f>
        <v>0</v>
      </c>
      <c r="CU123" s="9">
        <f>IF(95&lt;=核心参数输入!$B$9*4,SUM($D121:CU121)-SUM($D122:CU122),0)</f>
        <v>0</v>
      </c>
      <c r="CV123" s="9">
        <f>IF(96&lt;=核心参数输入!$B$9*4,SUM($D121:CV121)-SUM($D122:CV122),0)</f>
        <v>0</v>
      </c>
      <c r="CW123" s="9">
        <f>IF(97&lt;=核心参数输入!$B$9*4,SUM($D121:CW121)-SUM($D122:CW122),0)</f>
        <v>0</v>
      </c>
      <c r="CX123" s="9">
        <f>IF(98&lt;=核心参数输入!$B$9*4,SUM($D121:CX121)-SUM($D122:CX122),0)</f>
        <v>0</v>
      </c>
      <c r="CY123" s="9">
        <f>IF(99&lt;=核心参数输入!$B$9*4,SUM($D121:CY121)-SUM($D122:CY122),0)</f>
        <v>0</v>
      </c>
      <c r="CZ123" s="9">
        <f>IF(100&lt;=核心参数输入!$B$9*4,SUM($D121:CZ121)-SUM($D122:CZ122),0)</f>
        <v>0</v>
      </c>
      <c r="DA123" s="9">
        <f>IF(101&lt;=核心参数输入!$B$9*4,SUM($D121:DA121)-SUM($D122:DA122),0)</f>
        <v>0</v>
      </c>
      <c r="DB123" s="9">
        <f>IF(102&lt;=核心参数输入!$B$9*4,SUM($D121:DB121)-SUM($D122:DB122),0)</f>
        <v>0</v>
      </c>
      <c r="DC123" s="9">
        <f>IF(103&lt;=核心参数输入!$B$9*4,SUM($D121:DC121)-SUM($D122:DC122),0)</f>
        <v>0</v>
      </c>
      <c r="DD123" s="9">
        <f>IF(104&lt;=核心参数输入!$B$9*4,SUM($D121:DD121)-SUM($D122:DD122),0)</f>
        <v>0</v>
      </c>
      <c r="DE123" s="9">
        <f>IF(105&lt;=核心参数输入!$B$9*4,SUM($D121:DE121)-SUM($D122:DE122),0)</f>
        <v>0</v>
      </c>
      <c r="DF123" s="9">
        <f>IF(106&lt;=核心参数输入!$B$9*4,SUM($D121:DF121)-SUM($D122:DF122),0)</f>
        <v>0</v>
      </c>
      <c r="DG123" s="9">
        <f>IF(107&lt;=核心参数输入!$B$9*4,SUM($D121:DG121)-SUM($D122:DG122),0)</f>
        <v>0</v>
      </c>
      <c r="DH123" s="9">
        <f>IF(108&lt;=核心参数输入!$B$9*4,SUM($D121:DH121)-SUM($D122:DH122),0)</f>
        <v>0</v>
      </c>
      <c r="DI123" s="9">
        <f>IF(109&lt;=核心参数输入!$B$9*4,SUM($D121:DI121)-SUM($D122:DI122),0)</f>
        <v>0</v>
      </c>
      <c r="DJ123" s="9">
        <f>IF(110&lt;=核心参数输入!$B$9*4,SUM($D121:DJ121)-SUM($D122:DJ122),0)</f>
        <v>0</v>
      </c>
      <c r="DK123" s="9">
        <f>IF(111&lt;=核心参数输入!$B$9*4,SUM($D121:DK121)-SUM($D122:DK122),0)</f>
        <v>0</v>
      </c>
      <c r="DL123" s="9">
        <f>IF(112&lt;=核心参数输入!$B$9*4,SUM($D121:DL121)-SUM($D122:DL122),0)</f>
        <v>0</v>
      </c>
      <c r="DM123" s="9">
        <f>IF(113&lt;=核心参数输入!$B$9*4,SUM($D121:DM121)-SUM($D122:DM122),0)</f>
        <v>0</v>
      </c>
      <c r="DN123" s="9">
        <f>IF(114&lt;=核心参数输入!$B$9*4,SUM($D121:DN121)-SUM($D122:DN122),0)</f>
        <v>0</v>
      </c>
      <c r="DO123" s="9">
        <f>IF(115&lt;=核心参数输入!$B$9*4,SUM($D121:DO121)-SUM($D122:DO122),0)</f>
        <v>0</v>
      </c>
      <c r="DP123" s="9">
        <f>IF(116&lt;=核心参数输入!$B$9*4,SUM($D121:DP121)-SUM($D122:DP122),0)</f>
        <v>0</v>
      </c>
      <c r="DQ123" s="9">
        <f>IF(117&lt;=核心参数输入!$B$9*4,SUM($D121:DQ121)-SUM($D122:DQ122),0)</f>
        <v>0</v>
      </c>
      <c r="DR123" s="9">
        <f>IF(118&lt;=核心参数输入!$B$9*4,SUM($D121:DR121)-SUM($D122:DR122),0)</f>
        <v>0</v>
      </c>
      <c r="DS123" s="9">
        <f>IF(119&lt;=核心参数输入!$B$9*4,SUM($D121:DS121)-SUM($D122:DS122),0)</f>
        <v>0</v>
      </c>
      <c r="DT123" s="9">
        <f>IF(120&lt;=核心参数输入!$B$9*4,SUM($D121:DT121)-SUM($D122:DT122),0)</f>
        <v>0</v>
      </c>
    </row>
    <row r="124" spans="1:124" ht="21" customHeight="1">
      <c r="A124" s="8" t="s">
        <v>450</v>
      </c>
      <c r="B124" s="8" t="s">
        <v>39</v>
      </c>
      <c r="C124" s="8"/>
      <c r="D124" s="22">
        <f>IF(0&lt;=核心参数输入!$B$9*4,IF(0&lt;((核心参数输入!$B$18-1)*4+(核心参数输入!$B$148+核心参数输入!$B$124)+1),0,IF(INT((0-((核心参数输入!$B$18-1)*4+(核心参数输入!$B$148+核心参数输入!$B$124)+1))/4)=0,核心参数输入!$B$38,IF(INT((0-((核心参数输入!$B$18-1)*4+(核心参数输入!$B$148+核心参数输入!$B$124)+1))/4)=1,核心参数输入!$B$39,IF(INT((0-((核心参数输入!$B$18-1)*4+(核心参数输入!$B$148+核心参数输入!$B$124)+1))/4)=2,核心参数输入!$B$40,核心参数输入!$B$41)))),0)</f>
        <v>0</v>
      </c>
      <c r="E124" s="22">
        <f>IF(1&lt;=核心参数输入!$B$9*4,IF(1&lt;((核心参数输入!$B$18-1)*4+(核心参数输入!$B$148+核心参数输入!$B$124)+1),0,IF(INT((1-((核心参数输入!$B$18-1)*4+(核心参数输入!$B$148+核心参数输入!$B$124)+1))/4)=0,核心参数输入!$B$38,IF(INT((1-((核心参数输入!$B$18-1)*4+(核心参数输入!$B$148+核心参数输入!$B$124)+1))/4)=1,核心参数输入!$B$39,IF(INT((1-((核心参数输入!$B$18-1)*4+(核心参数输入!$B$148+核心参数输入!$B$124)+1))/4)=2,核心参数输入!$B$40,核心参数输入!$B$41)))),0)</f>
        <v>0</v>
      </c>
      <c r="F124" s="22">
        <f>IF(2&lt;=核心参数输入!$B$9*4,IF(2&lt;((核心参数输入!$B$18-1)*4+(核心参数输入!$B$148+核心参数输入!$B$124)+1),0,IF(INT((2-((核心参数输入!$B$18-1)*4+(核心参数输入!$B$148+核心参数输入!$B$124)+1))/4)=0,核心参数输入!$B$38,IF(INT((2-((核心参数输入!$B$18-1)*4+(核心参数输入!$B$148+核心参数输入!$B$124)+1))/4)=1,核心参数输入!$B$39,IF(INT((2-((核心参数输入!$B$18-1)*4+(核心参数输入!$B$148+核心参数输入!$B$124)+1))/4)=2,核心参数输入!$B$40,核心参数输入!$B$41)))),0)</f>
        <v>0</v>
      </c>
      <c r="G124" s="22">
        <f>IF(3&lt;=核心参数输入!$B$9*4,IF(3&lt;((核心参数输入!$B$18-1)*4+(核心参数输入!$B$148+核心参数输入!$B$124)+1),0,IF(INT((3-((核心参数输入!$B$18-1)*4+(核心参数输入!$B$148+核心参数输入!$B$124)+1))/4)=0,核心参数输入!$B$38,IF(INT((3-((核心参数输入!$B$18-1)*4+(核心参数输入!$B$148+核心参数输入!$B$124)+1))/4)=1,核心参数输入!$B$39,IF(INT((3-((核心参数输入!$B$18-1)*4+(核心参数输入!$B$148+核心参数输入!$B$124)+1))/4)=2,核心参数输入!$B$40,核心参数输入!$B$41)))),0)</f>
        <v>0</v>
      </c>
      <c r="H124" s="22">
        <f>IF(4&lt;=核心参数输入!$B$9*4,IF(4&lt;((核心参数输入!$B$18-1)*4+(核心参数输入!$B$148+核心参数输入!$B$124)+1),0,IF(INT((4-((核心参数输入!$B$18-1)*4+(核心参数输入!$B$148+核心参数输入!$B$124)+1))/4)=0,核心参数输入!$B$38,IF(INT((4-((核心参数输入!$B$18-1)*4+(核心参数输入!$B$148+核心参数输入!$B$124)+1))/4)=1,核心参数输入!$B$39,IF(INT((4-((核心参数输入!$B$18-1)*4+(核心参数输入!$B$148+核心参数输入!$B$124)+1))/4)=2,核心参数输入!$B$40,核心参数输入!$B$41)))),0)</f>
        <v>0</v>
      </c>
      <c r="I124" s="22">
        <f>IF(5&lt;=核心参数输入!$B$9*4,IF(5&lt;((核心参数输入!$B$18-1)*4+(核心参数输入!$B$148+核心参数输入!$B$124)+1),0,IF(INT((5-((核心参数输入!$B$18-1)*4+(核心参数输入!$B$148+核心参数输入!$B$124)+1))/4)=0,核心参数输入!$B$38,IF(INT((5-((核心参数输入!$B$18-1)*4+(核心参数输入!$B$148+核心参数输入!$B$124)+1))/4)=1,核心参数输入!$B$39,IF(INT((5-((核心参数输入!$B$18-1)*4+(核心参数输入!$B$148+核心参数输入!$B$124)+1))/4)=2,核心参数输入!$B$40,核心参数输入!$B$41)))),0)</f>
        <v>0</v>
      </c>
      <c r="J124" s="22">
        <f>IF(6&lt;=核心参数输入!$B$9*4,IF(6&lt;((核心参数输入!$B$18-1)*4+(核心参数输入!$B$148+核心参数输入!$B$124)+1),0,IF(INT((6-((核心参数输入!$B$18-1)*4+(核心参数输入!$B$148+核心参数输入!$B$124)+1))/4)=0,核心参数输入!$B$38,IF(INT((6-((核心参数输入!$B$18-1)*4+(核心参数输入!$B$148+核心参数输入!$B$124)+1))/4)=1,核心参数输入!$B$39,IF(INT((6-((核心参数输入!$B$18-1)*4+(核心参数输入!$B$148+核心参数输入!$B$124)+1))/4)=2,核心参数输入!$B$40,核心参数输入!$B$41)))),0)</f>
        <v>0</v>
      </c>
      <c r="K124" s="22">
        <f>IF(7&lt;=核心参数输入!$B$9*4,IF(7&lt;((核心参数输入!$B$18-1)*4+(核心参数输入!$B$148+核心参数输入!$B$124)+1),0,IF(INT((7-((核心参数输入!$B$18-1)*4+(核心参数输入!$B$148+核心参数输入!$B$124)+1))/4)=0,核心参数输入!$B$38,IF(INT((7-((核心参数输入!$B$18-1)*4+(核心参数输入!$B$148+核心参数输入!$B$124)+1))/4)=1,核心参数输入!$B$39,IF(INT((7-((核心参数输入!$B$18-1)*4+(核心参数输入!$B$148+核心参数输入!$B$124)+1))/4)=2,核心参数输入!$B$40,核心参数输入!$B$41)))),0)</f>
        <v>0</v>
      </c>
      <c r="L124" s="22">
        <f>IF(8&lt;=核心参数输入!$B$9*4,IF(8&lt;((核心参数输入!$B$18-1)*4+(核心参数输入!$B$148+核心参数输入!$B$124)+1),0,IF(INT((8-((核心参数输入!$B$18-1)*4+(核心参数输入!$B$148+核心参数输入!$B$124)+1))/4)=0,核心参数输入!$B$38,IF(INT((8-((核心参数输入!$B$18-1)*4+(核心参数输入!$B$148+核心参数输入!$B$124)+1))/4)=1,核心参数输入!$B$39,IF(INT((8-((核心参数输入!$B$18-1)*4+(核心参数输入!$B$148+核心参数输入!$B$124)+1))/4)=2,核心参数输入!$B$40,核心参数输入!$B$41)))),0)</f>
        <v>0</v>
      </c>
      <c r="M124" s="22">
        <f>IF(9&lt;=核心参数输入!$B$9*4,IF(9&lt;((核心参数输入!$B$18-1)*4+(核心参数输入!$B$148+核心参数输入!$B$124)+1),0,IF(INT((9-((核心参数输入!$B$18-1)*4+(核心参数输入!$B$148+核心参数输入!$B$124)+1))/4)=0,核心参数输入!$B$38,IF(INT((9-((核心参数输入!$B$18-1)*4+(核心参数输入!$B$148+核心参数输入!$B$124)+1))/4)=1,核心参数输入!$B$39,IF(INT((9-((核心参数输入!$B$18-1)*4+(核心参数输入!$B$148+核心参数输入!$B$124)+1))/4)=2,核心参数输入!$B$40,核心参数输入!$B$41)))),0)</f>
        <v>0</v>
      </c>
      <c r="N124" s="22">
        <f>IF(10&lt;=核心参数输入!$B$9*4,IF(10&lt;((核心参数输入!$B$18-1)*4+(核心参数输入!$B$148+核心参数输入!$B$124)+1),0,IF(INT((10-((核心参数输入!$B$18-1)*4+(核心参数输入!$B$148+核心参数输入!$B$124)+1))/4)=0,核心参数输入!$B$38,IF(INT((10-((核心参数输入!$B$18-1)*4+(核心参数输入!$B$148+核心参数输入!$B$124)+1))/4)=1,核心参数输入!$B$39,IF(INT((10-((核心参数输入!$B$18-1)*4+(核心参数输入!$B$148+核心参数输入!$B$124)+1))/4)=2,核心参数输入!$B$40,核心参数输入!$B$41)))),0)</f>
        <v>0</v>
      </c>
      <c r="O124" s="22">
        <f>IF(11&lt;=核心参数输入!$B$9*4,IF(11&lt;((核心参数输入!$B$18-1)*4+(核心参数输入!$B$148+核心参数输入!$B$124)+1),0,IF(INT((11-((核心参数输入!$B$18-1)*4+(核心参数输入!$B$148+核心参数输入!$B$124)+1))/4)=0,核心参数输入!$B$38,IF(INT((11-((核心参数输入!$B$18-1)*4+(核心参数输入!$B$148+核心参数输入!$B$124)+1))/4)=1,核心参数输入!$B$39,IF(INT((11-((核心参数输入!$B$18-1)*4+(核心参数输入!$B$148+核心参数输入!$B$124)+1))/4)=2,核心参数输入!$B$40,核心参数输入!$B$41)))),0)</f>
        <v>0</v>
      </c>
      <c r="P124" s="22">
        <f>IF(12&lt;=核心参数输入!$B$9*4,IF(12&lt;((核心参数输入!$B$18-1)*4+(核心参数输入!$B$148+核心参数输入!$B$124)+1),0,IF(INT((12-((核心参数输入!$B$18-1)*4+(核心参数输入!$B$148+核心参数输入!$B$124)+1))/4)=0,核心参数输入!$B$38,IF(INT((12-((核心参数输入!$B$18-1)*4+(核心参数输入!$B$148+核心参数输入!$B$124)+1))/4)=1,核心参数输入!$B$39,IF(INT((12-((核心参数输入!$B$18-1)*4+(核心参数输入!$B$148+核心参数输入!$B$124)+1))/4)=2,核心参数输入!$B$40,核心参数输入!$B$41)))),0)</f>
        <v>0</v>
      </c>
      <c r="Q124" s="22">
        <f>IF(13&lt;=核心参数输入!$B$9*4,IF(13&lt;((核心参数输入!$B$18-1)*4+(核心参数输入!$B$148+核心参数输入!$B$124)+1),0,IF(INT((13-((核心参数输入!$B$18-1)*4+(核心参数输入!$B$148+核心参数输入!$B$124)+1))/4)=0,核心参数输入!$B$38,IF(INT((13-((核心参数输入!$B$18-1)*4+(核心参数输入!$B$148+核心参数输入!$B$124)+1))/4)=1,核心参数输入!$B$39,IF(INT((13-((核心参数输入!$B$18-1)*4+(核心参数输入!$B$148+核心参数输入!$B$124)+1))/4)=2,核心参数输入!$B$40,核心参数输入!$B$41)))),0)</f>
        <v>0.5</v>
      </c>
      <c r="R124" s="22">
        <f>IF(14&lt;=核心参数输入!$B$9*4,IF(14&lt;((核心参数输入!$B$18-1)*4+(核心参数输入!$B$148+核心参数输入!$B$124)+1),0,IF(INT((14-((核心参数输入!$B$18-1)*4+(核心参数输入!$B$148+核心参数输入!$B$124)+1))/4)=0,核心参数输入!$B$38,IF(INT((14-((核心参数输入!$B$18-1)*4+(核心参数输入!$B$148+核心参数输入!$B$124)+1))/4)=1,核心参数输入!$B$39,IF(INT((14-((核心参数输入!$B$18-1)*4+(核心参数输入!$B$148+核心参数输入!$B$124)+1))/4)=2,核心参数输入!$B$40,核心参数输入!$B$41)))),0)</f>
        <v>0.5</v>
      </c>
      <c r="S124" s="22">
        <f>IF(15&lt;=核心参数输入!$B$9*4,IF(15&lt;((核心参数输入!$B$18-1)*4+(核心参数输入!$B$148+核心参数输入!$B$124)+1),0,IF(INT((15-((核心参数输入!$B$18-1)*4+(核心参数输入!$B$148+核心参数输入!$B$124)+1))/4)=0,核心参数输入!$B$38,IF(INT((15-((核心参数输入!$B$18-1)*4+(核心参数输入!$B$148+核心参数输入!$B$124)+1))/4)=1,核心参数输入!$B$39,IF(INT((15-((核心参数输入!$B$18-1)*4+(核心参数输入!$B$148+核心参数输入!$B$124)+1))/4)=2,核心参数输入!$B$40,核心参数输入!$B$41)))),0)</f>
        <v>0.5</v>
      </c>
      <c r="T124" s="22">
        <f>IF(16&lt;=核心参数输入!$B$9*4,IF(16&lt;((核心参数输入!$B$18-1)*4+(核心参数输入!$B$148+核心参数输入!$B$124)+1),0,IF(INT((16-((核心参数输入!$B$18-1)*4+(核心参数输入!$B$148+核心参数输入!$B$124)+1))/4)=0,核心参数输入!$B$38,IF(INT((16-((核心参数输入!$B$18-1)*4+(核心参数输入!$B$148+核心参数输入!$B$124)+1))/4)=1,核心参数输入!$B$39,IF(INT((16-((核心参数输入!$B$18-1)*4+(核心参数输入!$B$148+核心参数输入!$B$124)+1))/4)=2,核心参数输入!$B$40,核心参数输入!$B$41)))),0)</f>
        <v>0.5</v>
      </c>
      <c r="U124" s="22">
        <f>IF(17&lt;=核心参数输入!$B$9*4,IF(17&lt;((核心参数输入!$B$18-1)*4+(核心参数输入!$B$148+核心参数输入!$B$124)+1),0,IF(INT((17-((核心参数输入!$B$18-1)*4+(核心参数输入!$B$148+核心参数输入!$B$124)+1))/4)=0,核心参数输入!$B$38,IF(INT((17-((核心参数输入!$B$18-1)*4+(核心参数输入!$B$148+核心参数输入!$B$124)+1))/4)=1,核心参数输入!$B$39,IF(INT((17-((核心参数输入!$B$18-1)*4+(核心参数输入!$B$148+核心参数输入!$B$124)+1))/4)=2,核心参数输入!$B$40,核心参数输入!$B$41)))),0)</f>
        <v>0.7</v>
      </c>
      <c r="V124" s="22">
        <f>IF(18&lt;=核心参数输入!$B$9*4,IF(18&lt;((核心参数输入!$B$18-1)*4+(核心参数输入!$B$148+核心参数输入!$B$124)+1),0,IF(INT((18-((核心参数输入!$B$18-1)*4+(核心参数输入!$B$148+核心参数输入!$B$124)+1))/4)=0,核心参数输入!$B$38,IF(INT((18-((核心参数输入!$B$18-1)*4+(核心参数输入!$B$148+核心参数输入!$B$124)+1))/4)=1,核心参数输入!$B$39,IF(INT((18-((核心参数输入!$B$18-1)*4+(核心参数输入!$B$148+核心参数输入!$B$124)+1))/4)=2,核心参数输入!$B$40,核心参数输入!$B$41)))),0)</f>
        <v>0.7</v>
      </c>
      <c r="W124" s="22">
        <f>IF(19&lt;=核心参数输入!$B$9*4,IF(19&lt;((核心参数输入!$B$18-1)*4+(核心参数输入!$B$148+核心参数输入!$B$124)+1),0,IF(INT((19-((核心参数输入!$B$18-1)*4+(核心参数输入!$B$148+核心参数输入!$B$124)+1))/4)=0,核心参数输入!$B$38,IF(INT((19-((核心参数输入!$B$18-1)*4+(核心参数输入!$B$148+核心参数输入!$B$124)+1))/4)=1,核心参数输入!$B$39,IF(INT((19-((核心参数输入!$B$18-1)*4+(核心参数输入!$B$148+核心参数输入!$B$124)+1))/4)=2,核心参数输入!$B$40,核心参数输入!$B$41)))),0)</f>
        <v>0.7</v>
      </c>
      <c r="X124" s="22">
        <f>IF(20&lt;=核心参数输入!$B$9*4,IF(20&lt;((核心参数输入!$B$18-1)*4+(核心参数输入!$B$148+核心参数输入!$B$124)+1),0,IF(INT((20-((核心参数输入!$B$18-1)*4+(核心参数输入!$B$148+核心参数输入!$B$124)+1))/4)=0,核心参数输入!$B$38,IF(INT((20-((核心参数输入!$B$18-1)*4+(核心参数输入!$B$148+核心参数输入!$B$124)+1))/4)=1,核心参数输入!$B$39,IF(INT((20-((核心参数输入!$B$18-1)*4+(核心参数输入!$B$148+核心参数输入!$B$124)+1))/4)=2,核心参数输入!$B$40,核心参数输入!$B$41)))),0)</f>
        <v>0.7</v>
      </c>
      <c r="Y124" s="22">
        <f>IF(21&lt;=核心参数输入!$B$9*4,IF(21&lt;((核心参数输入!$B$18-1)*4+(核心参数输入!$B$148+核心参数输入!$B$124)+1),0,IF(INT((21-((核心参数输入!$B$18-1)*4+(核心参数输入!$B$148+核心参数输入!$B$124)+1))/4)=0,核心参数输入!$B$38,IF(INT((21-((核心参数输入!$B$18-1)*4+(核心参数输入!$B$148+核心参数输入!$B$124)+1))/4)=1,核心参数输入!$B$39,IF(INT((21-((核心参数输入!$B$18-1)*4+(核心参数输入!$B$148+核心参数输入!$B$124)+1))/4)=2,核心参数输入!$B$40,核心参数输入!$B$41)))),0)</f>
        <v>0.85</v>
      </c>
      <c r="Z124" s="22">
        <f>IF(22&lt;=核心参数输入!$B$9*4,IF(22&lt;((核心参数输入!$B$18-1)*4+(核心参数输入!$B$148+核心参数输入!$B$124)+1),0,IF(INT((22-((核心参数输入!$B$18-1)*4+(核心参数输入!$B$148+核心参数输入!$B$124)+1))/4)=0,核心参数输入!$B$38,IF(INT((22-((核心参数输入!$B$18-1)*4+(核心参数输入!$B$148+核心参数输入!$B$124)+1))/4)=1,核心参数输入!$B$39,IF(INT((22-((核心参数输入!$B$18-1)*4+(核心参数输入!$B$148+核心参数输入!$B$124)+1))/4)=2,核心参数输入!$B$40,核心参数输入!$B$41)))),0)</f>
        <v>0.85</v>
      </c>
      <c r="AA124" s="22">
        <f>IF(23&lt;=核心参数输入!$B$9*4,IF(23&lt;((核心参数输入!$B$18-1)*4+(核心参数输入!$B$148+核心参数输入!$B$124)+1),0,IF(INT((23-((核心参数输入!$B$18-1)*4+(核心参数输入!$B$148+核心参数输入!$B$124)+1))/4)=0,核心参数输入!$B$38,IF(INT((23-((核心参数输入!$B$18-1)*4+(核心参数输入!$B$148+核心参数输入!$B$124)+1))/4)=1,核心参数输入!$B$39,IF(INT((23-((核心参数输入!$B$18-1)*4+(核心参数输入!$B$148+核心参数输入!$B$124)+1))/4)=2,核心参数输入!$B$40,核心参数输入!$B$41)))),0)</f>
        <v>0.85</v>
      </c>
      <c r="AB124" s="22">
        <f>IF(24&lt;=核心参数输入!$B$9*4,IF(24&lt;((核心参数输入!$B$18-1)*4+(核心参数输入!$B$148+核心参数输入!$B$124)+1),0,IF(INT((24-((核心参数输入!$B$18-1)*4+(核心参数输入!$B$148+核心参数输入!$B$124)+1))/4)=0,核心参数输入!$B$38,IF(INT((24-((核心参数输入!$B$18-1)*4+(核心参数输入!$B$148+核心参数输入!$B$124)+1))/4)=1,核心参数输入!$B$39,IF(INT((24-((核心参数输入!$B$18-1)*4+(核心参数输入!$B$148+核心参数输入!$B$124)+1))/4)=2,核心参数输入!$B$40,核心参数输入!$B$41)))),0)</f>
        <v>0.85</v>
      </c>
      <c r="AC124" s="22">
        <f>IF(25&lt;=核心参数输入!$B$9*4,IF(25&lt;((核心参数输入!$B$18-1)*4+(核心参数输入!$B$148+核心参数输入!$B$124)+1),0,IF(INT((25-((核心参数输入!$B$18-1)*4+(核心参数输入!$B$148+核心参数输入!$B$124)+1))/4)=0,核心参数输入!$B$38,IF(INT((25-((核心参数输入!$B$18-1)*4+(核心参数输入!$B$148+核心参数输入!$B$124)+1))/4)=1,核心参数输入!$B$39,IF(INT((25-((核心参数输入!$B$18-1)*4+(核心参数输入!$B$148+核心参数输入!$B$124)+1))/4)=2,核心参数输入!$B$40,核心参数输入!$B$41)))),0)</f>
        <v>0.9</v>
      </c>
      <c r="AD124" s="22">
        <f>IF(26&lt;=核心参数输入!$B$9*4,IF(26&lt;((核心参数输入!$B$18-1)*4+(核心参数输入!$B$148+核心参数输入!$B$124)+1),0,IF(INT((26-((核心参数输入!$B$18-1)*4+(核心参数输入!$B$148+核心参数输入!$B$124)+1))/4)=0,核心参数输入!$B$38,IF(INT((26-((核心参数输入!$B$18-1)*4+(核心参数输入!$B$148+核心参数输入!$B$124)+1))/4)=1,核心参数输入!$B$39,IF(INT((26-((核心参数输入!$B$18-1)*4+(核心参数输入!$B$148+核心参数输入!$B$124)+1))/4)=2,核心参数输入!$B$40,核心参数输入!$B$41)))),0)</f>
        <v>0.9</v>
      </c>
      <c r="AE124" s="22">
        <f>IF(27&lt;=核心参数输入!$B$9*4,IF(27&lt;((核心参数输入!$B$18-1)*4+(核心参数输入!$B$148+核心参数输入!$B$124)+1),0,IF(INT((27-((核心参数输入!$B$18-1)*4+(核心参数输入!$B$148+核心参数输入!$B$124)+1))/4)=0,核心参数输入!$B$38,IF(INT((27-((核心参数输入!$B$18-1)*4+(核心参数输入!$B$148+核心参数输入!$B$124)+1))/4)=1,核心参数输入!$B$39,IF(INT((27-((核心参数输入!$B$18-1)*4+(核心参数输入!$B$148+核心参数输入!$B$124)+1))/4)=2,核心参数输入!$B$40,核心参数输入!$B$41)))),0)</f>
        <v>0.9</v>
      </c>
      <c r="AF124" s="22">
        <f>IF(28&lt;=核心参数输入!$B$9*4,IF(28&lt;((核心参数输入!$B$18-1)*4+(核心参数输入!$B$148+核心参数输入!$B$124)+1),0,IF(INT((28-((核心参数输入!$B$18-1)*4+(核心参数输入!$B$148+核心参数输入!$B$124)+1))/4)=0,核心参数输入!$B$38,IF(INT((28-((核心参数输入!$B$18-1)*4+(核心参数输入!$B$148+核心参数输入!$B$124)+1))/4)=1,核心参数输入!$B$39,IF(INT((28-((核心参数输入!$B$18-1)*4+(核心参数输入!$B$148+核心参数输入!$B$124)+1))/4)=2,核心参数输入!$B$40,核心参数输入!$B$41)))),0)</f>
        <v>0.9</v>
      </c>
      <c r="AG124" s="22">
        <f>IF(29&lt;=核心参数输入!$B$9*4,IF(29&lt;((核心参数输入!$B$18-1)*4+(核心参数输入!$B$148+核心参数输入!$B$124)+1),0,IF(INT((29-((核心参数输入!$B$18-1)*4+(核心参数输入!$B$148+核心参数输入!$B$124)+1))/4)=0,核心参数输入!$B$38,IF(INT((29-((核心参数输入!$B$18-1)*4+(核心参数输入!$B$148+核心参数输入!$B$124)+1))/4)=1,核心参数输入!$B$39,IF(INT((29-((核心参数输入!$B$18-1)*4+(核心参数输入!$B$148+核心参数输入!$B$124)+1))/4)=2,核心参数输入!$B$40,核心参数输入!$B$41)))),0)</f>
        <v>0.9</v>
      </c>
      <c r="AH124" s="22">
        <f>IF(30&lt;=核心参数输入!$B$9*4,IF(30&lt;((核心参数输入!$B$18-1)*4+(核心参数输入!$B$148+核心参数输入!$B$124)+1),0,IF(INT((30-((核心参数输入!$B$18-1)*4+(核心参数输入!$B$148+核心参数输入!$B$124)+1))/4)=0,核心参数输入!$B$38,IF(INT((30-((核心参数输入!$B$18-1)*4+(核心参数输入!$B$148+核心参数输入!$B$124)+1))/4)=1,核心参数输入!$B$39,IF(INT((30-((核心参数输入!$B$18-1)*4+(核心参数输入!$B$148+核心参数输入!$B$124)+1))/4)=2,核心参数输入!$B$40,核心参数输入!$B$41)))),0)</f>
        <v>0.9</v>
      </c>
      <c r="AI124" s="22">
        <f>IF(31&lt;=核心参数输入!$B$9*4,IF(31&lt;((核心参数输入!$B$18-1)*4+(核心参数输入!$B$148+核心参数输入!$B$124)+1),0,IF(INT((31-((核心参数输入!$B$18-1)*4+(核心参数输入!$B$148+核心参数输入!$B$124)+1))/4)=0,核心参数输入!$B$38,IF(INT((31-((核心参数输入!$B$18-1)*4+(核心参数输入!$B$148+核心参数输入!$B$124)+1))/4)=1,核心参数输入!$B$39,IF(INT((31-((核心参数输入!$B$18-1)*4+(核心参数输入!$B$148+核心参数输入!$B$124)+1))/4)=2,核心参数输入!$B$40,核心参数输入!$B$41)))),0)</f>
        <v>0.9</v>
      </c>
      <c r="AJ124" s="22">
        <f>IF(32&lt;=核心参数输入!$B$9*4,IF(32&lt;((核心参数输入!$B$18-1)*4+(核心参数输入!$B$148+核心参数输入!$B$124)+1),0,IF(INT((32-((核心参数输入!$B$18-1)*4+(核心参数输入!$B$148+核心参数输入!$B$124)+1))/4)=0,核心参数输入!$B$38,IF(INT((32-((核心参数输入!$B$18-1)*4+(核心参数输入!$B$148+核心参数输入!$B$124)+1))/4)=1,核心参数输入!$B$39,IF(INT((32-((核心参数输入!$B$18-1)*4+(核心参数输入!$B$148+核心参数输入!$B$124)+1))/4)=2,核心参数输入!$B$40,核心参数输入!$B$41)))),0)</f>
        <v>0.9</v>
      </c>
      <c r="AK124" s="22">
        <f>IF(33&lt;=核心参数输入!$B$9*4,IF(33&lt;((核心参数输入!$B$18-1)*4+(核心参数输入!$B$148+核心参数输入!$B$124)+1),0,IF(INT((33-((核心参数输入!$B$18-1)*4+(核心参数输入!$B$148+核心参数输入!$B$124)+1))/4)=0,核心参数输入!$B$38,IF(INT((33-((核心参数输入!$B$18-1)*4+(核心参数输入!$B$148+核心参数输入!$B$124)+1))/4)=1,核心参数输入!$B$39,IF(INT((33-((核心参数输入!$B$18-1)*4+(核心参数输入!$B$148+核心参数输入!$B$124)+1))/4)=2,核心参数输入!$B$40,核心参数输入!$B$41)))),0)</f>
        <v>0.9</v>
      </c>
      <c r="AL124" s="22">
        <f>IF(34&lt;=核心参数输入!$B$9*4,IF(34&lt;((核心参数输入!$B$18-1)*4+(核心参数输入!$B$148+核心参数输入!$B$124)+1),0,IF(INT((34-((核心参数输入!$B$18-1)*4+(核心参数输入!$B$148+核心参数输入!$B$124)+1))/4)=0,核心参数输入!$B$38,IF(INT((34-((核心参数输入!$B$18-1)*4+(核心参数输入!$B$148+核心参数输入!$B$124)+1))/4)=1,核心参数输入!$B$39,IF(INT((34-((核心参数输入!$B$18-1)*4+(核心参数输入!$B$148+核心参数输入!$B$124)+1))/4)=2,核心参数输入!$B$40,核心参数输入!$B$41)))),0)</f>
        <v>0.9</v>
      </c>
      <c r="AM124" s="22">
        <f>IF(35&lt;=核心参数输入!$B$9*4,IF(35&lt;((核心参数输入!$B$18-1)*4+(核心参数输入!$B$148+核心参数输入!$B$124)+1),0,IF(INT((35-((核心参数输入!$B$18-1)*4+(核心参数输入!$B$148+核心参数输入!$B$124)+1))/4)=0,核心参数输入!$B$38,IF(INT((35-((核心参数输入!$B$18-1)*4+(核心参数输入!$B$148+核心参数输入!$B$124)+1))/4)=1,核心参数输入!$B$39,IF(INT((35-((核心参数输入!$B$18-1)*4+(核心参数输入!$B$148+核心参数输入!$B$124)+1))/4)=2,核心参数输入!$B$40,核心参数输入!$B$41)))),0)</f>
        <v>0.9</v>
      </c>
      <c r="AN124" s="22">
        <f>IF(36&lt;=核心参数输入!$B$9*4,IF(36&lt;((核心参数输入!$B$18-1)*4+(核心参数输入!$B$148+核心参数输入!$B$124)+1),0,IF(INT((36-((核心参数输入!$B$18-1)*4+(核心参数输入!$B$148+核心参数输入!$B$124)+1))/4)=0,核心参数输入!$B$38,IF(INT((36-((核心参数输入!$B$18-1)*4+(核心参数输入!$B$148+核心参数输入!$B$124)+1))/4)=1,核心参数输入!$B$39,IF(INT((36-((核心参数输入!$B$18-1)*4+(核心参数输入!$B$148+核心参数输入!$B$124)+1))/4)=2,核心参数输入!$B$40,核心参数输入!$B$41)))),0)</f>
        <v>0.9</v>
      </c>
      <c r="AO124" s="22">
        <f>IF(37&lt;=核心参数输入!$B$9*4,IF(37&lt;((核心参数输入!$B$18-1)*4+(核心参数输入!$B$148+核心参数输入!$B$124)+1),0,IF(INT((37-((核心参数输入!$B$18-1)*4+(核心参数输入!$B$148+核心参数输入!$B$124)+1))/4)=0,核心参数输入!$B$38,IF(INT((37-((核心参数输入!$B$18-1)*4+(核心参数输入!$B$148+核心参数输入!$B$124)+1))/4)=1,核心参数输入!$B$39,IF(INT((37-((核心参数输入!$B$18-1)*4+(核心参数输入!$B$148+核心参数输入!$B$124)+1))/4)=2,核心参数输入!$B$40,核心参数输入!$B$41)))),0)</f>
        <v>0.9</v>
      </c>
      <c r="AP124" s="22">
        <f>IF(38&lt;=核心参数输入!$B$9*4,IF(38&lt;((核心参数输入!$B$18-1)*4+(核心参数输入!$B$148+核心参数输入!$B$124)+1),0,IF(INT((38-((核心参数输入!$B$18-1)*4+(核心参数输入!$B$148+核心参数输入!$B$124)+1))/4)=0,核心参数输入!$B$38,IF(INT((38-((核心参数输入!$B$18-1)*4+(核心参数输入!$B$148+核心参数输入!$B$124)+1))/4)=1,核心参数输入!$B$39,IF(INT((38-((核心参数输入!$B$18-1)*4+(核心参数输入!$B$148+核心参数输入!$B$124)+1))/4)=2,核心参数输入!$B$40,核心参数输入!$B$41)))),0)</f>
        <v>0.9</v>
      </c>
      <c r="AQ124" s="22">
        <f>IF(39&lt;=核心参数输入!$B$9*4,IF(39&lt;((核心参数输入!$B$18-1)*4+(核心参数输入!$B$148+核心参数输入!$B$124)+1),0,IF(INT((39-((核心参数输入!$B$18-1)*4+(核心参数输入!$B$148+核心参数输入!$B$124)+1))/4)=0,核心参数输入!$B$38,IF(INT((39-((核心参数输入!$B$18-1)*4+(核心参数输入!$B$148+核心参数输入!$B$124)+1))/4)=1,核心参数输入!$B$39,IF(INT((39-((核心参数输入!$B$18-1)*4+(核心参数输入!$B$148+核心参数输入!$B$124)+1))/4)=2,核心参数输入!$B$40,核心参数输入!$B$41)))),0)</f>
        <v>0.9</v>
      </c>
      <c r="AR124" s="22">
        <f>IF(40&lt;=核心参数输入!$B$9*4,IF(40&lt;((核心参数输入!$B$18-1)*4+(核心参数输入!$B$148+核心参数输入!$B$124)+1),0,IF(INT((40-((核心参数输入!$B$18-1)*4+(核心参数输入!$B$148+核心参数输入!$B$124)+1))/4)=0,核心参数输入!$B$38,IF(INT((40-((核心参数输入!$B$18-1)*4+(核心参数输入!$B$148+核心参数输入!$B$124)+1))/4)=1,核心参数输入!$B$39,IF(INT((40-((核心参数输入!$B$18-1)*4+(核心参数输入!$B$148+核心参数输入!$B$124)+1))/4)=2,核心参数输入!$B$40,核心参数输入!$B$41)))),0)</f>
        <v>0.9</v>
      </c>
      <c r="AS124" s="22">
        <f>IF(41&lt;=核心参数输入!$B$9*4,IF(41&lt;((核心参数输入!$B$18-1)*4+(核心参数输入!$B$148+核心参数输入!$B$124)+1),0,IF(INT((41-((核心参数输入!$B$18-1)*4+(核心参数输入!$B$148+核心参数输入!$B$124)+1))/4)=0,核心参数输入!$B$38,IF(INT((41-((核心参数输入!$B$18-1)*4+(核心参数输入!$B$148+核心参数输入!$B$124)+1))/4)=1,核心参数输入!$B$39,IF(INT((41-((核心参数输入!$B$18-1)*4+(核心参数输入!$B$148+核心参数输入!$B$124)+1))/4)=2,核心参数输入!$B$40,核心参数输入!$B$41)))),0)</f>
        <v>0.9</v>
      </c>
      <c r="AT124" s="22">
        <f>IF(42&lt;=核心参数输入!$B$9*4,IF(42&lt;((核心参数输入!$B$18-1)*4+(核心参数输入!$B$148+核心参数输入!$B$124)+1),0,IF(INT((42-((核心参数输入!$B$18-1)*4+(核心参数输入!$B$148+核心参数输入!$B$124)+1))/4)=0,核心参数输入!$B$38,IF(INT((42-((核心参数输入!$B$18-1)*4+(核心参数输入!$B$148+核心参数输入!$B$124)+1))/4)=1,核心参数输入!$B$39,IF(INT((42-((核心参数输入!$B$18-1)*4+(核心参数输入!$B$148+核心参数输入!$B$124)+1))/4)=2,核心参数输入!$B$40,核心参数输入!$B$41)))),0)</f>
        <v>0.9</v>
      </c>
      <c r="AU124" s="22">
        <f>IF(43&lt;=核心参数输入!$B$9*4,IF(43&lt;((核心参数输入!$B$18-1)*4+(核心参数输入!$B$148+核心参数输入!$B$124)+1),0,IF(INT((43-((核心参数输入!$B$18-1)*4+(核心参数输入!$B$148+核心参数输入!$B$124)+1))/4)=0,核心参数输入!$B$38,IF(INT((43-((核心参数输入!$B$18-1)*4+(核心参数输入!$B$148+核心参数输入!$B$124)+1))/4)=1,核心参数输入!$B$39,IF(INT((43-((核心参数输入!$B$18-1)*4+(核心参数输入!$B$148+核心参数输入!$B$124)+1))/4)=2,核心参数输入!$B$40,核心参数输入!$B$41)))),0)</f>
        <v>0.9</v>
      </c>
      <c r="AV124" s="22">
        <f>IF(44&lt;=核心参数输入!$B$9*4,IF(44&lt;((核心参数输入!$B$18-1)*4+(核心参数输入!$B$148+核心参数输入!$B$124)+1),0,IF(INT((44-((核心参数输入!$B$18-1)*4+(核心参数输入!$B$148+核心参数输入!$B$124)+1))/4)=0,核心参数输入!$B$38,IF(INT((44-((核心参数输入!$B$18-1)*4+(核心参数输入!$B$148+核心参数输入!$B$124)+1))/4)=1,核心参数输入!$B$39,IF(INT((44-((核心参数输入!$B$18-1)*4+(核心参数输入!$B$148+核心参数输入!$B$124)+1))/4)=2,核心参数输入!$B$40,核心参数输入!$B$41)))),0)</f>
        <v>0.9</v>
      </c>
      <c r="AW124" s="22">
        <f>IF(45&lt;=核心参数输入!$B$9*4,IF(45&lt;((核心参数输入!$B$18-1)*4+(核心参数输入!$B$148+核心参数输入!$B$124)+1),0,IF(INT((45-((核心参数输入!$B$18-1)*4+(核心参数输入!$B$148+核心参数输入!$B$124)+1))/4)=0,核心参数输入!$B$38,IF(INT((45-((核心参数输入!$B$18-1)*4+(核心参数输入!$B$148+核心参数输入!$B$124)+1))/4)=1,核心参数输入!$B$39,IF(INT((45-((核心参数输入!$B$18-1)*4+(核心参数输入!$B$148+核心参数输入!$B$124)+1))/4)=2,核心参数输入!$B$40,核心参数输入!$B$41)))),0)</f>
        <v>0.9</v>
      </c>
      <c r="AX124" s="22">
        <f>IF(46&lt;=核心参数输入!$B$9*4,IF(46&lt;((核心参数输入!$B$18-1)*4+(核心参数输入!$B$148+核心参数输入!$B$124)+1),0,IF(INT((46-((核心参数输入!$B$18-1)*4+(核心参数输入!$B$148+核心参数输入!$B$124)+1))/4)=0,核心参数输入!$B$38,IF(INT((46-((核心参数输入!$B$18-1)*4+(核心参数输入!$B$148+核心参数输入!$B$124)+1))/4)=1,核心参数输入!$B$39,IF(INT((46-((核心参数输入!$B$18-1)*4+(核心参数输入!$B$148+核心参数输入!$B$124)+1))/4)=2,核心参数输入!$B$40,核心参数输入!$B$41)))),0)</f>
        <v>0.9</v>
      </c>
      <c r="AY124" s="22">
        <f>IF(47&lt;=核心参数输入!$B$9*4,IF(47&lt;((核心参数输入!$B$18-1)*4+(核心参数输入!$B$148+核心参数输入!$B$124)+1),0,IF(INT((47-((核心参数输入!$B$18-1)*4+(核心参数输入!$B$148+核心参数输入!$B$124)+1))/4)=0,核心参数输入!$B$38,IF(INT((47-((核心参数输入!$B$18-1)*4+(核心参数输入!$B$148+核心参数输入!$B$124)+1))/4)=1,核心参数输入!$B$39,IF(INT((47-((核心参数输入!$B$18-1)*4+(核心参数输入!$B$148+核心参数输入!$B$124)+1))/4)=2,核心参数输入!$B$40,核心参数输入!$B$41)))),0)</f>
        <v>0.9</v>
      </c>
      <c r="AZ124" s="22">
        <f>IF(48&lt;=核心参数输入!$B$9*4,IF(48&lt;((核心参数输入!$B$18-1)*4+(核心参数输入!$B$148+核心参数输入!$B$124)+1),0,IF(INT((48-((核心参数输入!$B$18-1)*4+(核心参数输入!$B$148+核心参数输入!$B$124)+1))/4)=0,核心参数输入!$B$38,IF(INT((48-((核心参数输入!$B$18-1)*4+(核心参数输入!$B$148+核心参数输入!$B$124)+1))/4)=1,核心参数输入!$B$39,IF(INT((48-((核心参数输入!$B$18-1)*4+(核心参数输入!$B$148+核心参数输入!$B$124)+1))/4)=2,核心参数输入!$B$40,核心参数输入!$B$41)))),0)</f>
        <v>0.9</v>
      </c>
      <c r="BA124" s="22">
        <f>IF(49&lt;=核心参数输入!$B$9*4,IF(49&lt;((核心参数输入!$B$18-1)*4+(核心参数输入!$B$148+核心参数输入!$B$124)+1),0,IF(INT((49-((核心参数输入!$B$18-1)*4+(核心参数输入!$B$148+核心参数输入!$B$124)+1))/4)=0,核心参数输入!$B$38,IF(INT((49-((核心参数输入!$B$18-1)*4+(核心参数输入!$B$148+核心参数输入!$B$124)+1))/4)=1,核心参数输入!$B$39,IF(INT((49-((核心参数输入!$B$18-1)*4+(核心参数输入!$B$148+核心参数输入!$B$124)+1))/4)=2,核心参数输入!$B$40,核心参数输入!$B$41)))),0)</f>
        <v>0.9</v>
      </c>
      <c r="BB124" s="22">
        <f>IF(50&lt;=核心参数输入!$B$9*4,IF(50&lt;((核心参数输入!$B$18-1)*4+(核心参数输入!$B$148+核心参数输入!$B$124)+1),0,IF(INT((50-((核心参数输入!$B$18-1)*4+(核心参数输入!$B$148+核心参数输入!$B$124)+1))/4)=0,核心参数输入!$B$38,IF(INT((50-((核心参数输入!$B$18-1)*4+(核心参数输入!$B$148+核心参数输入!$B$124)+1))/4)=1,核心参数输入!$B$39,IF(INT((50-((核心参数输入!$B$18-1)*4+(核心参数输入!$B$148+核心参数输入!$B$124)+1))/4)=2,核心参数输入!$B$40,核心参数输入!$B$41)))),0)</f>
        <v>0.9</v>
      </c>
      <c r="BC124" s="22">
        <f>IF(51&lt;=核心参数输入!$B$9*4,IF(51&lt;((核心参数输入!$B$18-1)*4+(核心参数输入!$B$148+核心参数输入!$B$124)+1),0,IF(INT((51-((核心参数输入!$B$18-1)*4+(核心参数输入!$B$148+核心参数输入!$B$124)+1))/4)=0,核心参数输入!$B$38,IF(INT((51-((核心参数输入!$B$18-1)*4+(核心参数输入!$B$148+核心参数输入!$B$124)+1))/4)=1,核心参数输入!$B$39,IF(INT((51-((核心参数输入!$B$18-1)*4+(核心参数输入!$B$148+核心参数输入!$B$124)+1))/4)=2,核心参数输入!$B$40,核心参数输入!$B$41)))),0)</f>
        <v>0.9</v>
      </c>
      <c r="BD124" s="22">
        <f>IF(52&lt;=核心参数输入!$B$9*4,IF(52&lt;((核心参数输入!$B$18-1)*4+(核心参数输入!$B$148+核心参数输入!$B$124)+1),0,IF(INT((52-((核心参数输入!$B$18-1)*4+(核心参数输入!$B$148+核心参数输入!$B$124)+1))/4)=0,核心参数输入!$B$38,IF(INT((52-((核心参数输入!$B$18-1)*4+(核心参数输入!$B$148+核心参数输入!$B$124)+1))/4)=1,核心参数输入!$B$39,IF(INT((52-((核心参数输入!$B$18-1)*4+(核心参数输入!$B$148+核心参数输入!$B$124)+1))/4)=2,核心参数输入!$B$40,核心参数输入!$B$41)))),0)</f>
        <v>0.9</v>
      </c>
      <c r="BE124" s="22">
        <f>IF(53&lt;=核心参数输入!$B$9*4,IF(53&lt;((核心参数输入!$B$18-1)*4+(核心参数输入!$B$148+核心参数输入!$B$124)+1),0,IF(INT((53-((核心参数输入!$B$18-1)*4+(核心参数输入!$B$148+核心参数输入!$B$124)+1))/4)=0,核心参数输入!$B$38,IF(INT((53-((核心参数输入!$B$18-1)*4+(核心参数输入!$B$148+核心参数输入!$B$124)+1))/4)=1,核心参数输入!$B$39,IF(INT((53-((核心参数输入!$B$18-1)*4+(核心参数输入!$B$148+核心参数输入!$B$124)+1))/4)=2,核心参数输入!$B$40,核心参数输入!$B$41)))),0)</f>
        <v>0.9</v>
      </c>
      <c r="BF124" s="22">
        <f>IF(54&lt;=核心参数输入!$B$9*4,IF(54&lt;((核心参数输入!$B$18-1)*4+(核心参数输入!$B$148+核心参数输入!$B$124)+1),0,IF(INT((54-((核心参数输入!$B$18-1)*4+(核心参数输入!$B$148+核心参数输入!$B$124)+1))/4)=0,核心参数输入!$B$38,IF(INT((54-((核心参数输入!$B$18-1)*4+(核心参数输入!$B$148+核心参数输入!$B$124)+1))/4)=1,核心参数输入!$B$39,IF(INT((54-((核心参数输入!$B$18-1)*4+(核心参数输入!$B$148+核心参数输入!$B$124)+1))/4)=2,核心参数输入!$B$40,核心参数输入!$B$41)))),0)</f>
        <v>0.9</v>
      </c>
      <c r="BG124" s="22">
        <f>IF(55&lt;=核心参数输入!$B$9*4,IF(55&lt;((核心参数输入!$B$18-1)*4+(核心参数输入!$B$148+核心参数输入!$B$124)+1),0,IF(INT((55-((核心参数输入!$B$18-1)*4+(核心参数输入!$B$148+核心参数输入!$B$124)+1))/4)=0,核心参数输入!$B$38,IF(INT((55-((核心参数输入!$B$18-1)*4+(核心参数输入!$B$148+核心参数输入!$B$124)+1))/4)=1,核心参数输入!$B$39,IF(INT((55-((核心参数输入!$B$18-1)*4+(核心参数输入!$B$148+核心参数输入!$B$124)+1))/4)=2,核心参数输入!$B$40,核心参数输入!$B$41)))),0)</f>
        <v>0.9</v>
      </c>
      <c r="BH124" s="22">
        <f>IF(56&lt;=核心参数输入!$B$9*4,IF(56&lt;((核心参数输入!$B$18-1)*4+(核心参数输入!$B$148+核心参数输入!$B$124)+1),0,IF(INT((56-((核心参数输入!$B$18-1)*4+(核心参数输入!$B$148+核心参数输入!$B$124)+1))/4)=0,核心参数输入!$B$38,IF(INT((56-((核心参数输入!$B$18-1)*4+(核心参数输入!$B$148+核心参数输入!$B$124)+1))/4)=1,核心参数输入!$B$39,IF(INT((56-((核心参数输入!$B$18-1)*4+(核心参数输入!$B$148+核心参数输入!$B$124)+1))/4)=2,核心参数输入!$B$40,核心参数输入!$B$41)))),0)</f>
        <v>0.9</v>
      </c>
      <c r="BI124" s="22">
        <f>IF(57&lt;=核心参数输入!$B$9*4,IF(57&lt;((核心参数输入!$B$18-1)*4+(核心参数输入!$B$148+核心参数输入!$B$124)+1),0,IF(INT((57-((核心参数输入!$B$18-1)*4+(核心参数输入!$B$148+核心参数输入!$B$124)+1))/4)=0,核心参数输入!$B$38,IF(INT((57-((核心参数输入!$B$18-1)*4+(核心参数输入!$B$148+核心参数输入!$B$124)+1))/4)=1,核心参数输入!$B$39,IF(INT((57-((核心参数输入!$B$18-1)*4+(核心参数输入!$B$148+核心参数输入!$B$124)+1))/4)=2,核心参数输入!$B$40,核心参数输入!$B$41)))),0)</f>
        <v>0.9</v>
      </c>
      <c r="BJ124" s="22">
        <f>IF(58&lt;=核心参数输入!$B$9*4,IF(58&lt;((核心参数输入!$B$18-1)*4+(核心参数输入!$B$148+核心参数输入!$B$124)+1),0,IF(INT((58-((核心参数输入!$B$18-1)*4+(核心参数输入!$B$148+核心参数输入!$B$124)+1))/4)=0,核心参数输入!$B$38,IF(INT((58-((核心参数输入!$B$18-1)*4+(核心参数输入!$B$148+核心参数输入!$B$124)+1))/4)=1,核心参数输入!$B$39,IF(INT((58-((核心参数输入!$B$18-1)*4+(核心参数输入!$B$148+核心参数输入!$B$124)+1))/4)=2,核心参数输入!$B$40,核心参数输入!$B$41)))),0)</f>
        <v>0.9</v>
      </c>
      <c r="BK124" s="22">
        <f>IF(59&lt;=核心参数输入!$B$9*4,IF(59&lt;((核心参数输入!$B$18-1)*4+(核心参数输入!$B$148+核心参数输入!$B$124)+1),0,IF(INT((59-((核心参数输入!$B$18-1)*4+(核心参数输入!$B$148+核心参数输入!$B$124)+1))/4)=0,核心参数输入!$B$38,IF(INT((59-((核心参数输入!$B$18-1)*4+(核心参数输入!$B$148+核心参数输入!$B$124)+1))/4)=1,核心参数输入!$B$39,IF(INT((59-((核心参数输入!$B$18-1)*4+(核心参数输入!$B$148+核心参数输入!$B$124)+1))/4)=2,核心参数输入!$B$40,核心参数输入!$B$41)))),0)</f>
        <v>0.9</v>
      </c>
      <c r="BL124" s="22">
        <f>IF(60&lt;=核心参数输入!$B$9*4,IF(60&lt;((核心参数输入!$B$18-1)*4+(核心参数输入!$B$148+核心参数输入!$B$124)+1),0,IF(INT((60-((核心参数输入!$B$18-1)*4+(核心参数输入!$B$148+核心参数输入!$B$124)+1))/4)=0,核心参数输入!$B$38,IF(INT((60-((核心参数输入!$B$18-1)*4+(核心参数输入!$B$148+核心参数输入!$B$124)+1))/4)=1,核心参数输入!$B$39,IF(INT((60-((核心参数输入!$B$18-1)*4+(核心参数输入!$B$148+核心参数输入!$B$124)+1))/4)=2,核心参数输入!$B$40,核心参数输入!$B$41)))),0)</f>
        <v>0.9</v>
      </c>
      <c r="BM124" s="22">
        <f>IF(61&lt;=核心参数输入!$B$9*4,IF(61&lt;((核心参数输入!$B$18-1)*4+(核心参数输入!$B$148+核心参数输入!$B$124)+1),0,IF(INT((61-((核心参数输入!$B$18-1)*4+(核心参数输入!$B$148+核心参数输入!$B$124)+1))/4)=0,核心参数输入!$B$38,IF(INT((61-((核心参数输入!$B$18-1)*4+(核心参数输入!$B$148+核心参数输入!$B$124)+1))/4)=1,核心参数输入!$B$39,IF(INT((61-((核心参数输入!$B$18-1)*4+(核心参数输入!$B$148+核心参数输入!$B$124)+1))/4)=2,核心参数输入!$B$40,核心参数输入!$B$41)))),0)</f>
        <v>0.9</v>
      </c>
      <c r="BN124" s="22">
        <f>IF(62&lt;=核心参数输入!$B$9*4,IF(62&lt;((核心参数输入!$B$18-1)*4+(核心参数输入!$B$148+核心参数输入!$B$124)+1),0,IF(INT((62-((核心参数输入!$B$18-1)*4+(核心参数输入!$B$148+核心参数输入!$B$124)+1))/4)=0,核心参数输入!$B$38,IF(INT((62-((核心参数输入!$B$18-1)*4+(核心参数输入!$B$148+核心参数输入!$B$124)+1))/4)=1,核心参数输入!$B$39,IF(INT((62-((核心参数输入!$B$18-1)*4+(核心参数输入!$B$148+核心参数输入!$B$124)+1))/4)=2,核心参数输入!$B$40,核心参数输入!$B$41)))),0)</f>
        <v>0.9</v>
      </c>
      <c r="BO124" s="22">
        <f>IF(63&lt;=核心参数输入!$B$9*4,IF(63&lt;((核心参数输入!$B$18-1)*4+(核心参数输入!$B$148+核心参数输入!$B$124)+1),0,IF(INT((63-((核心参数输入!$B$18-1)*4+(核心参数输入!$B$148+核心参数输入!$B$124)+1))/4)=0,核心参数输入!$B$38,IF(INT((63-((核心参数输入!$B$18-1)*4+(核心参数输入!$B$148+核心参数输入!$B$124)+1))/4)=1,核心参数输入!$B$39,IF(INT((63-((核心参数输入!$B$18-1)*4+(核心参数输入!$B$148+核心参数输入!$B$124)+1))/4)=2,核心参数输入!$B$40,核心参数输入!$B$41)))),0)</f>
        <v>0.9</v>
      </c>
      <c r="BP124" s="22">
        <f>IF(64&lt;=核心参数输入!$B$9*4,IF(64&lt;((核心参数输入!$B$18-1)*4+(核心参数输入!$B$148+核心参数输入!$B$124)+1),0,IF(INT((64-((核心参数输入!$B$18-1)*4+(核心参数输入!$B$148+核心参数输入!$B$124)+1))/4)=0,核心参数输入!$B$38,IF(INT((64-((核心参数输入!$B$18-1)*4+(核心参数输入!$B$148+核心参数输入!$B$124)+1))/4)=1,核心参数输入!$B$39,IF(INT((64-((核心参数输入!$B$18-1)*4+(核心参数输入!$B$148+核心参数输入!$B$124)+1))/4)=2,核心参数输入!$B$40,核心参数输入!$B$41)))),0)</f>
        <v>0.9</v>
      </c>
      <c r="BQ124" s="22">
        <f>IF(65&lt;=核心参数输入!$B$9*4,IF(65&lt;((核心参数输入!$B$18-1)*4+(核心参数输入!$B$148+核心参数输入!$B$124)+1),0,IF(INT((65-((核心参数输入!$B$18-1)*4+(核心参数输入!$B$148+核心参数输入!$B$124)+1))/4)=0,核心参数输入!$B$38,IF(INT((65-((核心参数输入!$B$18-1)*4+(核心参数输入!$B$148+核心参数输入!$B$124)+1))/4)=1,核心参数输入!$B$39,IF(INT((65-((核心参数输入!$B$18-1)*4+(核心参数输入!$B$148+核心参数输入!$B$124)+1))/4)=2,核心参数输入!$B$40,核心参数输入!$B$41)))),0)</f>
        <v>0.9</v>
      </c>
      <c r="BR124" s="22">
        <f>IF(66&lt;=核心参数输入!$B$9*4,IF(66&lt;((核心参数输入!$B$18-1)*4+(核心参数输入!$B$148+核心参数输入!$B$124)+1),0,IF(INT((66-((核心参数输入!$B$18-1)*4+(核心参数输入!$B$148+核心参数输入!$B$124)+1))/4)=0,核心参数输入!$B$38,IF(INT((66-((核心参数输入!$B$18-1)*4+(核心参数输入!$B$148+核心参数输入!$B$124)+1))/4)=1,核心参数输入!$B$39,IF(INT((66-((核心参数输入!$B$18-1)*4+(核心参数输入!$B$148+核心参数输入!$B$124)+1))/4)=2,核心参数输入!$B$40,核心参数输入!$B$41)))),0)</f>
        <v>0.9</v>
      </c>
      <c r="BS124" s="22">
        <f>IF(67&lt;=核心参数输入!$B$9*4,IF(67&lt;((核心参数输入!$B$18-1)*4+(核心参数输入!$B$148+核心参数输入!$B$124)+1),0,IF(INT((67-((核心参数输入!$B$18-1)*4+(核心参数输入!$B$148+核心参数输入!$B$124)+1))/4)=0,核心参数输入!$B$38,IF(INT((67-((核心参数输入!$B$18-1)*4+(核心参数输入!$B$148+核心参数输入!$B$124)+1))/4)=1,核心参数输入!$B$39,IF(INT((67-((核心参数输入!$B$18-1)*4+(核心参数输入!$B$148+核心参数输入!$B$124)+1))/4)=2,核心参数输入!$B$40,核心参数输入!$B$41)))),0)</f>
        <v>0.9</v>
      </c>
      <c r="BT124" s="22">
        <f>IF(68&lt;=核心参数输入!$B$9*4,IF(68&lt;((核心参数输入!$B$18-1)*4+(核心参数输入!$B$148+核心参数输入!$B$124)+1),0,IF(INT((68-((核心参数输入!$B$18-1)*4+(核心参数输入!$B$148+核心参数输入!$B$124)+1))/4)=0,核心参数输入!$B$38,IF(INT((68-((核心参数输入!$B$18-1)*4+(核心参数输入!$B$148+核心参数输入!$B$124)+1))/4)=1,核心参数输入!$B$39,IF(INT((68-((核心参数输入!$B$18-1)*4+(核心参数输入!$B$148+核心参数输入!$B$124)+1))/4)=2,核心参数输入!$B$40,核心参数输入!$B$41)))),0)</f>
        <v>0.9</v>
      </c>
      <c r="BU124" s="22">
        <f>IF(69&lt;=核心参数输入!$B$9*4,IF(69&lt;((核心参数输入!$B$18-1)*4+(核心参数输入!$B$148+核心参数输入!$B$124)+1),0,IF(INT((69-((核心参数输入!$B$18-1)*4+(核心参数输入!$B$148+核心参数输入!$B$124)+1))/4)=0,核心参数输入!$B$38,IF(INT((69-((核心参数输入!$B$18-1)*4+(核心参数输入!$B$148+核心参数输入!$B$124)+1))/4)=1,核心参数输入!$B$39,IF(INT((69-((核心参数输入!$B$18-1)*4+(核心参数输入!$B$148+核心参数输入!$B$124)+1))/4)=2,核心参数输入!$B$40,核心参数输入!$B$41)))),0)</f>
        <v>0.9</v>
      </c>
      <c r="BV124" s="22">
        <f>IF(70&lt;=核心参数输入!$B$9*4,IF(70&lt;((核心参数输入!$B$18-1)*4+(核心参数输入!$B$148+核心参数输入!$B$124)+1),0,IF(INT((70-((核心参数输入!$B$18-1)*4+(核心参数输入!$B$148+核心参数输入!$B$124)+1))/4)=0,核心参数输入!$B$38,IF(INT((70-((核心参数输入!$B$18-1)*4+(核心参数输入!$B$148+核心参数输入!$B$124)+1))/4)=1,核心参数输入!$B$39,IF(INT((70-((核心参数输入!$B$18-1)*4+(核心参数输入!$B$148+核心参数输入!$B$124)+1))/4)=2,核心参数输入!$B$40,核心参数输入!$B$41)))),0)</f>
        <v>0.9</v>
      </c>
      <c r="BW124" s="22">
        <f>IF(71&lt;=核心参数输入!$B$9*4,IF(71&lt;((核心参数输入!$B$18-1)*4+(核心参数输入!$B$148+核心参数输入!$B$124)+1),0,IF(INT((71-((核心参数输入!$B$18-1)*4+(核心参数输入!$B$148+核心参数输入!$B$124)+1))/4)=0,核心参数输入!$B$38,IF(INT((71-((核心参数输入!$B$18-1)*4+(核心参数输入!$B$148+核心参数输入!$B$124)+1))/4)=1,核心参数输入!$B$39,IF(INT((71-((核心参数输入!$B$18-1)*4+(核心参数输入!$B$148+核心参数输入!$B$124)+1))/4)=2,核心参数输入!$B$40,核心参数输入!$B$41)))),0)</f>
        <v>0.9</v>
      </c>
      <c r="BX124" s="22">
        <f>IF(72&lt;=核心参数输入!$B$9*4,IF(72&lt;((核心参数输入!$B$18-1)*4+(核心参数输入!$B$148+核心参数输入!$B$124)+1),0,IF(INT((72-((核心参数输入!$B$18-1)*4+(核心参数输入!$B$148+核心参数输入!$B$124)+1))/4)=0,核心参数输入!$B$38,IF(INT((72-((核心参数输入!$B$18-1)*4+(核心参数输入!$B$148+核心参数输入!$B$124)+1))/4)=1,核心参数输入!$B$39,IF(INT((72-((核心参数输入!$B$18-1)*4+(核心参数输入!$B$148+核心参数输入!$B$124)+1))/4)=2,核心参数输入!$B$40,核心参数输入!$B$41)))),0)</f>
        <v>0.9</v>
      </c>
      <c r="BY124" s="22">
        <f>IF(73&lt;=核心参数输入!$B$9*4,IF(73&lt;((核心参数输入!$B$18-1)*4+(核心参数输入!$B$148+核心参数输入!$B$124)+1),0,IF(INT((73-((核心参数输入!$B$18-1)*4+(核心参数输入!$B$148+核心参数输入!$B$124)+1))/4)=0,核心参数输入!$B$38,IF(INT((73-((核心参数输入!$B$18-1)*4+(核心参数输入!$B$148+核心参数输入!$B$124)+1))/4)=1,核心参数输入!$B$39,IF(INT((73-((核心参数输入!$B$18-1)*4+(核心参数输入!$B$148+核心参数输入!$B$124)+1))/4)=2,核心参数输入!$B$40,核心参数输入!$B$41)))),0)</f>
        <v>0.9</v>
      </c>
      <c r="BZ124" s="22">
        <f>IF(74&lt;=核心参数输入!$B$9*4,IF(74&lt;((核心参数输入!$B$18-1)*4+(核心参数输入!$B$148+核心参数输入!$B$124)+1),0,IF(INT((74-((核心参数输入!$B$18-1)*4+(核心参数输入!$B$148+核心参数输入!$B$124)+1))/4)=0,核心参数输入!$B$38,IF(INT((74-((核心参数输入!$B$18-1)*4+(核心参数输入!$B$148+核心参数输入!$B$124)+1))/4)=1,核心参数输入!$B$39,IF(INT((74-((核心参数输入!$B$18-1)*4+(核心参数输入!$B$148+核心参数输入!$B$124)+1))/4)=2,核心参数输入!$B$40,核心参数输入!$B$41)))),0)</f>
        <v>0.9</v>
      </c>
      <c r="CA124" s="22">
        <f>IF(75&lt;=核心参数输入!$B$9*4,IF(75&lt;((核心参数输入!$B$18-1)*4+(核心参数输入!$B$148+核心参数输入!$B$124)+1),0,IF(INT((75-((核心参数输入!$B$18-1)*4+(核心参数输入!$B$148+核心参数输入!$B$124)+1))/4)=0,核心参数输入!$B$38,IF(INT((75-((核心参数输入!$B$18-1)*4+(核心参数输入!$B$148+核心参数输入!$B$124)+1))/4)=1,核心参数输入!$B$39,IF(INT((75-((核心参数输入!$B$18-1)*4+(核心参数输入!$B$148+核心参数输入!$B$124)+1))/4)=2,核心参数输入!$B$40,核心参数输入!$B$41)))),0)</f>
        <v>0.9</v>
      </c>
      <c r="CB124" s="22">
        <f>IF(76&lt;=核心参数输入!$B$9*4,IF(76&lt;((核心参数输入!$B$18-1)*4+(核心参数输入!$B$148+核心参数输入!$B$124)+1),0,IF(INT((76-((核心参数输入!$B$18-1)*4+(核心参数输入!$B$148+核心参数输入!$B$124)+1))/4)=0,核心参数输入!$B$38,IF(INT((76-((核心参数输入!$B$18-1)*4+(核心参数输入!$B$148+核心参数输入!$B$124)+1))/4)=1,核心参数输入!$B$39,IF(INT((76-((核心参数输入!$B$18-1)*4+(核心参数输入!$B$148+核心参数输入!$B$124)+1))/4)=2,核心参数输入!$B$40,核心参数输入!$B$41)))),0)</f>
        <v>0.9</v>
      </c>
      <c r="CC124" s="22">
        <f>IF(77&lt;=核心参数输入!$B$9*4,IF(77&lt;((核心参数输入!$B$18-1)*4+(核心参数输入!$B$148+核心参数输入!$B$124)+1),0,IF(INT((77-((核心参数输入!$B$18-1)*4+(核心参数输入!$B$148+核心参数输入!$B$124)+1))/4)=0,核心参数输入!$B$38,IF(INT((77-((核心参数输入!$B$18-1)*4+(核心参数输入!$B$148+核心参数输入!$B$124)+1))/4)=1,核心参数输入!$B$39,IF(INT((77-((核心参数输入!$B$18-1)*4+(核心参数输入!$B$148+核心参数输入!$B$124)+1))/4)=2,核心参数输入!$B$40,核心参数输入!$B$41)))),0)</f>
        <v>0.9</v>
      </c>
      <c r="CD124" s="22">
        <f>IF(78&lt;=核心参数输入!$B$9*4,IF(78&lt;((核心参数输入!$B$18-1)*4+(核心参数输入!$B$148+核心参数输入!$B$124)+1),0,IF(INT((78-((核心参数输入!$B$18-1)*4+(核心参数输入!$B$148+核心参数输入!$B$124)+1))/4)=0,核心参数输入!$B$38,IF(INT((78-((核心参数输入!$B$18-1)*4+(核心参数输入!$B$148+核心参数输入!$B$124)+1))/4)=1,核心参数输入!$B$39,IF(INT((78-((核心参数输入!$B$18-1)*4+(核心参数输入!$B$148+核心参数输入!$B$124)+1))/4)=2,核心参数输入!$B$40,核心参数输入!$B$41)))),0)</f>
        <v>0.9</v>
      </c>
      <c r="CE124" s="22">
        <f>IF(79&lt;=核心参数输入!$B$9*4,IF(79&lt;((核心参数输入!$B$18-1)*4+(核心参数输入!$B$148+核心参数输入!$B$124)+1),0,IF(INT((79-((核心参数输入!$B$18-1)*4+(核心参数输入!$B$148+核心参数输入!$B$124)+1))/4)=0,核心参数输入!$B$38,IF(INT((79-((核心参数输入!$B$18-1)*4+(核心参数输入!$B$148+核心参数输入!$B$124)+1))/4)=1,核心参数输入!$B$39,IF(INT((79-((核心参数输入!$B$18-1)*4+(核心参数输入!$B$148+核心参数输入!$B$124)+1))/4)=2,核心参数输入!$B$40,核心参数输入!$B$41)))),0)</f>
        <v>0.9</v>
      </c>
      <c r="CF124" s="22">
        <f>IF(80&lt;=核心参数输入!$B$9*4,IF(80&lt;((核心参数输入!$B$18-1)*4+(核心参数输入!$B$148+核心参数输入!$B$124)+1),0,IF(INT((80-((核心参数输入!$B$18-1)*4+(核心参数输入!$B$148+核心参数输入!$B$124)+1))/4)=0,核心参数输入!$B$38,IF(INT((80-((核心参数输入!$B$18-1)*4+(核心参数输入!$B$148+核心参数输入!$B$124)+1))/4)=1,核心参数输入!$B$39,IF(INT((80-((核心参数输入!$B$18-1)*4+(核心参数输入!$B$148+核心参数输入!$B$124)+1))/4)=2,核心参数输入!$B$40,核心参数输入!$B$41)))),0)</f>
        <v>0.9</v>
      </c>
      <c r="CG124" s="22">
        <f>IF(81&lt;=核心参数输入!$B$9*4,IF(81&lt;((核心参数输入!$B$18-1)*4+(核心参数输入!$B$148+核心参数输入!$B$124)+1),0,IF(INT((81-((核心参数输入!$B$18-1)*4+(核心参数输入!$B$148+核心参数输入!$B$124)+1))/4)=0,核心参数输入!$B$38,IF(INT((81-((核心参数输入!$B$18-1)*4+(核心参数输入!$B$148+核心参数输入!$B$124)+1))/4)=1,核心参数输入!$B$39,IF(INT((81-((核心参数输入!$B$18-1)*4+(核心参数输入!$B$148+核心参数输入!$B$124)+1))/4)=2,核心参数输入!$B$40,核心参数输入!$B$41)))),0)</f>
        <v>0</v>
      </c>
      <c r="CH124" s="22">
        <f>IF(82&lt;=核心参数输入!$B$9*4,IF(82&lt;((核心参数输入!$B$18-1)*4+(核心参数输入!$B$148+核心参数输入!$B$124)+1),0,IF(INT((82-((核心参数输入!$B$18-1)*4+(核心参数输入!$B$148+核心参数输入!$B$124)+1))/4)=0,核心参数输入!$B$38,IF(INT((82-((核心参数输入!$B$18-1)*4+(核心参数输入!$B$148+核心参数输入!$B$124)+1))/4)=1,核心参数输入!$B$39,IF(INT((82-((核心参数输入!$B$18-1)*4+(核心参数输入!$B$148+核心参数输入!$B$124)+1))/4)=2,核心参数输入!$B$40,核心参数输入!$B$41)))),0)</f>
        <v>0</v>
      </c>
      <c r="CI124" s="22">
        <f>IF(83&lt;=核心参数输入!$B$9*4,IF(83&lt;((核心参数输入!$B$18-1)*4+(核心参数输入!$B$148+核心参数输入!$B$124)+1),0,IF(INT((83-((核心参数输入!$B$18-1)*4+(核心参数输入!$B$148+核心参数输入!$B$124)+1))/4)=0,核心参数输入!$B$38,IF(INT((83-((核心参数输入!$B$18-1)*4+(核心参数输入!$B$148+核心参数输入!$B$124)+1))/4)=1,核心参数输入!$B$39,IF(INT((83-((核心参数输入!$B$18-1)*4+(核心参数输入!$B$148+核心参数输入!$B$124)+1))/4)=2,核心参数输入!$B$40,核心参数输入!$B$41)))),0)</f>
        <v>0</v>
      </c>
      <c r="CJ124" s="22">
        <f>IF(84&lt;=核心参数输入!$B$9*4,IF(84&lt;((核心参数输入!$B$18-1)*4+(核心参数输入!$B$148+核心参数输入!$B$124)+1),0,IF(INT((84-((核心参数输入!$B$18-1)*4+(核心参数输入!$B$148+核心参数输入!$B$124)+1))/4)=0,核心参数输入!$B$38,IF(INT((84-((核心参数输入!$B$18-1)*4+(核心参数输入!$B$148+核心参数输入!$B$124)+1))/4)=1,核心参数输入!$B$39,IF(INT((84-((核心参数输入!$B$18-1)*4+(核心参数输入!$B$148+核心参数输入!$B$124)+1))/4)=2,核心参数输入!$B$40,核心参数输入!$B$41)))),0)</f>
        <v>0</v>
      </c>
      <c r="CK124" s="22">
        <f>IF(85&lt;=核心参数输入!$B$9*4,IF(85&lt;((核心参数输入!$B$18-1)*4+(核心参数输入!$B$148+核心参数输入!$B$124)+1),0,IF(INT((85-((核心参数输入!$B$18-1)*4+(核心参数输入!$B$148+核心参数输入!$B$124)+1))/4)=0,核心参数输入!$B$38,IF(INT((85-((核心参数输入!$B$18-1)*4+(核心参数输入!$B$148+核心参数输入!$B$124)+1))/4)=1,核心参数输入!$B$39,IF(INT((85-((核心参数输入!$B$18-1)*4+(核心参数输入!$B$148+核心参数输入!$B$124)+1))/4)=2,核心参数输入!$B$40,核心参数输入!$B$41)))),0)</f>
        <v>0</v>
      </c>
      <c r="CL124" s="22">
        <f>IF(86&lt;=核心参数输入!$B$9*4,IF(86&lt;((核心参数输入!$B$18-1)*4+(核心参数输入!$B$148+核心参数输入!$B$124)+1),0,IF(INT((86-((核心参数输入!$B$18-1)*4+(核心参数输入!$B$148+核心参数输入!$B$124)+1))/4)=0,核心参数输入!$B$38,IF(INT((86-((核心参数输入!$B$18-1)*4+(核心参数输入!$B$148+核心参数输入!$B$124)+1))/4)=1,核心参数输入!$B$39,IF(INT((86-((核心参数输入!$B$18-1)*4+(核心参数输入!$B$148+核心参数输入!$B$124)+1))/4)=2,核心参数输入!$B$40,核心参数输入!$B$41)))),0)</f>
        <v>0</v>
      </c>
      <c r="CM124" s="22">
        <f>IF(87&lt;=核心参数输入!$B$9*4,IF(87&lt;((核心参数输入!$B$18-1)*4+(核心参数输入!$B$148+核心参数输入!$B$124)+1),0,IF(INT((87-((核心参数输入!$B$18-1)*4+(核心参数输入!$B$148+核心参数输入!$B$124)+1))/4)=0,核心参数输入!$B$38,IF(INT((87-((核心参数输入!$B$18-1)*4+(核心参数输入!$B$148+核心参数输入!$B$124)+1))/4)=1,核心参数输入!$B$39,IF(INT((87-((核心参数输入!$B$18-1)*4+(核心参数输入!$B$148+核心参数输入!$B$124)+1))/4)=2,核心参数输入!$B$40,核心参数输入!$B$41)))),0)</f>
        <v>0</v>
      </c>
      <c r="CN124" s="22">
        <f>IF(88&lt;=核心参数输入!$B$9*4,IF(88&lt;((核心参数输入!$B$18-1)*4+(核心参数输入!$B$148+核心参数输入!$B$124)+1),0,IF(INT((88-((核心参数输入!$B$18-1)*4+(核心参数输入!$B$148+核心参数输入!$B$124)+1))/4)=0,核心参数输入!$B$38,IF(INT((88-((核心参数输入!$B$18-1)*4+(核心参数输入!$B$148+核心参数输入!$B$124)+1))/4)=1,核心参数输入!$B$39,IF(INT((88-((核心参数输入!$B$18-1)*4+(核心参数输入!$B$148+核心参数输入!$B$124)+1))/4)=2,核心参数输入!$B$40,核心参数输入!$B$41)))),0)</f>
        <v>0</v>
      </c>
      <c r="CO124" s="22">
        <f>IF(89&lt;=核心参数输入!$B$9*4,IF(89&lt;((核心参数输入!$B$18-1)*4+(核心参数输入!$B$148+核心参数输入!$B$124)+1),0,IF(INT((89-((核心参数输入!$B$18-1)*4+(核心参数输入!$B$148+核心参数输入!$B$124)+1))/4)=0,核心参数输入!$B$38,IF(INT((89-((核心参数输入!$B$18-1)*4+(核心参数输入!$B$148+核心参数输入!$B$124)+1))/4)=1,核心参数输入!$B$39,IF(INT((89-((核心参数输入!$B$18-1)*4+(核心参数输入!$B$148+核心参数输入!$B$124)+1))/4)=2,核心参数输入!$B$40,核心参数输入!$B$41)))),0)</f>
        <v>0</v>
      </c>
      <c r="CP124" s="22">
        <f>IF(90&lt;=核心参数输入!$B$9*4,IF(90&lt;((核心参数输入!$B$18-1)*4+(核心参数输入!$B$148+核心参数输入!$B$124)+1),0,IF(INT((90-((核心参数输入!$B$18-1)*4+(核心参数输入!$B$148+核心参数输入!$B$124)+1))/4)=0,核心参数输入!$B$38,IF(INT((90-((核心参数输入!$B$18-1)*4+(核心参数输入!$B$148+核心参数输入!$B$124)+1))/4)=1,核心参数输入!$B$39,IF(INT((90-((核心参数输入!$B$18-1)*4+(核心参数输入!$B$148+核心参数输入!$B$124)+1))/4)=2,核心参数输入!$B$40,核心参数输入!$B$41)))),0)</f>
        <v>0</v>
      </c>
      <c r="CQ124" s="22">
        <f>IF(91&lt;=核心参数输入!$B$9*4,IF(91&lt;((核心参数输入!$B$18-1)*4+(核心参数输入!$B$148+核心参数输入!$B$124)+1),0,IF(INT((91-((核心参数输入!$B$18-1)*4+(核心参数输入!$B$148+核心参数输入!$B$124)+1))/4)=0,核心参数输入!$B$38,IF(INT((91-((核心参数输入!$B$18-1)*4+(核心参数输入!$B$148+核心参数输入!$B$124)+1))/4)=1,核心参数输入!$B$39,IF(INT((91-((核心参数输入!$B$18-1)*4+(核心参数输入!$B$148+核心参数输入!$B$124)+1))/4)=2,核心参数输入!$B$40,核心参数输入!$B$41)))),0)</f>
        <v>0</v>
      </c>
      <c r="CR124" s="22">
        <f>IF(92&lt;=核心参数输入!$B$9*4,IF(92&lt;((核心参数输入!$B$18-1)*4+(核心参数输入!$B$148+核心参数输入!$B$124)+1),0,IF(INT((92-((核心参数输入!$B$18-1)*4+(核心参数输入!$B$148+核心参数输入!$B$124)+1))/4)=0,核心参数输入!$B$38,IF(INT((92-((核心参数输入!$B$18-1)*4+(核心参数输入!$B$148+核心参数输入!$B$124)+1))/4)=1,核心参数输入!$B$39,IF(INT((92-((核心参数输入!$B$18-1)*4+(核心参数输入!$B$148+核心参数输入!$B$124)+1))/4)=2,核心参数输入!$B$40,核心参数输入!$B$41)))),0)</f>
        <v>0</v>
      </c>
      <c r="CS124" s="22">
        <f>IF(93&lt;=核心参数输入!$B$9*4,IF(93&lt;((核心参数输入!$B$18-1)*4+(核心参数输入!$B$148+核心参数输入!$B$124)+1),0,IF(INT((93-((核心参数输入!$B$18-1)*4+(核心参数输入!$B$148+核心参数输入!$B$124)+1))/4)=0,核心参数输入!$B$38,IF(INT((93-((核心参数输入!$B$18-1)*4+(核心参数输入!$B$148+核心参数输入!$B$124)+1))/4)=1,核心参数输入!$B$39,IF(INT((93-((核心参数输入!$B$18-1)*4+(核心参数输入!$B$148+核心参数输入!$B$124)+1))/4)=2,核心参数输入!$B$40,核心参数输入!$B$41)))),0)</f>
        <v>0</v>
      </c>
      <c r="CT124" s="22">
        <f>IF(94&lt;=核心参数输入!$B$9*4,IF(94&lt;((核心参数输入!$B$18-1)*4+(核心参数输入!$B$148+核心参数输入!$B$124)+1),0,IF(INT((94-((核心参数输入!$B$18-1)*4+(核心参数输入!$B$148+核心参数输入!$B$124)+1))/4)=0,核心参数输入!$B$38,IF(INT((94-((核心参数输入!$B$18-1)*4+(核心参数输入!$B$148+核心参数输入!$B$124)+1))/4)=1,核心参数输入!$B$39,IF(INT((94-((核心参数输入!$B$18-1)*4+(核心参数输入!$B$148+核心参数输入!$B$124)+1))/4)=2,核心参数输入!$B$40,核心参数输入!$B$41)))),0)</f>
        <v>0</v>
      </c>
      <c r="CU124" s="22">
        <f>IF(95&lt;=核心参数输入!$B$9*4,IF(95&lt;((核心参数输入!$B$18-1)*4+(核心参数输入!$B$148+核心参数输入!$B$124)+1),0,IF(INT((95-((核心参数输入!$B$18-1)*4+(核心参数输入!$B$148+核心参数输入!$B$124)+1))/4)=0,核心参数输入!$B$38,IF(INT((95-((核心参数输入!$B$18-1)*4+(核心参数输入!$B$148+核心参数输入!$B$124)+1))/4)=1,核心参数输入!$B$39,IF(INT((95-((核心参数输入!$B$18-1)*4+(核心参数输入!$B$148+核心参数输入!$B$124)+1))/4)=2,核心参数输入!$B$40,核心参数输入!$B$41)))),0)</f>
        <v>0</v>
      </c>
      <c r="CV124" s="22">
        <f>IF(96&lt;=核心参数输入!$B$9*4,IF(96&lt;((核心参数输入!$B$18-1)*4+(核心参数输入!$B$148+核心参数输入!$B$124)+1),0,IF(INT((96-((核心参数输入!$B$18-1)*4+(核心参数输入!$B$148+核心参数输入!$B$124)+1))/4)=0,核心参数输入!$B$38,IF(INT((96-((核心参数输入!$B$18-1)*4+(核心参数输入!$B$148+核心参数输入!$B$124)+1))/4)=1,核心参数输入!$B$39,IF(INT((96-((核心参数输入!$B$18-1)*4+(核心参数输入!$B$148+核心参数输入!$B$124)+1))/4)=2,核心参数输入!$B$40,核心参数输入!$B$41)))),0)</f>
        <v>0</v>
      </c>
      <c r="CW124" s="22">
        <f>IF(97&lt;=核心参数输入!$B$9*4,IF(97&lt;((核心参数输入!$B$18-1)*4+(核心参数输入!$B$148+核心参数输入!$B$124)+1),0,IF(INT((97-((核心参数输入!$B$18-1)*4+(核心参数输入!$B$148+核心参数输入!$B$124)+1))/4)=0,核心参数输入!$B$38,IF(INT((97-((核心参数输入!$B$18-1)*4+(核心参数输入!$B$148+核心参数输入!$B$124)+1))/4)=1,核心参数输入!$B$39,IF(INT((97-((核心参数输入!$B$18-1)*4+(核心参数输入!$B$148+核心参数输入!$B$124)+1))/4)=2,核心参数输入!$B$40,核心参数输入!$B$41)))),0)</f>
        <v>0</v>
      </c>
      <c r="CX124" s="22">
        <f>IF(98&lt;=核心参数输入!$B$9*4,IF(98&lt;((核心参数输入!$B$18-1)*4+(核心参数输入!$B$148+核心参数输入!$B$124)+1),0,IF(INT((98-((核心参数输入!$B$18-1)*4+(核心参数输入!$B$148+核心参数输入!$B$124)+1))/4)=0,核心参数输入!$B$38,IF(INT((98-((核心参数输入!$B$18-1)*4+(核心参数输入!$B$148+核心参数输入!$B$124)+1))/4)=1,核心参数输入!$B$39,IF(INT((98-((核心参数输入!$B$18-1)*4+(核心参数输入!$B$148+核心参数输入!$B$124)+1))/4)=2,核心参数输入!$B$40,核心参数输入!$B$41)))),0)</f>
        <v>0</v>
      </c>
      <c r="CY124" s="22">
        <f>IF(99&lt;=核心参数输入!$B$9*4,IF(99&lt;((核心参数输入!$B$18-1)*4+(核心参数输入!$B$148+核心参数输入!$B$124)+1),0,IF(INT((99-((核心参数输入!$B$18-1)*4+(核心参数输入!$B$148+核心参数输入!$B$124)+1))/4)=0,核心参数输入!$B$38,IF(INT((99-((核心参数输入!$B$18-1)*4+(核心参数输入!$B$148+核心参数输入!$B$124)+1))/4)=1,核心参数输入!$B$39,IF(INT((99-((核心参数输入!$B$18-1)*4+(核心参数输入!$B$148+核心参数输入!$B$124)+1))/4)=2,核心参数输入!$B$40,核心参数输入!$B$41)))),0)</f>
        <v>0</v>
      </c>
      <c r="CZ124" s="22">
        <f>IF(100&lt;=核心参数输入!$B$9*4,IF(100&lt;((核心参数输入!$B$18-1)*4+(核心参数输入!$B$148+核心参数输入!$B$124)+1),0,IF(INT((100-((核心参数输入!$B$18-1)*4+(核心参数输入!$B$148+核心参数输入!$B$124)+1))/4)=0,核心参数输入!$B$38,IF(INT((100-((核心参数输入!$B$18-1)*4+(核心参数输入!$B$148+核心参数输入!$B$124)+1))/4)=1,核心参数输入!$B$39,IF(INT((100-((核心参数输入!$B$18-1)*4+(核心参数输入!$B$148+核心参数输入!$B$124)+1))/4)=2,核心参数输入!$B$40,核心参数输入!$B$41)))),0)</f>
        <v>0</v>
      </c>
      <c r="DA124" s="22">
        <f>IF(101&lt;=核心参数输入!$B$9*4,IF(101&lt;((核心参数输入!$B$18-1)*4+(核心参数输入!$B$148+核心参数输入!$B$124)+1),0,IF(INT((101-((核心参数输入!$B$18-1)*4+(核心参数输入!$B$148+核心参数输入!$B$124)+1))/4)=0,核心参数输入!$B$38,IF(INT((101-((核心参数输入!$B$18-1)*4+(核心参数输入!$B$148+核心参数输入!$B$124)+1))/4)=1,核心参数输入!$B$39,IF(INT((101-((核心参数输入!$B$18-1)*4+(核心参数输入!$B$148+核心参数输入!$B$124)+1))/4)=2,核心参数输入!$B$40,核心参数输入!$B$41)))),0)</f>
        <v>0</v>
      </c>
      <c r="DB124" s="22">
        <f>IF(102&lt;=核心参数输入!$B$9*4,IF(102&lt;((核心参数输入!$B$18-1)*4+(核心参数输入!$B$148+核心参数输入!$B$124)+1),0,IF(INT((102-((核心参数输入!$B$18-1)*4+(核心参数输入!$B$148+核心参数输入!$B$124)+1))/4)=0,核心参数输入!$B$38,IF(INT((102-((核心参数输入!$B$18-1)*4+(核心参数输入!$B$148+核心参数输入!$B$124)+1))/4)=1,核心参数输入!$B$39,IF(INT((102-((核心参数输入!$B$18-1)*4+(核心参数输入!$B$148+核心参数输入!$B$124)+1))/4)=2,核心参数输入!$B$40,核心参数输入!$B$41)))),0)</f>
        <v>0</v>
      </c>
      <c r="DC124" s="22">
        <f>IF(103&lt;=核心参数输入!$B$9*4,IF(103&lt;((核心参数输入!$B$18-1)*4+(核心参数输入!$B$148+核心参数输入!$B$124)+1),0,IF(INT((103-((核心参数输入!$B$18-1)*4+(核心参数输入!$B$148+核心参数输入!$B$124)+1))/4)=0,核心参数输入!$B$38,IF(INT((103-((核心参数输入!$B$18-1)*4+(核心参数输入!$B$148+核心参数输入!$B$124)+1))/4)=1,核心参数输入!$B$39,IF(INT((103-((核心参数输入!$B$18-1)*4+(核心参数输入!$B$148+核心参数输入!$B$124)+1))/4)=2,核心参数输入!$B$40,核心参数输入!$B$41)))),0)</f>
        <v>0</v>
      </c>
      <c r="DD124" s="22">
        <f>IF(104&lt;=核心参数输入!$B$9*4,IF(104&lt;((核心参数输入!$B$18-1)*4+(核心参数输入!$B$148+核心参数输入!$B$124)+1),0,IF(INT((104-((核心参数输入!$B$18-1)*4+(核心参数输入!$B$148+核心参数输入!$B$124)+1))/4)=0,核心参数输入!$B$38,IF(INT((104-((核心参数输入!$B$18-1)*4+(核心参数输入!$B$148+核心参数输入!$B$124)+1))/4)=1,核心参数输入!$B$39,IF(INT((104-((核心参数输入!$B$18-1)*4+(核心参数输入!$B$148+核心参数输入!$B$124)+1))/4)=2,核心参数输入!$B$40,核心参数输入!$B$41)))),0)</f>
        <v>0</v>
      </c>
      <c r="DE124" s="22">
        <f>IF(105&lt;=核心参数输入!$B$9*4,IF(105&lt;((核心参数输入!$B$18-1)*4+(核心参数输入!$B$148+核心参数输入!$B$124)+1),0,IF(INT((105-((核心参数输入!$B$18-1)*4+(核心参数输入!$B$148+核心参数输入!$B$124)+1))/4)=0,核心参数输入!$B$38,IF(INT((105-((核心参数输入!$B$18-1)*4+(核心参数输入!$B$148+核心参数输入!$B$124)+1))/4)=1,核心参数输入!$B$39,IF(INT((105-((核心参数输入!$B$18-1)*4+(核心参数输入!$B$148+核心参数输入!$B$124)+1))/4)=2,核心参数输入!$B$40,核心参数输入!$B$41)))),0)</f>
        <v>0</v>
      </c>
      <c r="DF124" s="22">
        <f>IF(106&lt;=核心参数输入!$B$9*4,IF(106&lt;((核心参数输入!$B$18-1)*4+(核心参数输入!$B$148+核心参数输入!$B$124)+1),0,IF(INT((106-((核心参数输入!$B$18-1)*4+(核心参数输入!$B$148+核心参数输入!$B$124)+1))/4)=0,核心参数输入!$B$38,IF(INT((106-((核心参数输入!$B$18-1)*4+(核心参数输入!$B$148+核心参数输入!$B$124)+1))/4)=1,核心参数输入!$B$39,IF(INT((106-((核心参数输入!$B$18-1)*4+(核心参数输入!$B$148+核心参数输入!$B$124)+1))/4)=2,核心参数输入!$B$40,核心参数输入!$B$41)))),0)</f>
        <v>0</v>
      </c>
      <c r="DG124" s="22">
        <f>IF(107&lt;=核心参数输入!$B$9*4,IF(107&lt;((核心参数输入!$B$18-1)*4+(核心参数输入!$B$148+核心参数输入!$B$124)+1),0,IF(INT((107-((核心参数输入!$B$18-1)*4+(核心参数输入!$B$148+核心参数输入!$B$124)+1))/4)=0,核心参数输入!$B$38,IF(INT((107-((核心参数输入!$B$18-1)*4+(核心参数输入!$B$148+核心参数输入!$B$124)+1))/4)=1,核心参数输入!$B$39,IF(INT((107-((核心参数输入!$B$18-1)*4+(核心参数输入!$B$148+核心参数输入!$B$124)+1))/4)=2,核心参数输入!$B$40,核心参数输入!$B$41)))),0)</f>
        <v>0</v>
      </c>
      <c r="DH124" s="22">
        <f>IF(108&lt;=核心参数输入!$B$9*4,IF(108&lt;((核心参数输入!$B$18-1)*4+(核心参数输入!$B$148+核心参数输入!$B$124)+1),0,IF(INT((108-((核心参数输入!$B$18-1)*4+(核心参数输入!$B$148+核心参数输入!$B$124)+1))/4)=0,核心参数输入!$B$38,IF(INT((108-((核心参数输入!$B$18-1)*4+(核心参数输入!$B$148+核心参数输入!$B$124)+1))/4)=1,核心参数输入!$B$39,IF(INT((108-((核心参数输入!$B$18-1)*4+(核心参数输入!$B$148+核心参数输入!$B$124)+1))/4)=2,核心参数输入!$B$40,核心参数输入!$B$41)))),0)</f>
        <v>0</v>
      </c>
      <c r="DI124" s="22">
        <f>IF(109&lt;=核心参数输入!$B$9*4,IF(109&lt;((核心参数输入!$B$18-1)*4+(核心参数输入!$B$148+核心参数输入!$B$124)+1),0,IF(INT((109-((核心参数输入!$B$18-1)*4+(核心参数输入!$B$148+核心参数输入!$B$124)+1))/4)=0,核心参数输入!$B$38,IF(INT((109-((核心参数输入!$B$18-1)*4+(核心参数输入!$B$148+核心参数输入!$B$124)+1))/4)=1,核心参数输入!$B$39,IF(INT((109-((核心参数输入!$B$18-1)*4+(核心参数输入!$B$148+核心参数输入!$B$124)+1))/4)=2,核心参数输入!$B$40,核心参数输入!$B$41)))),0)</f>
        <v>0</v>
      </c>
      <c r="DJ124" s="22">
        <f>IF(110&lt;=核心参数输入!$B$9*4,IF(110&lt;((核心参数输入!$B$18-1)*4+(核心参数输入!$B$148+核心参数输入!$B$124)+1),0,IF(INT((110-((核心参数输入!$B$18-1)*4+(核心参数输入!$B$148+核心参数输入!$B$124)+1))/4)=0,核心参数输入!$B$38,IF(INT((110-((核心参数输入!$B$18-1)*4+(核心参数输入!$B$148+核心参数输入!$B$124)+1))/4)=1,核心参数输入!$B$39,IF(INT((110-((核心参数输入!$B$18-1)*4+(核心参数输入!$B$148+核心参数输入!$B$124)+1))/4)=2,核心参数输入!$B$40,核心参数输入!$B$41)))),0)</f>
        <v>0</v>
      </c>
      <c r="DK124" s="22">
        <f>IF(111&lt;=核心参数输入!$B$9*4,IF(111&lt;((核心参数输入!$B$18-1)*4+(核心参数输入!$B$148+核心参数输入!$B$124)+1),0,IF(INT((111-((核心参数输入!$B$18-1)*4+(核心参数输入!$B$148+核心参数输入!$B$124)+1))/4)=0,核心参数输入!$B$38,IF(INT((111-((核心参数输入!$B$18-1)*4+(核心参数输入!$B$148+核心参数输入!$B$124)+1))/4)=1,核心参数输入!$B$39,IF(INT((111-((核心参数输入!$B$18-1)*4+(核心参数输入!$B$148+核心参数输入!$B$124)+1))/4)=2,核心参数输入!$B$40,核心参数输入!$B$41)))),0)</f>
        <v>0</v>
      </c>
      <c r="DL124" s="22">
        <f>IF(112&lt;=核心参数输入!$B$9*4,IF(112&lt;((核心参数输入!$B$18-1)*4+(核心参数输入!$B$148+核心参数输入!$B$124)+1),0,IF(INT((112-((核心参数输入!$B$18-1)*4+(核心参数输入!$B$148+核心参数输入!$B$124)+1))/4)=0,核心参数输入!$B$38,IF(INT((112-((核心参数输入!$B$18-1)*4+(核心参数输入!$B$148+核心参数输入!$B$124)+1))/4)=1,核心参数输入!$B$39,IF(INT((112-((核心参数输入!$B$18-1)*4+(核心参数输入!$B$148+核心参数输入!$B$124)+1))/4)=2,核心参数输入!$B$40,核心参数输入!$B$41)))),0)</f>
        <v>0</v>
      </c>
      <c r="DM124" s="22">
        <f>IF(113&lt;=核心参数输入!$B$9*4,IF(113&lt;((核心参数输入!$B$18-1)*4+(核心参数输入!$B$148+核心参数输入!$B$124)+1),0,IF(INT((113-((核心参数输入!$B$18-1)*4+(核心参数输入!$B$148+核心参数输入!$B$124)+1))/4)=0,核心参数输入!$B$38,IF(INT((113-((核心参数输入!$B$18-1)*4+(核心参数输入!$B$148+核心参数输入!$B$124)+1))/4)=1,核心参数输入!$B$39,IF(INT((113-((核心参数输入!$B$18-1)*4+(核心参数输入!$B$148+核心参数输入!$B$124)+1))/4)=2,核心参数输入!$B$40,核心参数输入!$B$41)))),0)</f>
        <v>0</v>
      </c>
      <c r="DN124" s="22">
        <f>IF(114&lt;=核心参数输入!$B$9*4,IF(114&lt;((核心参数输入!$B$18-1)*4+(核心参数输入!$B$148+核心参数输入!$B$124)+1),0,IF(INT((114-((核心参数输入!$B$18-1)*4+(核心参数输入!$B$148+核心参数输入!$B$124)+1))/4)=0,核心参数输入!$B$38,IF(INT((114-((核心参数输入!$B$18-1)*4+(核心参数输入!$B$148+核心参数输入!$B$124)+1))/4)=1,核心参数输入!$B$39,IF(INT((114-((核心参数输入!$B$18-1)*4+(核心参数输入!$B$148+核心参数输入!$B$124)+1))/4)=2,核心参数输入!$B$40,核心参数输入!$B$41)))),0)</f>
        <v>0</v>
      </c>
      <c r="DO124" s="22">
        <f>IF(115&lt;=核心参数输入!$B$9*4,IF(115&lt;((核心参数输入!$B$18-1)*4+(核心参数输入!$B$148+核心参数输入!$B$124)+1),0,IF(INT((115-((核心参数输入!$B$18-1)*4+(核心参数输入!$B$148+核心参数输入!$B$124)+1))/4)=0,核心参数输入!$B$38,IF(INT((115-((核心参数输入!$B$18-1)*4+(核心参数输入!$B$148+核心参数输入!$B$124)+1))/4)=1,核心参数输入!$B$39,IF(INT((115-((核心参数输入!$B$18-1)*4+(核心参数输入!$B$148+核心参数输入!$B$124)+1))/4)=2,核心参数输入!$B$40,核心参数输入!$B$41)))),0)</f>
        <v>0</v>
      </c>
      <c r="DP124" s="22">
        <f>IF(116&lt;=核心参数输入!$B$9*4,IF(116&lt;((核心参数输入!$B$18-1)*4+(核心参数输入!$B$148+核心参数输入!$B$124)+1),0,IF(INT((116-((核心参数输入!$B$18-1)*4+(核心参数输入!$B$148+核心参数输入!$B$124)+1))/4)=0,核心参数输入!$B$38,IF(INT((116-((核心参数输入!$B$18-1)*4+(核心参数输入!$B$148+核心参数输入!$B$124)+1))/4)=1,核心参数输入!$B$39,IF(INT((116-((核心参数输入!$B$18-1)*4+(核心参数输入!$B$148+核心参数输入!$B$124)+1))/4)=2,核心参数输入!$B$40,核心参数输入!$B$41)))),0)</f>
        <v>0</v>
      </c>
      <c r="DQ124" s="22">
        <f>IF(117&lt;=核心参数输入!$B$9*4,IF(117&lt;((核心参数输入!$B$18-1)*4+(核心参数输入!$B$148+核心参数输入!$B$124)+1),0,IF(INT((117-((核心参数输入!$B$18-1)*4+(核心参数输入!$B$148+核心参数输入!$B$124)+1))/4)=0,核心参数输入!$B$38,IF(INT((117-((核心参数输入!$B$18-1)*4+(核心参数输入!$B$148+核心参数输入!$B$124)+1))/4)=1,核心参数输入!$B$39,IF(INT((117-((核心参数输入!$B$18-1)*4+(核心参数输入!$B$148+核心参数输入!$B$124)+1))/4)=2,核心参数输入!$B$40,核心参数输入!$B$41)))),0)</f>
        <v>0</v>
      </c>
      <c r="DR124" s="22">
        <f>IF(118&lt;=核心参数输入!$B$9*4,IF(118&lt;((核心参数输入!$B$18-1)*4+(核心参数输入!$B$148+核心参数输入!$B$124)+1),0,IF(INT((118-((核心参数输入!$B$18-1)*4+(核心参数输入!$B$148+核心参数输入!$B$124)+1))/4)=0,核心参数输入!$B$38,IF(INT((118-((核心参数输入!$B$18-1)*4+(核心参数输入!$B$148+核心参数输入!$B$124)+1))/4)=1,核心参数输入!$B$39,IF(INT((118-((核心参数输入!$B$18-1)*4+(核心参数输入!$B$148+核心参数输入!$B$124)+1))/4)=2,核心参数输入!$B$40,核心参数输入!$B$41)))),0)</f>
        <v>0</v>
      </c>
      <c r="DS124" s="22">
        <f>IF(119&lt;=核心参数输入!$B$9*4,IF(119&lt;((核心参数输入!$B$18-1)*4+(核心参数输入!$B$148+核心参数输入!$B$124)+1),0,IF(INT((119-((核心参数输入!$B$18-1)*4+(核心参数输入!$B$148+核心参数输入!$B$124)+1))/4)=0,核心参数输入!$B$38,IF(INT((119-((核心参数输入!$B$18-1)*4+(核心参数输入!$B$148+核心参数输入!$B$124)+1))/4)=1,核心参数输入!$B$39,IF(INT((119-((核心参数输入!$B$18-1)*4+(核心参数输入!$B$148+核心参数输入!$B$124)+1))/4)=2,核心参数输入!$B$40,核心参数输入!$B$41)))),0)</f>
        <v>0</v>
      </c>
      <c r="DT124" s="22">
        <f>IF(120&lt;=核心参数输入!$B$9*4,IF(120&lt;((核心参数输入!$B$18-1)*4+(核心参数输入!$B$148+核心参数输入!$B$124)+1),0,IF(INT((120-((核心参数输入!$B$18-1)*4+(核心参数输入!$B$148+核心参数输入!$B$124)+1))/4)=0,核心参数输入!$B$38,IF(INT((120-((核心参数输入!$B$18-1)*4+(核心参数输入!$B$148+核心参数输入!$B$124)+1))/4)=1,核心参数输入!$B$39,IF(INT((120-((核心参数输入!$B$18-1)*4+(核心参数输入!$B$148+核心参数输入!$B$124)+1))/4)=2,核心参数输入!$B$40,核心参数输入!$B$41)))),0)</f>
        <v>0</v>
      </c>
    </row>
    <row r="125" spans="1:124" ht="21" customHeight="1">
      <c r="A125" s="8" t="s">
        <v>451</v>
      </c>
      <c r="B125" s="8" t="s">
        <v>39</v>
      </c>
      <c r="C125" s="8"/>
      <c r="D125" s="22">
        <f>IF(0&lt;=核心参数输入!$B$9*4,IF(0&lt;((核心参数输入!$B$18-1)*4+(核心参数输入!$B$148+核心参数输入!$B$124)+1),0,MAX(0,IF(INT((0-((核心参数输入!$B$18-1)*4+(核心参数输入!$B$148+核心参数输入!$B$124)+1))/4)=0,0,IF(INT((0-((核心参数输入!$B$18-1)*4+(核心参数输入!$B$148+核心参数输入!$B$124)+1))/4)=1,核心参数输入!$B$38,IF(INT((0-((核心参数输入!$B$18-1)*4+(核心参数输入!$B$148+核心参数输入!$B$124)+1))/4)=2,核心参数输入!$B$39,IF(INT((0-((核心参数输入!$B$18-1)*4+(核心参数输入!$B$148+核心参数输入!$B$124)+1))/4)=3,核心参数输入!$B$40,核心参数输入!$B$41))))-核心参数输入!$B$80/100)+(MAX(0,D124-核心参数输入!$B$80/100)-MAX(0,IF(INT((0-((核心参数输入!$B$18-1)*4+(核心参数输入!$B$148+核心参数输入!$B$124)+1))/4)=0,0,IF(INT((0-((核心参数输入!$B$18-1)*4+(核心参数输入!$B$148+核心参数输入!$B$124)+1))/4)=1,核心参数输入!$B$38,IF(INT((0-((核心参数输入!$B$18-1)*4+(核心参数输入!$B$148+核心参数输入!$B$124)+1))/4)=2,核心参数输入!$B$39,IF(INT((0-((核心参数输入!$B$18-1)*4+(核心参数输入!$B$148+核心参数输入!$B$124)+1))/4)=3,核心参数输入!$B$40,核心参数输入!$B$41))))-核心参数输入!$B$80/100))*(MOD(0-((核心参数输入!$B$18-1)*4+(核心参数输入!$B$148+核心参数输入!$B$124)+1),4)+1)/4),0)</f>
        <v>0</v>
      </c>
      <c r="E125" s="22">
        <f>IF(1&lt;=核心参数输入!$B$9*4,IF(1&lt;((核心参数输入!$B$18-1)*4+(核心参数输入!$B$148+核心参数输入!$B$124)+1),0,MAX(0,IF(INT((1-((核心参数输入!$B$18-1)*4+(核心参数输入!$B$148+核心参数输入!$B$124)+1))/4)=0,0,IF(INT((1-((核心参数输入!$B$18-1)*4+(核心参数输入!$B$148+核心参数输入!$B$124)+1))/4)=1,核心参数输入!$B$38,IF(INT((1-((核心参数输入!$B$18-1)*4+(核心参数输入!$B$148+核心参数输入!$B$124)+1))/4)=2,核心参数输入!$B$39,IF(INT((1-((核心参数输入!$B$18-1)*4+(核心参数输入!$B$148+核心参数输入!$B$124)+1))/4)=3,核心参数输入!$B$40,核心参数输入!$B$41))))-核心参数输入!$B$80/100)+(MAX(0,E124-核心参数输入!$B$80/100)-MAX(0,IF(INT((1-((核心参数输入!$B$18-1)*4+(核心参数输入!$B$148+核心参数输入!$B$124)+1))/4)=0,0,IF(INT((1-((核心参数输入!$B$18-1)*4+(核心参数输入!$B$148+核心参数输入!$B$124)+1))/4)=1,核心参数输入!$B$38,IF(INT((1-((核心参数输入!$B$18-1)*4+(核心参数输入!$B$148+核心参数输入!$B$124)+1))/4)=2,核心参数输入!$B$39,IF(INT((1-((核心参数输入!$B$18-1)*4+(核心参数输入!$B$148+核心参数输入!$B$124)+1))/4)=3,核心参数输入!$B$40,核心参数输入!$B$41))))-核心参数输入!$B$80/100))*(MOD(1-((核心参数输入!$B$18-1)*4+(核心参数输入!$B$148+核心参数输入!$B$124)+1),4)+1)/4),0)</f>
        <v>0</v>
      </c>
      <c r="F125" s="22">
        <f>IF(2&lt;=核心参数输入!$B$9*4,IF(2&lt;((核心参数输入!$B$18-1)*4+(核心参数输入!$B$148+核心参数输入!$B$124)+1),0,MAX(0,IF(INT((2-((核心参数输入!$B$18-1)*4+(核心参数输入!$B$148+核心参数输入!$B$124)+1))/4)=0,0,IF(INT((2-((核心参数输入!$B$18-1)*4+(核心参数输入!$B$148+核心参数输入!$B$124)+1))/4)=1,核心参数输入!$B$38,IF(INT((2-((核心参数输入!$B$18-1)*4+(核心参数输入!$B$148+核心参数输入!$B$124)+1))/4)=2,核心参数输入!$B$39,IF(INT((2-((核心参数输入!$B$18-1)*4+(核心参数输入!$B$148+核心参数输入!$B$124)+1))/4)=3,核心参数输入!$B$40,核心参数输入!$B$41))))-核心参数输入!$B$80/100)+(MAX(0,F124-核心参数输入!$B$80/100)-MAX(0,IF(INT((2-((核心参数输入!$B$18-1)*4+(核心参数输入!$B$148+核心参数输入!$B$124)+1))/4)=0,0,IF(INT((2-((核心参数输入!$B$18-1)*4+(核心参数输入!$B$148+核心参数输入!$B$124)+1))/4)=1,核心参数输入!$B$38,IF(INT((2-((核心参数输入!$B$18-1)*4+(核心参数输入!$B$148+核心参数输入!$B$124)+1))/4)=2,核心参数输入!$B$39,IF(INT((2-((核心参数输入!$B$18-1)*4+(核心参数输入!$B$148+核心参数输入!$B$124)+1))/4)=3,核心参数输入!$B$40,核心参数输入!$B$41))))-核心参数输入!$B$80/100))*(MOD(2-((核心参数输入!$B$18-1)*4+(核心参数输入!$B$148+核心参数输入!$B$124)+1),4)+1)/4),0)</f>
        <v>0</v>
      </c>
      <c r="G125" s="22">
        <f>IF(3&lt;=核心参数输入!$B$9*4,IF(3&lt;((核心参数输入!$B$18-1)*4+(核心参数输入!$B$148+核心参数输入!$B$124)+1),0,MAX(0,IF(INT((3-((核心参数输入!$B$18-1)*4+(核心参数输入!$B$148+核心参数输入!$B$124)+1))/4)=0,0,IF(INT((3-((核心参数输入!$B$18-1)*4+(核心参数输入!$B$148+核心参数输入!$B$124)+1))/4)=1,核心参数输入!$B$38,IF(INT((3-((核心参数输入!$B$18-1)*4+(核心参数输入!$B$148+核心参数输入!$B$124)+1))/4)=2,核心参数输入!$B$39,IF(INT((3-((核心参数输入!$B$18-1)*4+(核心参数输入!$B$148+核心参数输入!$B$124)+1))/4)=3,核心参数输入!$B$40,核心参数输入!$B$41))))-核心参数输入!$B$80/100)+(MAX(0,G124-核心参数输入!$B$80/100)-MAX(0,IF(INT((3-((核心参数输入!$B$18-1)*4+(核心参数输入!$B$148+核心参数输入!$B$124)+1))/4)=0,0,IF(INT((3-((核心参数输入!$B$18-1)*4+(核心参数输入!$B$148+核心参数输入!$B$124)+1))/4)=1,核心参数输入!$B$38,IF(INT((3-((核心参数输入!$B$18-1)*4+(核心参数输入!$B$148+核心参数输入!$B$124)+1))/4)=2,核心参数输入!$B$39,IF(INT((3-((核心参数输入!$B$18-1)*4+(核心参数输入!$B$148+核心参数输入!$B$124)+1))/4)=3,核心参数输入!$B$40,核心参数输入!$B$41))))-核心参数输入!$B$80/100))*(MOD(3-((核心参数输入!$B$18-1)*4+(核心参数输入!$B$148+核心参数输入!$B$124)+1),4)+1)/4),0)</f>
        <v>0</v>
      </c>
      <c r="H125" s="22">
        <f>IF(4&lt;=核心参数输入!$B$9*4,IF(4&lt;((核心参数输入!$B$18-1)*4+(核心参数输入!$B$148+核心参数输入!$B$124)+1),0,MAX(0,IF(INT((4-((核心参数输入!$B$18-1)*4+(核心参数输入!$B$148+核心参数输入!$B$124)+1))/4)=0,0,IF(INT((4-((核心参数输入!$B$18-1)*4+(核心参数输入!$B$148+核心参数输入!$B$124)+1))/4)=1,核心参数输入!$B$38,IF(INT((4-((核心参数输入!$B$18-1)*4+(核心参数输入!$B$148+核心参数输入!$B$124)+1))/4)=2,核心参数输入!$B$39,IF(INT((4-((核心参数输入!$B$18-1)*4+(核心参数输入!$B$148+核心参数输入!$B$124)+1))/4)=3,核心参数输入!$B$40,核心参数输入!$B$41))))-核心参数输入!$B$80/100)+(MAX(0,H124-核心参数输入!$B$80/100)-MAX(0,IF(INT((4-((核心参数输入!$B$18-1)*4+(核心参数输入!$B$148+核心参数输入!$B$124)+1))/4)=0,0,IF(INT((4-((核心参数输入!$B$18-1)*4+(核心参数输入!$B$148+核心参数输入!$B$124)+1))/4)=1,核心参数输入!$B$38,IF(INT((4-((核心参数输入!$B$18-1)*4+(核心参数输入!$B$148+核心参数输入!$B$124)+1))/4)=2,核心参数输入!$B$39,IF(INT((4-((核心参数输入!$B$18-1)*4+(核心参数输入!$B$148+核心参数输入!$B$124)+1))/4)=3,核心参数输入!$B$40,核心参数输入!$B$41))))-核心参数输入!$B$80/100))*(MOD(4-((核心参数输入!$B$18-1)*4+(核心参数输入!$B$148+核心参数输入!$B$124)+1),4)+1)/4),0)</f>
        <v>0</v>
      </c>
      <c r="I125" s="22">
        <f>IF(5&lt;=核心参数输入!$B$9*4,IF(5&lt;((核心参数输入!$B$18-1)*4+(核心参数输入!$B$148+核心参数输入!$B$124)+1),0,MAX(0,IF(INT((5-((核心参数输入!$B$18-1)*4+(核心参数输入!$B$148+核心参数输入!$B$124)+1))/4)=0,0,IF(INT((5-((核心参数输入!$B$18-1)*4+(核心参数输入!$B$148+核心参数输入!$B$124)+1))/4)=1,核心参数输入!$B$38,IF(INT((5-((核心参数输入!$B$18-1)*4+(核心参数输入!$B$148+核心参数输入!$B$124)+1))/4)=2,核心参数输入!$B$39,IF(INT((5-((核心参数输入!$B$18-1)*4+(核心参数输入!$B$148+核心参数输入!$B$124)+1))/4)=3,核心参数输入!$B$40,核心参数输入!$B$41))))-核心参数输入!$B$80/100)+(MAX(0,I124-核心参数输入!$B$80/100)-MAX(0,IF(INT((5-((核心参数输入!$B$18-1)*4+(核心参数输入!$B$148+核心参数输入!$B$124)+1))/4)=0,0,IF(INT((5-((核心参数输入!$B$18-1)*4+(核心参数输入!$B$148+核心参数输入!$B$124)+1))/4)=1,核心参数输入!$B$38,IF(INT((5-((核心参数输入!$B$18-1)*4+(核心参数输入!$B$148+核心参数输入!$B$124)+1))/4)=2,核心参数输入!$B$39,IF(INT((5-((核心参数输入!$B$18-1)*4+(核心参数输入!$B$148+核心参数输入!$B$124)+1))/4)=3,核心参数输入!$B$40,核心参数输入!$B$41))))-核心参数输入!$B$80/100))*(MOD(5-((核心参数输入!$B$18-1)*4+(核心参数输入!$B$148+核心参数输入!$B$124)+1),4)+1)/4),0)</f>
        <v>0</v>
      </c>
      <c r="J125" s="22">
        <f>IF(6&lt;=核心参数输入!$B$9*4,IF(6&lt;((核心参数输入!$B$18-1)*4+(核心参数输入!$B$148+核心参数输入!$B$124)+1),0,MAX(0,IF(INT((6-((核心参数输入!$B$18-1)*4+(核心参数输入!$B$148+核心参数输入!$B$124)+1))/4)=0,0,IF(INT((6-((核心参数输入!$B$18-1)*4+(核心参数输入!$B$148+核心参数输入!$B$124)+1))/4)=1,核心参数输入!$B$38,IF(INT((6-((核心参数输入!$B$18-1)*4+(核心参数输入!$B$148+核心参数输入!$B$124)+1))/4)=2,核心参数输入!$B$39,IF(INT((6-((核心参数输入!$B$18-1)*4+(核心参数输入!$B$148+核心参数输入!$B$124)+1))/4)=3,核心参数输入!$B$40,核心参数输入!$B$41))))-核心参数输入!$B$80/100)+(MAX(0,J124-核心参数输入!$B$80/100)-MAX(0,IF(INT((6-((核心参数输入!$B$18-1)*4+(核心参数输入!$B$148+核心参数输入!$B$124)+1))/4)=0,0,IF(INT((6-((核心参数输入!$B$18-1)*4+(核心参数输入!$B$148+核心参数输入!$B$124)+1))/4)=1,核心参数输入!$B$38,IF(INT((6-((核心参数输入!$B$18-1)*4+(核心参数输入!$B$148+核心参数输入!$B$124)+1))/4)=2,核心参数输入!$B$39,IF(INT((6-((核心参数输入!$B$18-1)*4+(核心参数输入!$B$148+核心参数输入!$B$124)+1))/4)=3,核心参数输入!$B$40,核心参数输入!$B$41))))-核心参数输入!$B$80/100))*(MOD(6-((核心参数输入!$B$18-1)*4+(核心参数输入!$B$148+核心参数输入!$B$124)+1),4)+1)/4),0)</f>
        <v>0</v>
      </c>
      <c r="K125" s="22">
        <f>IF(7&lt;=核心参数输入!$B$9*4,IF(7&lt;((核心参数输入!$B$18-1)*4+(核心参数输入!$B$148+核心参数输入!$B$124)+1),0,MAX(0,IF(INT((7-((核心参数输入!$B$18-1)*4+(核心参数输入!$B$148+核心参数输入!$B$124)+1))/4)=0,0,IF(INT((7-((核心参数输入!$B$18-1)*4+(核心参数输入!$B$148+核心参数输入!$B$124)+1))/4)=1,核心参数输入!$B$38,IF(INT((7-((核心参数输入!$B$18-1)*4+(核心参数输入!$B$148+核心参数输入!$B$124)+1))/4)=2,核心参数输入!$B$39,IF(INT((7-((核心参数输入!$B$18-1)*4+(核心参数输入!$B$148+核心参数输入!$B$124)+1))/4)=3,核心参数输入!$B$40,核心参数输入!$B$41))))-核心参数输入!$B$80/100)+(MAX(0,K124-核心参数输入!$B$80/100)-MAX(0,IF(INT((7-((核心参数输入!$B$18-1)*4+(核心参数输入!$B$148+核心参数输入!$B$124)+1))/4)=0,0,IF(INT((7-((核心参数输入!$B$18-1)*4+(核心参数输入!$B$148+核心参数输入!$B$124)+1))/4)=1,核心参数输入!$B$38,IF(INT((7-((核心参数输入!$B$18-1)*4+(核心参数输入!$B$148+核心参数输入!$B$124)+1))/4)=2,核心参数输入!$B$39,IF(INT((7-((核心参数输入!$B$18-1)*4+(核心参数输入!$B$148+核心参数输入!$B$124)+1))/4)=3,核心参数输入!$B$40,核心参数输入!$B$41))))-核心参数输入!$B$80/100))*(MOD(7-((核心参数输入!$B$18-1)*4+(核心参数输入!$B$148+核心参数输入!$B$124)+1),4)+1)/4),0)</f>
        <v>0</v>
      </c>
      <c r="L125" s="22">
        <f>IF(8&lt;=核心参数输入!$B$9*4,IF(8&lt;((核心参数输入!$B$18-1)*4+(核心参数输入!$B$148+核心参数输入!$B$124)+1),0,MAX(0,IF(INT((8-((核心参数输入!$B$18-1)*4+(核心参数输入!$B$148+核心参数输入!$B$124)+1))/4)=0,0,IF(INT((8-((核心参数输入!$B$18-1)*4+(核心参数输入!$B$148+核心参数输入!$B$124)+1))/4)=1,核心参数输入!$B$38,IF(INT((8-((核心参数输入!$B$18-1)*4+(核心参数输入!$B$148+核心参数输入!$B$124)+1))/4)=2,核心参数输入!$B$39,IF(INT((8-((核心参数输入!$B$18-1)*4+(核心参数输入!$B$148+核心参数输入!$B$124)+1))/4)=3,核心参数输入!$B$40,核心参数输入!$B$41))))-核心参数输入!$B$80/100)+(MAX(0,L124-核心参数输入!$B$80/100)-MAX(0,IF(INT((8-((核心参数输入!$B$18-1)*4+(核心参数输入!$B$148+核心参数输入!$B$124)+1))/4)=0,0,IF(INT((8-((核心参数输入!$B$18-1)*4+(核心参数输入!$B$148+核心参数输入!$B$124)+1))/4)=1,核心参数输入!$B$38,IF(INT((8-((核心参数输入!$B$18-1)*4+(核心参数输入!$B$148+核心参数输入!$B$124)+1))/4)=2,核心参数输入!$B$39,IF(INT((8-((核心参数输入!$B$18-1)*4+(核心参数输入!$B$148+核心参数输入!$B$124)+1))/4)=3,核心参数输入!$B$40,核心参数输入!$B$41))))-核心参数输入!$B$80/100))*(MOD(8-((核心参数输入!$B$18-1)*4+(核心参数输入!$B$148+核心参数输入!$B$124)+1),4)+1)/4),0)</f>
        <v>0</v>
      </c>
      <c r="M125" s="22">
        <f>IF(9&lt;=核心参数输入!$B$9*4,IF(9&lt;((核心参数输入!$B$18-1)*4+(核心参数输入!$B$148+核心参数输入!$B$124)+1),0,MAX(0,IF(INT((9-((核心参数输入!$B$18-1)*4+(核心参数输入!$B$148+核心参数输入!$B$124)+1))/4)=0,0,IF(INT((9-((核心参数输入!$B$18-1)*4+(核心参数输入!$B$148+核心参数输入!$B$124)+1))/4)=1,核心参数输入!$B$38,IF(INT((9-((核心参数输入!$B$18-1)*4+(核心参数输入!$B$148+核心参数输入!$B$124)+1))/4)=2,核心参数输入!$B$39,IF(INT((9-((核心参数输入!$B$18-1)*4+(核心参数输入!$B$148+核心参数输入!$B$124)+1))/4)=3,核心参数输入!$B$40,核心参数输入!$B$41))))-核心参数输入!$B$80/100)+(MAX(0,M124-核心参数输入!$B$80/100)-MAX(0,IF(INT((9-((核心参数输入!$B$18-1)*4+(核心参数输入!$B$148+核心参数输入!$B$124)+1))/4)=0,0,IF(INT((9-((核心参数输入!$B$18-1)*4+(核心参数输入!$B$148+核心参数输入!$B$124)+1))/4)=1,核心参数输入!$B$38,IF(INT((9-((核心参数输入!$B$18-1)*4+(核心参数输入!$B$148+核心参数输入!$B$124)+1))/4)=2,核心参数输入!$B$39,IF(INT((9-((核心参数输入!$B$18-1)*4+(核心参数输入!$B$148+核心参数输入!$B$124)+1))/4)=3,核心参数输入!$B$40,核心参数输入!$B$41))))-核心参数输入!$B$80/100))*(MOD(9-((核心参数输入!$B$18-1)*4+(核心参数输入!$B$148+核心参数输入!$B$124)+1),4)+1)/4),0)</f>
        <v>0</v>
      </c>
      <c r="N125" s="22">
        <f>IF(10&lt;=核心参数输入!$B$9*4,IF(10&lt;((核心参数输入!$B$18-1)*4+(核心参数输入!$B$148+核心参数输入!$B$124)+1),0,MAX(0,IF(INT((10-((核心参数输入!$B$18-1)*4+(核心参数输入!$B$148+核心参数输入!$B$124)+1))/4)=0,0,IF(INT((10-((核心参数输入!$B$18-1)*4+(核心参数输入!$B$148+核心参数输入!$B$124)+1))/4)=1,核心参数输入!$B$38,IF(INT((10-((核心参数输入!$B$18-1)*4+(核心参数输入!$B$148+核心参数输入!$B$124)+1))/4)=2,核心参数输入!$B$39,IF(INT((10-((核心参数输入!$B$18-1)*4+(核心参数输入!$B$148+核心参数输入!$B$124)+1))/4)=3,核心参数输入!$B$40,核心参数输入!$B$41))))-核心参数输入!$B$80/100)+(MAX(0,N124-核心参数输入!$B$80/100)-MAX(0,IF(INT((10-((核心参数输入!$B$18-1)*4+(核心参数输入!$B$148+核心参数输入!$B$124)+1))/4)=0,0,IF(INT((10-((核心参数输入!$B$18-1)*4+(核心参数输入!$B$148+核心参数输入!$B$124)+1))/4)=1,核心参数输入!$B$38,IF(INT((10-((核心参数输入!$B$18-1)*4+(核心参数输入!$B$148+核心参数输入!$B$124)+1))/4)=2,核心参数输入!$B$39,IF(INT((10-((核心参数输入!$B$18-1)*4+(核心参数输入!$B$148+核心参数输入!$B$124)+1))/4)=3,核心参数输入!$B$40,核心参数输入!$B$41))))-核心参数输入!$B$80/100))*(MOD(10-((核心参数输入!$B$18-1)*4+(核心参数输入!$B$148+核心参数输入!$B$124)+1),4)+1)/4),0)</f>
        <v>0</v>
      </c>
      <c r="O125" s="22">
        <f>IF(11&lt;=核心参数输入!$B$9*4,IF(11&lt;((核心参数输入!$B$18-1)*4+(核心参数输入!$B$148+核心参数输入!$B$124)+1),0,MAX(0,IF(INT((11-((核心参数输入!$B$18-1)*4+(核心参数输入!$B$148+核心参数输入!$B$124)+1))/4)=0,0,IF(INT((11-((核心参数输入!$B$18-1)*4+(核心参数输入!$B$148+核心参数输入!$B$124)+1))/4)=1,核心参数输入!$B$38,IF(INT((11-((核心参数输入!$B$18-1)*4+(核心参数输入!$B$148+核心参数输入!$B$124)+1))/4)=2,核心参数输入!$B$39,IF(INT((11-((核心参数输入!$B$18-1)*4+(核心参数输入!$B$148+核心参数输入!$B$124)+1))/4)=3,核心参数输入!$B$40,核心参数输入!$B$41))))-核心参数输入!$B$80/100)+(MAX(0,O124-核心参数输入!$B$80/100)-MAX(0,IF(INT((11-((核心参数输入!$B$18-1)*4+(核心参数输入!$B$148+核心参数输入!$B$124)+1))/4)=0,0,IF(INT((11-((核心参数输入!$B$18-1)*4+(核心参数输入!$B$148+核心参数输入!$B$124)+1))/4)=1,核心参数输入!$B$38,IF(INT((11-((核心参数输入!$B$18-1)*4+(核心参数输入!$B$148+核心参数输入!$B$124)+1))/4)=2,核心参数输入!$B$39,IF(INT((11-((核心参数输入!$B$18-1)*4+(核心参数输入!$B$148+核心参数输入!$B$124)+1))/4)=3,核心参数输入!$B$40,核心参数输入!$B$41))))-核心参数输入!$B$80/100))*(MOD(11-((核心参数输入!$B$18-1)*4+(核心参数输入!$B$148+核心参数输入!$B$124)+1),4)+1)/4),0)</f>
        <v>0</v>
      </c>
      <c r="P125" s="22">
        <f>IF(12&lt;=核心参数输入!$B$9*4,IF(12&lt;((核心参数输入!$B$18-1)*4+(核心参数输入!$B$148+核心参数输入!$B$124)+1),0,MAX(0,IF(INT((12-((核心参数输入!$B$18-1)*4+(核心参数输入!$B$148+核心参数输入!$B$124)+1))/4)=0,0,IF(INT((12-((核心参数输入!$B$18-1)*4+(核心参数输入!$B$148+核心参数输入!$B$124)+1))/4)=1,核心参数输入!$B$38,IF(INT((12-((核心参数输入!$B$18-1)*4+(核心参数输入!$B$148+核心参数输入!$B$124)+1))/4)=2,核心参数输入!$B$39,IF(INT((12-((核心参数输入!$B$18-1)*4+(核心参数输入!$B$148+核心参数输入!$B$124)+1))/4)=3,核心参数输入!$B$40,核心参数输入!$B$41))))-核心参数输入!$B$80/100)+(MAX(0,P124-核心参数输入!$B$80/100)-MAX(0,IF(INT((12-((核心参数输入!$B$18-1)*4+(核心参数输入!$B$148+核心参数输入!$B$124)+1))/4)=0,0,IF(INT((12-((核心参数输入!$B$18-1)*4+(核心参数输入!$B$148+核心参数输入!$B$124)+1))/4)=1,核心参数输入!$B$38,IF(INT((12-((核心参数输入!$B$18-1)*4+(核心参数输入!$B$148+核心参数输入!$B$124)+1))/4)=2,核心参数输入!$B$39,IF(INT((12-((核心参数输入!$B$18-1)*4+(核心参数输入!$B$148+核心参数输入!$B$124)+1))/4)=3,核心参数输入!$B$40,核心参数输入!$B$41))))-核心参数输入!$B$80/100))*(MOD(12-((核心参数输入!$B$18-1)*4+(核心参数输入!$B$148+核心参数输入!$B$124)+1),4)+1)/4),0)</f>
        <v>0</v>
      </c>
      <c r="Q125" s="22">
        <f>IF(13&lt;=核心参数输入!$B$9*4,IF(13&lt;((核心参数输入!$B$18-1)*4+(核心参数输入!$B$148+核心参数输入!$B$124)+1),0,MAX(0,IF(INT((13-((核心参数输入!$B$18-1)*4+(核心参数输入!$B$148+核心参数输入!$B$124)+1))/4)=0,0,IF(INT((13-((核心参数输入!$B$18-1)*4+(核心参数输入!$B$148+核心参数输入!$B$124)+1))/4)=1,核心参数输入!$B$38,IF(INT((13-((核心参数输入!$B$18-1)*4+(核心参数输入!$B$148+核心参数输入!$B$124)+1))/4)=2,核心参数输入!$B$39,IF(INT((13-((核心参数输入!$B$18-1)*4+(核心参数输入!$B$148+核心参数输入!$B$124)+1))/4)=3,核心参数输入!$B$40,核心参数输入!$B$41))))-核心参数输入!$B$80/100)+(MAX(0,Q124-核心参数输入!$B$80/100)-MAX(0,IF(INT((13-((核心参数输入!$B$18-1)*4+(核心参数输入!$B$148+核心参数输入!$B$124)+1))/4)=0,0,IF(INT((13-((核心参数输入!$B$18-1)*4+(核心参数输入!$B$148+核心参数输入!$B$124)+1))/4)=1,核心参数输入!$B$38,IF(INT((13-((核心参数输入!$B$18-1)*4+(核心参数输入!$B$148+核心参数输入!$B$124)+1))/4)=2,核心参数输入!$B$39,IF(INT((13-((核心参数输入!$B$18-1)*4+(核心参数输入!$B$148+核心参数输入!$B$124)+1))/4)=3,核心参数输入!$B$40,核心参数输入!$B$41))))-核心参数输入!$B$80/100))*(MOD(13-((核心参数输入!$B$18-1)*4+(核心参数输入!$B$148+核心参数输入!$B$124)+1),4)+1)/4),0)</f>
        <v>0.1</v>
      </c>
      <c r="R125" s="22">
        <f>IF(14&lt;=核心参数输入!$B$9*4,IF(14&lt;((核心参数输入!$B$18-1)*4+(核心参数输入!$B$148+核心参数输入!$B$124)+1),0,MAX(0,IF(INT((14-((核心参数输入!$B$18-1)*4+(核心参数输入!$B$148+核心参数输入!$B$124)+1))/4)=0,0,IF(INT((14-((核心参数输入!$B$18-1)*4+(核心参数输入!$B$148+核心参数输入!$B$124)+1))/4)=1,核心参数输入!$B$38,IF(INT((14-((核心参数输入!$B$18-1)*4+(核心参数输入!$B$148+核心参数输入!$B$124)+1))/4)=2,核心参数输入!$B$39,IF(INT((14-((核心参数输入!$B$18-1)*4+(核心参数输入!$B$148+核心参数输入!$B$124)+1))/4)=3,核心参数输入!$B$40,核心参数输入!$B$41))))-核心参数输入!$B$80/100)+(MAX(0,R124-核心参数输入!$B$80/100)-MAX(0,IF(INT((14-((核心参数输入!$B$18-1)*4+(核心参数输入!$B$148+核心参数输入!$B$124)+1))/4)=0,0,IF(INT((14-((核心参数输入!$B$18-1)*4+(核心参数输入!$B$148+核心参数输入!$B$124)+1))/4)=1,核心参数输入!$B$38,IF(INT((14-((核心参数输入!$B$18-1)*4+(核心参数输入!$B$148+核心参数输入!$B$124)+1))/4)=2,核心参数输入!$B$39,IF(INT((14-((核心参数输入!$B$18-1)*4+(核心参数输入!$B$148+核心参数输入!$B$124)+1))/4)=3,核心参数输入!$B$40,核心参数输入!$B$41))))-核心参数输入!$B$80/100))*(MOD(14-((核心参数输入!$B$18-1)*4+(核心参数输入!$B$148+核心参数输入!$B$124)+1),4)+1)/4),0)</f>
        <v>0.2</v>
      </c>
      <c r="S125" s="22">
        <f>IF(15&lt;=核心参数输入!$B$9*4,IF(15&lt;((核心参数输入!$B$18-1)*4+(核心参数输入!$B$148+核心参数输入!$B$124)+1),0,MAX(0,IF(INT((15-((核心参数输入!$B$18-1)*4+(核心参数输入!$B$148+核心参数输入!$B$124)+1))/4)=0,0,IF(INT((15-((核心参数输入!$B$18-1)*4+(核心参数输入!$B$148+核心参数输入!$B$124)+1))/4)=1,核心参数输入!$B$38,IF(INT((15-((核心参数输入!$B$18-1)*4+(核心参数输入!$B$148+核心参数输入!$B$124)+1))/4)=2,核心参数输入!$B$39,IF(INT((15-((核心参数输入!$B$18-1)*4+(核心参数输入!$B$148+核心参数输入!$B$124)+1))/4)=3,核心参数输入!$B$40,核心参数输入!$B$41))))-核心参数输入!$B$80/100)+(MAX(0,S124-核心参数输入!$B$80/100)-MAX(0,IF(INT((15-((核心参数输入!$B$18-1)*4+(核心参数输入!$B$148+核心参数输入!$B$124)+1))/4)=0,0,IF(INT((15-((核心参数输入!$B$18-1)*4+(核心参数输入!$B$148+核心参数输入!$B$124)+1))/4)=1,核心参数输入!$B$38,IF(INT((15-((核心参数输入!$B$18-1)*4+(核心参数输入!$B$148+核心参数输入!$B$124)+1))/4)=2,核心参数输入!$B$39,IF(INT((15-((核心参数输入!$B$18-1)*4+(核心参数输入!$B$148+核心参数输入!$B$124)+1))/4)=3,核心参数输入!$B$40,核心参数输入!$B$41))))-核心参数输入!$B$80/100))*(MOD(15-((核心参数输入!$B$18-1)*4+(核心参数输入!$B$148+核心参数输入!$B$124)+1),4)+1)/4),0)</f>
        <v>0.30000000000000004</v>
      </c>
      <c r="T125" s="22">
        <f>IF(16&lt;=核心参数输入!$B$9*4,IF(16&lt;((核心参数输入!$B$18-1)*4+(核心参数输入!$B$148+核心参数输入!$B$124)+1),0,MAX(0,IF(INT((16-((核心参数输入!$B$18-1)*4+(核心参数输入!$B$148+核心参数输入!$B$124)+1))/4)=0,0,IF(INT((16-((核心参数输入!$B$18-1)*4+(核心参数输入!$B$148+核心参数输入!$B$124)+1))/4)=1,核心参数输入!$B$38,IF(INT((16-((核心参数输入!$B$18-1)*4+(核心参数输入!$B$148+核心参数输入!$B$124)+1))/4)=2,核心参数输入!$B$39,IF(INT((16-((核心参数输入!$B$18-1)*4+(核心参数输入!$B$148+核心参数输入!$B$124)+1))/4)=3,核心参数输入!$B$40,核心参数输入!$B$41))))-核心参数输入!$B$80/100)+(MAX(0,T124-核心参数输入!$B$80/100)-MAX(0,IF(INT((16-((核心参数输入!$B$18-1)*4+(核心参数输入!$B$148+核心参数输入!$B$124)+1))/4)=0,0,IF(INT((16-((核心参数输入!$B$18-1)*4+(核心参数输入!$B$148+核心参数输入!$B$124)+1))/4)=1,核心参数输入!$B$38,IF(INT((16-((核心参数输入!$B$18-1)*4+(核心参数输入!$B$148+核心参数输入!$B$124)+1))/4)=2,核心参数输入!$B$39,IF(INT((16-((核心参数输入!$B$18-1)*4+(核心参数输入!$B$148+核心参数输入!$B$124)+1))/4)=3,核心参数输入!$B$40,核心参数输入!$B$41))))-核心参数输入!$B$80/100))*(MOD(16-((核心参数输入!$B$18-1)*4+(核心参数输入!$B$148+核心参数输入!$B$124)+1),4)+1)/4),0)</f>
        <v>0.4</v>
      </c>
      <c r="U125" s="22">
        <f>IF(17&lt;=核心参数输入!$B$9*4,IF(17&lt;((核心参数输入!$B$18-1)*4+(核心参数输入!$B$148+核心参数输入!$B$124)+1),0,MAX(0,IF(INT((17-((核心参数输入!$B$18-1)*4+(核心参数输入!$B$148+核心参数输入!$B$124)+1))/4)=0,0,IF(INT((17-((核心参数输入!$B$18-1)*4+(核心参数输入!$B$148+核心参数输入!$B$124)+1))/4)=1,核心参数输入!$B$38,IF(INT((17-((核心参数输入!$B$18-1)*4+(核心参数输入!$B$148+核心参数输入!$B$124)+1))/4)=2,核心参数输入!$B$39,IF(INT((17-((核心参数输入!$B$18-1)*4+(核心参数输入!$B$148+核心参数输入!$B$124)+1))/4)=3,核心参数输入!$B$40,核心参数输入!$B$41))))-核心参数输入!$B$80/100)+(MAX(0,U124-核心参数输入!$B$80/100)-MAX(0,IF(INT((17-((核心参数输入!$B$18-1)*4+(核心参数输入!$B$148+核心参数输入!$B$124)+1))/4)=0,0,IF(INT((17-((核心参数输入!$B$18-1)*4+(核心参数输入!$B$148+核心参数输入!$B$124)+1))/4)=1,核心参数输入!$B$38,IF(INT((17-((核心参数输入!$B$18-1)*4+(核心参数输入!$B$148+核心参数输入!$B$124)+1))/4)=2,核心参数输入!$B$39,IF(INT((17-((核心参数输入!$B$18-1)*4+(核心参数输入!$B$148+核心参数输入!$B$124)+1))/4)=3,核心参数输入!$B$40,核心参数输入!$B$41))))-核心参数输入!$B$80/100))*(MOD(17-((核心参数输入!$B$18-1)*4+(核心参数输入!$B$148+核心参数输入!$B$124)+1),4)+1)/4),0)</f>
        <v>0.45</v>
      </c>
      <c r="V125" s="22">
        <f>IF(18&lt;=核心参数输入!$B$9*4,IF(18&lt;((核心参数输入!$B$18-1)*4+(核心参数输入!$B$148+核心参数输入!$B$124)+1),0,MAX(0,IF(INT((18-((核心参数输入!$B$18-1)*4+(核心参数输入!$B$148+核心参数输入!$B$124)+1))/4)=0,0,IF(INT((18-((核心参数输入!$B$18-1)*4+(核心参数输入!$B$148+核心参数输入!$B$124)+1))/4)=1,核心参数输入!$B$38,IF(INT((18-((核心参数输入!$B$18-1)*4+(核心参数输入!$B$148+核心参数输入!$B$124)+1))/4)=2,核心参数输入!$B$39,IF(INT((18-((核心参数输入!$B$18-1)*4+(核心参数输入!$B$148+核心参数输入!$B$124)+1))/4)=3,核心参数输入!$B$40,核心参数输入!$B$41))))-核心参数输入!$B$80/100)+(MAX(0,V124-核心参数输入!$B$80/100)-MAX(0,IF(INT((18-((核心参数输入!$B$18-1)*4+(核心参数输入!$B$148+核心参数输入!$B$124)+1))/4)=0,0,IF(INT((18-((核心参数输入!$B$18-1)*4+(核心参数输入!$B$148+核心参数输入!$B$124)+1))/4)=1,核心参数输入!$B$38,IF(INT((18-((核心参数输入!$B$18-1)*4+(核心参数输入!$B$148+核心参数输入!$B$124)+1))/4)=2,核心参数输入!$B$39,IF(INT((18-((核心参数输入!$B$18-1)*4+(核心参数输入!$B$148+核心参数输入!$B$124)+1))/4)=3,核心参数输入!$B$40,核心参数输入!$B$41))))-核心参数输入!$B$80/100))*(MOD(18-((核心参数输入!$B$18-1)*4+(核心参数输入!$B$148+核心参数输入!$B$124)+1),4)+1)/4),0)</f>
        <v>0.5</v>
      </c>
      <c r="W125" s="22">
        <f>IF(19&lt;=核心参数输入!$B$9*4,IF(19&lt;((核心参数输入!$B$18-1)*4+(核心参数输入!$B$148+核心参数输入!$B$124)+1),0,MAX(0,IF(INT((19-((核心参数输入!$B$18-1)*4+(核心参数输入!$B$148+核心参数输入!$B$124)+1))/4)=0,0,IF(INT((19-((核心参数输入!$B$18-1)*4+(核心参数输入!$B$148+核心参数输入!$B$124)+1))/4)=1,核心参数输入!$B$38,IF(INT((19-((核心参数输入!$B$18-1)*4+(核心参数输入!$B$148+核心参数输入!$B$124)+1))/4)=2,核心参数输入!$B$39,IF(INT((19-((核心参数输入!$B$18-1)*4+(核心参数输入!$B$148+核心参数输入!$B$124)+1))/4)=3,核心参数输入!$B$40,核心参数输入!$B$41))))-核心参数输入!$B$80/100)+(MAX(0,W124-核心参数输入!$B$80/100)-MAX(0,IF(INT((19-((核心参数输入!$B$18-1)*4+(核心参数输入!$B$148+核心参数输入!$B$124)+1))/4)=0,0,IF(INT((19-((核心参数输入!$B$18-1)*4+(核心参数输入!$B$148+核心参数输入!$B$124)+1))/4)=1,核心参数输入!$B$38,IF(INT((19-((核心参数输入!$B$18-1)*4+(核心参数输入!$B$148+核心参数输入!$B$124)+1))/4)=2,核心参数输入!$B$39,IF(INT((19-((核心参数输入!$B$18-1)*4+(核心参数输入!$B$148+核心参数输入!$B$124)+1))/4)=3,核心参数输入!$B$40,核心参数输入!$B$41))))-核心参数输入!$B$80/100))*(MOD(19-((核心参数输入!$B$18-1)*4+(核心参数输入!$B$148+核心参数输入!$B$124)+1),4)+1)/4),0)</f>
        <v>0.55000000000000004</v>
      </c>
      <c r="X125" s="22">
        <f>IF(20&lt;=核心参数输入!$B$9*4,IF(20&lt;((核心参数输入!$B$18-1)*4+(核心参数输入!$B$148+核心参数输入!$B$124)+1),0,MAX(0,IF(INT((20-((核心参数输入!$B$18-1)*4+(核心参数输入!$B$148+核心参数输入!$B$124)+1))/4)=0,0,IF(INT((20-((核心参数输入!$B$18-1)*4+(核心参数输入!$B$148+核心参数输入!$B$124)+1))/4)=1,核心参数输入!$B$38,IF(INT((20-((核心参数输入!$B$18-1)*4+(核心参数输入!$B$148+核心参数输入!$B$124)+1))/4)=2,核心参数输入!$B$39,IF(INT((20-((核心参数输入!$B$18-1)*4+(核心参数输入!$B$148+核心参数输入!$B$124)+1))/4)=3,核心参数输入!$B$40,核心参数输入!$B$41))))-核心参数输入!$B$80/100)+(MAX(0,X124-核心参数输入!$B$80/100)-MAX(0,IF(INT((20-((核心参数输入!$B$18-1)*4+(核心参数输入!$B$148+核心参数输入!$B$124)+1))/4)=0,0,IF(INT((20-((核心参数输入!$B$18-1)*4+(核心参数输入!$B$148+核心参数输入!$B$124)+1))/4)=1,核心参数输入!$B$38,IF(INT((20-((核心参数输入!$B$18-1)*4+(核心参数输入!$B$148+核心参数输入!$B$124)+1))/4)=2,核心参数输入!$B$39,IF(INT((20-((核心参数输入!$B$18-1)*4+(核心参数输入!$B$148+核心参数输入!$B$124)+1))/4)=3,核心参数输入!$B$40,核心参数输入!$B$41))))-核心参数输入!$B$80/100))*(MOD(20-((核心参数输入!$B$18-1)*4+(核心参数输入!$B$148+核心参数输入!$B$124)+1),4)+1)/4),0)</f>
        <v>0.6</v>
      </c>
      <c r="Y125" s="22">
        <f>IF(21&lt;=核心参数输入!$B$9*4,IF(21&lt;((核心参数输入!$B$18-1)*4+(核心参数输入!$B$148+核心参数输入!$B$124)+1),0,MAX(0,IF(INT((21-((核心参数输入!$B$18-1)*4+(核心参数输入!$B$148+核心参数输入!$B$124)+1))/4)=0,0,IF(INT((21-((核心参数输入!$B$18-1)*4+(核心参数输入!$B$148+核心参数输入!$B$124)+1))/4)=1,核心参数输入!$B$38,IF(INT((21-((核心参数输入!$B$18-1)*4+(核心参数输入!$B$148+核心参数输入!$B$124)+1))/4)=2,核心参数输入!$B$39,IF(INT((21-((核心参数输入!$B$18-1)*4+(核心参数输入!$B$148+核心参数输入!$B$124)+1))/4)=3,核心参数输入!$B$40,核心参数输入!$B$41))))-核心参数输入!$B$80/100)+(MAX(0,Y124-核心参数输入!$B$80/100)-MAX(0,IF(INT((21-((核心参数输入!$B$18-1)*4+(核心参数输入!$B$148+核心参数输入!$B$124)+1))/4)=0,0,IF(INT((21-((核心参数输入!$B$18-1)*4+(核心参数输入!$B$148+核心参数输入!$B$124)+1))/4)=1,核心参数输入!$B$38,IF(INT((21-((核心参数输入!$B$18-1)*4+(核心参数输入!$B$148+核心参数输入!$B$124)+1))/4)=2,核心参数输入!$B$39,IF(INT((21-((核心参数输入!$B$18-1)*4+(核心参数输入!$B$148+核心参数输入!$B$124)+1))/4)=3,核心参数输入!$B$40,核心参数输入!$B$41))))-核心参数输入!$B$80/100))*(MOD(21-((核心参数输入!$B$18-1)*4+(核心参数输入!$B$148+核心参数输入!$B$124)+1),4)+1)/4),0)</f>
        <v>0.63749999999999996</v>
      </c>
      <c r="Z125" s="22">
        <f>IF(22&lt;=核心参数输入!$B$9*4,IF(22&lt;((核心参数输入!$B$18-1)*4+(核心参数输入!$B$148+核心参数输入!$B$124)+1),0,MAX(0,IF(INT((22-((核心参数输入!$B$18-1)*4+(核心参数输入!$B$148+核心参数输入!$B$124)+1))/4)=0,0,IF(INT((22-((核心参数输入!$B$18-1)*4+(核心参数输入!$B$148+核心参数输入!$B$124)+1))/4)=1,核心参数输入!$B$38,IF(INT((22-((核心参数输入!$B$18-1)*4+(核心参数输入!$B$148+核心参数输入!$B$124)+1))/4)=2,核心参数输入!$B$39,IF(INT((22-((核心参数输入!$B$18-1)*4+(核心参数输入!$B$148+核心参数输入!$B$124)+1))/4)=3,核心参数输入!$B$40,核心参数输入!$B$41))))-核心参数输入!$B$80/100)+(MAX(0,Z124-核心参数输入!$B$80/100)-MAX(0,IF(INT((22-((核心参数输入!$B$18-1)*4+(核心参数输入!$B$148+核心参数输入!$B$124)+1))/4)=0,0,IF(INT((22-((核心参数输入!$B$18-1)*4+(核心参数输入!$B$148+核心参数输入!$B$124)+1))/4)=1,核心参数输入!$B$38,IF(INT((22-((核心参数输入!$B$18-1)*4+(核心参数输入!$B$148+核心参数输入!$B$124)+1))/4)=2,核心参数输入!$B$39,IF(INT((22-((核心参数输入!$B$18-1)*4+(核心参数输入!$B$148+核心参数输入!$B$124)+1))/4)=3,核心参数输入!$B$40,核心参数输入!$B$41))))-核心参数输入!$B$80/100))*(MOD(22-((核心参数输入!$B$18-1)*4+(核心参数输入!$B$148+核心参数输入!$B$124)+1),4)+1)/4),0)</f>
        <v>0.67500000000000004</v>
      </c>
      <c r="AA125" s="22">
        <f>IF(23&lt;=核心参数输入!$B$9*4,IF(23&lt;((核心参数输入!$B$18-1)*4+(核心参数输入!$B$148+核心参数输入!$B$124)+1),0,MAX(0,IF(INT((23-((核心参数输入!$B$18-1)*4+(核心参数输入!$B$148+核心参数输入!$B$124)+1))/4)=0,0,IF(INT((23-((核心参数输入!$B$18-1)*4+(核心参数输入!$B$148+核心参数输入!$B$124)+1))/4)=1,核心参数输入!$B$38,IF(INT((23-((核心参数输入!$B$18-1)*4+(核心参数输入!$B$148+核心参数输入!$B$124)+1))/4)=2,核心参数输入!$B$39,IF(INT((23-((核心参数输入!$B$18-1)*4+(核心参数输入!$B$148+核心参数输入!$B$124)+1))/4)=3,核心参数输入!$B$40,核心参数输入!$B$41))))-核心参数输入!$B$80/100)+(MAX(0,AA124-核心参数输入!$B$80/100)-MAX(0,IF(INT((23-((核心参数输入!$B$18-1)*4+(核心参数输入!$B$148+核心参数输入!$B$124)+1))/4)=0,0,IF(INT((23-((核心参数输入!$B$18-1)*4+(核心参数输入!$B$148+核心参数输入!$B$124)+1))/4)=1,核心参数输入!$B$38,IF(INT((23-((核心参数输入!$B$18-1)*4+(核心参数输入!$B$148+核心参数输入!$B$124)+1))/4)=2,核心参数输入!$B$39,IF(INT((23-((核心参数输入!$B$18-1)*4+(核心参数输入!$B$148+核心参数输入!$B$124)+1))/4)=3,核心参数输入!$B$40,核心参数输入!$B$41))))-核心参数输入!$B$80/100))*(MOD(23-((核心参数输入!$B$18-1)*4+(核心参数输入!$B$148+核心参数输入!$B$124)+1),4)+1)/4),0)</f>
        <v>0.71250000000000002</v>
      </c>
      <c r="AB125" s="22">
        <f>IF(24&lt;=核心参数输入!$B$9*4,IF(24&lt;((核心参数输入!$B$18-1)*4+(核心参数输入!$B$148+核心参数输入!$B$124)+1),0,MAX(0,IF(INT((24-((核心参数输入!$B$18-1)*4+(核心参数输入!$B$148+核心参数输入!$B$124)+1))/4)=0,0,IF(INT((24-((核心参数输入!$B$18-1)*4+(核心参数输入!$B$148+核心参数输入!$B$124)+1))/4)=1,核心参数输入!$B$38,IF(INT((24-((核心参数输入!$B$18-1)*4+(核心参数输入!$B$148+核心参数输入!$B$124)+1))/4)=2,核心参数输入!$B$39,IF(INT((24-((核心参数输入!$B$18-1)*4+(核心参数输入!$B$148+核心参数输入!$B$124)+1))/4)=3,核心参数输入!$B$40,核心参数输入!$B$41))))-核心参数输入!$B$80/100)+(MAX(0,AB124-核心参数输入!$B$80/100)-MAX(0,IF(INT((24-((核心参数输入!$B$18-1)*4+(核心参数输入!$B$148+核心参数输入!$B$124)+1))/4)=0,0,IF(INT((24-((核心参数输入!$B$18-1)*4+(核心参数输入!$B$148+核心参数输入!$B$124)+1))/4)=1,核心参数输入!$B$38,IF(INT((24-((核心参数输入!$B$18-1)*4+(核心参数输入!$B$148+核心参数输入!$B$124)+1))/4)=2,核心参数输入!$B$39,IF(INT((24-((核心参数输入!$B$18-1)*4+(核心参数输入!$B$148+核心参数输入!$B$124)+1))/4)=3,核心参数输入!$B$40,核心参数输入!$B$41))))-核心参数输入!$B$80/100))*(MOD(24-((核心参数输入!$B$18-1)*4+(核心参数输入!$B$148+核心参数输入!$B$124)+1),4)+1)/4),0)</f>
        <v>0.75</v>
      </c>
      <c r="AC125" s="22">
        <f>IF(25&lt;=核心参数输入!$B$9*4,IF(25&lt;((核心参数输入!$B$18-1)*4+(核心参数输入!$B$148+核心参数输入!$B$124)+1),0,MAX(0,IF(INT((25-((核心参数输入!$B$18-1)*4+(核心参数输入!$B$148+核心参数输入!$B$124)+1))/4)=0,0,IF(INT((25-((核心参数输入!$B$18-1)*4+(核心参数输入!$B$148+核心参数输入!$B$124)+1))/4)=1,核心参数输入!$B$38,IF(INT((25-((核心参数输入!$B$18-1)*4+(核心参数输入!$B$148+核心参数输入!$B$124)+1))/4)=2,核心参数输入!$B$39,IF(INT((25-((核心参数输入!$B$18-1)*4+(核心参数输入!$B$148+核心参数输入!$B$124)+1))/4)=3,核心参数输入!$B$40,核心参数输入!$B$41))))-核心参数输入!$B$80/100)+(MAX(0,AC124-核心参数输入!$B$80/100)-MAX(0,IF(INT((25-((核心参数输入!$B$18-1)*4+(核心参数输入!$B$148+核心参数输入!$B$124)+1))/4)=0,0,IF(INT((25-((核心参数输入!$B$18-1)*4+(核心参数输入!$B$148+核心参数输入!$B$124)+1))/4)=1,核心参数输入!$B$38,IF(INT((25-((核心参数输入!$B$18-1)*4+(核心参数输入!$B$148+核心参数输入!$B$124)+1))/4)=2,核心参数输入!$B$39,IF(INT((25-((核心参数输入!$B$18-1)*4+(核心参数输入!$B$148+核心参数输入!$B$124)+1))/4)=3,核心参数输入!$B$40,核心参数输入!$B$41))))-核心参数输入!$B$80/100))*(MOD(25-((核心参数输入!$B$18-1)*4+(核心参数输入!$B$148+核心参数输入!$B$124)+1),4)+1)/4),0)</f>
        <v>0.76249999999999996</v>
      </c>
      <c r="AD125" s="22">
        <f>IF(26&lt;=核心参数输入!$B$9*4,IF(26&lt;((核心参数输入!$B$18-1)*4+(核心参数输入!$B$148+核心参数输入!$B$124)+1),0,MAX(0,IF(INT((26-((核心参数输入!$B$18-1)*4+(核心参数输入!$B$148+核心参数输入!$B$124)+1))/4)=0,0,IF(INT((26-((核心参数输入!$B$18-1)*4+(核心参数输入!$B$148+核心参数输入!$B$124)+1))/4)=1,核心参数输入!$B$38,IF(INT((26-((核心参数输入!$B$18-1)*4+(核心参数输入!$B$148+核心参数输入!$B$124)+1))/4)=2,核心参数输入!$B$39,IF(INT((26-((核心参数输入!$B$18-1)*4+(核心参数输入!$B$148+核心参数输入!$B$124)+1))/4)=3,核心参数输入!$B$40,核心参数输入!$B$41))))-核心参数输入!$B$80/100)+(MAX(0,AD124-核心参数输入!$B$80/100)-MAX(0,IF(INT((26-((核心参数输入!$B$18-1)*4+(核心参数输入!$B$148+核心参数输入!$B$124)+1))/4)=0,0,IF(INT((26-((核心参数输入!$B$18-1)*4+(核心参数输入!$B$148+核心参数输入!$B$124)+1))/4)=1,核心参数输入!$B$38,IF(INT((26-((核心参数输入!$B$18-1)*4+(核心参数输入!$B$148+核心参数输入!$B$124)+1))/4)=2,核心参数输入!$B$39,IF(INT((26-((核心参数输入!$B$18-1)*4+(核心参数输入!$B$148+核心参数输入!$B$124)+1))/4)=3,核心参数输入!$B$40,核心参数输入!$B$41))))-核心参数输入!$B$80/100))*(MOD(26-((核心参数输入!$B$18-1)*4+(核心参数输入!$B$148+核心参数输入!$B$124)+1),4)+1)/4),0)</f>
        <v>0.77500000000000002</v>
      </c>
      <c r="AE125" s="22">
        <f>IF(27&lt;=核心参数输入!$B$9*4,IF(27&lt;((核心参数输入!$B$18-1)*4+(核心参数输入!$B$148+核心参数输入!$B$124)+1),0,MAX(0,IF(INT((27-((核心参数输入!$B$18-1)*4+(核心参数输入!$B$148+核心参数输入!$B$124)+1))/4)=0,0,IF(INT((27-((核心参数输入!$B$18-1)*4+(核心参数输入!$B$148+核心参数输入!$B$124)+1))/4)=1,核心参数输入!$B$38,IF(INT((27-((核心参数输入!$B$18-1)*4+(核心参数输入!$B$148+核心参数输入!$B$124)+1))/4)=2,核心参数输入!$B$39,IF(INT((27-((核心参数输入!$B$18-1)*4+(核心参数输入!$B$148+核心参数输入!$B$124)+1))/4)=3,核心参数输入!$B$40,核心参数输入!$B$41))))-核心参数输入!$B$80/100)+(MAX(0,AE124-核心参数输入!$B$80/100)-MAX(0,IF(INT((27-((核心参数输入!$B$18-1)*4+(核心参数输入!$B$148+核心参数输入!$B$124)+1))/4)=0,0,IF(INT((27-((核心参数输入!$B$18-1)*4+(核心参数输入!$B$148+核心参数输入!$B$124)+1))/4)=1,核心参数输入!$B$38,IF(INT((27-((核心参数输入!$B$18-1)*4+(核心参数输入!$B$148+核心参数输入!$B$124)+1))/4)=2,核心参数输入!$B$39,IF(INT((27-((核心参数输入!$B$18-1)*4+(核心参数输入!$B$148+核心参数输入!$B$124)+1))/4)=3,核心参数输入!$B$40,核心参数输入!$B$41))))-核心参数输入!$B$80/100))*(MOD(27-((核心参数输入!$B$18-1)*4+(核心参数输入!$B$148+核心参数输入!$B$124)+1),4)+1)/4),0)</f>
        <v>0.78750000000000009</v>
      </c>
      <c r="AF125" s="22">
        <f>IF(28&lt;=核心参数输入!$B$9*4,IF(28&lt;((核心参数输入!$B$18-1)*4+(核心参数输入!$B$148+核心参数输入!$B$124)+1),0,MAX(0,IF(INT((28-((核心参数输入!$B$18-1)*4+(核心参数输入!$B$148+核心参数输入!$B$124)+1))/4)=0,0,IF(INT((28-((核心参数输入!$B$18-1)*4+(核心参数输入!$B$148+核心参数输入!$B$124)+1))/4)=1,核心参数输入!$B$38,IF(INT((28-((核心参数输入!$B$18-1)*4+(核心参数输入!$B$148+核心参数输入!$B$124)+1))/4)=2,核心参数输入!$B$39,IF(INT((28-((核心参数输入!$B$18-1)*4+(核心参数输入!$B$148+核心参数输入!$B$124)+1))/4)=3,核心参数输入!$B$40,核心参数输入!$B$41))))-核心参数输入!$B$80/100)+(MAX(0,AF124-核心参数输入!$B$80/100)-MAX(0,IF(INT((28-((核心参数输入!$B$18-1)*4+(核心参数输入!$B$148+核心参数输入!$B$124)+1))/4)=0,0,IF(INT((28-((核心参数输入!$B$18-1)*4+(核心参数输入!$B$148+核心参数输入!$B$124)+1))/4)=1,核心参数输入!$B$38,IF(INT((28-((核心参数输入!$B$18-1)*4+(核心参数输入!$B$148+核心参数输入!$B$124)+1))/4)=2,核心参数输入!$B$39,IF(INT((28-((核心参数输入!$B$18-1)*4+(核心参数输入!$B$148+核心参数输入!$B$124)+1))/4)=3,核心参数输入!$B$40,核心参数输入!$B$41))))-核心参数输入!$B$80/100))*(MOD(28-((核心参数输入!$B$18-1)*4+(核心参数输入!$B$148+核心参数输入!$B$124)+1),4)+1)/4),0)</f>
        <v>0.8</v>
      </c>
      <c r="AG125" s="22">
        <f>IF(29&lt;=核心参数输入!$B$9*4,IF(29&lt;((核心参数输入!$B$18-1)*4+(核心参数输入!$B$148+核心参数输入!$B$124)+1),0,MAX(0,IF(INT((29-((核心参数输入!$B$18-1)*4+(核心参数输入!$B$148+核心参数输入!$B$124)+1))/4)=0,0,IF(INT((29-((核心参数输入!$B$18-1)*4+(核心参数输入!$B$148+核心参数输入!$B$124)+1))/4)=1,核心参数输入!$B$38,IF(INT((29-((核心参数输入!$B$18-1)*4+(核心参数输入!$B$148+核心参数输入!$B$124)+1))/4)=2,核心参数输入!$B$39,IF(INT((29-((核心参数输入!$B$18-1)*4+(核心参数输入!$B$148+核心参数输入!$B$124)+1))/4)=3,核心参数输入!$B$40,核心参数输入!$B$41))))-核心参数输入!$B$80/100)+(MAX(0,AG124-核心参数输入!$B$80/100)-MAX(0,IF(INT((29-((核心参数输入!$B$18-1)*4+(核心参数输入!$B$148+核心参数输入!$B$124)+1))/4)=0,0,IF(INT((29-((核心参数输入!$B$18-1)*4+(核心参数输入!$B$148+核心参数输入!$B$124)+1))/4)=1,核心参数输入!$B$38,IF(INT((29-((核心参数输入!$B$18-1)*4+(核心参数输入!$B$148+核心参数输入!$B$124)+1))/4)=2,核心参数输入!$B$39,IF(INT((29-((核心参数输入!$B$18-1)*4+(核心参数输入!$B$148+核心参数输入!$B$124)+1))/4)=3,核心参数输入!$B$40,核心参数输入!$B$41))))-核心参数输入!$B$80/100))*(MOD(29-((核心参数输入!$B$18-1)*4+(核心参数输入!$B$148+核心参数输入!$B$124)+1),4)+1)/4),0)</f>
        <v>0.8</v>
      </c>
      <c r="AH125" s="22">
        <f>IF(30&lt;=核心参数输入!$B$9*4,IF(30&lt;((核心参数输入!$B$18-1)*4+(核心参数输入!$B$148+核心参数输入!$B$124)+1),0,MAX(0,IF(INT((30-((核心参数输入!$B$18-1)*4+(核心参数输入!$B$148+核心参数输入!$B$124)+1))/4)=0,0,IF(INT((30-((核心参数输入!$B$18-1)*4+(核心参数输入!$B$148+核心参数输入!$B$124)+1))/4)=1,核心参数输入!$B$38,IF(INT((30-((核心参数输入!$B$18-1)*4+(核心参数输入!$B$148+核心参数输入!$B$124)+1))/4)=2,核心参数输入!$B$39,IF(INT((30-((核心参数输入!$B$18-1)*4+(核心参数输入!$B$148+核心参数输入!$B$124)+1))/4)=3,核心参数输入!$B$40,核心参数输入!$B$41))))-核心参数输入!$B$80/100)+(MAX(0,AH124-核心参数输入!$B$80/100)-MAX(0,IF(INT((30-((核心参数输入!$B$18-1)*4+(核心参数输入!$B$148+核心参数输入!$B$124)+1))/4)=0,0,IF(INT((30-((核心参数输入!$B$18-1)*4+(核心参数输入!$B$148+核心参数输入!$B$124)+1))/4)=1,核心参数输入!$B$38,IF(INT((30-((核心参数输入!$B$18-1)*4+(核心参数输入!$B$148+核心参数输入!$B$124)+1))/4)=2,核心参数输入!$B$39,IF(INT((30-((核心参数输入!$B$18-1)*4+(核心参数输入!$B$148+核心参数输入!$B$124)+1))/4)=3,核心参数输入!$B$40,核心参数输入!$B$41))))-核心参数输入!$B$80/100))*(MOD(30-((核心参数输入!$B$18-1)*4+(核心参数输入!$B$148+核心参数输入!$B$124)+1),4)+1)/4),0)</f>
        <v>0.8</v>
      </c>
      <c r="AI125" s="22">
        <f>IF(31&lt;=核心参数输入!$B$9*4,IF(31&lt;((核心参数输入!$B$18-1)*4+(核心参数输入!$B$148+核心参数输入!$B$124)+1),0,MAX(0,IF(INT((31-((核心参数输入!$B$18-1)*4+(核心参数输入!$B$148+核心参数输入!$B$124)+1))/4)=0,0,IF(INT((31-((核心参数输入!$B$18-1)*4+(核心参数输入!$B$148+核心参数输入!$B$124)+1))/4)=1,核心参数输入!$B$38,IF(INT((31-((核心参数输入!$B$18-1)*4+(核心参数输入!$B$148+核心参数输入!$B$124)+1))/4)=2,核心参数输入!$B$39,IF(INT((31-((核心参数输入!$B$18-1)*4+(核心参数输入!$B$148+核心参数输入!$B$124)+1))/4)=3,核心参数输入!$B$40,核心参数输入!$B$41))))-核心参数输入!$B$80/100)+(MAX(0,AI124-核心参数输入!$B$80/100)-MAX(0,IF(INT((31-((核心参数输入!$B$18-1)*4+(核心参数输入!$B$148+核心参数输入!$B$124)+1))/4)=0,0,IF(INT((31-((核心参数输入!$B$18-1)*4+(核心参数输入!$B$148+核心参数输入!$B$124)+1))/4)=1,核心参数输入!$B$38,IF(INT((31-((核心参数输入!$B$18-1)*4+(核心参数输入!$B$148+核心参数输入!$B$124)+1))/4)=2,核心参数输入!$B$39,IF(INT((31-((核心参数输入!$B$18-1)*4+(核心参数输入!$B$148+核心参数输入!$B$124)+1))/4)=3,核心参数输入!$B$40,核心参数输入!$B$41))))-核心参数输入!$B$80/100))*(MOD(31-((核心参数输入!$B$18-1)*4+(核心参数输入!$B$148+核心参数输入!$B$124)+1),4)+1)/4),0)</f>
        <v>0.8</v>
      </c>
      <c r="AJ125" s="22">
        <f>IF(32&lt;=核心参数输入!$B$9*4,IF(32&lt;((核心参数输入!$B$18-1)*4+(核心参数输入!$B$148+核心参数输入!$B$124)+1),0,MAX(0,IF(INT((32-((核心参数输入!$B$18-1)*4+(核心参数输入!$B$148+核心参数输入!$B$124)+1))/4)=0,0,IF(INT((32-((核心参数输入!$B$18-1)*4+(核心参数输入!$B$148+核心参数输入!$B$124)+1))/4)=1,核心参数输入!$B$38,IF(INT((32-((核心参数输入!$B$18-1)*4+(核心参数输入!$B$148+核心参数输入!$B$124)+1))/4)=2,核心参数输入!$B$39,IF(INT((32-((核心参数输入!$B$18-1)*4+(核心参数输入!$B$148+核心参数输入!$B$124)+1))/4)=3,核心参数输入!$B$40,核心参数输入!$B$41))))-核心参数输入!$B$80/100)+(MAX(0,AJ124-核心参数输入!$B$80/100)-MAX(0,IF(INT((32-((核心参数输入!$B$18-1)*4+(核心参数输入!$B$148+核心参数输入!$B$124)+1))/4)=0,0,IF(INT((32-((核心参数输入!$B$18-1)*4+(核心参数输入!$B$148+核心参数输入!$B$124)+1))/4)=1,核心参数输入!$B$38,IF(INT((32-((核心参数输入!$B$18-1)*4+(核心参数输入!$B$148+核心参数输入!$B$124)+1))/4)=2,核心参数输入!$B$39,IF(INT((32-((核心参数输入!$B$18-1)*4+(核心参数输入!$B$148+核心参数输入!$B$124)+1))/4)=3,核心参数输入!$B$40,核心参数输入!$B$41))))-核心参数输入!$B$80/100))*(MOD(32-((核心参数输入!$B$18-1)*4+(核心参数输入!$B$148+核心参数输入!$B$124)+1),4)+1)/4),0)</f>
        <v>0.8</v>
      </c>
      <c r="AK125" s="22">
        <f>IF(33&lt;=核心参数输入!$B$9*4,IF(33&lt;((核心参数输入!$B$18-1)*4+(核心参数输入!$B$148+核心参数输入!$B$124)+1),0,MAX(0,IF(INT((33-((核心参数输入!$B$18-1)*4+(核心参数输入!$B$148+核心参数输入!$B$124)+1))/4)=0,0,IF(INT((33-((核心参数输入!$B$18-1)*4+(核心参数输入!$B$148+核心参数输入!$B$124)+1))/4)=1,核心参数输入!$B$38,IF(INT((33-((核心参数输入!$B$18-1)*4+(核心参数输入!$B$148+核心参数输入!$B$124)+1))/4)=2,核心参数输入!$B$39,IF(INT((33-((核心参数输入!$B$18-1)*4+(核心参数输入!$B$148+核心参数输入!$B$124)+1))/4)=3,核心参数输入!$B$40,核心参数输入!$B$41))))-核心参数输入!$B$80/100)+(MAX(0,AK124-核心参数输入!$B$80/100)-MAX(0,IF(INT((33-((核心参数输入!$B$18-1)*4+(核心参数输入!$B$148+核心参数输入!$B$124)+1))/4)=0,0,IF(INT((33-((核心参数输入!$B$18-1)*4+(核心参数输入!$B$148+核心参数输入!$B$124)+1))/4)=1,核心参数输入!$B$38,IF(INT((33-((核心参数输入!$B$18-1)*4+(核心参数输入!$B$148+核心参数输入!$B$124)+1))/4)=2,核心参数输入!$B$39,IF(INT((33-((核心参数输入!$B$18-1)*4+(核心参数输入!$B$148+核心参数输入!$B$124)+1))/4)=3,核心参数输入!$B$40,核心参数输入!$B$41))))-核心参数输入!$B$80/100))*(MOD(33-((核心参数输入!$B$18-1)*4+(核心参数输入!$B$148+核心参数输入!$B$124)+1),4)+1)/4),0)</f>
        <v>0.8</v>
      </c>
      <c r="AL125" s="22">
        <f>IF(34&lt;=核心参数输入!$B$9*4,IF(34&lt;((核心参数输入!$B$18-1)*4+(核心参数输入!$B$148+核心参数输入!$B$124)+1),0,MAX(0,IF(INT((34-((核心参数输入!$B$18-1)*4+(核心参数输入!$B$148+核心参数输入!$B$124)+1))/4)=0,0,IF(INT((34-((核心参数输入!$B$18-1)*4+(核心参数输入!$B$148+核心参数输入!$B$124)+1))/4)=1,核心参数输入!$B$38,IF(INT((34-((核心参数输入!$B$18-1)*4+(核心参数输入!$B$148+核心参数输入!$B$124)+1))/4)=2,核心参数输入!$B$39,IF(INT((34-((核心参数输入!$B$18-1)*4+(核心参数输入!$B$148+核心参数输入!$B$124)+1))/4)=3,核心参数输入!$B$40,核心参数输入!$B$41))))-核心参数输入!$B$80/100)+(MAX(0,AL124-核心参数输入!$B$80/100)-MAX(0,IF(INT((34-((核心参数输入!$B$18-1)*4+(核心参数输入!$B$148+核心参数输入!$B$124)+1))/4)=0,0,IF(INT((34-((核心参数输入!$B$18-1)*4+(核心参数输入!$B$148+核心参数输入!$B$124)+1))/4)=1,核心参数输入!$B$38,IF(INT((34-((核心参数输入!$B$18-1)*4+(核心参数输入!$B$148+核心参数输入!$B$124)+1))/4)=2,核心参数输入!$B$39,IF(INT((34-((核心参数输入!$B$18-1)*4+(核心参数输入!$B$148+核心参数输入!$B$124)+1))/4)=3,核心参数输入!$B$40,核心参数输入!$B$41))))-核心参数输入!$B$80/100))*(MOD(34-((核心参数输入!$B$18-1)*4+(核心参数输入!$B$148+核心参数输入!$B$124)+1),4)+1)/4),0)</f>
        <v>0.8</v>
      </c>
      <c r="AM125" s="22">
        <f>IF(35&lt;=核心参数输入!$B$9*4,IF(35&lt;((核心参数输入!$B$18-1)*4+(核心参数输入!$B$148+核心参数输入!$B$124)+1),0,MAX(0,IF(INT((35-((核心参数输入!$B$18-1)*4+(核心参数输入!$B$148+核心参数输入!$B$124)+1))/4)=0,0,IF(INT((35-((核心参数输入!$B$18-1)*4+(核心参数输入!$B$148+核心参数输入!$B$124)+1))/4)=1,核心参数输入!$B$38,IF(INT((35-((核心参数输入!$B$18-1)*4+(核心参数输入!$B$148+核心参数输入!$B$124)+1))/4)=2,核心参数输入!$B$39,IF(INT((35-((核心参数输入!$B$18-1)*4+(核心参数输入!$B$148+核心参数输入!$B$124)+1))/4)=3,核心参数输入!$B$40,核心参数输入!$B$41))))-核心参数输入!$B$80/100)+(MAX(0,AM124-核心参数输入!$B$80/100)-MAX(0,IF(INT((35-((核心参数输入!$B$18-1)*4+(核心参数输入!$B$148+核心参数输入!$B$124)+1))/4)=0,0,IF(INT((35-((核心参数输入!$B$18-1)*4+(核心参数输入!$B$148+核心参数输入!$B$124)+1))/4)=1,核心参数输入!$B$38,IF(INT((35-((核心参数输入!$B$18-1)*4+(核心参数输入!$B$148+核心参数输入!$B$124)+1))/4)=2,核心参数输入!$B$39,IF(INT((35-((核心参数输入!$B$18-1)*4+(核心参数输入!$B$148+核心参数输入!$B$124)+1))/4)=3,核心参数输入!$B$40,核心参数输入!$B$41))))-核心参数输入!$B$80/100))*(MOD(35-((核心参数输入!$B$18-1)*4+(核心参数输入!$B$148+核心参数输入!$B$124)+1),4)+1)/4),0)</f>
        <v>0.8</v>
      </c>
      <c r="AN125" s="22">
        <f>IF(36&lt;=核心参数输入!$B$9*4,IF(36&lt;((核心参数输入!$B$18-1)*4+(核心参数输入!$B$148+核心参数输入!$B$124)+1),0,MAX(0,IF(INT((36-((核心参数输入!$B$18-1)*4+(核心参数输入!$B$148+核心参数输入!$B$124)+1))/4)=0,0,IF(INT((36-((核心参数输入!$B$18-1)*4+(核心参数输入!$B$148+核心参数输入!$B$124)+1))/4)=1,核心参数输入!$B$38,IF(INT((36-((核心参数输入!$B$18-1)*4+(核心参数输入!$B$148+核心参数输入!$B$124)+1))/4)=2,核心参数输入!$B$39,IF(INT((36-((核心参数输入!$B$18-1)*4+(核心参数输入!$B$148+核心参数输入!$B$124)+1))/4)=3,核心参数输入!$B$40,核心参数输入!$B$41))))-核心参数输入!$B$80/100)+(MAX(0,AN124-核心参数输入!$B$80/100)-MAX(0,IF(INT((36-((核心参数输入!$B$18-1)*4+(核心参数输入!$B$148+核心参数输入!$B$124)+1))/4)=0,0,IF(INT((36-((核心参数输入!$B$18-1)*4+(核心参数输入!$B$148+核心参数输入!$B$124)+1))/4)=1,核心参数输入!$B$38,IF(INT((36-((核心参数输入!$B$18-1)*4+(核心参数输入!$B$148+核心参数输入!$B$124)+1))/4)=2,核心参数输入!$B$39,IF(INT((36-((核心参数输入!$B$18-1)*4+(核心参数输入!$B$148+核心参数输入!$B$124)+1))/4)=3,核心参数输入!$B$40,核心参数输入!$B$41))))-核心参数输入!$B$80/100))*(MOD(36-((核心参数输入!$B$18-1)*4+(核心参数输入!$B$148+核心参数输入!$B$124)+1),4)+1)/4),0)</f>
        <v>0.8</v>
      </c>
      <c r="AO125" s="22">
        <f>IF(37&lt;=核心参数输入!$B$9*4,IF(37&lt;((核心参数输入!$B$18-1)*4+(核心参数输入!$B$148+核心参数输入!$B$124)+1),0,MAX(0,IF(INT((37-((核心参数输入!$B$18-1)*4+(核心参数输入!$B$148+核心参数输入!$B$124)+1))/4)=0,0,IF(INT((37-((核心参数输入!$B$18-1)*4+(核心参数输入!$B$148+核心参数输入!$B$124)+1))/4)=1,核心参数输入!$B$38,IF(INT((37-((核心参数输入!$B$18-1)*4+(核心参数输入!$B$148+核心参数输入!$B$124)+1))/4)=2,核心参数输入!$B$39,IF(INT((37-((核心参数输入!$B$18-1)*4+(核心参数输入!$B$148+核心参数输入!$B$124)+1))/4)=3,核心参数输入!$B$40,核心参数输入!$B$41))))-核心参数输入!$B$80/100)+(MAX(0,AO124-核心参数输入!$B$80/100)-MAX(0,IF(INT((37-((核心参数输入!$B$18-1)*4+(核心参数输入!$B$148+核心参数输入!$B$124)+1))/4)=0,0,IF(INT((37-((核心参数输入!$B$18-1)*4+(核心参数输入!$B$148+核心参数输入!$B$124)+1))/4)=1,核心参数输入!$B$38,IF(INT((37-((核心参数输入!$B$18-1)*4+(核心参数输入!$B$148+核心参数输入!$B$124)+1))/4)=2,核心参数输入!$B$39,IF(INT((37-((核心参数输入!$B$18-1)*4+(核心参数输入!$B$148+核心参数输入!$B$124)+1))/4)=3,核心参数输入!$B$40,核心参数输入!$B$41))))-核心参数输入!$B$80/100))*(MOD(37-((核心参数输入!$B$18-1)*4+(核心参数输入!$B$148+核心参数输入!$B$124)+1),4)+1)/4),0)</f>
        <v>0.8</v>
      </c>
      <c r="AP125" s="22">
        <f>IF(38&lt;=核心参数输入!$B$9*4,IF(38&lt;((核心参数输入!$B$18-1)*4+(核心参数输入!$B$148+核心参数输入!$B$124)+1),0,MAX(0,IF(INT((38-((核心参数输入!$B$18-1)*4+(核心参数输入!$B$148+核心参数输入!$B$124)+1))/4)=0,0,IF(INT((38-((核心参数输入!$B$18-1)*4+(核心参数输入!$B$148+核心参数输入!$B$124)+1))/4)=1,核心参数输入!$B$38,IF(INT((38-((核心参数输入!$B$18-1)*4+(核心参数输入!$B$148+核心参数输入!$B$124)+1))/4)=2,核心参数输入!$B$39,IF(INT((38-((核心参数输入!$B$18-1)*4+(核心参数输入!$B$148+核心参数输入!$B$124)+1))/4)=3,核心参数输入!$B$40,核心参数输入!$B$41))))-核心参数输入!$B$80/100)+(MAX(0,AP124-核心参数输入!$B$80/100)-MAX(0,IF(INT((38-((核心参数输入!$B$18-1)*4+(核心参数输入!$B$148+核心参数输入!$B$124)+1))/4)=0,0,IF(INT((38-((核心参数输入!$B$18-1)*4+(核心参数输入!$B$148+核心参数输入!$B$124)+1))/4)=1,核心参数输入!$B$38,IF(INT((38-((核心参数输入!$B$18-1)*4+(核心参数输入!$B$148+核心参数输入!$B$124)+1))/4)=2,核心参数输入!$B$39,IF(INT((38-((核心参数输入!$B$18-1)*4+(核心参数输入!$B$148+核心参数输入!$B$124)+1))/4)=3,核心参数输入!$B$40,核心参数输入!$B$41))))-核心参数输入!$B$80/100))*(MOD(38-((核心参数输入!$B$18-1)*4+(核心参数输入!$B$148+核心参数输入!$B$124)+1),4)+1)/4),0)</f>
        <v>0.8</v>
      </c>
      <c r="AQ125" s="22">
        <f>IF(39&lt;=核心参数输入!$B$9*4,IF(39&lt;((核心参数输入!$B$18-1)*4+(核心参数输入!$B$148+核心参数输入!$B$124)+1),0,MAX(0,IF(INT((39-((核心参数输入!$B$18-1)*4+(核心参数输入!$B$148+核心参数输入!$B$124)+1))/4)=0,0,IF(INT((39-((核心参数输入!$B$18-1)*4+(核心参数输入!$B$148+核心参数输入!$B$124)+1))/4)=1,核心参数输入!$B$38,IF(INT((39-((核心参数输入!$B$18-1)*4+(核心参数输入!$B$148+核心参数输入!$B$124)+1))/4)=2,核心参数输入!$B$39,IF(INT((39-((核心参数输入!$B$18-1)*4+(核心参数输入!$B$148+核心参数输入!$B$124)+1))/4)=3,核心参数输入!$B$40,核心参数输入!$B$41))))-核心参数输入!$B$80/100)+(MAX(0,AQ124-核心参数输入!$B$80/100)-MAX(0,IF(INT((39-((核心参数输入!$B$18-1)*4+(核心参数输入!$B$148+核心参数输入!$B$124)+1))/4)=0,0,IF(INT((39-((核心参数输入!$B$18-1)*4+(核心参数输入!$B$148+核心参数输入!$B$124)+1))/4)=1,核心参数输入!$B$38,IF(INT((39-((核心参数输入!$B$18-1)*4+(核心参数输入!$B$148+核心参数输入!$B$124)+1))/4)=2,核心参数输入!$B$39,IF(INT((39-((核心参数输入!$B$18-1)*4+(核心参数输入!$B$148+核心参数输入!$B$124)+1))/4)=3,核心参数输入!$B$40,核心参数输入!$B$41))))-核心参数输入!$B$80/100))*(MOD(39-((核心参数输入!$B$18-1)*4+(核心参数输入!$B$148+核心参数输入!$B$124)+1),4)+1)/4),0)</f>
        <v>0.8</v>
      </c>
      <c r="AR125" s="22">
        <f>IF(40&lt;=核心参数输入!$B$9*4,IF(40&lt;((核心参数输入!$B$18-1)*4+(核心参数输入!$B$148+核心参数输入!$B$124)+1),0,MAX(0,IF(INT((40-((核心参数输入!$B$18-1)*4+(核心参数输入!$B$148+核心参数输入!$B$124)+1))/4)=0,0,IF(INT((40-((核心参数输入!$B$18-1)*4+(核心参数输入!$B$148+核心参数输入!$B$124)+1))/4)=1,核心参数输入!$B$38,IF(INT((40-((核心参数输入!$B$18-1)*4+(核心参数输入!$B$148+核心参数输入!$B$124)+1))/4)=2,核心参数输入!$B$39,IF(INT((40-((核心参数输入!$B$18-1)*4+(核心参数输入!$B$148+核心参数输入!$B$124)+1))/4)=3,核心参数输入!$B$40,核心参数输入!$B$41))))-核心参数输入!$B$80/100)+(MAX(0,AR124-核心参数输入!$B$80/100)-MAX(0,IF(INT((40-((核心参数输入!$B$18-1)*4+(核心参数输入!$B$148+核心参数输入!$B$124)+1))/4)=0,0,IF(INT((40-((核心参数输入!$B$18-1)*4+(核心参数输入!$B$148+核心参数输入!$B$124)+1))/4)=1,核心参数输入!$B$38,IF(INT((40-((核心参数输入!$B$18-1)*4+(核心参数输入!$B$148+核心参数输入!$B$124)+1))/4)=2,核心参数输入!$B$39,IF(INT((40-((核心参数输入!$B$18-1)*4+(核心参数输入!$B$148+核心参数输入!$B$124)+1))/4)=3,核心参数输入!$B$40,核心参数输入!$B$41))))-核心参数输入!$B$80/100))*(MOD(40-((核心参数输入!$B$18-1)*4+(核心参数输入!$B$148+核心参数输入!$B$124)+1),4)+1)/4),0)</f>
        <v>0.8</v>
      </c>
      <c r="AS125" s="22">
        <f>IF(41&lt;=核心参数输入!$B$9*4,IF(41&lt;((核心参数输入!$B$18-1)*4+(核心参数输入!$B$148+核心参数输入!$B$124)+1),0,MAX(0,IF(INT((41-((核心参数输入!$B$18-1)*4+(核心参数输入!$B$148+核心参数输入!$B$124)+1))/4)=0,0,IF(INT((41-((核心参数输入!$B$18-1)*4+(核心参数输入!$B$148+核心参数输入!$B$124)+1))/4)=1,核心参数输入!$B$38,IF(INT((41-((核心参数输入!$B$18-1)*4+(核心参数输入!$B$148+核心参数输入!$B$124)+1))/4)=2,核心参数输入!$B$39,IF(INT((41-((核心参数输入!$B$18-1)*4+(核心参数输入!$B$148+核心参数输入!$B$124)+1))/4)=3,核心参数输入!$B$40,核心参数输入!$B$41))))-核心参数输入!$B$80/100)+(MAX(0,AS124-核心参数输入!$B$80/100)-MAX(0,IF(INT((41-((核心参数输入!$B$18-1)*4+(核心参数输入!$B$148+核心参数输入!$B$124)+1))/4)=0,0,IF(INT((41-((核心参数输入!$B$18-1)*4+(核心参数输入!$B$148+核心参数输入!$B$124)+1))/4)=1,核心参数输入!$B$38,IF(INT((41-((核心参数输入!$B$18-1)*4+(核心参数输入!$B$148+核心参数输入!$B$124)+1))/4)=2,核心参数输入!$B$39,IF(INT((41-((核心参数输入!$B$18-1)*4+(核心参数输入!$B$148+核心参数输入!$B$124)+1))/4)=3,核心参数输入!$B$40,核心参数输入!$B$41))))-核心参数输入!$B$80/100))*(MOD(41-((核心参数输入!$B$18-1)*4+(核心参数输入!$B$148+核心参数输入!$B$124)+1),4)+1)/4),0)</f>
        <v>0.8</v>
      </c>
      <c r="AT125" s="22">
        <f>IF(42&lt;=核心参数输入!$B$9*4,IF(42&lt;((核心参数输入!$B$18-1)*4+(核心参数输入!$B$148+核心参数输入!$B$124)+1),0,MAX(0,IF(INT((42-((核心参数输入!$B$18-1)*4+(核心参数输入!$B$148+核心参数输入!$B$124)+1))/4)=0,0,IF(INT((42-((核心参数输入!$B$18-1)*4+(核心参数输入!$B$148+核心参数输入!$B$124)+1))/4)=1,核心参数输入!$B$38,IF(INT((42-((核心参数输入!$B$18-1)*4+(核心参数输入!$B$148+核心参数输入!$B$124)+1))/4)=2,核心参数输入!$B$39,IF(INT((42-((核心参数输入!$B$18-1)*4+(核心参数输入!$B$148+核心参数输入!$B$124)+1))/4)=3,核心参数输入!$B$40,核心参数输入!$B$41))))-核心参数输入!$B$80/100)+(MAX(0,AT124-核心参数输入!$B$80/100)-MAX(0,IF(INT((42-((核心参数输入!$B$18-1)*4+(核心参数输入!$B$148+核心参数输入!$B$124)+1))/4)=0,0,IF(INT((42-((核心参数输入!$B$18-1)*4+(核心参数输入!$B$148+核心参数输入!$B$124)+1))/4)=1,核心参数输入!$B$38,IF(INT((42-((核心参数输入!$B$18-1)*4+(核心参数输入!$B$148+核心参数输入!$B$124)+1))/4)=2,核心参数输入!$B$39,IF(INT((42-((核心参数输入!$B$18-1)*4+(核心参数输入!$B$148+核心参数输入!$B$124)+1))/4)=3,核心参数输入!$B$40,核心参数输入!$B$41))))-核心参数输入!$B$80/100))*(MOD(42-((核心参数输入!$B$18-1)*4+(核心参数输入!$B$148+核心参数输入!$B$124)+1),4)+1)/4),0)</f>
        <v>0.8</v>
      </c>
      <c r="AU125" s="22">
        <f>IF(43&lt;=核心参数输入!$B$9*4,IF(43&lt;((核心参数输入!$B$18-1)*4+(核心参数输入!$B$148+核心参数输入!$B$124)+1),0,MAX(0,IF(INT((43-((核心参数输入!$B$18-1)*4+(核心参数输入!$B$148+核心参数输入!$B$124)+1))/4)=0,0,IF(INT((43-((核心参数输入!$B$18-1)*4+(核心参数输入!$B$148+核心参数输入!$B$124)+1))/4)=1,核心参数输入!$B$38,IF(INT((43-((核心参数输入!$B$18-1)*4+(核心参数输入!$B$148+核心参数输入!$B$124)+1))/4)=2,核心参数输入!$B$39,IF(INT((43-((核心参数输入!$B$18-1)*4+(核心参数输入!$B$148+核心参数输入!$B$124)+1))/4)=3,核心参数输入!$B$40,核心参数输入!$B$41))))-核心参数输入!$B$80/100)+(MAX(0,AU124-核心参数输入!$B$80/100)-MAX(0,IF(INT((43-((核心参数输入!$B$18-1)*4+(核心参数输入!$B$148+核心参数输入!$B$124)+1))/4)=0,0,IF(INT((43-((核心参数输入!$B$18-1)*4+(核心参数输入!$B$148+核心参数输入!$B$124)+1))/4)=1,核心参数输入!$B$38,IF(INT((43-((核心参数输入!$B$18-1)*4+(核心参数输入!$B$148+核心参数输入!$B$124)+1))/4)=2,核心参数输入!$B$39,IF(INT((43-((核心参数输入!$B$18-1)*4+(核心参数输入!$B$148+核心参数输入!$B$124)+1))/4)=3,核心参数输入!$B$40,核心参数输入!$B$41))))-核心参数输入!$B$80/100))*(MOD(43-((核心参数输入!$B$18-1)*4+(核心参数输入!$B$148+核心参数输入!$B$124)+1),4)+1)/4),0)</f>
        <v>0.8</v>
      </c>
      <c r="AV125" s="22">
        <f>IF(44&lt;=核心参数输入!$B$9*4,IF(44&lt;((核心参数输入!$B$18-1)*4+(核心参数输入!$B$148+核心参数输入!$B$124)+1),0,MAX(0,IF(INT((44-((核心参数输入!$B$18-1)*4+(核心参数输入!$B$148+核心参数输入!$B$124)+1))/4)=0,0,IF(INT((44-((核心参数输入!$B$18-1)*4+(核心参数输入!$B$148+核心参数输入!$B$124)+1))/4)=1,核心参数输入!$B$38,IF(INT((44-((核心参数输入!$B$18-1)*4+(核心参数输入!$B$148+核心参数输入!$B$124)+1))/4)=2,核心参数输入!$B$39,IF(INT((44-((核心参数输入!$B$18-1)*4+(核心参数输入!$B$148+核心参数输入!$B$124)+1))/4)=3,核心参数输入!$B$40,核心参数输入!$B$41))))-核心参数输入!$B$80/100)+(MAX(0,AV124-核心参数输入!$B$80/100)-MAX(0,IF(INT((44-((核心参数输入!$B$18-1)*4+(核心参数输入!$B$148+核心参数输入!$B$124)+1))/4)=0,0,IF(INT((44-((核心参数输入!$B$18-1)*4+(核心参数输入!$B$148+核心参数输入!$B$124)+1))/4)=1,核心参数输入!$B$38,IF(INT((44-((核心参数输入!$B$18-1)*4+(核心参数输入!$B$148+核心参数输入!$B$124)+1))/4)=2,核心参数输入!$B$39,IF(INT((44-((核心参数输入!$B$18-1)*4+(核心参数输入!$B$148+核心参数输入!$B$124)+1))/4)=3,核心参数输入!$B$40,核心参数输入!$B$41))))-核心参数输入!$B$80/100))*(MOD(44-((核心参数输入!$B$18-1)*4+(核心参数输入!$B$148+核心参数输入!$B$124)+1),4)+1)/4),0)</f>
        <v>0.8</v>
      </c>
      <c r="AW125" s="22">
        <f>IF(45&lt;=核心参数输入!$B$9*4,IF(45&lt;((核心参数输入!$B$18-1)*4+(核心参数输入!$B$148+核心参数输入!$B$124)+1),0,MAX(0,IF(INT((45-((核心参数输入!$B$18-1)*4+(核心参数输入!$B$148+核心参数输入!$B$124)+1))/4)=0,0,IF(INT((45-((核心参数输入!$B$18-1)*4+(核心参数输入!$B$148+核心参数输入!$B$124)+1))/4)=1,核心参数输入!$B$38,IF(INT((45-((核心参数输入!$B$18-1)*4+(核心参数输入!$B$148+核心参数输入!$B$124)+1))/4)=2,核心参数输入!$B$39,IF(INT((45-((核心参数输入!$B$18-1)*4+(核心参数输入!$B$148+核心参数输入!$B$124)+1))/4)=3,核心参数输入!$B$40,核心参数输入!$B$41))))-核心参数输入!$B$80/100)+(MAX(0,AW124-核心参数输入!$B$80/100)-MAX(0,IF(INT((45-((核心参数输入!$B$18-1)*4+(核心参数输入!$B$148+核心参数输入!$B$124)+1))/4)=0,0,IF(INT((45-((核心参数输入!$B$18-1)*4+(核心参数输入!$B$148+核心参数输入!$B$124)+1))/4)=1,核心参数输入!$B$38,IF(INT((45-((核心参数输入!$B$18-1)*4+(核心参数输入!$B$148+核心参数输入!$B$124)+1))/4)=2,核心参数输入!$B$39,IF(INT((45-((核心参数输入!$B$18-1)*4+(核心参数输入!$B$148+核心参数输入!$B$124)+1))/4)=3,核心参数输入!$B$40,核心参数输入!$B$41))))-核心参数输入!$B$80/100))*(MOD(45-((核心参数输入!$B$18-1)*4+(核心参数输入!$B$148+核心参数输入!$B$124)+1),4)+1)/4),0)</f>
        <v>0.8</v>
      </c>
      <c r="AX125" s="22">
        <f>IF(46&lt;=核心参数输入!$B$9*4,IF(46&lt;((核心参数输入!$B$18-1)*4+(核心参数输入!$B$148+核心参数输入!$B$124)+1),0,MAX(0,IF(INT((46-((核心参数输入!$B$18-1)*4+(核心参数输入!$B$148+核心参数输入!$B$124)+1))/4)=0,0,IF(INT((46-((核心参数输入!$B$18-1)*4+(核心参数输入!$B$148+核心参数输入!$B$124)+1))/4)=1,核心参数输入!$B$38,IF(INT((46-((核心参数输入!$B$18-1)*4+(核心参数输入!$B$148+核心参数输入!$B$124)+1))/4)=2,核心参数输入!$B$39,IF(INT((46-((核心参数输入!$B$18-1)*4+(核心参数输入!$B$148+核心参数输入!$B$124)+1))/4)=3,核心参数输入!$B$40,核心参数输入!$B$41))))-核心参数输入!$B$80/100)+(MAX(0,AX124-核心参数输入!$B$80/100)-MAX(0,IF(INT((46-((核心参数输入!$B$18-1)*4+(核心参数输入!$B$148+核心参数输入!$B$124)+1))/4)=0,0,IF(INT((46-((核心参数输入!$B$18-1)*4+(核心参数输入!$B$148+核心参数输入!$B$124)+1))/4)=1,核心参数输入!$B$38,IF(INT((46-((核心参数输入!$B$18-1)*4+(核心参数输入!$B$148+核心参数输入!$B$124)+1))/4)=2,核心参数输入!$B$39,IF(INT((46-((核心参数输入!$B$18-1)*4+(核心参数输入!$B$148+核心参数输入!$B$124)+1))/4)=3,核心参数输入!$B$40,核心参数输入!$B$41))))-核心参数输入!$B$80/100))*(MOD(46-((核心参数输入!$B$18-1)*4+(核心参数输入!$B$148+核心参数输入!$B$124)+1),4)+1)/4),0)</f>
        <v>0.8</v>
      </c>
      <c r="AY125" s="22">
        <f>IF(47&lt;=核心参数输入!$B$9*4,IF(47&lt;((核心参数输入!$B$18-1)*4+(核心参数输入!$B$148+核心参数输入!$B$124)+1),0,MAX(0,IF(INT((47-((核心参数输入!$B$18-1)*4+(核心参数输入!$B$148+核心参数输入!$B$124)+1))/4)=0,0,IF(INT((47-((核心参数输入!$B$18-1)*4+(核心参数输入!$B$148+核心参数输入!$B$124)+1))/4)=1,核心参数输入!$B$38,IF(INT((47-((核心参数输入!$B$18-1)*4+(核心参数输入!$B$148+核心参数输入!$B$124)+1))/4)=2,核心参数输入!$B$39,IF(INT((47-((核心参数输入!$B$18-1)*4+(核心参数输入!$B$148+核心参数输入!$B$124)+1))/4)=3,核心参数输入!$B$40,核心参数输入!$B$41))))-核心参数输入!$B$80/100)+(MAX(0,AY124-核心参数输入!$B$80/100)-MAX(0,IF(INT((47-((核心参数输入!$B$18-1)*4+(核心参数输入!$B$148+核心参数输入!$B$124)+1))/4)=0,0,IF(INT((47-((核心参数输入!$B$18-1)*4+(核心参数输入!$B$148+核心参数输入!$B$124)+1))/4)=1,核心参数输入!$B$38,IF(INT((47-((核心参数输入!$B$18-1)*4+(核心参数输入!$B$148+核心参数输入!$B$124)+1))/4)=2,核心参数输入!$B$39,IF(INT((47-((核心参数输入!$B$18-1)*4+(核心参数输入!$B$148+核心参数输入!$B$124)+1))/4)=3,核心参数输入!$B$40,核心参数输入!$B$41))))-核心参数输入!$B$80/100))*(MOD(47-((核心参数输入!$B$18-1)*4+(核心参数输入!$B$148+核心参数输入!$B$124)+1),4)+1)/4),0)</f>
        <v>0.8</v>
      </c>
      <c r="AZ125" s="22">
        <f>IF(48&lt;=核心参数输入!$B$9*4,IF(48&lt;((核心参数输入!$B$18-1)*4+(核心参数输入!$B$148+核心参数输入!$B$124)+1),0,MAX(0,IF(INT((48-((核心参数输入!$B$18-1)*4+(核心参数输入!$B$148+核心参数输入!$B$124)+1))/4)=0,0,IF(INT((48-((核心参数输入!$B$18-1)*4+(核心参数输入!$B$148+核心参数输入!$B$124)+1))/4)=1,核心参数输入!$B$38,IF(INT((48-((核心参数输入!$B$18-1)*4+(核心参数输入!$B$148+核心参数输入!$B$124)+1))/4)=2,核心参数输入!$B$39,IF(INT((48-((核心参数输入!$B$18-1)*4+(核心参数输入!$B$148+核心参数输入!$B$124)+1))/4)=3,核心参数输入!$B$40,核心参数输入!$B$41))))-核心参数输入!$B$80/100)+(MAX(0,AZ124-核心参数输入!$B$80/100)-MAX(0,IF(INT((48-((核心参数输入!$B$18-1)*4+(核心参数输入!$B$148+核心参数输入!$B$124)+1))/4)=0,0,IF(INT((48-((核心参数输入!$B$18-1)*4+(核心参数输入!$B$148+核心参数输入!$B$124)+1))/4)=1,核心参数输入!$B$38,IF(INT((48-((核心参数输入!$B$18-1)*4+(核心参数输入!$B$148+核心参数输入!$B$124)+1))/4)=2,核心参数输入!$B$39,IF(INT((48-((核心参数输入!$B$18-1)*4+(核心参数输入!$B$148+核心参数输入!$B$124)+1))/4)=3,核心参数输入!$B$40,核心参数输入!$B$41))))-核心参数输入!$B$80/100))*(MOD(48-((核心参数输入!$B$18-1)*4+(核心参数输入!$B$148+核心参数输入!$B$124)+1),4)+1)/4),0)</f>
        <v>0.8</v>
      </c>
      <c r="BA125" s="22">
        <f>IF(49&lt;=核心参数输入!$B$9*4,IF(49&lt;((核心参数输入!$B$18-1)*4+(核心参数输入!$B$148+核心参数输入!$B$124)+1),0,MAX(0,IF(INT((49-((核心参数输入!$B$18-1)*4+(核心参数输入!$B$148+核心参数输入!$B$124)+1))/4)=0,0,IF(INT((49-((核心参数输入!$B$18-1)*4+(核心参数输入!$B$148+核心参数输入!$B$124)+1))/4)=1,核心参数输入!$B$38,IF(INT((49-((核心参数输入!$B$18-1)*4+(核心参数输入!$B$148+核心参数输入!$B$124)+1))/4)=2,核心参数输入!$B$39,IF(INT((49-((核心参数输入!$B$18-1)*4+(核心参数输入!$B$148+核心参数输入!$B$124)+1))/4)=3,核心参数输入!$B$40,核心参数输入!$B$41))))-核心参数输入!$B$80/100)+(MAX(0,BA124-核心参数输入!$B$80/100)-MAX(0,IF(INT((49-((核心参数输入!$B$18-1)*4+(核心参数输入!$B$148+核心参数输入!$B$124)+1))/4)=0,0,IF(INT((49-((核心参数输入!$B$18-1)*4+(核心参数输入!$B$148+核心参数输入!$B$124)+1))/4)=1,核心参数输入!$B$38,IF(INT((49-((核心参数输入!$B$18-1)*4+(核心参数输入!$B$148+核心参数输入!$B$124)+1))/4)=2,核心参数输入!$B$39,IF(INT((49-((核心参数输入!$B$18-1)*4+(核心参数输入!$B$148+核心参数输入!$B$124)+1))/4)=3,核心参数输入!$B$40,核心参数输入!$B$41))))-核心参数输入!$B$80/100))*(MOD(49-((核心参数输入!$B$18-1)*4+(核心参数输入!$B$148+核心参数输入!$B$124)+1),4)+1)/4),0)</f>
        <v>0.8</v>
      </c>
      <c r="BB125" s="22">
        <f>IF(50&lt;=核心参数输入!$B$9*4,IF(50&lt;((核心参数输入!$B$18-1)*4+(核心参数输入!$B$148+核心参数输入!$B$124)+1),0,MAX(0,IF(INT((50-((核心参数输入!$B$18-1)*4+(核心参数输入!$B$148+核心参数输入!$B$124)+1))/4)=0,0,IF(INT((50-((核心参数输入!$B$18-1)*4+(核心参数输入!$B$148+核心参数输入!$B$124)+1))/4)=1,核心参数输入!$B$38,IF(INT((50-((核心参数输入!$B$18-1)*4+(核心参数输入!$B$148+核心参数输入!$B$124)+1))/4)=2,核心参数输入!$B$39,IF(INT((50-((核心参数输入!$B$18-1)*4+(核心参数输入!$B$148+核心参数输入!$B$124)+1))/4)=3,核心参数输入!$B$40,核心参数输入!$B$41))))-核心参数输入!$B$80/100)+(MAX(0,BB124-核心参数输入!$B$80/100)-MAX(0,IF(INT((50-((核心参数输入!$B$18-1)*4+(核心参数输入!$B$148+核心参数输入!$B$124)+1))/4)=0,0,IF(INT((50-((核心参数输入!$B$18-1)*4+(核心参数输入!$B$148+核心参数输入!$B$124)+1))/4)=1,核心参数输入!$B$38,IF(INT((50-((核心参数输入!$B$18-1)*4+(核心参数输入!$B$148+核心参数输入!$B$124)+1))/4)=2,核心参数输入!$B$39,IF(INT((50-((核心参数输入!$B$18-1)*4+(核心参数输入!$B$148+核心参数输入!$B$124)+1))/4)=3,核心参数输入!$B$40,核心参数输入!$B$41))))-核心参数输入!$B$80/100))*(MOD(50-((核心参数输入!$B$18-1)*4+(核心参数输入!$B$148+核心参数输入!$B$124)+1),4)+1)/4),0)</f>
        <v>0.8</v>
      </c>
      <c r="BC125" s="22">
        <f>IF(51&lt;=核心参数输入!$B$9*4,IF(51&lt;((核心参数输入!$B$18-1)*4+(核心参数输入!$B$148+核心参数输入!$B$124)+1),0,MAX(0,IF(INT((51-((核心参数输入!$B$18-1)*4+(核心参数输入!$B$148+核心参数输入!$B$124)+1))/4)=0,0,IF(INT((51-((核心参数输入!$B$18-1)*4+(核心参数输入!$B$148+核心参数输入!$B$124)+1))/4)=1,核心参数输入!$B$38,IF(INT((51-((核心参数输入!$B$18-1)*4+(核心参数输入!$B$148+核心参数输入!$B$124)+1))/4)=2,核心参数输入!$B$39,IF(INT((51-((核心参数输入!$B$18-1)*4+(核心参数输入!$B$148+核心参数输入!$B$124)+1))/4)=3,核心参数输入!$B$40,核心参数输入!$B$41))))-核心参数输入!$B$80/100)+(MAX(0,BC124-核心参数输入!$B$80/100)-MAX(0,IF(INT((51-((核心参数输入!$B$18-1)*4+(核心参数输入!$B$148+核心参数输入!$B$124)+1))/4)=0,0,IF(INT((51-((核心参数输入!$B$18-1)*4+(核心参数输入!$B$148+核心参数输入!$B$124)+1))/4)=1,核心参数输入!$B$38,IF(INT((51-((核心参数输入!$B$18-1)*4+(核心参数输入!$B$148+核心参数输入!$B$124)+1))/4)=2,核心参数输入!$B$39,IF(INT((51-((核心参数输入!$B$18-1)*4+(核心参数输入!$B$148+核心参数输入!$B$124)+1))/4)=3,核心参数输入!$B$40,核心参数输入!$B$41))))-核心参数输入!$B$80/100))*(MOD(51-((核心参数输入!$B$18-1)*4+(核心参数输入!$B$148+核心参数输入!$B$124)+1),4)+1)/4),0)</f>
        <v>0.8</v>
      </c>
      <c r="BD125" s="22">
        <f>IF(52&lt;=核心参数输入!$B$9*4,IF(52&lt;((核心参数输入!$B$18-1)*4+(核心参数输入!$B$148+核心参数输入!$B$124)+1),0,MAX(0,IF(INT((52-((核心参数输入!$B$18-1)*4+(核心参数输入!$B$148+核心参数输入!$B$124)+1))/4)=0,0,IF(INT((52-((核心参数输入!$B$18-1)*4+(核心参数输入!$B$148+核心参数输入!$B$124)+1))/4)=1,核心参数输入!$B$38,IF(INT((52-((核心参数输入!$B$18-1)*4+(核心参数输入!$B$148+核心参数输入!$B$124)+1))/4)=2,核心参数输入!$B$39,IF(INT((52-((核心参数输入!$B$18-1)*4+(核心参数输入!$B$148+核心参数输入!$B$124)+1))/4)=3,核心参数输入!$B$40,核心参数输入!$B$41))))-核心参数输入!$B$80/100)+(MAX(0,BD124-核心参数输入!$B$80/100)-MAX(0,IF(INT((52-((核心参数输入!$B$18-1)*4+(核心参数输入!$B$148+核心参数输入!$B$124)+1))/4)=0,0,IF(INT((52-((核心参数输入!$B$18-1)*4+(核心参数输入!$B$148+核心参数输入!$B$124)+1))/4)=1,核心参数输入!$B$38,IF(INT((52-((核心参数输入!$B$18-1)*4+(核心参数输入!$B$148+核心参数输入!$B$124)+1))/4)=2,核心参数输入!$B$39,IF(INT((52-((核心参数输入!$B$18-1)*4+(核心参数输入!$B$148+核心参数输入!$B$124)+1))/4)=3,核心参数输入!$B$40,核心参数输入!$B$41))))-核心参数输入!$B$80/100))*(MOD(52-((核心参数输入!$B$18-1)*4+(核心参数输入!$B$148+核心参数输入!$B$124)+1),4)+1)/4),0)</f>
        <v>0.8</v>
      </c>
      <c r="BE125" s="22">
        <f>IF(53&lt;=核心参数输入!$B$9*4,IF(53&lt;((核心参数输入!$B$18-1)*4+(核心参数输入!$B$148+核心参数输入!$B$124)+1),0,MAX(0,IF(INT((53-((核心参数输入!$B$18-1)*4+(核心参数输入!$B$148+核心参数输入!$B$124)+1))/4)=0,0,IF(INT((53-((核心参数输入!$B$18-1)*4+(核心参数输入!$B$148+核心参数输入!$B$124)+1))/4)=1,核心参数输入!$B$38,IF(INT((53-((核心参数输入!$B$18-1)*4+(核心参数输入!$B$148+核心参数输入!$B$124)+1))/4)=2,核心参数输入!$B$39,IF(INT((53-((核心参数输入!$B$18-1)*4+(核心参数输入!$B$148+核心参数输入!$B$124)+1))/4)=3,核心参数输入!$B$40,核心参数输入!$B$41))))-核心参数输入!$B$80/100)+(MAX(0,BE124-核心参数输入!$B$80/100)-MAX(0,IF(INT((53-((核心参数输入!$B$18-1)*4+(核心参数输入!$B$148+核心参数输入!$B$124)+1))/4)=0,0,IF(INT((53-((核心参数输入!$B$18-1)*4+(核心参数输入!$B$148+核心参数输入!$B$124)+1))/4)=1,核心参数输入!$B$38,IF(INT((53-((核心参数输入!$B$18-1)*4+(核心参数输入!$B$148+核心参数输入!$B$124)+1))/4)=2,核心参数输入!$B$39,IF(INT((53-((核心参数输入!$B$18-1)*4+(核心参数输入!$B$148+核心参数输入!$B$124)+1))/4)=3,核心参数输入!$B$40,核心参数输入!$B$41))))-核心参数输入!$B$80/100))*(MOD(53-((核心参数输入!$B$18-1)*4+(核心参数输入!$B$148+核心参数输入!$B$124)+1),4)+1)/4),0)</f>
        <v>0.8</v>
      </c>
      <c r="BF125" s="22">
        <f>IF(54&lt;=核心参数输入!$B$9*4,IF(54&lt;((核心参数输入!$B$18-1)*4+(核心参数输入!$B$148+核心参数输入!$B$124)+1),0,MAX(0,IF(INT((54-((核心参数输入!$B$18-1)*4+(核心参数输入!$B$148+核心参数输入!$B$124)+1))/4)=0,0,IF(INT((54-((核心参数输入!$B$18-1)*4+(核心参数输入!$B$148+核心参数输入!$B$124)+1))/4)=1,核心参数输入!$B$38,IF(INT((54-((核心参数输入!$B$18-1)*4+(核心参数输入!$B$148+核心参数输入!$B$124)+1))/4)=2,核心参数输入!$B$39,IF(INT((54-((核心参数输入!$B$18-1)*4+(核心参数输入!$B$148+核心参数输入!$B$124)+1))/4)=3,核心参数输入!$B$40,核心参数输入!$B$41))))-核心参数输入!$B$80/100)+(MAX(0,BF124-核心参数输入!$B$80/100)-MAX(0,IF(INT((54-((核心参数输入!$B$18-1)*4+(核心参数输入!$B$148+核心参数输入!$B$124)+1))/4)=0,0,IF(INT((54-((核心参数输入!$B$18-1)*4+(核心参数输入!$B$148+核心参数输入!$B$124)+1))/4)=1,核心参数输入!$B$38,IF(INT((54-((核心参数输入!$B$18-1)*4+(核心参数输入!$B$148+核心参数输入!$B$124)+1))/4)=2,核心参数输入!$B$39,IF(INT((54-((核心参数输入!$B$18-1)*4+(核心参数输入!$B$148+核心参数输入!$B$124)+1))/4)=3,核心参数输入!$B$40,核心参数输入!$B$41))))-核心参数输入!$B$80/100))*(MOD(54-((核心参数输入!$B$18-1)*4+(核心参数输入!$B$148+核心参数输入!$B$124)+1),4)+1)/4),0)</f>
        <v>0.8</v>
      </c>
      <c r="BG125" s="22">
        <f>IF(55&lt;=核心参数输入!$B$9*4,IF(55&lt;((核心参数输入!$B$18-1)*4+(核心参数输入!$B$148+核心参数输入!$B$124)+1),0,MAX(0,IF(INT((55-((核心参数输入!$B$18-1)*4+(核心参数输入!$B$148+核心参数输入!$B$124)+1))/4)=0,0,IF(INT((55-((核心参数输入!$B$18-1)*4+(核心参数输入!$B$148+核心参数输入!$B$124)+1))/4)=1,核心参数输入!$B$38,IF(INT((55-((核心参数输入!$B$18-1)*4+(核心参数输入!$B$148+核心参数输入!$B$124)+1))/4)=2,核心参数输入!$B$39,IF(INT((55-((核心参数输入!$B$18-1)*4+(核心参数输入!$B$148+核心参数输入!$B$124)+1))/4)=3,核心参数输入!$B$40,核心参数输入!$B$41))))-核心参数输入!$B$80/100)+(MAX(0,BG124-核心参数输入!$B$80/100)-MAX(0,IF(INT((55-((核心参数输入!$B$18-1)*4+(核心参数输入!$B$148+核心参数输入!$B$124)+1))/4)=0,0,IF(INT((55-((核心参数输入!$B$18-1)*4+(核心参数输入!$B$148+核心参数输入!$B$124)+1))/4)=1,核心参数输入!$B$38,IF(INT((55-((核心参数输入!$B$18-1)*4+(核心参数输入!$B$148+核心参数输入!$B$124)+1))/4)=2,核心参数输入!$B$39,IF(INT((55-((核心参数输入!$B$18-1)*4+(核心参数输入!$B$148+核心参数输入!$B$124)+1))/4)=3,核心参数输入!$B$40,核心参数输入!$B$41))))-核心参数输入!$B$80/100))*(MOD(55-((核心参数输入!$B$18-1)*4+(核心参数输入!$B$148+核心参数输入!$B$124)+1),4)+1)/4),0)</f>
        <v>0.8</v>
      </c>
      <c r="BH125" s="22">
        <f>IF(56&lt;=核心参数输入!$B$9*4,IF(56&lt;((核心参数输入!$B$18-1)*4+(核心参数输入!$B$148+核心参数输入!$B$124)+1),0,MAX(0,IF(INT((56-((核心参数输入!$B$18-1)*4+(核心参数输入!$B$148+核心参数输入!$B$124)+1))/4)=0,0,IF(INT((56-((核心参数输入!$B$18-1)*4+(核心参数输入!$B$148+核心参数输入!$B$124)+1))/4)=1,核心参数输入!$B$38,IF(INT((56-((核心参数输入!$B$18-1)*4+(核心参数输入!$B$148+核心参数输入!$B$124)+1))/4)=2,核心参数输入!$B$39,IF(INT((56-((核心参数输入!$B$18-1)*4+(核心参数输入!$B$148+核心参数输入!$B$124)+1))/4)=3,核心参数输入!$B$40,核心参数输入!$B$41))))-核心参数输入!$B$80/100)+(MAX(0,BH124-核心参数输入!$B$80/100)-MAX(0,IF(INT((56-((核心参数输入!$B$18-1)*4+(核心参数输入!$B$148+核心参数输入!$B$124)+1))/4)=0,0,IF(INT((56-((核心参数输入!$B$18-1)*4+(核心参数输入!$B$148+核心参数输入!$B$124)+1))/4)=1,核心参数输入!$B$38,IF(INT((56-((核心参数输入!$B$18-1)*4+(核心参数输入!$B$148+核心参数输入!$B$124)+1))/4)=2,核心参数输入!$B$39,IF(INT((56-((核心参数输入!$B$18-1)*4+(核心参数输入!$B$148+核心参数输入!$B$124)+1))/4)=3,核心参数输入!$B$40,核心参数输入!$B$41))))-核心参数输入!$B$80/100))*(MOD(56-((核心参数输入!$B$18-1)*4+(核心参数输入!$B$148+核心参数输入!$B$124)+1),4)+1)/4),0)</f>
        <v>0.8</v>
      </c>
      <c r="BI125" s="22">
        <f>IF(57&lt;=核心参数输入!$B$9*4,IF(57&lt;((核心参数输入!$B$18-1)*4+(核心参数输入!$B$148+核心参数输入!$B$124)+1),0,MAX(0,IF(INT((57-((核心参数输入!$B$18-1)*4+(核心参数输入!$B$148+核心参数输入!$B$124)+1))/4)=0,0,IF(INT((57-((核心参数输入!$B$18-1)*4+(核心参数输入!$B$148+核心参数输入!$B$124)+1))/4)=1,核心参数输入!$B$38,IF(INT((57-((核心参数输入!$B$18-1)*4+(核心参数输入!$B$148+核心参数输入!$B$124)+1))/4)=2,核心参数输入!$B$39,IF(INT((57-((核心参数输入!$B$18-1)*4+(核心参数输入!$B$148+核心参数输入!$B$124)+1))/4)=3,核心参数输入!$B$40,核心参数输入!$B$41))))-核心参数输入!$B$80/100)+(MAX(0,BI124-核心参数输入!$B$80/100)-MAX(0,IF(INT((57-((核心参数输入!$B$18-1)*4+(核心参数输入!$B$148+核心参数输入!$B$124)+1))/4)=0,0,IF(INT((57-((核心参数输入!$B$18-1)*4+(核心参数输入!$B$148+核心参数输入!$B$124)+1))/4)=1,核心参数输入!$B$38,IF(INT((57-((核心参数输入!$B$18-1)*4+(核心参数输入!$B$148+核心参数输入!$B$124)+1))/4)=2,核心参数输入!$B$39,IF(INT((57-((核心参数输入!$B$18-1)*4+(核心参数输入!$B$148+核心参数输入!$B$124)+1))/4)=3,核心参数输入!$B$40,核心参数输入!$B$41))))-核心参数输入!$B$80/100))*(MOD(57-((核心参数输入!$B$18-1)*4+(核心参数输入!$B$148+核心参数输入!$B$124)+1),4)+1)/4),0)</f>
        <v>0.8</v>
      </c>
      <c r="BJ125" s="22">
        <f>IF(58&lt;=核心参数输入!$B$9*4,IF(58&lt;((核心参数输入!$B$18-1)*4+(核心参数输入!$B$148+核心参数输入!$B$124)+1),0,MAX(0,IF(INT((58-((核心参数输入!$B$18-1)*4+(核心参数输入!$B$148+核心参数输入!$B$124)+1))/4)=0,0,IF(INT((58-((核心参数输入!$B$18-1)*4+(核心参数输入!$B$148+核心参数输入!$B$124)+1))/4)=1,核心参数输入!$B$38,IF(INT((58-((核心参数输入!$B$18-1)*4+(核心参数输入!$B$148+核心参数输入!$B$124)+1))/4)=2,核心参数输入!$B$39,IF(INT((58-((核心参数输入!$B$18-1)*4+(核心参数输入!$B$148+核心参数输入!$B$124)+1))/4)=3,核心参数输入!$B$40,核心参数输入!$B$41))))-核心参数输入!$B$80/100)+(MAX(0,BJ124-核心参数输入!$B$80/100)-MAX(0,IF(INT((58-((核心参数输入!$B$18-1)*4+(核心参数输入!$B$148+核心参数输入!$B$124)+1))/4)=0,0,IF(INT((58-((核心参数输入!$B$18-1)*4+(核心参数输入!$B$148+核心参数输入!$B$124)+1))/4)=1,核心参数输入!$B$38,IF(INT((58-((核心参数输入!$B$18-1)*4+(核心参数输入!$B$148+核心参数输入!$B$124)+1))/4)=2,核心参数输入!$B$39,IF(INT((58-((核心参数输入!$B$18-1)*4+(核心参数输入!$B$148+核心参数输入!$B$124)+1))/4)=3,核心参数输入!$B$40,核心参数输入!$B$41))))-核心参数输入!$B$80/100))*(MOD(58-((核心参数输入!$B$18-1)*4+(核心参数输入!$B$148+核心参数输入!$B$124)+1),4)+1)/4),0)</f>
        <v>0.8</v>
      </c>
      <c r="BK125" s="22">
        <f>IF(59&lt;=核心参数输入!$B$9*4,IF(59&lt;((核心参数输入!$B$18-1)*4+(核心参数输入!$B$148+核心参数输入!$B$124)+1),0,MAX(0,IF(INT((59-((核心参数输入!$B$18-1)*4+(核心参数输入!$B$148+核心参数输入!$B$124)+1))/4)=0,0,IF(INT((59-((核心参数输入!$B$18-1)*4+(核心参数输入!$B$148+核心参数输入!$B$124)+1))/4)=1,核心参数输入!$B$38,IF(INT((59-((核心参数输入!$B$18-1)*4+(核心参数输入!$B$148+核心参数输入!$B$124)+1))/4)=2,核心参数输入!$B$39,IF(INT((59-((核心参数输入!$B$18-1)*4+(核心参数输入!$B$148+核心参数输入!$B$124)+1))/4)=3,核心参数输入!$B$40,核心参数输入!$B$41))))-核心参数输入!$B$80/100)+(MAX(0,BK124-核心参数输入!$B$80/100)-MAX(0,IF(INT((59-((核心参数输入!$B$18-1)*4+(核心参数输入!$B$148+核心参数输入!$B$124)+1))/4)=0,0,IF(INT((59-((核心参数输入!$B$18-1)*4+(核心参数输入!$B$148+核心参数输入!$B$124)+1))/4)=1,核心参数输入!$B$38,IF(INT((59-((核心参数输入!$B$18-1)*4+(核心参数输入!$B$148+核心参数输入!$B$124)+1))/4)=2,核心参数输入!$B$39,IF(INT((59-((核心参数输入!$B$18-1)*4+(核心参数输入!$B$148+核心参数输入!$B$124)+1))/4)=3,核心参数输入!$B$40,核心参数输入!$B$41))))-核心参数输入!$B$80/100))*(MOD(59-((核心参数输入!$B$18-1)*4+(核心参数输入!$B$148+核心参数输入!$B$124)+1),4)+1)/4),0)</f>
        <v>0.8</v>
      </c>
      <c r="BL125" s="22">
        <f>IF(60&lt;=核心参数输入!$B$9*4,IF(60&lt;((核心参数输入!$B$18-1)*4+(核心参数输入!$B$148+核心参数输入!$B$124)+1),0,MAX(0,IF(INT((60-((核心参数输入!$B$18-1)*4+(核心参数输入!$B$148+核心参数输入!$B$124)+1))/4)=0,0,IF(INT((60-((核心参数输入!$B$18-1)*4+(核心参数输入!$B$148+核心参数输入!$B$124)+1))/4)=1,核心参数输入!$B$38,IF(INT((60-((核心参数输入!$B$18-1)*4+(核心参数输入!$B$148+核心参数输入!$B$124)+1))/4)=2,核心参数输入!$B$39,IF(INT((60-((核心参数输入!$B$18-1)*4+(核心参数输入!$B$148+核心参数输入!$B$124)+1))/4)=3,核心参数输入!$B$40,核心参数输入!$B$41))))-核心参数输入!$B$80/100)+(MAX(0,BL124-核心参数输入!$B$80/100)-MAX(0,IF(INT((60-((核心参数输入!$B$18-1)*4+(核心参数输入!$B$148+核心参数输入!$B$124)+1))/4)=0,0,IF(INT((60-((核心参数输入!$B$18-1)*4+(核心参数输入!$B$148+核心参数输入!$B$124)+1))/4)=1,核心参数输入!$B$38,IF(INT((60-((核心参数输入!$B$18-1)*4+(核心参数输入!$B$148+核心参数输入!$B$124)+1))/4)=2,核心参数输入!$B$39,IF(INT((60-((核心参数输入!$B$18-1)*4+(核心参数输入!$B$148+核心参数输入!$B$124)+1))/4)=3,核心参数输入!$B$40,核心参数输入!$B$41))))-核心参数输入!$B$80/100))*(MOD(60-((核心参数输入!$B$18-1)*4+(核心参数输入!$B$148+核心参数输入!$B$124)+1),4)+1)/4),0)</f>
        <v>0.8</v>
      </c>
      <c r="BM125" s="22">
        <f>IF(61&lt;=核心参数输入!$B$9*4,IF(61&lt;((核心参数输入!$B$18-1)*4+(核心参数输入!$B$148+核心参数输入!$B$124)+1),0,MAX(0,IF(INT((61-((核心参数输入!$B$18-1)*4+(核心参数输入!$B$148+核心参数输入!$B$124)+1))/4)=0,0,IF(INT((61-((核心参数输入!$B$18-1)*4+(核心参数输入!$B$148+核心参数输入!$B$124)+1))/4)=1,核心参数输入!$B$38,IF(INT((61-((核心参数输入!$B$18-1)*4+(核心参数输入!$B$148+核心参数输入!$B$124)+1))/4)=2,核心参数输入!$B$39,IF(INT((61-((核心参数输入!$B$18-1)*4+(核心参数输入!$B$148+核心参数输入!$B$124)+1))/4)=3,核心参数输入!$B$40,核心参数输入!$B$41))))-核心参数输入!$B$80/100)+(MAX(0,BM124-核心参数输入!$B$80/100)-MAX(0,IF(INT((61-((核心参数输入!$B$18-1)*4+(核心参数输入!$B$148+核心参数输入!$B$124)+1))/4)=0,0,IF(INT((61-((核心参数输入!$B$18-1)*4+(核心参数输入!$B$148+核心参数输入!$B$124)+1))/4)=1,核心参数输入!$B$38,IF(INT((61-((核心参数输入!$B$18-1)*4+(核心参数输入!$B$148+核心参数输入!$B$124)+1))/4)=2,核心参数输入!$B$39,IF(INT((61-((核心参数输入!$B$18-1)*4+(核心参数输入!$B$148+核心参数输入!$B$124)+1))/4)=3,核心参数输入!$B$40,核心参数输入!$B$41))))-核心参数输入!$B$80/100))*(MOD(61-((核心参数输入!$B$18-1)*4+(核心参数输入!$B$148+核心参数输入!$B$124)+1),4)+1)/4),0)</f>
        <v>0.8</v>
      </c>
      <c r="BN125" s="22">
        <f>IF(62&lt;=核心参数输入!$B$9*4,IF(62&lt;((核心参数输入!$B$18-1)*4+(核心参数输入!$B$148+核心参数输入!$B$124)+1),0,MAX(0,IF(INT((62-((核心参数输入!$B$18-1)*4+(核心参数输入!$B$148+核心参数输入!$B$124)+1))/4)=0,0,IF(INT((62-((核心参数输入!$B$18-1)*4+(核心参数输入!$B$148+核心参数输入!$B$124)+1))/4)=1,核心参数输入!$B$38,IF(INT((62-((核心参数输入!$B$18-1)*4+(核心参数输入!$B$148+核心参数输入!$B$124)+1))/4)=2,核心参数输入!$B$39,IF(INT((62-((核心参数输入!$B$18-1)*4+(核心参数输入!$B$148+核心参数输入!$B$124)+1))/4)=3,核心参数输入!$B$40,核心参数输入!$B$41))))-核心参数输入!$B$80/100)+(MAX(0,BN124-核心参数输入!$B$80/100)-MAX(0,IF(INT((62-((核心参数输入!$B$18-1)*4+(核心参数输入!$B$148+核心参数输入!$B$124)+1))/4)=0,0,IF(INT((62-((核心参数输入!$B$18-1)*4+(核心参数输入!$B$148+核心参数输入!$B$124)+1))/4)=1,核心参数输入!$B$38,IF(INT((62-((核心参数输入!$B$18-1)*4+(核心参数输入!$B$148+核心参数输入!$B$124)+1))/4)=2,核心参数输入!$B$39,IF(INT((62-((核心参数输入!$B$18-1)*4+(核心参数输入!$B$148+核心参数输入!$B$124)+1))/4)=3,核心参数输入!$B$40,核心参数输入!$B$41))))-核心参数输入!$B$80/100))*(MOD(62-((核心参数输入!$B$18-1)*4+(核心参数输入!$B$148+核心参数输入!$B$124)+1),4)+1)/4),0)</f>
        <v>0.8</v>
      </c>
      <c r="BO125" s="22">
        <f>IF(63&lt;=核心参数输入!$B$9*4,IF(63&lt;((核心参数输入!$B$18-1)*4+(核心参数输入!$B$148+核心参数输入!$B$124)+1),0,MAX(0,IF(INT((63-((核心参数输入!$B$18-1)*4+(核心参数输入!$B$148+核心参数输入!$B$124)+1))/4)=0,0,IF(INT((63-((核心参数输入!$B$18-1)*4+(核心参数输入!$B$148+核心参数输入!$B$124)+1))/4)=1,核心参数输入!$B$38,IF(INT((63-((核心参数输入!$B$18-1)*4+(核心参数输入!$B$148+核心参数输入!$B$124)+1))/4)=2,核心参数输入!$B$39,IF(INT((63-((核心参数输入!$B$18-1)*4+(核心参数输入!$B$148+核心参数输入!$B$124)+1))/4)=3,核心参数输入!$B$40,核心参数输入!$B$41))))-核心参数输入!$B$80/100)+(MAX(0,BO124-核心参数输入!$B$80/100)-MAX(0,IF(INT((63-((核心参数输入!$B$18-1)*4+(核心参数输入!$B$148+核心参数输入!$B$124)+1))/4)=0,0,IF(INT((63-((核心参数输入!$B$18-1)*4+(核心参数输入!$B$148+核心参数输入!$B$124)+1))/4)=1,核心参数输入!$B$38,IF(INT((63-((核心参数输入!$B$18-1)*4+(核心参数输入!$B$148+核心参数输入!$B$124)+1))/4)=2,核心参数输入!$B$39,IF(INT((63-((核心参数输入!$B$18-1)*4+(核心参数输入!$B$148+核心参数输入!$B$124)+1))/4)=3,核心参数输入!$B$40,核心参数输入!$B$41))))-核心参数输入!$B$80/100))*(MOD(63-((核心参数输入!$B$18-1)*4+(核心参数输入!$B$148+核心参数输入!$B$124)+1),4)+1)/4),0)</f>
        <v>0.8</v>
      </c>
      <c r="BP125" s="22">
        <f>IF(64&lt;=核心参数输入!$B$9*4,IF(64&lt;((核心参数输入!$B$18-1)*4+(核心参数输入!$B$148+核心参数输入!$B$124)+1),0,MAX(0,IF(INT((64-((核心参数输入!$B$18-1)*4+(核心参数输入!$B$148+核心参数输入!$B$124)+1))/4)=0,0,IF(INT((64-((核心参数输入!$B$18-1)*4+(核心参数输入!$B$148+核心参数输入!$B$124)+1))/4)=1,核心参数输入!$B$38,IF(INT((64-((核心参数输入!$B$18-1)*4+(核心参数输入!$B$148+核心参数输入!$B$124)+1))/4)=2,核心参数输入!$B$39,IF(INT((64-((核心参数输入!$B$18-1)*4+(核心参数输入!$B$148+核心参数输入!$B$124)+1))/4)=3,核心参数输入!$B$40,核心参数输入!$B$41))))-核心参数输入!$B$80/100)+(MAX(0,BP124-核心参数输入!$B$80/100)-MAX(0,IF(INT((64-((核心参数输入!$B$18-1)*4+(核心参数输入!$B$148+核心参数输入!$B$124)+1))/4)=0,0,IF(INT((64-((核心参数输入!$B$18-1)*4+(核心参数输入!$B$148+核心参数输入!$B$124)+1))/4)=1,核心参数输入!$B$38,IF(INT((64-((核心参数输入!$B$18-1)*4+(核心参数输入!$B$148+核心参数输入!$B$124)+1))/4)=2,核心参数输入!$B$39,IF(INT((64-((核心参数输入!$B$18-1)*4+(核心参数输入!$B$148+核心参数输入!$B$124)+1))/4)=3,核心参数输入!$B$40,核心参数输入!$B$41))))-核心参数输入!$B$80/100))*(MOD(64-((核心参数输入!$B$18-1)*4+(核心参数输入!$B$148+核心参数输入!$B$124)+1),4)+1)/4),0)</f>
        <v>0.8</v>
      </c>
      <c r="BQ125" s="22">
        <f>IF(65&lt;=核心参数输入!$B$9*4,IF(65&lt;((核心参数输入!$B$18-1)*4+(核心参数输入!$B$148+核心参数输入!$B$124)+1),0,MAX(0,IF(INT((65-((核心参数输入!$B$18-1)*4+(核心参数输入!$B$148+核心参数输入!$B$124)+1))/4)=0,0,IF(INT((65-((核心参数输入!$B$18-1)*4+(核心参数输入!$B$148+核心参数输入!$B$124)+1))/4)=1,核心参数输入!$B$38,IF(INT((65-((核心参数输入!$B$18-1)*4+(核心参数输入!$B$148+核心参数输入!$B$124)+1))/4)=2,核心参数输入!$B$39,IF(INT((65-((核心参数输入!$B$18-1)*4+(核心参数输入!$B$148+核心参数输入!$B$124)+1))/4)=3,核心参数输入!$B$40,核心参数输入!$B$41))))-核心参数输入!$B$80/100)+(MAX(0,BQ124-核心参数输入!$B$80/100)-MAX(0,IF(INT((65-((核心参数输入!$B$18-1)*4+(核心参数输入!$B$148+核心参数输入!$B$124)+1))/4)=0,0,IF(INT((65-((核心参数输入!$B$18-1)*4+(核心参数输入!$B$148+核心参数输入!$B$124)+1))/4)=1,核心参数输入!$B$38,IF(INT((65-((核心参数输入!$B$18-1)*4+(核心参数输入!$B$148+核心参数输入!$B$124)+1))/4)=2,核心参数输入!$B$39,IF(INT((65-((核心参数输入!$B$18-1)*4+(核心参数输入!$B$148+核心参数输入!$B$124)+1))/4)=3,核心参数输入!$B$40,核心参数输入!$B$41))))-核心参数输入!$B$80/100))*(MOD(65-((核心参数输入!$B$18-1)*4+(核心参数输入!$B$148+核心参数输入!$B$124)+1),4)+1)/4),0)</f>
        <v>0.8</v>
      </c>
      <c r="BR125" s="22">
        <f>IF(66&lt;=核心参数输入!$B$9*4,IF(66&lt;((核心参数输入!$B$18-1)*4+(核心参数输入!$B$148+核心参数输入!$B$124)+1),0,MAX(0,IF(INT((66-((核心参数输入!$B$18-1)*4+(核心参数输入!$B$148+核心参数输入!$B$124)+1))/4)=0,0,IF(INT((66-((核心参数输入!$B$18-1)*4+(核心参数输入!$B$148+核心参数输入!$B$124)+1))/4)=1,核心参数输入!$B$38,IF(INT((66-((核心参数输入!$B$18-1)*4+(核心参数输入!$B$148+核心参数输入!$B$124)+1))/4)=2,核心参数输入!$B$39,IF(INT((66-((核心参数输入!$B$18-1)*4+(核心参数输入!$B$148+核心参数输入!$B$124)+1))/4)=3,核心参数输入!$B$40,核心参数输入!$B$41))))-核心参数输入!$B$80/100)+(MAX(0,BR124-核心参数输入!$B$80/100)-MAX(0,IF(INT((66-((核心参数输入!$B$18-1)*4+(核心参数输入!$B$148+核心参数输入!$B$124)+1))/4)=0,0,IF(INT((66-((核心参数输入!$B$18-1)*4+(核心参数输入!$B$148+核心参数输入!$B$124)+1))/4)=1,核心参数输入!$B$38,IF(INT((66-((核心参数输入!$B$18-1)*4+(核心参数输入!$B$148+核心参数输入!$B$124)+1))/4)=2,核心参数输入!$B$39,IF(INT((66-((核心参数输入!$B$18-1)*4+(核心参数输入!$B$148+核心参数输入!$B$124)+1))/4)=3,核心参数输入!$B$40,核心参数输入!$B$41))))-核心参数输入!$B$80/100))*(MOD(66-((核心参数输入!$B$18-1)*4+(核心参数输入!$B$148+核心参数输入!$B$124)+1),4)+1)/4),0)</f>
        <v>0.8</v>
      </c>
      <c r="BS125" s="22">
        <f>IF(67&lt;=核心参数输入!$B$9*4,IF(67&lt;((核心参数输入!$B$18-1)*4+(核心参数输入!$B$148+核心参数输入!$B$124)+1),0,MAX(0,IF(INT((67-((核心参数输入!$B$18-1)*4+(核心参数输入!$B$148+核心参数输入!$B$124)+1))/4)=0,0,IF(INT((67-((核心参数输入!$B$18-1)*4+(核心参数输入!$B$148+核心参数输入!$B$124)+1))/4)=1,核心参数输入!$B$38,IF(INT((67-((核心参数输入!$B$18-1)*4+(核心参数输入!$B$148+核心参数输入!$B$124)+1))/4)=2,核心参数输入!$B$39,IF(INT((67-((核心参数输入!$B$18-1)*4+(核心参数输入!$B$148+核心参数输入!$B$124)+1))/4)=3,核心参数输入!$B$40,核心参数输入!$B$41))))-核心参数输入!$B$80/100)+(MAX(0,BS124-核心参数输入!$B$80/100)-MAX(0,IF(INT((67-((核心参数输入!$B$18-1)*4+(核心参数输入!$B$148+核心参数输入!$B$124)+1))/4)=0,0,IF(INT((67-((核心参数输入!$B$18-1)*4+(核心参数输入!$B$148+核心参数输入!$B$124)+1))/4)=1,核心参数输入!$B$38,IF(INT((67-((核心参数输入!$B$18-1)*4+(核心参数输入!$B$148+核心参数输入!$B$124)+1))/4)=2,核心参数输入!$B$39,IF(INT((67-((核心参数输入!$B$18-1)*4+(核心参数输入!$B$148+核心参数输入!$B$124)+1))/4)=3,核心参数输入!$B$40,核心参数输入!$B$41))))-核心参数输入!$B$80/100))*(MOD(67-((核心参数输入!$B$18-1)*4+(核心参数输入!$B$148+核心参数输入!$B$124)+1),4)+1)/4),0)</f>
        <v>0.8</v>
      </c>
      <c r="BT125" s="22">
        <f>IF(68&lt;=核心参数输入!$B$9*4,IF(68&lt;((核心参数输入!$B$18-1)*4+(核心参数输入!$B$148+核心参数输入!$B$124)+1),0,MAX(0,IF(INT((68-((核心参数输入!$B$18-1)*4+(核心参数输入!$B$148+核心参数输入!$B$124)+1))/4)=0,0,IF(INT((68-((核心参数输入!$B$18-1)*4+(核心参数输入!$B$148+核心参数输入!$B$124)+1))/4)=1,核心参数输入!$B$38,IF(INT((68-((核心参数输入!$B$18-1)*4+(核心参数输入!$B$148+核心参数输入!$B$124)+1))/4)=2,核心参数输入!$B$39,IF(INT((68-((核心参数输入!$B$18-1)*4+(核心参数输入!$B$148+核心参数输入!$B$124)+1))/4)=3,核心参数输入!$B$40,核心参数输入!$B$41))))-核心参数输入!$B$80/100)+(MAX(0,BT124-核心参数输入!$B$80/100)-MAX(0,IF(INT((68-((核心参数输入!$B$18-1)*4+(核心参数输入!$B$148+核心参数输入!$B$124)+1))/4)=0,0,IF(INT((68-((核心参数输入!$B$18-1)*4+(核心参数输入!$B$148+核心参数输入!$B$124)+1))/4)=1,核心参数输入!$B$38,IF(INT((68-((核心参数输入!$B$18-1)*4+(核心参数输入!$B$148+核心参数输入!$B$124)+1))/4)=2,核心参数输入!$B$39,IF(INT((68-((核心参数输入!$B$18-1)*4+(核心参数输入!$B$148+核心参数输入!$B$124)+1))/4)=3,核心参数输入!$B$40,核心参数输入!$B$41))))-核心参数输入!$B$80/100))*(MOD(68-((核心参数输入!$B$18-1)*4+(核心参数输入!$B$148+核心参数输入!$B$124)+1),4)+1)/4),0)</f>
        <v>0.8</v>
      </c>
      <c r="BU125" s="22">
        <f>IF(69&lt;=核心参数输入!$B$9*4,IF(69&lt;((核心参数输入!$B$18-1)*4+(核心参数输入!$B$148+核心参数输入!$B$124)+1),0,MAX(0,IF(INT((69-((核心参数输入!$B$18-1)*4+(核心参数输入!$B$148+核心参数输入!$B$124)+1))/4)=0,0,IF(INT((69-((核心参数输入!$B$18-1)*4+(核心参数输入!$B$148+核心参数输入!$B$124)+1))/4)=1,核心参数输入!$B$38,IF(INT((69-((核心参数输入!$B$18-1)*4+(核心参数输入!$B$148+核心参数输入!$B$124)+1))/4)=2,核心参数输入!$B$39,IF(INT((69-((核心参数输入!$B$18-1)*4+(核心参数输入!$B$148+核心参数输入!$B$124)+1))/4)=3,核心参数输入!$B$40,核心参数输入!$B$41))))-核心参数输入!$B$80/100)+(MAX(0,BU124-核心参数输入!$B$80/100)-MAX(0,IF(INT((69-((核心参数输入!$B$18-1)*4+(核心参数输入!$B$148+核心参数输入!$B$124)+1))/4)=0,0,IF(INT((69-((核心参数输入!$B$18-1)*4+(核心参数输入!$B$148+核心参数输入!$B$124)+1))/4)=1,核心参数输入!$B$38,IF(INT((69-((核心参数输入!$B$18-1)*4+(核心参数输入!$B$148+核心参数输入!$B$124)+1))/4)=2,核心参数输入!$B$39,IF(INT((69-((核心参数输入!$B$18-1)*4+(核心参数输入!$B$148+核心参数输入!$B$124)+1))/4)=3,核心参数输入!$B$40,核心参数输入!$B$41))))-核心参数输入!$B$80/100))*(MOD(69-((核心参数输入!$B$18-1)*4+(核心参数输入!$B$148+核心参数输入!$B$124)+1),4)+1)/4),0)</f>
        <v>0.8</v>
      </c>
      <c r="BV125" s="22">
        <f>IF(70&lt;=核心参数输入!$B$9*4,IF(70&lt;((核心参数输入!$B$18-1)*4+(核心参数输入!$B$148+核心参数输入!$B$124)+1),0,MAX(0,IF(INT((70-((核心参数输入!$B$18-1)*4+(核心参数输入!$B$148+核心参数输入!$B$124)+1))/4)=0,0,IF(INT((70-((核心参数输入!$B$18-1)*4+(核心参数输入!$B$148+核心参数输入!$B$124)+1))/4)=1,核心参数输入!$B$38,IF(INT((70-((核心参数输入!$B$18-1)*4+(核心参数输入!$B$148+核心参数输入!$B$124)+1))/4)=2,核心参数输入!$B$39,IF(INT((70-((核心参数输入!$B$18-1)*4+(核心参数输入!$B$148+核心参数输入!$B$124)+1))/4)=3,核心参数输入!$B$40,核心参数输入!$B$41))))-核心参数输入!$B$80/100)+(MAX(0,BV124-核心参数输入!$B$80/100)-MAX(0,IF(INT((70-((核心参数输入!$B$18-1)*4+(核心参数输入!$B$148+核心参数输入!$B$124)+1))/4)=0,0,IF(INT((70-((核心参数输入!$B$18-1)*4+(核心参数输入!$B$148+核心参数输入!$B$124)+1))/4)=1,核心参数输入!$B$38,IF(INT((70-((核心参数输入!$B$18-1)*4+(核心参数输入!$B$148+核心参数输入!$B$124)+1))/4)=2,核心参数输入!$B$39,IF(INT((70-((核心参数输入!$B$18-1)*4+(核心参数输入!$B$148+核心参数输入!$B$124)+1))/4)=3,核心参数输入!$B$40,核心参数输入!$B$41))))-核心参数输入!$B$80/100))*(MOD(70-((核心参数输入!$B$18-1)*4+(核心参数输入!$B$148+核心参数输入!$B$124)+1),4)+1)/4),0)</f>
        <v>0.8</v>
      </c>
      <c r="BW125" s="22">
        <f>IF(71&lt;=核心参数输入!$B$9*4,IF(71&lt;((核心参数输入!$B$18-1)*4+(核心参数输入!$B$148+核心参数输入!$B$124)+1),0,MAX(0,IF(INT((71-((核心参数输入!$B$18-1)*4+(核心参数输入!$B$148+核心参数输入!$B$124)+1))/4)=0,0,IF(INT((71-((核心参数输入!$B$18-1)*4+(核心参数输入!$B$148+核心参数输入!$B$124)+1))/4)=1,核心参数输入!$B$38,IF(INT((71-((核心参数输入!$B$18-1)*4+(核心参数输入!$B$148+核心参数输入!$B$124)+1))/4)=2,核心参数输入!$B$39,IF(INT((71-((核心参数输入!$B$18-1)*4+(核心参数输入!$B$148+核心参数输入!$B$124)+1))/4)=3,核心参数输入!$B$40,核心参数输入!$B$41))))-核心参数输入!$B$80/100)+(MAX(0,BW124-核心参数输入!$B$80/100)-MAX(0,IF(INT((71-((核心参数输入!$B$18-1)*4+(核心参数输入!$B$148+核心参数输入!$B$124)+1))/4)=0,0,IF(INT((71-((核心参数输入!$B$18-1)*4+(核心参数输入!$B$148+核心参数输入!$B$124)+1))/4)=1,核心参数输入!$B$38,IF(INT((71-((核心参数输入!$B$18-1)*4+(核心参数输入!$B$148+核心参数输入!$B$124)+1))/4)=2,核心参数输入!$B$39,IF(INT((71-((核心参数输入!$B$18-1)*4+(核心参数输入!$B$148+核心参数输入!$B$124)+1))/4)=3,核心参数输入!$B$40,核心参数输入!$B$41))))-核心参数输入!$B$80/100))*(MOD(71-((核心参数输入!$B$18-1)*4+(核心参数输入!$B$148+核心参数输入!$B$124)+1),4)+1)/4),0)</f>
        <v>0.8</v>
      </c>
      <c r="BX125" s="22">
        <f>IF(72&lt;=核心参数输入!$B$9*4,IF(72&lt;((核心参数输入!$B$18-1)*4+(核心参数输入!$B$148+核心参数输入!$B$124)+1),0,MAX(0,IF(INT((72-((核心参数输入!$B$18-1)*4+(核心参数输入!$B$148+核心参数输入!$B$124)+1))/4)=0,0,IF(INT((72-((核心参数输入!$B$18-1)*4+(核心参数输入!$B$148+核心参数输入!$B$124)+1))/4)=1,核心参数输入!$B$38,IF(INT((72-((核心参数输入!$B$18-1)*4+(核心参数输入!$B$148+核心参数输入!$B$124)+1))/4)=2,核心参数输入!$B$39,IF(INT((72-((核心参数输入!$B$18-1)*4+(核心参数输入!$B$148+核心参数输入!$B$124)+1))/4)=3,核心参数输入!$B$40,核心参数输入!$B$41))))-核心参数输入!$B$80/100)+(MAX(0,BX124-核心参数输入!$B$80/100)-MAX(0,IF(INT((72-((核心参数输入!$B$18-1)*4+(核心参数输入!$B$148+核心参数输入!$B$124)+1))/4)=0,0,IF(INT((72-((核心参数输入!$B$18-1)*4+(核心参数输入!$B$148+核心参数输入!$B$124)+1))/4)=1,核心参数输入!$B$38,IF(INT((72-((核心参数输入!$B$18-1)*4+(核心参数输入!$B$148+核心参数输入!$B$124)+1))/4)=2,核心参数输入!$B$39,IF(INT((72-((核心参数输入!$B$18-1)*4+(核心参数输入!$B$148+核心参数输入!$B$124)+1))/4)=3,核心参数输入!$B$40,核心参数输入!$B$41))))-核心参数输入!$B$80/100))*(MOD(72-((核心参数输入!$B$18-1)*4+(核心参数输入!$B$148+核心参数输入!$B$124)+1),4)+1)/4),0)</f>
        <v>0.8</v>
      </c>
      <c r="BY125" s="22">
        <f>IF(73&lt;=核心参数输入!$B$9*4,IF(73&lt;((核心参数输入!$B$18-1)*4+(核心参数输入!$B$148+核心参数输入!$B$124)+1),0,MAX(0,IF(INT((73-((核心参数输入!$B$18-1)*4+(核心参数输入!$B$148+核心参数输入!$B$124)+1))/4)=0,0,IF(INT((73-((核心参数输入!$B$18-1)*4+(核心参数输入!$B$148+核心参数输入!$B$124)+1))/4)=1,核心参数输入!$B$38,IF(INT((73-((核心参数输入!$B$18-1)*4+(核心参数输入!$B$148+核心参数输入!$B$124)+1))/4)=2,核心参数输入!$B$39,IF(INT((73-((核心参数输入!$B$18-1)*4+(核心参数输入!$B$148+核心参数输入!$B$124)+1))/4)=3,核心参数输入!$B$40,核心参数输入!$B$41))))-核心参数输入!$B$80/100)+(MAX(0,BY124-核心参数输入!$B$80/100)-MAX(0,IF(INT((73-((核心参数输入!$B$18-1)*4+(核心参数输入!$B$148+核心参数输入!$B$124)+1))/4)=0,0,IF(INT((73-((核心参数输入!$B$18-1)*4+(核心参数输入!$B$148+核心参数输入!$B$124)+1))/4)=1,核心参数输入!$B$38,IF(INT((73-((核心参数输入!$B$18-1)*4+(核心参数输入!$B$148+核心参数输入!$B$124)+1))/4)=2,核心参数输入!$B$39,IF(INT((73-((核心参数输入!$B$18-1)*4+(核心参数输入!$B$148+核心参数输入!$B$124)+1))/4)=3,核心参数输入!$B$40,核心参数输入!$B$41))))-核心参数输入!$B$80/100))*(MOD(73-((核心参数输入!$B$18-1)*4+(核心参数输入!$B$148+核心参数输入!$B$124)+1),4)+1)/4),0)</f>
        <v>0.8</v>
      </c>
      <c r="BZ125" s="22">
        <f>IF(74&lt;=核心参数输入!$B$9*4,IF(74&lt;((核心参数输入!$B$18-1)*4+(核心参数输入!$B$148+核心参数输入!$B$124)+1),0,MAX(0,IF(INT((74-((核心参数输入!$B$18-1)*4+(核心参数输入!$B$148+核心参数输入!$B$124)+1))/4)=0,0,IF(INT((74-((核心参数输入!$B$18-1)*4+(核心参数输入!$B$148+核心参数输入!$B$124)+1))/4)=1,核心参数输入!$B$38,IF(INT((74-((核心参数输入!$B$18-1)*4+(核心参数输入!$B$148+核心参数输入!$B$124)+1))/4)=2,核心参数输入!$B$39,IF(INT((74-((核心参数输入!$B$18-1)*4+(核心参数输入!$B$148+核心参数输入!$B$124)+1))/4)=3,核心参数输入!$B$40,核心参数输入!$B$41))))-核心参数输入!$B$80/100)+(MAX(0,BZ124-核心参数输入!$B$80/100)-MAX(0,IF(INT((74-((核心参数输入!$B$18-1)*4+(核心参数输入!$B$148+核心参数输入!$B$124)+1))/4)=0,0,IF(INT((74-((核心参数输入!$B$18-1)*4+(核心参数输入!$B$148+核心参数输入!$B$124)+1))/4)=1,核心参数输入!$B$38,IF(INT((74-((核心参数输入!$B$18-1)*4+(核心参数输入!$B$148+核心参数输入!$B$124)+1))/4)=2,核心参数输入!$B$39,IF(INT((74-((核心参数输入!$B$18-1)*4+(核心参数输入!$B$148+核心参数输入!$B$124)+1))/4)=3,核心参数输入!$B$40,核心参数输入!$B$41))))-核心参数输入!$B$80/100))*(MOD(74-((核心参数输入!$B$18-1)*4+(核心参数输入!$B$148+核心参数输入!$B$124)+1),4)+1)/4),0)</f>
        <v>0.8</v>
      </c>
      <c r="CA125" s="22">
        <f>IF(75&lt;=核心参数输入!$B$9*4,IF(75&lt;((核心参数输入!$B$18-1)*4+(核心参数输入!$B$148+核心参数输入!$B$124)+1),0,MAX(0,IF(INT((75-((核心参数输入!$B$18-1)*4+(核心参数输入!$B$148+核心参数输入!$B$124)+1))/4)=0,0,IF(INT((75-((核心参数输入!$B$18-1)*4+(核心参数输入!$B$148+核心参数输入!$B$124)+1))/4)=1,核心参数输入!$B$38,IF(INT((75-((核心参数输入!$B$18-1)*4+(核心参数输入!$B$148+核心参数输入!$B$124)+1))/4)=2,核心参数输入!$B$39,IF(INT((75-((核心参数输入!$B$18-1)*4+(核心参数输入!$B$148+核心参数输入!$B$124)+1))/4)=3,核心参数输入!$B$40,核心参数输入!$B$41))))-核心参数输入!$B$80/100)+(MAX(0,CA124-核心参数输入!$B$80/100)-MAX(0,IF(INT((75-((核心参数输入!$B$18-1)*4+(核心参数输入!$B$148+核心参数输入!$B$124)+1))/4)=0,0,IF(INT((75-((核心参数输入!$B$18-1)*4+(核心参数输入!$B$148+核心参数输入!$B$124)+1))/4)=1,核心参数输入!$B$38,IF(INT((75-((核心参数输入!$B$18-1)*4+(核心参数输入!$B$148+核心参数输入!$B$124)+1))/4)=2,核心参数输入!$B$39,IF(INT((75-((核心参数输入!$B$18-1)*4+(核心参数输入!$B$148+核心参数输入!$B$124)+1))/4)=3,核心参数输入!$B$40,核心参数输入!$B$41))))-核心参数输入!$B$80/100))*(MOD(75-((核心参数输入!$B$18-1)*4+(核心参数输入!$B$148+核心参数输入!$B$124)+1),4)+1)/4),0)</f>
        <v>0.8</v>
      </c>
      <c r="CB125" s="22">
        <f>IF(76&lt;=核心参数输入!$B$9*4,IF(76&lt;((核心参数输入!$B$18-1)*4+(核心参数输入!$B$148+核心参数输入!$B$124)+1),0,MAX(0,IF(INT((76-((核心参数输入!$B$18-1)*4+(核心参数输入!$B$148+核心参数输入!$B$124)+1))/4)=0,0,IF(INT((76-((核心参数输入!$B$18-1)*4+(核心参数输入!$B$148+核心参数输入!$B$124)+1))/4)=1,核心参数输入!$B$38,IF(INT((76-((核心参数输入!$B$18-1)*4+(核心参数输入!$B$148+核心参数输入!$B$124)+1))/4)=2,核心参数输入!$B$39,IF(INT((76-((核心参数输入!$B$18-1)*4+(核心参数输入!$B$148+核心参数输入!$B$124)+1))/4)=3,核心参数输入!$B$40,核心参数输入!$B$41))))-核心参数输入!$B$80/100)+(MAX(0,CB124-核心参数输入!$B$80/100)-MAX(0,IF(INT((76-((核心参数输入!$B$18-1)*4+(核心参数输入!$B$148+核心参数输入!$B$124)+1))/4)=0,0,IF(INT((76-((核心参数输入!$B$18-1)*4+(核心参数输入!$B$148+核心参数输入!$B$124)+1))/4)=1,核心参数输入!$B$38,IF(INT((76-((核心参数输入!$B$18-1)*4+(核心参数输入!$B$148+核心参数输入!$B$124)+1))/4)=2,核心参数输入!$B$39,IF(INT((76-((核心参数输入!$B$18-1)*4+(核心参数输入!$B$148+核心参数输入!$B$124)+1))/4)=3,核心参数输入!$B$40,核心参数输入!$B$41))))-核心参数输入!$B$80/100))*(MOD(76-((核心参数输入!$B$18-1)*4+(核心参数输入!$B$148+核心参数输入!$B$124)+1),4)+1)/4),0)</f>
        <v>0.8</v>
      </c>
      <c r="CC125" s="22">
        <f>IF(77&lt;=核心参数输入!$B$9*4,IF(77&lt;((核心参数输入!$B$18-1)*4+(核心参数输入!$B$148+核心参数输入!$B$124)+1),0,MAX(0,IF(INT((77-((核心参数输入!$B$18-1)*4+(核心参数输入!$B$148+核心参数输入!$B$124)+1))/4)=0,0,IF(INT((77-((核心参数输入!$B$18-1)*4+(核心参数输入!$B$148+核心参数输入!$B$124)+1))/4)=1,核心参数输入!$B$38,IF(INT((77-((核心参数输入!$B$18-1)*4+(核心参数输入!$B$148+核心参数输入!$B$124)+1))/4)=2,核心参数输入!$B$39,IF(INT((77-((核心参数输入!$B$18-1)*4+(核心参数输入!$B$148+核心参数输入!$B$124)+1))/4)=3,核心参数输入!$B$40,核心参数输入!$B$41))))-核心参数输入!$B$80/100)+(MAX(0,CC124-核心参数输入!$B$80/100)-MAX(0,IF(INT((77-((核心参数输入!$B$18-1)*4+(核心参数输入!$B$148+核心参数输入!$B$124)+1))/4)=0,0,IF(INT((77-((核心参数输入!$B$18-1)*4+(核心参数输入!$B$148+核心参数输入!$B$124)+1))/4)=1,核心参数输入!$B$38,IF(INT((77-((核心参数输入!$B$18-1)*4+(核心参数输入!$B$148+核心参数输入!$B$124)+1))/4)=2,核心参数输入!$B$39,IF(INT((77-((核心参数输入!$B$18-1)*4+(核心参数输入!$B$148+核心参数输入!$B$124)+1))/4)=3,核心参数输入!$B$40,核心参数输入!$B$41))))-核心参数输入!$B$80/100))*(MOD(77-((核心参数输入!$B$18-1)*4+(核心参数输入!$B$148+核心参数输入!$B$124)+1),4)+1)/4),0)</f>
        <v>0.8</v>
      </c>
      <c r="CD125" s="22">
        <f>IF(78&lt;=核心参数输入!$B$9*4,IF(78&lt;((核心参数输入!$B$18-1)*4+(核心参数输入!$B$148+核心参数输入!$B$124)+1),0,MAX(0,IF(INT((78-((核心参数输入!$B$18-1)*4+(核心参数输入!$B$148+核心参数输入!$B$124)+1))/4)=0,0,IF(INT((78-((核心参数输入!$B$18-1)*4+(核心参数输入!$B$148+核心参数输入!$B$124)+1))/4)=1,核心参数输入!$B$38,IF(INT((78-((核心参数输入!$B$18-1)*4+(核心参数输入!$B$148+核心参数输入!$B$124)+1))/4)=2,核心参数输入!$B$39,IF(INT((78-((核心参数输入!$B$18-1)*4+(核心参数输入!$B$148+核心参数输入!$B$124)+1))/4)=3,核心参数输入!$B$40,核心参数输入!$B$41))))-核心参数输入!$B$80/100)+(MAX(0,CD124-核心参数输入!$B$80/100)-MAX(0,IF(INT((78-((核心参数输入!$B$18-1)*4+(核心参数输入!$B$148+核心参数输入!$B$124)+1))/4)=0,0,IF(INT((78-((核心参数输入!$B$18-1)*4+(核心参数输入!$B$148+核心参数输入!$B$124)+1))/4)=1,核心参数输入!$B$38,IF(INT((78-((核心参数输入!$B$18-1)*4+(核心参数输入!$B$148+核心参数输入!$B$124)+1))/4)=2,核心参数输入!$B$39,IF(INT((78-((核心参数输入!$B$18-1)*4+(核心参数输入!$B$148+核心参数输入!$B$124)+1))/4)=3,核心参数输入!$B$40,核心参数输入!$B$41))))-核心参数输入!$B$80/100))*(MOD(78-((核心参数输入!$B$18-1)*4+(核心参数输入!$B$148+核心参数输入!$B$124)+1),4)+1)/4),0)</f>
        <v>0.8</v>
      </c>
      <c r="CE125" s="22">
        <f>IF(79&lt;=核心参数输入!$B$9*4,IF(79&lt;((核心参数输入!$B$18-1)*4+(核心参数输入!$B$148+核心参数输入!$B$124)+1),0,MAX(0,IF(INT((79-((核心参数输入!$B$18-1)*4+(核心参数输入!$B$148+核心参数输入!$B$124)+1))/4)=0,0,IF(INT((79-((核心参数输入!$B$18-1)*4+(核心参数输入!$B$148+核心参数输入!$B$124)+1))/4)=1,核心参数输入!$B$38,IF(INT((79-((核心参数输入!$B$18-1)*4+(核心参数输入!$B$148+核心参数输入!$B$124)+1))/4)=2,核心参数输入!$B$39,IF(INT((79-((核心参数输入!$B$18-1)*4+(核心参数输入!$B$148+核心参数输入!$B$124)+1))/4)=3,核心参数输入!$B$40,核心参数输入!$B$41))))-核心参数输入!$B$80/100)+(MAX(0,CE124-核心参数输入!$B$80/100)-MAX(0,IF(INT((79-((核心参数输入!$B$18-1)*4+(核心参数输入!$B$148+核心参数输入!$B$124)+1))/4)=0,0,IF(INT((79-((核心参数输入!$B$18-1)*4+(核心参数输入!$B$148+核心参数输入!$B$124)+1))/4)=1,核心参数输入!$B$38,IF(INT((79-((核心参数输入!$B$18-1)*4+(核心参数输入!$B$148+核心参数输入!$B$124)+1))/4)=2,核心参数输入!$B$39,IF(INT((79-((核心参数输入!$B$18-1)*4+(核心参数输入!$B$148+核心参数输入!$B$124)+1))/4)=3,核心参数输入!$B$40,核心参数输入!$B$41))))-核心参数输入!$B$80/100))*(MOD(79-((核心参数输入!$B$18-1)*4+(核心参数输入!$B$148+核心参数输入!$B$124)+1),4)+1)/4),0)</f>
        <v>0.8</v>
      </c>
      <c r="CF125" s="22">
        <f>IF(80&lt;=核心参数输入!$B$9*4,IF(80&lt;((核心参数输入!$B$18-1)*4+(核心参数输入!$B$148+核心参数输入!$B$124)+1),0,MAX(0,IF(INT((80-((核心参数输入!$B$18-1)*4+(核心参数输入!$B$148+核心参数输入!$B$124)+1))/4)=0,0,IF(INT((80-((核心参数输入!$B$18-1)*4+(核心参数输入!$B$148+核心参数输入!$B$124)+1))/4)=1,核心参数输入!$B$38,IF(INT((80-((核心参数输入!$B$18-1)*4+(核心参数输入!$B$148+核心参数输入!$B$124)+1))/4)=2,核心参数输入!$B$39,IF(INT((80-((核心参数输入!$B$18-1)*4+(核心参数输入!$B$148+核心参数输入!$B$124)+1))/4)=3,核心参数输入!$B$40,核心参数输入!$B$41))))-核心参数输入!$B$80/100)+(MAX(0,CF124-核心参数输入!$B$80/100)-MAX(0,IF(INT((80-((核心参数输入!$B$18-1)*4+(核心参数输入!$B$148+核心参数输入!$B$124)+1))/4)=0,0,IF(INT((80-((核心参数输入!$B$18-1)*4+(核心参数输入!$B$148+核心参数输入!$B$124)+1))/4)=1,核心参数输入!$B$38,IF(INT((80-((核心参数输入!$B$18-1)*4+(核心参数输入!$B$148+核心参数输入!$B$124)+1))/4)=2,核心参数输入!$B$39,IF(INT((80-((核心参数输入!$B$18-1)*4+(核心参数输入!$B$148+核心参数输入!$B$124)+1))/4)=3,核心参数输入!$B$40,核心参数输入!$B$41))))-核心参数输入!$B$80/100))*(MOD(80-((核心参数输入!$B$18-1)*4+(核心参数输入!$B$148+核心参数输入!$B$124)+1),4)+1)/4),0)</f>
        <v>0.8</v>
      </c>
      <c r="CG125" s="22">
        <f>IF(81&lt;=核心参数输入!$B$9*4,IF(81&lt;((核心参数输入!$B$18-1)*4+(核心参数输入!$B$148+核心参数输入!$B$124)+1),0,MAX(0,IF(INT((81-((核心参数输入!$B$18-1)*4+(核心参数输入!$B$148+核心参数输入!$B$124)+1))/4)=0,0,IF(INT((81-((核心参数输入!$B$18-1)*4+(核心参数输入!$B$148+核心参数输入!$B$124)+1))/4)=1,核心参数输入!$B$38,IF(INT((81-((核心参数输入!$B$18-1)*4+(核心参数输入!$B$148+核心参数输入!$B$124)+1))/4)=2,核心参数输入!$B$39,IF(INT((81-((核心参数输入!$B$18-1)*4+(核心参数输入!$B$148+核心参数输入!$B$124)+1))/4)=3,核心参数输入!$B$40,核心参数输入!$B$41))))-核心参数输入!$B$80/100)+(MAX(0,CG124-核心参数输入!$B$80/100)-MAX(0,IF(INT((81-((核心参数输入!$B$18-1)*4+(核心参数输入!$B$148+核心参数输入!$B$124)+1))/4)=0,0,IF(INT((81-((核心参数输入!$B$18-1)*4+(核心参数输入!$B$148+核心参数输入!$B$124)+1))/4)=1,核心参数输入!$B$38,IF(INT((81-((核心参数输入!$B$18-1)*4+(核心参数输入!$B$148+核心参数输入!$B$124)+1))/4)=2,核心参数输入!$B$39,IF(INT((81-((核心参数输入!$B$18-1)*4+(核心参数输入!$B$148+核心参数输入!$B$124)+1))/4)=3,核心参数输入!$B$40,核心参数输入!$B$41))))-核心参数输入!$B$80/100))*(MOD(81-((核心参数输入!$B$18-1)*4+(核心参数输入!$B$148+核心参数输入!$B$124)+1),4)+1)/4),0)</f>
        <v>0</v>
      </c>
      <c r="CH125" s="22">
        <f>IF(82&lt;=核心参数输入!$B$9*4,IF(82&lt;((核心参数输入!$B$18-1)*4+(核心参数输入!$B$148+核心参数输入!$B$124)+1),0,MAX(0,IF(INT((82-((核心参数输入!$B$18-1)*4+(核心参数输入!$B$148+核心参数输入!$B$124)+1))/4)=0,0,IF(INT((82-((核心参数输入!$B$18-1)*4+(核心参数输入!$B$148+核心参数输入!$B$124)+1))/4)=1,核心参数输入!$B$38,IF(INT((82-((核心参数输入!$B$18-1)*4+(核心参数输入!$B$148+核心参数输入!$B$124)+1))/4)=2,核心参数输入!$B$39,IF(INT((82-((核心参数输入!$B$18-1)*4+(核心参数输入!$B$148+核心参数输入!$B$124)+1))/4)=3,核心参数输入!$B$40,核心参数输入!$B$41))))-核心参数输入!$B$80/100)+(MAX(0,CH124-核心参数输入!$B$80/100)-MAX(0,IF(INT((82-((核心参数输入!$B$18-1)*4+(核心参数输入!$B$148+核心参数输入!$B$124)+1))/4)=0,0,IF(INT((82-((核心参数输入!$B$18-1)*4+(核心参数输入!$B$148+核心参数输入!$B$124)+1))/4)=1,核心参数输入!$B$38,IF(INT((82-((核心参数输入!$B$18-1)*4+(核心参数输入!$B$148+核心参数输入!$B$124)+1))/4)=2,核心参数输入!$B$39,IF(INT((82-((核心参数输入!$B$18-1)*4+(核心参数输入!$B$148+核心参数输入!$B$124)+1))/4)=3,核心参数输入!$B$40,核心参数输入!$B$41))))-核心参数输入!$B$80/100))*(MOD(82-((核心参数输入!$B$18-1)*4+(核心参数输入!$B$148+核心参数输入!$B$124)+1),4)+1)/4),0)</f>
        <v>0</v>
      </c>
      <c r="CI125" s="22">
        <f>IF(83&lt;=核心参数输入!$B$9*4,IF(83&lt;((核心参数输入!$B$18-1)*4+(核心参数输入!$B$148+核心参数输入!$B$124)+1),0,MAX(0,IF(INT((83-((核心参数输入!$B$18-1)*4+(核心参数输入!$B$148+核心参数输入!$B$124)+1))/4)=0,0,IF(INT((83-((核心参数输入!$B$18-1)*4+(核心参数输入!$B$148+核心参数输入!$B$124)+1))/4)=1,核心参数输入!$B$38,IF(INT((83-((核心参数输入!$B$18-1)*4+(核心参数输入!$B$148+核心参数输入!$B$124)+1))/4)=2,核心参数输入!$B$39,IF(INT((83-((核心参数输入!$B$18-1)*4+(核心参数输入!$B$148+核心参数输入!$B$124)+1))/4)=3,核心参数输入!$B$40,核心参数输入!$B$41))))-核心参数输入!$B$80/100)+(MAX(0,CI124-核心参数输入!$B$80/100)-MAX(0,IF(INT((83-((核心参数输入!$B$18-1)*4+(核心参数输入!$B$148+核心参数输入!$B$124)+1))/4)=0,0,IF(INT((83-((核心参数输入!$B$18-1)*4+(核心参数输入!$B$148+核心参数输入!$B$124)+1))/4)=1,核心参数输入!$B$38,IF(INT((83-((核心参数输入!$B$18-1)*4+(核心参数输入!$B$148+核心参数输入!$B$124)+1))/4)=2,核心参数输入!$B$39,IF(INT((83-((核心参数输入!$B$18-1)*4+(核心参数输入!$B$148+核心参数输入!$B$124)+1))/4)=3,核心参数输入!$B$40,核心参数输入!$B$41))))-核心参数输入!$B$80/100))*(MOD(83-((核心参数输入!$B$18-1)*4+(核心参数输入!$B$148+核心参数输入!$B$124)+1),4)+1)/4),0)</f>
        <v>0</v>
      </c>
      <c r="CJ125" s="22">
        <f>IF(84&lt;=核心参数输入!$B$9*4,IF(84&lt;((核心参数输入!$B$18-1)*4+(核心参数输入!$B$148+核心参数输入!$B$124)+1),0,MAX(0,IF(INT((84-((核心参数输入!$B$18-1)*4+(核心参数输入!$B$148+核心参数输入!$B$124)+1))/4)=0,0,IF(INT((84-((核心参数输入!$B$18-1)*4+(核心参数输入!$B$148+核心参数输入!$B$124)+1))/4)=1,核心参数输入!$B$38,IF(INT((84-((核心参数输入!$B$18-1)*4+(核心参数输入!$B$148+核心参数输入!$B$124)+1))/4)=2,核心参数输入!$B$39,IF(INT((84-((核心参数输入!$B$18-1)*4+(核心参数输入!$B$148+核心参数输入!$B$124)+1))/4)=3,核心参数输入!$B$40,核心参数输入!$B$41))))-核心参数输入!$B$80/100)+(MAX(0,CJ124-核心参数输入!$B$80/100)-MAX(0,IF(INT((84-((核心参数输入!$B$18-1)*4+(核心参数输入!$B$148+核心参数输入!$B$124)+1))/4)=0,0,IF(INT((84-((核心参数输入!$B$18-1)*4+(核心参数输入!$B$148+核心参数输入!$B$124)+1))/4)=1,核心参数输入!$B$38,IF(INT((84-((核心参数输入!$B$18-1)*4+(核心参数输入!$B$148+核心参数输入!$B$124)+1))/4)=2,核心参数输入!$B$39,IF(INT((84-((核心参数输入!$B$18-1)*4+(核心参数输入!$B$148+核心参数输入!$B$124)+1))/4)=3,核心参数输入!$B$40,核心参数输入!$B$41))))-核心参数输入!$B$80/100))*(MOD(84-((核心参数输入!$B$18-1)*4+(核心参数输入!$B$148+核心参数输入!$B$124)+1),4)+1)/4),0)</f>
        <v>0</v>
      </c>
      <c r="CK125" s="22">
        <f>IF(85&lt;=核心参数输入!$B$9*4,IF(85&lt;((核心参数输入!$B$18-1)*4+(核心参数输入!$B$148+核心参数输入!$B$124)+1),0,MAX(0,IF(INT((85-((核心参数输入!$B$18-1)*4+(核心参数输入!$B$148+核心参数输入!$B$124)+1))/4)=0,0,IF(INT((85-((核心参数输入!$B$18-1)*4+(核心参数输入!$B$148+核心参数输入!$B$124)+1))/4)=1,核心参数输入!$B$38,IF(INT((85-((核心参数输入!$B$18-1)*4+(核心参数输入!$B$148+核心参数输入!$B$124)+1))/4)=2,核心参数输入!$B$39,IF(INT((85-((核心参数输入!$B$18-1)*4+(核心参数输入!$B$148+核心参数输入!$B$124)+1))/4)=3,核心参数输入!$B$40,核心参数输入!$B$41))))-核心参数输入!$B$80/100)+(MAX(0,CK124-核心参数输入!$B$80/100)-MAX(0,IF(INT((85-((核心参数输入!$B$18-1)*4+(核心参数输入!$B$148+核心参数输入!$B$124)+1))/4)=0,0,IF(INT((85-((核心参数输入!$B$18-1)*4+(核心参数输入!$B$148+核心参数输入!$B$124)+1))/4)=1,核心参数输入!$B$38,IF(INT((85-((核心参数输入!$B$18-1)*4+(核心参数输入!$B$148+核心参数输入!$B$124)+1))/4)=2,核心参数输入!$B$39,IF(INT((85-((核心参数输入!$B$18-1)*4+(核心参数输入!$B$148+核心参数输入!$B$124)+1))/4)=3,核心参数输入!$B$40,核心参数输入!$B$41))))-核心参数输入!$B$80/100))*(MOD(85-((核心参数输入!$B$18-1)*4+(核心参数输入!$B$148+核心参数输入!$B$124)+1),4)+1)/4),0)</f>
        <v>0</v>
      </c>
      <c r="CL125" s="22">
        <f>IF(86&lt;=核心参数输入!$B$9*4,IF(86&lt;((核心参数输入!$B$18-1)*4+(核心参数输入!$B$148+核心参数输入!$B$124)+1),0,MAX(0,IF(INT((86-((核心参数输入!$B$18-1)*4+(核心参数输入!$B$148+核心参数输入!$B$124)+1))/4)=0,0,IF(INT((86-((核心参数输入!$B$18-1)*4+(核心参数输入!$B$148+核心参数输入!$B$124)+1))/4)=1,核心参数输入!$B$38,IF(INT((86-((核心参数输入!$B$18-1)*4+(核心参数输入!$B$148+核心参数输入!$B$124)+1))/4)=2,核心参数输入!$B$39,IF(INT((86-((核心参数输入!$B$18-1)*4+(核心参数输入!$B$148+核心参数输入!$B$124)+1))/4)=3,核心参数输入!$B$40,核心参数输入!$B$41))))-核心参数输入!$B$80/100)+(MAX(0,CL124-核心参数输入!$B$80/100)-MAX(0,IF(INT((86-((核心参数输入!$B$18-1)*4+(核心参数输入!$B$148+核心参数输入!$B$124)+1))/4)=0,0,IF(INT((86-((核心参数输入!$B$18-1)*4+(核心参数输入!$B$148+核心参数输入!$B$124)+1))/4)=1,核心参数输入!$B$38,IF(INT((86-((核心参数输入!$B$18-1)*4+(核心参数输入!$B$148+核心参数输入!$B$124)+1))/4)=2,核心参数输入!$B$39,IF(INT((86-((核心参数输入!$B$18-1)*4+(核心参数输入!$B$148+核心参数输入!$B$124)+1))/4)=3,核心参数输入!$B$40,核心参数输入!$B$41))))-核心参数输入!$B$80/100))*(MOD(86-((核心参数输入!$B$18-1)*4+(核心参数输入!$B$148+核心参数输入!$B$124)+1),4)+1)/4),0)</f>
        <v>0</v>
      </c>
      <c r="CM125" s="22">
        <f>IF(87&lt;=核心参数输入!$B$9*4,IF(87&lt;((核心参数输入!$B$18-1)*4+(核心参数输入!$B$148+核心参数输入!$B$124)+1),0,MAX(0,IF(INT((87-((核心参数输入!$B$18-1)*4+(核心参数输入!$B$148+核心参数输入!$B$124)+1))/4)=0,0,IF(INT((87-((核心参数输入!$B$18-1)*4+(核心参数输入!$B$148+核心参数输入!$B$124)+1))/4)=1,核心参数输入!$B$38,IF(INT((87-((核心参数输入!$B$18-1)*4+(核心参数输入!$B$148+核心参数输入!$B$124)+1))/4)=2,核心参数输入!$B$39,IF(INT((87-((核心参数输入!$B$18-1)*4+(核心参数输入!$B$148+核心参数输入!$B$124)+1))/4)=3,核心参数输入!$B$40,核心参数输入!$B$41))))-核心参数输入!$B$80/100)+(MAX(0,CM124-核心参数输入!$B$80/100)-MAX(0,IF(INT((87-((核心参数输入!$B$18-1)*4+(核心参数输入!$B$148+核心参数输入!$B$124)+1))/4)=0,0,IF(INT((87-((核心参数输入!$B$18-1)*4+(核心参数输入!$B$148+核心参数输入!$B$124)+1))/4)=1,核心参数输入!$B$38,IF(INT((87-((核心参数输入!$B$18-1)*4+(核心参数输入!$B$148+核心参数输入!$B$124)+1))/4)=2,核心参数输入!$B$39,IF(INT((87-((核心参数输入!$B$18-1)*4+(核心参数输入!$B$148+核心参数输入!$B$124)+1))/4)=3,核心参数输入!$B$40,核心参数输入!$B$41))))-核心参数输入!$B$80/100))*(MOD(87-((核心参数输入!$B$18-1)*4+(核心参数输入!$B$148+核心参数输入!$B$124)+1),4)+1)/4),0)</f>
        <v>0</v>
      </c>
      <c r="CN125" s="22">
        <f>IF(88&lt;=核心参数输入!$B$9*4,IF(88&lt;((核心参数输入!$B$18-1)*4+(核心参数输入!$B$148+核心参数输入!$B$124)+1),0,MAX(0,IF(INT((88-((核心参数输入!$B$18-1)*4+(核心参数输入!$B$148+核心参数输入!$B$124)+1))/4)=0,0,IF(INT((88-((核心参数输入!$B$18-1)*4+(核心参数输入!$B$148+核心参数输入!$B$124)+1))/4)=1,核心参数输入!$B$38,IF(INT((88-((核心参数输入!$B$18-1)*4+(核心参数输入!$B$148+核心参数输入!$B$124)+1))/4)=2,核心参数输入!$B$39,IF(INT((88-((核心参数输入!$B$18-1)*4+(核心参数输入!$B$148+核心参数输入!$B$124)+1))/4)=3,核心参数输入!$B$40,核心参数输入!$B$41))))-核心参数输入!$B$80/100)+(MAX(0,CN124-核心参数输入!$B$80/100)-MAX(0,IF(INT((88-((核心参数输入!$B$18-1)*4+(核心参数输入!$B$148+核心参数输入!$B$124)+1))/4)=0,0,IF(INT((88-((核心参数输入!$B$18-1)*4+(核心参数输入!$B$148+核心参数输入!$B$124)+1))/4)=1,核心参数输入!$B$38,IF(INT((88-((核心参数输入!$B$18-1)*4+(核心参数输入!$B$148+核心参数输入!$B$124)+1))/4)=2,核心参数输入!$B$39,IF(INT((88-((核心参数输入!$B$18-1)*4+(核心参数输入!$B$148+核心参数输入!$B$124)+1))/4)=3,核心参数输入!$B$40,核心参数输入!$B$41))))-核心参数输入!$B$80/100))*(MOD(88-((核心参数输入!$B$18-1)*4+(核心参数输入!$B$148+核心参数输入!$B$124)+1),4)+1)/4),0)</f>
        <v>0</v>
      </c>
      <c r="CO125" s="22">
        <f>IF(89&lt;=核心参数输入!$B$9*4,IF(89&lt;((核心参数输入!$B$18-1)*4+(核心参数输入!$B$148+核心参数输入!$B$124)+1),0,MAX(0,IF(INT((89-((核心参数输入!$B$18-1)*4+(核心参数输入!$B$148+核心参数输入!$B$124)+1))/4)=0,0,IF(INT((89-((核心参数输入!$B$18-1)*4+(核心参数输入!$B$148+核心参数输入!$B$124)+1))/4)=1,核心参数输入!$B$38,IF(INT((89-((核心参数输入!$B$18-1)*4+(核心参数输入!$B$148+核心参数输入!$B$124)+1))/4)=2,核心参数输入!$B$39,IF(INT((89-((核心参数输入!$B$18-1)*4+(核心参数输入!$B$148+核心参数输入!$B$124)+1))/4)=3,核心参数输入!$B$40,核心参数输入!$B$41))))-核心参数输入!$B$80/100)+(MAX(0,CO124-核心参数输入!$B$80/100)-MAX(0,IF(INT((89-((核心参数输入!$B$18-1)*4+(核心参数输入!$B$148+核心参数输入!$B$124)+1))/4)=0,0,IF(INT((89-((核心参数输入!$B$18-1)*4+(核心参数输入!$B$148+核心参数输入!$B$124)+1))/4)=1,核心参数输入!$B$38,IF(INT((89-((核心参数输入!$B$18-1)*4+(核心参数输入!$B$148+核心参数输入!$B$124)+1))/4)=2,核心参数输入!$B$39,IF(INT((89-((核心参数输入!$B$18-1)*4+(核心参数输入!$B$148+核心参数输入!$B$124)+1))/4)=3,核心参数输入!$B$40,核心参数输入!$B$41))))-核心参数输入!$B$80/100))*(MOD(89-((核心参数输入!$B$18-1)*4+(核心参数输入!$B$148+核心参数输入!$B$124)+1),4)+1)/4),0)</f>
        <v>0</v>
      </c>
      <c r="CP125" s="22">
        <f>IF(90&lt;=核心参数输入!$B$9*4,IF(90&lt;((核心参数输入!$B$18-1)*4+(核心参数输入!$B$148+核心参数输入!$B$124)+1),0,MAX(0,IF(INT((90-((核心参数输入!$B$18-1)*4+(核心参数输入!$B$148+核心参数输入!$B$124)+1))/4)=0,0,IF(INT((90-((核心参数输入!$B$18-1)*4+(核心参数输入!$B$148+核心参数输入!$B$124)+1))/4)=1,核心参数输入!$B$38,IF(INT((90-((核心参数输入!$B$18-1)*4+(核心参数输入!$B$148+核心参数输入!$B$124)+1))/4)=2,核心参数输入!$B$39,IF(INT((90-((核心参数输入!$B$18-1)*4+(核心参数输入!$B$148+核心参数输入!$B$124)+1))/4)=3,核心参数输入!$B$40,核心参数输入!$B$41))))-核心参数输入!$B$80/100)+(MAX(0,CP124-核心参数输入!$B$80/100)-MAX(0,IF(INT((90-((核心参数输入!$B$18-1)*4+(核心参数输入!$B$148+核心参数输入!$B$124)+1))/4)=0,0,IF(INT((90-((核心参数输入!$B$18-1)*4+(核心参数输入!$B$148+核心参数输入!$B$124)+1))/4)=1,核心参数输入!$B$38,IF(INT((90-((核心参数输入!$B$18-1)*4+(核心参数输入!$B$148+核心参数输入!$B$124)+1))/4)=2,核心参数输入!$B$39,IF(INT((90-((核心参数输入!$B$18-1)*4+(核心参数输入!$B$148+核心参数输入!$B$124)+1))/4)=3,核心参数输入!$B$40,核心参数输入!$B$41))))-核心参数输入!$B$80/100))*(MOD(90-((核心参数输入!$B$18-1)*4+(核心参数输入!$B$148+核心参数输入!$B$124)+1),4)+1)/4),0)</f>
        <v>0</v>
      </c>
      <c r="CQ125" s="22">
        <f>IF(91&lt;=核心参数输入!$B$9*4,IF(91&lt;((核心参数输入!$B$18-1)*4+(核心参数输入!$B$148+核心参数输入!$B$124)+1),0,MAX(0,IF(INT((91-((核心参数输入!$B$18-1)*4+(核心参数输入!$B$148+核心参数输入!$B$124)+1))/4)=0,0,IF(INT((91-((核心参数输入!$B$18-1)*4+(核心参数输入!$B$148+核心参数输入!$B$124)+1))/4)=1,核心参数输入!$B$38,IF(INT((91-((核心参数输入!$B$18-1)*4+(核心参数输入!$B$148+核心参数输入!$B$124)+1))/4)=2,核心参数输入!$B$39,IF(INT((91-((核心参数输入!$B$18-1)*4+(核心参数输入!$B$148+核心参数输入!$B$124)+1))/4)=3,核心参数输入!$B$40,核心参数输入!$B$41))))-核心参数输入!$B$80/100)+(MAX(0,CQ124-核心参数输入!$B$80/100)-MAX(0,IF(INT((91-((核心参数输入!$B$18-1)*4+(核心参数输入!$B$148+核心参数输入!$B$124)+1))/4)=0,0,IF(INT((91-((核心参数输入!$B$18-1)*4+(核心参数输入!$B$148+核心参数输入!$B$124)+1))/4)=1,核心参数输入!$B$38,IF(INT((91-((核心参数输入!$B$18-1)*4+(核心参数输入!$B$148+核心参数输入!$B$124)+1))/4)=2,核心参数输入!$B$39,IF(INT((91-((核心参数输入!$B$18-1)*4+(核心参数输入!$B$148+核心参数输入!$B$124)+1))/4)=3,核心参数输入!$B$40,核心参数输入!$B$41))))-核心参数输入!$B$80/100))*(MOD(91-((核心参数输入!$B$18-1)*4+(核心参数输入!$B$148+核心参数输入!$B$124)+1),4)+1)/4),0)</f>
        <v>0</v>
      </c>
      <c r="CR125" s="22">
        <f>IF(92&lt;=核心参数输入!$B$9*4,IF(92&lt;((核心参数输入!$B$18-1)*4+(核心参数输入!$B$148+核心参数输入!$B$124)+1),0,MAX(0,IF(INT((92-((核心参数输入!$B$18-1)*4+(核心参数输入!$B$148+核心参数输入!$B$124)+1))/4)=0,0,IF(INT((92-((核心参数输入!$B$18-1)*4+(核心参数输入!$B$148+核心参数输入!$B$124)+1))/4)=1,核心参数输入!$B$38,IF(INT((92-((核心参数输入!$B$18-1)*4+(核心参数输入!$B$148+核心参数输入!$B$124)+1))/4)=2,核心参数输入!$B$39,IF(INT((92-((核心参数输入!$B$18-1)*4+(核心参数输入!$B$148+核心参数输入!$B$124)+1))/4)=3,核心参数输入!$B$40,核心参数输入!$B$41))))-核心参数输入!$B$80/100)+(MAX(0,CR124-核心参数输入!$B$80/100)-MAX(0,IF(INT((92-((核心参数输入!$B$18-1)*4+(核心参数输入!$B$148+核心参数输入!$B$124)+1))/4)=0,0,IF(INT((92-((核心参数输入!$B$18-1)*4+(核心参数输入!$B$148+核心参数输入!$B$124)+1))/4)=1,核心参数输入!$B$38,IF(INT((92-((核心参数输入!$B$18-1)*4+(核心参数输入!$B$148+核心参数输入!$B$124)+1))/4)=2,核心参数输入!$B$39,IF(INT((92-((核心参数输入!$B$18-1)*4+(核心参数输入!$B$148+核心参数输入!$B$124)+1))/4)=3,核心参数输入!$B$40,核心参数输入!$B$41))))-核心参数输入!$B$80/100))*(MOD(92-((核心参数输入!$B$18-1)*4+(核心参数输入!$B$148+核心参数输入!$B$124)+1),4)+1)/4),0)</f>
        <v>0</v>
      </c>
      <c r="CS125" s="22">
        <f>IF(93&lt;=核心参数输入!$B$9*4,IF(93&lt;((核心参数输入!$B$18-1)*4+(核心参数输入!$B$148+核心参数输入!$B$124)+1),0,MAX(0,IF(INT((93-((核心参数输入!$B$18-1)*4+(核心参数输入!$B$148+核心参数输入!$B$124)+1))/4)=0,0,IF(INT((93-((核心参数输入!$B$18-1)*4+(核心参数输入!$B$148+核心参数输入!$B$124)+1))/4)=1,核心参数输入!$B$38,IF(INT((93-((核心参数输入!$B$18-1)*4+(核心参数输入!$B$148+核心参数输入!$B$124)+1))/4)=2,核心参数输入!$B$39,IF(INT((93-((核心参数输入!$B$18-1)*4+(核心参数输入!$B$148+核心参数输入!$B$124)+1))/4)=3,核心参数输入!$B$40,核心参数输入!$B$41))))-核心参数输入!$B$80/100)+(MAX(0,CS124-核心参数输入!$B$80/100)-MAX(0,IF(INT((93-((核心参数输入!$B$18-1)*4+(核心参数输入!$B$148+核心参数输入!$B$124)+1))/4)=0,0,IF(INT((93-((核心参数输入!$B$18-1)*4+(核心参数输入!$B$148+核心参数输入!$B$124)+1))/4)=1,核心参数输入!$B$38,IF(INT((93-((核心参数输入!$B$18-1)*4+(核心参数输入!$B$148+核心参数输入!$B$124)+1))/4)=2,核心参数输入!$B$39,IF(INT((93-((核心参数输入!$B$18-1)*4+(核心参数输入!$B$148+核心参数输入!$B$124)+1))/4)=3,核心参数输入!$B$40,核心参数输入!$B$41))))-核心参数输入!$B$80/100))*(MOD(93-((核心参数输入!$B$18-1)*4+(核心参数输入!$B$148+核心参数输入!$B$124)+1),4)+1)/4),0)</f>
        <v>0</v>
      </c>
      <c r="CT125" s="22">
        <f>IF(94&lt;=核心参数输入!$B$9*4,IF(94&lt;((核心参数输入!$B$18-1)*4+(核心参数输入!$B$148+核心参数输入!$B$124)+1),0,MAX(0,IF(INT((94-((核心参数输入!$B$18-1)*4+(核心参数输入!$B$148+核心参数输入!$B$124)+1))/4)=0,0,IF(INT((94-((核心参数输入!$B$18-1)*4+(核心参数输入!$B$148+核心参数输入!$B$124)+1))/4)=1,核心参数输入!$B$38,IF(INT((94-((核心参数输入!$B$18-1)*4+(核心参数输入!$B$148+核心参数输入!$B$124)+1))/4)=2,核心参数输入!$B$39,IF(INT((94-((核心参数输入!$B$18-1)*4+(核心参数输入!$B$148+核心参数输入!$B$124)+1))/4)=3,核心参数输入!$B$40,核心参数输入!$B$41))))-核心参数输入!$B$80/100)+(MAX(0,CT124-核心参数输入!$B$80/100)-MAX(0,IF(INT((94-((核心参数输入!$B$18-1)*4+(核心参数输入!$B$148+核心参数输入!$B$124)+1))/4)=0,0,IF(INT((94-((核心参数输入!$B$18-1)*4+(核心参数输入!$B$148+核心参数输入!$B$124)+1))/4)=1,核心参数输入!$B$38,IF(INT((94-((核心参数输入!$B$18-1)*4+(核心参数输入!$B$148+核心参数输入!$B$124)+1))/4)=2,核心参数输入!$B$39,IF(INT((94-((核心参数输入!$B$18-1)*4+(核心参数输入!$B$148+核心参数输入!$B$124)+1))/4)=3,核心参数输入!$B$40,核心参数输入!$B$41))))-核心参数输入!$B$80/100))*(MOD(94-((核心参数输入!$B$18-1)*4+(核心参数输入!$B$148+核心参数输入!$B$124)+1),4)+1)/4),0)</f>
        <v>0</v>
      </c>
      <c r="CU125" s="22">
        <f>IF(95&lt;=核心参数输入!$B$9*4,IF(95&lt;((核心参数输入!$B$18-1)*4+(核心参数输入!$B$148+核心参数输入!$B$124)+1),0,MAX(0,IF(INT((95-((核心参数输入!$B$18-1)*4+(核心参数输入!$B$148+核心参数输入!$B$124)+1))/4)=0,0,IF(INT((95-((核心参数输入!$B$18-1)*4+(核心参数输入!$B$148+核心参数输入!$B$124)+1))/4)=1,核心参数输入!$B$38,IF(INT((95-((核心参数输入!$B$18-1)*4+(核心参数输入!$B$148+核心参数输入!$B$124)+1))/4)=2,核心参数输入!$B$39,IF(INT((95-((核心参数输入!$B$18-1)*4+(核心参数输入!$B$148+核心参数输入!$B$124)+1))/4)=3,核心参数输入!$B$40,核心参数输入!$B$41))))-核心参数输入!$B$80/100)+(MAX(0,CU124-核心参数输入!$B$80/100)-MAX(0,IF(INT((95-((核心参数输入!$B$18-1)*4+(核心参数输入!$B$148+核心参数输入!$B$124)+1))/4)=0,0,IF(INT((95-((核心参数输入!$B$18-1)*4+(核心参数输入!$B$148+核心参数输入!$B$124)+1))/4)=1,核心参数输入!$B$38,IF(INT((95-((核心参数输入!$B$18-1)*4+(核心参数输入!$B$148+核心参数输入!$B$124)+1))/4)=2,核心参数输入!$B$39,IF(INT((95-((核心参数输入!$B$18-1)*4+(核心参数输入!$B$148+核心参数输入!$B$124)+1))/4)=3,核心参数输入!$B$40,核心参数输入!$B$41))))-核心参数输入!$B$80/100))*(MOD(95-((核心参数输入!$B$18-1)*4+(核心参数输入!$B$148+核心参数输入!$B$124)+1),4)+1)/4),0)</f>
        <v>0</v>
      </c>
      <c r="CV125" s="22">
        <f>IF(96&lt;=核心参数输入!$B$9*4,IF(96&lt;((核心参数输入!$B$18-1)*4+(核心参数输入!$B$148+核心参数输入!$B$124)+1),0,MAX(0,IF(INT((96-((核心参数输入!$B$18-1)*4+(核心参数输入!$B$148+核心参数输入!$B$124)+1))/4)=0,0,IF(INT((96-((核心参数输入!$B$18-1)*4+(核心参数输入!$B$148+核心参数输入!$B$124)+1))/4)=1,核心参数输入!$B$38,IF(INT((96-((核心参数输入!$B$18-1)*4+(核心参数输入!$B$148+核心参数输入!$B$124)+1))/4)=2,核心参数输入!$B$39,IF(INT((96-((核心参数输入!$B$18-1)*4+(核心参数输入!$B$148+核心参数输入!$B$124)+1))/4)=3,核心参数输入!$B$40,核心参数输入!$B$41))))-核心参数输入!$B$80/100)+(MAX(0,CV124-核心参数输入!$B$80/100)-MAX(0,IF(INT((96-((核心参数输入!$B$18-1)*4+(核心参数输入!$B$148+核心参数输入!$B$124)+1))/4)=0,0,IF(INT((96-((核心参数输入!$B$18-1)*4+(核心参数输入!$B$148+核心参数输入!$B$124)+1))/4)=1,核心参数输入!$B$38,IF(INT((96-((核心参数输入!$B$18-1)*4+(核心参数输入!$B$148+核心参数输入!$B$124)+1))/4)=2,核心参数输入!$B$39,IF(INT((96-((核心参数输入!$B$18-1)*4+(核心参数输入!$B$148+核心参数输入!$B$124)+1))/4)=3,核心参数输入!$B$40,核心参数输入!$B$41))))-核心参数输入!$B$80/100))*(MOD(96-((核心参数输入!$B$18-1)*4+(核心参数输入!$B$148+核心参数输入!$B$124)+1),4)+1)/4),0)</f>
        <v>0</v>
      </c>
      <c r="CW125" s="22">
        <f>IF(97&lt;=核心参数输入!$B$9*4,IF(97&lt;((核心参数输入!$B$18-1)*4+(核心参数输入!$B$148+核心参数输入!$B$124)+1),0,MAX(0,IF(INT((97-((核心参数输入!$B$18-1)*4+(核心参数输入!$B$148+核心参数输入!$B$124)+1))/4)=0,0,IF(INT((97-((核心参数输入!$B$18-1)*4+(核心参数输入!$B$148+核心参数输入!$B$124)+1))/4)=1,核心参数输入!$B$38,IF(INT((97-((核心参数输入!$B$18-1)*4+(核心参数输入!$B$148+核心参数输入!$B$124)+1))/4)=2,核心参数输入!$B$39,IF(INT((97-((核心参数输入!$B$18-1)*4+(核心参数输入!$B$148+核心参数输入!$B$124)+1))/4)=3,核心参数输入!$B$40,核心参数输入!$B$41))))-核心参数输入!$B$80/100)+(MAX(0,CW124-核心参数输入!$B$80/100)-MAX(0,IF(INT((97-((核心参数输入!$B$18-1)*4+(核心参数输入!$B$148+核心参数输入!$B$124)+1))/4)=0,0,IF(INT((97-((核心参数输入!$B$18-1)*4+(核心参数输入!$B$148+核心参数输入!$B$124)+1))/4)=1,核心参数输入!$B$38,IF(INT((97-((核心参数输入!$B$18-1)*4+(核心参数输入!$B$148+核心参数输入!$B$124)+1))/4)=2,核心参数输入!$B$39,IF(INT((97-((核心参数输入!$B$18-1)*4+(核心参数输入!$B$148+核心参数输入!$B$124)+1))/4)=3,核心参数输入!$B$40,核心参数输入!$B$41))))-核心参数输入!$B$80/100))*(MOD(97-((核心参数输入!$B$18-1)*4+(核心参数输入!$B$148+核心参数输入!$B$124)+1),4)+1)/4),0)</f>
        <v>0</v>
      </c>
      <c r="CX125" s="22">
        <f>IF(98&lt;=核心参数输入!$B$9*4,IF(98&lt;((核心参数输入!$B$18-1)*4+(核心参数输入!$B$148+核心参数输入!$B$124)+1),0,MAX(0,IF(INT((98-((核心参数输入!$B$18-1)*4+(核心参数输入!$B$148+核心参数输入!$B$124)+1))/4)=0,0,IF(INT((98-((核心参数输入!$B$18-1)*4+(核心参数输入!$B$148+核心参数输入!$B$124)+1))/4)=1,核心参数输入!$B$38,IF(INT((98-((核心参数输入!$B$18-1)*4+(核心参数输入!$B$148+核心参数输入!$B$124)+1))/4)=2,核心参数输入!$B$39,IF(INT((98-((核心参数输入!$B$18-1)*4+(核心参数输入!$B$148+核心参数输入!$B$124)+1))/4)=3,核心参数输入!$B$40,核心参数输入!$B$41))))-核心参数输入!$B$80/100)+(MAX(0,CX124-核心参数输入!$B$80/100)-MAX(0,IF(INT((98-((核心参数输入!$B$18-1)*4+(核心参数输入!$B$148+核心参数输入!$B$124)+1))/4)=0,0,IF(INT((98-((核心参数输入!$B$18-1)*4+(核心参数输入!$B$148+核心参数输入!$B$124)+1))/4)=1,核心参数输入!$B$38,IF(INT((98-((核心参数输入!$B$18-1)*4+(核心参数输入!$B$148+核心参数输入!$B$124)+1))/4)=2,核心参数输入!$B$39,IF(INT((98-((核心参数输入!$B$18-1)*4+(核心参数输入!$B$148+核心参数输入!$B$124)+1))/4)=3,核心参数输入!$B$40,核心参数输入!$B$41))))-核心参数输入!$B$80/100))*(MOD(98-((核心参数输入!$B$18-1)*4+(核心参数输入!$B$148+核心参数输入!$B$124)+1),4)+1)/4),0)</f>
        <v>0</v>
      </c>
      <c r="CY125" s="22">
        <f>IF(99&lt;=核心参数输入!$B$9*4,IF(99&lt;((核心参数输入!$B$18-1)*4+(核心参数输入!$B$148+核心参数输入!$B$124)+1),0,MAX(0,IF(INT((99-((核心参数输入!$B$18-1)*4+(核心参数输入!$B$148+核心参数输入!$B$124)+1))/4)=0,0,IF(INT((99-((核心参数输入!$B$18-1)*4+(核心参数输入!$B$148+核心参数输入!$B$124)+1))/4)=1,核心参数输入!$B$38,IF(INT((99-((核心参数输入!$B$18-1)*4+(核心参数输入!$B$148+核心参数输入!$B$124)+1))/4)=2,核心参数输入!$B$39,IF(INT((99-((核心参数输入!$B$18-1)*4+(核心参数输入!$B$148+核心参数输入!$B$124)+1))/4)=3,核心参数输入!$B$40,核心参数输入!$B$41))))-核心参数输入!$B$80/100)+(MAX(0,CY124-核心参数输入!$B$80/100)-MAX(0,IF(INT((99-((核心参数输入!$B$18-1)*4+(核心参数输入!$B$148+核心参数输入!$B$124)+1))/4)=0,0,IF(INT((99-((核心参数输入!$B$18-1)*4+(核心参数输入!$B$148+核心参数输入!$B$124)+1))/4)=1,核心参数输入!$B$38,IF(INT((99-((核心参数输入!$B$18-1)*4+(核心参数输入!$B$148+核心参数输入!$B$124)+1))/4)=2,核心参数输入!$B$39,IF(INT((99-((核心参数输入!$B$18-1)*4+(核心参数输入!$B$148+核心参数输入!$B$124)+1))/4)=3,核心参数输入!$B$40,核心参数输入!$B$41))))-核心参数输入!$B$80/100))*(MOD(99-((核心参数输入!$B$18-1)*4+(核心参数输入!$B$148+核心参数输入!$B$124)+1),4)+1)/4),0)</f>
        <v>0</v>
      </c>
      <c r="CZ125" s="22">
        <f>IF(100&lt;=核心参数输入!$B$9*4,IF(100&lt;((核心参数输入!$B$18-1)*4+(核心参数输入!$B$148+核心参数输入!$B$124)+1),0,MAX(0,IF(INT((100-((核心参数输入!$B$18-1)*4+(核心参数输入!$B$148+核心参数输入!$B$124)+1))/4)=0,0,IF(INT((100-((核心参数输入!$B$18-1)*4+(核心参数输入!$B$148+核心参数输入!$B$124)+1))/4)=1,核心参数输入!$B$38,IF(INT((100-((核心参数输入!$B$18-1)*4+(核心参数输入!$B$148+核心参数输入!$B$124)+1))/4)=2,核心参数输入!$B$39,IF(INT((100-((核心参数输入!$B$18-1)*4+(核心参数输入!$B$148+核心参数输入!$B$124)+1))/4)=3,核心参数输入!$B$40,核心参数输入!$B$41))))-核心参数输入!$B$80/100)+(MAX(0,CZ124-核心参数输入!$B$80/100)-MAX(0,IF(INT((100-((核心参数输入!$B$18-1)*4+(核心参数输入!$B$148+核心参数输入!$B$124)+1))/4)=0,0,IF(INT((100-((核心参数输入!$B$18-1)*4+(核心参数输入!$B$148+核心参数输入!$B$124)+1))/4)=1,核心参数输入!$B$38,IF(INT((100-((核心参数输入!$B$18-1)*4+(核心参数输入!$B$148+核心参数输入!$B$124)+1))/4)=2,核心参数输入!$B$39,IF(INT((100-((核心参数输入!$B$18-1)*4+(核心参数输入!$B$148+核心参数输入!$B$124)+1))/4)=3,核心参数输入!$B$40,核心参数输入!$B$41))))-核心参数输入!$B$80/100))*(MOD(100-((核心参数输入!$B$18-1)*4+(核心参数输入!$B$148+核心参数输入!$B$124)+1),4)+1)/4),0)</f>
        <v>0</v>
      </c>
      <c r="DA125" s="22">
        <f>IF(101&lt;=核心参数输入!$B$9*4,IF(101&lt;((核心参数输入!$B$18-1)*4+(核心参数输入!$B$148+核心参数输入!$B$124)+1),0,MAX(0,IF(INT((101-((核心参数输入!$B$18-1)*4+(核心参数输入!$B$148+核心参数输入!$B$124)+1))/4)=0,0,IF(INT((101-((核心参数输入!$B$18-1)*4+(核心参数输入!$B$148+核心参数输入!$B$124)+1))/4)=1,核心参数输入!$B$38,IF(INT((101-((核心参数输入!$B$18-1)*4+(核心参数输入!$B$148+核心参数输入!$B$124)+1))/4)=2,核心参数输入!$B$39,IF(INT((101-((核心参数输入!$B$18-1)*4+(核心参数输入!$B$148+核心参数输入!$B$124)+1))/4)=3,核心参数输入!$B$40,核心参数输入!$B$41))))-核心参数输入!$B$80/100)+(MAX(0,DA124-核心参数输入!$B$80/100)-MAX(0,IF(INT((101-((核心参数输入!$B$18-1)*4+(核心参数输入!$B$148+核心参数输入!$B$124)+1))/4)=0,0,IF(INT((101-((核心参数输入!$B$18-1)*4+(核心参数输入!$B$148+核心参数输入!$B$124)+1))/4)=1,核心参数输入!$B$38,IF(INT((101-((核心参数输入!$B$18-1)*4+(核心参数输入!$B$148+核心参数输入!$B$124)+1))/4)=2,核心参数输入!$B$39,IF(INT((101-((核心参数输入!$B$18-1)*4+(核心参数输入!$B$148+核心参数输入!$B$124)+1))/4)=3,核心参数输入!$B$40,核心参数输入!$B$41))))-核心参数输入!$B$80/100))*(MOD(101-((核心参数输入!$B$18-1)*4+(核心参数输入!$B$148+核心参数输入!$B$124)+1),4)+1)/4),0)</f>
        <v>0</v>
      </c>
      <c r="DB125" s="22">
        <f>IF(102&lt;=核心参数输入!$B$9*4,IF(102&lt;((核心参数输入!$B$18-1)*4+(核心参数输入!$B$148+核心参数输入!$B$124)+1),0,MAX(0,IF(INT((102-((核心参数输入!$B$18-1)*4+(核心参数输入!$B$148+核心参数输入!$B$124)+1))/4)=0,0,IF(INT((102-((核心参数输入!$B$18-1)*4+(核心参数输入!$B$148+核心参数输入!$B$124)+1))/4)=1,核心参数输入!$B$38,IF(INT((102-((核心参数输入!$B$18-1)*4+(核心参数输入!$B$148+核心参数输入!$B$124)+1))/4)=2,核心参数输入!$B$39,IF(INT((102-((核心参数输入!$B$18-1)*4+(核心参数输入!$B$148+核心参数输入!$B$124)+1))/4)=3,核心参数输入!$B$40,核心参数输入!$B$41))))-核心参数输入!$B$80/100)+(MAX(0,DB124-核心参数输入!$B$80/100)-MAX(0,IF(INT((102-((核心参数输入!$B$18-1)*4+(核心参数输入!$B$148+核心参数输入!$B$124)+1))/4)=0,0,IF(INT((102-((核心参数输入!$B$18-1)*4+(核心参数输入!$B$148+核心参数输入!$B$124)+1))/4)=1,核心参数输入!$B$38,IF(INT((102-((核心参数输入!$B$18-1)*4+(核心参数输入!$B$148+核心参数输入!$B$124)+1))/4)=2,核心参数输入!$B$39,IF(INT((102-((核心参数输入!$B$18-1)*4+(核心参数输入!$B$148+核心参数输入!$B$124)+1))/4)=3,核心参数输入!$B$40,核心参数输入!$B$41))))-核心参数输入!$B$80/100))*(MOD(102-((核心参数输入!$B$18-1)*4+(核心参数输入!$B$148+核心参数输入!$B$124)+1),4)+1)/4),0)</f>
        <v>0</v>
      </c>
      <c r="DC125" s="22">
        <f>IF(103&lt;=核心参数输入!$B$9*4,IF(103&lt;((核心参数输入!$B$18-1)*4+(核心参数输入!$B$148+核心参数输入!$B$124)+1),0,MAX(0,IF(INT((103-((核心参数输入!$B$18-1)*4+(核心参数输入!$B$148+核心参数输入!$B$124)+1))/4)=0,0,IF(INT((103-((核心参数输入!$B$18-1)*4+(核心参数输入!$B$148+核心参数输入!$B$124)+1))/4)=1,核心参数输入!$B$38,IF(INT((103-((核心参数输入!$B$18-1)*4+(核心参数输入!$B$148+核心参数输入!$B$124)+1))/4)=2,核心参数输入!$B$39,IF(INT((103-((核心参数输入!$B$18-1)*4+(核心参数输入!$B$148+核心参数输入!$B$124)+1))/4)=3,核心参数输入!$B$40,核心参数输入!$B$41))))-核心参数输入!$B$80/100)+(MAX(0,DC124-核心参数输入!$B$80/100)-MAX(0,IF(INT((103-((核心参数输入!$B$18-1)*4+(核心参数输入!$B$148+核心参数输入!$B$124)+1))/4)=0,0,IF(INT((103-((核心参数输入!$B$18-1)*4+(核心参数输入!$B$148+核心参数输入!$B$124)+1))/4)=1,核心参数输入!$B$38,IF(INT((103-((核心参数输入!$B$18-1)*4+(核心参数输入!$B$148+核心参数输入!$B$124)+1))/4)=2,核心参数输入!$B$39,IF(INT((103-((核心参数输入!$B$18-1)*4+(核心参数输入!$B$148+核心参数输入!$B$124)+1))/4)=3,核心参数输入!$B$40,核心参数输入!$B$41))))-核心参数输入!$B$80/100))*(MOD(103-((核心参数输入!$B$18-1)*4+(核心参数输入!$B$148+核心参数输入!$B$124)+1),4)+1)/4),0)</f>
        <v>0</v>
      </c>
      <c r="DD125" s="22">
        <f>IF(104&lt;=核心参数输入!$B$9*4,IF(104&lt;((核心参数输入!$B$18-1)*4+(核心参数输入!$B$148+核心参数输入!$B$124)+1),0,MAX(0,IF(INT((104-((核心参数输入!$B$18-1)*4+(核心参数输入!$B$148+核心参数输入!$B$124)+1))/4)=0,0,IF(INT((104-((核心参数输入!$B$18-1)*4+(核心参数输入!$B$148+核心参数输入!$B$124)+1))/4)=1,核心参数输入!$B$38,IF(INT((104-((核心参数输入!$B$18-1)*4+(核心参数输入!$B$148+核心参数输入!$B$124)+1))/4)=2,核心参数输入!$B$39,IF(INT((104-((核心参数输入!$B$18-1)*4+(核心参数输入!$B$148+核心参数输入!$B$124)+1))/4)=3,核心参数输入!$B$40,核心参数输入!$B$41))))-核心参数输入!$B$80/100)+(MAX(0,DD124-核心参数输入!$B$80/100)-MAX(0,IF(INT((104-((核心参数输入!$B$18-1)*4+(核心参数输入!$B$148+核心参数输入!$B$124)+1))/4)=0,0,IF(INT((104-((核心参数输入!$B$18-1)*4+(核心参数输入!$B$148+核心参数输入!$B$124)+1))/4)=1,核心参数输入!$B$38,IF(INT((104-((核心参数输入!$B$18-1)*4+(核心参数输入!$B$148+核心参数输入!$B$124)+1))/4)=2,核心参数输入!$B$39,IF(INT((104-((核心参数输入!$B$18-1)*4+(核心参数输入!$B$148+核心参数输入!$B$124)+1))/4)=3,核心参数输入!$B$40,核心参数输入!$B$41))))-核心参数输入!$B$80/100))*(MOD(104-((核心参数输入!$B$18-1)*4+(核心参数输入!$B$148+核心参数输入!$B$124)+1),4)+1)/4),0)</f>
        <v>0</v>
      </c>
      <c r="DE125" s="22">
        <f>IF(105&lt;=核心参数输入!$B$9*4,IF(105&lt;((核心参数输入!$B$18-1)*4+(核心参数输入!$B$148+核心参数输入!$B$124)+1),0,MAX(0,IF(INT((105-((核心参数输入!$B$18-1)*4+(核心参数输入!$B$148+核心参数输入!$B$124)+1))/4)=0,0,IF(INT((105-((核心参数输入!$B$18-1)*4+(核心参数输入!$B$148+核心参数输入!$B$124)+1))/4)=1,核心参数输入!$B$38,IF(INT((105-((核心参数输入!$B$18-1)*4+(核心参数输入!$B$148+核心参数输入!$B$124)+1))/4)=2,核心参数输入!$B$39,IF(INT((105-((核心参数输入!$B$18-1)*4+(核心参数输入!$B$148+核心参数输入!$B$124)+1))/4)=3,核心参数输入!$B$40,核心参数输入!$B$41))))-核心参数输入!$B$80/100)+(MAX(0,DE124-核心参数输入!$B$80/100)-MAX(0,IF(INT((105-((核心参数输入!$B$18-1)*4+(核心参数输入!$B$148+核心参数输入!$B$124)+1))/4)=0,0,IF(INT((105-((核心参数输入!$B$18-1)*4+(核心参数输入!$B$148+核心参数输入!$B$124)+1))/4)=1,核心参数输入!$B$38,IF(INT((105-((核心参数输入!$B$18-1)*4+(核心参数输入!$B$148+核心参数输入!$B$124)+1))/4)=2,核心参数输入!$B$39,IF(INT((105-((核心参数输入!$B$18-1)*4+(核心参数输入!$B$148+核心参数输入!$B$124)+1))/4)=3,核心参数输入!$B$40,核心参数输入!$B$41))))-核心参数输入!$B$80/100))*(MOD(105-((核心参数输入!$B$18-1)*4+(核心参数输入!$B$148+核心参数输入!$B$124)+1),4)+1)/4),0)</f>
        <v>0</v>
      </c>
      <c r="DF125" s="22">
        <f>IF(106&lt;=核心参数输入!$B$9*4,IF(106&lt;((核心参数输入!$B$18-1)*4+(核心参数输入!$B$148+核心参数输入!$B$124)+1),0,MAX(0,IF(INT((106-((核心参数输入!$B$18-1)*4+(核心参数输入!$B$148+核心参数输入!$B$124)+1))/4)=0,0,IF(INT((106-((核心参数输入!$B$18-1)*4+(核心参数输入!$B$148+核心参数输入!$B$124)+1))/4)=1,核心参数输入!$B$38,IF(INT((106-((核心参数输入!$B$18-1)*4+(核心参数输入!$B$148+核心参数输入!$B$124)+1))/4)=2,核心参数输入!$B$39,IF(INT((106-((核心参数输入!$B$18-1)*4+(核心参数输入!$B$148+核心参数输入!$B$124)+1))/4)=3,核心参数输入!$B$40,核心参数输入!$B$41))))-核心参数输入!$B$80/100)+(MAX(0,DF124-核心参数输入!$B$80/100)-MAX(0,IF(INT((106-((核心参数输入!$B$18-1)*4+(核心参数输入!$B$148+核心参数输入!$B$124)+1))/4)=0,0,IF(INT((106-((核心参数输入!$B$18-1)*4+(核心参数输入!$B$148+核心参数输入!$B$124)+1))/4)=1,核心参数输入!$B$38,IF(INT((106-((核心参数输入!$B$18-1)*4+(核心参数输入!$B$148+核心参数输入!$B$124)+1))/4)=2,核心参数输入!$B$39,IF(INT((106-((核心参数输入!$B$18-1)*4+(核心参数输入!$B$148+核心参数输入!$B$124)+1))/4)=3,核心参数输入!$B$40,核心参数输入!$B$41))))-核心参数输入!$B$80/100))*(MOD(106-((核心参数输入!$B$18-1)*4+(核心参数输入!$B$148+核心参数输入!$B$124)+1),4)+1)/4),0)</f>
        <v>0</v>
      </c>
      <c r="DG125" s="22">
        <f>IF(107&lt;=核心参数输入!$B$9*4,IF(107&lt;((核心参数输入!$B$18-1)*4+(核心参数输入!$B$148+核心参数输入!$B$124)+1),0,MAX(0,IF(INT((107-((核心参数输入!$B$18-1)*4+(核心参数输入!$B$148+核心参数输入!$B$124)+1))/4)=0,0,IF(INT((107-((核心参数输入!$B$18-1)*4+(核心参数输入!$B$148+核心参数输入!$B$124)+1))/4)=1,核心参数输入!$B$38,IF(INT((107-((核心参数输入!$B$18-1)*4+(核心参数输入!$B$148+核心参数输入!$B$124)+1))/4)=2,核心参数输入!$B$39,IF(INT((107-((核心参数输入!$B$18-1)*4+(核心参数输入!$B$148+核心参数输入!$B$124)+1))/4)=3,核心参数输入!$B$40,核心参数输入!$B$41))))-核心参数输入!$B$80/100)+(MAX(0,DG124-核心参数输入!$B$80/100)-MAX(0,IF(INT((107-((核心参数输入!$B$18-1)*4+(核心参数输入!$B$148+核心参数输入!$B$124)+1))/4)=0,0,IF(INT((107-((核心参数输入!$B$18-1)*4+(核心参数输入!$B$148+核心参数输入!$B$124)+1))/4)=1,核心参数输入!$B$38,IF(INT((107-((核心参数输入!$B$18-1)*4+(核心参数输入!$B$148+核心参数输入!$B$124)+1))/4)=2,核心参数输入!$B$39,IF(INT((107-((核心参数输入!$B$18-1)*4+(核心参数输入!$B$148+核心参数输入!$B$124)+1))/4)=3,核心参数输入!$B$40,核心参数输入!$B$41))))-核心参数输入!$B$80/100))*(MOD(107-((核心参数输入!$B$18-1)*4+(核心参数输入!$B$148+核心参数输入!$B$124)+1),4)+1)/4),0)</f>
        <v>0</v>
      </c>
      <c r="DH125" s="22">
        <f>IF(108&lt;=核心参数输入!$B$9*4,IF(108&lt;((核心参数输入!$B$18-1)*4+(核心参数输入!$B$148+核心参数输入!$B$124)+1),0,MAX(0,IF(INT((108-((核心参数输入!$B$18-1)*4+(核心参数输入!$B$148+核心参数输入!$B$124)+1))/4)=0,0,IF(INT((108-((核心参数输入!$B$18-1)*4+(核心参数输入!$B$148+核心参数输入!$B$124)+1))/4)=1,核心参数输入!$B$38,IF(INT((108-((核心参数输入!$B$18-1)*4+(核心参数输入!$B$148+核心参数输入!$B$124)+1))/4)=2,核心参数输入!$B$39,IF(INT((108-((核心参数输入!$B$18-1)*4+(核心参数输入!$B$148+核心参数输入!$B$124)+1))/4)=3,核心参数输入!$B$40,核心参数输入!$B$41))))-核心参数输入!$B$80/100)+(MAX(0,DH124-核心参数输入!$B$80/100)-MAX(0,IF(INT((108-((核心参数输入!$B$18-1)*4+(核心参数输入!$B$148+核心参数输入!$B$124)+1))/4)=0,0,IF(INT((108-((核心参数输入!$B$18-1)*4+(核心参数输入!$B$148+核心参数输入!$B$124)+1))/4)=1,核心参数输入!$B$38,IF(INT((108-((核心参数输入!$B$18-1)*4+(核心参数输入!$B$148+核心参数输入!$B$124)+1))/4)=2,核心参数输入!$B$39,IF(INT((108-((核心参数输入!$B$18-1)*4+(核心参数输入!$B$148+核心参数输入!$B$124)+1))/4)=3,核心参数输入!$B$40,核心参数输入!$B$41))))-核心参数输入!$B$80/100))*(MOD(108-((核心参数输入!$B$18-1)*4+(核心参数输入!$B$148+核心参数输入!$B$124)+1),4)+1)/4),0)</f>
        <v>0</v>
      </c>
      <c r="DI125" s="22">
        <f>IF(109&lt;=核心参数输入!$B$9*4,IF(109&lt;((核心参数输入!$B$18-1)*4+(核心参数输入!$B$148+核心参数输入!$B$124)+1),0,MAX(0,IF(INT((109-((核心参数输入!$B$18-1)*4+(核心参数输入!$B$148+核心参数输入!$B$124)+1))/4)=0,0,IF(INT((109-((核心参数输入!$B$18-1)*4+(核心参数输入!$B$148+核心参数输入!$B$124)+1))/4)=1,核心参数输入!$B$38,IF(INT((109-((核心参数输入!$B$18-1)*4+(核心参数输入!$B$148+核心参数输入!$B$124)+1))/4)=2,核心参数输入!$B$39,IF(INT((109-((核心参数输入!$B$18-1)*4+(核心参数输入!$B$148+核心参数输入!$B$124)+1))/4)=3,核心参数输入!$B$40,核心参数输入!$B$41))))-核心参数输入!$B$80/100)+(MAX(0,DI124-核心参数输入!$B$80/100)-MAX(0,IF(INT((109-((核心参数输入!$B$18-1)*4+(核心参数输入!$B$148+核心参数输入!$B$124)+1))/4)=0,0,IF(INT((109-((核心参数输入!$B$18-1)*4+(核心参数输入!$B$148+核心参数输入!$B$124)+1))/4)=1,核心参数输入!$B$38,IF(INT((109-((核心参数输入!$B$18-1)*4+(核心参数输入!$B$148+核心参数输入!$B$124)+1))/4)=2,核心参数输入!$B$39,IF(INT((109-((核心参数输入!$B$18-1)*4+(核心参数输入!$B$148+核心参数输入!$B$124)+1))/4)=3,核心参数输入!$B$40,核心参数输入!$B$41))))-核心参数输入!$B$80/100))*(MOD(109-((核心参数输入!$B$18-1)*4+(核心参数输入!$B$148+核心参数输入!$B$124)+1),4)+1)/4),0)</f>
        <v>0</v>
      </c>
      <c r="DJ125" s="22">
        <f>IF(110&lt;=核心参数输入!$B$9*4,IF(110&lt;((核心参数输入!$B$18-1)*4+(核心参数输入!$B$148+核心参数输入!$B$124)+1),0,MAX(0,IF(INT((110-((核心参数输入!$B$18-1)*4+(核心参数输入!$B$148+核心参数输入!$B$124)+1))/4)=0,0,IF(INT((110-((核心参数输入!$B$18-1)*4+(核心参数输入!$B$148+核心参数输入!$B$124)+1))/4)=1,核心参数输入!$B$38,IF(INT((110-((核心参数输入!$B$18-1)*4+(核心参数输入!$B$148+核心参数输入!$B$124)+1))/4)=2,核心参数输入!$B$39,IF(INT((110-((核心参数输入!$B$18-1)*4+(核心参数输入!$B$148+核心参数输入!$B$124)+1))/4)=3,核心参数输入!$B$40,核心参数输入!$B$41))))-核心参数输入!$B$80/100)+(MAX(0,DJ124-核心参数输入!$B$80/100)-MAX(0,IF(INT((110-((核心参数输入!$B$18-1)*4+(核心参数输入!$B$148+核心参数输入!$B$124)+1))/4)=0,0,IF(INT((110-((核心参数输入!$B$18-1)*4+(核心参数输入!$B$148+核心参数输入!$B$124)+1))/4)=1,核心参数输入!$B$38,IF(INT((110-((核心参数输入!$B$18-1)*4+(核心参数输入!$B$148+核心参数输入!$B$124)+1))/4)=2,核心参数输入!$B$39,IF(INT((110-((核心参数输入!$B$18-1)*4+(核心参数输入!$B$148+核心参数输入!$B$124)+1))/4)=3,核心参数输入!$B$40,核心参数输入!$B$41))))-核心参数输入!$B$80/100))*(MOD(110-((核心参数输入!$B$18-1)*4+(核心参数输入!$B$148+核心参数输入!$B$124)+1),4)+1)/4),0)</f>
        <v>0</v>
      </c>
      <c r="DK125" s="22">
        <f>IF(111&lt;=核心参数输入!$B$9*4,IF(111&lt;((核心参数输入!$B$18-1)*4+(核心参数输入!$B$148+核心参数输入!$B$124)+1),0,MAX(0,IF(INT((111-((核心参数输入!$B$18-1)*4+(核心参数输入!$B$148+核心参数输入!$B$124)+1))/4)=0,0,IF(INT((111-((核心参数输入!$B$18-1)*4+(核心参数输入!$B$148+核心参数输入!$B$124)+1))/4)=1,核心参数输入!$B$38,IF(INT((111-((核心参数输入!$B$18-1)*4+(核心参数输入!$B$148+核心参数输入!$B$124)+1))/4)=2,核心参数输入!$B$39,IF(INT((111-((核心参数输入!$B$18-1)*4+(核心参数输入!$B$148+核心参数输入!$B$124)+1))/4)=3,核心参数输入!$B$40,核心参数输入!$B$41))))-核心参数输入!$B$80/100)+(MAX(0,DK124-核心参数输入!$B$80/100)-MAX(0,IF(INT((111-((核心参数输入!$B$18-1)*4+(核心参数输入!$B$148+核心参数输入!$B$124)+1))/4)=0,0,IF(INT((111-((核心参数输入!$B$18-1)*4+(核心参数输入!$B$148+核心参数输入!$B$124)+1))/4)=1,核心参数输入!$B$38,IF(INT((111-((核心参数输入!$B$18-1)*4+(核心参数输入!$B$148+核心参数输入!$B$124)+1))/4)=2,核心参数输入!$B$39,IF(INT((111-((核心参数输入!$B$18-1)*4+(核心参数输入!$B$148+核心参数输入!$B$124)+1))/4)=3,核心参数输入!$B$40,核心参数输入!$B$41))))-核心参数输入!$B$80/100))*(MOD(111-((核心参数输入!$B$18-1)*4+(核心参数输入!$B$148+核心参数输入!$B$124)+1),4)+1)/4),0)</f>
        <v>0</v>
      </c>
      <c r="DL125" s="22">
        <f>IF(112&lt;=核心参数输入!$B$9*4,IF(112&lt;((核心参数输入!$B$18-1)*4+(核心参数输入!$B$148+核心参数输入!$B$124)+1),0,MAX(0,IF(INT((112-((核心参数输入!$B$18-1)*4+(核心参数输入!$B$148+核心参数输入!$B$124)+1))/4)=0,0,IF(INT((112-((核心参数输入!$B$18-1)*4+(核心参数输入!$B$148+核心参数输入!$B$124)+1))/4)=1,核心参数输入!$B$38,IF(INT((112-((核心参数输入!$B$18-1)*4+(核心参数输入!$B$148+核心参数输入!$B$124)+1))/4)=2,核心参数输入!$B$39,IF(INT((112-((核心参数输入!$B$18-1)*4+(核心参数输入!$B$148+核心参数输入!$B$124)+1))/4)=3,核心参数输入!$B$40,核心参数输入!$B$41))))-核心参数输入!$B$80/100)+(MAX(0,DL124-核心参数输入!$B$80/100)-MAX(0,IF(INT((112-((核心参数输入!$B$18-1)*4+(核心参数输入!$B$148+核心参数输入!$B$124)+1))/4)=0,0,IF(INT((112-((核心参数输入!$B$18-1)*4+(核心参数输入!$B$148+核心参数输入!$B$124)+1))/4)=1,核心参数输入!$B$38,IF(INT((112-((核心参数输入!$B$18-1)*4+(核心参数输入!$B$148+核心参数输入!$B$124)+1))/4)=2,核心参数输入!$B$39,IF(INT((112-((核心参数输入!$B$18-1)*4+(核心参数输入!$B$148+核心参数输入!$B$124)+1))/4)=3,核心参数输入!$B$40,核心参数输入!$B$41))))-核心参数输入!$B$80/100))*(MOD(112-((核心参数输入!$B$18-1)*4+(核心参数输入!$B$148+核心参数输入!$B$124)+1),4)+1)/4),0)</f>
        <v>0</v>
      </c>
      <c r="DM125" s="22">
        <f>IF(113&lt;=核心参数输入!$B$9*4,IF(113&lt;((核心参数输入!$B$18-1)*4+(核心参数输入!$B$148+核心参数输入!$B$124)+1),0,MAX(0,IF(INT((113-((核心参数输入!$B$18-1)*4+(核心参数输入!$B$148+核心参数输入!$B$124)+1))/4)=0,0,IF(INT((113-((核心参数输入!$B$18-1)*4+(核心参数输入!$B$148+核心参数输入!$B$124)+1))/4)=1,核心参数输入!$B$38,IF(INT((113-((核心参数输入!$B$18-1)*4+(核心参数输入!$B$148+核心参数输入!$B$124)+1))/4)=2,核心参数输入!$B$39,IF(INT((113-((核心参数输入!$B$18-1)*4+(核心参数输入!$B$148+核心参数输入!$B$124)+1))/4)=3,核心参数输入!$B$40,核心参数输入!$B$41))))-核心参数输入!$B$80/100)+(MAX(0,DM124-核心参数输入!$B$80/100)-MAX(0,IF(INT((113-((核心参数输入!$B$18-1)*4+(核心参数输入!$B$148+核心参数输入!$B$124)+1))/4)=0,0,IF(INT((113-((核心参数输入!$B$18-1)*4+(核心参数输入!$B$148+核心参数输入!$B$124)+1))/4)=1,核心参数输入!$B$38,IF(INT((113-((核心参数输入!$B$18-1)*4+(核心参数输入!$B$148+核心参数输入!$B$124)+1))/4)=2,核心参数输入!$B$39,IF(INT((113-((核心参数输入!$B$18-1)*4+(核心参数输入!$B$148+核心参数输入!$B$124)+1))/4)=3,核心参数输入!$B$40,核心参数输入!$B$41))))-核心参数输入!$B$80/100))*(MOD(113-((核心参数输入!$B$18-1)*4+(核心参数输入!$B$148+核心参数输入!$B$124)+1),4)+1)/4),0)</f>
        <v>0</v>
      </c>
      <c r="DN125" s="22">
        <f>IF(114&lt;=核心参数输入!$B$9*4,IF(114&lt;((核心参数输入!$B$18-1)*4+(核心参数输入!$B$148+核心参数输入!$B$124)+1),0,MAX(0,IF(INT((114-((核心参数输入!$B$18-1)*4+(核心参数输入!$B$148+核心参数输入!$B$124)+1))/4)=0,0,IF(INT((114-((核心参数输入!$B$18-1)*4+(核心参数输入!$B$148+核心参数输入!$B$124)+1))/4)=1,核心参数输入!$B$38,IF(INT((114-((核心参数输入!$B$18-1)*4+(核心参数输入!$B$148+核心参数输入!$B$124)+1))/4)=2,核心参数输入!$B$39,IF(INT((114-((核心参数输入!$B$18-1)*4+(核心参数输入!$B$148+核心参数输入!$B$124)+1))/4)=3,核心参数输入!$B$40,核心参数输入!$B$41))))-核心参数输入!$B$80/100)+(MAX(0,DN124-核心参数输入!$B$80/100)-MAX(0,IF(INT((114-((核心参数输入!$B$18-1)*4+(核心参数输入!$B$148+核心参数输入!$B$124)+1))/4)=0,0,IF(INT((114-((核心参数输入!$B$18-1)*4+(核心参数输入!$B$148+核心参数输入!$B$124)+1))/4)=1,核心参数输入!$B$38,IF(INT((114-((核心参数输入!$B$18-1)*4+(核心参数输入!$B$148+核心参数输入!$B$124)+1))/4)=2,核心参数输入!$B$39,IF(INT((114-((核心参数输入!$B$18-1)*4+(核心参数输入!$B$148+核心参数输入!$B$124)+1))/4)=3,核心参数输入!$B$40,核心参数输入!$B$41))))-核心参数输入!$B$80/100))*(MOD(114-((核心参数输入!$B$18-1)*4+(核心参数输入!$B$148+核心参数输入!$B$124)+1),4)+1)/4),0)</f>
        <v>0</v>
      </c>
      <c r="DO125" s="22">
        <f>IF(115&lt;=核心参数输入!$B$9*4,IF(115&lt;((核心参数输入!$B$18-1)*4+(核心参数输入!$B$148+核心参数输入!$B$124)+1),0,MAX(0,IF(INT((115-((核心参数输入!$B$18-1)*4+(核心参数输入!$B$148+核心参数输入!$B$124)+1))/4)=0,0,IF(INT((115-((核心参数输入!$B$18-1)*4+(核心参数输入!$B$148+核心参数输入!$B$124)+1))/4)=1,核心参数输入!$B$38,IF(INT((115-((核心参数输入!$B$18-1)*4+(核心参数输入!$B$148+核心参数输入!$B$124)+1))/4)=2,核心参数输入!$B$39,IF(INT((115-((核心参数输入!$B$18-1)*4+(核心参数输入!$B$148+核心参数输入!$B$124)+1))/4)=3,核心参数输入!$B$40,核心参数输入!$B$41))))-核心参数输入!$B$80/100)+(MAX(0,DO124-核心参数输入!$B$80/100)-MAX(0,IF(INT((115-((核心参数输入!$B$18-1)*4+(核心参数输入!$B$148+核心参数输入!$B$124)+1))/4)=0,0,IF(INT((115-((核心参数输入!$B$18-1)*4+(核心参数输入!$B$148+核心参数输入!$B$124)+1))/4)=1,核心参数输入!$B$38,IF(INT((115-((核心参数输入!$B$18-1)*4+(核心参数输入!$B$148+核心参数输入!$B$124)+1))/4)=2,核心参数输入!$B$39,IF(INT((115-((核心参数输入!$B$18-1)*4+(核心参数输入!$B$148+核心参数输入!$B$124)+1))/4)=3,核心参数输入!$B$40,核心参数输入!$B$41))))-核心参数输入!$B$80/100))*(MOD(115-((核心参数输入!$B$18-1)*4+(核心参数输入!$B$148+核心参数输入!$B$124)+1),4)+1)/4),0)</f>
        <v>0</v>
      </c>
      <c r="DP125" s="22">
        <f>IF(116&lt;=核心参数输入!$B$9*4,IF(116&lt;((核心参数输入!$B$18-1)*4+(核心参数输入!$B$148+核心参数输入!$B$124)+1),0,MAX(0,IF(INT((116-((核心参数输入!$B$18-1)*4+(核心参数输入!$B$148+核心参数输入!$B$124)+1))/4)=0,0,IF(INT((116-((核心参数输入!$B$18-1)*4+(核心参数输入!$B$148+核心参数输入!$B$124)+1))/4)=1,核心参数输入!$B$38,IF(INT((116-((核心参数输入!$B$18-1)*4+(核心参数输入!$B$148+核心参数输入!$B$124)+1))/4)=2,核心参数输入!$B$39,IF(INT((116-((核心参数输入!$B$18-1)*4+(核心参数输入!$B$148+核心参数输入!$B$124)+1))/4)=3,核心参数输入!$B$40,核心参数输入!$B$41))))-核心参数输入!$B$80/100)+(MAX(0,DP124-核心参数输入!$B$80/100)-MAX(0,IF(INT((116-((核心参数输入!$B$18-1)*4+(核心参数输入!$B$148+核心参数输入!$B$124)+1))/4)=0,0,IF(INT((116-((核心参数输入!$B$18-1)*4+(核心参数输入!$B$148+核心参数输入!$B$124)+1))/4)=1,核心参数输入!$B$38,IF(INT((116-((核心参数输入!$B$18-1)*4+(核心参数输入!$B$148+核心参数输入!$B$124)+1))/4)=2,核心参数输入!$B$39,IF(INT((116-((核心参数输入!$B$18-1)*4+(核心参数输入!$B$148+核心参数输入!$B$124)+1))/4)=3,核心参数输入!$B$40,核心参数输入!$B$41))))-核心参数输入!$B$80/100))*(MOD(116-((核心参数输入!$B$18-1)*4+(核心参数输入!$B$148+核心参数输入!$B$124)+1),4)+1)/4),0)</f>
        <v>0</v>
      </c>
      <c r="DQ125" s="22">
        <f>IF(117&lt;=核心参数输入!$B$9*4,IF(117&lt;((核心参数输入!$B$18-1)*4+(核心参数输入!$B$148+核心参数输入!$B$124)+1),0,MAX(0,IF(INT((117-((核心参数输入!$B$18-1)*4+(核心参数输入!$B$148+核心参数输入!$B$124)+1))/4)=0,0,IF(INT((117-((核心参数输入!$B$18-1)*4+(核心参数输入!$B$148+核心参数输入!$B$124)+1))/4)=1,核心参数输入!$B$38,IF(INT((117-((核心参数输入!$B$18-1)*4+(核心参数输入!$B$148+核心参数输入!$B$124)+1))/4)=2,核心参数输入!$B$39,IF(INT((117-((核心参数输入!$B$18-1)*4+(核心参数输入!$B$148+核心参数输入!$B$124)+1))/4)=3,核心参数输入!$B$40,核心参数输入!$B$41))))-核心参数输入!$B$80/100)+(MAX(0,DQ124-核心参数输入!$B$80/100)-MAX(0,IF(INT((117-((核心参数输入!$B$18-1)*4+(核心参数输入!$B$148+核心参数输入!$B$124)+1))/4)=0,0,IF(INT((117-((核心参数输入!$B$18-1)*4+(核心参数输入!$B$148+核心参数输入!$B$124)+1))/4)=1,核心参数输入!$B$38,IF(INT((117-((核心参数输入!$B$18-1)*4+(核心参数输入!$B$148+核心参数输入!$B$124)+1))/4)=2,核心参数输入!$B$39,IF(INT((117-((核心参数输入!$B$18-1)*4+(核心参数输入!$B$148+核心参数输入!$B$124)+1))/4)=3,核心参数输入!$B$40,核心参数输入!$B$41))))-核心参数输入!$B$80/100))*(MOD(117-((核心参数输入!$B$18-1)*4+(核心参数输入!$B$148+核心参数输入!$B$124)+1),4)+1)/4),0)</f>
        <v>0</v>
      </c>
      <c r="DR125" s="22">
        <f>IF(118&lt;=核心参数输入!$B$9*4,IF(118&lt;((核心参数输入!$B$18-1)*4+(核心参数输入!$B$148+核心参数输入!$B$124)+1),0,MAX(0,IF(INT((118-((核心参数输入!$B$18-1)*4+(核心参数输入!$B$148+核心参数输入!$B$124)+1))/4)=0,0,IF(INT((118-((核心参数输入!$B$18-1)*4+(核心参数输入!$B$148+核心参数输入!$B$124)+1))/4)=1,核心参数输入!$B$38,IF(INT((118-((核心参数输入!$B$18-1)*4+(核心参数输入!$B$148+核心参数输入!$B$124)+1))/4)=2,核心参数输入!$B$39,IF(INT((118-((核心参数输入!$B$18-1)*4+(核心参数输入!$B$148+核心参数输入!$B$124)+1))/4)=3,核心参数输入!$B$40,核心参数输入!$B$41))))-核心参数输入!$B$80/100)+(MAX(0,DR124-核心参数输入!$B$80/100)-MAX(0,IF(INT((118-((核心参数输入!$B$18-1)*4+(核心参数输入!$B$148+核心参数输入!$B$124)+1))/4)=0,0,IF(INT((118-((核心参数输入!$B$18-1)*4+(核心参数输入!$B$148+核心参数输入!$B$124)+1))/4)=1,核心参数输入!$B$38,IF(INT((118-((核心参数输入!$B$18-1)*4+(核心参数输入!$B$148+核心参数输入!$B$124)+1))/4)=2,核心参数输入!$B$39,IF(INT((118-((核心参数输入!$B$18-1)*4+(核心参数输入!$B$148+核心参数输入!$B$124)+1))/4)=3,核心参数输入!$B$40,核心参数输入!$B$41))))-核心参数输入!$B$80/100))*(MOD(118-((核心参数输入!$B$18-1)*4+(核心参数输入!$B$148+核心参数输入!$B$124)+1),4)+1)/4),0)</f>
        <v>0</v>
      </c>
      <c r="DS125" s="22">
        <f>IF(119&lt;=核心参数输入!$B$9*4,IF(119&lt;((核心参数输入!$B$18-1)*4+(核心参数输入!$B$148+核心参数输入!$B$124)+1),0,MAX(0,IF(INT((119-((核心参数输入!$B$18-1)*4+(核心参数输入!$B$148+核心参数输入!$B$124)+1))/4)=0,0,IF(INT((119-((核心参数输入!$B$18-1)*4+(核心参数输入!$B$148+核心参数输入!$B$124)+1))/4)=1,核心参数输入!$B$38,IF(INT((119-((核心参数输入!$B$18-1)*4+(核心参数输入!$B$148+核心参数输入!$B$124)+1))/4)=2,核心参数输入!$B$39,IF(INT((119-((核心参数输入!$B$18-1)*4+(核心参数输入!$B$148+核心参数输入!$B$124)+1))/4)=3,核心参数输入!$B$40,核心参数输入!$B$41))))-核心参数输入!$B$80/100)+(MAX(0,DS124-核心参数输入!$B$80/100)-MAX(0,IF(INT((119-((核心参数输入!$B$18-1)*4+(核心参数输入!$B$148+核心参数输入!$B$124)+1))/4)=0,0,IF(INT((119-((核心参数输入!$B$18-1)*4+(核心参数输入!$B$148+核心参数输入!$B$124)+1))/4)=1,核心参数输入!$B$38,IF(INT((119-((核心参数输入!$B$18-1)*4+(核心参数输入!$B$148+核心参数输入!$B$124)+1))/4)=2,核心参数输入!$B$39,IF(INT((119-((核心参数输入!$B$18-1)*4+(核心参数输入!$B$148+核心参数输入!$B$124)+1))/4)=3,核心参数输入!$B$40,核心参数输入!$B$41))))-核心参数输入!$B$80/100))*(MOD(119-((核心参数输入!$B$18-1)*4+(核心参数输入!$B$148+核心参数输入!$B$124)+1),4)+1)/4),0)</f>
        <v>0</v>
      </c>
      <c r="DT125" s="22">
        <f>IF(120&lt;=核心参数输入!$B$9*4,IF(120&lt;((核心参数输入!$B$18-1)*4+(核心参数输入!$B$148+核心参数输入!$B$124)+1),0,MAX(0,IF(INT((120-((核心参数输入!$B$18-1)*4+(核心参数输入!$B$148+核心参数输入!$B$124)+1))/4)=0,0,IF(INT((120-((核心参数输入!$B$18-1)*4+(核心参数输入!$B$148+核心参数输入!$B$124)+1))/4)=1,核心参数输入!$B$38,IF(INT((120-((核心参数输入!$B$18-1)*4+(核心参数输入!$B$148+核心参数输入!$B$124)+1))/4)=2,核心参数输入!$B$39,IF(INT((120-((核心参数输入!$B$18-1)*4+(核心参数输入!$B$148+核心参数输入!$B$124)+1))/4)=3,核心参数输入!$B$40,核心参数输入!$B$41))))-核心参数输入!$B$80/100)+(MAX(0,DT124-核心参数输入!$B$80/100)-MAX(0,IF(INT((120-((核心参数输入!$B$18-1)*4+(核心参数输入!$B$148+核心参数输入!$B$124)+1))/4)=0,0,IF(INT((120-((核心参数输入!$B$18-1)*4+(核心参数输入!$B$148+核心参数输入!$B$124)+1))/4)=1,核心参数输入!$B$38,IF(INT((120-((核心参数输入!$B$18-1)*4+(核心参数输入!$B$148+核心参数输入!$B$124)+1))/4)=2,核心参数输入!$B$39,IF(INT((120-((核心参数输入!$B$18-1)*4+(核心参数输入!$B$148+核心参数输入!$B$124)+1))/4)=3,核心参数输入!$B$40,核心参数输入!$B$41))))-核心参数输入!$B$80/100))*(MOD(120-((核心参数输入!$B$18-1)*4+(核心参数输入!$B$148+核心参数输入!$B$124)+1),4)+1)/4),0)</f>
        <v>0</v>
      </c>
    </row>
    <row r="126" spans="1:124" ht="21" customHeight="1">
      <c r="A126" s="8" t="s">
        <v>452</v>
      </c>
      <c r="B126" s="8" t="s">
        <v>39</v>
      </c>
      <c r="C126" s="8"/>
      <c r="D126" s="9">
        <f>IF(0&lt;=核心参数输入!$B$9*4,0,0)</f>
        <v>0</v>
      </c>
      <c r="E126" s="9">
        <f>IF(1&lt;=核心参数输入!$B$9*4,季度经营税费!D127,0)</f>
        <v>0</v>
      </c>
      <c r="F126" s="9">
        <f>IF(2&lt;=核心参数输入!$B$9*4,季度经营税费!E127,0)</f>
        <v>0</v>
      </c>
      <c r="G126" s="9">
        <f>IF(3&lt;=核心参数输入!$B$9*4,季度经营税费!F127,0)</f>
        <v>0</v>
      </c>
      <c r="H126" s="9">
        <f>IF(4&lt;=核心参数输入!$B$9*4,季度经营税费!G127,0)</f>
        <v>0</v>
      </c>
      <c r="I126" s="9">
        <f>IF(5&lt;=核心参数输入!$B$9*4,季度经营税费!H127,0)</f>
        <v>0</v>
      </c>
      <c r="J126" s="9">
        <f>IF(6&lt;=核心参数输入!$B$9*4,季度经营税费!I127,0)</f>
        <v>0</v>
      </c>
      <c r="K126" s="9">
        <f>IF(7&lt;=核心参数输入!$B$9*4,季度经营税费!J127,0)</f>
        <v>0</v>
      </c>
      <c r="L126" s="9">
        <f>IF(8&lt;=核心参数输入!$B$9*4,季度经营税费!K127,0)</f>
        <v>0</v>
      </c>
      <c r="M126" s="9">
        <f>IF(9&lt;=核心参数输入!$B$9*4,季度经营税费!L127,0)</f>
        <v>0</v>
      </c>
      <c r="N126" s="9">
        <f>IF(10&lt;=核心参数输入!$B$9*4,季度经营税费!M127,0)</f>
        <v>0</v>
      </c>
      <c r="O126" s="9">
        <f>IF(11&lt;=核心参数输入!$B$9*4,季度经营税费!N127,0)</f>
        <v>0</v>
      </c>
      <c r="P126" s="9">
        <f>IF(12&lt;=核心参数输入!$B$9*4,季度经营税费!O127,0)</f>
        <v>0</v>
      </c>
      <c r="Q126" s="9">
        <f>IF(13&lt;=核心参数输入!$B$9*4,季度经营税费!P127,0)</f>
        <v>0</v>
      </c>
      <c r="R126" s="9">
        <f>IF(14&lt;=核心参数输入!$B$9*4,季度经营税费!Q127,0)</f>
        <v>6075</v>
      </c>
      <c r="S126" s="9">
        <f>IF(15&lt;=核心参数输入!$B$9*4,季度经营税费!R127,0)</f>
        <v>12150</v>
      </c>
      <c r="T126" s="9">
        <f>IF(16&lt;=核心参数输入!$B$9*4,季度经营税费!S127,0)</f>
        <v>18225</v>
      </c>
      <c r="U126" s="9">
        <f>IF(17&lt;=核心参数输入!$B$9*4,季度经营税费!T127,0)</f>
        <v>24300</v>
      </c>
      <c r="V126" s="9">
        <f>IF(18&lt;=核心参数输入!$B$9*4,季度经营税费!U127,0)</f>
        <v>27337.499999999996</v>
      </c>
      <c r="W126" s="9">
        <f>IF(19&lt;=核心参数输入!$B$9*4,季度经营税费!V127,0)</f>
        <v>30374.999999999996</v>
      </c>
      <c r="X126" s="9">
        <f>IF(20&lt;=核心参数输入!$B$9*4,季度经营税费!W127,0)</f>
        <v>33412.5</v>
      </c>
      <c r="Y126" s="9">
        <f>IF(21&lt;=核心参数输入!$B$9*4,季度经营税费!X127,0)</f>
        <v>36449.999999999993</v>
      </c>
      <c r="Z126" s="9">
        <f>IF(22&lt;=核心参数输入!$B$9*4,季度经营税费!Y127,0)</f>
        <v>38728.124999999993</v>
      </c>
      <c r="AA126" s="9">
        <f>IF(23&lt;=核心参数输入!$B$9*4,季度经营税费!Z127,0)</f>
        <v>41006.25</v>
      </c>
      <c r="AB126" s="9">
        <f>IF(24&lt;=核心参数输入!$B$9*4,季度经营税费!AA127,0)</f>
        <v>43284.374999999993</v>
      </c>
      <c r="AC126" s="9">
        <f>IF(25&lt;=核心参数输入!$B$9*4,季度经营税费!AB127,0)</f>
        <v>45562.499999999993</v>
      </c>
      <c r="AD126" s="9">
        <f>IF(26&lt;=核心参数输入!$B$9*4,季度经营税费!AC127,0)</f>
        <v>46321.874999999993</v>
      </c>
      <c r="AE126" s="9">
        <f>IF(27&lt;=核心参数输入!$B$9*4,季度经营税费!AD127,0)</f>
        <v>47081.249999999993</v>
      </c>
      <c r="AF126" s="9">
        <f>IF(28&lt;=核心参数输入!$B$9*4,季度经营税费!AE127,0)</f>
        <v>47840.625</v>
      </c>
      <c r="AG126" s="9">
        <f>IF(29&lt;=核心参数输入!$B$9*4,季度经营税费!AF127,0)</f>
        <v>48600</v>
      </c>
      <c r="AH126" s="9">
        <f>IF(30&lt;=核心参数输入!$B$9*4,季度经营税费!AG127,0)</f>
        <v>48600</v>
      </c>
      <c r="AI126" s="9">
        <f>IF(31&lt;=核心参数输入!$B$9*4,季度经营税费!AH127,0)</f>
        <v>48600</v>
      </c>
      <c r="AJ126" s="9">
        <f>IF(32&lt;=核心参数输入!$B$9*4,季度经营税费!AI127,0)</f>
        <v>48600</v>
      </c>
      <c r="AK126" s="9">
        <f>IF(33&lt;=核心参数输入!$B$9*4,季度经营税费!AJ127,0)</f>
        <v>48600</v>
      </c>
      <c r="AL126" s="9">
        <f>IF(34&lt;=核心参数输入!$B$9*4,季度经营税费!AK127,0)</f>
        <v>48600</v>
      </c>
      <c r="AM126" s="9">
        <f>IF(35&lt;=核心参数输入!$B$9*4,季度经营税费!AL127,0)</f>
        <v>48600</v>
      </c>
      <c r="AN126" s="9">
        <f>IF(36&lt;=核心参数输入!$B$9*4,季度经营税费!AM127,0)</f>
        <v>48600</v>
      </c>
      <c r="AO126" s="9">
        <f>IF(37&lt;=核心参数输入!$B$9*4,季度经营税费!AN127,0)</f>
        <v>48600</v>
      </c>
      <c r="AP126" s="9">
        <f>IF(38&lt;=核心参数输入!$B$9*4,季度经营税费!AO127,0)</f>
        <v>48600</v>
      </c>
      <c r="AQ126" s="9">
        <f>IF(39&lt;=核心参数输入!$B$9*4,季度经营税费!AP127,0)</f>
        <v>48600</v>
      </c>
      <c r="AR126" s="9">
        <f>IF(40&lt;=核心参数输入!$B$9*4,季度经营税费!AQ127,0)</f>
        <v>48600</v>
      </c>
      <c r="AS126" s="9">
        <f>IF(41&lt;=核心参数输入!$B$9*4,季度经营税费!AR127,0)</f>
        <v>48600</v>
      </c>
      <c r="AT126" s="9">
        <f>IF(42&lt;=核心参数输入!$B$9*4,季度经营税费!AS127,0)</f>
        <v>48600</v>
      </c>
      <c r="AU126" s="9">
        <f>IF(43&lt;=核心参数输入!$B$9*4,季度经营税费!AT127,0)</f>
        <v>48600</v>
      </c>
      <c r="AV126" s="9">
        <f>IF(44&lt;=核心参数输入!$B$9*4,季度经营税费!AU127,0)</f>
        <v>48600</v>
      </c>
      <c r="AW126" s="9">
        <f>IF(45&lt;=核心参数输入!$B$9*4,季度经营税费!AV127,0)</f>
        <v>48600</v>
      </c>
      <c r="AX126" s="9">
        <f>IF(46&lt;=核心参数输入!$B$9*4,季度经营税费!AW127,0)</f>
        <v>48600</v>
      </c>
      <c r="AY126" s="9">
        <f>IF(47&lt;=核心参数输入!$B$9*4,季度经营税费!AX127,0)</f>
        <v>48600</v>
      </c>
      <c r="AZ126" s="9">
        <f>IF(48&lt;=核心参数输入!$B$9*4,季度经营税费!AY127,0)</f>
        <v>48600</v>
      </c>
      <c r="BA126" s="9">
        <f>IF(49&lt;=核心参数输入!$B$9*4,季度经营税费!AZ127,0)</f>
        <v>48600</v>
      </c>
      <c r="BB126" s="9">
        <f>IF(50&lt;=核心参数输入!$B$9*4,季度经营税费!BA127,0)</f>
        <v>48600</v>
      </c>
      <c r="BC126" s="9">
        <f>IF(51&lt;=核心参数输入!$B$9*4,季度经营税费!BB127,0)</f>
        <v>48600</v>
      </c>
      <c r="BD126" s="9">
        <f>IF(52&lt;=核心参数输入!$B$9*4,季度经营税费!BC127,0)</f>
        <v>48600</v>
      </c>
      <c r="BE126" s="9">
        <f>IF(53&lt;=核心参数输入!$B$9*4,季度经营税费!BD127,0)</f>
        <v>48600</v>
      </c>
      <c r="BF126" s="9">
        <f>IF(54&lt;=核心参数输入!$B$9*4,季度经营税费!BE127,0)</f>
        <v>48600</v>
      </c>
      <c r="BG126" s="9">
        <f>IF(55&lt;=核心参数输入!$B$9*4,季度经营税费!BF127,0)</f>
        <v>48600</v>
      </c>
      <c r="BH126" s="9">
        <f>IF(56&lt;=核心参数输入!$B$9*4,季度经营税费!BG127,0)</f>
        <v>48600</v>
      </c>
      <c r="BI126" s="9">
        <f>IF(57&lt;=核心参数输入!$B$9*4,季度经营税费!BH127,0)</f>
        <v>48600</v>
      </c>
      <c r="BJ126" s="9">
        <f>IF(58&lt;=核心参数输入!$B$9*4,季度经营税费!BI127,0)</f>
        <v>48600</v>
      </c>
      <c r="BK126" s="9">
        <f>IF(59&lt;=核心参数输入!$B$9*4,季度经营税费!BJ127,0)</f>
        <v>48600</v>
      </c>
      <c r="BL126" s="9">
        <f>IF(60&lt;=核心参数输入!$B$9*4,季度经营税费!BK127,0)</f>
        <v>48600</v>
      </c>
      <c r="BM126" s="9">
        <f>IF(61&lt;=核心参数输入!$B$9*4,季度经营税费!BL127,0)</f>
        <v>48600</v>
      </c>
      <c r="BN126" s="9">
        <f>IF(62&lt;=核心参数输入!$B$9*4,季度经营税费!BM127,0)</f>
        <v>48600</v>
      </c>
      <c r="BO126" s="9">
        <f>IF(63&lt;=核心参数输入!$B$9*4,季度经营税费!BN127,0)</f>
        <v>48600</v>
      </c>
      <c r="BP126" s="9">
        <f>IF(64&lt;=核心参数输入!$B$9*4,季度经营税费!BO127,0)</f>
        <v>48600</v>
      </c>
      <c r="BQ126" s="9">
        <f>IF(65&lt;=核心参数输入!$B$9*4,季度经营税费!BP127,0)</f>
        <v>48600</v>
      </c>
      <c r="BR126" s="9">
        <f>IF(66&lt;=核心参数输入!$B$9*4,季度经营税费!BQ127,0)</f>
        <v>48600</v>
      </c>
      <c r="BS126" s="9">
        <f>IF(67&lt;=核心参数输入!$B$9*4,季度经营税费!BR127,0)</f>
        <v>48600</v>
      </c>
      <c r="BT126" s="9">
        <f>IF(68&lt;=核心参数输入!$B$9*4,季度经营税费!BS127,0)</f>
        <v>48600</v>
      </c>
      <c r="BU126" s="9">
        <f>IF(69&lt;=核心参数输入!$B$9*4,季度经营税费!BT127,0)</f>
        <v>48600</v>
      </c>
      <c r="BV126" s="9">
        <f>IF(70&lt;=核心参数输入!$B$9*4,季度经营税费!BU127,0)</f>
        <v>48600</v>
      </c>
      <c r="BW126" s="9">
        <f>IF(71&lt;=核心参数输入!$B$9*4,季度经营税费!BV127,0)</f>
        <v>48600</v>
      </c>
      <c r="BX126" s="9">
        <f>IF(72&lt;=核心参数输入!$B$9*4,季度经营税费!BW127,0)</f>
        <v>48600</v>
      </c>
      <c r="BY126" s="9">
        <f>IF(73&lt;=核心参数输入!$B$9*4,季度经营税费!BX127,0)</f>
        <v>48600</v>
      </c>
      <c r="BZ126" s="9">
        <f>IF(74&lt;=核心参数输入!$B$9*4,季度经营税费!BY127,0)</f>
        <v>48600</v>
      </c>
      <c r="CA126" s="9">
        <f>IF(75&lt;=核心参数输入!$B$9*4,季度经营税费!BZ127,0)</f>
        <v>48600</v>
      </c>
      <c r="CB126" s="9">
        <f>IF(76&lt;=核心参数输入!$B$9*4,季度经营税费!CA127,0)</f>
        <v>48600</v>
      </c>
      <c r="CC126" s="9">
        <f>IF(77&lt;=核心参数输入!$B$9*4,季度经营税费!CB127,0)</f>
        <v>48600</v>
      </c>
      <c r="CD126" s="9">
        <f>IF(78&lt;=核心参数输入!$B$9*4,季度经营税费!CC127,0)</f>
        <v>48600</v>
      </c>
      <c r="CE126" s="9">
        <f>IF(79&lt;=核心参数输入!$B$9*4,季度经营税费!CD127,0)</f>
        <v>48600</v>
      </c>
      <c r="CF126" s="9">
        <f>IF(80&lt;=核心参数输入!$B$9*4,季度经营税费!CE127,0)</f>
        <v>48600</v>
      </c>
      <c r="CG126" s="9">
        <f>IF(81&lt;=核心参数输入!$B$9*4,季度经营税费!CF127,0)</f>
        <v>0</v>
      </c>
      <c r="CH126" s="9">
        <f>IF(82&lt;=核心参数输入!$B$9*4,季度经营税费!CG127,0)</f>
        <v>0</v>
      </c>
      <c r="CI126" s="9">
        <f>IF(83&lt;=核心参数输入!$B$9*4,季度经营税费!CH127,0)</f>
        <v>0</v>
      </c>
      <c r="CJ126" s="9">
        <f>IF(84&lt;=核心参数输入!$B$9*4,季度经营税费!CI127,0)</f>
        <v>0</v>
      </c>
      <c r="CK126" s="9">
        <f>IF(85&lt;=核心参数输入!$B$9*4,季度经营税费!CJ127,0)</f>
        <v>0</v>
      </c>
      <c r="CL126" s="9">
        <f>IF(86&lt;=核心参数输入!$B$9*4,季度经营税费!CK127,0)</f>
        <v>0</v>
      </c>
      <c r="CM126" s="9">
        <f>IF(87&lt;=核心参数输入!$B$9*4,季度经营税费!CL127,0)</f>
        <v>0</v>
      </c>
      <c r="CN126" s="9">
        <f>IF(88&lt;=核心参数输入!$B$9*4,季度经营税费!CM127,0)</f>
        <v>0</v>
      </c>
      <c r="CO126" s="9">
        <f>IF(89&lt;=核心参数输入!$B$9*4,季度经营税费!CN127,0)</f>
        <v>0</v>
      </c>
      <c r="CP126" s="9">
        <f>IF(90&lt;=核心参数输入!$B$9*4,季度经营税费!CO127,0)</f>
        <v>0</v>
      </c>
      <c r="CQ126" s="9">
        <f>IF(91&lt;=核心参数输入!$B$9*4,季度经营税费!CP127,0)</f>
        <v>0</v>
      </c>
      <c r="CR126" s="9">
        <f>IF(92&lt;=核心参数输入!$B$9*4,季度经营税费!CQ127,0)</f>
        <v>0</v>
      </c>
      <c r="CS126" s="9">
        <f>IF(93&lt;=核心参数输入!$B$9*4,季度经营税费!CR127,0)</f>
        <v>0</v>
      </c>
      <c r="CT126" s="9">
        <f>IF(94&lt;=核心参数输入!$B$9*4,季度经营税费!CS127,0)</f>
        <v>0</v>
      </c>
      <c r="CU126" s="9">
        <f>IF(95&lt;=核心参数输入!$B$9*4,季度经营税费!CT127,0)</f>
        <v>0</v>
      </c>
      <c r="CV126" s="9">
        <f>IF(96&lt;=核心参数输入!$B$9*4,季度经营税费!CU127,0)</f>
        <v>0</v>
      </c>
      <c r="CW126" s="9">
        <f>IF(97&lt;=核心参数输入!$B$9*4,季度经营税费!CV127,0)</f>
        <v>0</v>
      </c>
      <c r="CX126" s="9">
        <f>IF(98&lt;=核心参数输入!$B$9*4,季度经营税费!CW127,0)</f>
        <v>0</v>
      </c>
      <c r="CY126" s="9">
        <f>IF(99&lt;=核心参数输入!$B$9*4,季度经营税费!CX127,0)</f>
        <v>0</v>
      </c>
      <c r="CZ126" s="9">
        <f>IF(100&lt;=核心参数输入!$B$9*4,季度经营税费!CY127,0)</f>
        <v>0</v>
      </c>
      <c r="DA126" s="9">
        <f>IF(101&lt;=核心参数输入!$B$9*4,季度经营税费!CZ127,0)</f>
        <v>0</v>
      </c>
      <c r="DB126" s="9">
        <f>IF(102&lt;=核心参数输入!$B$9*4,季度经营税费!DA127,0)</f>
        <v>0</v>
      </c>
      <c r="DC126" s="9">
        <f>IF(103&lt;=核心参数输入!$B$9*4,季度经营税费!DB127,0)</f>
        <v>0</v>
      </c>
      <c r="DD126" s="9">
        <f>IF(104&lt;=核心参数输入!$B$9*4,季度经营税费!DC127,0)</f>
        <v>0</v>
      </c>
      <c r="DE126" s="9">
        <f>IF(105&lt;=核心参数输入!$B$9*4,季度经营税费!DD127,0)</f>
        <v>0</v>
      </c>
      <c r="DF126" s="9">
        <f>IF(106&lt;=核心参数输入!$B$9*4,季度经营税费!DE127,0)</f>
        <v>0</v>
      </c>
      <c r="DG126" s="9">
        <f>IF(107&lt;=核心参数输入!$B$9*4,季度经营税费!DF127,0)</f>
        <v>0</v>
      </c>
      <c r="DH126" s="9">
        <f>IF(108&lt;=核心参数输入!$B$9*4,季度经营税费!DG127,0)</f>
        <v>0</v>
      </c>
      <c r="DI126" s="9">
        <f>IF(109&lt;=核心参数输入!$B$9*4,季度经营税费!DH127,0)</f>
        <v>0</v>
      </c>
      <c r="DJ126" s="9">
        <f>IF(110&lt;=核心参数输入!$B$9*4,季度经营税费!DI127,0)</f>
        <v>0</v>
      </c>
      <c r="DK126" s="9">
        <f>IF(111&lt;=核心参数输入!$B$9*4,季度经营税费!DJ127,0)</f>
        <v>0</v>
      </c>
      <c r="DL126" s="9">
        <f>IF(112&lt;=核心参数输入!$B$9*4,季度经营税费!DK127,0)</f>
        <v>0</v>
      </c>
      <c r="DM126" s="9">
        <f>IF(113&lt;=核心参数输入!$B$9*4,季度经营税费!DL127,0)</f>
        <v>0</v>
      </c>
      <c r="DN126" s="9">
        <f>IF(114&lt;=核心参数输入!$B$9*4,季度经营税费!DM127,0)</f>
        <v>0</v>
      </c>
      <c r="DO126" s="9">
        <f>IF(115&lt;=核心参数输入!$B$9*4,季度经营税费!DN127,0)</f>
        <v>0</v>
      </c>
      <c r="DP126" s="9">
        <f>IF(116&lt;=核心参数输入!$B$9*4,季度经营税费!DO127,0)</f>
        <v>0</v>
      </c>
      <c r="DQ126" s="9">
        <f>IF(117&lt;=核心参数输入!$B$9*4,季度经营税费!DP127,0)</f>
        <v>0</v>
      </c>
      <c r="DR126" s="9">
        <f>IF(118&lt;=核心参数输入!$B$9*4,季度经营税费!DQ127,0)</f>
        <v>0</v>
      </c>
      <c r="DS126" s="9">
        <f>IF(119&lt;=核心参数输入!$B$9*4,季度经营税费!DR127,0)</f>
        <v>0</v>
      </c>
      <c r="DT126" s="9">
        <f>IF(120&lt;=核心参数输入!$B$9*4,季度经营税费!DS127,0)</f>
        <v>0</v>
      </c>
    </row>
    <row r="127" spans="1:124" ht="21" customHeight="1">
      <c r="A127" s="8" t="s">
        <v>453</v>
      </c>
      <c r="B127" s="8" t="s">
        <v>39</v>
      </c>
      <c r="C127" s="8"/>
      <c r="D127" s="9">
        <f>IF(0&lt;=核心参数输入!$B$9*4,(核心参数输入!$B$10*核心参数输入!$B$11*核心参数输入!$B$12*核心参数输入!$B$143)*D125,0)</f>
        <v>0</v>
      </c>
      <c r="E127" s="9">
        <f>IF(1&lt;=核心参数输入!$B$9*4,(核心参数输入!$B$10*核心参数输入!$B$11*核心参数输入!$B$12*核心参数输入!$B$143)*E125,0)</f>
        <v>0</v>
      </c>
      <c r="F127" s="9">
        <f>IF(2&lt;=核心参数输入!$B$9*4,(核心参数输入!$B$10*核心参数输入!$B$11*核心参数输入!$B$12*核心参数输入!$B$143)*F125,0)</f>
        <v>0</v>
      </c>
      <c r="G127" s="9">
        <f>IF(3&lt;=核心参数输入!$B$9*4,(核心参数输入!$B$10*核心参数输入!$B$11*核心参数输入!$B$12*核心参数输入!$B$143)*G125,0)</f>
        <v>0</v>
      </c>
      <c r="H127" s="9">
        <f>IF(4&lt;=核心参数输入!$B$9*4,(核心参数输入!$B$10*核心参数输入!$B$11*核心参数输入!$B$12*核心参数输入!$B$143)*H125,0)</f>
        <v>0</v>
      </c>
      <c r="I127" s="9">
        <f>IF(5&lt;=核心参数输入!$B$9*4,(核心参数输入!$B$10*核心参数输入!$B$11*核心参数输入!$B$12*核心参数输入!$B$143)*I125,0)</f>
        <v>0</v>
      </c>
      <c r="J127" s="9">
        <f>IF(6&lt;=核心参数输入!$B$9*4,(核心参数输入!$B$10*核心参数输入!$B$11*核心参数输入!$B$12*核心参数输入!$B$143)*J125,0)</f>
        <v>0</v>
      </c>
      <c r="K127" s="9">
        <f>IF(7&lt;=核心参数输入!$B$9*4,(核心参数输入!$B$10*核心参数输入!$B$11*核心参数输入!$B$12*核心参数输入!$B$143)*K125,0)</f>
        <v>0</v>
      </c>
      <c r="L127" s="9">
        <f>IF(8&lt;=核心参数输入!$B$9*4,(核心参数输入!$B$10*核心参数输入!$B$11*核心参数输入!$B$12*核心参数输入!$B$143)*L125,0)</f>
        <v>0</v>
      </c>
      <c r="M127" s="9">
        <f>IF(9&lt;=核心参数输入!$B$9*4,(核心参数输入!$B$10*核心参数输入!$B$11*核心参数输入!$B$12*核心参数输入!$B$143)*M125,0)</f>
        <v>0</v>
      </c>
      <c r="N127" s="9">
        <f>IF(10&lt;=核心参数输入!$B$9*4,(核心参数输入!$B$10*核心参数输入!$B$11*核心参数输入!$B$12*核心参数输入!$B$143)*N125,0)</f>
        <v>0</v>
      </c>
      <c r="O127" s="9">
        <f>IF(11&lt;=核心参数输入!$B$9*4,(核心参数输入!$B$10*核心参数输入!$B$11*核心参数输入!$B$12*核心参数输入!$B$143)*O125,0)</f>
        <v>0</v>
      </c>
      <c r="P127" s="9">
        <f>IF(12&lt;=核心参数输入!$B$9*4,(核心参数输入!$B$10*核心参数输入!$B$11*核心参数输入!$B$12*核心参数输入!$B$143)*P125,0)</f>
        <v>0</v>
      </c>
      <c r="Q127" s="9">
        <f>IF(13&lt;=核心参数输入!$B$9*4,(核心参数输入!$B$10*核心参数输入!$B$11*核心参数输入!$B$12*核心参数输入!$B$143)*Q125,0)</f>
        <v>6075</v>
      </c>
      <c r="R127" s="9">
        <f>IF(14&lt;=核心参数输入!$B$9*4,(核心参数输入!$B$10*核心参数输入!$B$11*核心参数输入!$B$12*核心参数输入!$B$143)*R125,0)</f>
        <v>12150</v>
      </c>
      <c r="S127" s="9">
        <f>IF(15&lt;=核心参数输入!$B$9*4,(核心参数输入!$B$10*核心参数输入!$B$11*核心参数输入!$B$12*核心参数输入!$B$143)*S125,0)</f>
        <v>18225</v>
      </c>
      <c r="T127" s="9">
        <f>IF(16&lt;=核心参数输入!$B$9*4,(核心参数输入!$B$10*核心参数输入!$B$11*核心参数输入!$B$12*核心参数输入!$B$143)*T125,0)</f>
        <v>24300</v>
      </c>
      <c r="U127" s="9">
        <f>IF(17&lt;=核心参数输入!$B$9*4,(核心参数输入!$B$10*核心参数输入!$B$11*核心参数输入!$B$12*核心参数输入!$B$143)*U125,0)</f>
        <v>27337.499999999996</v>
      </c>
      <c r="V127" s="9">
        <f>IF(18&lt;=核心参数输入!$B$9*4,(核心参数输入!$B$10*核心参数输入!$B$11*核心参数输入!$B$12*核心参数输入!$B$143)*V125,0)</f>
        <v>30374.999999999996</v>
      </c>
      <c r="W127" s="9">
        <f>IF(19&lt;=核心参数输入!$B$9*4,(核心参数输入!$B$10*核心参数输入!$B$11*核心参数输入!$B$12*核心参数输入!$B$143)*W125,0)</f>
        <v>33412.5</v>
      </c>
      <c r="X127" s="9">
        <f>IF(20&lt;=核心参数输入!$B$9*4,(核心参数输入!$B$10*核心参数输入!$B$11*核心参数输入!$B$12*核心参数输入!$B$143)*X125,0)</f>
        <v>36449.999999999993</v>
      </c>
      <c r="Y127" s="9">
        <f>IF(21&lt;=核心参数输入!$B$9*4,(核心参数输入!$B$10*核心参数输入!$B$11*核心参数输入!$B$12*核心参数输入!$B$143)*Y125,0)</f>
        <v>38728.124999999993</v>
      </c>
      <c r="Z127" s="9">
        <f>IF(22&lt;=核心参数输入!$B$9*4,(核心参数输入!$B$10*核心参数输入!$B$11*核心参数输入!$B$12*核心参数输入!$B$143)*Z125,0)</f>
        <v>41006.25</v>
      </c>
      <c r="AA127" s="9">
        <f>IF(23&lt;=核心参数输入!$B$9*4,(核心参数输入!$B$10*核心参数输入!$B$11*核心参数输入!$B$12*核心参数输入!$B$143)*AA125,0)</f>
        <v>43284.374999999993</v>
      </c>
      <c r="AB127" s="9">
        <f>IF(24&lt;=核心参数输入!$B$9*4,(核心参数输入!$B$10*核心参数输入!$B$11*核心参数输入!$B$12*核心参数输入!$B$143)*AB125,0)</f>
        <v>45562.499999999993</v>
      </c>
      <c r="AC127" s="9">
        <f>IF(25&lt;=核心参数输入!$B$9*4,(核心参数输入!$B$10*核心参数输入!$B$11*核心参数输入!$B$12*核心参数输入!$B$143)*AC125,0)</f>
        <v>46321.874999999993</v>
      </c>
      <c r="AD127" s="9">
        <f>IF(26&lt;=核心参数输入!$B$9*4,(核心参数输入!$B$10*核心参数输入!$B$11*核心参数输入!$B$12*核心参数输入!$B$143)*AD125,0)</f>
        <v>47081.249999999993</v>
      </c>
      <c r="AE127" s="9">
        <f>IF(27&lt;=核心参数输入!$B$9*4,(核心参数输入!$B$10*核心参数输入!$B$11*核心参数输入!$B$12*核心参数输入!$B$143)*AE125,0)</f>
        <v>47840.625</v>
      </c>
      <c r="AF127" s="9">
        <f>IF(28&lt;=核心参数输入!$B$9*4,(核心参数输入!$B$10*核心参数输入!$B$11*核心参数输入!$B$12*核心参数输入!$B$143)*AF125,0)</f>
        <v>48600</v>
      </c>
      <c r="AG127" s="9">
        <f>IF(29&lt;=核心参数输入!$B$9*4,(核心参数输入!$B$10*核心参数输入!$B$11*核心参数输入!$B$12*核心参数输入!$B$143)*AG125,0)</f>
        <v>48600</v>
      </c>
      <c r="AH127" s="9">
        <f>IF(30&lt;=核心参数输入!$B$9*4,(核心参数输入!$B$10*核心参数输入!$B$11*核心参数输入!$B$12*核心参数输入!$B$143)*AH125,0)</f>
        <v>48600</v>
      </c>
      <c r="AI127" s="9">
        <f>IF(31&lt;=核心参数输入!$B$9*4,(核心参数输入!$B$10*核心参数输入!$B$11*核心参数输入!$B$12*核心参数输入!$B$143)*AI125,0)</f>
        <v>48600</v>
      </c>
      <c r="AJ127" s="9">
        <f>IF(32&lt;=核心参数输入!$B$9*4,(核心参数输入!$B$10*核心参数输入!$B$11*核心参数输入!$B$12*核心参数输入!$B$143)*AJ125,0)</f>
        <v>48600</v>
      </c>
      <c r="AK127" s="9">
        <f>IF(33&lt;=核心参数输入!$B$9*4,(核心参数输入!$B$10*核心参数输入!$B$11*核心参数输入!$B$12*核心参数输入!$B$143)*AK125,0)</f>
        <v>48600</v>
      </c>
      <c r="AL127" s="9">
        <f>IF(34&lt;=核心参数输入!$B$9*4,(核心参数输入!$B$10*核心参数输入!$B$11*核心参数输入!$B$12*核心参数输入!$B$143)*AL125,0)</f>
        <v>48600</v>
      </c>
      <c r="AM127" s="9">
        <f>IF(35&lt;=核心参数输入!$B$9*4,(核心参数输入!$B$10*核心参数输入!$B$11*核心参数输入!$B$12*核心参数输入!$B$143)*AM125,0)</f>
        <v>48600</v>
      </c>
      <c r="AN127" s="9">
        <f>IF(36&lt;=核心参数输入!$B$9*4,(核心参数输入!$B$10*核心参数输入!$B$11*核心参数输入!$B$12*核心参数输入!$B$143)*AN125,0)</f>
        <v>48600</v>
      </c>
      <c r="AO127" s="9">
        <f>IF(37&lt;=核心参数输入!$B$9*4,(核心参数输入!$B$10*核心参数输入!$B$11*核心参数输入!$B$12*核心参数输入!$B$143)*AO125,0)</f>
        <v>48600</v>
      </c>
      <c r="AP127" s="9">
        <f>IF(38&lt;=核心参数输入!$B$9*4,(核心参数输入!$B$10*核心参数输入!$B$11*核心参数输入!$B$12*核心参数输入!$B$143)*AP125,0)</f>
        <v>48600</v>
      </c>
      <c r="AQ127" s="9">
        <f>IF(39&lt;=核心参数输入!$B$9*4,(核心参数输入!$B$10*核心参数输入!$B$11*核心参数输入!$B$12*核心参数输入!$B$143)*AQ125,0)</f>
        <v>48600</v>
      </c>
      <c r="AR127" s="9">
        <f>IF(40&lt;=核心参数输入!$B$9*4,(核心参数输入!$B$10*核心参数输入!$B$11*核心参数输入!$B$12*核心参数输入!$B$143)*AR125,0)</f>
        <v>48600</v>
      </c>
      <c r="AS127" s="9">
        <f>IF(41&lt;=核心参数输入!$B$9*4,(核心参数输入!$B$10*核心参数输入!$B$11*核心参数输入!$B$12*核心参数输入!$B$143)*AS125,0)</f>
        <v>48600</v>
      </c>
      <c r="AT127" s="9">
        <f>IF(42&lt;=核心参数输入!$B$9*4,(核心参数输入!$B$10*核心参数输入!$B$11*核心参数输入!$B$12*核心参数输入!$B$143)*AT125,0)</f>
        <v>48600</v>
      </c>
      <c r="AU127" s="9">
        <f>IF(43&lt;=核心参数输入!$B$9*4,(核心参数输入!$B$10*核心参数输入!$B$11*核心参数输入!$B$12*核心参数输入!$B$143)*AU125,0)</f>
        <v>48600</v>
      </c>
      <c r="AV127" s="9">
        <f>IF(44&lt;=核心参数输入!$B$9*4,(核心参数输入!$B$10*核心参数输入!$B$11*核心参数输入!$B$12*核心参数输入!$B$143)*AV125,0)</f>
        <v>48600</v>
      </c>
      <c r="AW127" s="9">
        <f>IF(45&lt;=核心参数输入!$B$9*4,(核心参数输入!$B$10*核心参数输入!$B$11*核心参数输入!$B$12*核心参数输入!$B$143)*AW125,0)</f>
        <v>48600</v>
      </c>
      <c r="AX127" s="9">
        <f>IF(46&lt;=核心参数输入!$B$9*4,(核心参数输入!$B$10*核心参数输入!$B$11*核心参数输入!$B$12*核心参数输入!$B$143)*AX125,0)</f>
        <v>48600</v>
      </c>
      <c r="AY127" s="9">
        <f>IF(47&lt;=核心参数输入!$B$9*4,(核心参数输入!$B$10*核心参数输入!$B$11*核心参数输入!$B$12*核心参数输入!$B$143)*AY125,0)</f>
        <v>48600</v>
      </c>
      <c r="AZ127" s="9">
        <f>IF(48&lt;=核心参数输入!$B$9*4,(核心参数输入!$B$10*核心参数输入!$B$11*核心参数输入!$B$12*核心参数输入!$B$143)*AZ125,0)</f>
        <v>48600</v>
      </c>
      <c r="BA127" s="9">
        <f>IF(49&lt;=核心参数输入!$B$9*4,(核心参数输入!$B$10*核心参数输入!$B$11*核心参数输入!$B$12*核心参数输入!$B$143)*BA125,0)</f>
        <v>48600</v>
      </c>
      <c r="BB127" s="9">
        <f>IF(50&lt;=核心参数输入!$B$9*4,(核心参数输入!$B$10*核心参数输入!$B$11*核心参数输入!$B$12*核心参数输入!$B$143)*BB125,0)</f>
        <v>48600</v>
      </c>
      <c r="BC127" s="9">
        <f>IF(51&lt;=核心参数输入!$B$9*4,(核心参数输入!$B$10*核心参数输入!$B$11*核心参数输入!$B$12*核心参数输入!$B$143)*BC125,0)</f>
        <v>48600</v>
      </c>
      <c r="BD127" s="9">
        <f>IF(52&lt;=核心参数输入!$B$9*4,(核心参数输入!$B$10*核心参数输入!$B$11*核心参数输入!$B$12*核心参数输入!$B$143)*BD125,0)</f>
        <v>48600</v>
      </c>
      <c r="BE127" s="9">
        <f>IF(53&lt;=核心参数输入!$B$9*4,(核心参数输入!$B$10*核心参数输入!$B$11*核心参数输入!$B$12*核心参数输入!$B$143)*BE125,0)</f>
        <v>48600</v>
      </c>
      <c r="BF127" s="9">
        <f>IF(54&lt;=核心参数输入!$B$9*4,(核心参数输入!$B$10*核心参数输入!$B$11*核心参数输入!$B$12*核心参数输入!$B$143)*BF125,0)</f>
        <v>48600</v>
      </c>
      <c r="BG127" s="9">
        <f>IF(55&lt;=核心参数输入!$B$9*4,(核心参数输入!$B$10*核心参数输入!$B$11*核心参数输入!$B$12*核心参数输入!$B$143)*BG125,0)</f>
        <v>48600</v>
      </c>
      <c r="BH127" s="9">
        <f>IF(56&lt;=核心参数输入!$B$9*4,(核心参数输入!$B$10*核心参数输入!$B$11*核心参数输入!$B$12*核心参数输入!$B$143)*BH125,0)</f>
        <v>48600</v>
      </c>
      <c r="BI127" s="9">
        <f>IF(57&lt;=核心参数输入!$B$9*4,(核心参数输入!$B$10*核心参数输入!$B$11*核心参数输入!$B$12*核心参数输入!$B$143)*BI125,0)</f>
        <v>48600</v>
      </c>
      <c r="BJ127" s="9">
        <f>IF(58&lt;=核心参数输入!$B$9*4,(核心参数输入!$B$10*核心参数输入!$B$11*核心参数输入!$B$12*核心参数输入!$B$143)*BJ125,0)</f>
        <v>48600</v>
      </c>
      <c r="BK127" s="9">
        <f>IF(59&lt;=核心参数输入!$B$9*4,(核心参数输入!$B$10*核心参数输入!$B$11*核心参数输入!$B$12*核心参数输入!$B$143)*BK125,0)</f>
        <v>48600</v>
      </c>
      <c r="BL127" s="9">
        <f>IF(60&lt;=核心参数输入!$B$9*4,(核心参数输入!$B$10*核心参数输入!$B$11*核心参数输入!$B$12*核心参数输入!$B$143)*BL125,0)</f>
        <v>48600</v>
      </c>
      <c r="BM127" s="9">
        <f>IF(61&lt;=核心参数输入!$B$9*4,(核心参数输入!$B$10*核心参数输入!$B$11*核心参数输入!$B$12*核心参数输入!$B$143)*BM125,0)</f>
        <v>48600</v>
      </c>
      <c r="BN127" s="9">
        <f>IF(62&lt;=核心参数输入!$B$9*4,(核心参数输入!$B$10*核心参数输入!$B$11*核心参数输入!$B$12*核心参数输入!$B$143)*BN125,0)</f>
        <v>48600</v>
      </c>
      <c r="BO127" s="9">
        <f>IF(63&lt;=核心参数输入!$B$9*4,(核心参数输入!$B$10*核心参数输入!$B$11*核心参数输入!$B$12*核心参数输入!$B$143)*BO125,0)</f>
        <v>48600</v>
      </c>
      <c r="BP127" s="9">
        <f>IF(64&lt;=核心参数输入!$B$9*4,(核心参数输入!$B$10*核心参数输入!$B$11*核心参数输入!$B$12*核心参数输入!$B$143)*BP125,0)</f>
        <v>48600</v>
      </c>
      <c r="BQ127" s="9">
        <f>IF(65&lt;=核心参数输入!$B$9*4,(核心参数输入!$B$10*核心参数输入!$B$11*核心参数输入!$B$12*核心参数输入!$B$143)*BQ125,0)</f>
        <v>48600</v>
      </c>
      <c r="BR127" s="9">
        <f>IF(66&lt;=核心参数输入!$B$9*4,(核心参数输入!$B$10*核心参数输入!$B$11*核心参数输入!$B$12*核心参数输入!$B$143)*BR125,0)</f>
        <v>48600</v>
      </c>
      <c r="BS127" s="9">
        <f>IF(67&lt;=核心参数输入!$B$9*4,(核心参数输入!$B$10*核心参数输入!$B$11*核心参数输入!$B$12*核心参数输入!$B$143)*BS125,0)</f>
        <v>48600</v>
      </c>
      <c r="BT127" s="9">
        <f>IF(68&lt;=核心参数输入!$B$9*4,(核心参数输入!$B$10*核心参数输入!$B$11*核心参数输入!$B$12*核心参数输入!$B$143)*BT125,0)</f>
        <v>48600</v>
      </c>
      <c r="BU127" s="9">
        <f>IF(69&lt;=核心参数输入!$B$9*4,(核心参数输入!$B$10*核心参数输入!$B$11*核心参数输入!$B$12*核心参数输入!$B$143)*BU125,0)</f>
        <v>48600</v>
      </c>
      <c r="BV127" s="9">
        <f>IF(70&lt;=核心参数输入!$B$9*4,(核心参数输入!$B$10*核心参数输入!$B$11*核心参数输入!$B$12*核心参数输入!$B$143)*BV125,0)</f>
        <v>48600</v>
      </c>
      <c r="BW127" s="9">
        <f>IF(71&lt;=核心参数输入!$B$9*4,(核心参数输入!$B$10*核心参数输入!$B$11*核心参数输入!$B$12*核心参数输入!$B$143)*BW125,0)</f>
        <v>48600</v>
      </c>
      <c r="BX127" s="9">
        <f>IF(72&lt;=核心参数输入!$B$9*4,(核心参数输入!$B$10*核心参数输入!$B$11*核心参数输入!$B$12*核心参数输入!$B$143)*BX125,0)</f>
        <v>48600</v>
      </c>
      <c r="BY127" s="9">
        <f>IF(73&lt;=核心参数输入!$B$9*4,(核心参数输入!$B$10*核心参数输入!$B$11*核心参数输入!$B$12*核心参数输入!$B$143)*BY125,0)</f>
        <v>48600</v>
      </c>
      <c r="BZ127" s="9">
        <f>IF(74&lt;=核心参数输入!$B$9*4,(核心参数输入!$B$10*核心参数输入!$B$11*核心参数输入!$B$12*核心参数输入!$B$143)*BZ125,0)</f>
        <v>48600</v>
      </c>
      <c r="CA127" s="9">
        <f>IF(75&lt;=核心参数输入!$B$9*4,(核心参数输入!$B$10*核心参数输入!$B$11*核心参数输入!$B$12*核心参数输入!$B$143)*CA125,0)</f>
        <v>48600</v>
      </c>
      <c r="CB127" s="9">
        <f>IF(76&lt;=核心参数输入!$B$9*4,(核心参数输入!$B$10*核心参数输入!$B$11*核心参数输入!$B$12*核心参数输入!$B$143)*CB125,0)</f>
        <v>48600</v>
      </c>
      <c r="CC127" s="9">
        <f>IF(77&lt;=核心参数输入!$B$9*4,(核心参数输入!$B$10*核心参数输入!$B$11*核心参数输入!$B$12*核心参数输入!$B$143)*CC125,0)</f>
        <v>48600</v>
      </c>
      <c r="CD127" s="9">
        <f>IF(78&lt;=核心参数输入!$B$9*4,(核心参数输入!$B$10*核心参数输入!$B$11*核心参数输入!$B$12*核心参数输入!$B$143)*CD125,0)</f>
        <v>48600</v>
      </c>
      <c r="CE127" s="9">
        <f>IF(79&lt;=核心参数输入!$B$9*4,(核心参数输入!$B$10*核心参数输入!$B$11*核心参数输入!$B$12*核心参数输入!$B$143)*CE125,0)</f>
        <v>48600</v>
      </c>
      <c r="CF127" s="9">
        <f>IF(80&lt;=核心参数输入!$B$9*4,(核心参数输入!$B$10*核心参数输入!$B$11*核心参数输入!$B$12*核心参数输入!$B$143)*CF125,0)</f>
        <v>48600</v>
      </c>
      <c r="CG127" s="9">
        <f>IF(81&lt;=核心参数输入!$B$9*4,(核心参数输入!$B$10*核心参数输入!$B$11*核心参数输入!$B$12*核心参数输入!$B$143)*CG125,0)</f>
        <v>0</v>
      </c>
      <c r="CH127" s="9">
        <f>IF(82&lt;=核心参数输入!$B$9*4,(核心参数输入!$B$10*核心参数输入!$B$11*核心参数输入!$B$12*核心参数输入!$B$143)*CH125,0)</f>
        <v>0</v>
      </c>
      <c r="CI127" s="9">
        <f>IF(83&lt;=核心参数输入!$B$9*4,(核心参数输入!$B$10*核心参数输入!$B$11*核心参数输入!$B$12*核心参数输入!$B$143)*CI125,0)</f>
        <v>0</v>
      </c>
      <c r="CJ127" s="9">
        <f>IF(84&lt;=核心参数输入!$B$9*4,(核心参数输入!$B$10*核心参数输入!$B$11*核心参数输入!$B$12*核心参数输入!$B$143)*CJ125,0)</f>
        <v>0</v>
      </c>
      <c r="CK127" s="9">
        <f>IF(85&lt;=核心参数输入!$B$9*4,(核心参数输入!$B$10*核心参数输入!$B$11*核心参数输入!$B$12*核心参数输入!$B$143)*CK125,0)</f>
        <v>0</v>
      </c>
      <c r="CL127" s="9">
        <f>IF(86&lt;=核心参数输入!$B$9*4,(核心参数输入!$B$10*核心参数输入!$B$11*核心参数输入!$B$12*核心参数输入!$B$143)*CL125,0)</f>
        <v>0</v>
      </c>
      <c r="CM127" s="9">
        <f>IF(87&lt;=核心参数输入!$B$9*4,(核心参数输入!$B$10*核心参数输入!$B$11*核心参数输入!$B$12*核心参数输入!$B$143)*CM125,0)</f>
        <v>0</v>
      </c>
      <c r="CN127" s="9">
        <f>IF(88&lt;=核心参数输入!$B$9*4,(核心参数输入!$B$10*核心参数输入!$B$11*核心参数输入!$B$12*核心参数输入!$B$143)*CN125,0)</f>
        <v>0</v>
      </c>
      <c r="CO127" s="9">
        <f>IF(89&lt;=核心参数输入!$B$9*4,(核心参数输入!$B$10*核心参数输入!$B$11*核心参数输入!$B$12*核心参数输入!$B$143)*CO125,0)</f>
        <v>0</v>
      </c>
      <c r="CP127" s="9">
        <f>IF(90&lt;=核心参数输入!$B$9*4,(核心参数输入!$B$10*核心参数输入!$B$11*核心参数输入!$B$12*核心参数输入!$B$143)*CP125,0)</f>
        <v>0</v>
      </c>
      <c r="CQ127" s="9">
        <f>IF(91&lt;=核心参数输入!$B$9*4,(核心参数输入!$B$10*核心参数输入!$B$11*核心参数输入!$B$12*核心参数输入!$B$143)*CQ125,0)</f>
        <v>0</v>
      </c>
      <c r="CR127" s="9">
        <f>IF(92&lt;=核心参数输入!$B$9*4,(核心参数输入!$B$10*核心参数输入!$B$11*核心参数输入!$B$12*核心参数输入!$B$143)*CR125,0)</f>
        <v>0</v>
      </c>
      <c r="CS127" s="9">
        <f>IF(93&lt;=核心参数输入!$B$9*4,(核心参数输入!$B$10*核心参数输入!$B$11*核心参数输入!$B$12*核心参数输入!$B$143)*CS125,0)</f>
        <v>0</v>
      </c>
      <c r="CT127" s="9">
        <f>IF(94&lt;=核心参数输入!$B$9*4,(核心参数输入!$B$10*核心参数输入!$B$11*核心参数输入!$B$12*核心参数输入!$B$143)*CT125,0)</f>
        <v>0</v>
      </c>
      <c r="CU127" s="9">
        <f>IF(95&lt;=核心参数输入!$B$9*4,(核心参数输入!$B$10*核心参数输入!$B$11*核心参数输入!$B$12*核心参数输入!$B$143)*CU125,0)</f>
        <v>0</v>
      </c>
      <c r="CV127" s="9">
        <f>IF(96&lt;=核心参数输入!$B$9*4,(核心参数输入!$B$10*核心参数输入!$B$11*核心参数输入!$B$12*核心参数输入!$B$143)*CV125,0)</f>
        <v>0</v>
      </c>
      <c r="CW127" s="9">
        <f>IF(97&lt;=核心参数输入!$B$9*4,(核心参数输入!$B$10*核心参数输入!$B$11*核心参数输入!$B$12*核心参数输入!$B$143)*CW125,0)</f>
        <v>0</v>
      </c>
      <c r="CX127" s="9">
        <f>IF(98&lt;=核心参数输入!$B$9*4,(核心参数输入!$B$10*核心参数输入!$B$11*核心参数输入!$B$12*核心参数输入!$B$143)*CX125,0)</f>
        <v>0</v>
      </c>
      <c r="CY127" s="9">
        <f>IF(99&lt;=核心参数输入!$B$9*4,(核心参数输入!$B$10*核心参数输入!$B$11*核心参数输入!$B$12*核心参数输入!$B$143)*CY125,0)</f>
        <v>0</v>
      </c>
      <c r="CZ127" s="9">
        <f>IF(100&lt;=核心参数输入!$B$9*4,(核心参数输入!$B$10*核心参数输入!$B$11*核心参数输入!$B$12*核心参数输入!$B$143)*CZ125,0)</f>
        <v>0</v>
      </c>
      <c r="DA127" s="9">
        <f>IF(101&lt;=核心参数输入!$B$9*4,(核心参数输入!$B$10*核心参数输入!$B$11*核心参数输入!$B$12*核心参数输入!$B$143)*DA125,0)</f>
        <v>0</v>
      </c>
      <c r="DB127" s="9">
        <f>IF(102&lt;=核心参数输入!$B$9*4,(核心参数输入!$B$10*核心参数输入!$B$11*核心参数输入!$B$12*核心参数输入!$B$143)*DB125,0)</f>
        <v>0</v>
      </c>
      <c r="DC127" s="9">
        <f>IF(103&lt;=核心参数输入!$B$9*4,(核心参数输入!$B$10*核心参数输入!$B$11*核心参数输入!$B$12*核心参数输入!$B$143)*DC125,0)</f>
        <v>0</v>
      </c>
      <c r="DD127" s="9">
        <f>IF(104&lt;=核心参数输入!$B$9*4,(核心参数输入!$B$10*核心参数输入!$B$11*核心参数输入!$B$12*核心参数输入!$B$143)*DD125,0)</f>
        <v>0</v>
      </c>
      <c r="DE127" s="9">
        <f>IF(105&lt;=核心参数输入!$B$9*4,(核心参数输入!$B$10*核心参数输入!$B$11*核心参数输入!$B$12*核心参数输入!$B$143)*DE125,0)</f>
        <v>0</v>
      </c>
      <c r="DF127" s="9">
        <f>IF(106&lt;=核心参数输入!$B$9*4,(核心参数输入!$B$10*核心参数输入!$B$11*核心参数输入!$B$12*核心参数输入!$B$143)*DF125,0)</f>
        <v>0</v>
      </c>
      <c r="DG127" s="9">
        <f>IF(107&lt;=核心参数输入!$B$9*4,(核心参数输入!$B$10*核心参数输入!$B$11*核心参数输入!$B$12*核心参数输入!$B$143)*DG125,0)</f>
        <v>0</v>
      </c>
      <c r="DH127" s="9">
        <f>IF(108&lt;=核心参数输入!$B$9*4,(核心参数输入!$B$10*核心参数输入!$B$11*核心参数输入!$B$12*核心参数输入!$B$143)*DH125,0)</f>
        <v>0</v>
      </c>
      <c r="DI127" s="9">
        <f>IF(109&lt;=核心参数输入!$B$9*4,(核心参数输入!$B$10*核心参数输入!$B$11*核心参数输入!$B$12*核心参数输入!$B$143)*DI125,0)</f>
        <v>0</v>
      </c>
      <c r="DJ127" s="9">
        <f>IF(110&lt;=核心参数输入!$B$9*4,(核心参数输入!$B$10*核心参数输入!$B$11*核心参数输入!$B$12*核心参数输入!$B$143)*DJ125,0)</f>
        <v>0</v>
      </c>
      <c r="DK127" s="9">
        <f>IF(111&lt;=核心参数输入!$B$9*4,(核心参数输入!$B$10*核心参数输入!$B$11*核心参数输入!$B$12*核心参数输入!$B$143)*DK125,0)</f>
        <v>0</v>
      </c>
      <c r="DL127" s="9">
        <f>IF(112&lt;=核心参数输入!$B$9*4,(核心参数输入!$B$10*核心参数输入!$B$11*核心参数输入!$B$12*核心参数输入!$B$143)*DL125,0)</f>
        <v>0</v>
      </c>
      <c r="DM127" s="9">
        <f>IF(113&lt;=核心参数输入!$B$9*4,(核心参数输入!$B$10*核心参数输入!$B$11*核心参数输入!$B$12*核心参数输入!$B$143)*DM125,0)</f>
        <v>0</v>
      </c>
      <c r="DN127" s="9">
        <f>IF(114&lt;=核心参数输入!$B$9*4,(核心参数输入!$B$10*核心参数输入!$B$11*核心参数输入!$B$12*核心参数输入!$B$143)*DN125,0)</f>
        <v>0</v>
      </c>
      <c r="DO127" s="9">
        <f>IF(115&lt;=核心参数输入!$B$9*4,(核心参数输入!$B$10*核心参数输入!$B$11*核心参数输入!$B$12*核心参数输入!$B$143)*DO125,0)</f>
        <v>0</v>
      </c>
      <c r="DP127" s="9">
        <f>IF(116&lt;=核心参数输入!$B$9*4,(核心参数输入!$B$10*核心参数输入!$B$11*核心参数输入!$B$12*核心参数输入!$B$143)*DP125,0)</f>
        <v>0</v>
      </c>
      <c r="DQ127" s="9">
        <f>IF(117&lt;=核心参数输入!$B$9*4,(核心参数输入!$B$10*核心参数输入!$B$11*核心参数输入!$B$12*核心参数输入!$B$143)*DQ125,0)</f>
        <v>0</v>
      </c>
      <c r="DR127" s="9">
        <f>IF(118&lt;=核心参数输入!$B$9*4,(核心参数输入!$B$10*核心参数输入!$B$11*核心参数输入!$B$12*核心参数输入!$B$143)*DR125,0)</f>
        <v>0</v>
      </c>
      <c r="DS127" s="9">
        <f>IF(119&lt;=核心参数输入!$B$9*4,(核心参数输入!$B$10*核心参数输入!$B$11*核心参数输入!$B$12*核心参数输入!$B$143)*DS125,0)</f>
        <v>0</v>
      </c>
      <c r="DT127" s="9">
        <f>IF(120&lt;=核心参数输入!$B$9*4,(核心参数输入!$B$10*核心参数输入!$B$11*核心参数输入!$B$12*核心参数输入!$B$143)*DT125,0)</f>
        <v>0</v>
      </c>
    </row>
    <row r="128" spans="1:124" ht="21" customHeight="1">
      <c r="A128" s="8" t="s">
        <v>454</v>
      </c>
      <c r="B128" s="8" t="s">
        <v>39</v>
      </c>
      <c r="C128" s="8"/>
      <c r="D128" s="9">
        <f>IF(0&lt;=核心参数输入!$B$9*4,MAX(0,D127-D126),0)</f>
        <v>0</v>
      </c>
      <c r="E128" s="9">
        <f>IF(1&lt;=核心参数输入!$B$9*4,MAX(0,E127-E126),0)</f>
        <v>0</v>
      </c>
      <c r="F128" s="9">
        <f>IF(2&lt;=核心参数输入!$B$9*4,MAX(0,F127-F126),0)</f>
        <v>0</v>
      </c>
      <c r="G128" s="9">
        <f>IF(3&lt;=核心参数输入!$B$9*4,MAX(0,G127-G126),0)</f>
        <v>0</v>
      </c>
      <c r="H128" s="9">
        <f>IF(4&lt;=核心参数输入!$B$9*4,MAX(0,H127-H126),0)</f>
        <v>0</v>
      </c>
      <c r="I128" s="9">
        <f>IF(5&lt;=核心参数输入!$B$9*4,MAX(0,I127-I126),0)</f>
        <v>0</v>
      </c>
      <c r="J128" s="9">
        <f>IF(6&lt;=核心参数输入!$B$9*4,MAX(0,J127-J126),0)</f>
        <v>0</v>
      </c>
      <c r="K128" s="9">
        <f>IF(7&lt;=核心参数输入!$B$9*4,MAX(0,K127-K126),0)</f>
        <v>0</v>
      </c>
      <c r="L128" s="9">
        <f>IF(8&lt;=核心参数输入!$B$9*4,MAX(0,L127-L126),0)</f>
        <v>0</v>
      </c>
      <c r="M128" s="9">
        <f>IF(9&lt;=核心参数输入!$B$9*4,MAX(0,M127-M126),0)</f>
        <v>0</v>
      </c>
      <c r="N128" s="9">
        <f>IF(10&lt;=核心参数输入!$B$9*4,MAX(0,N127-N126),0)</f>
        <v>0</v>
      </c>
      <c r="O128" s="9">
        <f>IF(11&lt;=核心参数输入!$B$9*4,MAX(0,O127-O126),0)</f>
        <v>0</v>
      </c>
      <c r="P128" s="9">
        <f>IF(12&lt;=核心参数输入!$B$9*4,MAX(0,P127-P126),0)</f>
        <v>0</v>
      </c>
      <c r="Q128" s="9">
        <f>IF(13&lt;=核心参数输入!$B$9*4,MAX(0,Q127-Q126),0)</f>
        <v>6075</v>
      </c>
      <c r="R128" s="9">
        <f>IF(14&lt;=核心参数输入!$B$9*4,MAX(0,R127-R126),0)</f>
        <v>6075</v>
      </c>
      <c r="S128" s="9">
        <f>IF(15&lt;=核心参数输入!$B$9*4,MAX(0,S127-S126),0)</f>
        <v>6075</v>
      </c>
      <c r="T128" s="9">
        <f>IF(16&lt;=核心参数输入!$B$9*4,MAX(0,T127-T126),0)</f>
        <v>6075</v>
      </c>
      <c r="U128" s="9">
        <f>IF(17&lt;=核心参数输入!$B$9*4,MAX(0,U127-U126),0)</f>
        <v>3037.4999999999964</v>
      </c>
      <c r="V128" s="9">
        <f>IF(18&lt;=核心参数输入!$B$9*4,MAX(0,V127-V126),0)</f>
        <v>3037.5</v>
      </c>
      <c r="W128" s="9">
        <f>IF(19&lt;=核心参数输入!$B$9*4,MAX(0,W127-W126),0)</f>
        <v>3037.5000000000036</v>
      </c>
      <c r="X128" s="9">
        <f>IF(20&lt;=核心参数输入!$B$9*4,MAX(0,X127-X126),0)</f>
        <v>3037.4999999999927</v>
      </c>
      <c r="Y128" s="9">
        <f>IF(21&lt;=核心参数输入!$B$9*4,MAX(0,Y127-Y126),0)</f>
        <v>2278.125</v>
      </c>
      <c r="Z128" s="9">
        <f>IF(22&lt;=核心参数输入!$B$9*4,MAX(0,Z127-Z126),0)</f>
        <v>2278.1250000000073</v>
      </c>
      <c r="AA128" s="9">
        <f>IF(23&lt;=核心参数输入!$B$9*4,MAX(0,AA127-AA126),0)</f>
        <v>2278.1249999999927</v>
      </c>
      <c r="AB128" s="9">
        <f>IF(24&lt;=核心参数输入!$B$9*4,MAX(0,AB127-AB126),0)</f>
        <v>2278.125</v>
      </c>
      <c r="AC128" s="9">
        <f>IF(25&lt;=核心参数输入!$B$9*4,MAX(0,AC127-AC126),0)</f>
        <v>759.375</v>
      </c>
      <c r="AD128" s="9">
        <f>IF(26&lt;=核心参数输入!$B$9*4,MAX(0,AD127-AD126),0)</f>
        <v>759.375</v>
      </c>
      <c r="AE128" s="9">
        <f>IF(27&lt;=核心参数输入!$B$9*4,MAX(0,AE127-AE126),0)</f>
        <v>759.37500000000728</v>
      </c>
      <c r="AF128" s="9">
        <f>IF(28&lt;=核心参数输入!$B$9*4,MAX(0,AF127-AF126),0)</f>
        <v>759.375</v>
      </c>
      <c r="AG128" s="9">
        <f>IF(29&lt;=核心参数输入!$B$9*4,MAX(0,AG127-AG126),0)</f>
        <v>0</v>
      </c>
      <c r="AH128" s="9">
        <f>IF(30&lt;=核心参数输入!$B$9*4,MAX(0,AH127-AH126),0)</f>
        <v>0</v>
      </c>
      <c r="AI128" s="9">
        <f>IF(31&lt;=核心参数输入!$B$9*4,MAX(0,AI127-AI126),0)</f>
        <v>0</v>
      </c>
      <c r="AJ128" s="9">
        <f>IF(32&lt;=核心参数输入!$B$9*4,MAX(0,AJ127-AJ126),0)</f>
        <v>0</v>
      </c>
      <c r="AK128" s="9">
        <f>IF(33&lt;=核心参数输入!$B$9*4,MAX(0,AK127-AK126),0)</f>
        <v>0</v>
      </c>
      <c r="AL128" s="9">
        <f>IF(34&lt;=核心参数输入!$B$9*4,MAX(0,AL127-AL126),0)</f>
        <v>0</v>
      </c>
      <c r="AM128" s="9">
        <f>IF(35&lt;=核心参数输入!$B$9*4,MAX(0,AM127-AM126),0)</f>
        <v>0</v>
      </c>
      <c r="AN128" s="9">
        <f>IF(36&lt;=核心参数输入!$B$9*4,MAX(0,AN127-AN126),0)</f>
        <v>0</v>
      </c>
      <c r="AO128" s="9">
        <f>IF(37&lt;=核心参数输入!$B$9*4,MAX(0,AO127-AO126),0)</f>
        <v>0</v>
      </c>
      <c r="AP128" s="9">
        <f>IF(38&lt;=核心参数输入!$B$9*4,MAX(0,AP127-AP126),0)</f>
        <v>0</v>
      </c>
      <c r="AQ128" s="9">
        <f>IF(39&lt;=核心参数输入!$B$9*4,MAX(0,AQ127-AQ126),0)</f>
        <v>0</v>
      </c>
      <c r="AR128" s="9">
        <f>IF(40&lt;=核心参数输入!$B$9*4,MAX(0,AR127-AR126),0)</f>
        <v>0</v>
      </c>
      <c r="AS128" s="9">
        <f>IF(41&lt;=核心参数输入!$B$9*4,MAX(0,AS127-AS126),0)</f>
        <v>0</v>
      </c>
      <c r="AT128" s="9">
        <f>IF(42&lt;=核心参数输入!$B$9*4,MAX(0,AT127-AT126),0)</f>
        <v>0</v>
      </c>
      <c r="AU128" s="9">
        <f>IF(43&lt;=核心参数输入!$B$9*4,MAX(0,AU127-AU126),0)</f>
        <v>0</v>
      </c>
      <c r="AV128" s="9">
        <f>IF(44&lt;=核心参数输入!$B$9*4,MAX(0,AV127-AV126),0)</f>
        <v>0</v>
      </c>
      <c r="AW128" s="9">
        <f>IF(45&lt;=核心参数输入!$B$9*4,MAX(0,AW127-AW126),0)</f>
        <v>0</v>
      </c>
      <c r="AX128" s="9">
        <f>IF(46&lt;=核心参数输入!$B$9*4,MAX(0,AX127-AX126),0)</f>
        <v>0</v>
      </c>
      <c r="AY128" s="9">
        <f>IF(47&lt;=核心参数输入!$B$9*4,MAX(0,AY127-AY126),0)</f>
        <v>0</v>
      </c>
      <c r="AZ128" s="9">
        <f>IF(48&lt;=核心参数输入!$B$9*4,MAX(0,AZ127-AZ126),0)</f>
        <v>0</v>
      </c>
      <c r="BA128" s="9">
        <f>IF(49&lt;=核心参数输入!$B$9*4,MAX(0,BA127-BA126),0)</f>
        <v>0</v>
      </c>
      <c r="BB128" s="9">
        <f>IF(50&lt;=核心参数输入!$B$9*4,MAX(0,BB127-BB126),0)</f>
        <v>0</v>
      </c>
      <c r="BC128" s="9">
        <f>IF(51&lt;=核心参数输入!$B$9*4,MAX(0,BC127-BC126),0)</f>
        <v>0</v>
      </c>
      <c r="BD128" s="9">
        <f>IF(52&lt;=核心参数输入!$B$9*4,MAX(0,BD127-BD126),0)</f>
        <v>0</v>
      </c>
      <c r="BE128" s="9">
        <f>IF(53&lt;=核心参数输入!$B$9*4,MAX(0,BE127-BE126),0)</f>
        <v>0</v>
      </c>
      <c r="BF128" s="9">
        <f>IF(54&lt;=核心参数输入!$B$9*4,MAX(0,BF127-BF126),0)</f>
        <v>0</v>
      </c>
      <c r="BG128" s="9">
        <f>IF(55&lt;=核心参数输入!$B$9*4,MAX(0,BG127-BG126),0)</f>
        <v>0</v>
      </c>
      <c r="BH128" s="9">
        <f>IF(56&lt;=核心参数输入!$B$9*4,MAX(0,BH127-BH126),0)</f>
        <v>0</v>
      </c>
      <c r="BI128" s="9">
        <f>IF(57&lt;=核心参数输入!$B$9*4,MAX(0,BI127-BI126),0)</f>
        <v>0</v>
      </c>
      <c r="BJ128" s="9">
        <f>IF(58&lt;=核心参数输入!$B$9*4,MAX(0,BJ127-BJ126),0)</f>
        <v>0</v>
      </c>
      <c r="BK128" s="9">
        <f>IF(59&lt;=核心参数输入!$B$9*4,MAX(0,BK127-BK126),0)</f>
        <v>0</v>
      </c>
      <c r="BL128" s="9">
        <f>IF(60&lt;=核心参数输入!$B$9*4,MAX(0,BL127-BL126),0)</f>
        <v>0</v>
      </c>
      <c r="BM128" s="9">
        <f>IF(61&lt;=核心参数输入!$B$9*4,MAX(0,BM127-BM126),0)</f>
        <v>0</v>
      </c>
      <c r="BN128" s="9">
        <f>IF(62&lt;=核心参数输入!$B$9*4,MAX(0,BN127-BN126),0)</f>
        <v>0</v>
      </c>
      <c r="BO128" s="9">
        <f>IF(63&lt;=核心参数输入!$B$9*4,MAX(0,BO127-BO126),0)</f>
        <v>0</v>
      </c>
      <c r="BP128" s="9">
        <f>IF(64&lt;=核心参数输入!$B$9*4,MAX(0,BP127-BP126),0)</f>
        <v>0</v>
      </c>
      <c r="BQ128" s="9">
        <f>IF(65&lt;=核心参数输入!$B$9*4,MAX(0,BQ127-BQ126),0)</f>
        <v>0</v>
      </c>
      <c r="BR128" s="9">
        <f>IF(66&lt;=核心参数输入!$B$9*4,MAX(0,BR127-BR126),0)</f>
        <v>0</v>
      </c>
      <c r="BS128" s="9">
        <f>IF(67&lt;=核心参数输入!$B$9*4,MAX(0,BS127-BS126),0)</f>
        <v>0</v>
      </c>
      <c r="BT128" s="9">
        <f>IF(68&lt;=核心参数输入!$B$9*4,MAX(0,BT127-BT126),0)</f>
        <v>0</v>
      </c>
      <c r="BU128" s="9">
        <f>IF(69&lt;=核心参数输入!$B$9*4,MAX(0,BU127-BU126),0)</f>
        <v>0</v>
      </c>
      <c r="BV128" s="9">
        <f>IF(70&lt;=核心参数输入!$B$9*4,MAX(0,BV127-BV126),0)</f>
        <v>0</v>
      </c>
      <c r="BW128" s="9">
        <f>IF(71&lt;=核心参数输入!$B$9*4,MAX(0,BW127-BW126),0)</f>
        <v>0</v>
      </c>
      <c r="BX128" s="9">
        <f>IF(72&lt;=核心参数输入!$B$9*4,MAX(0,BX127-BX126),0)</f>
        <v>0</v>
      </c>
      <c r="BY128" s="9">
        <f>IF(73&lt;=核心参数输入!$B$9*4,MAX(0,BY127-BY126),0)</f>
        <v>0</v>
      </c>
      <c r="BZ128" s="9">
        <f>IF(74&lt;=核心参数输入!$B$9*4,MAX(0,BZ127-BZ126),0)</f>
        <v>0</v>
      </c>
      <c r="CA128" s="9">
        <f>IF(75&lt;=核心参数输入!$B$9*4,MAX(0,CA127-CA126),0)</f>
        <v>0</v>
      </c>
      <c r="CB128" s="9">
        <f>IF(76&lt;=核心参数输入!$B$9*4,MAX(0,CB127-CB126),0)</f>
        <v>0</v>
      </c>
      <c r="CC128" s="9">
        <f>IF(77&lt;=核心参数输入!$B$9*4,MAX(0,CC127-CC126),0)</f>
        <v>0</v>
      </c>
      <c r="CD128" s="9">
        <f>IF(78&lt;=核心参数输入!$B$9*4,MAX(0,CD127-CD126),0)</f>
        <v>0</v>
      </c>
      <c r="CE128" s="9">
        <f>IF(79&lt;=核心参数输入!$B$9*4,MAX(0,CE127-CE126),0)</f>
        <v>0</v>
      </c>
      <c r="CF128" s="9">
        <f>IF(80&lt;=核心参数输入!$B$9*4,MAX(0,CF127-CF126),0)</f>
        <v>0</v>
      </c>
      <c r="CG128" s="9">
        <f>IF(81&lt;=核心参数输入!$B$9*4,MAX(0,CG127-CG126),0)</f>
        <v>0</v>
      </c>
      <c r="CH128" s="9">
        <f>IF(82&lt;=核心参数输入!$B$9*4,MAX(0,CH127-CH126),0)</f>
        <v>0</v>
      </c>
      <c r="CI128" s="9">
        <f>IF(83&lt;=核心参数输入!$B$9*4,MAX(0,CI127-CI126),0)</f>
        <v>0</v>
      </c>
      <c r="CJ128" s="9">
        <f>IF(84&lt;=核心参数输入!$B$9*4,MAX(0,CJ127-CJ126),0)</f>
        <v>0</v>
      </c>
      <c r="CK128" s="9">
        <f>IF(85&lt;=核心参数输入!$B$9*4,MAX(0,CK127-CK126),0)</f>
        <v>0</v>
      </c>
      <c r="CL128" s="9">
        <f>IF(86&lt;=核心参数输入!$B$9*4,MAX(0,CL127-CL126),0)</f>
        <v>0</v>
      </c>
      <c r="CM128" s="9">
        <f>IF(87&lt;=核心参数输入!$B$9*4,MAX(0,CM127-CM126),0)</f>
        <v>0</v>
      </c>
      <c r="CN128" s="9">
        <f>IF(88&lt;=核心参数输入!$B$9*4,MAX(0,CN127-CN126),0)</f>
        <v>0</v>
      </c>
      <c r="CO128" s="9">
        <f>IF(89&lt;=核心参数输入!$B$9*4,MAX(0,CO127-CO126),0)</f>
        <v>0</v>
      </c>
      <c r="CP128" s="9">
        <f>IF(90&lt;=核心参数输入!$B$9*4,MAX(0,CP127-CP126),0)</f>
        <v>0</v>
      </c>
      <c r="CQ128" s="9">
        <f>IF(91&lt;=核心参数输入!$B$9*4,MAX(0,CQ127-CQ126),0)</f>
        <v>0</v>
      </c>
      <c r="CR128" s="9">
        <f>IF(92&lt;=核心参数输入!$B$9*4,MAX(0,CR127-CR126),0)</f>
        <v>0</v>
      </c>
      <c r="CS128" s="9">
        <f>IF(93&lt;=核心参数输入!$B$9*4,MAX(0,CS127-CS126),0)</f>
        <v>0</v>
      </c>
      <c r="CT128" s="9">
        <f>IF(94&lt;=核心参数输入!$B$9*4,MAX(0,CT127-CT126),0)</f>
        <v>0</v>
      </c>
      <c r="CU128" s="9">
        <f>IF(95&lt;=核心参数输入!$B$9*4,MAX(0,CU127-CU126),0)</f>
        <v>0</v>
      </c>
      <c r="CV128" s="9">
        <f>IF(96&lt;=核心参数输入!$B$9*4,MAX(0,CV127-CV126),0)</f>
        <v>0</v>
      </c>
      <c r="CW128" s="9">
        <f>IF(97&lt;=核心参数输入!$B$9*4,MAX(0,CW127-CW126),0)</f>
        <v>0</v>
      </c>
      <c r="CX128" s="9">
        <f>IF(98&lt;=核心参数输入!$B$9*4,MAX(0,CX127-CX126),0)</f>
        <v>0</v>
      </c>
      <c r="CY128" s="9">
        <f>IF(99&lt;=核心参数输入!$B$9*4,MAX(0,CY127-CY126),0)</f>
        <v>0</v>
      </c>
      <c r="CZ128" s="9">
        <f>IF(100&lt;=核心参数输入!$B$9*4,MAX(0,CZ127-CZ126),0)</f>
        <v>0</v>
      </c>
      <c r="DA128" s="9">
        <f>IF(101&lt;=核心参数输入!$B$9*4,MAX(0,DA127-DA126),0)</f>
        <v>0</v>
      </c>
      <c r="DB128" s="9">
        <f>IF(102&lt;=核心参数输入!$B$9*4,MAX(0,DB127-DB126),0)</f>
        <v>0</v>
      </c>
      <c r="DC128" s="9">
        <f>IF(103&lt;=核心参数输入!$B$9*4,MAX(0,DC127-DC126),0)</f>
        <v>0</v>
      </c>
      <c r="DD128" s="9">
        <f>IF(104&lt;=核心参数输入!$B$9*4,MAX(0,DD127-DD126),0)</f>
        <v>0</v>
      </c>
      <c r="DE128" s="9">
        <f>IF(105&lt;=核心参数输入!$B$9*4,MAX(0,DE127-DE126),0)</f>
        <v>0</v>
      </c>
      <c r="DF128" s="9">
        <f>IF(106&lt;=核心参数输入!$B$9*4,MAX(0,DF127-DF126),0)</f>
        <v>0</v>
      </c>
      <c r="DG128" s="9">
        <f>IF(107&lt;=核心参数输入!$B$9*4,MAX(0,DG127-DG126),0)</f>
        <v>0</v>
      </c>
      <c r="DH128" s="9">
        <f>IF(108&lt;=核心参数输入!$B$9*4,MAX(0,DH127-DH126),0)</f>
        <v>0</v>
      </c>
      <c r="DI128" s="9">
        <f>IF(109&lt;=核心参数输入!$B$9*4,MAX(0,DI127-DI126),0)</f>
        <v>0</v>
      </c>
      <c r="DJ128" s="9">
        <f>IF(110&lt;=核心参数输入!$B$9*4,MAX(0,DJ127-DJ126),0)</f>
        <v>0</v>
      </c>
      <c r="DK128" s="9">
        <f>IF(111&lt;=核心参数输入!$B$9*4,MAX(0,DK127-DK126),0)</f>
        <v>0</v>
      </c>
      <c r="DL128" s="9">
        <f>IF(112&lt;=核心参数输入!$B$9*4,MAX(0,DL127-DL126),0)</f>
        <v>0</v>
      </c>
      <c r="DM128" s="9">
        <f>IF(113&lt;=核心参数输入!$B$9*4,MAX(0,DM127-DM126),0)</f>
        <v>0</v>
      </c>
      <c r="DN128" s="9">
        <f>IF(114&lt;=核心参数输入!$B$9*4,MAX(0,DN127-DN126),0)</f>
        <v>0</v>
      </c>
      <c r="DO128" s="9">
        <f>IF(115&lt;=核心参数输入!$B$9*4,MAX(0,DO127-DO126),0)</f>
        <v>0</v>
      </c>
      <c r="DP128" s="9">
        <f>IF(116&lt;=核心参数输入!$B$9*4,MAX(0,DP127-DP126),0)</f>
        <v>0</v>
      </c>
      <c r="DQ128" s="9">
        <f>IF(117&lt;=核心参数输入!$B$9*4,MAX(0,DQ127-DQ126),0)</f>
        <v>0</v>
      </c>
      <c r="DR128" s="9">
        <f>IF(118&lt;=核心参数输入!$B$9*4,MAX(0,DR127-DR126),0)</f>
        <v>0</v>
      </c>
      <c r="DS128" s="9">
        <f>IF(119&lt;=核心参数输入!$B$9*4,MAX(0,DS127-DS126),0)</f>
        <v>0</v>
      </c>
      <c r="DT128" s="9">
        <f>IF(120&lt;=核心参数输入!$B$9*4,MAX(0,DT127-DT126),0)</f>
        <v>0</v>
      </c>
    </row>
    <row r="129" spans="1:124" ht="21" customHeight="1">
      <c r="A129" s="8" t="s">
        <v>455</v>
      </c>
      <c r="B129" s="8" t="s">
        <v>39</v>
      </c>
      <c r="C129" s="8"/>
      <c r="D129" s="9">
        <f>IF(0&lt;=核心参数输入!$B$9*4,D126+D128*(1-核心参数输入!$B$125),0)</f>
        <v>0</v>
      </c>
      <c r="E129" s="9">
        <f>IF(1&lt;=核心参数输入!$B$9*4,E126+E128*(1-核心参数输入!$B$125),0)</f>
        <v>0</v>
      </c>
      <c r="F129" s="9">
        <f>IF(2&lt;=核心参数输入!$B$9*4,F126+F128*(1-核心参数输入!$B$125),0)</f>
        <v>0</v>
      </c>
      <c r="G129" s="9">
        <f>IF(3&lt;=核心参数输入!$B$9*4,G126+G128*(1-核心参数输入!$B$125),0)</f>
        <v>0</v>
      </c>
      <c r="H129" s="9">
        <f>IF(4&lt;=核心参数输入!$B$9*4,H126+H128*(1-核心参数输入!$B$125),0)</f>
        <v>0</v>
      </c>
      <c r="I129" s="9">
        <f>IF(5&lt;=核心参数输入!$B$9*4,I126+I128*(1-核心参数输入!$B$125),0)</f>
        <v>0</v>
      </c>
      <c r="J129" s="9">
        <f>IF(6&lt;=核心参数输入!$B$9*4,J126+J128*(1-核心参数输入!$B$125),0)</f>
        <v>0</v>
      </c>
      <c r="K129" s="9">
        <f>IF(7&lt;=核心参数输入!$B$9*4,K126+K128*(1-核心参数输入!$B$125),0)</f>
        <v>0</v>
      </c>
      <c r="L129" s="9">
        <f>IF(8&lt;=核心参数输入!$B$9*4,L126+L128*(1-核心参数输入!$B$125),0)</f>
        <v>0</v>
      </c>
      <c r="M129" s="9">
        <f>IF(9&lt;=核心参数输入!$B$9*4,M126+M128*(1-核心参数输入!$B$125),0)</f>
        <v>0</v>
      </c>
      <c r="N129" s="9">
        <f>IF(10&lt;=核心参数输入!$B$9*4,N126+N128*(1-核心参数输入!$B$125),0)</f>
        <v>0</v>
      </c>
      <c r="O129" s="9">
        <f>IF(11&lt;=核心参数输入!$B$9*4,O126+O128*(1-核心参数输入!$B$125),0)</f>
        <v>0</v>
      </c>
      <c r="P129" s="9">
        <f>IF(12&lt;=核心参数输入!$B$9*4,P126+P128*(1-核心参数输入!$B$125),0)</f>
        <v>0</v>
      </c>
      <c r="Q129" s="9">
        <f>IF(13&lt;=核心参数输入!$B$9*4,Q126+Q128*(1-核心参数输入!$B$125),0)</f>
        <v>3037.5</v>
      </c>
      <c r="R129" s="9">
        <f>IF(14&lt;=核心参数输入!$B$9*4,R126+R128*(1-核心参数输入!$B$125),0)</f>
        <v>9112.5</v>
      </c>
      <c r="S129" s="9">
        <f>IF(15&lt;=核心参数输入!$B$9*4,S126+S128*(1-核心参数输入!$B$125),0)</f>
        <v>15187.5</v>
      </c>
      <c r="T129" s="9">
        <f>IF(16&lt;=核心参数输入!$B$9*4,T126+T128*(1-核心参数输入!$B$125),0)</f>
        <v>21262.5</v>
      </c>
      <c r="U129" s="9">
        <f>IF(17&lt;=核心参数输入!$B$9*4,U126+U128*(1-核心参数输入!$B$125),0)</f>
        <v>25818.75</v>
      </c>
      <c r="V129" s="9">
        <f>IF(18&lt;=核心参数输入!$B$9*4,V126+V128*(1-核心参数输入!$B$125),0)</f>
        <v>28856.249999999996</v>
      </c>
      <c r="W129" s="9">
        <f>IF(19&lt;=核心参数输入!$B$9*4,W126+W128*(1-核心参数输入!$B$125),0)</f>
        <v>31893.75</v>
      </c>
      <c r="X129" s="9">
        <f>IF(20&lt;=核心参数输入!$B$9*4,X126+X128*(1-核心参数输入!$B$125),0)</f>
        <v>34931.25</v>
      </c>
      <c r="Y129" s="9">
        <f>IF(21&lt;=核心参数输入!$B$9*4,Y126+Y128*(1-核心参数输入!$B$125),0)</f>
        <v>37589.062499999993</v>
      </c>
      <c r="Z129" s="9">
        <f>IF(22&lt;=核心参数输入!$B$9*4,Z126+Z128*(1-核心参数输入!$B$125),0)</f>
        <v>39867.1875</v>
      </c>
      <c r="AA129" s="9">
        <f>IF(23&lt;=核心参数输入!$B$9*4,AA126+AA128*(1-核心参数输入!$B$125),0)</f>
        <v>42145.3125</v>
      </c>
      <c r="AB129" s="9">
        <f>IF(24&lt;=核心参数输入!$B$9*4,AB126+AB128*(1-核心参数输入!$B$125),0)</f>
        <v>44423.437499999993</v>
      </c>
      <c r="AC129" s="9">
        <f>IF(25&lt;=核心参数输入!$B$9*4,AC126+AC128*(1-核心参数输入!$B$125),0)</f>
        <v>45942.187499999993</v>
      </c>
      <c r="AD129" s="9">
        <f>IF(26&lt;=核心参数输入!$B$9*4,AD126+AD128*(1-核心参数输入!$B$125),0)</f>
        <v>46701.562499999993</v>
      </c>
      <c r="AE129" s="9">
        <f>IF(27&lt;=核心参数输入!$B$9*4,AE126+AE128*(1-核心参数输入!$B$125),0)</f>
        <v>47460.9375</v>
      </c>
      <c r="AF129" s="9">
        <f>IF(28&lt;=核心参数输入!$B$9*4,AF126+AF128*(1-核心参数输入!$B$125),0)</f>
        <v>48220.3125</v>
      </c>
      <c r="AG129" s="9">
        <f>IF(29&lt;=核心参数输入!$B$9*4,AG126+AG128*(1-核心参数输入!$B$125),0)</f>
        <v>48600</v>
      </c>
      <c r="AH129" s="9">
        <f>IF(30&lt;=核心参数输入!$B$9*4,AH126+AH128*(1-核心参数输入!$B$125),0)</f>
        <v>48600</v>
      </c>
      <c r="AI129" s="9">
        <f>IF(31&lt;=核心参数输入!$B$9*4,AI126+AI128*(1-核心参数输入!$B$125),0)</f>
        <v>48600</v>
      </c>
      <c r="AJ129" s="9">
        <f>IF(32&lt;=核心参数输入!$B$9*4,AJ126+AJ128*(1-核心参数输入!$B$125),0)</f>
        <v>48600</v>
      </c>
      <c r="AK129" s="9">
        <f>IF(33&lt;=核心参数输入!$B$9*4,AK126+AK128*(1-核心参数输入!$B$125),0)</f>
        <v>48600</v>
      </c>
      <c r="AL129" s="9">
        <f>IF(34&lt;=核心参数输入!$B$9*4,AL126+AL128*(1-核心参数输入!$B$125),0)</f>
        <v>48600</v>
      </c>
      <c r="AM129" s="9">
        <f>IF(35&lt;=核心参数输入!$B$9*4,AM126+AM128*(1-核心参数输入!$B$125),0)</f>
        <v>48600</v>
      </c>
      <c r="AN129" s="9">
        <f>IF(36&lt;=核心参数输入!$B$9*4,AN126+AN128*(1-核心参数输入!$B$125),0)</f>
        <v>48600</v>
      </c>
      <c r="AO129" s="9">
        <f>IF(37&lt;=核心参数输入!$B$9*4,AO126+AO128*(1-核心参数输入!$B$125),0)</f>
        <v>48600</v>
      </c>
      <c r="AP129" s="9">
        <f>IF(38&lt;=核心参数输入!$B$9*4,AP126+AP128*(1-核心参数输入!$B$125),0)</f>
        <v>48600</v>
      </c>
      <c r="AQ129" s="9">
        <f>IF(39&lt;=核心参数输入!$B$9*4,AQ126+AQ128*(1-核心参数输入!$B$125),0)</f>
        <v>48600</v>
      </c>
      <c r="AR129" s="9">
        <f>IF(40&lt;=核心参数输入!$B$9*4,AR126+AR128*(1-核心参数输入!$B$125),0)</f>
        <v>48600</v>
      </c>
      <c r="AS129" s="9">
        <f>IF(41&lt;=核心参数输入!$B$9*4,AS126+AS128*(1-核心参数输入!$B$125),0)</f>
        <v>48600</v>
      </c>
      <c r="AT129" s="9">
        <f>IF(42&lt;=核心参数输入!$B$9*4,AT126+AT128*(1-核心参数输入!$B$125),0)</f>
        <v>48600</v>
      </c>
      <c r="AU129" s="9">
        <f>IF(43&lt;=核心参数输入!$B$9*4,AU126+AU128*(1-核心参数输入!$B$125),0)</f>
        <v>48600</v>
      </c>
      <c r="AV129" s="9">
        <f>IF(44&lt;=核心参数输入!$B$9*4,AV126+AV128*(1-核心参数输入!$B$125),0)</f>
        <v>48600</v>
      </c>
      <c r="AW129" s="9">
        <f>IF(45&lt;=核心参数输入!$B$9*4,AW126+AW128*(1-核心参数输入!$B$125),0)</f>
        <v>48600</v>
      </c>
      <c r="AX129" s="9">
        <f>IF(46&lt;=核心参数输入!$B$9*4,AX126+AX128*(1-核心参数输入!$B$125),0)</f>
        <v>48600</v>
      </c>
      <c r="AY129" s="9">
        <f>IF(47&lt;=核心参数输入!$B$9*4,AY126+AY128*(1-核心参数输入!$B$125),0)</f>
        <v>48600</v>
      </c>
      <c r="AZ129" s="9">
        <f>IF(48&lt;=核心参数输入!$B$9*4,AZ126+AZ128*(1-核心参数输入!$B$125),0)</f>
        <v>48600</v>
      </c>
      <c r="BA129" s="9">
        <f>IF(49&lt;=核心参数输入!$B$9*4,BA126+BA128*(1-核心参数输入!$B$125),0)</f>
        <v>48600</v>
      </c>
      <c r="BB129" s="9">
        <f>IF(50&lt;=核心参数输入!$B$9*4,BB126+BB128*(1-核心参数输入!$B$125),0)</f>
        <v>48600</v>
      </c>
      <c r="BC129" s="9">
        <f>IF(51&lt;=核心参数输入!$B$9*4,BC126+BC128*(1-核心参数输入!$B$125),0)</f>
        <v>48600</v>
      </c>
      <c r="BD129" s="9">
        <f>IF(52&lt;=核心参数输入!$B$9*4,BD126+BD128*(1-核心参数输入!$B$125),0)</f>
        <v>48600</v>
      </c>
      <c r="BE129" s="9">
        <f>IF(53&lt;=核心参数输入!$B$9*4,BE126+BE128*(1-核心参数输入!$B$125),0)</f>
        <v>48600</v>
      </c>
      <c r="BF129" s="9">
        <f>IF(54&lt;=核心参数输入!$B$9*4,BF126+BF128*(1-核心参数输入!$B$125),0)</f>
        <v>48600</v>
      </c>
      <c r="BG129" s="9">
        <f>IF(55&lt;=核心参数输入!$B$9*4,BG126+BG128*(1-核心参数输入!$B$125),0)</f>
        <v>48600</v>
      </c>
      <c r="BH129" s="9">
        <f>IF(56&lt;=核心参数输入!$B$9*4,BH126+BH128*(1-核心参数输入!$B$125),0)</f>
        <v>48600</v>
      </c>
      <c r="BI129" s="9">
        <f>IF(57&lt;=核心参数输入!$B$9*4,BI126+BI128*(1-核心参数输入!$B$125),0)</f>
        <v>48600</v>
      </c>
      <c r="BJ129" s="9">
        <f>IF(58&lt;=核心参数输入!$B$9*4,BJ126+BJ128*(1-核心参数输入!$B$125),0)</f>
        <v>48600</v>
      </c>
      <c r="BK129" s="9">
        <f>IF(59&lt;=核心参数输入!$B$9*4,BK126+BK128*(1-核心参数输入!$B$125),0)</f>
        <v>48600</v>
      </c>
      <c r="BL129" s="9">
        <f>IF(60&lt;=核心参数输入!$B$9*4,BL126+BL128*(1-核心参数输入!$B$125),0)</f>
        <v>48600</v>
      </c>
      <c r="BM129" s="9">
        <f>IF(61&lt;=核心参数输入!$B$9*4,BM126+BM128*(1-核心参数输入!$B$125),0)</f>
        <v>48600</v>
      </c>
      <c r="BN129" s="9">
        <f>IF(62&lt;=核心参数输入!$B$9*4,BN126+BN128*(1-核心参数输入!$B$125),0)</f>
        <v>48600</v>
      </c>
      <c r="BO129" s="9">
        <f>IF(63&lt;=核心参数输入!$B$9*4,BO126+BO128*(1-核心参数输入!$B$125),0)</f>
        <v>48600</v>
      </c>
      <c r="BP129" s="9">
        <f>IF(64&lt;=核心参数输入!$B$9*4,BP126+BP128*(1-核心参数输入!$B$125),0)</f>
        <v>48600</v>
      </c>
      <c r="BQ129" s="9">
        <f>IF(65&lt;=核心参数输入!$B$9*4,BQ126+BQ128*(1-核心参数输入!$B$125),0)</f>
        <v>48600</v>
      </c>
      <c r="BR129" s="9">
        <f>IF(66&lt;=核心参数输入!$B$9*4,BR126+BR128*(1-核心参数输入!$B$125),0)</f>
        <v>48600</v>
      </c>
      <c r="BS129" s="9">
        <f>IF(67&lt;=核心参数输入!$B$9*4,BS126+BS128*(1-核心参数输入!$B$125),0)</f>
        <v>48600</v>
      </c>
      <c r="BT129" s="9">
        <f>IF(68&lt;=核心参数输入!$B$9*4,BT126+BT128*(1-核心参数输入!$B$125),0)</f>
        <v>48600</v>
      </c>
      <c r="BU129" s="9">
        <f>IF(69&lt;=核心参数输入!$B$9*4,BU126+BU128*(1-核心参数输入!$B$125),0)</f>
        <v>48600</v>
      </c>
      <c r="BV129" s="9">
        <f>IF(70&lt;=核心参数输入!$B$9*4,BV126+BV128*(1-核心参数输入!$B$125),0)</f>
        <v>48600</v>
      </c>
      <c r="BW129" s="9">
        <f>IF(71&lt;=核心参数输入!$B$9*4,BW126+BW128*(1-核心参数输入!$B$125),0)</f>
        <v>48600</v>
      </c>
      <c r="BX129" s="9">
        <f>IF(72&lt;=核心参数输入!$B$9*4,BX126+BX128*(1-核心参数输入!$B$125),0)</f>
        <v>48600</v>
      </c>
      <c r="BY129" s="9">
        <f>IF(73&lt;=核心参数输入!$B$9*4,BY126+BY128*(1-核心参数输入!$B$125),0)</f>
        <v>48600</v>
      </c>
      <c r="BZ129" s="9">
        <f>IF(74&lt;=核心参数输入!$B$9*4,BZ126+BZ128*(1-核心参数输入!$B$125),0)</f>
        <v>48600</v>
      </c>
      <c r="CA129" s="9">
        <f>IF(75&lt;=核心参数输入!$B$9*4,CA126+CA128*(1-核心参数输入!$B$125),0)</f>
        <v>48600</v>
      </c>
      <c r="CB129" s="9">
        <f>IF(76&lt;=核心参数输入!$B$9*4,CB126+CB128*(1-核心参数输入!$B$125),0)</f>
        <v>48600</v>
      </c>
      <c r="CC129" s="9">
        <f>IF(77&lt;=核心参数输入!$B$9*4,CC126+CC128*(1-核心参数输入!$B$125),0)</f>
        <v>48600</v>
      </c>
      <c r="CD129" s="9">
        <f>IF(78&lt;=核心参数输入!$B$9*4,CD126+CD128*(1-核心参数输入!$B$125),0)</f>
        <v>48600</v>
      </c>
      <c r="CE129" s="9">
        <f>IF(79&lt;=核心参数输入!$B$9*4,CE126+CE128*(1-核心参数输入!$B$125),0)</f>
        <v>48600</v>
      </c>
      <c r="CF129" s="9">
        <f>IF(80&lt;=核心参数输入!$B$9*4,CF126+CF128*(1-核心参数输入!$B$125),0)</f>
        <v>48600</v>
      </c>
      <c r="CG129" s="9">
        <f>IF(81&lt;=核心参数输入!$B$9*4,CG126+CG128*(1-核心参数输入!$B$125),0)</f>
        <v>0</v>
      </c>
      <c r="CH129" s="9">
        <f>IF(82&lt;=核心参数输入!$B$9*4,CH126+CH128*(1-核心参数输入!$B$125),0)</f>
        <v>0</v>
      </c>
      <c r="CI129" s="9">
        <f>IF(83&lt;=核心参数输入!$B$9*4,CI126+CI128*(1-核心参数输入!$B$125),0)</f>
        <v>0</v>
      </c>
      <c r="CJ129" s="9">
        <f>IF(84&lt;=核心参数输入!$B$9*4,CJ126+CJ128*(1-核心参数输入!$B$125),0)</f>
        <v>0</v>
      </c>
      <c r="CK129" s="9">
        <f>IF(85&lt;=核心参数输入!$B$9*4,CK126+CK128*(1-核心参数输入!$B$125),0)</f>
        <v>0</v>
      </c>
      <c r="CL129" s="9">
        <f>IF(86&lt;=核心参数输入!$B$9*4,CL126+CL128*(1-核心参数输入!$B$125),0)</f>
        <v>0</v>
      </c>
      <c r="CM129" s="9">
        <f>IF(87&lt;=核心参数输入!$B$9*4,CM126+CM128*(1-核心参数输入!$B$125),0)</f>
        <v>0</v>
      </c>
      <c r="CN129" s="9">
        <f>IF(88&lt;=核心参数输入!$B$9*4,CN126+CN128*(1-核心参数输入!$B$125),0)</f>
        <v>0</v>
      </c>
      <c r="CO129" s="9">
        <f>IF(89&lt;=核心参数输入!$B$9*4,CO126+CO128*(1-核心参数输入!$B$125),0)</f>
        <v>0</v>
      </c>
      <c r="CP129" s="9">
        <f>IF(90&lt;=核心参数输入!$B$9*4,CP126+CP128*(1-核心参数输入!$B$125),0)</f>
        <v>0</v>
      </c>
      <c r="CQ129" s="9">
        <f>IF(91&lt;=核心参数输入!$B$9*4,CQ126+CQ128*(1-核心参数输入!$B$125),0)</f>
        <v>0</v>
      </c>
      <c r="CR129" s="9">
        <f>IF(92&lt;=核心参数输入!$B$9*4,CR126+CR128*(1-核心参数输入!$B$125),0)</f>
        <v>0</v>
      </c>
      <c r="CS129" s="9">
        <f>IF(93&lt;=核心参数输入!$B$9*4,CS126+CS128*(1-核心参数输入!$B$125),0)</f>
        <v>0</v>
      </c>
      <c r="CT129" s="9">
        <f>IF(94&lt;=核心参数输入!$B$9*4,CT126+CT128*(1-核心参数输入!$B$125),0)</f>
        <v>0</v>
      </c>
      <c r="CU129" s="9">
        <f>IF(95&lt;=核心参数输入!$B$9*4,CU126+CU128*(1-核心参数输入!$B$125),0)</f>
        <v>0</v>
      </c>
      <c r="CV129" s="9">
        <f>IF(96&lt;=核心参数输入!$B$9*4,CV126+CV128*(1-核心参数输入!$B$125),0)</f>
        <v>0</v>
      </c>
      <c r="CW129" s="9">
        <f>IF(97&lt;=核心参数输入!$B$9*4,CW126+CW128*(1-核心参数输入!$B$125),0)</f>
        <v>0</v>
      </c>
      <c r="CX129" s="9">
        <f>IF(98&lt;=核心参数输入!$B$9*4,CX126+CX128*(1-核心参数输入!$B$125),0)</f>
        <v>0</v>
      </c>
      <c r="CY129" s="9">
        <f>IF(99&lt;=核心参数输入!$B$9*4,CY126+CY128*(1-核心参数输入!$B$125),0)</f>
        <v>0</v>
      </c>
      <c r="CZ129" s="9">
        <f>IF(100&lt;=核心参数输入!$B$9*4,CZ126+CZ128*(1-核心参数输入!$B$125),0)</f>
        <v>0</v>
      </c>
      <c r="DA129" s="9">
        <f>IF(101&lt;=核心参数输入!$B$9*4,DA126+DA128*(1-核心参数输入!$B$125),0)</f>
        <v>0</v>
      </c>
      <c r="DB129" s="9">
        <f>IF(102&lt;=核心参数输入!$B$9*4,DB126+DB128*(1-核心参数输入!$B$125),0)</f>
        <v>0</v>
      </c>
      <c r="DC129" s="9">
        <f>IF(103&lt;=核心参数输入!$B$9*4,DC126+DC128*(1-核心参数输入!$B$125),0)</f>
        <v>0</v>
      </c>
      <c r="DD129" s="9">
        <f>IF(104&lt;=核心参数输入!$B$9*4,DD126+DD128*(1-核心参数输入!$B$125),0)</f>
        <v>0</v>
      </c>
      <c r="DE129" s="9">
        <f>IF(105&lt;=核心参数输入!$B$9*4,DE126+DE128*(1-核心参数输入!$B$125),0)</f>
        <v>0</v>
      </c>
      <c r="DF129" s="9">
        <f>IF(106&lt;=核心参数输入!$B$9*4,DF126+DF128*(1-核心参数输入!$B$125),0)</f>
        <v>0</v>
      </c>
      <c r="DG129" s="9">
        <f>IF(107&lt;=核心参数输入!$B$9*4,DG126+DG128*(1-核心参数输入!$B$125),0)</f>
        <v>0</v>
      </c>
      <c r="DH129" s="9">
        <f>IF(108&lt;=核心参数输入!$B$9*4,DH126+DH128*(1-核心参数输入!$B$125),0)</f>
        <v>0</v>
      </c>
      <c r="DI129" s="9">
        <f>IF(109&lt;=核心参数输入!$B$9*4,DI126+DI128*(1-核心参数输入!$B$125),0)</f>
        <v>0</v>
      </c>
      <c r="DJ129" s="9">
        <f>IF(110&lt;=核心参数输入!$B$9*4,DJ126+DJ128*(1-核心参数输入!$B$125),0)</f>
        <v>0</v>
      </c>
      <c r="DK129" s="9">
        <f>IF(111&lt;=核心参数输入!$B$9*4,DK126+DK128*(1-核心参数输入!$B$125),0)</f>
        <v>0</v>
      </c>
      <c r="DL129" s="9">
        <f>IF(112&lt;=核心参数输入!$B$9*4,DL126+DL128*(1-核心参数输入!$B$125),0)</f>
        <v>0</v>
      </c>
      <c r="DM129" s="9">
        <f>IF(113&lt;=核心参数输入!$B$9*4,DM126+DM128*(1-核心参数输入!$B$125),0)</f>
        <v>0</v>
      </c>
      <c r="DN129" s="9">
        <f>IF(114&lt;=核心参数输入!$B$9*4,DN126+DN128*(1-核心参数输入!$B$125),0)</f>
        <v>0</v>
      </c>
      <c r="DO129" s="9">
        <f>IF(115&lt;=核心参数输入!$B$9*4,DO126+DO128*(1-核心参数输入!$B$125),0)</f>
        <v>0</v>
      </c>
      <c r="DP129" s="9">
        <f>IF(116&lt;=核心参数输入!$B$9*4,DP126+DP128*(1-核心参数输入!$B$125),0)</f>
        <v>0</v>
      </c>
      <c r="DQ129" s="9">
        <f>IF(117&lt;=核心参数输入!$B$9*4,DQ126+DQ128*(1-核心参数输入!$B$125),0)</f>
        <v>0</v>
      </c>
      <c r="DR129" s="9">
        <f>IF(118&lt;=核心参数输入!$B$9*4,DR126+DR128*(1-核心参数输入!$B$125),0)</f>
        <v>0</v>
      </c>
      <c r="DS129" s="9">
        <f>IF(119&lt;=核心参数输入!$B$9*4,DS126+DS128*(1-核心参数输入!$B$125),0)</f>
        <v>0</v>
      </c>
      <c r="DT129" s="9">
        <f>IF(120&lt;=核心参数输入!$B$9*4,DT126+DT128*(1-核心参数输入!$B$125),0)</f>
        <v>0</v>
      </c>
    </row>
    <row r="130" spans="1:124" ht="21" customHeight="1">
      <c r="A130" s="8" t="s">
        <v>456</v>
      </c>
      <c r="B130" s="8" t="s">
        <v>39</v>
      </c>
      <c r="C130" s="8"/>
      <c r="D130" s="9">
        <f>IF(0&lt;=核心参数输入!$B$9*4,IF(0&lt;((核心参数输入!$B$18-1)*4+(核心参数输入!$B$148+核心参数输入!$B$124)+1),0,核心参数输入!$B$146*(1+核心参数输入!$B$37)^INT((0-((核心参数输入!$B$18-1)*4+(核心参数输入!$B$148+核心参数输入!$B$124)+1))/4)*(1-核心参数输入!$B$79)),0)</f>
        <v>0</v>
      </c>
      <c r="E130" s="9">
        <f>IF(1&lt;=核心参数输入!$B$9*4,IF(1&lt;((核心参数输入!$B$18-1)*4+(核心参数输入!$B$148+核心参数输入!$B$124)+1),0,核心参数输入!$B$146*(1+核心参数输入!$B$37)^INT((1-((核心参数输入!$B$18-1)*4+(核心参数输入!$B$148+核心参数输入!$B$124)+1))/4)*(1-核心参数输入!$B$79)),0)</f>
        <v>0</v>
      </c>
      <c r="F130" s="9">
        <f>IF(2&lt;=核心参数输入!$B$9*4,IF(2&lt;((核心参数输入!$B$18-1)*4+(核心参数输入!$B$148+核心参数输入!$B$124)+1),0,核心参数输入!$B$146*(1+核心参数输入!$B$37)^INT((2-((核心参数输入!$B$18-1)*4+(核心参数输入!$B$148+核心参数输入!$B$124)+1))/4)*(1-核心参数输入!$B$79)),0)</f>
        <v>0</v>
      </c>
      <c r="G130" s="9">
        <f>IF(3&lt;=核心参数输入!$B$9*4,IF(3&lt;((核心参数输入!$B$18-1)*4+(核心参数输入!$B$148+核心参数输入!$B$124)+1),0,核心参数输入!$B$146*(1+核心参数输入!$B$37)^INT((3-((核心参数输入!$B$18-1)*4+(核心参数输入!$B$148+核心参数输入!$B$124)+1))/4)*(1-核心参数输入!$B$79)),0)</f>
        <v>0</v>
      </c>
      <c r="H130" s="9">
        <f>IF(4&lt;=核心参数输入!$B$9*4,IF(4&lt;((核心参数输入!$B$18-1)*4+(核心参数输入!$B$148+核心参数输入!$B$124)+1),0,核心参数输入!$B$146*(1+核心参数输入!$B$37)^INT((4-((核心参数输入!$B$18-1)*4+(核心参数输入!$B$148+核心参数输入!$B$124)+1))/4)*(1-核心参数输入!$B$79)),0)</f>
        <v>0</v>
      </c>
      <c r="I130" s="9">
        <f>IF(5&lt;=核心参数输入!$B$9*4,IF(5&lt;((核心参数输入!$B$18-1)*4+(核心参数输入!$B$148+核心参数输入!$B$124)+1),0,核心参数输入!$B$146*(1+核心参数输入!$B$37)^INT((5-((核心参数输入!$B$18-1)*4+(核心参数输入!$B$148+核心参数输入!$B$124)+1))/4)*(1-核心参数输入!$B$79)),0)</f>
        <v>0</v>
      </c>
      <c r="J130" s="9">
        <f>IF(6&lt;=核心参数输入!$B$9*4,IF(6&lt;((核心参数输入!$B$18-1)*4+(核心参数输入!$B$148+核心参数输入!$B$124)+1),0,核心参数输入!$B$146*(1+核心参数输入!$B$37)^INT((6-((核心参数输入!$B$18-1)*4+(核心参数输入!$B$148+核心参数输入!$B$124)+1))/4)*(1-核心参数输入!$B$79)),0)</f>
        <v>0</v>
      </c>
      <c r="K130" s="9">
        <f>IF(7&lt;=核心参数输入!$B$9*4,IF(7&lt;((核心参数输入!$B$18-1)*4+(核心参数输入!$B$148+核心参数输入!$B$124)+1),0,核心参数输入!$B$146*(1+核心参数输入!$B$37)^INT((7-((核心参数输入!$B$18-1)*4+(核心参数输入!$B$148+核心参数输入!$B$124)+1))/4)*(1-核心参数输入!$B$79)),0)</f>
        <v>0</v>
      </c>
      <c r="L130" s="9">
        <f>IF(8&lt;=核心参数输入!$B$9*4,IF(8&lt;((核心参数输入!$B$18-1)*4+(核心参数输入!$B$148+核心参数输入!$B$124)+1),0,核心参数输入!$B$146*(1+核心参数输入!$B$37)^INT((8-((核心参数输入!$B$18-1)*4+(核心参数输入!$B$148+核心参数输入!$B$124)+1))/4)*(1-核心参数输入!$B$79)),0)</f>
        <v>0</v>
      </c>
      <c r="M130" s="9">
        <f>IF(9&lt;=核心参数输入!$B$9*4,IF(9&lt;((核心参数输入!$B$18-1)*4+(核心参数输入!$B$148+核心参数输入!$B$124)+1),0,核心参数输入!$B$146*(1+核心参数输入!$B$37)^INT((9-((核心参数输入!$B$18-1)*4+(核心参数输入!$B$148+核心参数输入!$B$124)+1))/4)*(1-核心参数输入!$B$79)),0)</f>
        <v>0</v>
      </c>
      <c r="N130" s="9">
        <f>IF(10&lt;=核心参数输入!$B$9*4,IF(10&lt;((核心参数输入!$B$18-1)*4+(核心参数输入!$B$148+核心参数输入!$B$124)+1),0,核心参数输入!$B$146*(1+核心参数输入!$B$37)^INT((10-((核心参数输入!$B$18-1)*4+(核心参数输入!$B$148+核心参数输入!$B$124)+1))/4)*(1-核心参数输入!$B$79)),0)</f>
        <v>0</v>
      </c>
      <c r="O130" s="9">
        <f>IF(11&lt;=核心参数输入!$B$9*4,IF(11&lt;((核心参数输入!$B$18-1)*4+(核心参数输入!$B$148+核心参数输入!$B$124)+1),0,核心参数输入!$B$146*(1+核心参数输入!$B$37)^INT((11-((核心参数输入!$B$18-1)*4+(核心参数输入!$B$148+核心参数输入!$B$124)+1))/4)*(1-核心参数输入!$B$79)),0)</f>
        <v>0</v>
      </c>
      <c r="P130" s="9">
        <f>IF(12&lt;=核心参数输入!$B$9*4,IF(12&lt;((核心参数输入!$B$18-1)*4+(核心参数输入!$B$148+核心参数输入!$B$124)+1),0,核心参数输入!$B$146*(1+核心参数输入!$B$37)^INT((12-((核心参数输入!$B$18-1)*4+(核心参数输入!$B$148+核心参数输入!$B$124)+1))/4)*(1-核心参数输入!$B$79)),0)</f>
        <v>0</v>
      </c>
      <c r="Q130" s="9">
        <f>IF(13&lt;=核心参数输入!$B$9*4,IF(13&lt;((核心参数输入!$B$18-1)*4+(核心参数输入!$B$148+核心参数输入!$B$124)+1),0,核心参数输入!$B$146*(1+核心参数输入!$B$37)^INT((13-((核心参数输入!$B$18-1)*4+(核心参数输入!$B$148+核心参数输入!$B$124)+1))/4)*(1-核心参数输入!$B$79)),0)</f>
        <v>23.400000000000002</v>
      </c>
      <c r="R130" s="9">
        <f>IF(14&lt;=核心参数输入!$B$9*4,IF(14&lt;((核心参数输入!$B$18-1)*4+(核心参数输入!$B$148+核心参数输入!$B$124)+1),0,核心参数输入!$B$146*(1+核心参数输入!$B$37)^INT((14-((核心参数输入!$B$18-1)*4+(核心参数输入!$B$148+核心参数输入!$B$124)+1))/4)*(1-核心参数输入!$B$79)),0)</f>
        <v>23.400000000000002</v>
      </c>
      <c r="S130" s="9">
        <f>IF(15&lt;=核心参数输入!$B$9*4,IF(15&lt;((核心参数输入!$B$18-1)*4+(核心参数输入!$B$148+核心参数输入!$B$124)+1),0,核心参数输入!$B$146*(1+核心参数输入!$B$37)^INT((15-((核心参数输入!$B$18-1)*4+(核心参数输入!$B$148+核心参数输入!$B$124)+1))/4)*(1-核心参数输入!$B$79)),0)</f>
        <v>23.400000000000002</v>
      </c>
      <c r="T130" s="9">
        <f>IF(16&lt;=核心参数输入!$B$9*4,IF(16&lt;((核心参数输入!$B$18-1)*4+(核心参数输入!$B$148+核心参数输入!$B$124)+1),0,核心参数输入!$B$146*(1+核心参数输入!$B$37)^INT((16-((核心参数输入!$B$18-1)*4+(核心参数输入!$B$148+核心参数输入!$B$124)+1))/4)*(1-核心参数输入!$B$79)),0)</f>
        <v>23.400000000000002</v>
      </c>
      <c r="U130" s="9">
        <f>IF(17&lt;=核心参数输入!$B$9*4,IF(17&lt;((核心参数输入!$B$18-1)*4+(核心参数输入!$B$148+核心参数输入!$B$124)+1),0,核心参数输入!$B$146*(1+核心参数输入!$B$37)^INT((17-((核心参数输入!$B$18-1)*4+(核心参数输入!$B$148+核心参数输入!$B$124)+1))/4)*(1-核心参数输入!$B$79)),0)</f>
        <v>23.750999999999998</v>
      </c>
      <c r="V130" s="9">
        <f>IF(18&lt;=核心参数输入!$B$9*4,IF(18&lt;((核心参数输入!$B$18-1)*4+(核心参数输入!$B$148+核心参数输入!$B$124)+1),0,核心参数输入!$B$146*(1+核心参数输入!$B$37)^INT((18-((核心参数输入!$B$18-1)*4+(核心参数输入!$B$148+核心参数输入!$B$124)+1))/4)*(1-核心参数输入!$B$79)),0)</f>
        <v>23.750999999999998</v>
      </c>
      <c r="W130" s="9">
        <f>IF(19&lt;=核心参数输入!$B$9*4,IF(19&lt;((核心参数输入!$B$18-1)*4+(核心参数输入!$B$148+核心参数输入!$B$124)+1),0,核心参数输入!$B$146*(1+核心参数输入!$B$37)^INT((19-((核心参数输入!$B$18-1)*4+(核心参数输入!$B$148+核心参数输入!$B$124)+1))/4)*(1-核心参数输入!$B$79)),0)</f>
        <v>23.750999999999998</v>
      </c>
      <c r="X130" s="9">
        <f>IF(20&lt;=核心参数输入!$B$9*4,IF(20&lt;((核心参数输入!$B$18-1)*4+(核心参数输入!$B$148+核心参数输入!$B$124)+1),0,核心参数输入!$B$146*(1+核心参数输入!$B$37)^INT((20-((核心参数输入!$B$18-1)*4+(核心参数输入!$B$148+核心参数输入!$B$124)+1))/4)*(1-核心参数输入!$B$79)),0)</f>
        <v>23.750999999999998</v>
      </c>
      <c r="Y130" s="9">
        <f>IF(21&lt;=核心参数输入!$B$9*4,IF(21&lt;((核心参数输入!$B$18-1)*4+(核心参数输入!$B$148+核心参数输入!$B$124)+1),0,核心参数输入!$B$146*(1+核心参数输入!$B$37)^INT((21-((核心参数输入!$B$18-1)*4+(核心参数输入!$B$148+核心参数输入!$B$124)+1))/4)*(1-核心参数输入!$B$79)),0)</f>
        <v>24.107264999999995</v>
      </c>
      <c r="Z130" s="9">
        <f>IF(22&lt;=核心参数输入!$B$9*4,IF(22&lt;((核心参数输入!$B$18-1)*4+(核心参数输入!$B$148+核心参数输入!$B$124)+1),0,核心参数输入!$B$146*(1+核心参数输入!$B$37)^INT((22-((核心参数输入!$B$18-1)*4+(核心参数输入!$B$148+核心参数输入!$B$124)+1))/4)*(1-核心参数输入!$B$79)),0)</f>
        <v>24.107264999999995</v>
      </c>
      <c r="AA130" s="9">
        <f>IF(23&lt;=核心参数输入!$B$9*4,IF(23&lt;((核心参数输入!$B$18-1)*4+(核心参数输入!$B$148+核心参数输入!$B$124)+1),0,核心参数输入!$B$146*(1+核心参数输入!$B$37)^INT((23-((核心参数输入!$B$18-1)*4+(核心参数输入!$B$148+核心参数输入!$B$124)+1))/4)*(1-核心参数输入!$B$79)),0)</f>
        <v>24.107264999999995</v>
      </c>
      <c r="AB130" s="9">
        <f>IF(24&lt;=核心参数输入!$B$9*4,IF(24&lt;((核心参数输入!$B$18-1)*4+(核心参数输入!$B$148+核心参数输入!$B$124)+1),0,核心参数输入!$B$146*(1+核心参数输入!$B$37)^INT((24-((核心参数输入!$B$18-1)*4+(核心参数输入!$B$148+核心参数输入!$B$124)+1))/4)*(1-核心参数输入!$B$79)),0)</f>
        <v>24.107264999999995</v>
      </c>
      <c r="AC130" s="9">
        <f>IF(25&lt;=核心参数输入!$B$9*4,IF(25&lt;((核心参数输入!$B$18-1)*4+(核心参数输入!$B$148+核心参数输入!$B$124)+1),0,核心参数输入!$B$146*(1+核心参数输入!$B$37)^INT((25-((核心参数输入!$B$18-1)*4+(核心参数输入!$B$148+核心参数输入!$B$124)+1))/4)*(1-核心参数输入!$B$79)),0)</f>
        <v>24.46887397499999</v>
      </c>
      <c r="AD130" s="9">
        <f>IF(26&lt;=核心参数输入!$B$9*4,IF(26&lt;((核心参数输入!$B$18-1)*4+(核心参数输入!$B$148+核心参数输入!$B$124)+1),0,核心参数输入!$B$146*(1+核心参数输入!$B$37)^INT((26-((核心参数输入!$B$18-1)*4+(核心参数输入!$B$148+核心参数输入!$B$124)+1))/4)*(1-核心参数输入!$B$79)),0)</f>
        <v>24.46887397499999</v>
      </c>
      <c r="AE130" s="9">
        <f>IF(27&lt;=核心参数输入!$B$9*4,IF(27&lt;((核心参数输入!$B$18-1)*4+(核心参数输入!$B$148+核心参数输入!$B$124)+1),0,核心参数输入!$B$146*(1+核心参数输入!$B$37)^INT((27-((核心参数输入!$B$18-1)*4+(核心参数输入!$B$148+核心参数输入!$B$124)+1))/4)*(1-核心参数输入!$B$79)),0)</f>
        <v>24.46887397499999</v>
      </c>
      <c r="AF130" s="9">
        <f>IF(28&lt;=核心参数输入!$B$9*4,IF(28&lt;((核心参数输入!$B$18-1)*4+(核心参数输入!$B$148+核心参数输入!$B$124)+1),0,核心参数输入!$B$146*(1+核心参数输入!$B$37)^INT((28-((核心参数输入!$B$18-1)*4+(核心参数输入!$B$148+核心参数输入!$B$124)+1))/4)*(1-核心参数输入!$B$79)),0)</f>
        <v>24.46887397499999</v>
      </c>
      <c r="AG130" s="9">
        <f>IF(29&lt;=核心参数输入!$B$9*4,IF(29&lt;((核心参数输入!$B$18-1)*4+(核心参数输入!$B$148+核心参数输入!$B$124)+1),0,核心参数输入!$B$146*(1+核心参数输入!$B$37)^INT((29-((核心参数输入!$B$18-1)*4+(核心参数输入!$B$148+核心参数输入!$B$124)+1))/4)*(1-核心参数输入!$B$79)),0)</f>
        <v>24.835907084624989</v>
      </c>
      <c r="AH130" s="9">
        <f>IF(30&lt;=核心参数输入!$B$9*4,IF(30&lt;((核心参数输入!$B$18-1)*4+(核心参数输入!$B$148+核心参数输入!$B$124)+1),0,核心参数输入!$B$146*(1+核心参数输入!$B$37)^INT((30-((核心参数输入!$B$18-1)*4+(核心参数输入!$B$148+核心参数输入!$B$124)+1))/4)*(1-核心参数输入!$B$79)),0)</f>
        <v>24.835907084624989</v>
      </c>
      <c r="AI130" s="9">
        <f>IF(31&lt;=核心参数输入!$B$9*4,IF(31&lt;((核心参数输入!$B$18-1)*4+(核心参数输入!$B$148+核心参数输入!$B$124)+1),0,核心参数输入!$B$146*(1+核心参数输入!$B$37)^INT((31-((核心参数输入!$B$18-1)*4+(核心参数输入!$B$148+核心参数输入!$B$124)+1))/4)*(1-核心参数输入!$B$79)),0)</f>
        <v>24.835907084624989</v>
      </c>
      <c r="AJ130" s="9">
        <f>IF(32&lt;=核心参数输入!$B$9*4,IF(32&lt;((核心参数输入!$B$18-1)*4+(核心参数输入!$B$148+核心参数输入!$B$124)+1),0,核心参数输入!$B$146*(1+核心参数输入!$B$37)^INT((32-((核心参数输入!$B$18-1)*4+(核心参数输入!$B$148+核心参数输入!$B$124)+1))/4)*(1-核心参数输入!$B$79)),0)</f>
        <v>24.835907084624989</v>
      </c>
      <c r="AK130" s="9">
        <f>IF(33&lt;=核心参数输入!$B$9*4,IF(33&lt;((核心参数输入!$B$18-1)*4+(核心参数输入!$B$148+核心参数输入!$B$124)+1),0,核心参数输入!$B$146*(1+核心参数输入!$B$37)^INT((33-((核心参数输入!$B$18-1)*4+(核心参数输入!$B$148+核心参数输入!$B$124)+1))/4)*(1-核心参数输入!$B$79)),0)</f>
        <v>25.208445690894358</v>
      </c>
      <c r="AL130" s="9">
        <f>IF(34&lt;=核心参数输入!$B$9*4,IF(34&lt;((核心参数输入!$B$18-1)*4+(核心参数输入!$B$148+核心参数输入!$B$124)+1),0,核心参数输入!$B$146*(1+核心参数输入!$B$37)^INT((34-((核心参数输入!$B$18-1)*4+(核心参数输入!$B$148+核心参数输入!$B$124)+1))/4)*(1-核心参数输入!$B$79)),0)</f>
        <v>25.208445690894358</v>
      </c>
      <c r="AM130" s="9">
        <f>IF(35&lt;=核心参数输入!$B$9*4,IF(35&lt;((核心参数输入!$B$18-1)*4+(核心参数输入!$B$148+核心参数输入!$B$124)+1),0,核心参数输入!$B$146*(1+核心参数输入!$B$37)^INT((35-((核心参数输入!$B$18-1)*4+(核心参数输入!$B$148+核心参数输入!$B$124)+1))/4)*(1-核心参数输入!$B$79)),0)</f>
        <v>25.208445690894358</v>
      </c>
      <c r="AN130" s="9">
        <f>IF(36&lt;=核心参数输入!$B$9*4,IF(36&lt;((核心参数输入!$B$18-1)*4+(核心参数输入!$B$148+核心参数输入!$B$124)+1),0,核心参数输入!$B$146*(1+核心参数输入!$B$37)^INT((36-((核心参数输入!$B$18-1)*4+(核心参数输入!$B$148+核心参数输入!$B$124)+1))/4)*(1-核心参数输入!$B$79)),0)</f>
        <v>25.208445690894358</v>
      </c>
      <c r="AO130" s="9">
        <f>IF(37&lt;=核心参数输入!$B$9*4,IF(37&lt;((核心参数输入!$B$18-1)*4+(核心参数输入!$B$148+核心参数输入!$B$124)+1),0,核心参数输入!$B$146*(1+核心参数输入!$B$37)^INT((37-((核心参数输入!$B$18-1)*4+(核心参数输入!$B$148+核心参数输入!$B$124)+1))/4)*(1-核心参数输入!$B$79)),0)</f>
        <v>25.58657237625777</v>
      </c>
      <c r="AP130" s="9">
        <f>IF(38&lt;=核心参数输入!$B$9*4,IF(38&lt;((核心参数输入!$B$18-1)*4+(核心参数输入!$B$148+核心参数输入!$B$124)+1),0,核心参数输入!$B$146*(1+核心参数输入!$B$37)^INT((38-((核心参数输入!$B$18-1)*4+(核心参数输入!$B$148+核心参数输入!$B$124)+1))/4)*(1-核心参数输入!$B$79)),0)</f>
        <v>25.58657237625777</v>
      </c>
      <c r="AQ130" s="9">
        <f>IF(39&lt;=核心参数输入!$B$9*4,IF(39&lt;((核心参数输入!$B$18-1)*4+(核心参数输入!$B$148+核心参数输入!$B$124)+1),0,核心参数输入!$B$146*(1+核心参数输入!$B$37)^INT((39-((核心参数输入!$B$18-1)*4+(核心参数输入!$B$148+核心参数输入!$B$124)+1))/4)*(1-核心参数输入!$B$79)),0)</f>
        <v>25.58657237625777</v>
      </c>
      <c r="AR130" s="9">
        <f>IF(40&lt;=核心参数输入!$B$9*4,IF(40&lt;((核心参数输入!$B$18-1)*4+(核心参数输入!$B$148+核心参数输入!$B$124)+1),0,核心参数输入!$B$146*(1+核心参数输入!$B$37)^INT((40-((核心参数输入!$B$18-1)*4+(核心参数输入!$B$148+核心参数输入!$B$124)+1))/4)*(1-核心参数输入!$B$79)),0)</f>
        <v>25.58657237625777</v>
      </c>
      <c r="AS130" s="9">
        <f>IF(41&lt;=核心参数输入!$B$9*4,IF(41&lt;((核心参数输入!$B$18-1)*4+(核心参数输入!$B$148+核心参数输入!$B$124)+1),0,核心参数输入!$B$146*(1+核心参数输入!$B$37)^INT((41-((核心参数输入!$B$18-1)*4+(核心参数输入!$B$148+核心参数输入!$B$124)+1))/4)*(1-核心参数输入!$B$79)),0)</f>
        <v>25.970370961901633</v>
      </c>
      <c r="AT130" s="9">
        <f>IF(42&lt;=核心参数输入!$B$9*4,IF(42&lt;((核心参数输入!$B$18-1)*4+(核心参数输入!$B$148+核心参数输入!$B$124)+1),0,核心参数输入!$B$146*(1+核心参数输入!$B$37)^INT((42-((核心参数输入!$B$18-1)*4+(核心参数输入!$B$148+核心参数输入!$B$124)+1))/4)*(1-核心参数输入!$B$79)),0)</f>
        <v>25.970370961901633</v>
      </c>
      <c r="AU130" s="9">
        <f>IF(43&lt;=核心参数输入!$B$9*4,IF(43&lt;((核心参数输入!$B$18-1)*4+(核心参数输入!$B$148+核心参数输入!$B$124)+1),0,核心参数输入!$B$146*(1+核心参数输入!$B$37)^INT((43-((核心参数输入!$B$18-1)*4+(核心参数输入!$B$148+核心参数输入!$B$124)+1))/4)*(1-核心参数输入!$B$79)),0)</f>
        <v>25.970370961901633</v>
      </c>
      <c r="AV130" s="9">
        <f>IF(44&lt;=核心参数输入!$B$9*4,IF(44&lt;((核心参数输入!$B$18-1)*4+(核心参数输入!$B$148+核心参数输入!$B$124)+1),0,核心参数输入!$B$146*(1+核心参数输入!$B$37)^INT((44-((核心参数输入!$B$18-1)*4+(核心参数输入!$B$148+核心参数输入!$B$124)+1))/4)*(1-核心参数输入!$B$79)),0)</f>
        <v>25.970370961901633</v>
      </c>
      <c r="AW130" s="9">
        <f>IF(45&lt;=核心参数输入!$B$9*4,IF(45&lt;((核心参数输入!$B$18-1)*4+(核心参数输入!$B$148+核心参数输入!$B$124)+1),0,核心参数输入!$B$146*(1+核心参数输入!$B$37)^INT((45-((核心参数输入!$B$18-1)*4+(核心参数输入!$B$148+核心参数输入!$B$124)+1))/4)*(1-核心参数输入!$B$79)),0)</f>
        <v>26.359926526330153</v>
      </c>
      <c r="AX130" s="9">
        <f>IF(46&lt;=核心参数输入!$B$9*4,IF(46&lt;((核心参数输入!$B$18-1)*4+(核心参数输入!$B$148+核心参数输入!$B$124)+1),0,核心参数输入!$B$146*(1+核心参数输入!$B$37)^INT((46-((核心参数输入!$B$18-1)*4+(核心参数输入!$B$148+核心参数输入!$B$124)+1))/4)*(1-核心参数输入!$B$79)),0)</f>
        <v>26.359926526330153</v>
      </c>
      <c r="AY130" s="9">
        <f>IF(47&lt;=核心参数输入!$B$9*4,IF(47&lt;((核心参数输入!$B$18-1)*4+(核心参数输入!$B$148+核心参数输入!$B$124)+1),0,核心参数输入!$B$146*(1+核心参数输入!$B$37)^INT((47-((核心参数输入!$B$18-1)*4+(核心参数输入!$B$148+核心参数输入!$B$124)+1))/4)*(1-核心参数输入!$B$79)),0)</f>
        <v>26.359926526330153</v>
      </c>
      <c r="AZ130" s="9">
        <f>IF(48&lt;=核心参数输入!$B$9*4,IF(48&lt;((核心参数输入!$B$18-1)*4+(核心参数输入!$B$148+核心参数输入!$B$124)+1),0,核心参数输入!$B$146*(1+核心参数输入!$B$37)^INT((48-((核心参数输入!$B$18-1)*4+(核心参数输入!$B$148+核心参数输入!$B$124)+1))/4)*(1-核心参数输入!$B$79)),0)</f>
        <v>26.359926526330153</v>
      </c>
      <c r="BA130" s="9">
        <f>IF(49&lt;=核心参数输入!$B$9*4,IF(49&lt;((核心参数输入!$B$18-1)*4+(核心参数输入!$B$148+核心参数输入!$B$124)+1),0,核心参数输入!$B$146*(1+核心参数输入!$B$37)^INT((49-((核心参数输入!$B$18-1)*4+(核心参数输入!$B$148+核心参数输入!$B$124)+1))/4)*(1-核心参数输入!$B$79)),0)</f>
        <v>26.755325424225102</v>
      </c>
      <c r="BB130" s="9">
        <f>IF(50&lt;=核心参数输入!$B$9*4,IF(50&lt;((核心参数输入!$B$18-1)*4+(核心参数输入!$B$148+核心参数输入!$B$124)+1),0,核心参数输入!$B$146*(1+核心参数输入!$B$37)^INT((50-((核心参数输入!$B$18-1)*4+(核心参数输入!$B$148+核心参数输入!$B$124)+1))/4)*(1-核心参数输入!$B$79)),0)</f>
        <v>26.755325424225102</v>
      </c>
      <c r="BC130" s="9">
        <f>IF(51&lt;=核心参数输入!$B$9*4,IF(51&lt;((核心参数输入!$B$18-1)*4+(核心参数输入!$B$148+核心参数输入!$B$124)+1),0,核心参数输入!$B$146*(1+核心参数输入!$B$37)^INT((51-((核心参数输入!$B$18-1)*4+(核心参数输入!$B$148+核心参数输入!$B$124)+1))/4)*(1-核心参数输入!$B$79)),0)</f>
        <v>26.755325424225102</v>
      </c>
      <c r="BD130" s="9">
        <f>IF(52&lt;=核心参数输入!$B$9*4,IF(52&lt;((核心参数输入!$B$18-1)*4+(核心参数输入!$B$148+核心参数输入!$B$124)+1),0,核心参数输入!$B$146*(1+核心参数输入!$B$37)^INT((52-((核心参数输入!$B$18-1)*4+(核心参数输入!$B$148+核心参数输入!$B$124)+1))/4)*(1-核心参数输入!$B$79)),0)</f>
        <v>26.755325424225102</v>
      </c>
      <c r="BE130" s="9">
        <f>IF(53&lt;=核心参数输入!$B$9*4,IF(53&lt;((核心参数输入!$B$18-1)*4+(核心参数输入!$B$148+核心参数输入!$B$124)+1),0,核心参数输入!$B$146*(1+核心参数输入!$B$37)^INT((53-((核心参数输入!$B$18-1)*4+(核心参数输入!$B$148+核心参数输入!$B$124)+1))/4)*(1-核心参数输入!$B$79)),0)</f>
        <v>27.156655305588476</v>
      </c>
      <c r="BF130" s="9">
        <f>IF(54&lt;=核心参数输入!$B$9*4,IF(54&lt;((核心参数输入!$B$18-1)*4+(核心参数输入!$B$148+核心参数输入!$B$124)+1),0,核心参数输入!$B$146*(1+核心参数输入!$B$37)^INT((54-((核心参数输入!$B$18-1)*4+(核心参数输入!$B$148+核心参数输入!$B$124)+1))/4)*(1-核心参数输入!$B$79)),0)</f>
        <v>27.156655305588476</v>
      </c>
      <c r="BG130" s="9">
        <f>IF(55&lt;=核心参数输入!$B$9*4,IF(55&lt;((核心参数输入!$B$18-1)*4+(核心参数输入!$B$148+核心参数输入!$B$124)+1),0,核心参数输入!$B$146*(1+核心参数输入!$B$37)^INT((55-((核心参数输入!$B$18-1)*4+(核心参数输入!$B$148+核心参数输入!$B$124)+1))/4)*(1-核心参数输入!$B$79)),0)</f>
        <v>27.156655305588476</v>
      </c>
      <c r="BH130" s="9">
        <f>IF(56&lt;=核心参数输入!$B$9*4,IF(56&lt;((核心参数输入!$B$18-1)*4+(核心参数输入!$B$148+核心参数输入!$B$124)+1),0,核心参数输入!$B$146*(1+核心参数输入!$B$37)^INT((56-((核心参数输入!$B$18-1)*4+(核心参数输入!$B$148+核心参数输入!$B$124)+1))/4)*(1-核心参数输入!$B$79)),0)</f>
        <v>27.156655305588476</v>
      </c>
      <c r="BI130" s="9">
        <f>IF(57&lt;=核心参数输入!$B$9*4,IF(57&lt;((核心参数输入!$B$18-1)*4+(核心参数输入!$B$148+核心参数输入!$B$124)+1),0,核心参数输入!$B$146*(1+核心参数输入!$B$37)^INT((57-((核心参数输入!$B$18-1)*4+(核心参数输入!$B$148+核心参数输入!$B$124)+1))/4)*(1-核心参数输入!$B$79)),0)</f>
        <v>27.564005135172298</v>
      </c>
      <c r="BJ130" s="9">
        <f>IF(58&lt;=核心参数输入!$B$9*4,IF(58&lt;((核心参数输入!$B$18-1)*4+(核心参数输入!$B$148+核心参数输入!$B$124)+1),0,核心参数输入!$B$146*(1+核心参数输入!$B$37)^INT((58-((核心参数输入!$B$18-1)*4+(核心参数输入!$B$148+核心参数输入!$B$124)+1))/4)*(1-核心参数输入!$B$79)),0)</f>
        <v>27.564005135172298</v>
      </c>
      <c r="BK130" s="9">
        <f>IF(59&lt;=核心参数输入!$B$9*4,IF(59&lt;((核心参数输入!$B$18-1)*4+(核心参数输入!$B$148+核心参数输入!$B$124)+1),0,核心参数输入!$B$146*(1+核心参数输入!$B$37)^INT((59-((核心参数输入!$B$18-1)*4+(核心参数输入!$B$148+核心参数输入!$B$124)+1))/4)*(1-核心参数输入!$B$79)),0)</f>
        <v>27.564005135172298</v>
      </c>
      <c r="BL130" s="9">
        <f>IF(60&lt;=核心参数输入!$B$9*4,IF(60&lt;((核心参数输入!$B$18-1)*4+(核心参数输入!$B$148+核心参数输入!$B$124)+1),0,核心参数输入!$B$146*(1+核心参数输入!$B$37)^INT((60-((核心参数输入!$B$18-1)*4+(核心参数输入!$B$148+核心参数输入!$B$124)+1))/4)*(1-核心参数输入!$B$79)),0)</f>
        <v>27.564005135172298</v>
      </c>
      <c r="BM130" s="9">
        <f>IF(61&lt;=核心参数输入!$B$9*4,IF(61&lt;((核心参数输入!$B$18-1)*4+(核心参数输入!$B$148+核心参数输入!$B$124)+1),0,核心参数输入!$B$146*(1+核心参数输入!$B$37)^INT((61-((核心参数输入!$B$18-1)*4+(核心参数输入!$B$148+核心参数输入!$B$124)+1))/4)*(1-核心参数输入!$B$79)),0)</f>
        <v>27.977465212199878</v>
      </c>
      <c r="BN130" s="9">
        <f>IF(62&lt;=核心参数输入!$B$9*4,IF(62&lt;((核心参数输入!$B$18-1)*4+(核心参数输入!$B$148+核心参数输入!$B$124)+1),0,核心参数输入!$B$146*(1+核心参数输入!$B$37)^INT((62-((核心参数输入!$B$18-1)*4+(核心参数输入!$B$148+核心参数输入!$B$124)+1))/4)*(1-核心参数输入!$B$79)),0)</f>
        <v>27.977465212199878</v>
      </c>
      <c r="BO130" s="9">
        <f>IF(63&lt;=核心参数输入!$B$9*4,IF(63&lt;((核心参数输入!$B$18-1)*4+(核心参数输入!$B$148+核心参数输入!$B$124)+1),0,核心参数输入!$B$146*(1+核心参数输入!$B$37)^INT((63-((核心参数输入!$B$18-1)*4+(核心参数输入!$B$148+核心参数输入!$B$124)+1))/4)*(1-核心参数输入!$B$79)),0)</f>
        <v>27.977465212199878</v>
      </c>
      <c r="BP130" s="9">
        <f>IF(64&lt;=核心参数输入!$B$9*4,IF(64&lt;((核心参数输入!$B$18-1)*4+(核心参数输入!$B$148+核心参数输入!$B$124)+1),0,核心参数输入!$B$146*(1+核心参数输入!$B$37)^INT((64-((核心参数输入!$B$18-1)*4+(核心参数输入!$B$148+核心参数输入!$B$124)+1))/4)*(1-核心参数输入!$B$79)),0)</f>
        <v>27.977465212199878</v>
      </c>
      <c r="BQ130" s="9">
        <f>IF(65&lt;=核心参数输入!$B$9*4,IF(65&lt;((核心参数输入!$B$18-1)*4+(核心参数输入!$B$148+核心参数输入!$B$124)+1),0,核心参数输入!$B$146*(1+核心参数输入!$B$37)^INT((65-((核心参数输入!$B$18-1)*4+(核心参数输入!$B$148+核心参数输入!$B$124)+1))/4)*(1-核心参数输入!$B$79)),0)</f>
        <v>28.397127190382879</v>
      </c>
      <c r="BR130" s="9">
        <f>IF(66&lt;=核心参数输入!$B$9*4,IF(66&lt;((核心参数输入!$B$18-1)*4+(核心参数输入!$B$148+核心参数输入!$B$124)+1),0,核心参数输入!$B$146*(1+核心参数输入!$B$37)^INT((66-((核心参数输入!$B$18-1)*4+(核心参数输入!$B$148+核心参数输入!$B$124)+1))/4)*(1-核心参数输入!$B$79)),0)</f>
        <v>28.397127190382879</v>
      </c>
      <c r="BS130" s="9">
        <f>IF(67&lt;=核心参数输入!$B$9*4,IF(67&lt;((核心参数输入!$B$18-1)*4+(核心参数输入!$B$148+核心参数输入!$B$124)+1),0,核心参数输入!$B$146*(1+核心参数输入!$B$37)^INT((67-((核心参数输入!$B$18-1)*4+(核心参数输入!$B$148+核心参数输入!$B$124)+1))/4)*(1-核心参数输入!$B$79)),0)</f>
        <v>28.397127190382879</v>
      </c>
      <c r="BT130" s="9">
        <f>IF(68&lt;=核心参数输入!$B$9*4,IF(68&lt;((核心参数输入!$B$18-1)*4+(核心参数输入!$B$148+核心参数输入!$B$124)+1),0,核心参数输入!$B$146*(1+核心参数输入!$B$37)^INT((68-((核心参数输入!$B$18-1)*4+(核心参数输入!$B$148+核心参数输入!$B$124)+1))/4)*(1-核心参数输入!$B$79)),0)</f>
        <v>28.397127190382879</v>
      </c>
      <c r="BU130" s="9">
        <f>IF(69&lt;=核心参数输入!$B$9*4,IF(69&lt;((核心参数输入!$B$18-1)*4+(核心参数输入!$B$148+核心参数输入!$B$124)+1),0,核心参数输入!$B$146*(1+核心参数输入!$B$37)^INT((69-((核心参数输入!$B$18-1)*4+(核心参数输入!$B$148+核心参数输入!$B$124)+1))/4)*(1-核心参数输入!$B$79)),0)</f>
        <v>28.823084098238613</v>
      </c>
      <c r="BV130" s="9">
        <f>IF(70&lt;=核心参数输入!$B$9*4,IF(70&lt;((核心参数输入!$B$18-1)*4+(核心参数输入!$B$148+核心参数输入!$B$124)+1),0,核心参数输入!$B$146*(1+核心参数输入!$B$37)^INT((70-((核心参数输入!$B$18-1)*4+(核心参数输入!$B$148+核心参数输入!$B$124)+1))/4)*(1-核心参数输入!$B$79)),0)</f>
        <v>28.823084098238613</v>
      </c>
      <c r="BW130" s="9">
        <f>IF(71&lt;=核心参数输入!$B$9*4,IF(71&lt;((核心参数输入!$B$18-1)*4+(核心参数输入!$B$148+核心参数输入!$B$124)+1),0,核心参数输入!$B$146*(1+核心参数输入!$B$37)^INT((71-((核心参数输入!$B$18-1)*4+(核心参数输入!$B$148+核心参数输入!$B$124)+1))/4)*(1-核心参数输入!$B$79)),0)</f>
        <v>28.823084098238613</v>
      </c>
      <c r="BX130" s="9">
        <f>IF(72&lt;=核心参数输入!$B$9*4,IF(72&lt;((核心参数输入!$B$18-1)*4+(核心参数输入!$B$148+核心参数输入!$B$124)+1),0,核心参数输入!$B$146*(1+核心参数输入!$B$37)^INT((72-((核心参数输入!$B$18-1)*4+(核心参数输入!$B$148+核心参数输入!$B$124)+1))/4)*(1-核心参数输入!$B$79)),0)</f>
        <v>28.823084098238613</v>
      </c>
      <c r="BY130" s="9">
        <f>IF(73&lt;=核心参数输入!$B$9*4,IF(73&lt;((核心参数输入!$B$18-1)*4+(核心参数输入!$B$148+核心参数输入!$B$124)+1),0,核心参数输入!$B$146*(1+核心参数输入!$B$37)^INT((73-((核心参数输入!$B$18-1)*4+(核心参数输入!$B$148+核心参数输入!$B$124)+1))/4)*(1-核心参数输入!$B$79)),0)</f>
        <v>29.255430359712186</v>
      </c>
      <c r="BZ130" s="9">
        <f>IF(74&lt;=核心参数输入!$B$9*4,IF(74&lt;((核心参数输入!$B$18-1)*4+(核心参数输入!$B$148+核心参数输入!$B$124)+1),0,核心参数输入!$B$146*(1+核心参数输入!$B$37)^INT((74-((核心参数输入!$B$18-1)*4+(核心参数输入!$B$148+核心参数输入!$B$124)+1))/4)*(1-核心参数输入!$B$79)),0)</f>
        <v>29.255430359712186</v>
      </c>
      <c r="CA130" s="9">
        <f>IF(75&lt;=核心参数输入!$B$9*4,IF(75&lt;((核心参数输入!$B$18-1)*4+(核心参数输入!$B$148+核心参数输入!$B$124)+1),0,核心参数输入!$B$146*(1+核心参数输入!$B$37)^INT((75-((核心参数输入!$B$18-1)*4+(核心参数输入!$B$148+核心参数输入!$B$124)+1))/4)*(1-核心参数输入!$B$79)),0)</f>
        <v>29.255430359712186</v>
      </c>
      <c r="CB130" s="9">
        <f>IF(76&lt;=核心参数输入!$B$9*4,IF(76&lt;((核心参数输入!$B$18-1)*4+(核心参数输入!$B$148+核心参数输入!$B$124)+1),0,核心参数输入!$B$146*(1+核心参数输入!$B$37)^INT((76-((核心参数输入!$B$18-1)*4+(核心参数输入!$B$148+核心参数输入!$B$124)+1))/4)*(1-核心参数输入!$B$79)),0)</f>
        <v>29.255430359712186</v>
      </c>
      <c r="CC130" s="9">
        <f>IF(77&lt;=核心参数输入!$B$9*4,IF(77&lt;((核心参数输入!$B$18-1)*4+(核心参数输入!$B$148+核心参数输入!$B$124)+1),0,核心参数输入!$B$146*(1+核心参数输入!$B$37)^INT((77-((核心参数输入!$B$18-1)*4+(核心参数输入!$B$148+核心参数输入!$B$124)+1))/4)*(1-核心参数输入!$B$79)),0)</f>
        <v>29.694261815107865</v>
      </c>
      <c r="CD130" s="9">
        <f>IF(78&lt;=核心参数输入!$B$9*4,IF(78&lt;((核心参数输入!$B$18-1)*4+(核心参数输入!$B$148+核心参数输入!$B$124)+1),0,核心参数输入!$B$146*(1+核心参数输入!$B$37)^INT((78-((核心参数输入!$B$18-1)*4+(核心参数输入!$B$148+核心参数输入!$B$124)+1))/4)*(1-核心参数输入!$B$79)),0)</f>
        <v>29.694261815107865</v>
      </c>
      <c r="CE130" s="9">
        <f>IF(79&lt;=核心参数输入!$B$9*4,IF(79&lt;((核心参数输入!$B$18-1)*4+(核心参数输入!$B$148+核心参数输入!$B$124)+1),0,核心参数输入!$B$146*(1+核心参数输入!$B$37)^INT((79-((核心参数输入!$B$18-1)*4+(核心参数输入!$B$148+核心参数输入!$B$124)+1))/4)*(1-核心参数输入!$B$79)),0)</f>
        <v>29.694261815107865</v>
      </c>
      <c r="CF130" s="9">
        <f>IF(80&lt;=核心参数输入!$B$9*4,IF(80&lt;((核心参数输入!$B$18-1)*4+(核心参数输入!$B$148+核心参数输入!$B$124)+1),0,核心参数输入!$B$146*(1+核心参数输入!$B$37)^INT((80-((核心参数输入!$B$18-1)*4+(核心参数输入!$B$148+核心参数输入!$B$124)+1))/4)*(1-核心参数输入!$B$79)),0)</f>
        <v>29.694261815107865</v>
      </c>
      <c r="CG130" s="9">
        <f>IF(81&lt;=核心参数输入!$B$9*4,IF(81&lt;((核心参数输入!$B$18-1)*4+(核心参数输入!$B$148+核心参数输入!$B$124)+1),0,核心参数输入!$B$146*(1+核心参数输入!$B$37)^INT((81-((核心参数输入!$B$18-1)*4+(核心参数输入!$B$148+核心参数输入!$B$124)+1))/4)*(1-核心参数输入!$B$79)),0)</f>
        <v>0</v>
      </c>
      <c r="CH130" s="9">
        <f>IF(82&lt;=核心参数输入!$B$9*4,IF(82&lt;((核心参数输入!$B$18-1)*4+(核心参数输入!$B$148+核心参数输入!$B$124)+1),0,核心参数输入!$B$146*(1+核心参数输入!$B$37)^INT((82-((核心参数输入!$B$18-1)*4+(核心参数输入!$B$148+核心参数输入!$B$124)+1))/4)*(1-核心参数输入!$B$79)),0)</f>
        <v>0</v>
      </c>
      <c r="CI130" s="9">
        <f>IF(83&lt;=核心参数输入!$B$9*4,IF(83&lt;((核心参数输入!$B$18-1)*4+(核心参数输入!$B$148+核心参数输入!$B$124)+1),0,核心参数输入!$B$146*(1+核心参数输入!$B$37)^INT((83-((核心参数输入!$B$18-1)*4+(核心参数输入!$B$148+核心参数输入!$B$124)+1))/4)*(1-核心参数输入!$B$79)),0)</f>
        <v>0</v>
      </c>
      <c r="CJ130" s="9">
        <f>IF(84&lt;=核心参数输入!$B$9*4,IF(84&lt;((核心参数输入!$B$18-1)*4+(核心参数输入!$B$148+核心参数输入!$B$124)+1),0,核心参数输入!$B$146*(1+核心参数输入!$B$37)^INT((84-((核心参数输入!$B$18-1)*4+(核心参数输入!$B$148+核心参数输入!$B$124)+1))/4)*(1-核心参数输入!$B$79)),0)</f>
        <v>0</v>
      </c>
      <c r="CK130" s="9">
        <f>IF(85&lt;=核心参数输入!$B$9*4,IF(85&lt;((核心参数输入!$B$18-1)*4+(核心参数输入!$B$148+核心参数输入!$B$124)+1),0,核心参数输入!$B$146*(1+核心参数输入!$B$37)^INT((85-((核心参数输入!$B$18-1)*4+(核心参数输入!$B$148+核心参数输入!$B$124)+1))/4)*(1-核心参数输入!$B$79)),0)</f>
        <v>0</v>
      </c>
      <c r="CL130" s="9">
        <f>IF(86&lt;=核心参数输入!$B$9*4,IF(86&lt;((核心参数输入!$B$18-1)*4+(核心参数输入!$B$148+核心参数输入!$B$124)+1),0,核心参数输入!$B$146*(1+核心参数输入!$B$37)^INT((86-((核心参数输入!$B$18-1)*4+(核心参数输入!$B$148+核心参数输入!$B$124)+1))/4)*(1-核心参数输入!$B$79)),0)</f>
        <v>0</v>
      </c>
      <c r="CM130" s="9">
        <f>IF(87&lt;=核心参数输入!$B$9*4,IF(87&lt;((核心参数输入!$B$18-1)*4+(核心参数输入!$B$148+核心参数输入!$B$124)+1),0,核心参数输入!$B$146*(1+核心参数输入!$B$37)^INT((87-((核心参数输入!$B$18-1)*4+(核心参数输入!$B$148+核心参数输入!$B$124)+1))/4)*(1-核心参数输入!$B$79)),0)</f>
        <v>0</v>
      </c>
      <c r="CN130" s="9">
        <f>IF(88&lt;=核心参数输入!$B$9*4,IF(88&lt;((核心参数输入!$B$18-1)*4+(核心参数输入!$B$148+核心参数输入!$B$124)+1),0,核心参数输入!$B$146*(1+核心参数输入!$B$37)^INT((88-((核心参数输入!$B$18-1)*4+(核心参数输入!$B$148+核心参数输入!$B$124)+1))/4)*(1-核心参数输入!$B$79)),0)</f>
        <v>0</v>
      </c>
      <c r="CO130" s="9">
        <f>IF(89&lt;=核心参数输入!$B$9*4,IF(89&lt;((核心参数输入!$B$18-1)*4+(核心参数输入!$B$148+核心参数输入!$B$124)+1),0,核心参数输入!$B$146*(1+核心参数输入!$B$37)^INT((89-((核心参数输入!$B$18-1)*4+(核心参数输入!$B$148+核心参数输入!$B$124)+1))/4)*(1-核心参数输入!$B$79)),0)</f>
        <v>0</v>
      </c>
      <c r="CP130" s="9">
        <f>IF(90&lt;=核心参数输入!$B$9*4,IF(90&lt;((核心参数输入!$B$18-1)*4+(核心参数输入!$B$148+核心参数输入!$B$124)+1),0,核心参数输入!$B$146*(1+核心参数输入!$B$37)^INT((90-((核心参数输入!$B$18-1)*4+(核心参数输入!$B$148+核心参数输入!$B$124)+1))/4)*(1-核心参数输入!$B$79)),0)</f>
        <v>0</v>
      </c>
      <c r="CQ130" s="9">
        <f>IF(91&lt;=核心参数输入!$B$9*4,IF(91&lt;((核心参数输入!$B$18-1)*4+(核心参数输入!$B$148+核心参数输入!$B$124)+1),0,核心参数输入!$B$146*(1+核心参数输入!$B$37)^INT((91-((核心参数输入!$B$18-1)*4+(核心参数输入!$B$148+核心参数输入!$B$124)+1))/4)*(1-核心参数输入!$B$79)),0)</f>
        <v>0</v>
      </c>
      <c r="CR130" s="9">
        <f>IF(92&lt;=核心参数输入!$B$9*4,IF(92&lt;((核心参数输入!$B$18-1)*4+(核心参数输入!$B$148+核心参数输入!$B$124)+1),0,核心参数输入!$B$146*(1+核心参数输入!$B$37)^INT((92-((核心参数输入!$B$18-1)*4+(核心参数输入!$B$148+核心参数输入!$B$124)+1))/4)*(1-核心参数输入!$B$79)),0)</f>
        <v>0</v>
      </c>
      <c r="CS130" s="9">
        <f>IF(93&lt;=核心参数输入!$B$9*4,IF(93&lt;((核心参数输入!$B$18-1)*4+(核心参数输入!$B$148+核心参数输入!$B$124)+1),0,核心参数输入!$B$146*(1+核心参数输入!$B$37)^INT((93-((核心参数输入!$B$18-1)*4+(核心参数输入!$B$148+核心参数输入!$B$124)+1))/4)*(1-核心参数输入!$B$79)),0)</f>
        <v>0</v>
      </c>
      <c r="CT130" s="9">
        <f>IF(94&lt;=核心参数输入!$B$9*4,IF(94&lt;((核心参数输入!$B$18-1)*4+(核心参数输入!$B$148+核心参数输入!$B$124)+1),0,核心参数输入!$B$146*(1+核心参数输入!$B$37)^INT((94-((核心参数输入!$B$18-1)*4+(核心参数输入!$B$148+核心参数输入!$B$124)+1))/4)*(1-核心参数输入!$B$79)),0)</f>
        <v>0</v>
      </c>
      <c r="CU130" s="9">
        <f>IF(95&lt;=核心参数输入!$B$9*4,IF(95&lt;((核心参数输入!$B$18-1)*4+(核心参数输入!$B$148+核心参数输入!$B$124)+1),0,核心参数输入!$B$146*(1+核心参数输入!$B$37)^INT((95-((核心参数输入!$B$18-1)*4+(核心参数输入!$B$148+核心参数输入!$B$124)+1))/4)*(1-核心参数输入!$B$79)),0)</f>
        <v>0</v>
      </c>
      <c r="CV130" s="9">
        <f>IF(96&lt;=核心参数输入!$B$9*4,IF(96&lt;((核心参数输入!$B$18-1)*4+(核心参数输入!$B$148+核心参数输入!$B$124)+1),0,核心参数输入!$B$146*(1+核心参数输入!$B$37)^INT((96-((核心参数输入!$B$18-1)*4+(核心参数输入!$B$148+核心参数输入!$B$124)+1))/4)*(1-核心参数输入!$B$79)),0)</f>
        <v>0</v>
      </c>
      <c r="CW130" s="9">
        <f>IF(97&lt;=核心参数输入!$B$9*4,IF(97&lt;((核心参数输入!$B$18-1)*4+(核心参数输入!$B$148+核心参数输入!$B$124)+1),0,核心参数输入!$B$146*(1+核心参数输入!$B$37)^INT((97-((核心参数输入!$B$18-1)*4+(核心参数输入!$B$148+核心参数输入!$B$124)+1))/4)*(1-核心参数输入!$B$79)),0)</f>
        <v>0</v>
      </c>
      <c r="CX130" s="9">
        <f>IF(98&lt;=核心参数输入!$B$9*4,IF(98&lt;((核心参数输入!$B$18-1)*4+(核心参数输入!$B$148+核心参数输入!$B$124)+1),0,核心参数输入!$B$146*(1+核心参数输入!$B$37)^INT((98-((核心参数输入!$B$18-1)*4+(核心参数输入!$B$148+核心参数输入!$B$124)+1))/4)*(1-核心参数输入!$B$79)),0)</f>
        <v>0</v>
      </c>
      <c r="CY130" s="9">
        <f>IF(99&lt;=核心参数输入!$B$9*4,IF(99&lt;((核心参数输入!$B$18-1)*4+(核心参数输入!$B$148+核心参数输入!$B$124)+1),0,核心参数输入!$B$146*(1+核心参数输入!$B$37)^INT((99-((核心参数输入!$B$18-1)*4+(核心参数输入!$B$148+核心参数输入!$B$124)+1))/4)*(1-核心参数输入!$B$79)),0)</f>
        <v>0</v>
      </c>
      <c r="CZ130" s="9">
        <f>IF(100&lt;=核心参数输入!$B$9*4,IF(100&lt;((核心参数输入!$B$18-1)*4+(核心参数输入!$B$148+核心参数输入!$B$124)+1),0,核心参数输入!$B$146*(1+核心参数输入!$B$37)^INT((100-((核心参数输入!$B$18-1)*4+(核心参数输入!$B$148+核心参数输入!$B$124)+1))/4)*(1-核心参数输入!$B$79)),0)</f>
        <v>0</v>
      </c>
      <c r="DA130" s="9">
        <f>IF(101&lt;=核心参数输入!$B$9*4,IF(101&lt;((核心参数输入!$B$18-1)*4+(核心参数输入!$B$148+核心参数输入!$B$124)+1),0,核心参数输入!$B$146*(1+核心参数输入!$B$37)^INT((101-((核心参数输入!$B$18-1)*4+(核心参数输入!$B$148+核心参数输入!$B$124)+1))/4)*(1-核心参数输入!$B$79)),0)</f>
        <v>0</v>
      </c>
      <c r="DB130" s="9">
        <f>IF(102&lt;=核心参数输入!$B$9*4,IF(102&lt;((核心参数输入!$B$18-1)*4+(核心参数输入!$B$148+核心参数输入!$B$124)+1),0,核心参数输入!$B$146*(1+核心参数输入!$B$37)^INT((102-((核心参数输入!$B$18-1)*4+(核心参数输入!$B$148+核心参数输入!$B$124)+1))/4)*(1-核心参数输入!$B$79)),0)</f>
        <v>0</v>
      </c>
      <c r="DC130" s="9">
        <f>IF(103&lt;=核心参数输入!$B$9*4,IF(103&lt;((核心参数输入!$B$18-1)*4+(核心参数输入!$B$148+核心参数输入!$B$124)+1),0,核心参数输入!$B$146*(1+核心参数输入!$B$37)^INT((103-((核心参数输入!$B$18-1)*4+(核心参数输入!$B$148+核心参数输入!$B$124)+1))/4)*(1-核心参数输入!$B$79)),0)</f>
        <v>0</v>
      </c>
      <c r="DD130" s="9">
        <f>IF(104&lt;=核心参数输入!$B$9*4,IF(104&lt;((核心参数输入!$B$18-1)*4+(核心参数输入!$B$148+核心参数输入!$B$124)+1),0,核心参数输入!$B$146*(1+核心参数输入!$B$37)^INT((104-((核心参数输入!$B$18-1)*4+(核心参数输入!$B$148+核心参数输入!$B$124)+1))/4)*(1-核心参数输入!$B$79)),0)</f>
        <v>0</v>
      </c>
      <c r="DE130" s="9">
        <f>IF(105&lt;=核心参数输入!$B$9*4,IF(105&lt;((核心参数输入!$B$18-1)*4+(核心参数输入!$B$148+核心参数输入!$B$124)+1),0,核心参数输入!$B$146*(1+核心参数输入!$B$37)^INT((105-((核心参数输入!$B$18-1)*4+(核心参数输入!$B$148+核心参数输入!$B$124)+1))/4)*(1-核心参数输入!$B$79)),0)</f>
        <v>0</v>
      </c>
      <c r="DF130" s="9">
        <f>IF(106&lt;=核心参数输入!$B$9*4,IF(106&lt;((核心参数输入!$B$18-1)*4+(核心参数输入!$B$148+核心参数输入!$B$124)+1),0,核心参数输入!$B$146*(1+核心参数输入!$B$37)^INT((106-((核心参数输入!$B$18-1)*4+(核心参数输入!$B$148+核心参数输入!$B$124)+1))/4)*(1-核心参数输入!$B$79)),0)</f>
        <v>0</v>
      </c>
      <c r="DG130" s="9">
        <f>IF(107&lt;=核心参数输入!$B$9*4,IF(107&lt;((核心参数输入!$B$18-1)*4+(核心参数输入!$B$148+核心参数输入!$B$124)+1),0,核心参数输入!$B$146*(1+核心参数输入!$B$37)^INT((107-((核心参数输入!$B$18-1)*4+(核心参数输入!$B$148+核心参数输入!$B$124)+1))/4)*(1-核心参数输入!$B$79)),0)</f>
        <v>0</v>
      </c>
      <c r="DH130" s="9">
        <f>IF(108&lt;=核心参数输入!$B$9*4,IF(108&lt;((核心参数输入!$B$18-1)*4+(核心参数输入!$B$148+核心参数输入!$B$124)+1),0,核心参数输入!$B$146*(1+核心参数输入!$B$37)^INT((108-((核心参数输入!$B$18-1)*4+(核心参数输入!$B$148+核心参数输入!$B$124)+1))/4)*(1-核心参数输入!$B$79)),0)</f>
        <v>0</v>
      </c>
      <c r="DI130" s="9">
        <f>IF(109&lt;=核心参数输入!$B$9*4,IF(109&lt;((核心参数输入!$B$18-1)*4+(核心参数输入!$B$148+核心参数输入!$B$124)+1),0,核心参数输入!$B$146*(1+核心参数输入!$B$37)^INT((109-((核心参数输入!$B$18-1)*4+(核心参数输入!$B$148+核心参数输入!$B$124)+1))/4)*(1-核心参数输入!$B$79)),0)</f>
        <v>0</v>
      </c>
      <c r="DJ130" s="9">
        <f>IF(110&lt;=核心参数输入!$B$9*4,IF(110&lt;((核心参数输入!$B$18-1)*4+(核心参数输入!$B$148+核心参数输入!$B$124)+1),0,核心参数输入!$B$146*(1+核心参数输入!$B$37)^INT((110-((核心参数输入!$B$18-1)*4+(核心参数输入!$B$148+核心参数输入!$B$124)+1))/4)*(1-核心参数输入!$B$79)),0)</f>
        <v>0</v>
      </c>
      <c r="DK130" s="9">
        <f>IF(111&lt;=核心参数输入!$B$9*4,IF(111&lt;((核心参数输入!$B$18-1)*4+(核心参数输入!$B$148+核心参数输入!$B$124)+1),0,核心参数输入!$B$146*(1+核心参数输入!$B$37)^INT((111-((核心参数输入!$B$18-1)*4+(核心参数输入!$B$148+核心参数输入!$B$124)+1))/4)*(1-核心参数输入!$B$79)),0)</f>
        <v>0</v>
      </c>
      <c r="DL130" s="9">
        <f>IF(112&lt;=核心参数输入!$B$9*4,IF(112&lt;((核心参数输入!$B$18-1)*4+(核心参数输入!$B$148+核心参数输入!$B$124)+1),0,核心参数输入!$B$146*(1+核心参数输入!$B$37)^INT((112-((核心参数输入!$B$18-1)*4+(核心参数输入!$B$148+核心参数输入!$B$124)+1))/4)*(1-核心参数输入!$B$79)),0)</f>
        <v>0</v>
      </c>
      <c r="DM130" s="9">
        <f>IF(113&lt;=核心参数输入!$B$9*4,IF(113&lt;((核心参数输入!$B$18-1)*4+(核心参数输入!$B$148+核心参数输入!$B$124)+1),0,核心参数输入!$B$146*(1+核心参数输入!$B$37)^INT((113-((核心参数输入!$B$18-1)*4+(核心参数输入!$B$148+核心参数输入!$B$124)+1))/4)*(1-核心参数输入!$B$79)),0)</f>
        <v>0</v>
      </c>
      <c r="DN130" s="9">
        <f>IF(114&lt;=核心参数输入!$B$9*4,IF(114&lt;((核心参数输入!$B$18-1)*4+(核心参数输入!$B$148+核心参数输入!$B$124)+1),0,核心参数输入!$B$146*(1+核心参数输入!$B$37)^INT((114-((核心参数输入!$B$18-1)*4+(核心参数输入!$B$148+核心参数输入!$B$124)+1))/4)*(1-核心参数输入!$B$79)),0)</f>
        <v>0</v>
      </c>
      <c r="DO130" s="9">
        <f>IF(115&lt;=核心参数输入!$B$9*4,IF(115&lt;((核心参数输入!$B$18-1)*4+(核心参数输入!$B$148+核心参数输入!$B$124)+1),0,核心参数输入!$B$146*(1+核心参数输入!$B$37)^INT((115-((核心参数输入!$B$18-1)*4+(核心参数输入!$B$148+核心参数输入!$B$124)+1))/4)*(1-核心参数输入!$B$79)),0)</f>
        <v>0</v>
      </c>
      <c r="DP130" s="9">
        <f>IF(116&lt;=核心参数输入!$B$9*4,IF(116&lt;((核心参数输入!$B$18-1)*4+(核心参数输入!$B$148+核心参数输入!$B$124)+1),0,核心参数输入!$B$146*(1+核心参数输入!$B$37)^INT((116-((核心参数输入!$B$18-1)*4+(核心参数输入!$B$148+核心参数输入!$B$124)+1))/4)*(1-核心参数输入!$B$79)),0)</f>
        <v>0</v>
      </c>
      <c r="DQ130" s="9">
        <f>IF(117&lt;=核心参数输入!$B$9*4,IF(117&lt;((核心参数输入!$B$18-1)*4+(核心参数输入!$B$148+核心参数输入!$B$124)+1),0,核心参数输入!$B$146*(1+核心参数输入!$B$37)^INT((117-((核心参数输入!$B$18-1)*4+(核心参数输入!$B$148+核心参数输入!$B$124)+1))/4)*(1-核心参数输入!$B$79)),0)</f>
        <v>0</v>
      </c>
      <c r="DR130" s="9">
        <f>IF(118&lt;=核心参数输入!$B$9*4,IF(118&lt;((核心参数输入!$B$18-1)*4+(核心参数输入!$B$148+核心参数输入!$B$124)+1),0,核心参数输入!$B$146*(1+核心参数输入!$B$37)^INT((118-((核心参数输入!$B$18-1)*4+(核心参数输入!$B$148+核心参数输入!$B$124)+1))/4)*(1-核心参数输入!$B$79)),0)</f>
        <v>0</v>
      </c>
      <c r="DS130" s="9">
        <f>IF(119&lt;=核心参数输入!$B$9*4,IF(119&lt;((核心参数输入!$B$18-1)*4+(核心参数输入!$B$148+核心参数输入!$B$124)+1),0,核心参数输入!$B$146*(1+核心参数输入!$B$37)^INT((119-((核心参数输入!$B$18-1)*4+(核心参数输入!$B$148+核心参数输入!$B$124)+1))/4)*(1-核心参数输入!$B$79)),0)</f>
        <v>0</v>
      </c>
      <c r="DT130" s="9">
        <f>IF(120&lt;=核心参数输入!$B$9*4,IF(120&lt;((核心参数输入!$B$18-1)*4+(核心参数输入!$B$148+核心参数输入!$B$124)+1),0,核心参数输入!$B$146*(1+核心参数输入!$B$37)^INT((120-((核心参数输入!$B$18-1)*4+(核心参数输入!$B$148+核心参数输入!$B$124)+1))/4)*(1-核心参数输入!$B$79)),0)</f>
        <v>0</v>
      </c>
    </row>
    <row r="131" spans="1:124" ht="21" customHeight="1">
      <c r="A131" s="8" t="s">
        <v>457</v>
      </c>
      <c r="B131" s="8" t="s">
        <v>39</v>
      </c>
      <c r="C131" s="8"/>
      <c r="D131" s="9">
        <f>IF(0&lt;=核心参数输入!$B$9*4,D129*D130*3/10000,0)</f>
        <v>0</v>
      </c>
      <c r="E131" s="9">
        <f>IF(1&lt;=核心参数输入!$B$9*4,E129*E130*3/10000,0)</f>
        <v>0</v>
      </c>
      <c r="F131" s="9">
        <f>IF(2&lt;=核心参数输入!$B$9*4,F129*F130*3/10000,0)</f>
        <v>0</v>
      </c>
      <c r="G131" s="9">
        <f>IF(3&lt;=核心参数输入!$B$9*4,G129*G130*3/10000,0)</f>
        <v>0</v>
      </c>
      <c r="H131" s="9">
        <f>IF(4&lt;=核心参数输入!$B$9*4,H129*H130*3/10000,0)</f>
        <v>0</v>
      </c>
      <c r="I131" s="9">
        <f>IF(5&lt;=核心参数输入!$B$9*4,I129*I130*3/10000,0)</f>
        <v>0</v>
      </c>
      <c r="J131" s="9">
        <f>IF(6&lt;=核心参数输入!$B$9*4,J129*J130*3/10000,0)</f>
        <v>0</v>
      </c>
      <c r="K131" s="9">
        <f>IF(7&lt;=核心参数输入!$B$9*4,K129*K130*3/10000,0)</f>
        <v>0</v>
      </c>
      <c r="L131" s="9">
        <f>IF(8&lt;=核心参数输入!$B$9*4,L129*L130*3/10000,0)</f>
        <v>0</v>
      </c>
      <c r="M131" s="9">
        <f>IF(9&lt;=核心参数输入!$B$9*4,M129*M130*3/10000,0)</f>
        <v>0</v>
      </c>
      <c r="N131" s="9">
        <f>IF(10&lt;=核心参数输入!$B$9*4,N129*N130*3/10000,0)</f>
        <v>0</v>
      </c>
      <c r="O131" s="9">
        <f>IF(11&lt;=核心参数输入!$B$9*4,O129*O130*3/10000,0)</f>
        <v>0</v>
      </c>
      <c r="P131" s="9">
        <f>IF(12&lt;=核心参数输入!$B$9*4,P129*P130*3/10000,0)</f>
        <v>0</v>
      </c>
      <c r="Q131" s="9">
        <f>IF(13&lt;=核心参数输入!$B$9*4,Q129*Q130*3/10000,0)</f>
        <v>21.323250000000002</v>
      </c>
      <c r="R131" s="9">
        <f>IF(14&lt;=核心参数输入!$B$9*4,R129*R130*3/10000,0)</f>
        <v>63.969750000000012</v>
      </c>
      <c r="S131" s="9">
        <f>IF(15&lt;=核心参数输入!$B$9*4,S129*S130*3/10000,0)</f>
        <v>106.61625000000002</v>
      </c>
      <c r="T131" s="9">
        <f>IF(16&lt;=核心参数输入!$B$9*4,T129*T130*3/10000,0)</f>
        <v>149.26275000000001</v>
      </c>
      <c r="U131" s="9">
        <f>IF(17&lt;=核心参数输入!$B$9*4,U129*U130*3/10000,0)</f>
        <v>183.96633937499999</v>
      </c>
      <c r="V131" s="9">
        <f>IF(18&lt;=核心参数输入!$B$9*4,V129*V130*3/10000,0)</f>
        <v>205.60943812499997</v>
      </c>
      <c r="W131" s="9">
        <f>IF(19&lt;=核心参数输入!$B$9*4,W129*W130*3/10000,0)</f>
        <v>227.252536875</v>
      </c>
      <c r="X131" s="9">
        <f>IF(20&lt;=核心参数输入!$B$9*4,X129*X130*3/10000,0)</f>
        <v>248.89563562499998</v>
      </c>
      <c r="Y131" s="9">
        <f>IF(21&lt;=核心参数输入!$B$9*4,Y129*Y130*3/10000,0)</f>
        <v>271.85084723671861</v>
      </c>
      <c r="Z131" s="9">
        <f>IF(22&lt;=核心参数输入!$B$9*4,Z129*Z130*3/10000,0)</f>
        <v>288.32665616015618</v>
      </c>
      <c r="AA131" s="9">
        <f>IF(23&lt;=核心参数输入!$B$9*4,AA129*AA130*3/10000,0)</f>
        <v>304.80246508359369</v>
      </c>
      <c r="AB131" s="9">
        <f>IF(24&lt;=核心参数输入!$B$9*4,AB129*AB130*3/10000,0)</f>
        <v>321.27827400703114</v>
      </c>
      <c r="AC131" s="9">
        <f>IF(25&lt;=核心参数输入!$B$9*4,AC129*AC130*3/10000,0)</f>
        <v>337.24607882199592</v>
      </c>
      <c r="AD131" s="9">
        <f>IF(26&lt;=核心参数输入!$B$9*4,AD129*AD130*3/10000,0)</f>
        <v>342.82039417442559</v>
      </c>
      <c r="AE131" s="9">
        <f>IF(27&lt;=核心参数输入!$B$9*4,AE129*AE130*3/10000,0)</f>
        <v>348.39470952685531</v>
      </c>
      <c r="AF131" s="9">
        <f>IF(28&lt;=核心参数输入!$B$9*4,AF129*AF130*3/10000,0)</f>
        <v>353.96902487928503</v>
      </c>
      <c r="AG131" s="9">
        <f>IF(29&lt;=核心参数输入!$B$9*4,AG129*AG130*3/10000,0)</f>
        <v>362.10752529383234</v>
      </c>
      <c r="AH131" s="9">
        <f>IF(30&lt;=核心参数输入!$B$9*4,AH129*AH130*3/10000,0)</f>
        <v>362.10752529383234</v>
      </c>
      <c r="AI131" s="9">
        <f>IF(31&lt;=核心参数输入!$B$9*4,AI129*AI130*3/10000,0)</f>
        <v>362.10752529383234</v>
      </c>
      <c r="AJ131" s="9">
        <f>IF(32&lt;=核心参数输入!$B$9*4,AJ129*AJ130*3/10000,0)</f>
        <v>362.10752529383234</v>
      </c>
      <c r="AK131" s="9">
        <f>IF(33&lt;=核心参数输入!$B$9*4,AK129*AK130*3/10000,0)</f>
        <v>367.53913817323979</v>
      </c>
      <c r="AL131" s="9">
        <f>IF(34&lt;=核心参数输入!$B$9*4,AL129*AL130*3/10000,0)</f>
        <v>367.53913817323979</v>
      </c>
      <c r="AM131" s="9">
        <f>IF(35&lt;=核心参数输入!$B$9*4,AM129*AM130*3/10000,0)</f>
        <v>367.53913817323979</v>
      </c>
      <c r="AN131" s="9">
        <f>IF(36&lt;=核心参数输入!$B$9*4,AN129*AN130*3/10000,0)</f>
        <v>367.53913817323979</v>
      </c>
      <c r="AO131" s="9">
        <f>IF(37&lt;=核心参数输入!$B$9*4,AO129*AO130*3/10000,0)</f>
        <v>373.05222524583832</v>
      </c>
      <c r="AP131" s="9">
        <f>IF(38&lt;=核心参数输入!$B$9*4,AP129*AP130*3/10000,0)</f>
        <v>373.05222524583832</v>
      </c>
      <c r="AQ131" s="9">
        <f>IF(39&lt;=核心参数输入!$B$9*4,AQ129*AQ130*3/10000,0)</f>
        <v>373.05222524583832</v>
      </c>
      <c r="AR131" s="9">
        <f>IF(40&lt;=核心参数输入!$B$9*4,AR129*AR130*3/10000,0)</f>
        <v>373.05222524583832</v>
      </c>
      <c r="AS131" s="9">
        <f>IF(41&lt;=核心参数输入!$B$9*4,AS129*AS130*3/10000,0)</f>
        <v>378.64800862452586</v>
      </c>
      <c r="AT131" s="9">
        <f>IF(42&lt;=核心参数输入!$B$9*4,AT129*AT130*3/10000,0)</f>
        <v>378.64800862452586</v>
      </c>
      <c r="AU131" s="9">
        <f>IF(43&lt;=核心参数输入!$B$9*4,AU129*AU130*3/10000,0)</f>
        <v>378.64800862452586</v>
      </c>
      <c r="AV131" s="9">
        <f>IF(44&lt;=核心参数输入!$B$9*4,AV129*AV130*3/10000,0)</f>
        <v>378.64800862452586</v>
      </c>
      <c r="AW131" s="9">
        <f>IF(45&lt;=核心参数输入!$B$9*4,AW129*AW130*3/10000,0)</f>
        <v>384.32772875389361</v>
      </c>
      <c r="AX131" s="9">
        <f>IF(46&lt;=核心参数输入!$B$9*4,AX129*AX130*3/10000,0)</f>
        <v>384.32772875389361</v>
      </c>
      <c r="AY131" s="9">
        <f>IF(47&lt;=核心参数输入!$B$9*4,AY129*AY130*3/10000,0)</f>
        <v>384.32772875389361</v>
      </c>
      <c r="AZ131" s="9">
        <f>IF(48&lt;=核心参数输入!$B$9*4,AZ129*AZ130*3/10000,0)</f>
        <v>384.32772875389361</v>
      </c>
      <c r="BA131" s="9">
        <f>IF(49&lt;=核心参数输入!$B$9*4,BA129*BA130*3/10000,0)</f>
        <v>390.092644685202</v>
      </c>
      <c r="BB131" s="9">
        <f>IF(50&lt;=核心参数输入!$B$9*4,BB129*BB130*3/10000,0)</f>
        <v>390.092644685202</v>
      </c>
      <c r="BC131" s="9">
        <f>IF(51&lt;=核心参数输入!$B$9*4,BC129*BC130*3/10000,0)</f>
        <v>390.092644685202</v>
      </c>
      <c r="BD131" s="9">
        <f>IF(52&lt;=核心参数输入!$B$9*4,BD129*BD130*3/10000,0)</f>
        <v>390.092644685202</v>
      </c>
      <c r="BE131" s="9">
        <f>IF(53&lt;=核心参数输入!$B$9*4,BE129*BE130*3/10000,0)</f>
        <v>395.94403435547997</v>
      </c>
      <c r="BF131" s="9">
        <f>IF(54&lt;=核心参数输入!$B$9*4,BF129*BF130*3/10000,0)</f>
        <v>395.94403435547997</v>
      </c>
      <c r="BG131" s="9">
        <f>IF(55&lt;=核心参数输入!$B$9*4,BG129*BG130*3/10000,0)</f>
        <v>395.94403435547997</v>
      </c>
      <c r="BH131" s="9">
        <f>IF(56&lt;=核心参数输入!$B$9*4,BH129*BH130*3/10000,0)</f>
        <v>395.94403435547997</v>
      </c>
      <c r="BI131" s="9">
        <f>IF(57&lt;=核心参数输入!$B$9*4,BI129*BI130*3/10000,0)</f>
        <v>401.88319487081208</v>
      </c>
      <c r="BJ131" s="9">
        <f>IF(58&lt;=核心参数输入!$B$9*4,BJ129*BJ130*3/10000,0)</f>
        <v>401.88319487081208</v>
      </c>
      <c r="BK131" s="9">
        <f>IF(59&lt;=核心参数输入!$B$9*4,BK129*BK130*3/10000,0)</f>
        <v>401.88319487081208</v>
      </c>
      <c r="BL131" s="9">
        <f>IF(60&lt;=核心参数输入!$B$9*4,BL129*BL130*3/10000,0)</f>
        <v>401.88319487081208</v>
      </c>
      <c r="BM131" s="9">
        <f>IF(61&lt;=核心参数输入!$B$9*4,BM129*BM130*3/10000,0)</f>
        <v>407.91144279387419</v>
      </c>
      <c r="BN131" s="9">
        <f>IF(62&lt;=核心参数输入!$B$9*4,BN129*BN130*3/10000,0)</f>
        <v>407.91144279387419</v>
      </c>
      <c r="BO131" s="9">
        <f>IF(63&lt;=核心参数输入!$B$9*4,BO129*BO130*3/10000,0)</f>
        <v>407.91144279387419</v>
      </c>
      <c r="BP131" s="9">
        <f>IF(64&lt;=核心参数输入!$B$9*4,BP129*BP130*3/10000,0)</f>
        <v>407.91144279387419</v>
      </c>
      <c r="BQ131" s="9">
        <f>IF(65&lt;=核心参数输入!$B$9*4,BQ129*BQ130*3/10000,0)</f>
        <v>414.03011443578237</v>
      </c>
      <c r="BR131" s="9">
        <f>IF(66&lt;=核心参数输入!$B$9*4,BR129*BR130*3/10000,0)</f>
        <v>414.03011443578237</v>
      </c>
      <c r="BS131" s="9">
        <f>IF(67&lt;=核心参数输入!$B$9*4,BS129*BS130*3/10000,0)</f>
        <v>414.03011443578237</v>
      </c>
      <c r="BT131" s="9">
        <f>IF(68&lt;=核心参数输入!$B$9*4,BT129*BT130*3/10000,0)</f>
        <v>414.03011443578237</v>
      </c>
      <c r="BU131" s="9">
        <f>IF(69&lt;=核心参数输入!$B$9*4,BU129*BU130*3/10000,0)</f>
        <v>420.24056615231893</v>
      </c>
      <c r="BV131" s="9">
        <f>IF(70&lt;=核心参数输入!$B$9*4,BV129*BV130*3/10000,0)</f>
        <v>420.24056615231893</v>
      </c>
      <c r="BW131" s="9">
        <f>IF(71&lt;=核心参数输入!$B$9*4,BW129*BW130*3/10000,0)</f>
        <v>420.24056615231893</v>
      </c>
      <c r="BX131" s="9">
        <f>IF(72&lt;=核心参数输入!$B$9*4,BX129*BX130*3/10000,0)</f>
        <v>420.24056615231893</v>
      </c>
      <c r="BY131" s="9">
        <f>IF(73&lt;=核心参数输入!$B$9*4,BY129*BY130*3/10000,0)</f>
        <v>426.54417464460369</v>
      </c>
      <c r="BZ131" s="9">
        <f>IF(74&lt;=核心参数输入!$B$9*4,BZ129*BZ130*3/10000,0)</f>
        <v>426.54417464460369</v>
      </c>
      <c r="CA131" s="9">
        <f>IF(75&lt;=核心参数输入!$B$9*4,CA129*CA130*3/10000,0)</f>
        <v>426.54417464460369</v>
      </c>
      <c r="CB131" s="9">
        <f>IF(76&lt;=核心参数输入!$B$9*4,CB129*CB130*3/10000,0)</f>
        <v>426.54417464460369</v>
      </c>
      <c r="CC131" s="9">
        <f>IF(77&lt;=核心参数输入!$B$9*4,CC129*CC130*3/10000,0)</f>
        <v>432.94233726427268</v>
      </c>
      <c r="CD131" s="9">
        <f>IF(78&lt;=核心参数输入!$B$9*4,CD129*CD130*3/10000,0)</f>
        <v>432.94233726427268</v>
      </c>
      <c r="CE131" s="9">
        <f>IF(79&lt;=核心参数输入!$B$9*4,CE129*CE130*3/10000,0)</f>
        <v>432.94233726427268</v>
      </c>
      <c r="CF131" s="9">
        <f>IF(80&lt;=核心参数输入!$B$9*4,CF129*CF130*3/10000,0)</f>
        <v>432.94233726427268</v>
      </c>
      <c r="CG131" s="9">
        <f>IF(81&lt;=核心参数输入!$B$9*4,CG129*CG130*3/10000,0)</f>
        <v>0</v>
      </c>
      <c r="CH131" s="9">
        <f>IF(82&lt;=核心参数输入!$B$9*4,CH129*CH130*3/10000,0)</f>
        <v>0</v>
      </c>
      <c r="CI131" s="9">
        <f>IF(83&lt;=核心参数输入!$B$9*4,CI129*CI130*3/10000,0)</f>
        <v>0</v>
      </c>
      <c r="CJ131" s="9">
        <f>IF(84&lt;=核心参数输入!$B$9*4,CJ129*CJ130*3/10000,0)</f>
        <v>0</v>
      </c>
      <c r="CK131" s="9">
        <f>IF(85&lt;=核心参数输入!$B$9*4,CK129*CK130*3/10000,0)</f>
        <v>0</v>
      </c>
      <c r="CL131" s="9">
        <f>IF(86&lt;=核心参数输入!$B$9*4,CL129*CL130*3/10000,0)</f>
        <v>0</v>
      </c>
      <c r="CM131" s="9">
        <f>IF(87&lt;=核心参数输入!$B$9*4,CM129*CM130*3/10000,0)</f>
        <v>0</v>
      </c>
      <c r="CN131" s="9">
        <f>IF(88&lt;=核心参数输入!$B$9*4,CN129*CN130*3/10000,0)</f>
        <v>0</v>
      </c>
      <c r="CO131" s="9">
        <f>IF(89&lt;=核心参数输入!$B$9*4,CO129*CO130*3/10000,0)</f>
        <v>0</v>
      </c>
      <c r="CP131" s="9">
        <f>IF(90&lt;=核心参数输入!$B$9*4,CP129*CP130*3/10000,0)</f>
        <v>0</v>
      </c>
      <c r="CQ131" s="9">
        <f>IF(91&lt;=核心参数输入!$B$9*4,CQ129*CQ130*3/10000,0)</f>
        <v>0</v>
      </c>
      <c r="CR131" s="9">
        <f>IF(92&lt;=核心参数输入!$B$9*4,CR129*CR130*3/10000,0)</f>
        <v>0</v>
      </c>
      <c r="CS131" s="9">
        <f>IF(93&lt;=核心参数输入!$B$9*4,CS129*CS130*3/10000,0)</f>
        <v>0</v>
      </c>
      <c r="CT131" s="9">
        <f>IF(94&lt;=核心参数输入!$B$9*4,CT129*CT130*3/10000,0)</f>
        <v>0</v>
      </c>
      <c r="CU131" s="9">
        <f>IF(95&lt;=核心参数输入!$B$9*4,CU129*CU130*3/10000,0)</f>
        <v>0</v>
      </c>
      <c r="CV131" s="9">
        <f>IF(96&lt;=核心参数输入!$B$9*4,CV129*CV130*3/10000,0)</f>
        <v>0</v>
      </c>
      <c r="CW131" s="9">
        <f>IF(97&lt;=核心参数输入!$B$9*4,CW129*CW130*3/10000,0)</f>
        <v>0</v>
      </c>
      <c r="CX131" s="9">
        <f>IF(98&lt;=核心参数输入!$B$9*4,CX129*CX130*3/10000,0)</f>
        <v>0</v>
      </c>
      <c r="CY131" s="9">
        <f>IF(99&lt;=核心参数输入!$B$9*4,CY129*CY130*3/10000,0)</f>
        <v>0</v>
      </c>
      <c r="CZ131" s="9">
        <f>IF(100&lt;=核心参数输入!$B$9*4,CZ129*CZ130*3/10000,0)</f>
        <v>0</v>
      </c>
      <c r="DA131" s="9">
        <f>IF(101&lt;=核心参数输入!$B$9*4,DA129*DA130*3/10000,0)</f>
        <v>0</v>
      </c>
      <c r="DB131" s="9">
        <f>IF(102&lt;=核心参数输入!$B$9*4,DB129*DB130*3/10000,0)</f>
        <v>0</v>
      </c>
      <c r="DC131" s="9">
        <f>IF(103&lt;=核心参数输入!$B$9*4,DC129*DC130*3/10000,0)</f>
        <v>0</v>
      </c>
      <c r="DD131" s="9">
        <f>IF(104&lt;=核心参数输入!$B$9*4,DD129*DD130*3/10000,0)</f>
        <v>0</v>
      </c>
      <c r="DE131" s="9">
        <f>IF(105&lt;=核心参数输入!$B$9*4,DE129*DE130*3/10000,0)</f>
        <v>0</v>
      </c>
      <c r="DF131" s="9">
        <f>IF(106&lt;=核心参数输入!$B$9*4,DF129*DF130*3/10000,0)</f>
        <v>0</v>
      </c>
      <c r="DG131" s="9">
        <f>IF(107&lt;=核心参数输入!$B$9*4,DG129*DG130*3/10000,0)</f>
        <v>0</v>
      </c>
      <c r="DH131" s="9">
        <f>IF(108&lt;=核心参数输入!$B$9*4,DH129*DH130*3/10000,0)</f>
        <v>0</v>
      </c>
      <c r="DI131" s="9">
        <f>IF(109&lt;=核心参数输入!$B$9*4,DI129*DI130*3/10000,0)</f>
        <v>0</v>
      </c>
      <c r="DJ131" s="9">
        <f>IF(110&lt;=核心参数输入!$B$9*4,DJ129*DJ130*3/10000,0)</f>
        <v>0</v>
      </c>
      <c r="DK131" s="9">
        <f>IF(111&lt;=核心参数输入!$B$9*4,DK129*DK130*3/10000,0)</f>
        <v>0</v>
      </c>
      <c r="DL131" s="9">
        <f>IF(112&lt;=核心参数输入!$B$9*4,DL129*DL130*3/10000,0)</f>
        <v>0</v>
      </c>
      <c r="DM131" s="9">
        <f>IF(113&lt;=核心参数输入!$B$9*4,DM129*DM130*3/10000,0)</f>
        <v>0</v>
      </c>
      <c r="DN131" s="9">
        <f>IF(114&lt;=核心参数输入!$B$9*4,DN129*DN130*3/10000,0)</f>
        <v>0</v>
      </c>
      <c r="DO131" s="9">
        <f>IF(115&lt;=核心参数输入!$B$9*4,DO129*DO130*3/10000,0)</f>
        <v>0</v>
      </c>
      <c r="DP131" s="9">
        <f>IF(116&lt;=核心参数输入!$B$9*4,DP129*DP130*3/10000,0)</f>
        <v>0</v>
      </c>
      <c r="DQ131" s="9">
        <f>IF(117&lt;=核心参数输入!$B$9*4,DQ129*DQ130*3/10000,0)</f>
        <v>0</v>
      </c>
      <c r="DR131" s="9">
        <f>IF(118&lt;=核心参数输入!$B$9*4,DR129*DR130*3/10000,0)</f>
        <v>0</v>
      </c>
      <c r="DS131" s="9">
        <f>IF(119&lt;=核心参数输入!$B$9*4,DS129*DS130*3/10000,0)</f>
        <v>0</v>
      </c>
      <c r="DT131" s="9">
        <f>IF(120&lt;=核心参数输入!$B$9*4,DT129*DT130*3/10000,0)</f>
        <v>0</v>
      </c>
    </row>
    <row r="132" spans="1:124" ht="21" customHeight="1">
      <c r="A132" s="8" t="s">
        <v>458</v>
      </c>
      <c r="B132" s="8" t="s">
        <v>39</v>
      </c>
      <c r="C132" s="8"/>
      <c r="D132" s="9">
        <f>IF(0&lt;=核心参数输入!$B$9*4,(季度经营税费!D128*MAX(0,MIN(3,核心参数输入!$B$42+3*核心参数输入!$B$125-0*3)-MAX(0,3*核心参数输入!$B$125-0*3))+0+0+0+0)*D130/10000,0)</f>
        <v>0</v>
      </c>
      <c r="E132" s="9">
        <f>IF(1&lt;=核心参数输入!$B$9*4,(季度经营税费!E128*MAX(0,MIN(3,核心参数输入!$B$42+3*核心参数输入!$B$125-0*3)-MAX(0,3*核心参数输入!$B$125-0*3))+季度经营税费!D128*MAX(0,MIN(3,核心参数输入!$B$42+3*核心参数输入!$B$125-1*3)-MAX(0,3*核心参数输入!$B$125-1*3))+0+0+0)*E130/10000,0)</f>
        <v>0</v>
      </c>
      <c r="F132" s="9">
        <f>IF(2&lt;=核心参数输入!$B$9*4,(季度经营税费!F128*MAX(0,MIN(3,核心参数输入!$B$42+3*核心参数输入!$B$125-0*3)-MAX(0,3*核心参数输入!$B$125-0*3))+季度经营税费!E128*MAX(0,MIN(3,核心参数输入!$B$42+3*核心参数输入!$B$125-1*3)-MAX(0,3*核心参数输入!$B$125-1*3))+季度经营税费!D128*MAX(0,MIN(3,核心参数输入!$B$42+3*核心参数输入!$B$125-2*3)-MAX(0,3*核心参数输入!$B$125-2*3))+0+0)*F130/10000,0)</f>
        <v>0</v>
      </c>
      <c r="G132" s="9">
        <f>IF(3&lt;=核心参数输入!$B$9*4,(季度经营税费!G128*MAX(0,MIN(3,核心参数输入!$B$42+3*核心参数输入!$B$125-0*3)-MAX(0,3*核心参数输入!$B$125-0*3))+季度经营税费!F128*MAX(0,MIN(3,核心参数输入!$B$42+3*核心参数输入!$B$125-1*3)-MAX(0,3*核心参数输入!$B$125-1*3))+季度经营税费!E128*MAX(0,MIN(3,核心参数输入!$B$42+3*核心参数输入!$B$125-2*3)-MAX(0,3*核心参数输入!$B$125-2*3))+季度经营税费!D128*MAX(0,MIN(3,核心参数输入!$B$42+3*核心参数输入!$B$125-3*3)-MAX(0,3*核心参数输入!$B$125-3*3))+0)*G130/10000,0)</f>
        <v>0</v>
      </c>
      <c r="H132" s="9">
        <f>IF(4&lt;=核心参数输入!$B$9*4,(季度经营税费!H128*MAX(0,MIN(3,核心参数输入!$B$42+3*核心参数输入!$B$125-0*3)-MAX(0,3*核心参数输入!$B$125-0*3))+季度经营税费!G128*MAX(0,MIN(3,核心参数输入!$B$42+3*核心参数输入!$B$125-1*3)-MAX(0,3*核心参数输入!$B$125-1*3))+季度经营税费!F128*MAX(0,MIN(3,核心参数输入!$B$42+3*核心参数输入!$B$125-2*3)-MAX(0,3*核心参数输入!$B$125-2*3))+季度经营税费!E128*MAX(0,MIN(3,核心参数输入!$B$42+3*核心参数输入!$B$125-3*3)-MAX(0,3*核心参数输入!$B$125-3*3))+季度经营税费!D128*MAX(0,MIN(3,核心参数输入!$B$42+3*核心参数输入!$B$125-4*3)-MAX(0,3*核心参数输入!$B$125-4*3)))*H130/10000,0)</f>
        <v>0</v>
      </c>
      <c r="I132" s="9">
        <f>IF(5&lt;=核心参数输入!$B$9*4,(季度经营税费!I128*MAX(0,MIN(3,核心参数输入!$B$42+3*核心参数输入!$B$125-0*3)-MAX(0,3*核心参数输入!$B$125-0*3))+季度经营税费!H128*MAX(0,MIN(3,核心参数输入!$B$42+3*核心参数输入!$B$125-1*3)-MAX(0,3*核心参数输入!$B$125-1*3))+季度经营税费!G128*MAX(0,MIN(3,核心参数输入!$B$42+3*核心参数输入!$B$125-2*3)-MAX(0,3*核心参数输入!$B$125-2*3))+季度经营税费!F128*MAX(0,MIN(3,核心参数输入!$B$42+3*核心参数输入!$B$125-3*3)-MAX(0,3*核心参数输入!$B$125-3*3))+季度经营税费!E128*MAX(0,MIN(3,核心参数输入!$B$42+3*核心参数输入!$B$125-4*3)-MAX(0,3*核心参数输入!$B$125-4*3)))*I130/10000,0)</f>
        <v>0</v>
      </c>
      <c r="J132" s="9">
        <f>IF(6&lt;=核心参数输入!$B$9*4,(季度经营税费!J128*MAX(0,MIN(3,核心参数输入!$B$42+3*核心参数输入!$B$125-0*3)-MAX(0,3*核心参数输入!$B$125-0*3))+季度经营税费!I128*MAX(0,MIN(3,核心参数输入!$B$42+3*核心参数输入!$B$125-1*3)-MAX(0,3*核心参数输入!$B$125-1*3))+季度经营税费!H128*MAX(0,MIN(3,核心参数输入!$B$42+3*核心参数输入!$B$125-2*3)-MAX(0,3*核心参数输入!$B$125-2*3))+季度经营税费!G128*MAX(0,MIN(3,核心参数输入!$B$42+3*核心参数输入!$B$125-3*3)-MAX(0,3*核心参数输入!$B$125-3*3))+季度经营税费!F128*MAX(0,MIN(3,核心参数输入!$B$42+3*核心参数输入!$B$125-4*3)-MAX(0,3*核心参数输入!$B$125-4*3)))*J130/10000,0)</f>
        <v>0</v>
      </c>
      <c r="K132" s="9">
        <f>IF(7&lt;=核心参数输入!$B$9*4,(季度经营税费!K128*MAX(0,MIN(3,核心参数输入!$B$42+3*核心参数输入!$B$125-0*3)-MAX(0,3*核心参数输入!$B$125-0*3))+季度经营税费!J128*MAX(0,MIN(3,核心参数输入!$B$42+3*核心参数输入!$B$125-1*3)-MAX(0,3*核心参数输入!$B$125-1*3))+季度经营税费!I128*MAX(0,MIN(3,核心参数输入!$B$42+3*核心参数输入!$B$125-2*3)-MAX(0,3*核心参数输入!$B$125-2*3))+季度经营税费!H128*MAX(0,MIN(3,核心参数输入!$B$42+3*核心参数输入!$B$125-3*3)-MAX(0,3*核心参数输入!$B$125-3*3))+季度经营税费!G128*MAX(0,MIN(3,核心参数输入!$B$42+3*核心参数输入!$B$125-4*3)-MAX(0,3*核心参数输入!$B$125-4*3)))*K130/10000,0)</f>
        <v>0</v>
      </c>
      <c r="L132" s="9">
        <f>IF(8&lt;=核心参数输入!$B$9*4,(季度经营税费!L128*MAX(0,MIN(3,核心参数输入!$B$42+3*核心参数输入!$B$125-0*3)-MAX(0,3*核心参数输入!$B$125-0*3))+季度经营税费!K128*MAX(0,MIN(3,核心参数输入!$B$42+3*核心参数输入!$B$125-1*3)-MAX(0,3*核心参数输入!$B$125-1*3))+季度经营税费!J128*MAX(0,MIN(3,核心参数输入!$B$42+3*核心参数输入!$B$125-2*3)-MAX(0,3*核心参数输入!$B$125-2*3))+季度经营税费!I128*MAX(0,MIN(3,核心参数输入!$B$42+3*核心参数输入!$B$125-3*3)-MAX(0,3*核心参数输入!$B$125-3*3))+季度经营税费!H128*MAX(0,MIN(3,核心参数输入!$B$42+3*核心参数输入!$B$125-4*3)-MAX(0,3*核心参数输入!$B$125-4*3)))*L130/10000,0)</f>
        <v>0</v>
      </c>
      <c r="M132" s="9">
        <f>IF(9&lt;=核心参数输入!$B$9*4,(季度经营税费!M128*MAX(0,MIN(3,核心参数输入!$B$42+3*核心参数输入!$B$125-0*3)-MAX(0,3*核心参数输入!$B$125-0*3))+季度经营税费!L128*MAX(0,MIN(3,核心参数输入!$B$42+3*核心参数输入!$B$125-1*3)-MAX(0,3*核心参数输入!$B$125-1*3))+季度经营税费!K128*MAX(0,MIN(3,核心参数输入!$B$42+3*核心参数输入!$B$125-2*3)-MAX(0,3*核心参数输入!$B$125-2*3))+季度经营税费!J128*MAX(0,MIN(3,核心参数输入!$B$42+3*核心参数输入!$B$125-3*3)-MAX(0,3*核心参数输入!$B$125-3*3))+季度经营税费!I128*MAX(0,MIN(3,核心参数输入!$B$42+3*核心参数输入!$B$125-4*3)-MAX(0,3*核心参数输入!$B$125-4*3)))*M130/10000,0)</f>
        <v>0</v>
      </c>
      <c r="N132" s="9">
        <f>IF(10&lt;=核心参数输入!$B$9*4,(季度经营税费!N128*MAX(0,MIN(3,核心参数输入!$B$42+3*核心参数输入!$B$125-0*3)-MAX(0,3*核心参数输入!$B$125-0*3))+季度经营税费!M128*MAX(0,MIN(3,核心参数输入!$B$42+3*核心参数输入!$B$125-1*3)-MAX(0,3*核心参数输入!$B$125-1*3))+季度经营税费!L128*MAX(0,MIN(3,核心参数输入!$B$42+3*核心参数输入!$B$125-2*3)-MAX(0,3*核心参数输入!$B$125-2*3))+季度经营税费!K128*MAX(0,MIN(3,核心参数输入!$B$42+3*核心参数输入!$B$125-3*3)-MAX(0,3*核心参数输入!$B$125-3*3))+季度经营税费!J128*MAX(0,MIN(3,核心参数输入!$B$42+3*核心参数输入!$B$125-4*3)-MAX(0,3*核心参数输入!$B$125-4*3)))*N130/10000,0)</f>
        <v>0</v>
      </c>
      <c r="O132" s="9">
        <f>IF(11&lt;=核心参数输入!$B$9*4,(季度经营税费!O128*MAX(0,MIN(3,核心参数输入!$B$42+3*核心参数输入!$B$125-0*3)-MAX(0,3*核心参数输入!$B$125-0*3))+季度经营税费!N128*MAX(0,MIN(3,核心参数输入!$B$42+3*核心参数输入!$B$125-1*3)-MAX(0,3*核心参数输入!$B$125-1*3))+季度经营税费!M128*MAX(0,MIN(3,核心参数输入!$B$42+3*核心参数输入!$B$125-2*3)-MAX(0,3*核心参数输入!$B$125-2*3))+季度经营税费!L128*MAX(0,MIN(3,核心参数输入!$B$42+3*核心参数输入!$B$125-3*3)-MAX(0,3*核心参数输入!$B$125-3*3))+季度经营税费!K128*MAX(0,MIN(3,核心参数输入!$B$42+3*核心参数输入!$B$125-4*3)-MAX(0,3*核心参数输入!$B$125-4*3)))*O130/10000,0)</f>
        <v>0</v>
      </c>
      <c r="P132" s="9">
        <f>IF(12&lt;=核心参数输入!$B$9*4,(季度经营税费!P128*MAX(0,MIN(3,核心参数输入!$B$42+3*核心参数输入!$B$125-0*3)-MAX(0,3*核心参数输入!$B$125-0*3))+季度经营税费!O128*MAX(0,MIN(3,核心参数输入!$B$42+3*核心参数输入!$B$125-1*3)-MAX(0,3*核心参数输入!$B$125-1*3))+季度经营税费!N128*MAX(0,MIN(3,核心参数输入!$B$42+3*核心参数输入!$B$125-2*3)-MAX(0,3*核心参数输入!$B$125-2*3))+季度经营税费!M128*MAX(0,MIN(3,核心参数输入!$B$42+3*核心参数输入!$B$125-3*3)-MAX(0,3*核心参数输入!$B$125-3*3))+季度经营税费!L128*MAX(0,MIN(3,核心参数输入!$B$42+3*核心参数输入!$B$125-4*3)-MAX(0,3*核心参数输入!$B$125-4*3)))*P130/10000,0)</f>
        <v>0</v>
      </c>
      <c r="Q132" s="9">
        <f>IF(13&lt;=核心参数输入!$B$9*4,(季度经营税费!Q128*MAX(0,MIN(3,核心参数输入!$B$42+3*核心参数输入!$B$125-0*3)-MAX(0,3*核心参数输入!$B$125-0*3))+季度经营税费!P128*MAX(0,MIN(3,核心参数输入!$B$42+3*核心参数输入!$B$125-1*3)-MAX(0,3*核心参数输入!$B$125-1*3))+季度经营税费!O128*MAX(0,MIN(3,核心参数输入!$B$42+3*核心参数输入!$B$125-2*3)-MAX(0,3*核心参数输入!$B$125-2*3))+季度经营税费!N128*MAX(0,MIN(3,核心参数输入!$B$42+3*核心参数输入!$B$125-3*3)-MAX(0,3*核心参数输入!$B$125-3*3))+季度经营税费!M128*MAX(0,MIN(3,核心参数输入!$B$42+3*核心参数输入!$B$125-4*3)-MAX(0,3*核心参数输入!$B$125-4*3)))*Q130/10000,0)</f>
        <v>21.323250000000002</v>
      </c>
      <c r="R132" s="9">
        <f>IF(14&lt;=核心参数输入!$B$9*4,(季度经营税费!R128*MAX(0,MIN(3,核心参数输入!$B$42+3*核心参数输入!$B$125-0*3)-MAX(0,3*核心参数输入!$B$125-0*3))+季度经营税费!Q128*MAX(0,MIN(3,核心参数输入!$B$42+3*核心参数输入!$B$125-1*3)-MAX(0,3*核心参数输入!$B$125-1*3))+季度经营税费!P128*MAX(0,MIN(3,核心参数输入!$B$42+3*核心参数输入!$B$125-2*3)-MAX(0,3*核心参数输入!$B$125-2*3))+季度经营税费!O128*MAX(0,MIN(3,核心参数输入!$B$42+3*核心参数输入!$B$125-3*3)-MAX(0,3*核心参数输入!$B$125-3*3))+季度经营税费!N128*MAX(0,MIN(3,核心参数输入!$B$42+3*核心参数输入!$B$125-4*3)-MAX(0,3*核心参数输入!$B$125-4*3)))*R130/10000,0)</f>
        <v>42.646500000000003</v>
      </c>
      <c r="S132" s="9">
        <f>IF(15&lt;=核心参数输入!$B$9*4,(季度经营税费!S128*MAX(0,MIN(3,核心参数输入!$B$42+3*核心参数输入!$B$125-0*3)-MAX(0,3*核心参数输入!$B$125-0*3))+季度经营税费!R128*MAX(0,MIN(3,核心参数输入!$B$42+3*核心参数输入!$B$125-1*3)-MAX(0,3*核心参数输入!$B$125-1*3))+季度经营税费!Q128*MAX(0,MIN(3,核心参数输入!$B$42+3*核心参数输入!$B$125-2*3)-MAX(0,3*核心参数输入!$B$125-2*3))+季度经营税费!P128*MAX(0,MIN(3,核心参数输入!$B$42+3*核心参数输入!$B$125-3*3)-MAX(0,3*核心参数输入!$B$125-3*3))+季度经营税费!O128*MAX(0,MIN(3,核心参数输入!$B$42+3*核心参数输入!$B$125-4*3)-MAX(0,3*核心参数输入!$B$125-4*3)))*S130/10000,0)</f>
        <v>42.646500000000003</v>
      </c>
      <c r="T132" s="9">
        <f>IF(16&lt;=核心参数输入!$B$9*4,(季度经营税费!T128*MAX(0,MIN(3,核心参数输入!$B$42+3*核心参数输入!$B$125-0*3)-MAX(0,3*核心参数输入!$B$125-0*3))+季度经营税费!S128*MAX(0,MIN(3,核心参数输入!$B$42+3*核心参数输入!$B$125-1*3)-MAX(0,3*核心参数输入!$B$125-1*3))+季度经营税费!R128*MAX(0,MIN(3,核心参数输入!$B$42+3*核心参数输入!$B$125-2*3)-MAX(0,3*核心参数输入!$B$125-2*3))+季度经营税费!Q128*MAX(0,MIN(3,核心参数输入!$B$42+3*核心参数输入!$B$125-3*3)-MAX(0,3*核心参数输入!$B$125-3*3))+季度经营税费!P128*MAX(0,MIN(3,核心参数输入!$B$42+3*核心参数输入!$B$125-4*3)-MAX(0,3*核心参数输入!$B$125-4*3)))*T130/10000,0)</f>
        <v>42.646500000000003</v>
      </c>
      <c r="U132" s="9">
        <f>IF(17&lt;=核心参数输入!$B$9*4,(季度经营税费!U128*MAX(0,MIN(3,核心参数输入!$B$42+3*核心参数输入!$B$125-0*3)-MAX(0,3*核心参数输入!$B$125-0*3))+季度经营税费!T128*MAX(0,MIN(3,核心参数输入!$B$42+3*核心参数输入!$B$125-1*3)-MAX(0,3*核心参数输入!$B$125-1*3))+季度经营税费!S128*MAX(0,MIN(3,核心参数输入!$B$42+3*核心参数输入!$B$125-2*3)-MAX(0,3*核心参数输入!$B$125-2*3))+季度经营税费!R128*MAX(0,MIN(3,核心参数输入!$B$42+3*核心参数输入!$B$125-3*3)-MAX(0,3*核心参数输入!$B$125-3*3))+季度经营税费!Q128*MAX(0,MIN(3,核心参数输入!$B$42+3*核心参数输入!$B$125-4*3)-MAX(0,3*核心参数输入!$B$125-4*3)))*U130/10000,0)</f>
        <v>32.464648124999982</v>
      </c>
      <c r="V132" s="9">
        <f>IF(18&lt;=核心参数输入!$B$9*4,(季度经营税费!V128*MAX(0,MIN(3,核心参数输入!$B$42+3*核心参数输入!$B$125-0*3)-MAX(0,3*核心参数输入!$B$125-0*3))+季度经营税费!U128*MAX(0,MIN(3,核心参数输入!$B$42+3*核心参数输入!$B$125-1*3)-MAX(0,3*核心参数输入!$B$125-1*3))+季度经营税费!T128*MAX(0,MIN(3,核心参数输入!$B$42+3*核心参数输入!$B$125-2*3)-MAX(0,3*核心参数输入!$B$125-2*3))+季度经营税费!S128*MAX(0,MIN(3,核心参数输入!$B$42+3*核心参数输入!$B$125-3*3)-MAX(0,3*核心参数输入!$B$125-3*3))+季度经营税费!R128*MAX(0,MIN(3,核心参数输入!$B$42+3*核心参数输入!$B$125-4*3)-MAX(0,3*核心参数输入!$B$125-4*3)))*V130/10000,0)</f>
        <v>21.643098749999986</v>
      </c>
      <c r="W132" s="9">
        <f>IF(19&lt;=核心参数输入!$B$9*4,(季度经营税费!W128*MAX(0,MIN(3,核心参数输入!$B$42+3*核心参数输入!$B$125-0*3)-MAX(0,3*核心参数输入!$B$125-0*3))+季度经营税费!V128*MAX(0,MIN(3,核心参数输入!$B$42+3*核心参数输入!$B$125-1*3)-MAX(0,3*核心参数输入!$B$125-1*3))+季度经营税费!U128*MAX(0,MIN(3,核心参数输入!$B$42+3*核心参数输入!$B$125-2*3)-MAX(0,3*核心参数输入!$B$125-2*3))+季度经营税费!T128*MAX(0,MIN(3,核心参数输入!$B$42+3*核心参数输入!$B$125-3*3)-MAX(0,3*核心参数输入!$B$125-3*3))+季度经营税费!S128*MAX(0,MIN(3,核心参数输入!$B$42+3*核心参数输入!$B$125-4*3)-MAX(0,3*核心参数输入!$B$125-4*3)))*W130/10000,0)</f>
        <v>21.643098750000011</v>
      </c>
      <c r="X132" s="9">
        <f>IF(20&lt;=核心参数输入!$B$9*4,(季度经营税费!X128*MAX(0,MIN(3,核心参数输入!$B$42+3*核心参数输入!$B$125-0*3)-MAX(0,3*核心参数输入!$B$125-0*3))+季度经营税费!W128*MAX(0,MIN(3,核心参数输入!$B$42+3*核心参数输入!$B$125-1*3)-MAX(0,3*核心参数输入!$B$125-1*3))+季度经营税费!V128*MAX(0,MIN(3,核心参数输入!$B$42+3*核心参数输入!$B$125-2*3)-MAX(0,3*核心参数输入!$B$125-2*3))+季度经营税费!U128*MAX(0,MIN(3,核心参数输入!$B$42+3*核心参数输入!$B$125-3*3)-MAX(0,3*核心参数输入!$B$125-3*3))+季度经营税费!T128*MAX(0,MIN(3,核心参数输入!$B$42+3*核心参数输入!$B$125-4*3)-MAX(0,3*核心参数输入!$B$125-4*3)))*X130/10000,0)</f>
        <v>21.643098749999986</v>
      </c>
      <c r="Y132" s="9">
        <f>IF(21&lt;=核心参数输入!$B$9*4,(季度经营税费!Y128*MAX(0,MIN(3,核心参数输入!$B$42+3*核心参数输入!$B$125-0*3)-MAX(0,3*核心参数输入!$B$125-0*3))+季度经营税费!X128*MAX(0,MIN(3,核心参数输入!$B$42+3*核心参数输入!$B$125-1*3)-MAX(0,3*核心参数输入!$B$125-1*3))+季度经营税费!W128*MAX(0,MIN(3,核心参数输入!$B$42+3*核心参数输入!$B$125-2*3)-MAX(0,3*核心参数输入!$B$125-2*3))+季度经营税费!V128*MAX(0,MIN(3,核心参数输入!$B$42+3*核心参数输入!$B$125-3*3)-MAX(0,3*核心参数输入!$B$125-3*3))+季度经营税费!U128*MAX(0,MIN(3,核心参数输入!$B$42+3*核心参数输入!$B$125-4*3)-MAX(0,3*核心参数输入!$B$125-4*3)))*Y130/10000,0)</f>
        <v>19.22177707734372</v>
      </c>
      <c r="Z132" s="9">
        <f>IF(22&lt;=核心参数输入!$B$9*4,(季度经营税费!Z128*MAX(0,MIN(3,核心参数输入!$B$42+3*核心参数输入!$B$125-0*3)-MAX(0,3*核心参数输入!$B$125-0*3))+季度经营税费!Y128*MAX(0,MIN(3,核心参数输入!$B$42+3*核心参数输入!$B$125-1*3)-MAX(0,3*核心参数输入!$B$125-1*3))+季度经营税费!X128*MAX(0,MIN(3,核心参数输入!$B$42+3*核心参数输入!$B$125-2*3)-MAX(0,3*核心参数输入!$B$125-2*3))+季度经营税费!W128*MAX(0,MIN(3,核心参数输入!$B$42+3*核心参数输入!$B$125-3*3)-MAX(0,3*核心参数输入!$B$125-3*3))+季度经营税费!V128*MAX(0,MIN(3,核心参数输入!$B$42+3*核心参数输入!$B$125-4*3)-MAX(0,3*核心参数输入!$B$125-4*3)))*Z130/10000,0)</f>
        <v>16.475808923437523</v>
      </c>
      <c r="AA132" s="9">
        <f>IF(23&lt;=核心参数输入!$B$9*4,(季度经营税费!AA128*MAX(0,MIN(3,核心参数输入!$B$42+3*核心参数输入!$B$125-0*3)-MAX(0,3*核心参数输入!$B$125-0*3))+季度经营税费!Z128*MAX(0,MIN(3,核心参数输入!$B$42+3*核心参数输入!$B$125-1*3)-MAX(0,3*核心参数输入!$B$125-1*3))+季度经营税费!Y128*MAX(0,MIN(3,核心参数输入!$B$42+3*核心参数输入!$B$125-2*3)-MAX(0,3*核心参数输入!$B$125-2*3))+季度经营税费!X128*MAX(0,MIN(3,核心参数输入!$B$42+3*核心参数输入!$B$125-3*3)-MAX(0,3*核心参数输入!$B$125-3*3))+季度经营税费!W128*MAX(0,MIN(3,核心参数输入!$B$42+3*核心参数输入!$B$125-4*3)-MAX(0,3*核心参数输入!$B$125-4*3)))*AA130/10000,0)</f>
        <v>16.475808923437494</v>
      </c>
      <c r="AB132" s="9">
        <f>IF(24&lt;=核心参数输入!$B$9*4,(季度经营税费!AB128*MAX(0,MIN(3,核心参数输入!$B$42+3*核心参数输入!$B$125-0*3)-MAX(0,3*核心参数输入!$B$125-0*3))+季度经营税费!AA128*MAX(0,MIN(3,核心参数输入!$B$42+3*核心参数输入!$B$125-1*3)-MAX(0,3*核心参数输入!$B$125-1*3))+季度经营税费!Z128*MAX(0,MIN(3,核心参数输入!$B$42+3*核心参数输入!$B$125-2*3)-MAX(0,3*核心参数输入!$B$125-2*3))+季度经营税费!Y128*MAX(0,MIN(3,核心参数输入!$B$42+3*核心参数输入!$B$125-3*3)-MAX(0,3*核心参数输入!$B$125-3*3))+季度经营税费!X128*MAX(0,MIN(3,核心参数输入!$B$42+3*核心参数输入!$B$125-4*3)-MAX(0,3*核心参数输入!$B$125-4*3)))*AB130/10000,0)</f>
        <v>16.475808923437469</v>
      </c>
      <c r="AC132" s="9">
        <f>IF(25&lt;=核心参数输入!$B$9*4,(季度经营税费!AC128*MAX(0,MIN(3,核心参数输入!$B$42+3*核心参数输入!$B$125-0*3)-MAX(0,3*核心参数输入!$B$125-0*3))+季度经营税费!AB128*MAX(0,MIN(3,核心参数输入!$B$42+3*核心参数输入!$B$125-1*3)-MAX(0,3*核心参数输入!$B$125-1*3))+季度经营税费!AA128*MAX(0,MIN(3,核心参数输入!$B$42+3*核心参数输入!$B$125-2*3)-MAX(0,3*核心参数输入!$B$125-2*3))+季度经营税费!Z128*MAX(0,MIN(3,核心参数输入!$B$42+3*核心参数输入!$B$125-3*3)-MAX(0,3*核心参数输入!$B$125-3*3))+季度经营税费!Y128*MAX(0,MIN(3,核心参数输入!$B$42+3*核心参数输入!$B$125-4*3)-MAX(0,3*核心参数输入!$B$125-4*3)))*AC130/10000,0)</f>
        <v>11.14863070485937</v>
      </c>
      <c r="AD132" s="9">
        <f>IF(26&lt;=核心参数输入!$B$9*4,(季度经营税费!AD128*MAX(0,MIN(3,核心参数输入!$B$42+3*核心参数输入!$B$125-0*3)-MAX(0,3*核心参数输入!$B$125-0*3))+季度经营税费!AC128*MAX(0,MIN(3,核心参数输入!$B$42+3*核心参数输入!$B$125-1*3)-MAX(0,3*核心参数输入!$B$125-1*3))+季度经营税费!AB128*MAX(0,MIN(3,核心参数输入!$B$42+3*核心参数输入!$B$125-2*3)-MAX(0,3*核心参数输入!$B$125-2*3))+季度经营税费!AA128*MAX(0,MIN(3,核心参数输入!$B$42+3*核心参数输入!$B$125-3*3)-MAX(0,3*核心参数输入!$B$125-3*3))+季度经营税费!Z128*MAX(0,MIN(3,核心参数输入!$B$42+3*核心参数输入!$B$125-4*3)-MAX(0,3*核心参数输入!$B$125-4*3)))*AD130/10000,0)</f>
        <v>5.5743153524296849</v>
      </c>
      <c r="AE132" s="9">
        <f>IF(27&lt;=核心参数输入!$B$9*4,(季度经营税费!AE128*MAX(0,MIN(3,核心参数输入!$B$42+3*核心参数输入!$B$125-0*3)-MAX(0,3*核心参数输入!$B$125-0*3))+季度经营税费!AD128*MAX(0,MIN(3,核心参数输入!$B$42+3*核心参数输入!$B$125-1*3)-MAX(0,3*核心参数输入!$B$125-1*3))+季度经营税费!AC128*MAX(0,MIN(3,核心参数输入!$B$42+3*核心参数输入!$B$125-2*3)-MAX(0,3*核心参数输入!$B$125-2*3))+季度经营税费!AB128*MAX(0,MIN(3,核心参数输入!$B$42+3*核心参数输入!$B$125-3*3)-MAX(0,3*核心参数输入!$B$125-3*3))+季度经营税费!AA128*MAX(0,MIN(3,核心参数输入!$B$42+3*核心参数输入!$B$125-4*3)-MAX(0,3*核心参数输入!$B$125-4*3)))*AE130/10000,0)</f>
        <v>5.5743153524297124</v>
      </c>
      <c r="AF132" s="9">
        <f>IF(28&lt;=核心参数输入!$B$9*4,(季度经营税费!AF128*MAX(0,MIN(3,核心参数输入!$B$42+3*核心参数输入!$B$125-0*3)-MAX(0,3*核心参数输入!$B$125-0*3))+季度经营税费!AE128*MAX(0,MIN(3,核心参数输入!$B$42+3*核心参数输入!$B$125-1*3)-MAX(0,3*核心参数输入!$B$125-1*3))+季度经营税费!AD128*MAX(0,MIN(3,核心参数输入!$B$42+3*核心参数输入!$B$125-2*3)-MAX(0,3*核心参数输入!$B$125-2*3))+季度经营税费!AC128*MAX(0,MIN(3,核心参数输入!$B$42+3*核心参数输入!$B$125-3*3)-MAX(0,3*核心参数输入!$B$125-3*3))+季度经营税费!AB128*MAX(0,MIN(3,核心参数输入!$B$42+3*核心参数输入!$B$125-4*3)-MAX(0,3*核心参数输入!$B$125-4*3)))*AF130/10000,0)</f>
        <v>5.5743153524297124</v>
      </c>
      <c r="AG132" s="9">
        <f>IF(29&lt;=核心参数输入!$B$9*4,(季度经营税费!AG128*MAX(0,MIN(3,核心参数输入!$B$42+3*核心参数输入!$B$125-0*3)-MAX(0,3*核心参数输入!$B$125-0*3))+季度经营税费!AF128*MAX(0,MIN(3,核心参数输入!$B$42+3*核心参数输入!$B$125-1*3)-MAX(0,3*核心参数输入!$B$125-1*3))+季度经营税费!AE128*MAX(0,MIN(3,核心参数输入!$B$42+3*核心参数输入!$B$125-2*3)-MAX(0,3*核心参数输入!$B$125-2*3))+季度经营税费!AD128*MAX(0,MIN(3,核心参数输入!$B$42+3*核心参数输入!$B$125-3*3)-MAX(0,3*核心参数输入!$B$125-3*3))+季度经营税费!AC128*MAX(0,MIN(3,核心参数输入!$B$42+3*核心参数输入!$B$125-4*3)-MAX(0,3*核心参数输入!$B$125-4*3)))*AG130/10000,0)</f>
        <v>2.8289650413580651</v>
      </c>
      <c r="AH132" s="9">
        <f>IF(30&lt;=核心参数输入!$B$9*4,(季度经营税费!AH128*MAX(0,MIN(3,核心参数输入!$B$42+3*核心参数输入!$B$125-0*3)-MAX(0,3*核心参数输入!$B$125-0*3))+季度经营税费!AG128*MAX(0,MIN(3,核心参数输入!$B$42+3*核心参数输入!$B$125-1*3)-MAX(0,3*核心参数输入!$B$125-1*3))+季度经营税费!AF128*MAX(0,MIN(3,核心参数输入!$B$42+3*核心参数输入!$B$125-2*3)-MAX(0,3*核心参数输入!$B$125-2*3))+季度经营税费!AE128*MAX(0,MIN(3,核心参数输入!$B$42+3*核心参数输入!$B$125-3*3)-MAX(0,3*核心参数输入!$B$125-3*3))+季度经营税费!AD128*MAX(0,MIN(3,核心参数输入!$B$42+3*核心参数输入!$B$125-4*3)-MAX(0,3*核心参数输入!$B$125-4*3)))*AH130/10000,0)</f>
        <v>0</v>
      </c>
      <c r="AI132" s="9">
        <f>IF(31&lt;=核心参数输入!$B$9*4,(季度经营税费!AI128*MAX(0,MIN(3,核心参数输入!$B$42+3*核心参数输入!$B$125-0*3)-MAX(0,3*核心参数输入!$B$125-0*3))+季度经营税费!AH128*MAX(0,MIN(3,核心参数输入!$B$42+3*核心参数输入!$B$125-1*3)-MAX(0,3*核心参数输入!$B$125-1*3))+季度经营税费!AG128*MAX(0,MIN(3,核心参数输入!$B$42+3*核心参数输入!$B$125-2*3)-MAX(0,3*核心参数输入!$B$125-2*3))+季度经营税费!AF128*MAX(0,MIN(3,核心参数输入!$B$42+3*核心参数输入!$B$125-3*3)-MAX(0,3*核心参数输入!$B$125-3*3))+季度经营税费!AE128*MAX(0,MIN(3,核心参数输入!$B$42+3*核心参数输入!$B$125-4*3)-MAX(0,3*核心参数输入!$B$125-4*3)))*AI130/10000,0)</f>
        <v>0</v>
      </c>
      <c r="AJ132" s="9">
        <f>IF(32&lt;=核心参数输入!$B$9*4,(季度经营税费!AJ128*MAX(0,MIN(3,核心参数输入!$B$42+3*核心参数输入!$B$125-0*3)-MAX(0,3*核心参数输入!$B$125-0*3))+季度经营税费!AI128*MAX(0,MIN(3,核心参数输入!$B$42+3*核心参数输入!$B$125-1*3)-MAX(0,3*核心参数输入!$B$125-1*3))+季度经营税费!AH128*MAX(0,MIN(3,核心参数输入!$B$42+3*核心参数输入!$B$125-2*3)-MAX(0,3*核心参数输入!$B$125-2*3))+季度经营税费!AG128*MAX(0,MIN(3,核心参数输入!$B$42+3*核心参数输入!$B$125-3*3)-MAX(0,3*核心参数输入!$B$125-3*3))+季度经营税费!AF128*MAX(0,MIN(3,核心参数输入!$B$42+3*核心参数输入!$B$125-4*3)-MAX(0,3*核心参数输入!$B$125-4*3)))*AJ130/10000,0)</f>
        <v>0</v>
      </c>
      <c r="AK132" s="9">
        <f>IF(33&lt;=核心参数输入!$B$9*4,(季度经营税费!AK128*MAX(0,MIN(3,核心参数输入!$B$42+3*核心参数输入!$B$125-0*3)-MAX(0,3*核心参数输入!$B$125-0*3))+季度经营税费!AJ128*MAX(0,MIN(3,核心参数输入!$B$42+3*核心参数输入!$B$125-1*3)-MAX(0,3*核心参数输入!$B$125-1*3))+季度经营税费!AI128*MAX(0,MIN(3,核心参数输入!$B$42+3*核心参数输入!$B$125-2*3)-MAX(0,3*核心参数输入!$B$125-2*3))+季度经营税费!AH128*MAX(0,MIN(3,核心参数输入!$B$42+3*核心参数输入!$B$125-3*3)-MAX(0,3*核心参数输入!$B$125-3*3))+季度经营税费!AG128*MAX(0,MIN(3,核心参数输入!$B$42+3*核心参数输入!$B$125-4*3)-MAX(0,3*核心参数输入!$B$125-4*3)))*AK130/10000,0)</f>
        <v>0</v>
      </c>
      <c r="AL132" s="9">
        <f>IF(34&lt;=核心参数输入!$B$9*4,(季度经营税费!AL128*MAX(0,MIN(3,核心参数输入!$B$42+3*核心参数输入!$B$125-0*3)-MAX(0,3*核心参数输入!$B$125-0*3))+季度经营税费!AK128*MAX(0,MIN(3,核心参数输入!$B$42+3*核心参数输入!$B$125-1*3)-MAX(0,3*核心参数输入!$B$125-1*3))+季度经营税费!AJ128*MAX(0,MIN(3,核心参数输入!$B$42+3*核心参数输入!$B$125-2*3)-MAX(0,3*核心参数输入!$B$125-2*3))+季度经营税费!AI128*MAX(0,MIN(3,核心参数输入!$B$42+3*核心参数输入!$B$125-3*3)-MAX(0,3*核心参数输入!$B$125-3*3))+季度经营税费!AH128*MAX(0,MIN(3,核心参数输入!$B$42+3*核心参数输入!$B$125-4*3)-MAX(0,3*核心参数输入!$B$125-4*3)))*AL130/10000,0)</f>
        <v>0</v>
      </c>
      <c r="AM132" s="9">
        <f>IF(35&lt;=核心参数输入!$B$9*4,(季度经营税费!AM128*MAX(0,MIN(3,核心参数输入!$B$42+3*核心参数输入!$B$125-0*3)-MAX(0,3*核心参数输入!$B$125-0*3))+季度经营税费!AL128*MAX(0,MIN(3,核心参数输入!$B$42+3*核心参数输入!$B$125-1*3)-MAX(0,3*核心参数输入!$B$125-1*3))+季度经营税费!AK128*MAX(0,MIN(3,核心参数输入!$B$42+3*核心参数输入!$B$125-2*3)-MAX(0,3*核心参数输入!$B$125-2*3))+季度经营税费!AJ128*MAX(0,MIN(3,核心参数输入!$B$42+3*核心参数输入!$B$125-3*3)-MAX(0,3*核心参数输入!$B$125-3*3))+季度经营税费!AI128*MAX(0,MIN(3,核心参数输入!$B$42+3*核心参数输入!$B$125-4*3)-MAX(0,3*核心参数输入!$B$125-4*3)))*AM130/10000,0)</f>
        <v>0</v>
      </c>
      <c r="AN132" s="9">
        <f>IF(36&lt;=核心参数输入!$B$9*4,(季度经营税费!AN128*MAX(0,MIN(3,核心参数输入!$B$42+3*核心参数输入!$B$125-0*3)-MAX(0,3*核心参数输入!$B$125-0*3))+季度经营税费!AM128*MAX(0,MIN(3,核心参数输入!$B$42+3*核心参数输入!$B$125-1*3)-MAX(0,3*核心参数输入!$B$125-1*3))+季度经营税费!AL128*MAX(0,MIN(3,核心参数输入!$B$42+3*核心参数输入!$B$125-2*3)-MAX(0,3*核心参数输入!$B$125-2*3))+季度经营税费!AK128*MAX(0,MIN(3,核心参数输入!$B$42+3*核心参数输入!$B$125-3*3)-MAX(0,3*核心参数输入!$B$125-3*3))+季度经营税费!AJ128*MAX(0,MIN(3,核心参数输入!$B$42+3*核心参数输入!$B$125-4*3)-MAX(0,3*核心参数输入!$B$125-4*3)))*AN130/10000,0)</f>
        <v>0</v>
      </c>
      <c r="AO132" s="9">
        <f>IF(37&lt;=核心参数输入!$B$9*4,(季度经营税费!AO128*MAX(0,MIN(3,核心参数输入!$B$42+3*核心参数输入!$B$125-0*3)-MAX(0,3*核心参数输入!$B$125-0*3))+季度经营税费!AN128*MAX(0,MIN(3,核心参数输入!$B$42+3*核心参数输入!$B$125-1*3)-MAX(0,3*核心参数输入!$B$125-1*3))+季度经营税费!AM128*MAX(0,MIN(3,核心参数输入!$B$42+3*核心参数输入!$B$125-2*3)-MAX(0,3*核心参数输入!$B$125-2*3))+季度经营税费!AL128*MAX(0,MIN(3,核心参数输入!$B$42+3*核心参数输入!$B$125-3*3)-MAX(0,3*核心参数输入!$B$125-3*3))+季度经营税费!AK128*MAX(0,MIN(3,核心参数输入!$B$42+3*核心参数输入!$B$125-4*3)-MAX(0,3*核心参数输入!$B$125-4*3)))*AO130/10000,0)</f>
        <v>0</v>
      </c>
      <c r="AP132" s="9">
        <f>IF(38&lt;=核心参数输入!$B$9*4,(季度经营税费!AP128*MAX(0,MIN(3,核心参数输入!$B$42+3*核心参数输入!$B$125-0*3)-MAX(0,3*核心参数输入!$B$125-0*3))+季度经营税费!AO128*MAX(0,MIN(3,核心参数输入!$B$42+3*核心参数输入!$B$125-1*3)-MAX(0,3*核心参数输入!$B$125-1*3))+季度经营税费!AN128*MAX(0,MIN(3,核心参数输入!$B$42+3*核心参数输入!$B$125-2*3)-MAX(0,3*核心参数输入!$B$125-2*3))+季度经营税费!AM128*MAX(0,MIN(3,核心参数输入!$B$42+3*核心参数输入!$B$125-3*3)-MAX(0,3*核心参数输入!$B$125-3*3))+季度经营税费!AL128*MAX(0,MIN(3,核心参数输入!$B$42+3*核心参数输入!$B$125-4*3)-MAX(0,3*核心参数输入!$B$125-4*3)))*AP130/10000,0)</f>
        <v>0</v>
      </c>
      <c r="AQ132" s="9">
        <f>IF(39&lt;=核心参数输入!$B$9*4,(季度经营税费!AQ128*MAX(0,MIN(3,核心参数输入!$B$42+3*核心参数输入!$B$125-0*3)-MAX(0,3*核心参数输入!$B$125-0*3))+季度经营税费!AP128*MAX(0,MIN(3,核心参数输入!$B$42+3*核心参数输入!$B$125-1*3)-MAX(0,3*核心参数输入!$B$125-1*3))+季度经营税费!AO128*MAX(0,MIN(3,核心参数输入!$B$42+3*核心参数输入!$B$125-2*3)-MAX(0,3*核心参数输入!$B$125-2*3))+季度经营税费!AN128*MAX(0,MIN(3,核心参数输入!$B$42+3*核心参数输入!$B$125-3*3)-MAX(0,3*核心参数输入!$B$125-3*3))+季度经营税费!AM128*MAX(0,MIN(3,核心参数输入!$B$42+3*核心参数输入!$B$125-4*3)-MAX(0,3*核心参数输入!$B$125-4*3)))*AQ130/10000,0)</f>
        <v>0</v>
      </c>
      <c r="AR132" s="9">
        <f>IF(40&lt;=核心参数输入!$B$9*4,(季度经营税费!AR128*MAX(0,MIN(3,核心参数输入!$B$42+3*核心参数输入!$B$125-0*3)-MAX(0,3*核心参数输入!$B$125-0*3))+季度经营税费!AQ128*MAX(0,MIN(3,核心参数输入!$B$42+3*核心参数输入!$B$125-1*3)-MAX(0,3*核心参数输入!$B$125-1*3))+季度经营税费!AP128*MAX(0,MIN(3,核心参数输入!$B$42+3*核心参数输入!$B$125-2*3)-MAX(0,3*核心参数输入!$B$125-2*3))+季度经营税费!AO128*MAX(0,MIN(3,核心参数输入!$B$42+3*核心参数输入!$B$125-3*3)-MAX(0,3*核心参数输入!$B$125-3*3))+季度经营税费!AN128*MAX(0,MIN(3,核心参数输入!$B$42+3*核心参数输入!$B$125-4*3)-MAX(0,3*核心参数输入!$B$125-4*3)))*AR130/10000,0)</f>
        <v>0</v>
      </c>
      <c r="AS132" s="9">
        <f>IF(41&lt;=核心参数输入!$B$9*4,(季度经营税费!AS128*MAX(0,MIN(3,核心参数输入!$B$42+3*核心参数输入!$B$125-0*3)-MAX(0,3*核心参数输入!$B$125-0*3))+季度经营税费!AR128*MAX(0,MIN(3,核心参数输入!$B$42+3*核心参数输入!$B$125-1*3)-MAX(0,3*核心参数输入!$B$125-1*3))+季度经营税费!AQ128*MAX(0,MIN(3,核心参数输入!$B$42+3*核心参数输入!$B$125-2*3)-MAX(0,3*核心参数输入!$B$125-2*3))+季度经营税费!AP128*MAX(0,MIN(3,核心参数输入!$B$42+3*核心参数输入!$B$125-3*3)-MAX(0,3*核心参数输入!$B$125-3*3))+季度经营税费!AO128*MAX(0,MIN(3,核心参数输入!$B$42+3*核心参数输入!$B$125-4*3)-MAX(0,3*核心参数输入!$B$125-4*3)))*AS130/10000,0)</f>
        <v>0</v>
      </c>
      <c r="AT132" s="9">
        <f>IF(42&lt;=核心参数输入!$B$9*4,(季度经营税费!AT128*MAX(0,MIN(3,核心参数输入!$B$42+3*核心参数输入!$B$125-0*3)-MAX(0,3*核心参数输入!$B$125-0*3))+季度经营税费!AS128*MAX(0,MIN(3,核心参数输入!$B$42+3*核心参数输入!$B$125-1*3)-MAX(0,3*核心参数输入!$B$125-1*3))+季度经营税费!AR128*MAX(0,MIN(3,核心参数输入!$B$42+3*核心参数输入!$B$125-2*3)-MAX(0,3*核心参数输入!$B$125-2*3))+季度经营税费!AQ128*MAX(0,MIN(3,核心参数输入!$B$42+3*核心参数输入!$B$125-3*3)-MAX(0,3*核心参数输入!$B$125-3*3))+季度经营税费!AP128*MAX(0,MIN(3,核心参数输入!$B$42+3*核心参数输入!$B$125-4*3)-MAX(0,3*核心参数输入!$B$125-4*3)))*AT130/10000,0)</f>
        <v>0</v>
      </c>
      <c r="AU132" s="9">
        <f>IF(43&lt;=核心参数输入!$B$9*4,(季度经营税费!AU128*MAX(0,MIN(3,核心参数输入!$B$42+3*核心参数输入!$B$125-0*3)-MAX(0,3*核心参数输入!$B$125-0*3))+季度经营税费!AT128*MAX(0,MIN(3,核心参数输入!$B$42+3*核心参数输入!$B$125-1*3)-MAX(0,3*核心参数输入!$B$125-1*3))+季度经营税费!AS128*MAX(0,MIN(3,核心参数输入!$B$42+3*核心参数输入!$B$125-2*3)-MAX(0,3*核心参数输入!$B$125-2*3))+季度经营税费!AR128*MAX(0,MIN(3,核心参数输入!$B$42+3*核心参数输入!$B$125-3*3)-MAX(0,3*核心参数输入!$B$125-3*3))+季度经营税费!AQ128*MAX(0,MIN(3,核心参数输入!$B$42+3*核心参数输入!$B$125-4*3)-MAX(0,3*核心参数输入!$B$125-4*3)))*AU130/10000,0)</f>
        <v>0</v>
      </c>
      <c r="AV132" s="9">
        <f>IF(44&lt;=核心参数输入!$B$9*4,(季度经营税费!AV128*MAX(0,MIN(3,核心参数输入!$B$42+3*核心参数输入!$B$125-0*3)-MAX(0,3*核心参数输入!$B$125-0*3))+季度经营税费!AU128*MAX(0,MIN(3,核心参数输入!$B$42+3*核心参数输入!$B$125-1*3)-MAX(0,3*核心参数输入!$B$125-1*3))+季度经营税费!AT128*MAX(0,MIN(3,核心参数输入!$B$42+3*核心参数输入!$B$125-2*3)-MAX(0,3*核心参数输入!$B$125-2*3))+季度经营税费!AS128*MAX(0,MIN(3,核心参数输入!$B$42+3*核心参数输入!$B$125-3*3)-MAX(0,3*核心参数输入!$B$125-3*3))+季度经营税费!AR128*MAX(0,MIN(3,核心参数输入!$B$42+3*核心参数输入!$B$125-4*3)-MAX(0,3*核心参数输入!$B$125-4*3)))*AV130/10000,0)</f>
        <v>0</v>
      </c>
      <c r="AW132" s="9">
        <f>IF(45&lt;=核心参数输入!$B$9*4,(季度经营税费!AW128*MAX(0,MIN(3,核心参数输入!$B$42+3*核心参数输入!$B$125-0*3)-MAX(0,3*核心参数输入!$B$125-0*3))+季度经营税费!AV128*MAX(0,MIN(3,核心参数输入!$B$42+3*核心参数输入!$B$125-1*3)-MAX(0,3*核心参数输入!$B$125-1*3))+季度经营税费!AU128*MAX(0,MIN(3,核心参数输入!$B$42+3*核心参数输入!$B$125-2*3)-MAX(0,3*核心参数输入!$B$125-2*3))+季度经营税费!AT128*MAX(0,MIN(3,核心参数输入!$B$42+3*核心参数输入!$B$125-3*3)-MAX(0,3*核心参数输入!$B$125-3*3))+季度经营税费!AS128*MAX(0,MIN(3,核心参数输入!$B$42+3*核心参数输入!$B$125-4*3)-MAX(0,3*核心参数输入!$B$125-4*3)))*AW130/10000,0)</f>
        <v>0</v>
      </c>
      <c r="AX132" s="9">
        <f>IF(46&lt;=核心参数输入!$B$9*4,(季度经营税费!AX128*MAX(0,MIN(3,核心参数输入!$B$42+3*核心参数输入!$B$125-0*3)-MAX(0,3*核心参数输入!$B$125-0*3))+季度经营税费!AW128*MAX(0,MIN(3,核心参数输入!$B$42+3*核心参数输入!$B$125-1*3)-MAX(0,3*核心参数输入!$B$125-1*3))+季度经营税费!AV128*MAX(0,MIN(3,核心参数输入!$B$42+3*核心参数输入!$B$125-2*3)-MAX(0,3*核心参数输入!$B$125-2*3))+季度经营税费!AU128*MAX(0,MIN(3,核心参数输入!$B$42+3*核心参数输入!$B$125-3*3)-MAX(0,3*核心参数输入!$B$125-3*3))+季度经营税费!AT128*MAX(0,MIN(3,核心参数输入!$B$42+3*核心参数输入!$B$125-4*3)-MAX(0,3*核心参数输入!$B$125-4*3)))*AX130/10000,0)</f>
        <v>0</v>
      </c>
      <c r="AY132" s="9">
        <f>IF(47&lt;=核心参数输入!$B$9*4,(季度经营税费!AY128*MAX(0,MIN(3,核心参数输入!$B$42+3*核心参数输入!$B$125-0*3)-MAX(0,3*核心参数输入!$B$125-0*3))+季度经营税费!AX128*MAX(0,MIN(3,核心参数输入!$B$42+3*核心参数输入!$B$125-1*3)-MAX(0,3*核心参数输入!$B$125-1*3))+季度经营税费!AW128*MAX(0,MIN(3,核心参数输入!$B$42+3*核心参数输入!$B$125-2*3)-MAX(0,3*核心参数输入!$B$125-2*3))+季度经营税费!AV128*MAX(0,MIN(3,核心参数输入!$B$42+3*核心参数输入!$B$125-3*3)-MAX(0,3*核心参数输入!$B$125-3*3))+季度经营税费!AU128*MAX(0,MIN(3,核心参数输入!$B$42+3*核心参数输入!$B$125-4*3)-MAX(0,3*核心参数输入!$B$125-4*3)))*AY130/10000,0)</f>
        <v>0</v>
      </c>
      <c r="AZ132" s="9">
        <f>IF(48&lt;=核心参数输入!$B$9*4,(季度经营税费!AZ128*MAX(0,MIN(3,核心参数输入!$B$42+3*核心参数输入!$B$125-0*3)-MAX(0,3*核心参数输入!$B$125-0*3))+季度经营税费!AY128*MAX(0,MIN(3,核心参数输入!$B$42+3*核心参数输入!$B$125-1*3)-MAX(0,3*核心参数输入!$B$125-1*3))+季度经营税费!AX128*MAX(0,MIN(3,核心参数输入!$B$42+3*核心参数输入!$B$125-2*3)-MAX(0,3*核心参数输入!$B$125-2*3))+季度经营税费!AW128*MAX(0,MIN(3,核心参数输入!$B$42+3*核心参数输入!$B$125-3*3)-MAX(0,3*核心参数输入!$B$125-3*3))+季度经营税费!AV128*MAX(0,MIN(3,核心参数输入!$B$42+3*核心参数输入!$B$125-4*3)-MAX(0,3*核心参数输入!$B$125-4*3)))*AZ130/10000,0)</f>
        <v>0</v>
      </c>
      <c r="BA132" s="9">
        <f>IF(49&lt;=核心参数输入!$B$9*4,(季度经营税费!BA128*MAX(0,MIN(3,核心参数输入!$B$42+3*核心参数输入!$B$125-0*3)-MAX(0,3*核心参数输入!$B$125-0*3))+季度经营税费!AZ128*MAX(0,MIN(3,核心参数输入!$B$42+3*核心参数输入!$B$125-1*3)-MAX(0,3*核心参数输入!$B$125-1*3))+季度经营税费!AY128*MAX(0,MIN(3,核心参数输入!$B$42+3*核心参数输入!$B$125-2*3)-MAX(0,3*核心参数输入!$B$125-2*3))+季度经营税费!AX128*MAX(0,MIN(3,核心参数输入!$B$42+3*核心参数输入!$B$125-3*3)-MAX(0,3*核心参数输入!$B$125-3*3))+季度经营税费!AW128*MAX(0,MIN(3,核心参数输入!$B$42+3*核心参数输入!$B$125-4*3)-MAX(0,3*核心参数输入!$B$125-4*3)))*BA130/10000,0)</f>
        <v>0</v>
      </c>
      <c r="BB132" s="9">
        <f>IF(50&lt;=核心参数输入!$B$9*4,(季度经营税费!BB128*MAX(0,MIN(3,核心参数输入!$B$42+3*核心参数输入!$B$125-0*3)-MAX(0,3*核心参数输入!$B$125-0*3))+季度经营税费!BA128*MAX(0,MIN(3,核心参数输入!$B$42+3*核心参数输入!$B$125-1*3)-MAX(0,3*核心参数输入!$B$125-1*3))+季度经营税费!AZ128*MAX(0,MIN(3,核心参数输入!$B$42+3*核心参数输入!$B$125-2*3)-MAX(0,3*核心参数输入!$B$125-2*3))+季度经营税费!AY128*MAX(0,MIN(3,核心参数输入!$B$42+3*核心参数输入!$B$125-3*3)-MAX(0,3*核心参数输入!$B$125-3*3))+季度经营税费!AX128*MAX(0,MIN(3,核心参数输入!$B$42+3*核心参数输入!$B$125-4*3)-MAX(0,3*核心参数输入!$B$125-4*3)))*BB130/10000,0)</f>
        <v>0</v>
      </c>
      <c r="BC132" s="9">
        <f>IF(51&lt;=核心参数输入!$B$9*4,(季度经营税费!BC128*MAX(0,MIN(3,核心参数输入!$B$42+3*核心参数输入!$B$125-0*3)-MAX(0,3*核心参数输入!$B$125-0*3))+季度经营税费!BB128*MAX(0,MIN(3,核心参数输入!$B$42+3*核心参数输入!$B$125-1*3)-MAX(0,3*核心参数输入!$B$125-1*3))+季度经营税费!BA128*MAX(0,MIN(3,核心参数输入!$B$42+3*核心参数输入!$B$125-2*3)-MAX(0,3*核心参数输入!$B$125-2*3))+季度经营税费!AZ128*MAX(0,MIN(3,核心参数输入!$B$42+3*核心参数输入!$B$125-3*3)-MAX(0,3*核心参数输入!$B$125-3*3))+季度经营税费!AY128*MAX(0,MIN(3,核心参数输入!$B$42+3*核心参数输入!$B$125-4*3)-MAX(0,3*核心参数输入!$B$125-4*3)))*BC130/10000,0)</f>
        <v>0</v>
      </c>
      <c r="BD132" s="9">
        <f>IF(52&lt;=核心参数输入!$B$9*4,(季度经营税费!BD128*MAX(0,MIN(3,核心参数输入!$B$42+3*核心参数输入!$B$125-0*3)-MAX(0,3*核心参数输入!$B$125-0*3))+季度经营税费!BC128*MAX(0,MIN(3,核心参数输入!$B$42+3*核心参数输入!$B$125-1*3)-MAX(0,3*核心参数输入!$B$125-1*3))+季度经营税费!BB128*MAX(0,MIN(3,核心参数输入!$B$42+3*核心参数输入!$B$125-2*3)-MAX(0,3*核心参数输入!$B$125-2*3))+季度经营税费!BA128*MAX(0,MIN(3,核心参数输入!$B$42+3*核心参数输入!$B$125-3*3)-MAX(0,3*核心参数输入!$B$125-3*3))+季度经营税费!AZ128*MAX(0,MIN(3,核心参数输入!$B$42+3*核心参数输入!$B$125-4*3)-MAX(0,3*核心参数输入!$B$125-4*3)))*BD130/10000,0)</f>
        <v>0</v>
      </c>
      <c r="BE132" s="9">
        <f>IF(53&lt;=核心参数输入!$B$9*4,(季度经营税费!BE128*MAX(0,MIN(3,核心参数输入!$B$42+3*核心参数输入!$B$125-0*3)-MAX(0,3*核心参数输入!$B$125-0*3))+季度经营税费!BD128*MAX(0,MIN(3,核心参数输入!$B$42+3*核心参数输入!$B$125-1*3)-MAX(0,3*核心参数输入!$B$125-1*3))+季度经营税费!BC128*MAX(0,MIN(3,核心参数输入!$B$42+3*核心参数输入!$B$125-2*3)-MAX(0,3*核心参数输入!$B$125-2*3))+季度经营税费!BB128*MAX(0,MIN(3,核心参数输入!$B$42+3*核心参数输入!$B$125-3*3)-MAX(0,3*核心参数输入!$B$125-3*3))+季度经营税费!BA128*MAX(0,MIN(3,核心参数输入!$B$42+3*核心参数输入!$B$125-4*3)-MAX(0,3*核心参数输入!$B$125-4*3)))*BE130/10000,0)</f>
        <v>0</v>
      </c>
      <c r="BF132" s="9">
        <f>IF(54&lt;=核心参数输入!$B$9*4,(季度经营税费!BF128*MAX(0,MIN(3,核心参数输入!$B$42+3*核心参数输入!$B$125-0*3)-MAX(0,3*核心参数输入!$B$125-0*3))+季度经营税费!BE128*MAX(0,MIN(3,核心参数输入!$B$42+3*核心参数输入!$B$125-1*3)-MAX(0,3*核心参数输入!$B$125-1*3))+季度经营税费!BD128*MAX(0,MIN(3,核心参数输入!$B$42+3*核心参数输入!$B$125-2*3)-MAX(0,3*核心参数输入!$B$125-2*3))+季度经营税费!BC128*MAX(0,MIN(3,核心参数输入!$B$42+3*核心参数输入!$B$125-3*3)-MAX(0,3*核心参数输入!$B$125-3*3))+季度经营税费!BB128*MAX(0,MIN(3,核心参数输入!$B$42+3*核心参数输入!$B$125-4*3)-MAX(0,3*核心参数输入!$B$125-4*3)))*BF130/10000,0)</f>
        <v>0</v>
      </c>
      <c r="BG132" s="9">
        <f>IF(55&lt;=核心参数输入!$B$9*4,(季度经营税费!BG128*MAX(0,MIN(3,核心参数输入!$B$42+3*核心参数输入!$B$125-0*3)-MAX(0,3*核心参数输入!$B$125-0*3))+季度经营税费!BF128*MAX(0,MIN(3,核心参数输入!$B$42+3*核心参数输入!$B$125-1*3)-MAX(0,3*核心参数输入!$B$125-1*3))+季度经营税费!BE128*MAX(0,MIN(3,核心参数输入!$B$42+3*核心参数输入!$B$125-2*3)-MAX(0,3*核心参数输入!$B$125-2*3))+季度经营税费!BD128*MAX(0,MIN(3,核心参数输入!$B$42+3*核心参数输入!$B$125-3*3)-MAX(0,3*核心参数输入!$B$125-3*3))+季度经营税费!BC128*MAX(0,MIN(3,核心参数输入!$B$42+3*核心参数输入!$B$125-4*3)-MAX(0,3*核心参数输入!$B$125-4*3)))*BG130/10000,0)</f>
        <v>0</v>
      </c>
      <c r="BH132" s="9">
        <f>IF(56&lt;=核心参数输入!$B$9*4,(季度经营税费!BH128*MAX(0,MIN(3,核心参数输入!$B$42+3*核心参数输入!$B$125-0*3)-MAX(0,3*核心参数输入!$B$125-0*3))+季度经营税费!BG128*MAX(0,MIN(3,核心参数输入!$B$42+3*核心参数输入!$B$125-1*3)-MAX(0,3*核心参数输入!$B$125-1*3))+季度经营税费!BF128*MAX(0,MIN(3,核心参数输入!$B$42+3*核心参数输入!$B$125-2*3)-MAX(0,3*核心参数输入!$B$125-2*3))+季度经营税费!BE128*MAX(0,MIN(3,核心参数输入!$B$42+3*核心参数输入!$B$125-3*3)-MAX(0,3*核心参数输入!$B$125-3*3))+季度经营税费!BD128*MAX(0,MIN(3,核心参数输入!$B$42+3*核心参数输入!$B$125-4*3)-MAX(0,3*核心参数输入!$B$125-4*3)))*BH130/10000,0)</f>
        <v>0</v>
      </c>
      <c r="BI132" s="9">
        <f>IF(57&lt;=核心参数输入!$B$9*4,(季度经营税费!BI128*MAX(0,MIN(3,核心参数输入!$B$42+3*核心参数输入!$B$125-0*3)-MAX(0,3*核心参数输入!$B$125-0*3))+季度经营税费!BH128*MAX(0,MIN(3,核心参数输入!$B$42+3*核心参数输入!$B$125-1*3)-MAX(0,3*核心参数输入!$B$125-1*3))+季度经营税费!BG128*MAX(0,MIN(3,核心参数输入!$B$42+3*核心参数输入!$B$125-2*3)-MAX(0,3*核心参数输入!$B$125-2*3))+季度经营税费!BF128*MAX(0,MIN(3,核心参数输入!$B$42+3*核心参数输入!$B$125-3*3)-MAX(0,3*核心参数输入!$B$125-3*3))+季度经营税费!BE128*MAX(0,MIN(3,核心参数输入!$B$42+3*核心参数输入!$B$125-4*3)-MAX(0,3*核心参数输入!$B$125-4*3)))*BI130/10000,0)</f>
        <v>0</v>
      </c>
      <c r="BJ132" s="9">
        <f>IF(58&lt;=核心参数输入!$B$9*4,(季度经营税费!BJ128*MAX(0,MIN(3,核心参数输入!$B$42+3*核心参数输入!$B$125-0*3)-MAX(0,3*核心参数输入!$B$125-0*3))+季度经营税费!BI128*MAX(0,MIN(3,核心参数输入!$B$42+3*核心参数输入!$B$125-1*3)-MAX(0,3*核心参数输入!$B$125-1*3))+季度经营税费!BH128*MAX(0,MIN(3,核心参数输入!$B$42+3*核心参数输入!$B$125-2*3)-MAX(0,3*核心参数输入!$B$125-2*3))+季度经营税费!BG128*MAX(0,MIN(3,核心参数输入!$B$42+3*核心参数输入!$B$125-3*3)-MAX(0,3*核心参数输入!$B$125-3*3))+季度经营税费!BF128*MAX(0,MIN(3,核心参数输入!$B$42+3*核心参数输入!$B$125-4*3)-MAX(0,3*核心参数输入!$B$125-4*3)))*BJ130/10000,0)</f>
        <v>0</v>
      </c>
      <c r="BK132" s="9">
        <f>IF(59&lt;=核心参数输入!$B$9*4,(季度经营税费!BK128*MAX(0,MIN(3,核心参数输入!$B$42+3*核心参数输入!$B$125-0*3)-MAX(0,3*核心参数输入!$B$125-0*3))+季度经营税费!BJ128*MAX(0,MIN(3,核心参数输入!$B$42+3*核心参数输入!$B$125-1*3)-MAX(0,3*核心参数输入!$B$125-1*3))+季度经营税费!BI128*MAX(0,MIN(3,核心参数输入!$B$42+3*核心参数输入!$B$125-2*3)-MAX(0,3*核心参数输入!$B$125-2*3))+季度经营税费!BH128*MAX(0,MIN(3,核心参数输入!$B$42+3*核心参数输入!$B$125-3*3)-MAX(0,3*核心参数输入!$B$125-3*3))+季度经营税费!BG128*MAX(0,MIN(3,核心参数输入!$B$42+3*核心参数输入!$B$125-4*3)-MAX(0,3*核心参数输入!$B$125-4*3)))*BK130/10000,0)</f>
        <v>0</v>
      </c>
      <c r="BL132" s="9">
        <f>IF(60&lt;=核心参数输入!$B$9*4,(季度经营税费!BL128*MAX(0,MIN(3,核心参数输入!$B$42+3*核心参数输入!$B$125-0*3)-MAX(0,3*核心参数输入!$B$125-0*3))+季度经营税费!BK128*MAX(0,MIN(3,核心参数输入!$B$42+3*核心参数输入!$B$125-1*3)-MAX(0,3*核心参数输入!$B$125-1*3))+季度经营税费!BJ128*MAX(0,MIN(3,核心参数输入!$B$42+3*核心参数输入!$B$125-2*3)-MAX(0,3*核心参数输入!$B$125-2*3))+季度经营税费!BI128*MAX(0,MIN(3,核心参数输入!$B$42+3*核心参数输入!$B$125-3*3)-MAX(0,3*核心参数输入!$B$125-3*3))+季度经营税费!BH128*MAX(0,MIN(3,核心参数输入!$B$42+3*核心参数输入!$B$125-4*3)-MAX(0,3*核心参数输入!$B$125-4*3)))*BL130/10000,0)</f>
        <v>0</v>
      </c>
      <c r="BM132" s="9">
        <f>IF(61&lt;=核心参数输入!$B$9*4,(季度经营税费!BM128*MAX(0,MIN(3,核心参数输入!$B$42+3*核心参数输入!$B$125-0*3)-MAX(0,3*核心参数输入!$B$125-0*3))+季度经营税费!BL128*MAX(0,MIN(3,核心参数输入!$B$42+3*核心参数输入!$B$125-1*3)-MAX(0,3*核心参数输入!$B$125-1*3))+季度经营税费!BK128*MAX(0,MIN(3,核心参数输入!$B$42+3*核心参数输入!$B$125-2*3)-MAX(0,3*核心参数输入!$B$125-2*3))+季度经营税费!BJ128*MAX(0,MIN(3,核心参数输入!$B$42+3*核心参数输入!$B$125-3*3)-MAX(0,3*核心参数输入!$B$125-3*3))+季度经营税费!BI128*MAX(0,MIN(3,核心参数输入!$B$42+3*核心参数输入!$B$125-4*3)-MAX(0,3*核心参数输入!$B$125-4*3)))*BM130/10000,0)</f>
        <v>0</v>
      </c>
      <c r="BN132" s="9">
        <f>IF(62&lt;=核心参数输入!$B$9*4,(季度经营税费!BN128*MAX(0,MIN(3,核心参数输入!$B$42+3*核心参数输入!$B$125-0*3)-MAX(0,3*核心参数输入!$B$125-0*3))+季度经营税费!BM128*MAX(0,MIN(3,核心参数输入!$B$42+3*核心参数输入!$B$125-1*3)-MAX(0,3*核心参数输入!$B$125-1*3))+季度经营税费!BL128*MAX(0,MIN(3,核心参数输入!$B$42+3*核心参数输入!$B$125-2*3)-MAX(0,3*核心参数输入!$B$125-2*3))+季度经营税费!BK128*MAX(0,MIN(3,核心参数输入!$B$42+3*核心参数输入!$B$125-3*3)-MAX(0,3*核心参数输入!$B$125-3*3))+季度经营税费!BJ128*MAX(0,MIN(3,核心参数输入!$B$42+3*核心参数输入!$B$125-4*3)-MAX(0,3*核心参数输入!$B$125-4*3)))*BN130/10000,0)</f>
        <v>0</v>
      </c>
      <c r="BO132" s="9">
        <f>IF(63&lt;=核心参数输入!$B$9*4,(季度经营税费!BO128*MAX(0,MIN(3,核心参数输入!$B$42+3*核心参数输入!$B$125-0*3)-MAX(0,3*核心参数输入!$B$125-0*3))+季度经营税费!BN128*MAX(0,MIN(3,核心参数输入!$B$42+3*核心参数输入!$B$125-1*3)-MAX(0,3*核心参数输入!$B$125-1*3))+季度经营税费!BM128*MAX(0,MIN(3,核心参数输入!$B$42+3*核心参数输入!$B$125-2*3)-MAX(0,3*核心参数输入!$B$125-2*3))+季度经营税费!BL128*MAX(0,MIN(3,核心参数输入!$B$42+3*核心参数输入!$B$125-3*3)-MAX(0,3*核心参数输入!$B$125-3*3))+季度经营税费!BK128*MAX(0,MIN(3,核心参数输入!$B$42+3*核心参数输入!$B$125-4*3)-MAX(0,3*核心参数输入!$B$125-4*3)))*BO130/10000,0)</f>
        <v>0</v>
      </c>
      <c r="BP132" s="9">
        <f>IF(64&lt;=核心参数输入!$B$9*4,(季度经营税费!BP128*MAX(0,MIN(3,核心参数输入!$B$42+3*核心参数输入!$B$125-0*3)-MAX(0,3*核心参数输入!$B$125-0*3))+季度经营税费!BO128*MAX(0,MIN(3,核心参数输入!$B$42+3*核心参数输入!$B$125-1*3)-MAX(0,3*核心参数输入!$B$125-1*3))+季度经营税费!BN128*MAX(0,MIN(3,核心参数输入!$B$42+3*核心参数输入!$B$125-2*3)-MAX(0,3*核心参数输入!$B$125-2*3))+季度经营税费!BM128*MAX(0,MIN(3,核心参数输入!$B$42+3*核心参数输入!$B$125-3*3)-MAX(0,3*核心参数输入!$B$125-3*3))+季度经营税费!BL128*MAX(0,MIN(3,核心参数输入!$B$42+3*核心参数输入!$B$125-4*3)-MAX(0,3*核心参数输入!$B$125-4*3)))*BP130/10000,0)</f>
        <v>0</v>
      </c>
      <c r="BQ132" s="9">
        <f>IF(65&lt;=核心参数输入!$B$9*4,(季度经营税费!BQ128*MAX(0,MIN(3,核心参数输入!$B$42+3*核心参数输入!$B$125-0*3)-MAX(0,3*核心参数输入!$B$125-0*3))+季度经营税费!BP128*MAX(0,MIN(3,核心参数输入!$B$42+3*核心参数输入!$B$125-1*3)-MAX(0,3*核心参数输入!$B$125-1*3))+季度经营税费!BO128*MAX(0,MIN(3,核心参数输入!$B$42+3*核心参数输入!$B$125-2*3)-MAX(0,3*核心参数输入!$B$125-2*3))+季度经营税费!BN128*MAX(0,MIN(3,核心参数输入!$B$42+3*核心参数输入!$B$125-3*3)-MAX(0,3*核心参数输入!$B$125-3*3))+季度经营税费!BM128*MAX(0,MIN(3,核心参数输入!$B$42+3*核心参数输入!$B$125-4*3)-MAX(0,3*核心参数输入!$B$125-4*3)))*BQ130/10000,0)</f>
        <v>0</v>
      </c>
      <c r="BR132" s="9">
        <f>IF(66&lt;=核心参数输入!$B$9*4,(季度经营税费!BR128*MAX(0,MIN(3,核心参数输入!$B$42+3*核心参数输入!$B$125-0*3)-MAX(0,3*核心参数输入!$B$125-0*3))+季度经营税费!BQ128*MAX(0,MIN(3,核心参数输入!$B$42+3*核心参数输入!$B$125-1*3)-MAX(0,3*核心参数输入!$B$125-1*3))+季度经营税费!BP128*MAX(0,MIN(3,核心参数输入!$B$42+3*核心参数输入!$B$125-2*3)-MAX(0,3*核心参数输入!$B$125-2*3))+季度经营税费!BO128*MAX(0,MIN(3,核心参数输入!$B$42+3*核心参数输入!$B$125-3*3)-MAX(0,3*核心参数输入!$B$125-3*3))+季度经营税费!BN128*MAX(0,MIN(3,核心参数输入!$B$42+3*核心参数输入!$B$125-4*3)-MAX(0,3*核心参数输入!$B$125-4*3)))*BR130/10000,0)</f>
        <v>0</v>
      </c>
      <c r="BS132" s="9">
        <f>IF(67&lt;=核心参数输入!$B$9*4,(季度经营税费!BS128*MAX(0,MIN(3,核心参数输入!$B$42+3*核心参数输入!$B$125-0*3)-MAX(0,3*核心参数输入!$B$125-0*3))+季度经营税费!BR128*MAX(0,MIN(3,核心参数输入!$B$42+3*核心参数输入!$B$125-1*3)-MAX(0,3*核心参数输入!$B$125-1*3))+季度经营税费!BQ128*MAX(0,MIN(3,核心参数输入!$B$42+3*核心参数输入!$B$125-2*3)-MAX(0,3*核心参数输入!$B$125-2*3))+季度经营税费!BP128*MAX(0,MIN(3,核心参数输入!$B$42+3*核心参数输入!$B$125-3*3)-MAX(0,3*核心参数输入!$B$125-3*3))+季度经营税费!BO128*MAX(0,MIN(3,核心参数输入!$B$42+3*核心参数输入!$B$125-4*3)-MAX(0,3*核心参数输入!$B$125-4*3)))*BS130/10000,0)</f>
        <v>0</v>
      </c>
      <c r="BT132" s="9">
        <f>IF(68&lt;=核心参数输入!$B$9*4,(季度经营税费!BT128*MAX(0,MIN(3,核心参数输入!$B$42+3*核心参数输入!$B$125-0*3)-MAX(0,3*核心参数输入!$B$125-0*3))+季度经营税费!BS128*MAX(0,MIN(3,核心参数输入!$B$42+3*核心参数输入!$B$125-1*3)-MAX(0,3*核心参数输入!$B$125-1*3))+季度经营税费!BR128*MAX(0,MIN(3,核心参数输入!$B$42+3*核心参数输入!$B$125-2*3)-MAX(0,3*核心参数输入!$B$125-2*3))+季度经营税费!BQ128*MAX(0,MIN(3,核心参数输入!$B$42+3*核心参数输入!$B$125-3*3)-MAX(0,3*核心参数输入!$B$125-3*3))+季度经营税费!BP128*MAX(0,MIN(3,核心参数输入!$B$42+3*核心参数输入!$B$125-4*3)-MAX(0,3*核心参数输入!$B$125-4*3)))*BT130/10000,0)</f>
        <v>0</v>
      </c>
      <c r="BU132" s="9">
        <f>IF(69&lt;=核心参数输入!$B$9*4,(季度经营税费!BU128*MAX(0,MIN(3,核心参数输入!$B$42+3*核心参数输入!$B$125-0*3)-MAX(0,3*核心参数输入!$B$125-0*3))+季度经营税费!BT128*MAX(0,MIN(3,核心参数输入!$B$42+3*核心参数输入!$B$125-1*3)-MAX(0,3*核心参数输入!$B$125-1*3))+季度经营税费!BS128*MAX(0,MIN(3,核心参数输入!$B$42+3*核心参数输入!$B$125-2*3)-MAX(0,3*核心参数输入!$B$125-2*3))+季度经营税费!BR128*MAX(0,MIN(3,核心参数输入!$B$42+3*核心参数输入!$B$125-3*3)-MAX(0,3*核心参数输入!$B$125-3*3))+季度经营税费!BQ128*MAX(0,MIN(3,核心参数输入!$B$42+3*核心参数输入!$B$125-4*3)-MAX(0,3*核心参数输入!$B$125-4*3)))*BU130/10000,0)</f>
        <v>0</v>
      </c>
      <c r="BV132" s="9">
        <f>IF(70&lt;=核心参数输入!$B$9*4,(季度经营税费!BV128*MAX(0,MIN(3,核心参数输入!$B$42+3*核心参数输入!$B$125-0*3)-MAX(0,3*核心参数输入!$B$125-0*3))+季度经营税费!BU128*MAX(0,MIN(3,核心参数输入!$B$42+3*核心参数输入!$B$125-1*3)-MAX(0,3*核心参数输入!$B$125-1*3))+季度经营税费!BT128*MAX(0,MIN(3,核心参数输入!$B$42+3*核心参数输入!$B$125-2*3)-MAX(0,3*核心参数输入!$B$125-2*3))+季度经营税费!BS128*MAX(0,MIN(3,核心参数输入!$B$42+3*核心参数输入!$B$125-3*3)-MAX(0,3*核心参数输入!$B$125-3*3))+季度经营税费!BR128*MAX(0,MIN(3,核心参数输入!$B$42+3*核心参数输入!$B$125-4*3)-MAX(0,3*核心参数输入!$B$125-4*3)))*BV130/10000,0)</f>
        <v>0</v>
      </c>
      <c r="BW132" s="9">
        <f>IF(71&lt;=核心参数输入!$B$9*4,(季度经营税费!BW128*MAX(0,MIN(3,核心参数输入!$B$42+3*核心参数输入!$B$125-0*3)-MAX(0,3*核心参数输入!$B$125-0*3))+季度经营税费!BV128*MAX(0,MIN(3,核心参数输入!$B$42+3*核心参数输入!$B$125-1*3)-MAX(0,3*核心参数输入!$B$125-1*3))+季度经营税费!BU128*MAX(0,MIN(3,核心参数输入!$B$42+3*核心参数输入!$B$125-2*3)-MAX(0,3*核心参数输入!$B$125-2*3))+季度经营税费!BT128*MAX(0,MIN(3,核心参数输入!$B$42+3*核心参数输入!$B$125-3*3)-MAX(0,3*核心参数输入!$B$125-3*3))+季度经营税费!BS128*MAX(0,MIN(3,核心参数输入!$B$42+3*核心参数输入!$B$125-4*3)-MAX(0,3*核心参数输入!$B$125-4*3)))*BW130/10000,0)</f>
        <v>0</v>
      </c>
      <c r="BX132" s="9">
        <f>IF(72&lt;=核心参数输入!$B$9*4,(季度经营税费!BX128*MAX(0,MIN(3,核心参数输入!$B$42+3*核心参数输入!$B$125-0*3)-MAX(0,3*核心参数输入!$B$125-0*3))+季度经营税费!BW128*MAX(0,MIN(3,核心参数输入!$B$42+3*核心参数输入!$B$125-1*3)-MAX(0,3*核心参数输入!$B$125-1*3))+季度经营税费!BV128*MAX(0,MIN(3,核心参数输入!$B$42+3*核心参数输入!$B$125-2*3)-MAX(0,3*核心参数输入!$B$125-2*3))+季度经营税费!BU128*MAX(0,MIN(3,核心参数输入!$B$42+3*核心参数输入!$B$125-3*3)-MAX(0,3*核心参数输入!$B$125-3*3))+季度经营税费!BT128*MAX(0,MIN(3,核心参数输入!$B$42+3*核心参数输入!$B$125-4*3)-MAX(0,3*核心参数输入!$B$125-4*3)))*BX130/10000,0)</f>
        <v>0</v>
      </c>
      <c r="BY132" s="9">
        <f>IF(73&lt;=核心参数输入!$B$9*4,(季度经营税费!BY128*MAX(0,MIN(3,核心参数输入!$B$42+3*核心参数输入!$B$125-0*3)-MAX(0,3*核心参数输入!$B$125-0*3))+季度经营税费!BX128*MAX(0,MIN(3,核心参数输入!$B$42+3*核心参数输入!$B$125-1*3)-MAX(0,3*核心参数输入!$B$125-1*3))+季度经营税费!BW128*MAX(0,MIN(3,核心参数输入!$B$42+3*核心参数输入!$B$125-2*3)-MAX(0,3*核心参数输入!$B$125-2*3))+季度经营税费!BV128*MAX(0,MIN(3,核心参数输入!$B$42+3*核心参数输入!$B$125-3*3)-MAX(0,3*核心参数输入!$B$125-3*3))+季度经营税费!BU128*MAX(0,MIN(3,核心参数输入!$B$42+3*核心参数输入!$B$125-4*3)-MAX(0,3*核心参数输入!$B$125-4*3)))*BY130/10000,0)</f>
        <v>0</v>
      </c>
      <c r="BZ132" s="9">
        <f>IF(74&lt;=核心参数输入!$B$9*4,(季度经营税费!BZ128*MAX(0,MIN(3,核心参数输入!$B$42+3*核心参数输入!$B$125-0*3)-MAX(0,3*核心参数输入!$B$125-0*3))+季度经营税费!BY128*MAX(0,MIN(3,核心参数输入!$B$42+3*核心参数输入!$B$125-1*3)-MAX(0,3*核心参数输入!$B$125-1*3))+季度经营税费!BX128*MAX(0,MIN(3,核心参数输入!$B$42+3*核心参数输入!$B$125-2*3)-MAX(0,3*核心参数输入!$B$125-2*3))+季度经营税费!BW128*MAX(0,MIN(3,核心参数输入!$B$42+3*核心参数输入!$B$125-3*3)-MAX(0,3*核心参数输入!$B$125-3*3))+季度经营税费!BV128*MAX(0,MIN(3,核心参数输入!$B$42+3*核心参数输入!$B$125-4*3)-MAX(0,3*核心参数输入!$B$125-4*3)))*BZ130/10000,0)</f>
        <v>0</v>
      </c>
      <c r="CA132" s="9">
        <f>IF(75&lt;=核心参数输入!$B$9*4,(季度经营税费!CA128*MAX(0,MIN(3,核心参数输入!$B$42+3*核心参数输入!$B$125-0*3)-MAX(0,3*核心参数输入!$B$125-0*3))+季度经营税费!BZ128*MAX(0,MIN(3,核心参数输入!$B$42+3*核心参数输入!$B$125-1*3)-MAX(0,3*核心参数输入!$B$125-1*3))+季度经营税费!BY128*MAX(0,MIN(3,核心参数输入!$B$42+3*核心参数输入!$B$125-2*3)-MAX(0,3*核心参数输入!$B$125-2*3))+季度经营税费!BX128*MAX(0,MIN(3,核心参数输入!$B$42+3*核心参数输入!$B$125-3*3)-MAX(0,3*核心参数输入!$B$125-3*3))+季度经营税费!BW128*MAX(0,MIN(3,核心参数输入!$B$42+3*核心参数输入!$B$125-4*3)-MAX(0,3*核心参数输入!$B$125-4*3)))*CA130/10000,0)</f>
        <v>0</v>
      </c>
      <c r="CB132" s="9">
        <f>IF(76&lt;=核心参数输入!$B$9*4,(季度经营税费!CB128*MAX(0,MIN(3,核心参数输入!$B$42+3*核心参数输入!$B$125-0*3)-MAX(0,3*核心参数输入!$B$125-0*3))+季度经营税费!CA128*MAX(0,MIN(3,核心参数输入!$B$42+3*核心参数输入!$B$125-1*3)-MAX(0,3*核心参数输入!$B$125-1*3))+季度经营税费!BZ128*MAX(0,MIN(3,核心参数输入!$B$42+3*核心参数输入!$B$125-2*3)-MAX(0,3*核心参数输入!$B$125-2*3))+季度经营税费!BY128*MAX(0,MIN(3,核心参数输入!$B$42+3*核心参数输入!$B$125-3*3)-MAX(0,3*核心参数输入!$B$125-3*3))+季度经营税费!BX128*MAX(0,MIN(3,核心参数输入!$B$42+3*核心参数输入!$B$125-4*3)-MAX(0,3*核心参数输入!$B$125-4*3)))*CB130/10000,0)</f>
        <v>0</v>
      </c>
      <c r="CC132" s="9">
        <f>IF(77&lt;=核心参数输入!$B$9*4,(季度经营税费!CC128*MAX(0,MIN(3,核心参数输入!$B$42+3*核心参数输入!$B$125-0*3)-MAX(0,3*核心参数输入!$B$125-0*3))+季度经营税费!CB128*MAX(0,MIN(3,核心参数输入!$B$42+3*核心参数输入!$B$125-1*3)-MAX(0,3*核心参数输入!$B$125-1*3))+季度经营税费!CA128*MAX(0,MIN(3,核心参数输入!$B$42+3*核心参数输入!$B$125-2*3)-MAX(0,3*核心参数输入!$B$125-2*3))+季度经营税费!BZ128*MAX(0,MIN(3,核心参数输入!$B$42+3*核心参数输入!$B$125-3*3)-MAX(0,3*核心参数输入!$B$125-3*3))+季度经营税费!BY128*MAX(0,MIN(3,核心参数输入!$B$42+3*核心参数输入!$B$125-4*3)-MAX(0,3*核心参数输入!$B$125-4*3)))*CC130/10000,0)</f>
        <v>0</v>
      </c>
      <c r="CD132" s="9">
        <f>IF(78&lt;=核心参数输入!$B$9*4,(季度经营税费!CD128*MAX(0,MIN(3,核心参数输入!$B$42+3*核心参数输入!$B$125-0*3)-MAX(0,3*核心参数输入!$B$125-0*3))+季度经营税费!CC128*MAX(0,MIN(3,核心参数输入!$B$42+3*核心参数输入!$B$125-1*3)-MAX(0,3*核心参数输入!$B$125-1*3))+季度经营税费!CB128*MAX(0,MIN(3,核心参数输入!$B$42+3*核心参数输入!$B$125-2*3)-MAX(0,3*核心参数输入!$B$125-2*3))+季度经营税费!CA128*MAX(0,MIN(3,核心参数输入!$B$42+3*核心参数输入!$B$125-3*3)-MAX(0,3*核心参数输入!$B$125-3*3))+季度经营税费!BZ128*MAX(0,MIN(3,核心参数输入!$B$42+3*核心参数输入!$B$125-4*3)-MAX(0,3*核心参数输入!$B$125-4*3)))*CD130/10000,0)</f>
        <v>0</v>
      </c>
      <c r="CE132" s="9">
        <f>IF(79&lt;=核心参数输入!$B$9*4,(季度经营税费!CE128*MAX(0,MIN(3,核心参数输入!$B$42+3*核心参数输入!$B$125-0*3)-MAX(0,3*核心参数输入!$B$125-0*3))+季度经营税费!CD128*MAX(0,MIN(3,核心参数输入!$B$42+3*核心参数输入!$B$125-1*3)-MAX(0,3*核心参数输入!$B$125-1*3))+季度经营税费!CC128*MAX(0,MIN(3,核心参数输入!$B$42+3*核心参数输入!$B$125-2*3)-MAX(0,3*核心参数输入!$B$125-2*3))+季度经营税费!CB128*MAX(0,MIN(3,核心参数输入!$B$42+3*核心参数输入!$B$125-3*3)-MAX(0,3*核心参数输入!$B$125-3*3))+季度经营税费!CA128*MAX(0,MIN(3,核心参数输入!$B$42+3*核心参数输入!$B$125-4*3)-MAX(0,3*核心参数输入!$B$125-4*3)))*CE130/10000,0)</f>
        <v>0</v>
      </c>
      <c r="CF132" s="9">
        <f>IF(80&lt;=核心参数输入!$B$9*4,(季度经营税费!CF128*MAX(0,MIN(3,核心参数输入!$B$42+3*核心参数输入!$B$125-0*3)-MAX(0,3*核心参数输入!$B$125-0*3))+季度经营税费!CE128*MAX(0,MIN(3,核心参数输入!$B$42+3*核心参数输入!$B$125-1*3)-MAX(0,3*核心参数输入!$B$125-1*3))+季度经营税费!CD128*MAX(0,MIN(3,核心参数输入!$B$42+3*核心参数输入!$B$125-2*3)-MAX(0,3*核心参数输入!$B$125-2*3))+季度经营税费!CC128*MAX(0,MIN(3,核心参数输入!$B$42+3*核心参数输入!$B$125-3*3)-MAX(0,3*核心参数输入!$B$125-3*3))+季度经营税费!CB128*MAX(0,MIN(3,核心参数输入!$B$42+3*核心参数输入!$B$125-4*3)-MAX(0,3*核心参数输入!$B$125-4*3)))*CF130/10000,0)</f>
        <v>0</v>
      </c>
      <c r="CG132" s="9">
        <f>IF(81&lt;=核心参数输入!$B$9*4,(季度经营税费!CG128*MAX(0,MIN(3,核心参数输入!$B$42+3*核心参数输入!$B$125-0*3)-MAX(0,3*核心参数输入!$B$125-0*3))+季度经营税费!CF128*MAX(0,MIN(3,核心参数输入!$B$42+3*核心参数输入!$B$125-1*3)-MAX(0,3*核心参数输入!$B$125-1*3))+季度经营税费!CE128*MAX(0,MIN(3,核心参数输入!$B$42+3*核心参数输入!$B$125-2*3)-MAX(0,3*核心参数输入!$B$125-2*3))+季度经营税费!CD128*MAX(0,MIN(3,核心参数输入!$B$42+3*核心参数输入!$B$125-3*3)-MAX(0,3*核心参数输入!$B$125-3*3))+季度经营税费!CC128*MAX(0,MIN(3,核心参数输入!$B$42+3*核心参数输入!$B$125-4*3)-MAX(0,3*核心参数输入!$B$125-4*3)))*CG130/10000,0)</f>
        <v>0</v>
      </c>
      <c r="CH132" s="9">
        <f>IF(82&lt;=核心参数输入!$B$9*4,(季度经营税费!CH128*MAX(0,MIN(3,核心参数输入!$B$42+3*核心参数输入!$B$125-0*3)-MAX(0,3*核心参数输入!$B$125-0*3))+季度经营税费!CG128*MAX(0,MIN(3,核心参数输入!$B$42+3*核心参数输入!$B$125-1*3)-MAX(0,3*核心参数输入!$B$125-1*3))+季度经营税费!CF128*MAX(0,MIN(3,核心参数输入!$B$42+3*核心参数输入!$B$125-2*3)-MAX(0,3*核心参数输入!$B$125-2*3))+季度经营税费!CE128*MAX(0,MIN(3,核心参数输入!$B$42+3*核心参数输入!$B$125-3*3)-MAX(0,3*核心参数输入!$B$125-3*3))+季度经营税费!CD128*MAX(0,MIN(3,核心参数输入!$B$42+3*核心参数输入!$B$125-4*3)-MAX(0,3*核心参数输入!$B$125-4*3)))*CH130/10000,0)</f>
        <v>0</v>
      </c>
      <c r="CI132" s="9">
        <f>IF(83&lt;=核心参数输入!$B$9*4,(季度经营税费!CI128*MAX(0,MIN(3,核心参数输入!$B$42+3*核心参数输入!$B$125-0*3)-MAX(0,3*核心参数输入!$B$125-0*3))+季度经营税费!CH128*MAX(0,MIN(3,核心参数输入!$B$42+3*核心参数输入!$B$125-1*3)-MAX(0,3*核心参数输入!$B$125-1*3))+季度经营税费!CG128*MAX(0,MIN(3,核心参数输入!$B$42+3*核心参数输入!$B$125-2*3)-MAX(0,3*核心参数输入!$B$125-2*3))+季度经营税费!CF128*MAX(0,MIN(3,核心参数输入!$B$42+3*核心参数输入!$B$125-3*3)-MAX(0,3*核心参数输入!$B$125-3*3))+季度经营税费!CE128*MAX(0,MIN(3,核心参数输入!$B$42+3*核心参数输入!$B$125-4*3)-MAX(0,3*核心参数输入!$B$125-4*3)))*CI130/10000,0)</f>
        <v>0</v>
      </c>
      <c r="CJ132" s="9">
        <f>IF(84&lt;=核心参数输入!$B$9*4,(季度经营税费!CJ128*MAX(0,MIN(3,核心参数输入!$B$42+3*核心参数输入!$B$125-0*3)-MAX(0,3*核心参数输入!$B$125-0*3))+季度经营税费!CI128*MAX(0,MIN(3,核心参数输入!$B$42+3*核心参数输入!$B$125-1*3)-MAX(0,3*核心参数输入!$B$125-1*3))+季度经营税费!CH128*MAX(0,MIN(3,核心参数输入!$B$42+3*核心参数输入!$B$125-2*3)-MAX(0,3*核心参数输入!$B$125-2*3))+季度经营税费!CG128*MAX(0,MIN(3,核心参数输入!$B$42+3*核心参数输入!$B$125-3*3)-MAX(0,3*核心参数输入!$B$125-3*3))+季度经营税费!CF128*MAX(0,MIN(3,核心参数输入!$B$42+3*核心参数输入!$B$125-4*3)-MAX(0,3*核心参数输入!$B$125-4*3)))*CJ130/10000,0)</f>
        <v>0</v>
      </c>
      <c r="CK132" s="9">
        <f>IF(85&lt;=核心参数输入!$B$9*4,(季度经营税费!CK128*MAX(0,MIN(3,核心参数输入!$B$42+3*核心参数输入!$B$125-0*3)-MAX(0,3*核心参数输入!$B$125-0*3))+季度经营税费!CJ128*MAX(0,MIN(3,核心参数输入!$B$42+3*核心参数输入!$B$125-1*3)-MAX(0,3*核心参数输入!$B$125-1*3))+季度经营税费!CI128*MAX(0,MIN(3,核心参数输入!$B$42+3*核心参数输入!$B$125-2*3)-MAX(0,3*核心参数输入!$B$125-2*3))+季度经营税费!CH128*MAX(0,MIN(3,核心参数输入!$B$42+3*核心参数输入!$B$125-3*3)-MAX(0,3*核心参数输入!$B$125-3*3))+季度经营税费!CG128*MAX(0,MIN(3,核心参数输入!$B$42+3*核心参数输入!$B$125-4*3)-MAX(0,3*核心参数输入!$B$125-4*3)))*CK130/10000,0)</f>
        <v>0</v>
      </c>
      <c r="CL132" s="9">
        <f>IF(86&lt;=核心参数输入!$B$9*4,(季度经营税费!CL128*MAX(0,MIN(3,核心参数输入!$B$42+3*核心参数输入!$B$125-0*3)-MAX(0,3*核心参数输入!$B$125-0*3))+季度经营税费!CK128*MAX(0,MIN(3,核心参数输入!$B$42+3*核心参数输入!$B$125-1*3)-MAX(0,3*核心参数输入!$B$125-1*3))+季度经营税费!CJ128*MAX(0,MIN(3,核心参数输入!$B$42+3*核心参数输入!$B$125-2*3)-MAX(0,3*核心参数输入!$B$125-2*3))+季度经营税费!CI128*MAX(0,MIN(3,核心参数输入!$B$42+3*核心参数输入!$B$125-3*3)-MAX(0,3*核心参数输入!$B$125-3*3))+季度经营税费!CH128*MAX(0,MIN(3,核心参数输入!$B$42+3*核心参数输入!$B$125-4*3)-MAX(0,3*核心参数输入!$B$125-4*3)))*CL130/10000,0)</f>
        <v>0</v>
      </c>
      <c r="CM132" s="9">
        <f>IF(87&lt;=核心参数输入!$B$9*4,(季度经营税费!CM128*MAX(0,MIN(3,核心参数输入!$B$42+3*核心参数输入!$B$125-0*3)-MAX(0,3*核心参数输入!$B$125-0*3))+季度经营税费!CL128*MAX(0,MIN(3,核心参数输入!$B$42+3*核心参数输入!$B$125-1*3)-MAX(0,3*核心参数输入!$B$125-1*3))+季度经营税费!CK128*MAX(0,MIN(3,核心参数输入!$B$42+3*核心参数输入!$B$125-2*3)-MAX(0,3*核心参数输入!$B$125-2*3))+季度经营税费!CJ128*MAX(0,MIN(3,核心参数输入!$B$42+3*核心参数输入!$B$125-3*3)-MAX(0,3*核心参数输入!$B$125-3*3))+季度经营税费!CI128*MAX(0,MIN(3,核心参数输入!$B$42+3*核心参数输入!$B$125-4*3)-MAX(0,3*核心参数输入!$B$125-4*3)))*CM130/10000,0)</f>
        <v>0</v>
      </c>
      <c r="CN132" s="9">
        <f>IF(88&lt;=核心参数输入!$B$9*4,(季度经营税费!CN128*MAX(0,MIN(3,核心参数输入!$B$42+3*核心参数输入!$B$125-0*3)-MAX(0,3*核心参数输入!$B$125-0*3))+季度经营税费!CM128*MAX(0,MIN(3,核心参数输入!$B$42+3*核心参数输入!$B$125-1*3)-MAX(0,3*核心参数输入!$B$125-1*3))+季度经营税费!CL128*MAX(0,MIN(3,核心参数输入!$B$42+3*核心参数输入!$B$125-2*3)-MAX(0,3*核心参数输入!$B$125-2*3))+季度经营税费!CK128*MAX(0,MIN(3,核心参数输入!$B$42+3*核心参数输入!$B$125-3*3)-MAX(0,3*核心参数输入!$B$125-3*3))+季度经营税费!CJ128*MAX(0,MIN(3,核心参数输入!$B$42+3*核心参数输入!$B$125-4*3)-MAX(0,3*核心参数输入!$B$125-4*3)))*CN130/10000,0)</f>
        <v>0</v>
      </c>
      <c r="CO132" s="9">
        <f>IF(89&lt;=核心参数输入!$B$9*4,(季度经营税费!CO128*MAX(0,MIN(3,核心参数输入!$B$42+3*核心参数输入!$B$125-0*3)-MAX(0,3*核心参数输入!$B$125-0*3))+季度经营税费!CN128*MAX(0,MIN(3,核心参数输入!$B$42+3*核心参数输入!$B$125-1*3)-MAX(0,3*核心参数输入!$B$125-1*3))+季度经营税费!CM128*MAX(0,MIN(3,核心参数输入!$B$42+3*核心参数输入!$B$125-2*3)-MAX(0,3*核心参数输入!$B$125-2*3))+季度经营税费!CL128*MAX(0,MIN(3,核心参数输入!$B$42+3*核心参数输入!$B$125-3*3)-MAX(0,3*核心参数输入!$B$125-3*3))+季度经营税费!CK128*MAX(0,MIN(3,核心参数输入!$B$42+3*核心参数输入!$B$125-4*3)-MAX(0,3*核心参数输入!$B$125-4*3)))*CO130/10000,0)</f>
        <v>0</v>
      </c>
      <c r="CP132" s="9">
        <f>IF(90&lt;=核心参数输入!$B$9*4,(季度经营税费!CP128*MAX(0,MIN(3,核心参数输入!$B$42+3*核心参数输入!$B$125-0*3)-MAX(0,3*核心参数输入!$B$125-0*3))+季度经营税费!CO128*MAX(0,MIN(3,核心参数输入!$B$42+3*核心参数输入!$B$125-1*3)-MAX(0,3*核心参数输入!$B$125-1*3))+季度经营税费!CN128*MAX(0,MIN(3,核心参数输入!$B$42+3*核心参数输入!$B$125-2*3)-MAX(0,3*核心参数输入!$B$125-2*3))+季度经营税费!CM128*MAX(0,MIN(3,核心参数输入!$B$42+3*核心参数输入!$B$125-3*3)-MAX(0,3*核心参数输入!$B$125-3*3))+季度经营税费!CL128*MAX(0,MIN(3,核心参数输入!$B$42+3*核心参数输入!$B$125-4*3)-MAX(0,3*核心参数输入!$B$125-4*3)))*CP130/10000,0)</f>
        <v>0</v>
      </c>
      <c r="CQ132" s="9">
        <f>IF(91&lt;=核心参数输入!$B$9*4,(季度经营税费!CQ128*MAX(0,MIN(3,核心参数输入!$B$42+3*核心参数输入!$B$125-0*3)-MAX(0,3*核心参数输入!$B$125-0*3))+季度经营税费!CP128*MAX(0,MIN(3,核心参数输入!$B$42+3*核心参数输入!$B$125-1*3)-MAX(0,3*核心参数输入!$B$125-1*3))+季度经营税费!CO128*MAX(0,MIN(3,核心参数输入!$B$42+3*核心参数输入!$B$125-2*3)-MAX(0,3*核心参数输入!$B$125-2*3))+季度经营税费!CN128*MAX(0,MIN(3,核心参数输入!$B$42+3*核心参数输入!$B$125-3*3)-MAX(0,3*核心参数输入!$B$125-3*3))+季度经营税费!CM128*MAX(0,MIN(3,核心参数输入!$B$42+3*核心参数输入!$B$125-4*3)-MAX(0,3*核心参数输入!$B$125-4*3)))*CQ130/10000,0)</f>
        <v>0</v>
      </c>
      <c r="CR132" s="9">
        <f>IF(92&lt;=核心参数输入!$B$9*4,(季度经营税费!CR128*MAX(0,MIN(3,核心参数输入!$B$42+3*核心参数输入!$B$125-0*3)-MAX(0,3*核心参数输入!$B$125-0*3))+季度经营税费!CQ128*MAX(0,MIN(3,核心参数输入!$B$42+3*核心参数输入!$B$125-1*3)-MAX(0,3*核心参数输入!$B$125-1*3))+季度经营税费!CP128*MAX(0,MIN(3,核心参数输入!$B$42+3*核心参数输入!$B$125-2*3)-MAX(0,3*核心参数输入!$B$125-2*3))+季度经营税费!CO128*MAX(0,MIN(3,核心参数输入!$B$42+3*核心参数输入!$B$125-3*3)-MAX(0,3*核心参数输入!$B$125-3*3))+季度经营税费!CN128*MAX(0,MIN(3,核心参数输入!$B$42+3*核心参数输入!$B$125-4*3)-MAX(0,3*核心参数输入!$B$125-4*3)))*CR130/10000,0)</f>
        <v>0</v>
      </c>
      <c r="CS132" s="9">
        <f>IF(93&lt;=核心参数输入!$B$9*4,(季度经营税费!CS128*MAX(0,MIN(3,核心参数输入!$B$42+3*核心参数输入!$B$125-0*3)-MAX(0,3*核心参数输入!$B$125-0*3))+季度经营税费!CR128*MAX(0,MIN(3,核心参数输入!$B$42+3*核心参数输入!$B$125-1*3)-MAX(0,3*核心参数输入!$B$125-1*3))+季度经营税费!CQ128*MAX(0,MIN(3,核心参数输入!$B$42+3*核心参数输入!$B$125-2*3)-MAX(0,3*核心参数输入!$B$125-2*3))+季度经营税费!CP128*MAX(0,MIN(3,核心参数输入!$B$42+3*核心参数输入!$B$125-3*3)-MAX(0,3*核心参数输入!$B$125-3*3))+季度经营税费!CO128*MAX(0,MIN(3,核心参数输入!$B$42+3*核心参数输入!$B$125-4*3)-MAX(0,3*核心参数输入!$B$125-4*3)))*CS130/10000,0)</f>
        <v>0</v>
      </c>
      <c r="CT132" s="9">
        <f>IF(94&lt;=核心参数输入!$B$9*4,(季度经营税费!CT128*MAX(0,MIN(3,核心参数输入!$B$42+3*核心参数输入!$B$125-0*3)-MAX(0,3*核心参数输入!$B$125-0*3))+季度经营税费!CS128*MAX(0,MIN(3,核心参数输入!$B$42+3*核心参数输入!$B$125-1*3)-MAX(0,3*核心参数输入!$B$125-1*3))+季度经营税费!CR128*MAX(0,MIN(3,核心参数输入!$B$42+3*核心参数输入!$B$125-2*3)-MAX(0,3*核心参数输入!$B$125-2*3))+季度经营税费!CQ128*MAX(0,MIN(3,核心参数输入!$B$42+3*核心参数输入!$B$125-3*3)-MAX(0,3*核心参数输入!$B$125-3*3))+季度经营税费!CP128*MAX(0,MIN(3,核心参数输入!$B$42+3*核心参数输入!$B$125-4*3)-MAX(0,3*核心参数输入!$B$125-4*3)))*CT130/10000,0)</f>
        <v>0</v>
      </c>
      <c r="CU132" s="9">
        <f>IF(95&lt;=核心参数输入!$B$9*4,(季度经营税费!CU128*MAX(0,MIN(3,核心参数输入!$B$42+3*核心参数输入!$B$125-0*3)-MAX(0,3*核心参数输入!$B$125-0*3))+季度经营税费!CT128*MAX(0,MIN(3,核心参数输入!$B$42+3*核心参数输入!$B$125-1*3)-MAX(0,3*核心参数输入!$B$125-1*3))+季度经营税费!CS128*MAX(0,MIN(3,核心参数输入!$B$42+3*核心参数输入!$B$125-2*3)-MAX(0,3*核心参数输入!$B$125-2*3))+季度经营税费!CR128*MAX(0,MIN(3,核心参数输入!$B$42+3*核心参数输入!$B$125-3*3)-MAX(0,3*核心参数输入!$B$125-3*3))+季度经营税费!CQ128*MAX(0,MIN(3,核心参数输入!$B$42+3*核心参数输入!$B$125-4*3)-MAX(0,3*核心参数输入!$B$125-4*3)))*CU130/10000,0)</f>
        <v>0</v>
      </c>
      <c r="CV132" s="9">
        <f>IF(96&lt;=核心参数输入!$B$9*4,(季度经营税费!CV128*MAX(0,MIN(3,核心参数输入!$B$42+3*核心参数输入!$B$125-0*3)-MAX(0,3*核心参数输入!$B$125-0*3))+季度经营税费!CU128*MAX(0,MIN(3,核心参数输入!$B$42+3*核心参数输入!$B$125-1*3)-MAX(0,3*核心参数输入!$B$125-1*3))+季度经营税费!CT128*MAX(0,MIN(3,核心参数输入!$B$42+3*核心参数输入!$B$125-2*3)-MAX(0,3*核心参数输入!$B$125-2*3))+季度经营税费!CS128*MAX(0,MIN(3,核心参数输入!$B$42+3*核心参数输入!$B$125-3*3)-MAX(0,3*核心参数输入!$B$125-3*3))+季度经营税费!CR128*MAX(0,MIN(3,核心参数输入!$B$42+3*核心参数输入!$B$125-4*3)-MAX(0,3*核心参数输入!$B$125-4*3)))*CV130/10000,0)</f>
        <v>0</v>
      </c>
      <c r="CW132" s="9">
        <f>IF(97&lt;=核心参数输入!$B$9*4,(季度经营税费!CW128*MAX(0,MIN(3,核心参数输入!$B$42+3*核心参数输入!$B$125-0*3)-MAX(0,3*核心参数输入!$B$125-0*3))+季度经营税费!CV128*MAX(0,MIN(3,核心参数输入!$B$42+3*核心参数输入!$B$125-1*3)-MAX(0,3*核心参数输入!$B$125-1*3))+季度经营税费!CU128*MAX(0,MIN(3,核心参数输入!$B$42+3*核心参数输入!$B$125-2*3)-MAX(0,3*核心参数输入!$B$125-2*3))+季度经营税费!CT128*MAX(0,MIN(3,核心参数输入!$B$42+3*核心参数输入!$B$125-3*3)-MAX(0,3*核心参数输入!$B$125-3*3))+季度经营税费!CS128*MAX(0,MIN(3,核心参数输入!$B$42+3*核心参数输入!$B$125-4*3)-MAX(0,3*核心参数输入!$B$125-4*3)))*CW130/10000,0)</f>
        <v>0</v>
      </c>
      <c r="CX132" s="9">
        <f>IF(98&lt;=核心参数输入!$B$9*4,(季度经营税费!CX128*MAX(0,MIN(3,核心参数输入!$B$42+3*核心参数输入!$B$125-0*3)-MAX(0,3*核心参数输入!$B$125-0*3))+季度经营税费!CW128*MAX(0,MIN(3,核心参数输入!$B$42+3*核心参数输入!$B$125-1*3)-MAX(0,3*核心参数输入!$B$125-1*3))+季度经营税费!CV128*MAX(0,MIN(3,核心参数输入!$B$42+3*核心参数输入!$B$125-2*3)-MAX(0,3*核心参数输入!$B$125-2*3))+季度经营税费!CU128*MAX(0,MIN(3,核心参数输入!$B$42+3*核心参数输入!$B$125-3*3)-MAX(0,3*核心参数输入!$B$125-3*3))+季度经营税费!CT128*MAX(0,MIN(3,核心参数输入!$B$42+3*核心参数输入!$B$125-4*3)-MAX(0,3*核心参数输入!$B$125-4*3)))*CX130/10000,0)</f>
        <v>0</v>
      </c>
      <c r="CY132" s="9">
        <f>IF(99&lt;=核心参数输入!$B$9*4,(季度经营税费!CY128*MAX(0,MIN(3,核心参数输入!$B$42+3*核心参数输入!$B$125-0*3)-MAX(0,3*核心参数输入!$B$125-0*3))+季度经营税费!CX128*MAX(0,MIN(3,核心参数输入!$B$42+3*核心参数输入!$B$125-1*3)-MAX(0,3*核心参数输入!$B$125-1*3))+季度经营税费!CW128*MAX(0,MIN(3,核心参数输入!$B$42+3*核心参数输入!$B$125-2*3)-MAX(0,3*核心参数输入!$B$125-2*3))+季度经营税费!CV128*MAX(0,MIN(3,核心参数输入!$B$42+3*核心参数输入!$B$125-3*3)-MAX(0,3*核心参数输入!$B$125-3*3))+季度经营税费!CU128*MAX(0,MIN(3,核心参数输入!$B$42+3*核心参数输入!$B$125-4*3)-MAX(0,3*核心参数输入!$B$125-4*3)))*CY130/10000,0)</f>
        <v>0</v>
      </c>
      <c r="CZ132" s="9">
        <f>IF(100&lt;=核心参数输入!$B$9*4,(季度经营税费!CZ128*MAX(0,MIN(3,核心参数输入!$B$42+3*核心参数输入!$B$125-0*3)-MAX(0,3*核心参数输入!$B$125-0*3))+季度经营税费!CY128*MAX(0,MIN(3,核心参数输入!$B$42+3*核心参数输入!$B$125-1*3)-MAX(0,3*核心参数输入!$B$125-1*3))+季度经营税费!CX128*MAX(0,MIN(3,核心参数输入!$B$42+3*核心参数输入!$B$125-2*3)-MAX(0,3*核心参数输入!$B$125-2*3))+季度经营税费!CW128*MAX(0,MIN(3,核心参数输入!$B$42+3*核心参数输入!$B$125-3*3)-MAX(0,3*核心参数输入!$B$125-3*3))+季度经营税费!CV128*MAX(0,MIN(3,核心参数输入!$B$42+3*核心参数输入!$B$125-4*3)-MAX(0,3*核心参数输入!$B$125-4*3)))*CZ130/10000,0)</f>
        <v>0</v>
      </c>
      <c r="DA132" s="9">
        <f>IF(101&lt;=核心参数输入!$B$9*4,(季度经营税费!DA128*MAX(0,MIN(3,核心参数输入!$B$42+3*核心参数输入!$B$125-0*3)-MAX(0,3*核心参数输入!$B$125-0*3))+季度经营税费!CZ128*MAX(0,MIN(3,核心参数输入!$B$42+3*核心参数输入!$B$125-1*3)-MAX(0,3*核心参数输入!$B$125-1*3))+季度经营税费!CY128*MAX(0,MIN(3,核心参数输入!$B$42+3*核心参数输入!$B$125-2*3)-MAX(0,3*核心参数输入!$B$125-2*3))+季度经营税费!CX128*MAX(0,MIN(3,核心参数输入!$B$42+3*核心参数输入!$B$125-3*3)-MAX(0,3*核心参数输入!$B$125-3*3))+季度经营税费!CW128*MAX(0,MIN(3,核心参数输入!$B$42+3*核心参数输入!$B$125-4*3)-MAX(0,3*核心参数输入!$B$125-4*3)))*DA130/10000,0)</f>
        <v>0</v>
      </c>
      <c r="DB132" s="9">
        <f>IF(102&lt;=核心参数输入!$B$9*4,(季度经营税费!DB128*MAX(0,MIN(3,核心参数输入!$B$42+3*核心参数输入!$B$125-0*3)-MAX(0,3*核心参数输入!$B$125-0*3))+季度经营税费!DA128*MAX(0,MIN(3,核心参数输入!$B$42+3*核心参数输入!$B$125-1*3)-MAX(0,3*核心参数输入!$B$125-1*3))+季度经营税费!CZ128*MAX(0,MIN(3,核心参数输入!$B$42+3*核心参数输入!$B$125-2*3)-MAX(0,3*核心参数输入!$B$125-2*3))+季度经营税费!CY128*MAX(0,MIN(3,核心参数输入!$B$42+3*核心参数输入!$B$125-3*3)-MAX(0,3*核心参数输入!$B$125-3*3))+季度经营税费!CX128*MAX(0,MIN(3,核心参数输入!$B$42+3*核心参数输入!$B$125-4*3)-MAX(0,3*核心参数输入!$B$125-4*3)))*DB130/10000,0)</f>
        <v>0</v>
      </c>
      <c r="DC132" s="9">
        <f>IF(103&lt;=核心参数输入!$B$9*4,(季度经营税费!DC128*MAX(0,MIN(3,核心参数输入!$B$42+3*核心参数输入!$B$125-0*3)-MAX(0,3*核心参数输入!$B$125-0*3))+季度经营税费!DB128*MAX(0,MIN(3,核心参数输入!$B$42+3*核心参数输入!$B$125-1*3)-MAX(0,3*核心参数输入!$B$125-1*3))+季度经营税费!DA128*MAX(0,MIN(3,核心参数输入!$B$42+3*核心参数输入!$B$125-2*3)-MAX(0,3*核心参数输入!$B$125-2*3))+季度经营税费!CZ128*MAX(0,MIN(3,核心参数输入!$B$42+3*核心参数输入!$B$125-3*3)-MAX(0,3*核心参数输入!$B$125-3*3))+季度经营税费!CY128*MAX(0,MIN(3,核心参数输入!$B$42+3*核心参数输入!$B$125-4*3)-MAX(0,3*核心参数输入!$B$125-4*3)))*DC130/10000,0)</f>
        <v>0</v>
      </c>
      <c r="DD132" s="9">
        <f>IF(104&lt;=核心参数输入!$B$9*4,(季度经营税费!DD128*MAX(0,MIN(3,核心参数输入!$B$42+3*核心参数输入!$B$125-0*3)-MAX(0,3*核心参数输入!$B$125-0*3))+季度经营税费!DC128*MAX(0,MIN(3,核心参数输入!$B$42+3*核心参数输入!$B$125-1*3)-MAX(0,3*核心参数输入!$B$125-1*3))+季度经营税费!DB128*MAX(0,MIN(3,核心参数输入!$B$42+3*核心参数输入!$B$125-2*3)-MAX(0,3*核心参数输入!$B$125-2*3))+季度经营税费!DA128*MAX(0,MIN(3,核心参数输入!$B$42+3*核心参数输入!$B$125-3*3)-MAX(0,3*核心参数输入!$B$125-3*3))+季度经营税费!CZ128*MAX(0,MIN(3,核心参数输入!$B$42+3*核心参数输入!$B$125-4*3)-MAX(0,3*核心参数输入!$B$125-4*3)))*DD130/10000,0)</f>
        <v>0</v>
      </c>
      <c r="DE132" s="9">
        <f>IF(105&lt;=核心参数输入!$B$9*4,(季度经营税费!DE128*MAX(0,MIN(3,核心参数输入!$B$42+3*核心参数输入!$B$125-0*3)-MAX(0,3*核心参数输入!$B$125-0*3))+季度经营税费!DD128*MAX(0,MIN(3,核心参数输入!$B$42+3*核心参数输入!$B$125-1*3)-MAX(0,3*核心参数输入!$B$125-1*3))+季度经营税费!DC128*MAX(0,MIN(3,核心参数输入!$B$42+3*核心参数输入!$B$125-2*3)-MAX(0,3*核心参数输入!$B$125-2*3))+季度经营税费!DB128*MAX(0,MIN(3,核心参数输入!$B$42+3*核心参数输入!$B$125-3*3)-MAX(0,3*核心参数输入!$B$125-3*3))+季度经营税费!DA128*MAX(0,MIN(3,核心参数输入!$B$42+3*核心参数输入!$B$125-4*3)-MAX(0,3*核心参数输入!$B$125-4*3)))*DE130/10000,0)</f>
        <v>0</v>
      </c>
      <c r="DF132" s="9">
        <f>IF(106&lt;=核心参数输入!$B$9*4,(季度经营税费!DF128*MAX(0,MIN(3,核心参数输入!$B$42+3*核心参数输入!$B$125-0*3)-MAX(0,3*核心参数输入!$B$125-0*3))+季度经营税费!DE128*MAX(0,MIN(3,核心参数输入!$B$42+3*核心参数输入!$B$125-1*3)-MAX(0,3*核心参数输入!$B$125-1*3))+季度经营税费!DD128*MAX(0,MIN(3,核心参数输入!$B$42+3*核心参数输入!$B$125-2*3)-MAX(0,3*核心参数输入!$B$125-2*3))+季度经营税费!DC128*MAX(0,MIN(3,核心参数输入!$B$42+3*核心参数输入!$B$125-3*3)-MAX(0,3*核心参数输入!$B$125-3*3))+季度经营税费!DB128*MAX(0,MIN(3,核心参数输入!$B$42+3*核心参数输入!$B$125-4*3)-MAX(0,3*核心参数输入!$B$125-4*3)))*DF130/10000,0)</f>
        <v>0</v>
      </c>
      <c r="DG132" s="9">
        <f>IF(107&lt;=核心参数输入!$B$9*4,(季度经营税费!DG128*MAX(0,MIN(3,核心参数输入!$B$42+3*核心参数输入!$B$125-0*3)-MAX(0,3*核心参数输入!$B$125-0*3))+季度经营税费!DF128*MAX(0,MIN(3,核心参数输入!$B$42+3*核心参数输入!$B$125-1*3)-MAX(0,3*核心参数输入!$B$125-1*3))+季度经营税费!DE128*MAX(0,MIN(3,核心参数输入!$B$42+3*核心参数输入!$B$125-2*3)-MAX(0,3*核心参数输入!$B$125-2*3))+季度经营税费!DD128*MAX(0,MIN(3,核心参数输入!$B$42+3*核心参数输入!$B$125-3*3)-MAX(0,3*核心参数输入!$B$125-3*3))+季度经营税费!DC128*MAX(0,MIN(3,核心参数输入!$B$42+3*核心参数输入!$B$125-4*3)-MAX(0,3*核心参数输入!$B$125-4*3)))*DG130/10000,0)</f>
        <v>0</v>
      </c>
      <c r="DH132" s="9">
        <f>IF(108&lt;=核心参数输入!$B$9*4,(季度经营税费!DH128*MAX(0,MIN(3,核心参数输入!$B$42+3*核心参数输入!$B$125-0*3)-MAX(0,3*核心参数输入!$B$125-0*3))+季度经营税费!DG128*MAX(0,MIN(3,核心参数输入!$B$42+3*核心参数输入!$B$125-1*3)-MAX(0,3*核心参数输入!$B$125-1*3))+季度经营税费!DF128*MAX(0,MIN(3,核心参数输入!$B$42+3*核心参数输入!$B$125-2*3)-MAX(0,3*核心参数输入!$B$125-2*3))+季度经营税费!DE128*MAX(0,MIN(3,核心参数输入!$B$42+3*核心参数输入!$B$125-3*3)-MAX(0,3*核心参数输入!$B$125-3*3))+季度经营税费!DD128*MAX(0,MIN(3,核心参数输入!$B$42+3*核心参数输入!$B$125-4*3)-MAX(0,3*核心参数输入!$B$125-4*3)))*DH130/10000,0)</f>
        <v>0</v>
      </c>
      <c r="DI132" s="9">
        <f>IF(109&lt;=核心参数输入!$B$9*4,(季度经营税费!DI128*MAX(0,MIN(3,核心参数输入!$B$42+3*核心参数输入!$B$125-0*3)-MAX(0,3*核心参数输入!$B$125-0*3))+季度经营税费!DH128*MAX(0,MIN(3,核心参数输入!$B$42+3*核心参数输入!$B$125-1*3)-MAX(0,3*核心参数输入!$B$125-1*3))+季度经营税费!DG128*MAX(0,MIN(3,核心参数输入!$B$42+3*核心参数输入!$B$125-2*3)-MAX(0,3*核心参数输入!$B$125-2*3))+季度经营税费!DF128*MAX(0,MIN(3,核心参数输入!$B$42+3*核心参数输入!$B$125-3*3)-MAX(0,3*核心参数输入!$B$125-3*3))+季度经营税费!DE128*MAX(0,MIN(3,核心参数输入!$B$42+3*核心参数输入!$B$125-4*3)-MAX(0,3*核心参数输入!$B$125-4*3)))*DI130/10000,0)</f>
        <v>0</v>
      </c>
      <c r="DJ132" s="9">
        <f>IF(110&lt;=核心参数输入!$B$9*4,(季度经营税费!DJ128*MAX(0,MIN(3,核心参数输入!$B$42+3*核心参数输入!$B$125-0*3)-MAX(0,3*核心参数输入!$B$125-0*3))+季度经营税费!DI128*MAX(0,MIN(3,核心参数输入!$B$42+3*核心参数输入!$B$125-1*3)-MAX(0,3*核心参数输入!$B$125-1*3))+季度经营税费!DH128*MAX(0,MIN(3,核心参数输入!$B$42+3*核心参数输入!$B$125-2*3)-MAX(0,3*核心参数输入!$B$125-2*3))+季度经营税费!DG128*MAX(0,MIN(3,核心参数输入!$B$42+3*核心参数输入!$B$125-3*3)-MAX(0,3*核心参数输入!$B$125-3*3))+季度经营税费!DF128*MAX(0,MIN(3,核心参数输入!$B$42+3*核心参数输入!$B$125-4*3)-MAX(0,3*核心参数输入!$B$125-4*3)))*DJ130/10000,0)</f>
        <v>0</v>
      </c>
      <c r="DK132" s="9">
        <f>IF(111&lt;=核心参数输入!$B$9*4,(季度经营税费!DK128*MAX(0,MIN(3,核心参数输入!$B$42+3*核心参数输入!$B$125-0*3)-MAX(0,3*核心参数输入!$B$125-0*3))+季度经营税费!DJ128*MAX(0,MIN(3,核心参数输入!$B$42+3*核心参数输入!$B$125-1*3)-MAX(0,3*核心参数输入!$B$125-1*3))+季度经营税费!DI128*MAX(0,MIN(3,核心参数输入!$B$42+3*核心参数输入!$B$125-2*3)-MAX(0,3*核心参数输入!$B$125-2*3))+季度经营税费!DH128*MAX(0,MIN(3,核心参数输入!$B$42+3*核心参数输入!$B$125-3*3)-MAX(0,3*核心参数输入!$B$125-3*3))+季度经营税费!DG128*MAX(0,MIN(3,核心参数输入!$B$42+3*核心参数输入!$B$125-4*3)-MAX(0,3*核心参数输入!$B$125-4*3)))*DK130/10000,0)</f>
        <v>0</v>
      </c>
      <c r="DL132" s="9">
        <f>IF(112&lt;=核心参数输入!$B$9*4,(季度经营税费!DL128*MAX(0,MIN(3,核心参数输入!$B$42+3*核心参数输入!$B$125-0*3)-MAX(0,3*核心参数输入!$B$125-0*3))+季度经营税费!DK128*MAX(0,MIN(3,核心参数输入!$B$42+3*核心参数输入!$B$125-1*3)-MAX(0,3*核心参数输入!$B$125-1*3))+季度经营税费!DJ128*MAX(0,MIN(3,核心参数输入!$B$42+3*核心参数输入!$B$125-2*3)-MAX(0,3*核心参数输入!$B$125-2*3))+季度经营税费!DI128*MAX(0,MIN(3,核心参数输入!$B$42+3*核心参数输入!$B$125-3*3)-MAX(0,3*核心参数输入!$B$125-3*3))+季度经营税费!DH128*MAX(0,MIN(3,核心参数输入!$B$42+3*核心参数输入!$B$125-4*3)-MAX(0,3*核心参数输入!$B$125-4*3)))*DL130/10000,0)</f>
        <v>0</v>
      </c>
      <c r="DM132" s="9">
        <f>IF(113&lt;=核心参数输入!$B$9*4,(季度经营税费!DM128*MAX(0,MIN(3,核心参数输入!$B$42+3*核心参数输入!$B$125-0*3)-MAX(0,3*核心参数输入!$B$125-0*3))+季度经营税费!DL128*MAX(0,MIN(3,核心参数输入!$B$42+3*核心参数输入!$B$125-1*3)-MAX(0,3*核心参数输入!$B$125-1*3))+季度经营税费!DK128*MAX(0,MIN(3,核心参数输入!$B$42+3*核心参数输入!$B$125-2*3)-MAX(0,3*核心参数输入!$B$125-2*3))+季度经营税费!DJ128*MAX(0,MIN(3,核心参数输入!$B$42+3*核心参数输入!$B$125-3*3)-MAX(0,3*核心参数输入!$B$125-3*3))+季度经营税费!DI128*MAX(0,MIN(3,核心参数输入!$B$42+3*核心参数输入!$B$125-4*3)-MAX(0,3*核心参数输入!$B$125-4*3)))*DM130/10000,0)</f>
        <v>0</v>
      </c>
      <c r="DN132" s="9">
        <f>IF(114&lt;=核心参数输入!$B$9*4,(季度经营税费!DN128*MAX(0,MIN(3,核心参数输入!$B$42+3*核心参数输入!$B$125-0*3)-MAX(0,3*核心参数输入!$B$125-0*3))+季度经营税费!DM128*MAX(0,MIN(3,核心参数输入!$B$42+3*核心参数输入!$B$125-1*3)-MAX(0,3*核心参数输入!$B$125-1*3))+季度经营税费!DL128*MAX(0,MIN(3,核心参数输入!$B$42+3*核心参数输入!$B$125-2*3)-MAX(0,3*核心参数输入!$B$125-2*3))+季度经营税费!DK128*MAX(0,MIN(3,核心参数输入!$B$42+3*核心参数输入!$B$125-3*3)-MAX(0,3*核心参数输入!$B$125-3*3))+季度经营税费!DJ128*MAX(0,MIN(3,核心参数输入!$B$42+3*核心参数输入!$B$125-4*3)-MAX(0,3*核心参数输入!$B$125-4*3)))*DN130/10000,0)</f>
        <v>0</v>
      </c>
      <c r="DO132" s="9">
        <f>IF(115&lt;=核心参数输入!$B$9*4,(季度经营税费!DO128*MAX(0,MIN(3,核心参数输入!$B$42+3*核心参数输入!$B$125-0*3)-MAX(0,3*核心参数输入!$B$125-0*3))+季度经营税费!DN128*MAX(0,MIN(3,核心参数输入!$B$42+3*核心参数输入!$B$125-1*3)-MAX(0,3*核心参数输入!$B$125-1*3))+季度经营税费!DM128*MAX(0,MIN(3,核心参数输入!$B$42+3*核心参数输入!$B$125-2*3)-MAX(0,3*核心参数输入!$B$125-2*3))+季度经营税费!DL128*MAX(0,MIN(3,核心参数输入!$B$42+3*核心参数输入!$B$125-3*3)-MAX(0,3*核心参数输入!$B$125-3*3))+季度经营税费!DK128*MAX(0,MIN(3,核心参数输入!$B$42+3*核心参数输入!$B$125-4*3)-MAX(0,3*核心参数输入!$B$125-4*3)))*DO130/10000,0)</f>
        <v>0</v>
      </c>
      <c r="DP132" s="9">
        <f>IF(116&lt;=核心参数输入!$B$9*4,(季度经营税费!DP128*MAX(0,MIN(3,核心参数输入!$B$42+3*核心参数输入!$B$125-0*3)-MAX(0,3*核心参数输入!$B$125-0*3))+季度经营税费!DO128*MAX(0,MIN(3,核心参数输入!$B$42+3*核心参数输入!$B$125-1*3)-MAX(0,3*核心参数输入!$B$125-1*3))+季度经营税费!DN128*MAX(0,MIN(3,核心参数输入!$B$42+3*核心参数输入!$B$125-2*3)-MAX(0,3*核心参数输入!$B$125-2*3))+季度经营税费!DM128*MAX(0,MIN(3,核心参数输入!$B$42+3*核心参数输入!$B$125-3*3)-MAX(0,3*核心参数输入!$B$125-3*3))+季度经营税费!DL128*MAX(0,MIN(3,核心参数输入!$B$42+3*核心参数输入!$B$125-4*3)-MAX(0,3*核心参数输入!$B$125-4*3)))*DP130/10000,0)</f>
        <v>0</v>
      </c>
      <c r="DQ132" s="9">
        <f>IF(117&lt;=核心参数输入!$B$9*4,(季度经营税费!DQ128*MAX(0,MIN(3,核心参数输入!$B$42+3*核心参数输入!$B$125-0*3)-MAX(0,3*核心参数输入!$B$125-0*3))+季度经营税费!DP128*MAX(0,MIN(3,核心参数输入!$B$42+3*核心参数输入!$B$125-1*3)-MAX(0,3*核心参数输入!$B$125-1*3))+季度经营税费!DO128*MAX(0,MIN(3,核心参数输入!$B$42+3*核心参数输入!$B$125-2*3)-MAX(0,3*核心参数输入!$B$125-2*3))+季度经营税费!DN128*MAX(0,MIN(3,核心参数输入!$B$42+3*核心参数输入!$B$125-3*3)-MAX(0,3*核心参数输入!$B$125-3*3))+季度经营税费!DM128*MAX(0,MIN(3,核心参数输入!$B$42+3*核心参数输入!$B$125-4*3)-MAX(0,3*核心参数输入!$B$125-4*3)))*DQ130/10000,0)</f>
        <v>0</v>
      </c>
      <c r="DR132" s="9">
        <f>IF(118&lt;=核心参数输入!$B$9*4,(季度经营税费!DR128*MAX(0,MIN(3,核心参数输入!$B$42+3*核心参数输入!$B$125-0*3)-MAX(0,3*核心参数输入!$B$125-0*3))+季度经营税费!DQ128*MAX(0,MIN(3,核心参数输入!$B$42+3*核心参数输入!$B$125-1*3)-MAX(0,3*核心参数输入!$B$125-1*3))+季度经营税费!DP128*MAX(0,MIN(3,核心参数输入!$B$42+3*核心参数输入!$B$125-2*3)-MAX(0,3*核心参数输入!$B$125-2*3))+季度经营税费!DO128*MAX(0,MIN(3,核心参数输入!$B$42+3*核心参数输入!$B$125-3*3)-MAX(0,3*核心参数输入!$B$125-3*3))+季度经营税费!DN128*MAX(0,MIN(3,核心参数输入!$B$42+3*核心参数输入!$B$125-4*3)-MAX(0,3*核心参数输入!$B$125-4*3)))*DR130/10000,0)</f>
        <v>0</v>
      </c>
      <c r="DS132" s="9">
        <f>IF(119&lt;=核心参数输入!$B$9*4,(季度经营税费!DS128*MAX(0,MIN(3,核心参数输入!$B$42+3*核心参数输入!$B$125-0*3)-MAX(0,3*核心参数输入!$B$125-0*3))+季度经营税费!DR128*MAX(0,MIN(3,核心参数输入!$B$42+3*核心参数输入!$B$125-1*3)-MAX(0,3*核心参数输入!$B$125-1*3))+季度经营税费!DQ128*MAX(0,MIN(3,核心参数输入!$B$42+3*核心参数输入!$B$125-2*3)-MAX(0,3*核心参数输入!$B$125-2*3))+季度经营税费!DP128*MAX(0,MIN(3,核心参数输入!$B$42+3*核心参数输入!$B$125-3*3)-MAX(0,3*核心参数输入!$B$125-3*3))+季度经营税费!DO128*MAX(0,MIN(3,核心参数输入!$B$42+3*核心参数输入!$B$125-4*3)-MAX(0,3*核心参数输入!$B$125-4*3)))*DS130/10000,0)</f>
        <v>0</v>
      </c>
      <c r="DT132" s="9">
        <f>IF(120&lt;=核心参数输入!$B$9*4,(季度经营税费!DT128*MAX(0,MIN(3,核心参数输入!$B$42+3*核心参数输入!$B$125-0*3)-MAX(0,3*核心参数输入!$B$125-0*3))+季度经营税费!DS128*MAX(0,MIN(3,核心参数输入!$B$42+3*核心参数输入!$B$125-1*3)-MAX(0,3*核心参数输入!$B$125-1*3))+季度经营税费!DR128*MAX(0,MIN(3,核心参数输入!$B$42+3*核心参数输入!$B$125-2*3)-MAX(0,3*核心参数输入!$B$125-2*3))+季度经营税费!DQ128*MAX(0,MIN(3,核心参数输入!$B$42+3*核心参数输入!$B$125-3*3)-MAX(0,3*核心参数输入!$B$125-3*3))+季度经营税费!DP128*MAX(0,MIN(3,核心参数输入!$B$42+3*核心参数输入!$B$125-4*3)-MAX(0,3*核心参数输入!$B$125-4*3)))*DT130/10000,0)</f>
        <v>0</v>
      </c>
    </row>
    <row r="133" spans="1:124" ht="21" customHeight="1">
      <c r="A133" s="8" t="s">
        <v>459</v>
      </c>
      <c r="B133" s="8" t="s">
        <v>39</v>
      </c>
      <c r="C133" s="8"/>
      <c r="D133" s="9">
        <f>IF(0&lt;=核心参数输入!$B$9*4,MAX(0,D131-D132),0)</f>
        <v>0</v>
      </c>
      <c r="E133" s="9">
        <f>IF(1&lt;=核心参数输入!$B$9*4,MAX(0,E131-E132),0)</f>
        <v>0</v>
      </c>
      <c r="F133" s="9">
        <f>IF(2&lt;=核心参数输入!$B$9*4,MAX(0,F131-F132),0)</f>
        <v>0</v>
      </c>
      <c r="G133" s="9">
        <f>IF(3&lt;=核心参数输入!$B$9*4,MAX(0,G131-G132),0)</f>
        <v>0</v>
      </c>
      <c r="H133" s="9">
        <f>IF(4&lt;=核心参数输入!$B$9*4,MAX(0,H131-H132),0)</f>
        <v>0</v>
      </c>
      <c r="I133" s="9">
        <f>IF(5&lt;=核心参数输入!$B$9*4,MAX(0,I131-I132),0)</f>
        <v>0</v>
      </c>
      <c r="J133" s="9">
        <f>IF(6&lt;=核心参数输入!$B$9*4,MAX(0,J131-J132),0)</f>
        <v>0</v>
      </c>
      <c r="K133" s="9">
        <f>IF(7&lt;=核心参数输入!$B$9*4,MAX(0,K131-K132),0)</f>
        <v>0</v>
      </c>
      <c r="L133" s="9">
        <f>IF(8&lt;=核心参数输入!$B$9*4,MAX(0,L131-L132),0)</f>
        <v>0</v>
      </c>
      <c r="M133" s="9">
        <f>IF(9&lt;=核心参数输入!$B$9*4,MAX(0,M131-M132),0)</f>
        <v>0</v>
      </c>
      <c r="N133" s="9">
        <f>IF(10&lt;=核心参数输入!$B$9*4,MAX(0,N131-N132),0)</f>
        <v>0</v>
      </c>
      <c r="O133" s="9">
        <f>IF(11&lt;=核心参数输入!$B$9*4,MAX(0,O131-O132),0)</f>
        <v>0</v>
      </c>
      <c r="P133" s="9">
        <f>IF(12&lt;=核心参数输入!$B$9*4,MAX(0,P131-P132),0)</f>
        <v>0</v>
      </c>
      <c r="Q133" s="9">
        <f>IF(13&lt;=核心参数输入!$B$9*4,MAX(0,Q131-Q132),0)</f>
        <v>0</v>
      </c>
      <c r="R133" s="9">
        <f>IF(14&lt;=核心参数输入!$B$9*4,MAX(0,R131-R132),0)</f>
        <v>21.323250000000009</v>
      </c>
      <c r="S133" s="9">
        <f>IF(15&lt;=核心参数输入!$B$9*4,MAX(0,S131-S132),0)</f>
        <v>63.969750000000019</v>
      </c>
      <c r="T133" s="9">
        <f>IF(16&lt;=核心参数输入!$B$9*4,MAX(0,T131-T132),0)</f>
        <v>106.61625000000001</v>
      </c>
      <c r="U133" s="9">
        <f>IF(17&lt;=核心参数输入!$B$9*4,MAX(0,U131-U132),0)</f>
        <v>151.50169125000002</v>
      </c>
      <c r="V133" s="9">
        <f>IF(18&lt;=核心参数输入!$B$9*4,MAX(0,V131-V132),0)</f>
        <v>183.96633937499999</v>
      </c>
      <c r="W133" s="9">
        <f>IF(19&lt;=核心参数输入!$B$9*4,MAX(0,W131-W132),0)</f>
        <v>205.609438125</v>
      </c>
      <c r="X133" s="9">
        <f>IF(20&lt;=核心参数输入!$B$9*4,MAX(0,X131-X132),0)</f>
        <v>227.252536875</v>
      </c>
      <c r="Y133" s="9">
        <f>IF(21&lt;=核心参数输入!$B$9*4,MAX(0,Y131-Y132),0)</f>
        <v>252.62907015937489</v>
      </c>
      <c r="Z133" s="9">
        <f>IF(22&lt;=核心参数输入!$B$9*4,MAX(0,Z131-Z132),0)</f>
        <v>271.85084723671866</v>
      </c>
      <c r="AA133" s="9">
        <f>IF(23&lt;=核心参数输入!$B$9*4,MAX(0,AA131-AA132),0)</f>
        <v>288.32665616015618</v>
      </c>
      <c r="AB133" s="9">
        <f>IF(24&lt;=核心参数输入!$B$9*4,MAX(0,AB131-AB132),0)</f>
        <v>304.80246508359369</v>
      </c>
      <c r="AC133" s="9">
        <f>IF(25&lt;=核心参数输入!$B$9*4,MAX(0,AC131-AC132),0)</f>
        <v>326.09744811713654</v>
      </c>
      <c r="AD133" s="9">
        <f>IF(26&lt;=核心参数输入!$B$9*4,MAX(0,AD131-AD132),0)</f>
        <v>337.24607882199592</v>
      </c>
      <c r="AE133" s="9">
        <f>IF(27&lt;=核心参数输入!$B$9*4,MAX(0,AE131-AE132),0)</f>
        <v>342.82039417442559</v>
      </c>
      <c r="AF133" s="9">
        <f>IF(28&lt;=核心参数输入!$B$9*4,MAX(0,AF131-AF132),0)</f>
        <v>348.39470952685531</v>
      </c>
      <c r="AG133" s="9">
        <f>IF(29&lt;=核心参数输入!$B$9*4,MAX(0,AG131-AG132),0)</f>
        <v>359.27856025247428</v>
      </c>
      <c r="AH133" s="9">
        <f>IF(30&lt;=核心参数输入!$B$9*4,MAX(0,AH131-AH132),0)</f>
        <v>362.10752529383234</v>
      </c>
      <c r="AI133" s="9">
        <f>IF(31&lt;=核心参数输入!$B$9*4,MAX(0,AI131-AI132),0)</f>
        <v>362.10752529383234</v>
      </c>
      <c r="AJ133" s="9">
        <f>IF(32&lt;=核心参数输入!$B$9*4,MAX(0,AJ131-AJ132),0)</f>
        <v>362.10752529383234</v>
      </c>
      <c r="AK133" s="9">
        <f>IF(33&lt;=核心参数输入!$B$9*4,MAX(0,AK131-AK132),0)</f>
        <v>367.53913817323979</v>
      </c>
      <c r="AL133" s="9">
        <f>IF(34&lt;=核心参数输入!$B$9*4,MAX(0,AL131-AL132),0)</f>
        <v>367.53913817323979</v>
      </c>
      <c r="AM133" s="9">
        <f>IF(35&lt;=核心参数输入!$B$9*4,MAX(0,AM131-AM132),0)</f>
        <v>367.53913817323979</v>
      </c>
      <c r="AN133" s="9">
        <f>IF(36&lt;=核心参数输入!$B$9*4,MAX(0,AN131-AN132),0)</f>
        <v>367.53913817323979</v>
      </c>
      <c r="AO133" s="9">
        <f>IF(37&lt;=核心参数输入!$B$9*4,MAX(0,AO131-AO132),0)</f>
        <v>373.05222524583832</v>
      </c>
      <c r="AP133" s="9">
        <f>IF(38&lt;=核心参数输入!$B$9*4,MAX(0,AP131-AP132),0)</f>
        <v>373.05222524583832</v>
      </c>
      <c r="AQ133" s="9">
        <f>IF(39&lt;=核心参数输入!$B$9*4,MAX(0,AQ131-AQ132),0)</f>
        <v>373.05222524583832</v>
      </c>
      <c r="AR133" s="9">
        <f>IF(40&lt;=核心参数输入!$B$9*4,MAX(0,AR131-AR132),0)</f>
        <v>373.05222524583832</v>
      </c>
      <c r="AS133" s="9">
        <f>IF(41&lt;=核心参数输入!$B$9*4,MAX(0,AS131-AS132),0)</f>
        <v>378.64800862452586</v>
      </c>
      <c r="AT133" s="9">
        <f>IF(42&lt;=核心参数输入!$B$9*4,MAX(0,AT131-AT132),0)</f>
        <v>378.64800862452586</v>
      </c>
      <c r="AU133" s="9">
        <f>IF(43&lt;=核心参数输入!$B$9*4,MAX(0,AU131-AU132),0)</f>
        <v>378.64800862452586</v>
      </c>
      <c r="AV133" s="9">
        <f>IF(44&lt;=核心参数输入!$B$9*4,MAX(0,AV131-AV132),0)</f>
        <v>378.64800862452586</v>
      </c>
      <c r="AW133" s="9">
        <f>IF(45&lt;=核心参数输入!$B$9*4,MAX(0,AW131-AW132),0)</f>
        <v>384.32772875389361</v>
      </c>
      <c r="AX133" s="9">
        <f>IF(46&lt;=核心参数输入!$B$9*4,MAX(0,AX131-AX132),0)</f>
        <v>384.32772875389361</v>
      </c>
      <c r="AY133" s="9">
        <f>IF(47&lt;=核心参数输入!$B$9*4,MAX(0,AY131-AY132),0)</f>
        <v>384.32772875389361</v>
      </c>
      <c r="AZ133" s="9">
        <f>IF(48&lt;=核心参数输入!$B$9*4,MAX(0,AZ131-AZ132),0)</f>
        <v>384.32772875389361</v>
      </c>
      <c r="BA133" s="9">
        <f>IF(49&lt;=核心参数输入!$B$9*4,MAX(0,BA131-BA132),0)</f>
        <v>390.092644685202</v>
      </c>
      <c r="BB133" s="9">
        <f>IF(50&lt;=核心参数输入!$B$9*4,MAX(0,BB131-BB132),0)</f>
        <v>390.092644685202</v>
      </c>
      <c r="BC133" s="9">
        <f>IF(51&lt;=核心参数输入!$B$9*4,MAX(0,BC131-BC132),0)</f>
        <v>390.092644685202</v>
      </c>
      <c r="BD133" s="9">
        <f>IF(52&lt;=核心参数输入!$B$9*4,MAX(0,BD131-BD132),0)</f>
        <v>390.092644685202</v>
      </c>
      <c r="BE133" s="9">
        <f>IF(53&lt;=核心参数输入!$B$9*4,MAX(0,BE131-BE132),0)</f>
        <v>395.94403435547997</v>
      </c>
      <c r="BF133" s="9">
        <f>IF(54&lt;=核心参数输入!$B$9*4,MAX(0,BF131-BF132),0)</f>
        <v>395.94403435547997</v>
      </c>
      <c r="BG133" s="9">
        <f>IF(55&lt;=核心参数输入!$B$9*4,MAX(0,BG131-BG132),0)</f>
        <v>395.94403435547997</v>
      </c>
      <c r="BH133" s="9">
        <f>IF(56&lt;=核心参数输入!$B$9*4,MAX(0,BH131-BH132),0)</f>
        <v>395.94403435547997</v>
      </c>
      <c r="BI133" s="9">
        <f>IF(57&lt;=核心参数输入!$B$9*4,MAX(0,BI131-BI132),0)</f>
        <v>401.88319487081208</v>
      </c>
      <c r="BJ133" s="9">
        <f>IF(58&lt;=核心参数输入!$B$9*4,MAX(0,BJ131-BJ132),0)</f>
        <v>401.88319487081208</v>
      </c>
      <c r="BK133" s="9">
        <f>IF(59&lt;=核心参数输入!$B$9*4,MAX(0,BK131-BK132),0)</f>
        <v>401.88319487081208</v>
      </c>
      <c r="BL133" s="9">
        <f>IF(60&lt;=核心参数输入!$B$9*4,MAX(0,BL131-BL132),0)</f>
        <v>401.88319487081208</v>
      </c>
      <c r="BM133" s="9">
        <f>IF(61&lt;=核心参数输入!$B$9*4,MAX(0,BM131-BM132),0)</f>
        <v>407.91144279387419</v>
      </c>
      <c r="BN133" s="9">
        <f>IF(62&lt;=核心参数输入!$B$9*4,MAX(0,BN131-BN132),0)</f>
        <v>407.91144279387419</v>
      </c>
      <c r="BO133" s="9">
        <f>IF(63&lt;=核心参数输入!$B$9*4,MAX(0,BO131-BO132),0)</f>
        <v>407.91144279387419</v>
      </c>
      <c r="BP133" s="9">
        <f>IF(64&lt;=核心参数输入!$B$9*4,MAX(0,BP131-BP132),0)</f>
        <v>407.91144279387419</v>
      </c>
      <c r="BQ133" s="9">
        <f>IF(65&lt;=核心参数输入!$B$9*4,MAX(0,BQ131-BQ132),0)</f>
        <v>414.03011443578237</v>
      </c>
      <c r="BR133" s="9">
        <f>IF(66&lt;=核心参数输入!$B$9*4,MAX(0,BR131-BR132),0)</f>
        <v>414.03011443578237</v>
      </c>
      <c r="BS133" s="9">
        <f>IF(67&lt;=核心参数输入!$B$9*4,MAX(0,BS131-BS132),0)</f>
        <v>414.03011443578237</v>
      </c>
      <c r="BT133" s="9">
        <f>IF(68&lt;=核心参数输入!$B$9*4,MAX(0,BT131-BT132),0)</f>
        <v>414.03011443578237</v>
      </c>
      <c r="BU133" s="9">
        <f>IF(69&lt;=核心参数输入!$B$9*4,MAX(0,BU131-BU132),0)</f>
        <v>420.24056615231893</v>
      </c>
      <c r="BV133" s="9">
        <f>IF(70&lt;=核心参数输入!$B$9*4,MAX(0,BV131-BV132),0)</f>
        <v>420.24056615231893</v>
      </c>
      <c r="BW133" s="9">
        <f>IF(71&lt;=核心参数输入!$B$9*4,MAX(0,BW131-BW132),0)</f>
        <v>420.24056615231893</v>
      </c>
      <c r="BX133" s="9">
        <f>IF(72&lt;=核心参数输入!$B$9*4,MAX(0,BX131-BX132),0)</f>
        <v>420.24056615231893</v>
      </c>
      <c r="BY133" s="9">
        <f>IF(73&lt;=核心参数输入!$B$9*4,MAX(0,BY131-BY132),0)</f>
        <v>426.54417464460369</v>
      </c>
      <c r="BZ133" s="9">
        <f>IF(74&lt;=核心参数输入!$B$9*4,MAX(0,BZ131-BZ132),0)</f>
        <v>426.54417464460369</v>
      </c>
      <c r="CA133" s="9">
        <f>IF(75&lt;=核心参数输入!$B$9*4,MAX(0,CA131-CA132),0)</f>
        <v>426.54417464460369</v>
      </c>
      <c r="CB133" s="9">
        <f>IF(76&lt;=核心参数输入!$B$9*4,MAX(0,CB131-CB132),0)</f>
        <v>426.54417464460369</v>
      </c>
      <c r="CC133" s="9">
        <f>IF(77&lt;=核心参数输入!$B$9*4,MAX(0,CC131-CC132),0)</f>
        <v>432.94233726427268</v>
      </c>
      <c r="CD133" s="9">
        <f>IF(78&lt;=核心参数输入!$B$9*4,MAX(0,CD131-CD132),0)</f>
        <v>432.94233726427268</v>
      </c>
      <c r="CE133" s="9">
        <f>IF(79&lt;=核心参数输入!$B$9*4,MAX(0,CE131-CE132),0)</f>
        <v>432.94233726427268</v>
      </c>
      <c r="CF133" s="9">
        <f>IF(80&lt;=核心参数输入!$B$9*4,MAX(0,CF131-CF132),0)</f>
        <v>432.94233726427268</v>
      </c>
      <c r="CG133" s="9">
        <f>IF(81&lt;=核心参数输入!$B$9*4,MAX(0,CG131-CG132),0)</f>
        <v>0</v>
      </c>
      <c r="CH133" s="9">
        <f>IF(82&lt;=核心参数输入!$B$9*4,MAX(0,CH131-CH132),0)</f>
        <v>0</v>
      </c>
      <c r="CI133" s="9">
        <f>IF(83&lt;=核心参数输入!$B$9*4,MAX(0,CI131-CI132),0)</f>
        <v>0</v>
      </c>
      <c r="CJ133" s="9">
        <f>IF(84&lt;=核心参数输入!$B$9*4,MAX(0,CJ131-CJ132),0)</f>
        <v>0</v>
      </c>
      <c r="CK133" s="9">
        <f>IF(85&lt;=核心参数输入!$B$9*4,MAX(0,CK131-CK132),0)</f>
        <v>0</v>
      </c>
      <c r="CL133" s="9">
        <f>IF(86&lt;=核心参数输入!$B$9*4,MAX(0,CL131-CL132),0)</f>
        <v>0</v>
      </c>
      <c r="CM133" s="9">
        <f>IF(87&lt;=核心参数输入!$B$9*4,MAX(0,CM131-CM132),0)</f>
        <v>0</v>
      </c>
      <c r="CN133" s="9">
        <f>IF(88&lt;=核心参数输入!$B$9*4,MAX(0,CN131-CN132),0)</f>
        <v>0</v>
      </c>
      <c r="CO133" s="9">
        <f>IF(89&lt;=核心参数输入!$B$9*4,MAX(0,CO131-CO132),0)</f>
        <v>0</v>
      </c>
      <c r="CP133" s="9">
        <f>IF(90&lt;=核心参数输入!$B$9*4,MAX(0,CP131-CP132),0)</f>
        <v>0</v>
      </c>
      <c r="CQ133" s="9">
        <f>IF(91&lt;=核心参数输入!$B$9*4,MAX(0,CQ131-CQ132),0)</f>
        <v>0</v>
      </c>
      <c r="CR133" s="9">
        <f>IF(92&lt;=核心参数输入!$B$9*4,MAX(0,CR131-CR132),0)</f>
        <v>0</v>
      </c>
      <c r="CS133" s="9">
        <f>IF(93&lt;=核心参数输入!$B$9*4,MAX(0,CS131-CS132),0)</f>
        <v>0</v>
      </c>
      <c r="CT133" s="9">
        <f>IF(94&lt;=核心参数输入!$B$9*4,MAX(0,CT131-CT132),0)</f>
        <v>0</v>
      </c>
      <c r="CU133" s="9">
        <f>IF(95&lt;=核心参数输入!$B$9*4,MAX(0,CU131-CU132),0)</f>
        <v>0</v>
      </c>
      <c r="CV133" s="9">
        <f>IF(96&lt;=核心参数输入!$B$9*4,MAX(0,CV131-CV132),0)</f>
        <v>0</v>
      </c>
      <c r="CW133" s="9">
        <f>IF(97&lt;=核心参数输入!$B$9*4,MAX(0,CW131-CW132),0)</f>
        <v>0</v>
      </c>
      <c r="CX133" s="9">
        <f>IF(98&lt;=核心参数输入!$B$9*4,MAX(0,CX131-CX132),0)</f>
        <v>0</v>
      </c>
      <c r="CY133" s="9">
        <f>IF(99&lt;=核心参数输入!$B$9*4,MAX(0,CY131-CY132),0)</f>
        <v>0</v>
      </c>
      <c r="CZ133" s="9">
        <f>IF(100&lt;=核心参数输入!$B$9*4,MAX(0,CZ131-CZ132),0)</f>
        <v>0</v>
      </c>
      <c r="DA133" s="9">
        <f>IF(101&lt;=核心参数输入!$B$9*4,MAX(0,DA131-DA132),0)</f>
        <v>0</v>
      </c>
      <c r="DB133" s="9">
        <f>IF(102&lt;=核心参数输入!$B$9*4,MAX(0,DB131-DB132),0)</f>
        <v>0</v>
      </c>
      <c r="DC133" s="9">
        <f>IF(103&lt;=核心参数输入!$B$9*4,MAX(0,DC131-DC132),0)</f>
        <v>0</v>
      </c>
      <c r="DD133" s="9">
        <f>IF(104&lt;=核心参数输入!$B$9*4,MAX(0,DD131-DD132),0)</f>
        <v>0</v>
      </c>
      <c r="DE133" s="9">
        <f>IF(105&lt;=核心参数输入!$B$9*4,MAX(0,DE131-DE132),0)</f>
        <v>0</v>
      </c>
      <c r="DF133" s="9">
        <f>IF(106&lt;=核心参数输入!$B$9*4,MAX(0,DF131-DF132),0)</f>
        <v>0</v>
      </c>
      <c r="DG133" s="9">
        <f>IF(107&lt;=核心参数输入!$B$9*4,MAX(0,DG131-DG132),0)</f>
        <v>0</v>
      </c>
      <c r="DH133" s="9">
        <f>IF(108&lt;=核心参数输入!$B$9*4,MAX(0,DH131-DH132),0)</f>
        <v>0</v>
      </c>
      <c r="DI133" s="9">
        <f>IF(109&lt;=核心参数输入!$B$9*4,MAX(0,DI131-DI132),0)</f>
        <v>0</v>
      </c>
      <c r="DJ133" s="9">
        <f>IF(110&lt;=核心参数输入!$B$9*4,MAX(0,DJ131-DJ132),0)</f>
        <v>0</v>
      </c>
      <c r="DK133" s="9">
        <f>IF(111&lt;=核心参数输入!$B$9*4,MAX(0,DK131-DK132),0)</f>
        <v>0</v>
      </c>
      <c r="DL133" s="9">
        <f>IF(112&lt;=核心参数输入!$B$9*4,MAX(0,DL131-DL132),0)</f>
        <v>0</v>
      </c>
      <c r="DM133" s="9">
        <f>IF(113&lt;=核心参数输入!$B$9*4,MAX(0,DM131-DM132),0)</f>
        <v>0</v>
      </c>
      <c r="DN133" s="9">
        <f>IF(114&lt;=核心参数输入!$B$9*4,MAX(0,DN131-DN132),0)</f>
        <v>0</v>
      </c>
      <c r="DO133" s="9">
        <f>IF(115&lt;=核心参数输入!$B$9*4,MAX(0,DO131-DO132),0)</f>
        <v>0</v>
      </c>
      <c r="DP133" s="9">
        <f>IF(116&lt;=核心参数输入!$B$9*4,MAX(0,DP131-DP132),0)</f>
        <v>0</v>
      </c>
      <c r="DQ133" s="9">
        <f>IF(117&lt;=核心参数输入!$B$9*4,MAX(0,DQ131-DQ132),0)</f>
        <v>0</v>
      </c>
      <c r="DR133" s="9">
        <f>IF(118&lt;=核心参数输入!$B$9*4,MAX(0,DR131-DR132),0)</f>
        <v>0</v>
      </c>
      <c r="DS133" s="9">
        <f>IF(119&lt;=核心参数输入!$B$9*4,MAX(0,DS131-DS132),0)</f>
        <v>0</v>
      </c>
      <c r="DT133" s="9">
        <f>IF(120&lt;=核心参数输入!$B$9*4,MAX(0,DT131-DT132),0)</f>
        <v>0</v>
      </c>
    </row>
    <row r="134" spans="1:124" ht="21" customHeight="1">
      <c r="A134" s="8" t="s">
        <v>460</v>
      </c>
      <c r="B134" s="8" t="s">
        <v>39</v>
      </c>
      <c r="C134" s="8"/>
      <c r="D134" s="9">
        <f>IF(0&lt;=核心参数输入!$B$9*4,D133*(1-核心参数输入!$B$43)/(1+IF(核心参数输入!$B$96=2,核心参数输入!$B$119,0)),0)</f>
        <v>0</v>
      </c>
      <c r="E134" s="9">
        <f>IF(1&lt;=核心参数输入!$B$9*4,E133*(1-核心参数输入!$B$43)/(1+IF(核心参数输入!$B$96=2,核心参数输入!$B$119,0)),0)</f>
        <v>0</v>
      </c>
      <c r="F134" s="9">
        <f>IF(2&lt;=核心参数输入!$B$9*4,F133*(1-核心参数输入!$B$43)/(1+IF(核心参数输入!$B$96=2,核心参数输入!$B$119,0)),0)</f>
        <v>0</v>
      </c>
      <c r="G134" s="9">
        <f>IF(3&lt;=核心参数输入!$B$9*4,G133*(1-核心参数输入!$B$43)/(1+IF(核心参数输入!$B$96=2,核心参数输入!$B$119,0)),0)</f>
        <v>0</v>
      </c>
      <c r="H134" s="9">
        <f>IF(4&lt;=核心参数输入!$B$9*4,H133*(1-核心参数输入!$B$43)/(1+IF(核心参数输入!$B$96=2,核心参数输入!$B$119,0)),0)</f>
        <v>0</v>
      </c>
      <c r="I134" s="9">
        <f>IF(5&lt;=核心参数输入!$B$9*4,I133*(1-核心参数输入!$B$43)/(1+IF(核心参数输入!$B$96=2,核心参数输入!$B$119,0)),0)</f>
        <v>0</v>
      </c>
      <c r="J134" s="9">
        <f>IF(6&lt;=核心参数输入!$B$9*4,J133*(1-核心参数输入!$B$43)/(1+IF(核心参数输入!$B$96=2,核心参数输入!$B$119,0)),0)</f>
        <v>0</v>
      </c>
      <c r="K134" s="9">
        <f>IF(7&lt;=核心参数输入!$B$9*4,K133*(1-核心参数输入!$B$43)/(1+IF(核心参数输入!$B$96=2,核心参数输入!$B$119,0)),0)</f>
        <v>0</v>
      </c>
      <c r="L134" s="9">
        <f>IF(8&lt;=核心参数输入!$B$9*4,L133*(1-核心参数输入!$B$43)/(1+IF(核心参数输入!$B$96=2,核心参数输入!$B$119,0)),0)</f>
        <v>0</v>
      </c>
      <c r="M134" s="9">
        <f>IF(9&lt;=核心参数输入!$B$9*4,M133*(1-核心参数输入!$B$43)/(1+IF(核心参数输入!$B$96=2,核心参数输入!$B$119,0)),0)</f>
        <v>0</v>
      </c>
      <c r="N134" s="9">
        <f>IF(10&lt;=核心参数输入!$B$9*4,N133*(1-核心参数输入!$B$43)/(1+IF(核心参数输入!$B$96=2,核心参数输入!$B$119,0)),0)</f>
        <v>0</v>
      </c>
      <c r="O134" s="9">
        <f>IF(11&lt;=核心参数输入!$B$9*4,O133*(1-核心参数输入!$B$43)/(1+IF(核心参数输入!$B$96=2,核心参数输入!$B$119,0)),0)</f>
        <v>0</v>
      </c>
      <c r="P134" s="9">
        <f>IF(12&lt;=核心参数输入!$B$9*4,P133*(1-核心参数输入!$B$43)/(1+IF(核心参数输入!$B$96=2,核心参数输入!$B$119,0)),0)</f>
        <v>0</v>
      </c>
      <c r="Q134" s="9">
        <f>IF(13&lt;=核心参数输入!$B$9*4,Q133*(1-核心参数输入!$B$43)/(1+IF(核心参数输入!$B$96=2,核心参数输入!$B$119,0)),0)</f>
        <v>0</v>
      </c>
      <c r="R134" s="9">
        <f>IF(14&lt;=核心参数输入!$B$9*4,R133*(1-核心参数输入!$B$43)/(1+IF(核心参数输入!$B$96=2,核心参数输入!$B$119,0)),0)</f>
        <v>0.42646500000000054</v>
      </c>
      <c r="S134" s="9">
        <f>IF(15&lt;=核心参数输入!$B$9*4,S133*(1-核心参数输入!$B$43)/(1+IF(核心参数输入!$B$96=2,核心参数输入!$B$119,0)),0)</f>
        <v>1.2793950000000016</v>
      </c>
      <c r="T134" s="9">
        <f>IF(16&lt;=核心参数输入!$B$9*4,T133*(1-核心参数输入!$B$43)/(1+IF(核心参数输入!$B$96=2,核心参数输入!$B$119,0)),0)</f>
        <v>2.132325000000002</v>
      </c>
      <c r="U134" s="9">
        <f>IF(17&lt;=核心参数输入!$B$9*4,U133*(1-核心参数输入!$B$43)/(1+IF(核心参数输入!$B$96=2,核心参数输入!$B$119,0)),0)</f>
        <v>3.030033825000003</v>
      </c>
      <c r="V134" s="9">
        <f>IF(18&lt;=核心参数输入!$B$9*4,V133*(1-核心参数输入!$B$43)/(1+IF(核心参数输入!$B$96=2,核心参数输入!$B$119,0)),0)</f>
        <v>3.6793267875000031</v>
      </c>
      <c r="W134" s="9">
        <f>IF(19&lt;=核心参数输入!$B$9*4,W133*(1-核心参数输入!$B$43)/(1+IF(核心参数输入!$B$96=2,核心参数输入!$B$119,0)),0)</f>
        <v>4.1121887625000033</v>
      </c>
      <c r="X134" s="9">
        <f>IF(20&lt;=核心参数输入!$B$9*4,X133*(1-核心参数输入!$B$43)/(1+IF(核心参数输入!$B$96=2,核心参数输入!$B$119,0)),0)</f>
        <v>4.545050737500004</v>
      </c>
      <c r="Y134" s="9">
        <f>IF(21&lt;=核心参数输入!$B$9*4,Y133*(1-核心参数输入!$B$43)/(1+IF(核心参数输入!$B$96=2,核心参数输入!$B$119,0)),0)</f>
        <v>5.052581403187502</v>
      </c>
      <c r="Z134" s="9">
        <f>IF(22&lt;=核心参数输入!$B$9*4,Z133*(1-核心参数输入!$B$43)/(1+IF(核心参数输入!$B$96=2,核心参数输入!$B$119,0)),0)</f>
        <v>5.4370169447343777</v>
      </c>
      <c r="AA134" s="9">
        <f>IF(23&lt;=核心参数输入!$B$9*4,AA133*(1-核心参数输入!$B$43)/(1+IF(核心参数输入!$B$96=2,核心参数输入!$B$119,0)),0)</f>
        <v>5.7665331232031285</v>
      </c>
      <c r="AB134" s="9">
        <f>IF(24&lt;=核心参数输入!$B$9*4,AB133*(1-核心参数输入!$B$43)/(1+IF(核心参数输入!$B$96=2,核心参数输入!$B$119,0)),0)</f>
        <v>6.0960493016718793</v>
      </c>
      <c r="AC134" s="9">
        <f>IF(25&lt;=核心参数输入!$B$9*4,AC133*(1-核心参数输入!$B$43)/(1+IF(核心参数输入!$B$96=2,核心参数输入!$B$119,0)),0)</f>
        <v>6.5219489623427362</v>
      </c>
      <c r="AD134" s="9">
        <f>IF(26&lt;=核心参数输入!$B$9*4,AD133*(1-核心参数输入!$B$43)/(1+IF(核心参数输入!$B$96=2,核心参数输入!$B$119,0)),0)</f>
        <v>6.7449215764399248</v>
      </c>
      <c r="AE134" s="9">
        <f>IF(27&lt;=核心参数输入!$B$9*4,AE133*(1-核心参数输入!$B$43)/(1+IF(核心参数输入!$B$96=2,核心参数输入!$B$119,0)),0)</f>
        <v>6.8564078834885178</v>
      </c>
      <c r="AF134" s="9">
        <f>IF(28&lt;=核心参数输入!$B$9*4,AF133*(1-核心参数输入!$B$43)/(1+IF(核心参数输入!$B$96=2,核心参数输入!$B$119,0)),0)</f>
        <v>6.9678941905371126</v>
      </c>
      <c r="AG134" s="9">
        <f>IF(29&lt;=核心参数输入!$B$9*4,AG133*(1-核心参数输入!$B$43)/(1+IF(核心参数输入!$B$96=2,核心参数输入!$B$119,0)),0)</f>
        <v>7.1855712050494915</v>
      </c>
      <c r="AH134" s="9">
        <f>IF(30&lt;=核心参数输入!$B$9*4,AH133*(1-核心参数输入!$B$43)/(1+IF(核心参数输入!$B$96=2,核心参数输入!$B$119,0)),0)</f>
        <v>7.2421505058766531</v>
      </c>
      <c r="AI134" s="9">
        <f>IF(31&lt;=核心参数输入!$B$9*4,AI133*(1-核心参数输入!$B$43)/(1+IF(核心参数输入!$B$96=2,核心参数输入!$B$119,0)),0)</f>
        <v>7.2421505058766531</v>
      </c>
      <c r="AJ134" s="9">
        <f>IF(32&lt;=核心参数输入!$B$9*4,AJ133*(1-核心参数输入!$B$43)/(1+IF(核心参数输入!$B$96=2,核心参数输入!$B$119,0)),0)</f>
        <v>7.2421505058766531</v>
      </c>
      <c r="AK134" s="9">
        <f>IF(33&lt;=核心参数输入!$B$9*4,AK133*(1-核心参数输入!$B$43)/(1+IF(核心参数输入!$B$96=2,核心参数输入!$B$119,0)),0)</f>
        <v>7.3507827634648022</v>
      </c>
      <c r="AL134" s="9">
        <f>IF(34&lt;=核心参数输入!$B$9*4,AL133*(1-核心参数输入!$B$43)/(1+IF(核心参数输入!$B$96=2,核心参数输入!$B$119,0)),0)</f>
        <v>7.3507827634648022</v>
      </c>
      <c r="AM134" s="9">
        <f>IF(35&lt;=核心参数输入!$B$9*4,AM133*(1-核心参数输入!$B$43)/(1+IF(核心参数输入!$B$96=2,核心参数输入!$B$119,0)),0)</f>
        <v>7.3507827634648022</v>
      </c>
      <c r="AN134" s="9">
        <f>IF(36&lt;=核心参数输入!$B$9*4,AN133*(1-核心参数输入!$B$43)/(1+IF(核心参数输入!$B$96=2,核心参数输入!$B$119,0)),0)</f>
        <v>7.3507827634648022</v>
      </c>
      <c r="AO134" s="9">
        <f>IF(37&lt;=核心参数输入!$B$9*4,AO133*(1-核心参数输入!$B$43)/(1+IF(核心参数输入!$B$96=2,核心参数输入!$B$119,0)),0)</f>
        <v>7.4610445049167726</v>
      </c>
      <c r="AP134" s="9">
        <f>IF(38&lt;=核心参数输入!$B$9*4,AP133*(1-核心参数输入!$B$43)/(1+IF(核心参数输入!$B$96=2,核心参数输入!$B$119,0)),0)</f>
        <v>7.4610445049167726</v>
      </c>
      <c r="AQ134" s="9">
        <f>IF(39&lt;=核心参数输入!$B$9*4,AQ133*(1-核心参数输入!$B$43)/(1+IF(核心参数输入!$B$96=2,核心参数输入!$B$119,0)),0)</f>
        <v>7.4610445049167726</v>
      </c>
      <c r="AR134" s="9">
        <f>IF(40&lt;=核心参数输入!$B$9*4,AR133*(1-核心参数输入!$B$43)/(1+IF(核心参数输入!$B$96=2,核心参数输入!$B$119,0)),0)</f>
        <v>7.4610445049167726</v>
      </c>
      <c r="AS134" s="9">
        <f>IF(41&lt;=核心参数输入!$B$9*4,AS133*(1-核心参数输入!$B$43)/(1+IF(核心参数输入!$B$96=2,核心参数输入!$B$119,0)),0)</f>
        <v>7.5729601724905242</v>
      </c>
      <c r="AT134" s="9">
        <f>IF(42&lt;=核心参数输入!$B$9*4,AT133*(1-核心参数输入!$B$43)/(1+IF(核心参数输入!$B$96=2,核心参数输入!$B$119,0)),0)</f>
        <v>7.5729601724905242</v>
      </c>
      <c r="AU134" s="9">
        <f>IF(43&lt;=核心参数输入!$B$9*4,AU133*(1-核心参数输入!$B$43)/(1+IF(核心参数输入!$B$96=2,核心参数输入!$B$119,0)),0)</f>
        <v>7.5729601724905242</v>
      </c>
      <c r="AV134" s="9">
        <f>IF(44&lt;=核心参数输入!$B$9*4,AV133*(1-核心参数输入!$B$43)/(1+IF(核心参数输入!$B$96=2,核心参数输入!$B$119,0)),0)</f>
        <v>7.5729601724905242</v>
      </c>
      <c r="AW134" s="9">
        <f>IF(45&lt;=核心参数输入!$B$9*4,AW133*(1-核心参数输入!$B$43)/(1+IF(核心参数输入!$B$96=2,核心参数输入!$B$119,0)),0)</f>
        <v>7.6865545750778788</v>
      </c>
      <c r="AX134" s="9">
        <f>IF(46&lt;=核心参数输入!$B$9*4,AX133*(1-核心参数输入!$B$43)/(1+IF(核心参数输入!$B$96=2,核心参数输入!$B$119,0)),0)</f>
        <v>7.6865545750778788</v>
      </c>
      <c r="AY134" s="9">
        <f>IF(47&lt;=核心参数输入!$B$9*4,AY133*(1-核心参数输入!$B$43)/(1+IF(核心参数输入!$B$96=2,核心参数输入!$B$119,0)),0)</f>
        <v>7.6865545750778788</v>
      </c>
      <c r="AZ134" s="9">
        <f>IF(48&lt;=核心参数输入!$B$9*4,AZ133*(1-核心参数输入!$B$43)/(1+IF(核心参数输入!$B$96=2,核心参数输入!$B$119,0)),0)</f>
        <v>7.6865545750778788</v>
      </c>
      <c r="BA134" s="9">
        <f>IF(49&lt;=核心参数输入!$B$9*4,BA133*(1-核心参数输入!$B$43)/(1+IF(核心参数输入!$B$96=2,核心参数输入!$B$119,0)),0)</f>
        <v>7.801852893704047</v>
      </c>
      <c r="BB134" s="9">
        <f>IF(50&lt;=核心参数输入!$B$9*4,BB133*(1-核心参数输入!$B$43)/(1+IF(核心参数输入!$B$96=2,核心参数输入!$B$119,0)),0)</f>
        <v>7.801852893704047</v>
      </c>
      <c r="BC134" s="9">
        <f>IF(51&lt;=核心参数输入!$B$9*4,BC133*(1-核心参数输入!$B$43)/(1+IF(核心参数输入!$B$96=2,核心参数输入!$B$119,0)),0)</f>
        <v>7.801852893704047</v>
      </c>
      <c r="BD134" s="9">
        <f>IF(52&lt;=核心参数输入!$B$9*4,BD133*(1-核心参数输入!$B$43)/(1+IF(核心参数输入!$B$96=2,核心参数输入!$B$119,0)),0)</f>
        <v>7.801852893704047</v>
      </c>
      <c r="BE134" s="9">
        <f>IF(53&lt;=核心参数输入!$B$9*4,BE133*(1-核心参数输入!$B$43)/(1+IF(核心参数输入!$B$96=2,核心参数输入!$B$119,0)),0)</f>
        <v>7.9188806871096062</v>
      </c>
      <c r="BF134" s="9">
        <f>IF(54&lt;=核心参数输入!$B$9*4,BF133*(1-核心参数输入!$B$43)/(1+IF(核心参数输入!$B$96=2,核心参数输入!$B$119,0)),0)</f>
        <v>7.9188806871096062</v>
      </c>
      <c r="BG134" s="9">
        <f>IF(55&lt;=核心参数输入!$B$9*4,BG133*(1-核心参数输入!$B$43)/(1+IF(核心参数输入!$B$96=2,核心参数输入!$B$119,0)),0)</f>
        <v>7.9188806871096062</v>
      </c>
      <c r="BH134" s="9">
        <f>IF(56&lt;=核心参数输入!$B$9*4,BH133*(1-核心参数输入!$B$43)/(1+IF(核心参数输入!$B$96=2,核心参数输入!$B$119,0)),0)</f>
        <v>7.9188806871096062</v>
      </c>
      <c r="BI134" s="9">
        <f>IF(57&lt;=核心参数输入!$B$9*4,BI133*(1-核心参数输入!$B$43)/(1+IF(核心参数输入!$B$96=2,核心参数输入!$B$119,0)),0)</f>
        <v>8.0376638974162482</v>
      </c>
      <c r="BJ134" s="9">
        <f>IF(58&lt;=核心参数输入!$B$9*4,BJ133*(1-核心参数输入!$B$43)/(1+IF(核心参数输入!$B$96=2,核心参数输入!$B$119,0)),0)</f>
        <v>8.0376638974162482</v>
      </c>
      <c r="BK134" s="9">
        <f>IF(59&lt;=核心参数输入!$B$9*4,BK133*(1-核心参数输入!$B$43)/(1+IF(核心参数输入!$B$96=2,核心参数输入!$B$119,0)),0)</f>
        <v>8.0376638974162482</v>
      </c>
      <c r="BL134" s="9">
        <f>IF(60&lt;=核心参数输入!$B$9*4,BL133*(1-核心参数输入!$B$43)/(1+IF(核心参数输入!$B$96=2,核心参数输入!$B$119,0)),0)</f>
        <v>8.0376638974162482</v>
      </c>
      <c r="BM134" s="9">
        <f>IF(61&lt;=核心参数输入!$B$9*4,BM133*(1-核心参数输入!$B$43)/(1+IF(核心参数输入!$B$96=2,核心参数输入!$B$119,0)),0)</f>
        <v>8.1582288558774909</v>
      </c>
      <c r="BN134" s="9">
        <f>IF(62&lt;=核心参数输入!$B$9*4,BN133*(1-核心参数输入!$B$43)/(1+IF(核心参数输入!$B$96=2,核心参数输入!$B$119,0)),0)</f>
        <v>8.1582288558774909</v>
      </c>
      <c r="BO134" s="9">
        <f>IF(63&lt;=核心参数输入!$B$9*4,BO133*(1-核心参数输入!$B$43)/(1+IF(核心参数输入!$B$96=2,核心参数输入!$B$119,0)),0)</f>
        <v>8.1582288558774909</v>
      </c>
      <c r="BP134" s="9">
        <f>IF(64&lt;=核心参数输入!$B$9*4,BP133*(1-核心参数输入!$B$43)/(1+IF(核心参数输入!$B$96=2,核心参数输入!$B$119,0)),0)</f>
        <v>8.1582288558774909</v>
      </c>
      <c r="BQ134" s="9">
        <f>IF(65&lt;=核心参数输入!$B$9*4,BQ133*(1-核心参数输入!$B$43)/(1+IF(核心参数输入!$B$96=2,核心参数输入!$B$119,0)),0)</f>
        <v>8.2806022887156541</v>
      </c>
      <c r="BR134" s="9">
        <f>IF(66&lt;=核心参数输入!$B$9*4,BR133*(1-核心参数输入!$B$43)/(1+IF(核心参数输入!$B$96=2,核心参数输入!$B$119,0)),0)</f>
        <v>8.2806022887156541</v>
      </c>
      <c r="BS134" s="9">
        <f>IF(67&lt;=核心参数输入!$B$9*4,BS133*(1-核心参数输入!$B$43)/(1+IF(核心参数输入!$B$96=2,核心参数输入!$B$119,0)),0)</f>
        <v>8.2806022887156541</v>
      </c>
      <c r="BT134" s="9">
        <f>IF(68&lt;=核心参数输入!$B$9*4,BT133*(1-核心参数输入!$B$43)/(1+IF(核心参数输入!$B$96=2,核心参数输入!$B$119,0)),0)</f>
        <v>8.2806022887156541</v>
      </c>
      <c r="BU134" s="9">
        <f>IF(69&lt;=核心参数输入!$B$9*4,BU133*(1-核心参数输入!$B$43)/(1+IF(核心参数输入!$B$96=2,核心参数输入!$B$119,0)),0)</f>
        <v>8.4048113230463866</v>
      </c>
      <c r="BV134" s="9">
        <f>IF(70&lt;=核心参数输入!$B$9*4,BV133*(1-核心参数输入!$B$43)/(1+IF(核心参数输入!$B$96=2,核心参数输入!$B$119,0)),0)</f>
        <v>8.4048113230463866</v>
      </c>
      <c r="BW134" s="9">
        <f>IF(71&lt;=核心参数输入!$B$9*4,BW133*(1-核心参数输入!$B$43)/(1+IF(核心参数输入!$B$96=2,核心参数输入!$B$119,0)),0)</f>
        <v>8.4048113230463866</v>
      </c>
      <c r="BX134" s="9">
        <f>IF(72&lt;=核心参数输入!$B$9*4,BX133*(1-核心参数输入!$B$43)/(1+IF(核心参数输入!$B$96=2,核心参数输入!$B$119,0)),0)</f>
        <v>8.4048113230463866</v>
      </c>
      <c r="BY134" s="9">
        <f>IF(73&lt;=核心参数输入!$B$9*4,BY133*(1-核心参数输入!$B$43)/(1+IF(核心参数输入!$B$96=2,核心参数输入!$B$119,0)),0)</f>
        <v>8.530883492892082</v>
      </c>
      <c r="BZ134" s="9">
        <f>IF(74&lt;=核心参数输入!$B$9*4,BZ133*(1-核心参数输入!$B$43)/(1+IF(核心参数输入!$B$96=2,核心参数输入!$B$119,0)),0)</f>
        <v>8.530883492892082</v>
      </c>
      <c r="CA134" s="9">
        <f>IF(75&lt;=核心参数输入!$B$9*4,CA133*(1-核心参数输入!$B$43)/(1+IF(核心参数输入!$B$96=2,核心参数输入!$B$119,0)),0)</f>
        <v>8.530883492892082</v>
      </c>
      <c r="CB134" s="9">
        <f>IF(76&lt;=核心参数输入!$B$9*4,CB133*(1-核心参数输入!$B$43)/(1+IF(核心参数输入!$B$96=2,核心参数输入!$B$119,0)),0)</f>
        <v>8.530883492892082</v>
      </c>
      <c r="CC134" s="9">
        <f>IF(77&lt;=核心参数输入!$B$9*4,CC133*(1-核心参数输入!$B$43)/(1+IF(核心参数输入!$B$96=2,核心参数输入!$B$119,0)),0)</f>
        <v>8.6588467452854605</v>
      </c>
      <c r="CD134" s="9">
        <f>IF(78&lt;=核心参数输入!$B$9*4,CD133*(1-核心参数输入!$B$43)/(1+IF(核心参数输入!$B$96=2,核心参数输入!$B$119,0)),0)</f>
        <v>8.6588467452854605</v>
      </c>
      <c r="CE134" s="9">
        <f>IF(79&lt;=核心参数输入!$B$9*4,CE133*(1-核心参数输入!$B$43)/(1+IF(核心参数输入!$B$96=2,核心参数输入!$B$119,0)),0)</f>
        <v>8.6588467452854605</v>
      </c>
      <c r="CF134" s="9">
        <f>IF(80&lt;=核心参数输入!$B$9*4,CF133*(1-核心参数输入!$B$43)/(1+IF(核心参数输入!$B$96=2,核心参数输入!$B$119,0)),0)</f>
        <v>8.6588467452854605</v>
      </c>
      <c r="CG134" s="9">
        <f>IF(81&lt;=核心参数输入!$B$9*4,CG133*(1-核心参数输入!$B$43)/(1+IF(核心参数输入!$B$96=2,核心参数输入!$B$119,0)),0)</f>
        <v>0</v>
      </c>
      <c r="CH134" s="9">
        <f>IF(82&lt;=核心参数输入!$B$9*4,CH133*(1-核心参数输入!$B$43)/(1+IF(核心参数输入!$B$96=2,核心参数输入!$B$119,0)),0)</f>
        <v>0</v>
      </c>
      <c r="CI134" s="9">
        <f>IF(83&lt;=核心参数输入!$B$9*4,CI133*(1-核心参数输入!$B$43)/(1+IF(核心参数输入!$B$96=2,核心参数输入!$B$119,0)),0)</f>
        <v>0</v>
      </c>
      <c r="CJ134" s="9">
        <f>IF(84&lt;=核心参数输入!$B$9*4,CJ133*(1-核心参数输入!$B$43)/(1+IF(核心参数输入!$B$96=2,核心参数输入!$B$119,0)),0)</f>
        <v>0</v>
      </c>
      <c r="CK134" s="9">
        <f>IF(85&lt;=核心参数输入!$B$9*4,CK133*(1-核心参数输入!$B$43)/(1+IF(核心参数输入!$B$96=2,核心参数输入!$B$119,0)),0)</f>
        <v>0</v>
      </c>
      <c r="CL134" s="9">
        <f>IF(86&lt;=核心参数输入!$B$9*4,CL133*(1-核心参数输入!$B$43)/(1+IF(核心参数输入!$B$96=2,核心参数输入!$B$119,0)),0)</f>
        <v>0</v>
      </c>
      <c r="CM134" s="9">
        <f>IF(87&lt;=核心参数输入!$B$9*4,CM133*(1-核心参数输入!$B$43)/(1+IF(核心参数输入!$B$96=2,核心参数输入!$B$119,0)),0)</f>
        <v>0</v>
      </c>
      <c r="CN134" s="9">
        <f>IF(88&lt;=核心参数输入!$B$9*4,CN133*(1-核心参数输入!$B$43)/(1+IF(核心参数输入!$B$96=2,核心参数输入!$B$119,0)),0)</f>
        <v>0</v>
      </c>
      <c r="CO134" s="9">
        <f>IF(89&lt;=核心参数输入!$B$9*4,CO133*(1-核心参数输入!$B$43)/(1+IF(核心参数输入!$B$96=2,核心参数输入!$B$119,0)),0)</f>
        <v>0</v>
      </c>
      <c r="CP134" s="9">
        <f>IF(90&lt;=核心参数输入!$B$9*4,CP133*(1-核心参数输入!$B$43)/(1+IF(核心参数输入!$B$96=2,核心参数输入!$B$119,0)),0)</f>
        <v>0</v>
      </c>
      <c r="CQ134" s="9">
        <f>IF(91&lt;=核心参数输入!$B$9*4,CQ133*(1-核心参数输入!$B$43)/(1+IF(核心参数输入!$B$96=2,核心参数输入!$B$119,0)),0)</f>
        <v>0</v>
      </c>
      <c r="CR134" s="9">
        <f>IF(92&lt;=核心参数输入!$B$9*4,CR133*(1-核心参数输入!$B$43)/(1+IF(核心参数输入!$B$96=2,核心参数输入!$B$119,0)),0)</f>
        <v>0</v>
      </c>
      <c r="CS134" s="9">
        <f>IF(93&lt;=核心参数输入!$B$9*4,CS133*(1-核心参数输入!$B$43)/(1+IF(核心参数输入!$B$96=2,核心参数输入!$B$119,0)),0)</f>
        <v>0</v>
      </c>
      <c r="CT134" s="9">
        <f>IF(94&lt;=核心参数输入!$B$9*4,CT133*(1-核心参数输入!$B$43)/(1+IF(核心参数输入!$B$96=2,核心参数输入!$B$119,0)),0)</f>
        <v>0</v>
      </c>
      <c r="CU134" s="9">
        <f>IF(95&lt;=核心参数输入!$B$9*4,CU133*(1-核心参数输入!$B$43)/(1+IF(核心参数输入!$B$96=2,核心参数输入!$B$119,0)),0)</f>
        <v>0</v>
      </c>
      <c r="CV134" s="9">
        <f>IF(96&lt;=核心参数输入!$B$9*4,CV133*(1-核心参数输入!$B$43)/(1+IF(核心参数输入!$B$96=2,核心参数输入!$B$119,0)),0)</f>
        <v>0</v>
      </c>
      <c r="CW134" s="9">
        <f>IF(97&lt;=核心参数输入!$B$9*4,CW133*(1-核心参数输入!$B$43)/(1+IF(核心参数输入!$B$96=2,核心参数输入!$B$119,0)),0)</f>
        <v>0</v>
      </c>
      <c r="CX134" s="9">
        <f>IF(98&lt;=核心参数输入!$B$9*4,CX133*(1-核心参数输入!$B$43)/(1+IF(核心参数输入!$B$96=2,核心参数输入!$B$119,0)),0)</f>
        <v>0</v>
      </c>
      <c r="CY134" s="9">
        <f>IF(99&lt;=核心参数输入!$B$9*4,CY133*(1-核心参数输入!$B$43)/(1+IF(核心参数输入!$B$96=2,核心参数输入!$B$119,0)),0)</f>
        <v>0</v>
      </c>
      <c r="CZ134" s="9">
        <f>IF(100&lt;=核心参数输入!$B$9*4,CZ133*(1-核心参数输入!$B$43)/(1+IF(核心参数输入!$B$96=2,核心参数输入!$B$119,0)),0)</f>
        <v>0</v>
      </c>
      <c r="DA134" s="9">
        <f>IF(101&lt;=核心参数输入!$B$9*4,DA133*(1-核心参数输入!$B$43)/(1+IF(核心参数输入!$B$96=2,核心参数输入!$B$119,0)),0)</f>
        <v>0</v>
      </c>
      <c r="DB134" s="9">
        <f>IF(102&lt;=核心参数输入!$B$9*4,DB133*(1-核心参数输入!$B$43)/(1+IF(核心参数输入!$B$96=2,核心参数输入!$B$119,0)),0)</f>
        <v>0</v>
      </c>
      <c r="DC134" s="9">
        <f>IF(103&lt;=核心参数输入!$B$9*4,DC133*(1-核心参数输入!$B$43)/(1+IF(核心参数输入!$B$96=2,核心参数输入!$B$119,0)),0)</f>
        <v>0</v>
      </c>
      <c r="DD134" s="9">
        <f>IF(104&lt;=核心参数输入!$B$9*4,DD133*(1-核心参数输入!$B$43)/(1+IF(核心参数输入!$B$96=2,核心参数输入!$B$119,0)),0)</f>
        <v>0</v>
      </c>
      <c r="DE134" s="9">
        <f>IF(105&lt;=核心参数输入!$B$9*4,DE133*(1-核心参数输入!$B$43)/(1+IF(核心参数输入!$B$96=2,核心参数输入!$B$119,0)),0)</f>
        <v>0</v>
      </c>
      <c r="DF134" s="9">
        <f>IF(106&lt;=核心参数输入!$B$9*4,DF133*(1-核心参数输入!$B$43)/(1+IF(核心参数输入!$B$96=2,核心参数输入!$B$119,0)),0)</f>
        <v>0</v>
      </c>
      <c r="DG134" s="9">
        <f>IF(107&lt;=核心参数输入!$B$9*4,DG133*(1-核心参数输入!$B$43)/(1+IF(核心参数输入!$B$96=2,核心参数输入!$B$119,0)),0)</f>
        <v>0</v>
      </c>
      <c r="DH134" s="9">
        <f>IF(108&lt;=核心参数输入!$B$9*4,DH133*(1-核心参数输入!$B$43)/(1+IF(核心参数输入!$B$96=2,核心参数输入!$B$119,0)),0)</f>
        <v>0</v>
      </c>
      <c r="DI134" s="9">
        <f>IF(109&lt;=核心参数输入!$B$9*4,DI133*(1-核心参数输入!$B$43)/(1+IF(核心参数输入!$B$96=2,核心参数输入!$B$119,0)),0)</f>
        <v>0</v>
      </c>
      <c r="DJ134" s="9">
        <f>IF(110&lt;=核心参数输入!$B$9*4,DJ133*(1-核心参数输入!$B$43)/(1+IF(核心参数输入!$B$96=2,核心参数输入!$B$119,0)),0)</f>
        <v>0</v>
      </c>
      <c r="DK134" s="9">
        <f>IF(111&lt;=核心参数输入!$B$9*4,DK133*(1-核心参数输入!$B$43)/(1+IF(核心参数输入!$B$96=2,核心参数输入!$B$119,0)),0)</f>
        <v>0</v>
      </c>
      <c r="DL134" s="9">
        <f>IF(112&lt;=核心参数输入!$B$9*4,DL133*(1-核心参数输入!$B$43)/(1+IF(核心参数输入!$B$96=2,核心参数输入!$B$119,0)),0)</f>
        <v>0</v>
      </c>
      <c r="DM134" s="9">
        <f>IF(113&lt;=核心参数输入!$B$9*4,DM133*(1-核心参数输入!$B$43)/(1+IF(核心参数输入!$B$96=2,核心参数输入!$B$119,0)),0)</f>
        <v>0</v>
      </c>
      <c r="DN134" s="9">
        <f>IF(114&lt;=核心参数输入!$B$9*4,DN133*(1-核心参数输入!$B$43)/(1+IF(核心参数输入!$B$96=2,核心参数输入!$B$119,0)),0)</f>
        <v>0</v>
      </c>
      <c r="DO134" s="9">
        <f>IF(115&lt;=核心参数输入!$B$9*4,DO133*(1-核心参数输入!$B$43)/(1+IF(核心参数输入!$B$96=2,核心参数输入!$B$119,0)),0)</f>
        <v>0</v>
      </c>
      <c r="DP134" s="9">
        <f>IF(116&lt;=核心参数输入!$B$9*4,DP133*(1-核心参数输入!$B$43)/(1+IF(核心参数输入!$B$96=2,核心参数输入!$B$119,0)),0)</f>
        <v>0</v>
      </c>
      <c r="DQ134" s="9">
        <f>IF(117&lt;=核心参数输入!$B$9*4,DQ133*(1-核心参数输入!$B$43)/(1+IF(核心参数输入!$B$96=2,核心参数输入!$B$119,0)),0)</f>
        <v>0</v>
      </c>
      <c r="DR134" s="9">
        <f>IF(118&lt;=核心参数输入!$B$9*4,DR133*(1-核心参数输入!$B$43)/(1+IF(核心参数输入!$B$96=2,核心参数输入!$B$119,0)),0)</f>
        <v>0</v>
      </c>
      <c r="DS134" s="9">
        <f>IF(119&lt;=核心参数输入!$B$9*4,DS133*(1-核心参数输入!$B$43)/(1+IF(核心参数输入!$B$96=2,核心参数输入!$B$119,0)),0)</f>
        <v>0</v>
      </c>
      <c r="DT134" s="9">
        <f>IF(120&lt;=核心参数输入!$B$9*4,DT133*(1-核心参数输入!$B$43)/(1+IF(核心参数输入!$B$96=2,核心参数输入!$B$119,0)),0)</f>
        <v>0</v>
      </c>
    </row>
    <row r="135" spans="1:124" ht="21" customHeight="1">
      <c r="A135" s="8" t="s">
        <v>461</v>
      </c>
      <c r="B135" s="8" t="s">
        <v>39</v>
      </c>
      <c r="C135" s="8"/>
      <c r="D135" s="9">
        <f>IF(0&lt;=核心参数输入!$B$9*4,D133*核心参数输入!$B$43,0)</f>
        <v>0</v>
      </c>
      <c r="E135" s="9">
        <f>IF(1&lt;=核心参数输入!$B$9*4,E133*核心参数输入!$B$43,0)</f>
        <v>0</v>
      </c>
      <c r="F135" s="9">
        <f>IF(2&lt;=核心参数输入!$B$9*4,F133*核心参数输入!$B$43,0)</f>
        <v>0</v>
      </c>
      <c r="G135" s="9">
        <f>IF(3&lt;=核心参数输入!$B$9*4,G133*核心参数输入!$B$43,0)</f>
        <v>0</v>
      </c>
      <c r="H135" s="9">
        <f>IF(4&lt;=核心参数输入!$B$9*4,H133*核心参数输入!$B$43,0)</f>
        <v>0</v>
      </c>
      <c r="I135" s="9">
        <f>IF(5&lt;=核心参数输入!$B$9*4,I133*核心参数输入!$B$43,0)</f>
        <v>0</v>
      </c>
      <c r="J135" s="9">
        <f>IF(6&lt;=核心参数输入!$B$9*4,J133*核心参数输入!$B$43,0)</f>
        <v>0</v>
      </c>
      <c r="K135" s="9">
        <f>IF(7&lt;=核心参数输入!$B$9*4,K133*核心参数输入!$B$43,0)</f>
        <v>0</v>
      </c>
      <c r="L135" s="9">
        <f>IF(8&lt;=核心参数输入!$B$9*4,L133*核心参数输入!$B$43,0)</f>
        <v>0</v>
      </c>
      <c r="M135" s="9">
        <f>IF(9&lt;=核心参数输入!$B$9*4,M133*核心参数输入!$B$43,0)</f>
        <v>0</v>
      </c>
      <c r="N135" s="9">
        <f>IF(10&lt;=核心参数输入!$B$9*4,N133*核心参数输入!$B$43,0)</f>
        <v>0</v>
      </c>
      <c r="O135" s="9">
        <f>IF(11&lt;=核心参数输入!$B$9*4,O133*核心参数输入!$B$43,0)</f>
        <v>0</v>
      </c>
      <c r="P135" s="9">
        <f>IF(12&lt;=核心参数输入!$B$9*4,P133*核心参数输入!$B$43,0)</f>
        <v>0</v>
      </c>
      <c r="Q135" s="9">
        <f>IF(13&lt;=核心参数输入!$B$9*4,Q133*核心参数输入!$B$43,0)</f>
        <v>0</v>
      </c>
      <c r="R135" s="9">
        <f>IF(14&lt;=核心参数输入!$B$9*4,R133*核心参数输入!$B$43,0)</f>
        <v>20.896785000000008</v>
      </c>
      <c r="S135" s="9">
        <f>IF(15&lt;=核心参数输入!$B$9*4,S133*核心参数输入!$B$43,0)</f>
        <v>62.690355000000018</v>
      </c>
      <c r="T135" s="9">
        <f>IF(16&lt;=核心参数输入!$B$9*4,T133*核心参数输入!$B$43,0)</f>
        <v>104.483925</v>
      </c>
      <c r="U135" s="9">
        <f>IF(17&lt;=核心参数输入!$B$9*4,U133*核心参数输入!$B$43,0)</f>
        <v>148.47165742500002</v>
      </c>
      <c r="V135" s="9">
        <f>IF(18&lt;=核心参数输入!$B$9*4,V133*核心参数输入!$B$43,0)</f>
        <v>180.28701258749999</v>
      </c>
      <c r="W135" s="9">
        <f>IF(19&lt;=核心参数输入!$B$9*4,W133*核心参数输入!$B$43,0)</f>
        <v>201.49724936249999</v>
      </c>
      <c r="X135" s="9">
        <f>IF(20&lt;=核心参数输入!$B$9*4,X133*核心参数输入!$B$43,0)</f>
        <v>222.70748613750001</v>
      </c>
      <c r="Y135" s="9">
        <f>IF(21&lt;=核心参数输入!$B$9*4,Y133*核心参数输入!$B$43,0)</f>
        <v>247.57648875618739</v>
      </c>
      <c r="Z135" s="9">
        <f>IF(22&lt;=核心参数输入!$B$9*4,Z133*核心参数输入!$B$43,0)</f>
        <v>266.41383029198431</v>
      </c>
      <c r="AA135" s="9">
        <f>IF(23&lt;=核心参数输入!$B$9*4,AA133*核心参数输入!$B$43,0)</f>
        <v>282.56012303695303</v>
      </c>
      <c r="AB135" s="9">
        <f>IF(24&lt;=核心参数输入!$B$9*4,AB133*核心参数输入!$B$43,0)</f>
        <v>298.70641578192181</v>
      </c>
      <c r="AC135" s="9">
        <f>IF(25&lt;=核心参数输入!$B$9*4,AC133*核心参数输入!$B$43,0)</f>
        <v>319.57549915479382</v>
      </c>
      <c r="AD135" s="9">
        <f>IF(26&lt;=核心参数输入!$B$9*4,AD133*核心参数输入!$B$43,0)</f>
        <v>330.50115724555599</v>
      </c>
      <c r="AE135" s="9">
        <f>IF(27&lt;=核心参数输入!$B$9*4,AE133*核心参数输入!$B$43,0)</f>
        <v>335.96398629093704</v>
      </c>
      <c r="AF135" s="9">
        <f>IF(28&lt;=核心参数输入!$B$9*4,AF133*核心参数输入!$B$43,0)</f>
        <v>341.42681533631821</v>
      </c>
      <c r="AG135" s="9">
        <f>IF(29&lt;=核心参数输入!$B$9*4,AG133*核心参数输入!$B$43,0)</f>
        <v>352.09298904742479</v>
      </c>
      <c r="AH135" s="9">
        <f>IF(30&lt;=核心参数输入!$B$9*4,AH133*核心参数输入!$B$43,0)</f>
        <v>354.86537478795566</v>
      </c>
      <c r="AI135" s="9">
        <f>IF(31&lt;=核心参数输入!$B$9*4,AI133*核心参数输入!$B$43,0)</f>
        <v>354.86537478795566</v>
      </c>
      <c r="AJ135" s="9">
        <f>IF(32&lt;=核心参数输入!$B$9*4,AJ133*核心参数输入!$B$43,0)</f>
        <v>354.86537478795566</v>
      </c>
      <c r="AK135" s="9">
        <f>IF(33&lt;=核心参数输入!$B$9*4,AK133*核心参数输入!$B$43,0)</f>
        <v>360.188355409775</v>
      </c>
      <c r="AL135" s="9">
        <f>IF(34&lt;=核心参数输入!$B$9*4,AL133*核心参数输入!$B$43,0)</f>
        <v>360.188355409775</v>
      </c>
      <c r="AM135" s="9">
        <f>IF(35&lt;=核心参数输入!$B$9*4,AM133*核心参数输入!$B$43,0)</f>
        <v>360.188355409775</v>
      </c>
      <c r="AN135" s="9">
        <f>IF(36&lt;=核心参数输入!$B$9*4,AN133*核心参数输入!$B$43,0)</f>
        <v>360.188355409775</v>
      </c>
      <c r="AO135" s="9">
        <f>IF(37&lt;=核心参数输入!$B$9*4,AO133*核心参数输入!$B$43,0)</f>
        <v>365.59118074092152</v>
      </c>
      <c r="AP135" s="9">
        <f>IF(38&lt;=核心参数输入!$B$9*4,AP133*核心参数输入!$B$43,0)</f>
        <v>365.59118074092152</v>
      </c>
      <c r="AQ135" s="9">
        <f>IF(39&lt;=核心参数输入!$B$9*4,AQ133*核心参数输入!$B$43,0)</f>
        <v>365.59118074092152</v>
      </c>
      <c r="AR135" s="9">
        <f>IF(40&lt;=核心参数输入!$B$9*4,AR133*核心参数输入!$B$43,0)</f>
        <v>365.59118074092152</v>
      </c>
      <c r="AS135" s="9">
        <f>IF(41&lt;=核心参数输入!$B$9*4,AS133*核心参数输入!$B$43,0)</f>
        <v>371.07504845203533</v>
      </c>
      <c r="AT135" s="9">
        <f>IF(42&lt;=核心参数输入!$B$9*4,AT133*核心参数输入!$B$43,0)</f>
        <v>371.07504845203533</v>
      </c>
      <c r="AU135" s="9">
        <f>IF(43&lt;=核心参数输入!$B$9*4,AU133*核心参数输入!$B$43,0)</f>
        <v>371.07504845203533</v>
      </c>
      <c r="AV135" s="9">
        <f>IF(44&lt;=核心参数输入!$B$9*4,AV133*核心参数输入!$B$43,0)</f>
        <v>371.07504845203533</v>
      </c>
      <c r="AW135" s="9">
        <f>IF(45&lt;=核心参数输入!$B$9*4,AW133*核心参数输入!$B$43,0)</f>
        <v>376.64117417881573</v>
      </c>
      <c r="AX135" s="9">
        <f>IF(46&lt;=核心参数输入!$B$9*4,AX133*核心参数输入!$B$43,0)</f>
        <v>376.64117417881573</v>
      </c>
      <c r="AY135" s="9">
        <f>IF(47&lt;=核心参数输入!$B$9*4,AY133*核心参数输入!$B$43,0)</f>
        <v>376.64117417881573</v>
      </c>
      <c r="AZ135" s="9">
        <f>IF(48&lt;=核心参数输入!$B$9*4,AZ133*核心参数输入!$B$43,0)</f>
        <v>376.64117417881573</v>
      </c>
      <c r="BA135" s="9">
        <f>IF(49&lt;=核心参数输入!$B$9*4,BA133*核心参数输入!$B$43,0)</f>
        <v>382.29079179149795</v>
      </c>
      <c r="BB135" s="9">
        <f>IF(50&lt;=核心参数输入!$B$9*4,BB133*核心参数输入!$B$43,0)</f>
        <v>382.29079179149795</v>
      </c>
      <c r="BC135" s="9">
        <f>IF(51&lt;=核心参数输入!$B$9*4,BC133*核心参数输入!$B$43,0)</f>
        <v>382.29079179149795</v>
      </c>
      <c r="BD135" s="9">
        <f>IF(52&lt;=核心参数输入!$B$9*4,BD133*核心参数输入!$B$43,0)</f>
        <v>382.29079179149795</v>
      </c>
      <c r="BE135" s="9">
        <f>IF(53&lt;=核心参数输入!$B$9*4,BE133*核心参数输入!$B$43,0)</f>
        <v>388.02515366837036</v>
      </c>
      <c r="BF135" s="9">
        <f>IF(54&lt;=核心参数输入!$B$9*4,BF133*核心参数输入!$B$43,0)</f>
        <v>388.02515366837036</v>
      </c>
      <c r="BG135" s="9">
        <f>IF(55&lt;=核心参数输入!$B$9*4,BG133*核心参数输入!$B$43,0)</f>
        <v>388.02515366837036</v>
      </c>
      <c r="BH135" s="9">
        <f>IF(56&lt;=核心参数输入!$B$9*4,BH133*核心参数输入!$B$43,0)</f>
        <v>388.02515366837036</v>
      </c>
      <c r="BI135" s="9">
        <f>IF(57&lt;=核心参数输入!$B$9*4,BI133*核心参数输入!$B$43,0)</f>
        <v>393.84553097339585</v>
      </c>
      <c r="BJ135" s="9">
        <f>IF(58&lt;=核心参数输入!$B$9*4,BJ133*核心参数输入!$B$43,0)</f>
        <v>393.84553097339585</v>
      </c>
      <c r="BK135" s="9">
        <f>IF(59&lt;=核心参数输入!$B$9*4,BK133*核心参数输入!$B$43,0)</f>
        <v>393.84553097339585</v>
      </c>
      <c r="BL135" s="9">
        <f>IF(60&lt;=核心参数输入!$B$9*4,BL133*核心参数输入!$B$43,0)</f>
        <v>393.84553097339585</v>
      </c>
      <c r="BM135" s="9">
        <f>IF(61&lt;=核心参数输入!$B$9*4,BM133*核心参数输入!$B$43,0)</f>
        <v>399.75321393799669</v>
      </c>
      <c r="BN135" s="9">
        <f>IF(62&lt;=核心参数输入!$B$9*4,BN133*核心参数输入!$B$43,0)</f>
        <v>399.75321393799669</v>
      </c>
      <c r="BO135" s="9">
        <f>IF(63&lt;=核心参数输入!$B$9*4,BO133*核心参数输入!$B$43,0)</f>
        <v>399.75321393799669</v>
      </c>
      <c r="BP135" s="9">
        <f>IF(64&lt;=核心参数输入!$B$9*4,BP133*核心参数输入!$B$43,0)</f>
        <v>399.75321393799669</v>
      </c>
      <c r="BQ135" s="9">
        <f>IF(65&lt;=核心参数输入!$B$9*4,BQ133*核心参数输入!$B$43,0)</f>
        <v>405.7495121470667</v>
      </c>
      <c r="BR135" s="9">
        <f>IF(66&lt;=核心参数输入!$B$9*4,BR133*核心参数输入!$B$43,0)</f>
        <v>405.7495121470667</v>
      </c>
      <c r="BS135" s="9">
        <f>IF(67&lt;=核心参数输入!$B$9*4,BS133*核心参数输入!$B$43,0)</f>
        <v>405.7495121470667</v>
      </c>
      <c r="BT135" s="9">
        <f>IF(68&lt;=核心参数输入!$B$9*4,BT133*核心参数输入!$B$43,0)</f>
        <v>405.7495121470667</v>
      </c>
      <c r="BU135" s="9">
        <f>IF(69&lt;=核心参数输入!$B$9*4,BU133*核心参数输入!$B$43,0)</f>
        <v>411.83575482927256</v>
      </c>
      <c r="BV135" s="9">
        <f>IF(70&lt;=核心参数输入!$B$9*4,BV133*核心参数输入!$B$43,0)</f>
        <v>411.83575482927256</v>
      </c>
      <c r="BW135" s="9">
        <f>IF(71&lt;=核心参数输入!$B$9*4,BW133*核心参数输入!$B$43,0)</f>
        <v>411.83575482927256</v>
      </c>
      <c r="BX135" s="9">
        <f>IF(72&lt;=核心参数输入!$B$9*4,BX133*核心参数输入!$B$43,0)</f>
        <v>411.83575482927256</v>
      </c>
      <c r="BY135" s="9">
        <f>IF(73&lt;=核心参数输入!$B$9*4,BY133*核心参数输入!$B$43,0)</f>
        <v>418.0132911517116</v>
      </c>
      <c r="BZ135" s="9">
        <f>IF(74&lt;=核心参数输入!$B$9*4,BZ133*核心参数输入!$B$43,0)</f>
        <v>418.0132911517116</v>
      </c>
      <c r="CA135" s="9">
        <f>IF(75&lt;=核心参数输入!$B$9*4,CA133*核心参数输入!$B$43,0)</f>
        <v>418.0132911517116</v>
      </c>
      <c r="CB135" s="9">
        <f>IF(76&lt;=核心参数输入!$B$9*4,CB133*核心参数输入!$B$43,0)</f>
        <v>418.0132911517116</v>
      </c>
      <c r="CC135" s="9">
        <f>IF(77&lt;=核心参数输入!$B$9*4,CC133*核心参数输入!$B$43,0)</f>
        <v>424.28349051898721</v>
      </c>
      <c r="CD135" s="9">
        <f>IF(78&lt;=核心参数输入!$B$9*4,CD133*核心参数输入!$B$43,0)</f>
        <v>424.28349051898721</v>
      </c>
      <c r="CE135" s="9">
        <f>IF(79&lt;=核心参数输入!$B$9*4,CE133*核心参数输入!$B$43,0)</f>
        <v>424.28349051898721</v>
      </c>
      <c r="CF135" s="9">
        <f>IF(80&lt;=核心参数输入!$B$9*4,CF133*核心参数输入!$B$43,0)</f>
        <v>424.28349051898721</v>
      </c>
      <c r="CG135" s="9">
        <f>IF(81&lt;=核心参数输入!$B$9*4,CG133*核心参数输入!$B$43,0)</f>
        <v>0</v>
      </c>
      <c r="CH135" s="9">
        <f>IF(82&lt;=核心参数输入!$B$9*4,CH133*核心参数输入!$B$43,0)</f>
        <v>0</v>
      </c>
      <c r="CI135" s="9">
        <f>IF(83&lt;=核心参数输入!$B$9*4,CI133*核心参数输入!$B$43,0)</f>
        <v>0</v>
      </c>
      <c r="CJ135" s="9">
        <f>IF(84&lt;=核心参数输入!$B$9*4,CJ133*核心参数输入!$B$43,0)</f>
        <v>0</v>
      </c>
      <c r="CK135" s="9">
        <f>IF(85&lt;=核心参数输入!$B$9*4,CK133*核心参数输入!$B$43,0)</f>
        <v>0</v>
      </c>
      <c r="CL135" s="9">
        <f>IF(86&lt;=核心参数输入!$B$9*4,CL133*核心参数输入!$B$43,0)</f>
        <v>0</v>
      </c>
      <c r="CM135" s="9">
        <f>IF(87&lt;=核心参数输入!$B$9*4,CM133*核心参数输入!$B$43,0)</f>
        <v>0</v>
      </c>
      <c r="CN135" s="9">
        <f>IF(88&lt;=核心参数输入!$B$9*4,CN133*核心参数输入!$B$43,0)</f>
        <v>0</v>
      </c>
      <c r="CO135" s="9">
        <f>IF(89&lt;=核心参数输入!$B$9*4,CO133*核心参数输入!$B$43,0)</f>
        <v>0</v>
      </c>
      <c r="CP135" s="9">
        <f>IF(90&lt;=核心参数输入!$B$9*4,CP133*核心参数输入!$B$43,0)</f>
        <v>0</v>
      </c>
      <c r="CQ135" s="9">
        <f>IF(91&lt;=核心参数输入!$B$9*4,CQ133*核心参数输入!$B$43,0)</f>
        <v>0</v>
      </c>
      <c r="CR135" s="9">
        <f>IF(92&lt;=核心参数输入!$B$9*4,CR133*核心参数输入!$B$43,0)</f>
        <v>0</v>
      </c>
      <c r="CS135" s="9">
        <f>IF(93&lt;=核心参数输入!$B$9*4,CS133*核心参数输入!$B$43,0)</f>
        <v>0</v>
      </c>
      <c r="CT135" s="9">
        <f>IF(94&lt;=核心参数输入!$B$9*4,CT133*核心参数输入!$B$43,0)</f>
        <v>0</v>
      </c>
      <c r="CU135" s="9">
        <f>IF(95&lt;=核心参数输入!$B$9*4,CU133*核心参数输入!$B$43,0)</f>
        <v>0</v>
      </c>
      <c r="CV135" s="9">
        <f>IF(96&lt;=核心参数输入!$B$9*4,CV133*核心参数输入!$B$43,0)</f>
        <v>0</v>
      </c>
      <c r="CW135" s="9">
        <f>IF(97&lt;=核心参数输入!$B$9*4,CW133*核心参数输入!$B$43,0)</f>
        <v>0</v>
      </c>
      <c r="CX135" s="9">
        <f>IF(98&lt;=核心参数输入!$B$9*4,CX133*核心参数输入!$B$43,0)</f>
        <v>0</v>
      </c>
      <c r="CY135" s="9">
        <f>IF(99&lt;=核心参数输入!$B$9*4,CY133*核心参数输入!$B$43,0)</f>
        <v>0</v>
      </c>
      <c r="CZ135" s="9">
        <f>IF(100&lt;=核心参数输入!$B$9*4,CZ133*核心参数输入!$B$43,0)</f>
        <v>0</v>
      </c>
      <c r="DA135" s="9">
        <f>IF(101&lt;=核心参数输入!$B$9*4,DA133*核心参数输入!$B$43,0)</f>
        <v>0</v>
      </c>
      <c r="DB135" s="9">
        <f>IF(102&lt;=核心参数输入!$B$9*4,DB133*核心参数输入!$B$43,0)</f>
        <v>0</v>
      </c>
      <c r="DC135" s="9">
        <f>IF(103&lt;=核心参数输入!$B$9*4,DC133*核心参数输入!$B$43,0)</f>
        <v>0</v>
      </c>
      <c r="DD135" s="9">
        <f>IF(104&lt;=核心参数输入!$B$9*4,DD133*核心参数输入!$B$43,0)</f>
        <v>0</v>
      </c>
      <c r="DE135" s="9">
        <f>IF(105&lt;=核心参数输入!$B$9*4,DE133*核心参数输入!$B$43,0)</f>
        <v>0</v>
      </c>
      <c r="DF135" s="9">
        <f>IF(106&lt;=核心参数输入!$B$9*4,DF133*核心参数输入!$B$43,0)</f>
        <v>0</v>
      </c>
      <c r="DG135" s="9">
        <f>IF(107&lt;=核心参数输入!$B$9*4,DG133*核心参数输入!$B$43,0)</f>
        <v>0</v>
      </c>
      <c r="DH135" s="9">
        <f>IF(108&lt;=核心参数输入!$B$9*4,DH133*核心参数输入!$B$43,0)</f>
        <v>0</v>
      </c>
      <c r="DI135" s="9">
        <f>IF(109&lt;=核心参数输入!$B$9*4,DI133*核心参数输入!$B$43,0)</f>
        <v>0</v>
      </c>
      <c r="DJ135" s="9">
        <f>IF(110&lt;=核心参数输入!$B$9*4,DJ133*核心参数输入!$B$43,0)</f>
        <v>0</v>
      </c>
      <c r="DK135" s="9">
        <f>IF(111&lt;=核心参数输入!$B$9*4,DK133*核心参数输入!$B$43,0)</f>
        <v>0</v>
      </c>
      <c r="DL135" s="9">
        <f>IF(112&lt;=核心参数输入!$B$9*4,DL133*核心参数输入!$B$43,0)</f>
        <v>0</v>
      </c>
      <c r="DM135" s="9">
        <f>IF(113&lt;=核心参数输入!$B$9*4,DM133*核心参数输入!$B$43,0)</f>
        <v>0</v>
      </c>
      <c r="DN135" s="9">
        <f>IF(114&lt;=核心参数输入!$B$9*4,DN133*核心参数输入!$B$43,0)</f>
        <v>0</v>
      </c>
      <c r="DO135" s="9">
        <f>IF(115&lt;=核心参数输入!$B$9*4,DO133*核心参数输入!$B$43,0)</f>
        <v>0</v>
      </c>
      <c r="DP135" s="9">
        <f>IF(116&lt;=核心参数输入!$B$9*4,DP133*核心参数输入!$B$43,0)</f>
        <v>0</v>
      </c>
      <c r="DQ135" s="9">
        <f>IF(117&lt;=核心参数输入!$B$9*4,DQ133*核心参数输入!$B$43,0)</f>
        <v>0</v>
      </c>
      <c r="DR135" s="9">
        <f>IF(118&lt;=核心参数输入!$B$9*4,DR133*核心参数输入!$B$43,0)</f>
        <v>0</v>
      </c>
      <c r="DS135" s="9">
        <f>IF(119&lt;=核心参数输入!$B$9*4,DS133*核心参数输入!$B$43,0)</f>
        <v>0</v>
      </c>
      <c r="DT135" s="9">
        <f>IF(120&lt;=核心参数输入!$B$9*4,DT133*核心参数输入!$B$43,0)</f>
        <v>0</v>
      </c>
    </row>
    <row r="136" spans="1:124" ht="21" customHeight="1">
      <c r="A136" s="8" t="s">
        <v>366</v>
      </c>
      <c r="B136" s="8" t="s">
        <v>39</v>
      </c>
      <c r="C136" s="8"/>
      <c r="D136" s="9">
        <f>IF(0&lt;=核心参数输入!$B$9*4,IF(AND(0-核心参数输入!$B$104&gt;=0,0-核心参数输入!$B$104&lt;=120),INDEX(季度经营税费!$D$135:$DT$135,1,MAX(1,MIN(121,0-核心参数输入!$B$104+1))),0),0)</f>
        <v>0</v>
      </c>
      <c r="E136" s="9">
        <f>IF(1&lt;=核心参数输入!$B$9*4,IF(AND(1-核心参数输入!$B$104&gt;=0,1-核心参数输入!$B$104&lt;=120),INDEX(季度经营税费!$D$135:$DT$135,1,MAX(1,MIN(121,1-核心参数输入!$B$104+1))),0),0)</f>
        <v>0</v>
      </c>
      <c r="F136" s="9">
        <f>IF(2&lt;=核心参数输入!$B$9*4,IF(AND(2-核心参数输入!$B$104&gt;=0,2-核心参数输入!$B$104&lt;=120),INDEX(季度经营税费!$D$135:$DT$135,1,MAX(1,MIN(121,2-核心参数输入!$B$104+1))),0),0)</f>
        <v>0</v>
      </c>
      <c r="G136" s="9">
        <f>IF(3&lt;=核心参数输入!$B$9*4,IF(AND(3-核心参数输入!$B$104&gt;=0,3-核心参数输入!$B$104&lt;=120),INDEX(季度经营税费!$D$135:$DT$135,1,MAX(1,MIN(121,3-核心参数输入!$B$104+1))),0),0)</f>
        <v>0</v>
      </c>
      <c r="H136" s="9">
        <f>IF(4&lt;=核心参数输入!$B$9*4,IF(AND(4-核心参数输入!$B$104&gt;=0,4-核心参数输入!$B$104&lt;=120),INDEX(季度经营税费!$D$135:$DT$135,1,MAX(1,MIN(121,4-核心参数输入!$B$104+1))),0),0)</f>
        <v>0</v>
      </c>
      <c r="I136" s="9">
        <f>IF(5&lt;=核心参数输入!$B$9*4,IF(AND(5-核心参数输入!$B$104&gt;=0,5-核心参数输入!$B$104&lt;=120),INDEX(季度经营税费!$D$135:$DT$135,1,MAX(1,MIN(121,5-核心参数输入!$B$104+1))),0),0)</f>
        <v>0</v>
      </c>
      <c r="J136" s="9">
        <f>IF(6&lt;=核心参数输入!$B$9*4,IF(AND(6-核心参数输入!$B$104&gt;=0,6-核心参数输入!$B$104&lt;=120),INDEX(季度经营税费!$D$135:$DT$135,1,MAX(1,MIN(121,6-核心参数输入!$B$104+1))),0),0)</f>
        <v>0</v>
      </c>
      <c r="K136" s="9">
        <f>IF(7&lt;=核心参数输入!$B$9*4,IF(AND(7-核心参数输入!$B$104&gt;=0,7-核心参数输入!$B$104&lt;=120),INDEX(季度经营税费!$D$135:$DT$135,1,MAX(1,MIN(121,7-核心参数输入!$B$104+1))),0),0)</f>
        <v>0</v>
      </c>
      <c r="L136" s="9">
        <f>IF(8&lt;=核心参数输入!$B$9*4,IF(AND(8-核心参数输入!$B$104&gt;=0,8-核心参数输入!$B$104&lt;=120),INDEX(季度经营税费!$D$135:$DT$135,1,MAX(1,MIN(121,8-核心参数输入!$B$104+1))),0),0)</f>
        <v>0</v>
      </c>
      <c r="M136" s="9">
        <f>IF(9&lt;=核心参数输入!$B$9*4,IF(AND(9-核心参数输入!$B$104&gt;=0,9-核心参数输入!$B$104&lt;=120),INDEX(季度经营税费!$D$135:$DT$135,1,MAX(1,MIN(121,9-核心参数输入!$B$104+1))),0),0)</f>
        <v>0</v>
      </c>
      <c r="N136" s="9">
        <f>IF(10&lt;=核心参数输入!$B$9*4,IF(AND(10-核心参数输入!$B$104&gt;=0,10-核心参数输入!$B$104&lt;=120),INDEX(季度经营税费!$D$135:$DT$135,1,MAX(1,MIN(121,10-核心参数输入!$B$104+1))),0),0)</f>
        <v>0</v>
      </c>
      <c r="O136" s="9">
        <f>IF(11&lt;=核心参数输入!$B$9*4,IF(AND(11-核心参数输入!$B$104&gt;=0,11-核心参数输入!$B$104&lt;=120),INDEX(季度经营税费!$D$135:$DT$135,1,MAX(1,MIN(121,11-核心参数输入!$B$104+1))),0),0)</f>
        <v>0</v>
      </c>
      <c r="P136" s="9">
        <f>IF(12&lt;=核心参数输入!$B$9*4,IF(AND(12-核心参数输入!$B$104&gt;=0,12-核心参数输入!$B$104&lt;=120),INDEX(季度经营税费!$D$135:$DT$135,1,MAX(1,MIN(121,12-核心参数输入!$B$104+1))),0),0)</f>
        <v>0</v>
      </c>
      <c r="Q136" s="9">
        <f>IF(13&lt;=核心参数输入!$B$9*4,IF(AND(13-核心参数输入!$B$104&gt;=0,13-核心参数输入!$B$104&lt;=120),INDEX(季度经营税费!$D$135:$DT$135,1,MAX(1,MIN(121,13-核心参数输入!$B$104+1))),0),0)</f>
        <v>0</v>
      </c>
      <c r="R136" s="9">
        <f>IF(14&lt;=核心参数输入!$B$9*4,IF(AND(14-核心参数输入!$B$104&gt;=0,14-核心参数输入!$B$104&lt;=120),INDEX(季度经营税费!$D$135:$DT$135,1,MAX(1,MIN(121,14-核心参数输入!$B$104+1))),0),0)</f>
        <v>20.896785000000008</v>
      </c>
      <c r="S136" s="9">
        <f>IF(15&lt;=核心参数输入!$B$9*4,IF(AND(15-核心参数输入!$B$104&gt;=0,15-核心参数输入!$B$104&lt;=120),INDEX(季度经营税费!$D$135:$DT$135,1,MAX(1,MIN(121,15-核心参数输入!$B$104+1))),0),0)</f>
        <v>62.690355000000018</v>
      </c>
      <c r="T136" s="9">
        <f>IF(16&lt;=核心参数输入!$B$9*4,IF(AND(16-核心参数输入!$B$104&gt;=0,16-核心参数输入!$B$104&lt;=120),INDEX(季度经营税费!$D$135:$DT$135,1,MAX(1,MIN(121,16-核心参数输入!$B$104+1))),0),0)</f>
        <v>104.483925</v>
      </c>
      <c r="U136" s="9">
        <f>IF(17&lt;=核心参数输入!$B$9*4,IF(AND(17-核心参数输入!$B$104&gt;=0,17-核心参数输入!$B$104&lt;=120),INDEX(季度经营税费!$D$135:$DT$135,1,MAX(1,MIN(121,17-核心参数输入!$B$104+1))),0),0)</f>
        <v>148.47165742500002</v>
      </c>
      <c r="V136" s="9">
        <f>IF(18&lt;=核心参数输入!$B$9*4,IF(AND(18-核心参数输入!$B$104&gt;=0,18-核心参数输入!$B$104&lt;=120),INDEX(季度经营税费!$D$135:$DT$135,1,MAX(1,MIN(121,18-核心参数输入!$B$104+1))),0),0)</f>
        <v>180.28701258749999</v>
      </c>
      <c r="W136" s="9">
        <f>IF(19&lt;=核心参数输入!$B$9*4,IF(AND(19-核心参数输入!$B$104&gt;=0,19-核心参数输入!$B$104&lt;=120),INDEX(季度经营税费!$D$135:$DT$135,1,MAX(1,MIN(121,19-核心参数输入!$B$104+1))),0),0)</f>
        <v>201.49724936249999</v>
      </c>
      <c r="X136" s="9">
        <f>IF(20&lt;=核心参数输入!$B$9*4,IF(AND(20-核心参数输入!$B$104&gt;=0,20-核心参数输入!$B$104&lt;=120),INDEX(季度经营税费!$D$135:$DT$135,1,MAX(1,MIN(121,20-核心参数输入!$B$104+1))),0),0)</f>
        <v>222.70748613750001</v>
      </c>
      <c r="Y136" s="9">
        <f>IF(21&lt;=核心参数输入!$B$9*4,IF(AND(21-核心参数输入!$B$104&gt;=0,21-核心参数输入!$B$104&lt;=120),INDEX(季度经营税费!$D$135:$DT$135,1,MAX(1,MIN(121,21-核心参数输入!$B$104+1))),0),0)</f>
        <v>247.57648875618739</v>
      </c>
      <c r="Z136" s="9">
        <f>IF(22&lt;=核心参数输入!$B$9*4,IF(AND(22-核心参数输入!$B$104&gt;=0,22-核心参数输入!$B$104&lt;=120),INDEX(季度经营税费!$D$135:$DT$135,1,MAX(1,MIN(121,22-核心参数输入!$B$104+1))),0),0)</f>
        <v>266.41383029198431</v>
      </c>
      <c r="AA136" s="9">
        <f>IF(23&lt;=核心参数输入!$B$9*4,IF(AND(23-核心参数输入!$B$104&gt;=0,23-核心参数输入!$B$104&lt;=120),INDEX(季度经营税费!$D$135:$DT$135,1,MAX(1,MIN(121,23-核心参数输入!$B$104+1))),0),0)</f>
        <v>282.56012303695303</v>
      </c>
      <c r="AB136" s="9">
        <f>IF(24&lt;=核心参数输入!$B$9*4,IF(AND(24-核心参数输入!$B$104&gt;=0,24-核心参数输入!$B$104&lt;=120),INDEX(季度经营税费!$D$135:$DT$135,1,MAX(1,MIN(121,24-核心参数输入!$B$104+1))),0),0)</f>
        <v>298.70641578192181</v>
      </c>
      <c r="AC136" s="9">
        <f>IF(25&lt;=核心参数输入!$B$9*4,IF(AND(25-核心参数输入!$B$104&gt;=0,25-核心参数输入!$B$104&lt;=120),INDEX(季度经营税费!$D$135:$DT$135,1,MAX(1,MIN(121,25-核心参数输入!$B$104+1))),0),0)</f>
        <v>319.57549915479382</v>
      </c>
      <c r="AD136" s="9">
        <f>IF(26&lt;=核心参数输入!$B$9*4,IF(AND(26-核心参数输入!$B$104&gt;=0,26-核心参数输入!$B$104&lt;=120),INDEX(季度经营税费!$D$135:$DT$135,1,MAX(1,MIN(121,26-核心参数输入!$B$104+1))),0),0)</f>
        <v>330.50115724555599</v>
      </c>
      <c r="AE136" s="9">
        <f>IF(27&lt;=核心参数输入!$B$9*4,IF(AND(27-核心参数输入!$B$104&gt;=0,27-核心参数输入!$B$104&lt;=120),INDEX(季度经营税费!$D$135:$DT$135,1,MAX(1,MIN(121,27-核心参数输入!$B$104+1))),0),0)</f>
        <v>335.96398629093704</v>
      </c>
      <c r="AF136" s="9">
        <f>IF(28&lt;=核心参数输入!$B$9*4,IF(AND(28-核心参数输入!$B$104&gt;=0,28-核心参数输入!$B$104&lt;=120),INDEX(季度经营税费!$D$135:$DT$135,1,MAX(1,MIN(121,28-核心参数输入!$B$104+1))),0),0)</f>
        <v>341.42681533631821</v>
      </c>
      <c r="AG136" s="9">
        <f>IF(29&lt;=核心参数输入!$B$9*4,IF(AND(29-核心参数输入!$B$104&gt;=0,29-核心参数输入!$B$104&lt;=120),INDEX(季度经营税费!$D$135:$DT$135,1,MAX(1,MIN(121,29-核心参数输入!$B$104+1))),0),0)</f>
        <v>352.09298904742479</v>
      </c>
      <c r="AH136" s="9">
        <f>IF(30&lt;=核心参数输入!$B$9*4,IF(AND(30-核心参数输入!$B$104&gt;=0,30-核心参数输入!$B$104&lt;=120),INDEX(季度经营税费!$D$135:$DT$135,1,MAX(1,MIN(121,30-核心参数输入!$B$104+1))),0),0)</f>
        <v>354.86537478795566</v>
      </c>
      <c r="AI136" s="9">
        <f>IF(31&lt;=核心参数输入!$B$9*4,IF(AND(31-核心参数输入!$B$104&gt;=0,31-核心参数输入!$B$104&lt;=120),INDEX(季度经营税费!$D$135:$DT$135,1,MAX(1,MIN(121,31-核心参数输入!$B$104+1))),0),0)</f>
        <v>354.86537478795566</v>
      </c>
      <c r="AJ136" s="9">
        <f>IF(32&lt;=核心参数输入!$B$9*4,IF(AND(32-核心参数输入!$B$104&gt;=0,32-核心参数输入!$B$104&lt;=120),INDEX(季度经营税费!$D$135:$DT$135,1,MAX(1,MIN(121,32-核心参数输入!$B$104+1))),0),0)</f>
        <v>354.86537478795566</v>
      </c>
      <c r="AK136" s="9">
        <f>IF(33&lt;=核心参数输入!$B$9*4,IF(AND(33-核心参数输入!$B$104&gt;=0,33-核心参数输入!$B$104&lt;=120),INDEX(季度经营税费!$D$135:$DT$135,1,MAX(1,MIN(121,33-核心参数输入!$B$104+1))),0),0)</f>
        <v>360.188355409775</v>
      </c>
      <c r="AL136" s="9">
        <f>IF(34&lt;=核心参数输入!$B$9*4,IF(AND(34-核心参数输入!$B$104&gt;=0,34-核心参数输入!$B$104&lt;=120),INDEX(季度经营税费!$D$135:$DT$135,1,MAX(1,MIN(121,34-核心参数输入!$B$104+1))),0),0)</f>
        <v>360.188355409775</v>
      </c>
      <c r="AM136" s="9">
        <f>IF(35&lt;=核心参数输入!$B$9*4,IF(AND(35-核心参数输入!$B$104&gt;=0,35-核心参数输入!$B$104&lt;=120),INDEX(季度经营税费!$D$135:$DT$135,1,MAX(1,MIN(121,35-核心参数输入!$B$104+1))),0),0)</f>
        <v>360.188355409775</v>
      </c>
      <c r="AN136" s="9">
        <f>IF(36&lt;=核心参数输入!$B$9*4,IF(AND(36-核心参数输入!$B$104&gt;=0,36-核心参数输入!$B$104&lt;=120),INDEX(季度经营税费!$D$135:$DT$135,1,MAX(1,MIN(121,36-核心参数输入!$B$104+1))),0),0)</f>
        <v>360.188355409775</v>
      </c>
      <c r="AO136" s="9">
        <f>IF(37&lt;=核心参数输入!$B$9*4,IF(AND(37-核心参数输入!$B$104&gt;=0,37-核心参数输入!$B$104&lt;=120),INDEX(季度经营税费!$D$135:$DT$135,1,MAX(1,MIN(121,37-核心参数输入!$B$104+1))),0),0)</f>
        <v>365.59118074092152</v>
      </c>
      <c r="AP136" s="9">
        <f>IF(38&lt;=核心参数输入!$B$9*4,IF(AND(38-核心参数输入!$B$104&gt;=0,38-核心参数输入!$B$104&lt;=120),INDEX(季度经营税费!$D$135:$DT$135,1,MAX(1,MIN(121,38-核心参数输入!$B$104+1))),0),0)</f>
        <v>365.59118074092152</v>
      </c>
      <c r="AQ136" s="9">
        <f>IF(39&lt;=核心参数输入!$B$9*4,IF(AND(39-核心参数输入!$B$104&gt;=0,39-核心参数输入!$B$104&lt;=120),INDEX(季度经营税费!$D$135:$DT$135,1,MAX(1,MIN(121,39-核心参数输入!$B$104+1))),0),0)</f>
        <v>365.59118074092152</v>
      </c>
      <c r="AR136" s="9">
        <f>IF(40&lt;=核心参数输入!$B$9*4,IF(AND(40-核心参数输入!$B$104&gt;=0,40-核心参数输入!$B$104&lt;=120),INDEX(季度经营税费!$D$135:$DT$135,1,MAX(1,MIN(121,40-核心参数输入!$B$104+1))),0),0)</f>
        <v>365.59118074092152</v>
      </c>
      <c r="AS136" s="9">
        <f>IF(41&lt;=核心参数输入!$B$9*4,IF(AND(41-核心参数输入!$B$104&gt;=0,41-核心参数输入!$B$104&lt;=120),INDEX(季度经营税费!$D$135:$DT$135,1,MAX(1,MIN(121,41-核心参数输入!$B$104+1))),0),0)</f>
        <v>371.07504845203533</v>
      </c>
      <c r="AT136" s="9">
        <f>IF(42&lt;=核心参数输入!$B$9*4,IF(AND(42-核心参数输入!$B$104&gt;=0,42-核心参数输入!$B$104&lt;=120),INDEX(季度经营税费!$D$135:$DT$135,1,MAX(1,MIN(121,42-核心参数输入!$B$104+1))),0),0)</f>
        <v>371.07504845203533</v>
      </c>
      <c r="AU136" s="9">
        <f>IF(43&lt;=核心参数输入!$B$9*4,IF(AND(43-核心参数输入!$B$104&gt;=0,43-核心参数输入!$B$104&lt;=120),INDEX(季度经营税费!$D$135:$DT$135,1,MAX(1,MIN(121,43-核心参数输入!$B$104+1))),0),0)</f>
        <v>371.07504845203533</v>
      </c>
      <c r="AV136" s="9">
        <f>IF(44&lt;=核心参数输入!$B$9*4,IF(AND(44-核心参数输入!$B$104&gt;=0,44-核心参数输入!$B$104&lt;=120),INDEX(季度经营税费!$D$135:$DT$135,1,MAX(1,MIN(121,44-核心参数输入!$B$104+1))),0),0)</f>
        <v>371.07504845203533</v>
      </c>
      <c r="AW136" s="9">
        <f>IF(45&lt;=核心参数输入!$B$9*4,IF(AND(45-核心参数输入!$B$104&gt;=0,45-核心参数输入!$B$104&lt;=120),INDEX(季度经营税费!$D$135:$DT$135,1,MAX(1,MIN(121,45-核心参数输入!$B$104+1))),0),0)</f>
        <v>376.64117417881573</v>
      </c>
      <c r="AX136" s="9">
        <f>IF(46&lt;=核心参数输入!$B$9*4,IF(AND(46-核心参数输入!$B$104&gt;=0,46-核心参数输入!$B$104&lt;=120),INDEX(季度经营税费!$D$135:$DT$135,1,MAX(1,MIN(121,46-核心参数输入!$B$104+1))),0),0)</f>
        <v>376.64117417881573</v>
      </c>
      <c r="AY136" s="9">
        <f>IF(47&lt;=核心参数输入!$B$9*4,IF(AND(47-核心参数输入!$B$104&gt;=0,47-核心参数输入!$B$104&lt;=120),INDEX(季度经营税费!$D$135:$DT$135,1,MAX(1,MIN(121,47-核心参数输入!$B$104+1))),0),0)</f>
        <v>376.64117417881573</v>
      </c>
      <c r="AZ136" s="9">
        <f>IF(48&lt;=核心参数输入!$B$9*4,IF(AND(48-核心参数输入!$B$104&gt;=0,48-核心参数输入!$B$104&lt;=120),INDEX(季度经营税费!$D$135:$DT$135,1,MAX(1,MIN(121,48-核心参数输入!$B$104+1))),0),0)</f>
        <v>376.64117417881573</v>
      </c>
      <c r="BA136" s="9">
        <f>IF(49&lt;=核心参数输入!$B$9*4,IF(AND(49-核心参数输入!$B$104&gt;=0,49-核心参数输入!$B$104&lt;=120),INDEX(季度经营税费!$D$135:$DT$135,1,MAX(1,MIN(121,49-核心参数输入!$B$104+1))),0),0)</f>
        <v>382.29079179149795</v>
      </c>
      <c r="BB136" s="9">
        <f>IF(50&lt;=核心参数输入!$B$9*4,IF(AND(50-核心参数输入!$B$104&gt;=0,50-核心参数输入!$B$104&lt;=120),INDEX(季度经营税费!$D$135:$DT$135,1,MAX(1,MIN(121,50-核心参数输入!$B$104+1))),0),0)</f>
        <v>382.29079179149795</v>
      </c>
      <c r="BC136" s="9">
        <f>IF(51&lt;=核心参数输入!$B$9*4,IF(AND(51-核心参数输入!$B$104&gt;=0,51-核心参数输入!$B$104&lt;=120),INDEX(季度经营税费!$D$135:$DT$135,1,MAX(1,MIN(121,51-核心参数输入!$B$104+1))),0),0)</f>
        <v>382.29079179149795</v>
      </c>
      <c r="BD136" s="9">
        <f>IF(52&lt;=核心参数输入!$B$9*4,IF(AND(52-核心参数输入!$B$104&gt;=0,52-核心参数输入!$B$104&lt;=120),INDEX(季度经营税费!$D$135:$DT$135,1,MAX(1,MIN(121,52-核心参数输入!$B$104+1))),0),0)</f>
        <v>382.29079179149795</v>
      </c>
      <c r="BE136" s="9">
        <f>IF(53&lt;=核心参数输入!$B$9*4,IF(AND(53-核心参数输入!$B$104&gt;=0,53-核心参数输入!$B$104&lt;=120),INDEX(季度经营税费!$D$135:$DT$135,1,MAX(1,MIN(121,53-核心参数输入!$B$104+1))),0),0)</f>
        <v>388.02515366837036</v>
      </c>
      <c r="BF136" s="9">
        <f>IF(54&lt;=核心参数输入!$B$9*4,IF(AND(54-核心参数输入!$B$104&gt;=0,54-核心参数输入!$B$104&lt;=120),INDEX(季度经营税费!$D$135:$DT$135,1,MAX(1,MIN(121,54-核心参数输入!$B$104+1))),0),0)</f>
        <v>388.02515366837036</v>
      </c>
      <c r="BG136" s="9">
        <f>IF(55&lt;=核心参数输入!$B$9*4,IF(AND(55-核心参数输入!$B$104&gt;=0,55-核心参数输入!$B$104&lt;=120),INDEX(季度经营税费!$D$135:$DT$135,1,MAX(1,MIN(121,55-核心参数输入!$B$104+1))),0),0)</f>
        <v>388.02515366837036</v>
      </c>
      <c r="BH136" s="9">
        <f>IF(56&lt;=核心参数输入!$B$9*4,IF(AND(56-核心参数输入!$B$104&gt;=0,56-核心参数输入!$B$104&lt;=120),INDEX(季度经营税费!$D$135:$DT$135,1,MAX(1,MIN(121,56-核心参数输入!$B$104+1))),0),0)</f>
        <v>388.02515366837036</v>
      </c>
      <c r="BI136" s="9">
        <f>IF(57&lt;=核心参数输入!$B$9*4,IF(AND(57-核心参数输入!$B$104&gt;=0,57-核心参数输入!$B$104&lt;=120),INDEX(季度经营税费!$D$135:$DT$135,1,MAX(1,MIN(121,57-核心参数输入!$B$104+1))),0),0)</f>
        <v>393.84553097339585</v>
      </c>
      <c r="BJ136" s="9">
        <f>IF(58&lt;=核心参数输入!$B$9*4,IF(AND(58-核心参数输入!$B$104&gt;=0,58-核心参数输入!$B$104&lt;=120),INDEX(季度经营税费!$D$135:$DT$135,1,MAX(1,MIN(121,58-核心参数输入!$B$104+1))),0),0)</f>
        <v>393.84553097339585</v>
      </c>
      <c r="BK136" s="9">
        <f>IF(59&lt;=核心参数输入!$B$9*4,IF(AND(59-核心参数输入!$B$104&gt;=0,59-核心参数输入!$B$104&lt;=120),INDEX(季度经营税费!$D$135:$DT$135,1,MAX(1,MIN(121,59-核心参数输入!$B$104+1))),0),0)</f>
        <v>393.84553097339585</v>
      </c>
      <c r="BL136" s="9">
        <f>IF(60&lt;=核心参数输入!$B$9*4,IF(AND(60-核心参数输入!$B$104&gt;=0,60-核心参数输入!$B$104&lt;=120),INDEX(季度经营税费!$D$135:$DT$135,1,MAX(1,MIN(121,60-核心参数输入!$B$104+1))),0),0)</f>
        <v>393.84553097339585</v>
      </c>
      <c r="BM136" s="9">
        <f>IF(61&lt;=核心参数输入!$B$9*4,IF(AND(61-核心参数输入!$B$104&gt;=0,61-核心参数输入!$B$104&lt;=120),INDEX(季度经营税费!$D$135:$DT$135,1,MAX(1,MIN(121,61-核心参数输入!$B$104+1))),0),0)</f>
        <v>399.75321393799669</v>
      </c>
      <c r="BN136" s="9">
        <f>IF(62&lt;=核心参数输入!$B$9*4,IF(AND(62-核心参数输入!$B$104&gt;=0,62-核心参数输入!$B$104&lt;=120),INDEX(季度经营税费!$D$135:$DT$135,1,MAX(1,MIN(121,62-核心参数输入!$B$104+1))),0),0)</f>
        <v>399.75321393799669</v>
      </c>
      <c r="BO136" s="9">
        <f>IF(63&lt;=核心参数输入!$B$9*4,IF(AND(63-核心参数输入!$B$104&gt;=0,63-核心参数输入!$B$104&lt;=120),INDEX(季度经营税费!$D$135:$DT$135,1,MAX(1,MIN(121,63-核心参数输入!$B$104+1))),0),0)</f>
        <v>399.75321393799669</v>
      </c>
      <c r="BP136" s="9">
        <f>IF(64&lt;=核心参数输入!$B$9*4,IF(AND(64-核心参数输入!$B$104&gt;=0,64-核心参数输入!$B$104&lt;=120),INDEX(季度经营税费!$D$135:$DT$135,1,MAX(1,MIN(121,64-核心参数输入!$B$104+1))),0),0)</f>
        <v>399.75321393799669</v>
      </c>
      <c r="BQ136" s="9">
        <f>IF(65&lt;=核心参数输入!$B$9*4,IF(AND(65-核心参数输入!$B$104&gt;=0,65-核心参数输入!$B$104&lt;=120),INDEX(季度经营税费!$D$135:$DT$135,1,MAX(1,MIN(121,65-核心参数输入!$B$104+1))),0),0)</f>
        <v>405.7495121470667</v>
      </c>
      <c r="BR136" s="9">
        <f>IF(66&lt;=核心参数输入!$B$9*4,IF(AND(66-核心参数输入!$B$104&gt;=0,66-核心参数输入!$B$104&lt;=120),INDEX(季度经营税费!$D$135:$DT$135,1,MAX(1,MIN(121,66-核心参数输入!$B$104+1))),0),0)</f>
        <v>405.7495121470667</v>
      </c>
      <c r="BS136" s="9">
        <f>IF(67&lt;=核心参数输入!$B$9*4,IF(AND(67-核心参数输入!$B$104&gt;=0,67-核心参数输入!$B$104&lt;=120),INDEX(季度经营税费!$D$135:$DT$135,1,MAX(1,MIN(121,67-核心参数输入!$B$104+1))),0),0)</f>
        <v>405.7495121470667</v>
      </c>
      <c r="BT136" s="9">
        <f>IF(68&lt;=核心参数输入!$B$9*4,IF(AND(68-核心参数输入!$B$104&gt;=0,68-核心参数输入!$B$104&lt;=120),INDEX(季度经营税费!$D$135:$DT$135,1,MAX(1,MIN(121,68-核心参数输入!$B$104+1))),0),0)</f>
        <v>405.7495121470667</v>
      </c>
      <c r="BU136" s="9">
        <f>IF(69&lt;=核心参数输入!$B$9*4,IF(AND(69-核心参数输入!$B$104&gt;=0,69-核心参数输入!$B$104&lt;=120),INDEX(季度经营税费!$D$135:$DT$135,1,MAX(1,MIN(121,69-核心参数输入!$B$104+1))),0),0)</f>
        <v>411.83575482927256</v>
      </c>
      <c r="BV136" s="9">
        <f>IF(70&lt;=核心参数输入!$B$9*4,IF(AND(70-核心参数输入!$B$104&gt;=0,70-核心参数输入!$B$104&lt;=120),INDEX(季度经营税费!$D$135:$DT$135,1,MAX(1,MIN(121,70-核心参数输入!$B$104+1))),0),0)</f>
        <v>411.83575482927256</v>
      </c>
      <c r="BW136" s="9">
        <f>IF(71&lt;=核心参数输入!$B$9*4,IF(AND(71-核心参数输入!$B$104&gt;=0,71-核心参数输入!$B$104&lt;=120),INDEX(季度经营税费!$D$135:$DT$135,1,MAX(1,MIN(121,71-核心参数输入!$B$104+1))),0),0)</f>
        <v>411.83575482927256</v>
      </c>
      <c r="BX136" s="9">
        <f>IF(72&lt;=核心参数输入!$B$9*4,IF(AND(72-核心参数输入!$B$104&gt;=0,72-核心参数输入!$B$104&lt;=120),INDEX(季度经营税费!$D$135:$DT$135,1,MAX(1,MIN(121,72-核心参数输入!$B$104+1))),0),0)</f>
        <v>411.83575482927256</v>
      </c>
      <c r="BY136" s="9">
        <f>IF(73&lt;=核心参数输入!$B$9*4,IF(AND(73-核心参数输入!$B$104&gt;=0,73-核心参数输入!$B$104&lt;=120),INDEX(季度经营税费!$D$135:$DT$135,1,MAX(1,MIN(121,73-核心参数输入!$B$104+1))),0),0)</f>
        <v>418.0132911517116</v>
      </c>
      <c r="BZ136" s="9">
        <f>IF(74&lt;=核心参数输入!$B$9*4,IF(AND(74-核心参数输入!$B$104&gt;=0,74-核心参数输入!$B$104&lt;=120),INDEX(季度经营税费!$D$135:$DT$135,1,MAX(1,MIN(121,74-核心参数输入!$B$104+1))),0),0)</f>
        <v>418.0132911517116</v>
      </c>
      <c r="CA136" s="9">
        <f>IF(75&lt;=核心参数输入!$B$9*4,IF(AND(75-核心参数输入!$B$104&gt;=0,75-核心参数输入!$B$104&lt;=120),INDEX(季度经营税费!$D$135:$DT$135,1,MAX(1,MIN(121,75-核心参数输入!$B$104+1))),0),0)</f>
        <v>418.0132911517116</v>
      </c>
      <c r="CB136" s="9">
        <f>IF(76&lt;=核心参数输入!$B$9*4,IF(AND(76-核心参数输入!$B$104&gt;=0,76-核心参数输入!$B$104&lt;=120),INDEX(季度经营税费!$D$135:$DT$135,1,MAX(1,MIN(121,76-核心参数输入!$B$104+1))),0),0)</f>
        <v>418.0132911517116</v>
      </c>
      <c r="CC136" s="9">
        <f>IF(77&lt;=核心参数输入!$B$9*4,IF(AND(77-核心参数输入!$B$104&gt;=0,77-核心参数输入!$B$104&lt;=120),INDEX(季度经营税费!$D$135:$DT$135,1,MAX(1,MIN(121,77-核心参数输入!$B$104+1))),0),0)</f>
        <v>424.28349051898721</v>
      </c>
      <c r="CD136" s="9">
        <f>IF(78&lt;=核心参数输入!$B$9*4,IF(AND(78-核心参数输入!$B$104&gt;=0,78-核心参数输入!$B$104&lt;=120),INDEX(季度经营税费!$D$135:$DT$135,1,MAX(1,MIN(121,78-核心参数输入!$B$104+1))),0),0)</f>
        <v>424.28349051898721</v>
      </c>
      <c r="CE136" s="9">
        <f>IF(79&lt;=核心参数输入!$B$9*4,IF(AND(79-核心参数输入!$B$104&gt;=0,79-核心参数输入!$B$104&lt;=120),INDEX(季度经营税费!$D$135:$DT$135,1,MAX(1,MIN(121,79-核心参数输入!$B$104+1))),0),0)</f>
        <v>424.28349051898721</v>
      </c>
      <c r="CF136" s="9">
        <f>IF(80&lt;=核心参数输入!$B$9*4,IF(AND(80-核心参数输入!$B$104&gt;=0,80-核心参数输入!$B$104&lt;=120),INDEX(季度经营税费!$D$135:$DT$135,1,MAX(1,MIN(121,80-核心参数输入!$B$104+1))),0),0)</f>
        <v>424.28349051898721</v>
      </c>
      <c r="CG136" s="9">
        <f>IF(81&lt;=核心参数输入!$B$9*4,IF(AND(81-核心参数输入!$B$104&gt;=0,81-核心参数输入!$B$104&lt;=120),INDEX(季度经营税费!$D$135:$DT$135,1,MAX(1,MIN(121,81-核心参数输入!$B$104+1))),0),0)</f>
        <v>0</v>
      </c>
      <c r="CH136" s="9">
        <f>IF(82&lt;=核心参数输入!$B$9*4,IF(AND(82-核心参数输入!$B$104&gt;=0,82-核心参数输入!$B$104&lt;=120),INDEX(季度经营税费!$D$135:$DT$135,1,MAX(1,MIN(121,82-核心参数输入!$B$104+1))),0),0)</f>
        <v>0</v>
      </c>
      <c r="CI136" s="9">
        <f>IF(83&lt;=核心参数输入!$B$9*4,IF(AND(83-核心参数输入!$B$104&gt;=0,83-核心参数输入!$B$104&lt;=120),INDEX(季度经营税费!$D$135:$DT$135,1,MAX(1,MIN(121,83-核心参数输入!$B$104+1))),0),0)</f>
        <v>0</v>
      </c>
      <c r="CJ136" s="9">
        <f>IF(84&lt;=核心参数输入!$B$9*4,IF(AND(84-核心参数输入!$B$104&gt;=0,84-核心参数输入!$B$104&lt;=120),INDEX(季度经营税费!$D$135:$DT$135,1,MAX(1,MIN(121,84-核心参数输入!$B$104+1))),0),0)</f>
        <v>0</v>
      </c>
      <c r="CK136" s="9">
        <f>IF(85&lt;=核心参数输入!$B$9*4,IF(AND(85-核心参数输入!$B$104&gt;=0,85-核心参数输入!$B$104&lt;=120),INDEX(季度经营税费!$D$135:$DT$135,1,MAX(1,MIN(121,85-核心参数输入!$B$104+1))),0),0)</f>
        <v>0</v>
      </c>
      <c r="CL136" s="9">
        <f>IF(86&lt;=核心参数输入!$B$9*4,IF(AND(86-核心参数输入!$B$104&gt;=0,86-核心参数输入!$B$104&lt;=120),INDEX(季度经营税费!$D$135:$DT$135,1,MAX(1,MIN(121,86-核心参数输入!$B$104+1))),0),0)</f>
        <v>0</v>
      </c>
      <c r="CM136" s="9">
        <f>IF(87&lt;=核心参数输入!$B$9*4,IF(AND(87-核心参数输入!$B$104&gt;=0,87-核心参数输入!$B$104&lt;=120),INDEX(季度经营税费!$D$135:$DT$135,1,MAX(1,MIN(121,87-核心参数输入!$B$104+1))),0),0)</f>
        <v>0</v>
      </c>
      <c r="CN136" s="9">
        <f>IF(88&lt;=核心参数输入!$B$9*4,IF(AND(88-核心参数输入!$B$104&gt;=0,88-核心参数输入!$B$104&lt;=120),INDEX(季度经营税费!$D$135:$DT$135,1,MAX(1,MIN(121,88-核心参数输入!$B$104+1))),0),0)</f>
        <v>0</v>
      </c>
      <c r="CO136" s="9">
        <f>IF(89&lt;=核心参数输入!$B$9*4,IF(AND(89-核心参数输入!$B$104&gt;=0,89-核心参数输入!$B$104&lt;=120),INDEX(季度经营税费!$D$135:$DT$135,1,MAX(1,MIN(121,89-核心参数输入!$B$104+1))),0),0)</f>
        <v>0</v>
      </c>
      <c r="CP136" s="9">
        <f>IF(90&lt;=核心参数输入!$B$9*4,IF(AND(90-核心参数输入!$B$104&gt;=0,90-核心参数输入!$B$104&lt;=120),INDEX(季度经营税费!$D$135:$DT$135,1,MAX(1,MIN(121,90-核心参数输入!$B$104+1))),0),0)</f>
        <v>0</v>
      </c>
      <c r="CQ136" s="9">
        <f>IF(91&lt;=核心参数输入!$B$9*4,IF(AND(91-核心参数输入!$B$104&gt;=0,91-核心参数输入!$B$104&lt;=120),INDEX(季度经营税费!$D$135:$DT$135,1,MAX(1,MIN(121,91-核心参数输入!$B$104+1))),0),0)</f>
        <v>0</v>
      </c>
      <c r="CR136" s="9">
        <f>IF(92&lt;=核心参数输入!$B$9*4,IF(AND(92-核心参数输入!$B$104&gt;=0,92-核心参数输入!$B$104&lt;=120),INDEX(季度经营税费!$D$135:$DT$135,1,MAX(1,MIN(121,92-核心参数输入!$B$104+1))),0),0)</f>
        <v>0</v>
      </c>
      <c r="CS136" s="9">
        <f>IF(93&lt;=核心参数输入!$B$9*4,IF(AND(93-核心参数输入!$B$104&gt;=0,93-核心参数输入!$B$104&lt;=120),INDEX(季度经营税费!$D$135:$DT$135,1,MAX(1,MIN(121,93-核心参数输入!$B$104+1))),0),0)</f>
        <v>0</v>
      </c>
      <c r="CT136" s="9">
        <f>IF(94&lt;=核心参数输入!$B$9*4,IF(AND(94-核心参数输入!$B$104&gt;=0,94-核心参数输入!$B$104&lt;=120),INDEX(季度经营税费!$D$135:$DT$135,1,MAX(1,MIN(121,94-核心参数输入!$B$104+1))),0),0)</f>
        <v>0</v>
      </c>
      <c r="CU136" s="9">
        <f>IF(95&lt;=核心参数输入!$B$9*4,IF(AND(95-核心参数输入!$B$104&gt;=0,95-核心参数输入!$B$104&lt;=120),INDEX(季度经营税费!$D$135:$DT$135,1,MAX(1,MIN(121,95-核心参数输入!$B$104+1))),0),0)</f>
        <v>0</v>
      </c>
      <c r="CV136" s="9">
        <f>IF(96&lt;=核心参数输入!$B$9*4,IF(AND(96-核心参数输入!$B$104&gt;=0,96-核心参数输入!$B$104&lt;=120),INDEX(季度经营税费!$D$135:$DT$135,1,MAX(1,MIN(121,96-核心参数输入!$B$104+1))),0),0)</f>
        <v>0</v>
      </c>
      <c r="CW136" s="9">
        <f>IF(97&lt;=核心参数输入!$B$9*4,IF(AND(97-核心参数输入!$B$104&gt;=0,97-核心参数输入!$B$104&lt;=120),INDEX(季度经营税费!$D$135:$DT$135,1,MAX(1,MIN(121,97-核心参数输入!$B$104+1))),0),0)</f>
        <v>0</v>
      </c>
      <c r="CX136" s="9">
        <f>IF(98&lt;=核心参数输入!$B$9*4,IF(AND(98-核心参数输入!$B$104&gt;=0,98-核心参数输入!$B$104&lt;=120),INDEX(季度经营税费!$D$135:$DT$135,1,MAX(1,MIN(121,98-核心参数输入!$B$104+1))),0),0)</f>
        <v>0</v>
      </c>
      <c r="CY136" s="9">
        <f>IF(99&lt;=核心参数输入!$B$9*4,IF(AND(99-核心参数输入!$B$104&gt;=0,99-核心参数输入!$B$104&lt;=120),INDEX(季度经营税费!$D$135:$DT$135,1,MAX(1,MIN(121,99-核心参数输入!$B$104+1))),0),0)</f>
        <v>0</v>
      </c>
      <c r="CZ136" s="9">
        <f>IF(100&lt;=核心参数输入!$B$9*4,IF(AND(100-核心参数输入!$B$104&gt;=0,100-核心参数输入!$B$104&lt;=120),INDEX(季度经营税费!$D$135:$DT$135,1,MAX(1,MIN(121,100-核心参数输入!$B$104+1))),0),0)</f>
        <v>0</v>
      </c>
      <c r="DA136" s="9">
        <f>IF(101&lt;=核心参数输入!$B$9*4,IF(AND(101-核心参数输入!$B$104&gt;=0,101-核心参数输入!$B$104&lt;=120),INDEX(季度经营税费!$D$135:$DT$135,1,MAX(1,MIN(121,101-核心参数输入!$B$104+1))),0),0)</f>
        <v>0</v>
      </c>
      <c r="DB136" s="9">
        <f>IF(102&lt;=核心参数输入!$B$9*4,IF(AND(102-核心参数输入!$B$104&gt;=0,102-核心参数输入!$B$104&lt;=120),INDEX(季度经营税费!$D$135:$DT$135,1,MAX(1,MIN(121,102-核心参数输入!$B$104+1))),0),0)</f>
        <v>0</v>
      </c>
      <c r="DC136" s="9">
        <f>IF(103&lt;=核心参数输入!$B$9*4,IF(AND(103-核心参数输入!$B$104&gt;=0,103-核心参数输入!$B$104&lt;=120),INDEX(季度经营税费!$D$135:$DT$135,1,MAX(1,MIN(121,103-核心参数输入!$B$104+1))),0),0)</f>
        <v>0</v>
      </c>
      <c r="DD136" s="9">
        <f>IF(104&lt;=核心参数输入!$B$9*4,IF(AND(104-核心参数输入!$B$104&gt;=0,104-核心参数输入!$B$104&lt;=120),INDEX(季度经营税费!$D$135:$DT$135,1,MAX(1,MIN(121,104-核心参数输入!$B$104+1))),0),0)</f>
        <v>0</v>
      </c>
      <c r="DE136" s="9">
        <f>IF(105&lt;=核心参数输入!$B$9*4,IF(AND(105-核心参数输入!$B$104&gt;=0,105-核心参数输入!$B$104&lt;=120),INDEX(季度经营税费!$D$135:$DT$135,1,MAX(1,MIN(121,105-核心参数输入!$B$104+1))),0),0)</f>
        <v>0</v>
      </c>
      <c r="DF136" s="9">
        <f>IF(106&lt;=核心参数输入!$B$9*4,IF(AND(106-核心参数输入!$B$104&gt;=0,106-核心参数输入!$B$104&lt;=120),INDEX(季度经营税费!$D$135:$DT$135,1,MAX(1,MIN(121,106-核心参数输入!$B$104+1))),0),0)</f>
        <v>0</v>
      </c>
      <c r="DG136" s="9">
        <f>IF(107&lt;=核心参数输入!$B$9*4,IF(AND(107-核心参数输入!$B$104&gt;=0,107-核心参数输入!$B$104&lt;=120),INDEX(季度经营税费!$D$135:$DT$135,1,MAX(1,MIN(121,107-核心参数输入!$B$104+1))),0),0)</f>
        <v>0</v>
      </c>
      <c r="DH136" s="9">
        <f>IF(108&lt;=核心参数输入!$B$9*4,IF(AND(108-核心参数输入!$B$104&gt;=0,108-核心参数输入!$B$104&lt;=120),INDEX(季度经营税费!$D$135:$DT$135,1,MAX(1,MIN(121,108-核心参数输入!$B$104+1))),0),0)</f>
        <v>0</v>
      </c>
      <c r="DI136" s="9">
        <f>IF(109&lt;=核心参数输入!$B$9*4,IF(AND(109-核心参数输入!$B$104&gt;=0,109-核心参数输入!$B$104&lt;=120),INDEX(季度经营税费!$D$135:$DT$135,1,MAX(1,MIN(121,109-核心参数输入!$B$104+1))),0),0)</f>
        <v>0</v>
      </c>
      <c r="DJ136" s="9">
        <f>IF(110&lt;=核心参数输入!$B$9*4,IF(AND(110-核心参数输入!$B$104&gt;=0,110-核心参数输入!$B$104&lt;=120),INDEX(季度经营税费!$D$135:$DT$135,1,MAX(1,MIN(121,110-核心参数输入!$B$104+1))),0),0)</f>
        <v>0</v>
      </c>
      <c r="DK136" s="9">
        <f>IF(111&lt;=核心参数输入!$B$9*4,IF(AND(111-核心参数输入!$B$104&gt;=0,111-核心参数输入!$B$104&lt;=120),INDEX(季度经营税费!$D$135:$DT$135,1,MAX(1,MIN(121,111-核心参数输入!$B$104+1))),0),0)</f>
        <v>0</v>
      </c>
      <c r="DL136" s="9">
        <f>IF(112&lt;=核心参数输入!$B$9*4,IF(AND(112-核心参数输入!$B$104&gt;=0,112-核心参数输入!$B$104&lt;=120),INDEX(季度经营税费!$D$135:$DT$135,1,MAX(1,MIN(121,112-核心参数输入!$B$104+1))),0),0)</f>
        <v>0</v>
      </c>
      <c r="DM136" s="9">
        <f>IF(113&lt;=核心参数输入!$B$9*4,IF(AND(113-核心参数输入!$B$104&gt;=0,113-核心参数输入!$B$104&lt;=120),INDEX(季度经营税费!$D$135:$DT$135,1,MAX(1,MIN(121,113-核心参数输入!$B$104+1))),0),0)</f>
        <v>0</v>
      </c>
      <c r="DN136" s="9">
        <f>IF(114&lt;=核心参数输入!$B$9*4,IF(AND(114-核心参数输入!$B$104&gt;=0,114-核心参数输入!$B$104&lt;=120),INDEX(季度经营税费!$D$135:$DT$135,1,MAX(1,MIN(121,114-核心参数输入!$B$104+1))),0),0)</f>
        <v>0</v>
      </c>
      <c r="DO136" s="9">
        <f>IF(115&lt;=核心参数输入!$B$9*4,IF(AND(115-核心参数输入!$B$104&gt;=0,115-核心参数输入!$B$104&lt;=120),INDEX(季度经营税费!$D$135:$DT$135,1,MAX(1,MIN(121,115-核心参数输入!$B$104+1))),0),0)</f>
        <v>0</v>
      </c>
      <c r="DP136" s="9">
        <f>IF(116&lt;=核心参数输入!$B$9*4,IF(AND(116-核心参数输入!$B$104&gt;=0,116-核心参数输入!$B$104&lt;=120),INDEX(季度经营税费!$D$135:$DT$135,1,MAX(1,MIN(121,116-核心参数输入!$B$104+1))),0),0)</f>
        <v>0</v>
      </c>
      <c r="DQ136" s="9">
        <f>IF(117&lt;=核心参数输入!$B$9*4,IF(AND(117-核心参数输入!$B$104&gt;=0,117-核心参数输入!$B$104&lt;=120),INDEX(季度经营税费!$D$135:$DT$135,1,MAX(1,MIN(121,117-核心参数输入!$B$104+1))),0),0)</f>
        <v>0</v>
      </c>
      <c r="DR136" s="9">
        <f>IF(118&lt;=核心参数输入!$B$9*4,IF(AND(118-核心参数输入!$B$104&gt;=0,118-核心参数输入!$B$104&lt;=120),INDEX(季度经营税费!$D$135:$DT$135,1,MAX(1,MIN(121,118-核心参数输入!$B$104+1))),0),0)</f>
        <v>0</v>
      </c>
      <c r="DS136" s="9">
        <f>IF(119&lt;=核心参数输入!$B$9*4,IF(AND(119-核心参数输入!$B$104&gt;=0,119-核心参数输入!$B$104&lt;=120),INDEX(季度经营税费!$D$135:$DT$135,1,MAX(1,MIN(121,119-核心参数输入!$B$104+1))),0),0)</f>
        <v>0</v>
      </c>
      <c r="DT136" s="9">
        <f>IF(120&lt;=核心参数输入!$B$9*4,IF(AND(120-核心参数输入!$B$104&gt;=0,120-核心参数输入!$B$104&lt;=120),INDEX(季度经营税费!$D$135:$DT$135,1,MAX(1,MIN(121,120-核心参数输入!$B$104+1))),0),0)</f>
        <v>0</v>
      </c>
    </row>
    <row r="137" spans="1:124" ht="21" customHeight="1">
      <c r="A137" s="8" t="s">
        <v>462</v>
      </c>
      <c r="B137" s="8" t="s">
        <v>39</v>
      </c>
      <c r="C137" s="8"/>
      <c r="D137" s="9">
        <f>IF(0&lt;=核心参数输入!$B$9*4,D135*核心参数输入!$B$44,0)</f>
        <v>0</v>
      </c>
      <c r="E137" s="9">
        <f>IF(1&lt;=核心参数输入!$B$9*4,E135*核心参数输入!$B$44,0)</f>
        <v>0</v>
      </c>
      <c r="F137" s="9">
        <f>IF(2&lt;=核心参数输入!$B$9*4,F135*核心参数输入!$B$44,0)</f>
        <v>0</v>
      </c>
      <c r="G137" s="9">
        <f>IF(3&lt;=核心参数输入!$B$9*4,G135*核心参数输入!$B$44,0)</f>
        <v>0</v>
      </c>
      <c r="H137" s="9">
        <f>IF(4&lt;=核心参数输入!$B$9*4,H135*核心参数输入!$B$44,0)</f>
        <v>0</v>
      </c>
      <c r="I137" s="9">
        <f>IF(5&lt;=核心参数输入!$B$9*4,I135*核心参数输入!$B$44,0)</f>
        <v>0</v>
      </c>
      <c r="J137" s="9">
        <f>IF(6&lt;=核心参数输入!$B$9*4,J135*核心参数输入!$B$44,0)</f>
        <v>0</v>
      </c>
      <c r="K137" s="9">
        <f>IF(7&lt;=核心参数输入!$B$9*4,K135*核心参数输入!$B$44,0)</f>
        <v>0</v>
      </c>
      <c r="L137" s="9">
        <f>IF(8&lt;=核心参数输入!$B$9*4,L135*核心参数输入!$B$44,0)</f>
        <v>0</v>
      </c>
      <c r="M137" s="9">
        <f>IF(9&lt;=核心参数输入!$B$9*4,M135*核心参数输入!$B$44,0)</f>
        <v>0</v>
      </c>
      <c r="N137" s="9">
        <f>IF(10&lt;=核心参数输入!$B$9*4,N135*核心参数输入!$B$44,0)</f>
        <v>0</v>
      </c>
      <c r="O137" s="9">
        <f>IF(11&lt;=核心参数输入!$B$9*4,O135*核心参数输入!$B$44,0)</f>
        <v>0</v>
      </c>
      <c r="P137" s="9">
        <f>IF(12&lt;=核心参数输入!$B$9*4,P135*核心参数输入!$B$44,0)</f>
        <v>0</v>
      </c>
      <c r="Q137" s="9">
        <f>IF(13&lt;=核心参数输入!$B$9*4,Q135*核心参数输入!$B$44,0)</f>
        <v>0</v>
      </c>
      <c r="R137" s="9">
        <f>IF(14&lt;=核心参数输入!$B$9*4,R135*核心参数输入!$B$44,0)</f>
        <v>1.0448392500000006</v>
      </c>
      <c r="S137" s="9">
        <f>IF(15&lt;=核心参数输入!$B$9*4,S135*核心参数输入!$B$44,0)</f>
        <v>3.134517750000001</v>
      </c>
      <c r="T137" s="9">
        <f>IF(16&lt;=核心参数输入!$B$9*4,T135*核心参数输入!$B$44,0)</f>
        <v>5.2241962500000003</v>
      </c>
      <c r="U137" s="9">
        <f>IF(17&lt;=核心参数输入!$B$9*4,U135*核心参数输入!$B$44,0)</f>
        <v>7.4235828712500016</v>
      </c>
      <c r="V137" s="9">
        <f>IF(18&lt;=核心参数输入!$B$9*4,V135*核心参数输入!$B$44,0)</f>
        <v>9.0143506293750004</v>
      </c>
      <c r="W137" s="9">
        <f>IF(19&lt;=核心参数输入!$B$9*4,W135*核心参数输入!$B$44,0)</f>
        <v>10.074862468125</v>
      </c>
      <c r="X137" s="9">
        <f>IF(20&lt;=核心参数输入!$B$9*4,X135*核心参数输入!$B$44,0)</f>
        <v>11.135374306875001</v>
      </c>
      <c r="Y137" s="9">
        <f>IF(21&lt;=核心参数输入!$B$9*4,Y135*核心参数输入!$B$44,0)</f>
        <v>12.378824437809371</v>
      </c>
      <c r="Z137" s="9">
        <f>IF(22&lt;=核心参数输入!$B$9*4,Z135*核心参数输入!$B$44,0)</f>
        <v>13.320691514599217</v>
      </c>
      <c r="AA137" s="9">
        <f>IF(23&lt;=核心参数输入!$B$9*4,AA135*核心参数输入!$B$44,0)</f>
        <v>14.128006151847652</v>
      </c>
      <c r="AB137" s="9">
        <f>IF(24&lt;=核心参数输入!$B$9*4,AB135*核心参数输入!$B$44,0)</f>
        <v>14.935320789096091</v>
      </c>
      <c r="AC137" s="9">
        <f>IF(25&lt;=核心参数输入!$B$9*4,AC135*核心参数输入!$B$44,0)</f>
        <v>15.978774957739692</v>
      </c>
      <c r="AD137" s="9">
        <f>IF(26&lt;=核心参数输入!$B$9*4,AD135*核心参数输入!$B$44,0)</f>
        <v>16.525057862277801</v>
      </c>
      <c r="AE137" s="9">
        <f>IF(27&lt;=核心参数输入!$B$9*4,AE135*核心参数输入!$B$44,0)</f>
        <v>16.798199314546853</v>
      </c>
      <c r="AF137" s="9">
        <f>IF(28&lt;=核心参数输入!$B$9*4,AF135*核心参数输入!$B$44,0)</f>
        <v>17.071340766815911</v>
      </c>
      <c r="AG137" s="9">
        <f>IF(29&lt;=核心参数输入!$B$9*4,AG135*核心参数输入!$B$44,0)</f>
        <v>17.604649452371241</v>
      </c>
      <c r="AH137" s="9">
        <f>IF(30&lt;=核心参数输入!$B$9*4,AH135*核心参数输入!$B$44,0)</f>
        <v>17.743268739397784</v>
      </c>
      <c r="AI137" s="9">
        <f>IF(31&lt;=核心参数输入!$B$9*4,AI135*核心参数输入!$B$44,0)</f>
        <v>17.743268739397784</v>
      </c>
      <c r="AJ137" s="9">
        <f>IF(32&lt;=核心参数输入!$B$9*4,AJ135*核心参数输入!$B$44,0)</f>
        <v>17.743268739397784</v>
      </c>
      <c r="AK137" s="9">
        <f>IF(33&lt;=核心参数输入!$B$9*4,AK135*核心参数输入!$B$44,0)</f>
        <v>18.009417770488749</v>
      </c>
      <c r="AL137" s="9">
        <f>IF(34&lt;=核心参数输入!$B$9*4,AL135*核心参数输入!$B$44,0)</f>
        <v>18.009417770488749</v>
      </c>
      <c r="AM137" s="9">
        <f>IF(35&lt;=核心参数输入!$B$9*4,AM135*核心参数输入!$B$44,0)</f>
        <v>18.009417770488749</v>
      </c>
      <c r="AN137" s="9">
        <f>IF(36&lt;=核心参数输入!$B$9*4,AN135*核心参数输入!$B$44,0)</f>
        <v>18.009417770488749</v>
      </c>
      <c r="AO137" s="9">
        <f>IF(37&lt;=核心参数输入!$B$9*4,AO135*核心参数输入!$B$44,0)</f>
        <v>18.279559037046077</v>
      </c>
      <c r="AP137" s="9">
        <f>IF(38&lt;=核心参数输入!$B$9*4,AP135*核心参数输入!$B$44,0)</f>
        <v>18.279559037046077</v>
      </c>
      <c r="AQ137" s="9">
        <f>IF(39&lt;=核心参数输入!$B$9*4,AQ135*核心参数输入!$B$44,0)</f>
        <v>18.279559037046077</v>
      </c>
      <c r="AR137" s="9">
        <f>IF(40&lt;=核心参数输入!$B$9*4,AR135*核心参数输入!$B$44,0)</f>
        <v>18.279559037046077</v>
      </c>
      <c r="AS137" s="9">
        <f>IF(41&lt;=核心参数输入!$B$9*4,AS135*核心参数输入!$B$44,0)</f>
        <v>18.553752422601768</v>
      </c>
      <c r="AT137" s="9">
        <f>IF(42&lt;=核心参数输入!$B$9*4,AT135*核心参数输入!$B$44,0)</f>
        <v>18.553752422601768</v>
      </c>
      <c r="AU137" s="9">
        <f>IF(43&lt;=核心参数输入!$B$9*4,AU135*核心参数输入!$B$44,0)</f>
        <v>18.553752422601768</v>
      </c>
      <c r="AV137" s="9">
        <f>IF(44&lt;=核心参数输入!$B$9*4,AV135*核心参数输入!$B$44,0)</f>
        <v>18.553752422601768</v>
      </c>
      <c r="AW137" s="9">
        <f>IF(45&lt;=核心参数输入!$B$9*4,AW135*核心参数输入!$B$44,0)</f>
        <v>18.832058708940789</v>
      </c>
      <c r="AX137" s="9">
        <f>IF(46&lt;=核心参数输入!$B$9*4,AX135*核心参数输入!$B$44,0)</f>
        <v>18.832058708940789</v>
      </c>
      <c r="AY137" s="9">
        <f>IF(47&lt;=核心参数输入!$B$9*4,AY135*核心参数输入!$B$44,0)</f>
        <v>18.832058708940789</v>
      </c>
      <c r="AZ137" s="9">
        <f>IF(48&lt;=核心参数输入!$B$9*4,AZ135*核心参数输入!$B$44,0)</f>
        <v>18.832058708940789</v>
      </c>
      <c r="BA137" s="9">
        <f>IF(49&lt;=核心参数输入!$B$9*4,BA135*核心参数输入!$B$44,0)</f>
        <v>19.1145395895749</v>
      </c>
      <c r="BB137" s="9">
        <f>IF(50&lt;=核心参数输入!$B$9*4,BB135*核心参数输入!$B$44,0)</f>
        <v>19.1145395895749</v>
      </c>
      <c r="BC137" s="9">
        <f>IF(51&lt;=核心参数输入!$B$9*4,BC135*核心参数输入!$B$44,0)</f>
        <v>19.1145395895749</v>
      </c>
      <c r="BD137" s="9">
        <f>IF(52&lt;=核心参数输入!$B$9*4,BD135*核心参数输入!$B$44,0)</f>
        <v>19.1145395895749</v>
      </c>
      <c r="BE137" s="9">
        <f>IF(53&lt;=核心参数输入!$B$9*4,BE135*核心参数输入!$B$44,0)</f>
        <v>19.401257683418521</v>
      </c>
      <c r="BF137" s="9">
        <f>IF(54&lt;=核心参数输入!$B$9*4,BF135*核心参数输入!$B$44,0)</f>
        <v>19.401257683418521</v>
      </c>
      <c r="BG137" s="9">
        <f>IF(55&lt;=核心参数输入!$B$9*4,BG135*核心参数输入!$B$44,0)</f>
        <v>19.401257683418521</v>
      </c>
      <c r="BH137" s="9">
        <f>IF(56&lt;=核心参数输入!$B$9*4,BH135*核心参数输入!$B$44,0)</f>
        <v>19.401257683418521</v>
      </c>
      <c r="BI137" s="9">
        <f>IF(57&lt;=核心参数输入!$B$9*4,BI135*核心参数输入!$B$44,0)</f>
        <v>19.692276548669795</v>
      </c>
      <c r="BJ137" s="9">
        <f>IF(58&lt;=核心参数输入!$B$9*4,BJ135*核心参数输入!$B$44,0)</f>
        <v>19.692276548669795</v>
      </c>
      <c r="BK137" s="9">
        <f>IF(59&lt;=核心参数输入!$B$9*4,BK135*核心参数输入!$B$44,0)</f>
        <v>19.692276548669795</v>
      </c>
      <c r="BL137" s="9">
        <f>IF(60&lt;=核心参数输入!$B$9*4,BL135*核心参数输入!$B$44,0)</f>
        <v>19.692276548669795</v>
      </c>
      <c r="BM137" s="9">
        <f>IF(61&lt;=核心参数输入!$B$9*4,BM135*核心参数输入!$B$44,0)</f>
        <v>19.987660696899837</v>
      </c>
      <c r="BN137" s="9">
        <f>IF(62&lt;=核心参数输入!$B$9*4,BN135*核心参数输入!$B$44,0)</f>
        <v>19.987660696899837</v>
      </c>
      <c r="BO137" s="9">
        <f>IF(63&lt;=核心参数输入!$B$9*4,BO135*核心参数输入!$B$44,0)</f>
        <v>19.987660696899837</v>
      </c>
      <c r="BP137" s="9">
        <f>IF(64&lt;=核心参数输入!$B$9*4,BP135*核心参数输入!$B$44,0)</f>
        <v>19.987660696899837</v>
      </c>
      <c r="BQ137" s="9">
        <f>IF(65&lt;=核心参数输入!$B$9*4,BQ135*核心参数输入!$B$44,0)</f>
        <v>20.287475607353336</v>
      </c>
      <c r="BR137" s="9">
        <f>IF(66&lt;=核心参数输入!$B$9*4,BR135*核心参数输入!$B$44,0)</f>
        <v>20.287475607353336</v>
      </c>
      <c r="BS137" s="9">
        <f>IF(67&lt;=核心参数输入!$B$9*4,BS135*核心参数输入!$B$44,0)</f>
        <v>20.287475607353336</v>
      </c>
      <c r="BT137" s="9">
        <f>IF(68&lt;=核心参数输入!$B$9*4,BT135*核心参数输入!$B$44,0)</f>
        <v>20.287475607353336</v>
      </c>
      <c r="BU137" s="9">
        <f>IF(69&lt;=核心参数输入!$B$9*4,BU135*核心参数输入!$B$44,0)</f>
        <v>20.59178774146363</v>
      </c>
      <c r="BV137" s="9">
        <f>IF(70&lt;=核心参数输入!$B$9*4,BV135*核心参数输入!$B$44,0)</f>
        <v>20.59178774146363</v>
      </c>
      <c r="BW137" s="9">
        <f>IF(71&lt;=核心参数输入!$B$9*4,BW135*核心参数输入!$B$44,0)</f>
        <v>20.59178774146363</v>
      </c>
      <c r="BX137" s="9">
        <f>IF(72&lt;=核心参数输入!$B$9*4,BX135*核心参数输入!$B$44,0)</f>
        <v>20.59178774146363</v>
      </c>
      <c r="BY137" s="9">
        <f>IF(73&lt;=核心参数输入!$B$9*4,BY135*核心参数输入!$B$44,0)</f>
        <v>20.900664557585582</v>
      </c>
      <c r="BZ137" s="9">
        <f>IF(74&lt;=核心参数输入!$B$9*4,BZ135*核心参数输入!$B$44,0)</f>
        <v>20.900664557585582</v>
      </c>
      <c r="CA137" s="9">
        <f>IF(75&lt;=核心参数输入!$B$9*4,CA135*核心参数输入!$B$44,0)</f>
        <v>20.900664557585582</v>
      </c>
      <c r="CB137" s="9">
        <f>IF(76&lt;=核心参数输入!$B$9*4,CB135*核心参数输入!$B$44,0)</f>
        <v>20.900664557585582</v>
      </c>
      <c r="CC137" s="9">
        <f>IF(77&lt;=核心参数输入!$B$9*4,CC135*核心参数输入!$B$44,0)</f>
        <v>21.21417452594936</v>
      </c>
      <c r="CD137" s="9">
        <f>IF(78&lt;=核心参数输入!$B$9*4,CD135*核心参数输入!$B$44,0)</f>
        <v>21.21417452594936</v>
      </c>
      <c r="CE137" s="9">
        <f>IF(79&lt;=核心参数输入!$B$9*4,CE135*核心参数输入!$B$44,0)</f>
        <v>21.21417452594936</v>
      </c>
      <c r="CF137" s="9">
        <f>IF(80&lt;=核心参数输入!$B$9*4,CF135*核心参数输入!$B$44,0)</f>
        <v>21.21417452594936</v>
      </c>
      <c r="CG137" s="9">
        <f>IF(81&lt;=核心参数输入!$B$9*4,CG135*核心参数输入!$B$44,0)</f>
        <v>0</v>
      </c>
      <c r="CH137" s="9">
        <f>IF(82&lt;=核心参数输入!$B$9*4,CH135*核心参数输入!$B$44,0)</f>
        <v>0</v>
      </c>
      <c r="CI137" s="9">
        <f>IF(83&lt;=核心参数输入!$B$9*4,CI135*核心参数输入!$B$44,0)</f>
        <v>0</v>
      </c>
      <c r="CJ137" s="9">
        <f>IF(84&lt;=核心参数输入!$B$9*4,CJ135*核心参数输入!$B$44,0)</f>
        <v>0</v>
      </c>
      <c r="CK137" s="9">
        <f>IF(85&lt;=核心参数输入!$B$9*4,CK135*核心参数输入!$B$44,0)</f>
        <v>0</v>
      </c>
      <c r="CL137" s="9">
        <f>IF(86&lt;=核心参数输入!$B$9*4,CL135*核心参数输入!$B$44,0)</f>
        <v>0</v>
      </c>
      <c r="CM137" s="9">
        <f>IF(87&lt;=核心参数输入!$B$9*4,CM135*核心参数输入!$B$44,0)</f>
        <v>0</v>
      </c>
      <c r="CN137" s="9">
        <f>IF(88&lt;=核心参数输入!$B$9*4,CN135*核心参数输入!$B$44,0)</f>
        <v>0</v>
      </c>
      <c r="CO137" s="9">
        <f>IF(89&lt;=核心参数输入!$B$9*4,CO135*核心参数输入!$B$44,0)</f>
        <v>0</v>
      </c>
      <c r="CP137" s="9">
        <f>IF(90&lt;=核心参数输入!$B$9*4,CP135*核心参数输入!$B$44,0)</f>
        <v>0</v>
      </c>
      <c r="CQ137" s="9">
        <f>IF(91&lt;=核心参数输入!$B$9*4,CQ135*核心参数输入!$B$44,0)</f>
        <v>0</v>
      </c>
      <c r="CR137" s="9">
        <f>IF(92&lt;=核心参数输入!$B$9*4,CR135*核心参数输入!$B$44,0)</f>
        <v>0</v>
      </c>
      <c r="CS137" s="9">
        <f>IF(93&lt;=核心参数输入!$B$9*4,CS135*核心参数输入!$B$44,0)</f>
        <v>0</v>
      </c>
      <c r="CT137" s="9">
        <f>IF(94&lt;=核心参数输入!$B$9*4,CT135*核心参数输入!$B$44,0)</f>
        <v>0</v>
      </c>
      <c r="CU137" s="9">
        <f>IF(95&lt;=核心参数输入!$B$9*4,CU135*核心参数输入!$B$44,0)</f>
        <v>0</v>
      </c>
      <c r="CV137" s="9">
        <f>IF(96&lt;=核心参数输入!$B$9*4,CV135*核心参数输入!$B$44,0)</f>
        <v>0</v>
      </c>
      <c r="CW137" s="9">
        <f>IF(97&lt;=核心参数输入!$B$9*4,CW135*核心参数输入!$B$44,0)</f>
        <v>0</v>
      </c>
      <c r="CX137" s="9">
        <f>IF(98&lt;=核心参数输入!$B$9*4,CX135*核心参数输入!$B$44,0)</f>
        <v>0</v>
      </c>
      <c r="CY137" s="9">
        <f>IF(99&lt;=核心参数输入!$B$9*4,CY135*核心参数输入!$B$44,0)</f>
        <v>0</v>
      </c>
      <c r="CZ137" s="9">
        <f>IF(100&lt;=核心参数输入!$B$9*4,CZ135*核心参数输入!$B$44,0)</f>
        <v>0</v>
      </c>
      <c r="DA137" s="9">
        <f>IF(101&lt;=核心参数输入!$B$9*4,DA135*核心参数输入!$B$44,0)</f>
        <v>0</v>
      </c>
      <c r="DB137" s="9">
        <f>IF(102&lt;=核心参数输入!$B$9*4,DB135*核心参数输入!$B$44,0)</f>
        <v>0</v>
      </c>
      <c r="DC137" s="9">
        <f>IF(103&lt;=核心参数输入!$B$9*4,DC135*核心参数输入!$B$44,0)</f>
        <v>0</v>
      </c>
      <c r="DD137" s="9">
        <f>IF(104&lt;=核心参数输入!$B$9*4,DD135*核心参数输入!$B$44,0)</f>
        <v>0</v>
      </c>
      <c r="DE137" s="9">
        <f>IF(105&lt;=核心参数输入!$B$9*4,DE135*核心参数输入!$B$44,0)</f>
        <v>0</v>
      </c>
      <c r="DF137" s="9">
        <f>IF(106&lt;=核心参数输入!$B$9*4,DF135*核心参数输入!$B$44,0)</f>
        <v>0</v>
      </c>
      <c r="DG137" s="9">
        <f>IF(107&lt;=核心参数输入!$B$9*4,DG135*核心参数输入!$B$44,0)</f>
        <v>0</v>
      </c>
      <c r="DH137" s="9">
        <f>IF(108&lt;=核心参数输入!$B$9*4,DH135*核心参数输入!$B$44,0)</f>
        <v>0</v>
      </c>
      <c r="DI137" s="9">
        <f>IF(109&lt;=核心参数输入!$B$9*4,DI135*核心参数输入!$B$44,0)</f>
        <v>0</v>
      </c>
      <c r="DJ137" s="9">
        <f>IF(110&lt;=核心参数输入!$B$9*4,DJ135*核心参数输入!$B$44,0)</f>
        <v>0</v>
      </c>
      <c r="DK137" s="9">
        <f>IF(111&lt;=核心参数输入!$B$9*4,DK135*核心参数输入!$B$44,0)</f>
        <v>0</v>
      </c>
      <c r="DL137" s="9">
        <f>IF(112&lt;=核心参数输入!$B$9*4,DL135*核心参数输入!$B$44,0)</f>
        <v>0</v>
      </c>
      <c r="DM137" s="9">
        <f>IF(113&lt;=核心参数输入!$B$9*4,DM135*核心参数输入!$B$44,0)</f>
        <v>0</v>
      </c>
      <c r="DN137" s="9">
        <f>IF(114&lt;=核心参数输入!$B$9*4,DN135*核心参数输入!$B$44,0)</f>
        <v>0</v>
      </c>
      <c r="DO137" s="9">
        <f>IF(115&lt;=核心参数输入!$B$9*4,DO135*核心参数输入!$B$44,0)</f>
        <v>0</v>
      </c>
      <c r="DP137" s="9">
        <f>IF(116&lt;=核心参数输入!$B$9*4,DP135*核心参数输入!$B$44,0)</f>
        <v>0</v>
      </c>
      <c r="DQ137" s="9">
        <f>IF(117&lt;=核心参数输入!$B$9*4,DQ135*核心参数输入!$B$44,0)</f>
        <v>0</v>
      </c>
      <c r="DR137" s="9">
        <f>IF(118&lt;=核心参数输入!$B$9*4,DR135*核心参数输入!$B$44,0)</f>
        <v>0</v>
      </c>
      <c r="DS137" s="9">
        <f>IF(119&lt;=核心参数输入!$B$9*4,DS135*核心参数输入!$B$44,0)</f>
        <v>0</v>
      </c>
      <c r="DT137" s="9">
        <f>IF(120&lt;=核心参数输入!$B$9*4,DT135*核心参数输入!$B$44,0)</f>
        <v>0</v>
      </c>
    </row>
    <row r="138" spans="1:124" ht="21" customHeight="1">
      <c r="A138" s="8" t="s">
        <v>367</v>
      </c>
      <c r="B138" s="8" t="s">
        <v>39</v>
      </c>
      <c r="C138" s="8"/>
      <c r="D138" s="9">
        <f>IF(0&lt;=核心参数输入!$B$9*4,IF(AND(0-核心参数输入!$B$104&gt;=0,0-核心参数输入!$B$104&lt;=120),INDEX(季度经营税费!$D$137:$DT$137,1,MAX(1,MIN(121,0-核心参数输入!$B$104+1))),0),0)</f>
        <v>0</v>
      </c>
      <c r="E138" s="9">
        <f>IF(1&lt;=核心参数输入!$B$9*4,IF(AND(1-核心参数输入!$B$104&gt;=0,1-核心参数输入!$B$104&lt;=120),INDEX(季度经营税费!$D$137:$DT$137,1,MAX(1,MIN(121,1-核心参数输入!$B$104+1))),0),0)</f>
        <v>0</v>
      </c>
      <c r="F138" s="9">
        <f>IF(2&lt;=核心参数输入!$B$9*4,IF(AND(2-核心参数输入!$B$104&gt;=0,2-核心参数输入!$B$104&lt;=120),INDEX(季度经营税费!$D$137:$DT$137,1,MAX(1,MIN(121,2-核心参数输入!$B$104+1))),0),0)</f>
        <v>0</v>
      </c>
      <c r="G138" s="9">
        <f>IF(3&lt;=核心参数输入!$B$9*4,IF(AND(3-核心参数输入!$B$104&gt;=0,3-核心参数输入!$B$104&lt;=120),INDEX(季度经营税费!$D$137:$DT$137,1,MAX(1,MIN(121,3-核心参数输入!$B$104+1))),0),0)</f>
        <v>0</v>
      </c>
      <c r="H138" s="9">
        <f>IF(4&lt;=核心参数输入!$B$9*4,IF(AND(4-核心参数输入!$B$104&gt;=0,4-核心参数输入!$B$104&lt;=120),INDEX(季度经营税费!$D$137:$DT$137,1,MAX(1,MIN(121,4-核心参数输入!$B$104+1))),0),0)</f>
        <v>0</v>
      </c>
      <c r="I138" s="9">
        <f>IF(5&lt;=核心参数输入!$B$9*4,IF(AND(5-核心参数输入!$B$104&gt;=0,5-核心参数输入!$B$104&lt;=120),INDEX(季度经营税费!$D$137:$DT$137,1,MAX(1,MIN(121,5-核心参数输入!$B$104+1))),0),0)</f>
        <v>0</v>
      </c>
      <c r="J138" s="9">
        <f>IF(6&lt;=核心参数输入!$B$9*4,IF(AND(6-核心参数输入!$B$104&gt;=0,6-核心参数输入!$B$104&lt;=120),INDEX(季度经营税费!$D$137:$DT$137,1,MAX(1,MIN(121,6-核心参数输入!$B$104+1))),0),0)</f>
        <v>0</v>
      </c>
      <c r="K138" s="9">
        <f>IF(7&lt;=核心参数输入!$B$9*4,IF(AND(7-核心参数输入!$B$104&gt;=0,7-核心参数输入!$B$104&lt;=120),INDEX(季度经营税费!$D$137:$DT$137,1,MAX(1,MIN(121,7-核心参数输入!$B$104+1))),0),0)</f>
        <v>0</v>
      </c>
      <c r="L138" s="9">
        <f>IF(8&lt;=核心参数输入!$B$9*4,IF(AND(8-核心参数输入!$B$104&gt;=0,8-核心参数输入!$B$104&lt;=120),INDEX(季度经营税费!$D$137:$DT$137,1,MAX(1,MIN(121,8-核心参数输入!$B$104+1))),0),0)</f>
        <v>0</v>
      </c>
      <c r="M138" s="9">
        <f>IF(9&lt;=核心参数输入!$B$9*4,IF(AND(9-核心参数输入!$B$104&gt;=0,9-核心参数输入!$B$104&lt;=120),INDEX(季度经营税费!$D$137:$DT$137,1,MAX(1,MIN(121,9-核心参数输入!$B$104+1))),0),0)</f>
        <v>0</v>
      </c>
      <c r="N138" s="9">
        <f>IF(10&lt;=核心参数输入!$B$9*4,IF(AND(10-核心参数输入!$B$104&gt;=0,10-核心参数输入!$B$104&lt;=120),INDEX(季度经营税费!$D$137:$DT$137,1,MAX(1,MIN(121,10-核心参数输入!$B$104+1))),0),0)</f>
        <v>0</v>
      </c>
      <c r="O138" s="9">
        <f>IF(11&lt;=核心参数输入!$B$9*4,IF(AND(11-核心参数输入!$B$104&gt;=0,11-核心参数输入!$B$104&lt;=120),INDEX(季度经营税费!$D$137:$DT$137,1,MAX(1,MIN(121,11-核心参数输入!$B$104+1))),0),0)</f>
        <v>0</v>
      </c>
      <c r="P138" s="9">
        <f>IF(12&lt;=核心参数输入!$B$9*4,IF(AND(12-核心参数输入!$B$104&gt;=0,12-核心参数输入!$B$104&lt;=120),INDEX(季度经营税费!$D$137:$DT$137,1,MAX(1,MIN(121,12-核心参数输入!$B$104+1))),0),0)</f>
        <v>0</v>
      </c>
      <c r="Q138" s="9">
        <f>IF(13&lt;=核心参数输入!$B$9*4,IF(AND(13-核心参数输入!$B$104&gt;=0,13-核心参数输入!$B$104&lt;=120),INDEX(季度经营税费!$D$137:$DT$137,1,MAX(1,MIN(121,13-核心参数输入!$B$104+1))),0),0)</f>
        <v>0</v>
      </c>
      <c r="R138" s="9">
        <f>IF(14&lt;=核心参数输入!$B$9*4,IF(AND(14-核心参数输入!$B$104&gt;=0,14-核心参数输入!$B$104&lt;=120),INDEX(季度经营税费!$D$137:$DT$137,1,MAX(1,MIN(121,14-核心参数输入!$B$104+1))),0),0)</f>
        <v>1.0448392500000006</v>
      </c>
      <c r="S138" s="9">
        <f>IF(15&lt;=核心参数输入!$B$9*4,IF(AND(15-核心参数输入!$B$104&gt;=0,15-核心参数输入!$B$104&lt;=120),INDEX(季度经营税费!$D$137:$DT$137,1,MAX(1,MIN(121,15-核心参数输入!$B$104+1))),0),0)</f>
        <v>3.134517750000001</v>
      </c>
      <c r="T138" s="9">
        <f>IF(16&lt;=核心参数输入!$B$9*4,IF(AND(16-核心参数输入!$B$104&gt;=0,16-核心参数输入!$B$104&lt;=120),INDEX(季度经营税费!$D$137:$DT$137,1,MAX(1,MIN(121,16-核心参数输入!$B$104+1))),0),0)</f>
        <v>5.2241962500000003</v>
      </c>
      <c r="U138" s="9">
        <f>IF(17&lt;=核心参数输入!$B$9*4,IF(AND(17-核心参数输入!$B$104&gt;=0,17-核心参数输入!$B$104&lt;=120),INDEX(季度经营税费!$D$137:$DT$137,1,MAX(1,MIN(121,17-核心参数输入!$B$104+1))),0),0)</f>
        <v>7.4235828712500016</v>
      </c>
      <c r="V138" s="9">
        <f>IF(18&lt;=核心参数输入!$B$9*4,IF(AND(18-核心参数输入!$B$104&gt;=0,18-核心参数输入!$B$104&lt;=120),INDEX(季度经营税费!$D$137:$DT$137,1,MAX(1,MIN(121,18-核心参数输入!$B$104+1))),0),0)</f>
        <v>9.0143506293750004</v>
      </c>
      <c r="W138" s="9">
        <f>IF(19&lt;=核心参数输入!$B$9*4,IF(AND(19-核心参数输入!$B$104&gt;=0,19-核心参数输入!$B$104&lt;=120),INDEX(季度经营税费!$D$137:$DT$137,1,MAX(1,MIN(121,19-核心参数输入!$B$104+1))),0),0)</f>
        <v>10.074862468125</v>
      </c>
      <c r="X138" s="9">
        <f>IF(20&lt;=核心参数输入!$B$9*4,IF(AND(20-核心参数输入!$B$104&gt;=0,20-核心参数输入!$B$104&lt;=120),INDEX(季度经营税费!$D$137:$DT$137,1,MAX(1,MIN(121,20-核心参数输入!$B$104+1))),0),0)</f>
        <v>11.135374306875001</v>
      </c>
      <c r="Y138" s="9">
        <f>IF(21&lt;=核心参数输入!$B$9*4,IF(AND(21-核心参数输入!$B$104&gt;=0,21-核心参数输入!$B$104&lt;=120),INDEX(季度经营税费!$D$137:$DT$137,1,MAX(1,MIN(121,21-核心参数输入!$B$104+1))),0),0)</f>
        <v>12.378824437809371</v>
      </c>
      <c r="Z138" s="9">
        <f>IF(22&lt;=核心参数输入!$B$9*4,IF(AND(22-核心参数输入!$B$104&gt;=0,22-核心参数输入!$B$104&lt;=120),INDEX(季度经营税费!$D$137:$DT$137,1,MAX(1,MIN(121,22-核心参数输入!$B$104+1))),0),0)</f>
        <v>13.320691514599217</v>
      </c>
      <c r="AA138" s="9">
        <f>IF(23&lt;=核心参数输入!$B$9*4,IF(AND(23-核心参数输入!$B$104&gt;=0,23-核心参数输入!$B$104&lt;=120),INDEX(季度经营税费!$D$137:$DT$137,1,MAX(1,MIN(121,23-核心参数输入!$B$104+1))),0),0)</f>
        <v>14.128006151847652</v>
      </c>
      <c r="AB138" s="9">
        <f>IF(24&lt;=核心参数输入!$B$9*4,IF(AND(24-核心参数输入!$B$104&gt;=0,24-核心参数输入!$B$104&lt;=120),INDEX(季度经营税费!$D$137:$DT$137,1,MAX(1,MIN(121,24-核心参数输入!$B$104+1))),0),0)</f>
        <v>14.935320789096091</v>
      </c>
      <c r="AC138" s="9">
        <f>IF(25&lt;=核心参数输入!$B$9*4,IF(AND(25-核心参数输入!$B$104&gt;=0,25-核心参数输入!$B$104&lt;=120),INDEX(季度经营税费!$D$137:$DT$137,1,MAX(1,MIN(121,25-核心参数输入!$B$104+1))),0),0)</f>
        <v>15.978774957739692</v>
      </c>
      <c r="AD138" s="9">
        <f>IF(26&lt;=核心参数输入!$B$9*4,IF(AND(26-核心参数输入!$B$104&gt;=0,26-核心参数输入!$B$104&lt;=120),INDEX(季度经营税费!$D$137:$DT$137,1,MAX(1,MIN(121,26-核心参数输入!$B$104+1))),0),0)</f>
        <v>16.525057862277801</v>
      </c>
      <c r="AE138" s="9">
        <f>IF(27&lt;=核心参数输入!$B$9*4,IF(AND(27-核心参数输入!$B$104&gt;=0,27-核心参数输入!$B$104&lt;=120),INDEX(季度经营税费!$D$137:$DT$137,1,MAX(1,MIN(121,27-核心参数输入!$B$104+1))),0),0)</f>
        <v>16.798199314546853</v>
      </c>
      <c r="AF138" s="9">
        <f>IF(28&lt;=核心参数输入!$B$9*4,IF(AND(28-核心参数输入!$B$104&gt;=0,28-核心参数输入!$B$104&lt;=120),INDEX(季度经营税费!$D$137:$DT$137,1,MAX(1,MIN(121,28-核心参数输入!$B$104+1))),0),0)</f>
        <v>17.071340766815911</v>
      </c>
      <c r="AG138" s="9">
        <f>IF(29&lt;=核心参数输入!$B$9*4,IF(AND(29-核心参数输入!$B$104&gt;=0,29-核心参数输入!$B$104&lt;=120),INDEX(季度经营税费!$D$137:$DT$137,1,MAX(1,MIN(121,29-核心参数输入!$B$104+1))),0),0)</f>
        <v>17.604649452371241</v>
      </c>
      <c r="AH138" s="9">
        <f>IF(30&lt;=核心参数输入!$B$9*4,IF(AND(30-核心参数输入!$B$104&gt;=0,30-核心参数输入!$B$104&lt;=120),INDEX(季度经营税费!$D$137:$DT$137,1,MAX(1,MIN(121,30-核心参数输入!$B$104+1))),0),0)</f>
        <v>17.743268739397784</v>
      </c>
      <c r="AI138" s="9">
        <f>IF(31&lt;=核心参数输入!$B$9*4,IF(AND(31-核心参数输入!$B$104&gt;=0,31-核心参数输入!$B$104&lt;=120),INDEX(季度经营税费!$D$137:$DT$137,1,MAX(1,MIN(121,31-核心参数输入!$B$104+1))),0),0)</f>
        <v>17.743268739397784</v>
      </c>
      <c r="AJ138" s="9">
        <f>IF(32&lt;=核心参数输入!$B$9*4,IF(AND(32-核心参数输入!$B$104&gt;=0,32-核心参数输入!$B$104&lt;=120),INDEX(季度经营税费!$D$137:$DT$137,1,MAX(1,MIN(121,32-核心参数输入!$B$104+1))),0),0)</f>
        <v>17.743268739397784</v>
      </c>
      <c r="AK138" s="9">
        <f>IF(33&lt;=核心参数输入!$B$9*4,IF(AND(33-核心参数输入!$B$104&gt;=0,33-核心参数输入!$B$104&lt;=120),INDEX(季度经营税费!$D$137:$DT$137,1,MAX(1,MIN(121,33-核心参数输入!$B$104+1))),0),0)</f>
        <v>18.009417770488749</v>
      </c>
      <c r="AL138" s="9">
        <f>IF(34&lt;=核心参数输入!$B$9*4,IF(AND(34-核心参数输入!$B$104&gt;=0,34-核心参数输入!$B$104&lt;=120),INDEX(季度经营税费!$D$137:$DT$137,1,MAX(1,MIN(121,34-核心参数输入!$B$104+1))),0),0)</f>
        <v>18.009417770488749</v>
      </c>
      <c r="AM138" s="9">
        <f>IF(35&lt;=核心参数输入!$B$9*4,IF(AND(35-核心参数输入!$B$104&gt;=0,35-核心参数输入!$B$104&lt;=120),INDEX(季度经营税费!$D$137:$DT$137,1,MAX(1,MIN(121,35-核心参数输入!$B$104+1))),0),0)</f>
        <v>18.009417770488749</v>
      </c>
      <c r="AN138" s="9">
        <f>IF(36&lt;=核心参数输入!$B$9*4,IF(AND(36-核心参数输入!$B$104&gt;=0,36-核心参数输入!$B$104&lt;=120),INDEX(季度经营税费!$D$137:$DT$137,1,MAX(1,MIN(121,36-核心参数输入!$B$104+1))),0),0)</f>
        <v>18.009417770488749</v>
      </c>
      <c r="AO138" s="9">
        <f>IF(37&lt;=核心参数输入!$B$9*4,IF(AND(37-核心参数输入!$B$104&gt;=0,37-核心参数输入!$B$104&lt;=120),INDEX(季度经营税费!$D$137:$DT$137,1,MAX(1,MIN(121,37-核心参数输入!$B$104+1))),0),0)</f>
        <v>18.279559037046077</v>
      </c>
      <c r="AP138" s="9">
        <f>IF(38&lt;=核心参数输入!$B$9*4,IF(AND(38-核心参数输入!$B$104&gt;=0,38-核心参数输入!$B$104&lt;=120),INDEX(季度经营税费!$D$137:$DT$137,1,MAX(1,MIN(121,38-核心参数输入!$B$104+1))),0),0)</f>
        <v>18.279559037046077</v>
      </c>
      <c r="AQ138" s="9">
        <f>IF(39&lt;=核心参数输入!$B$9*4,IF(AND(39-核心参数输入!$B$104&gt;=0,39-核心参数输入!$B$104&lt;=120),INDEX(季度经营税费!$D$137:$DT$137,1,MAX(1,MIN(121,39-核心参数输入!$B$104+1))),0),0)</f>
        <v>18.279559037046077</v>
      </c>
      <c r="AR138" s="9">
        <f>IF(40&lt;=核心参数输入!$B$9*4,IF(AND(40-核心参数输入!$B$104&gt;=0,40-核心参数输入!$B$104&lt;=120),INDEX(季度经营税费!$D$137:$DT$137,1,MAX(1,MIN(121,40-核心参数输入!$B$104+1))),0),0)</f>
        <v>18.279559037046077</v>
      </c>
      <c r="AS138" s="9">
        <f>IF(41&lt;=核心参数输入!$B$9*4,IF(AND(41-核心参数输入!$B$104&gt;=0,41-核心参数输入!$B$104&lt;=120),INDEX(季度经营税费!$D$137:$DT$137,1,MAX(1,MIN(121,41-核心参数输入!$B$104+1))),0),0)</f>
        <v>18.553752422601768</v>
      </c>
      <c r="AT138" s="9">
        <f>IF(42&lt;=核心参数输入!$B$9*4,IF(AND(42-核心参数输入!$B$104&gt;=0,42-核心参数输入!$B$104&lt;=120),INDEX(季度经营税费!$D$137:$DT$137,1,MAX(1,MIN(121,42-核心参数输入!$B$104+1))),0),0)</f>
        <v>18.553752422601768</v>
      </c>
      <c r="AU138" s="9">
        <f>IF(43&lt;=核心参数输入!$B$9*4,IF(AND(43-核心参数输入!$B$104&gt;=0,43-核心参数输入!$B$104&lt;=120),INDEX(季度经营税费!$D$137:$DT$137,1,MAX(1,MIN(121,43-核心参数输入!$B$104+1))),0),0)</f>
        <v>18.553752422601768</v>
      </c>
      <c r="AV138" s="9">
        <f>IF(44&lt;=核心参数输入!$B$9*4,IF(AND(44-核心参数输入!$B$104&gt;=0,44-核心参数输入!$B$104&lt;=120),INDEX(季度经营税费!$D$137:$DT$137,1,MAX(1,MIN(121,44-核心参数输入!$B$104+1))),0),0)</f>
        <v>18.553752422601768</v>
      </c>
      <c r="AW138" s="9">
        <f>IF(45&lt;=核心参数输入!$B$9*4,IF(AND(45-核心参数输入!$B$104&gt;=0,45-核心参数输入!$B$104&lt;=120),INDEX(季度经营税费!$D$137:$DT$137,1,MAX(1,MIN(121,45-核心参数输入!$B$104+1))),0),0)</f>
        <v>18.832058708940789</v>
      </c>
      <c r="AX138" s="9">
        <f>IF(46&lt;=核心参数输入!$B$9*4,IF(AND(46-核心参数输入!$B$104&gt;=0,46-核心参数输入!$B$104&lt;=120),INDEX(季度经营税费!$D$137:$DT$137,1,MAX(1,MIN(121,46-核心参数输入!$B$104+1))),0),0)</f>
        <v>18.832058708940789</v>
      </c>
      <c r="AY138" s="9">
        <f>IF(47&lt;=核心参数输入!$B$9*4,IF(AND(47-核心参数输入!$B$104&gt;=0,47-核心参数输入!$B$104&lt;=120),INDEX(季度经营税费!$D$137:$DT$137,1,MAX(1,MIN(121,47-核心参数输入!$B$104+1))),0),0)</f>
        <v>18.832058708940789</v>
      </c>
      <c r="AZ138" s="9">
        <f>IF(48&lt;=核心参数输入!$B$9*4,IF(AND(48-核心参数输入!$B$104&gt;=0,48-核心参数输入!$B$104&lt;=120),INDEX(季度经营税费!$D$137:$DT$137,1,MAX(1,MIN(121,48-核心参数输入!$B$104+1))),0),0)</f>
        <v>18.832058708940789</v>
      </c>
      <c r="BA138" s="9">
        <f>IF(49&lt;=核心参数输入!$B$9*4,IF(AND(49-核心参数输入!$B$104&gt;=0,49-核心参数输入!$B$104&lt;=120),INDEX(季度经营税费!$D$137:$DT$137,1,MAX(1,MIN(121,49-核心参数输入!$B$104+1))),0),0)</f>
        <v>19.1145395895749</v>
      </c>
      <c r="BB138" s="9">
        <f>IF(50&lt;=核心参数输入!$B$9*4,IF(AND(50-核心参数输入!$B$104&gt;=0,50-核心参数输入!$B$104&lt;=120),INDEX(季度经营税费!$D$137:$DT$137,1,MAX(1,MIN(121,50-核心参数输入!$B$104+1))),0),0)</f>
        <v>19.1145395895749</v>
      </c>
      <c r="BC138" s="9">
        <f>IF(51&lt;=核心参数输入!$B$9*4,IF(AND(51-核心参数输入!$B$104&gt;=0,51-核心参数输入!$B$104&lt;=120),INDEX(季度经营税费!$D$137:$DT$137,1,MAX(1,MIN(121,51-核心参数输入!$B$104+1))),0),0)</f>
        <v>19.1145395895749</v>
      </c>
      <c r="BD138" s="9">
        <f>IF(52&lt;=核心参数输入!$B$9*4,IF(AND(52-核心参数输入!$B$104&gt;=0,52-核心参数输入!$B$104&lt;=120),INDEX(季度经营税费!$D$137:$DT$137,1,MAX(1,MIN(121,52-核心参数输入!$B$104+1))),0),0)</f>
        <v>19.1145395895749</v>
      </c>
      <c r="BE138" s="9">
        <f>IF(53&lt;=核心参数输入!$B$9*4,IF(AND(53-核心参数输入!$B$104&gt;=0,53-核心参数输入!$B$104&lt;=120),INDEX(季度经营税费!$D$137:$DT$137,1,MAX(1,MIN(121,53-核心参数输入!$B$104+1))),0),0)</f>
        <v>19.401257683418521</v>
      </c>
      <c r="BF138" s="9">
        <f>IF(54&lt;=核心参数输入!$B$9*4,IF(AND(54-核心参数输入!$B$104&gt;=0,54-核心参数输入!$B$104&lt;=120),INDEX(季度经营税费!$D$137:$DT$137,1,MAX(1,MIN(121,54-核心参数输入!$B$104+1))),0),0)</f>
        <v>19.401257683418521</v>
      </c>
      <c r="BG138" s="9">
        <f>IF(55&lt;=核心参数输入!$B$9*4,IF(AND(55-核心参数输入!$B$104&gt;=0,55-核心参数输入!$B$104&lt;=120),INDEX(季度经营税费!$D$137:$DT$137,1,MAX(1,MIN(121,55-核心参数输入!$B$104+1))),0),0)</f>
        <v>19.401257683418521</v>
      </c>
      <c r="BH138" s="9">
        <f>IF(56&lt;=核心参数输入!$B$9*4,IF(AND(56-核心参数输入!$B$104&gt;=0,56-核心参数输入!$B$104&lt;=120),INDEX(季度经营税费!$D$137:$DT$137,1,MAX(1,MIN(121,56-核心参数输入!$B$104+1))),0),0)</f>
        <v>19.401257683418521</v>
      </c>
      <c r="BI138" s="9">
        <f>IF(57&lt;=核心参数输入!$B$9*4,IF(AND(57-核心参数输入!$B$104&gt;=0,57-核心参数输入!$B$104&lt;=120),INDEX(季度经营税费!$D$137:$DT$137,1,MAX(1,MIN(121,57-核心参数输入!$B$104+1))),0),0)</f>
        <v>19.692276548669795</v>
      </c>
      <c r="BJ138" s="9">
        <f>IF(58&lt;=核心参数输入!$B$9*4,IF(AND(58-核心参数输入!$B$104&gt;=0,58-核心参数输入!$B$104&lt;=120),INDEX(季度经营税费!$D$137:$DT$137,1,MAX(1,MIN(121,58-核心参数输入!$B$104+1))),0),0)</f>
        <v>19.692276548669795</v>
      </c>
      <c r="BK138" s="9">
        <f>IF(59&lt;=核心参数输入!$B$9*4,IF(AND(59-核心参数输入!$B$104&gt;=0,59-核心参数输入!$B$104&lt;=120),INDEX(季度经营税费!$D$137:$DT$137,1,MAX(1,MIN(121,59-核心参数输入!$B$104+1))),0),0)</f>
        <v>19.692276548669795</v>
      </c>
      <c r="BL138" s="9">
        <f>IF(60&lt;=核心参数输入!$B$9*4,IF(AND(60-核心参数输入!$B$104&gt;=0,60-核心参数输入!$B$104&lt;=120),INDEX(季度经营税费!$D$137:$DT$137,1,MAX(1,MIN(121,60-核心参数输入!$B$104+1))),0),0)</f>
        <v>19.692276548669795</v>
      </c>
      <c r="BM138" s="9">
        <f>IF(61&lt;=核心参数输入!$B$9*4,IF(AND(61-核心参数输入!$B$104&gt;=0,61-核心参数输入!$B$104&lt;=120),INDEX(季度经营税费!$D$137:$DT$137,1,MAX(1,MIN(121,61-核心参数输入!$B$104+1))),0),0)</f>
        <v>19.987660696899837</v>
      </c>
      <c r="BN138" s="9">
        <f>IF(62&lt;=核心参数输入!$B$9*4,IF(AND(62-核心参数输入!$B$104&gt;=0,62-核心参数输入!$B$104&lt;=120),INDEX(季度经营税费!$D$137:$DT$137,1,MAX(1,MIN(121,62-核心参数输入!$B$104+1))),0),0)</f>
        <v>19.987660696899837</v>
      </c>
      <c r="BO138" s="9">
        <f>IF(63&lt;=核心参数输入!$B$9*4,IF(AND(63-核心参数输入!$B$104&gt;=0,63-核心参数输入!$B$104&lt;=120),INDEX(季度经营税费!$D$137:$DT$137,1,MAX(1,MIN(121,63-核心参数输入!$B$104+1))),0),0)</f>
        <v>19.987660696899837</v>
      </c>
      <c r="BP138" s="9">
        <f>IF(64&lt;=核心参数输入!$B$9*4,IF(AND(64-核心参数输入!$B$104&gt;=0,64-核心参数输入!$B$104&lt;=120),INDEX(季度经营税费!$D$137:$DT$137,1,MAX(1,MIN(121,64-核心参数输入!$B$104+1))),0),0)</f>
        <v>19.987660696899837</v>
      </c>
      <c r="BQ138" s="9">
        <f>IF(65&lt;=核心参数输入!$B$9*4,IF(AND(65-核心参数输入!$B$104&gt;=0,65-核心参数输入!$B$104&lt;=120),INDEX(季度经营税费!$D$137:$DT$137,1,MAX(1,MIN(121,65-核心参数输入!$B$104+1))),0),0)</f>
        <v>20.287475607353336</v>
      </c>
      <c r="BR138" s="9">
        <f>IF(66&lt;=核心参数输入!$B$9*4,IF(AND(66-核心参数输入!$B$104&gt;=0,66-核心参数输入!$B$104&lt;=120),INDEX(季度经营税费!$D$137:$DT$137,1,MAX(1,MIN(121,66-核心参数输入!$B$104+1))),0),0)</f>
        <v>20.287475607353336</v>
      </c>
      <c r="BS138" s="9">
        <f>IF(67&lt;=核心参数输入!$B$9*4,IF(AND(67-核心参数输入!$B$104&gt;=0,67-核心参数输入!$B$104&lt;=120),INDEX(季度经营税费!$D$137:$DT$137,1,MAX(1,MIN(121,67-核心参数输入!$B$104+1))),0),0)</f>
        <v>20.287475607353336</v>
      </c>
      <c r="BT138" s="9">
        <f>IF(68&lt;=核心参数输入!$B$9*4,IF(AND(68-核心参数输入!$B$104&gt;=0,68-核心参数输入!$B$104&lt;=120),INDEX(季度经营税费!$D$137:$DT$137,1,MAX(1,MIN(121,68-核心参数输入!$B$104+1))),0),0)</f>
        <v>20.287475607353336</v>
      </c>
      <c r="BU138" s="9">
        <f>IF(69&lt;=核心参数输入!$B$9*4,IF(AND(69-核心参数输入!$B$104&gt;=0,69-核心参数输入!$B$104&lt;=120),INDEX(季度经营税费!$D$137:$DT$137,1,MAX(1,MIN(121,69-核心参数输入!$B$104+1))),0),0)</f>
        <v>20.59178774146363</v>
      </c>
      <c r="BV138" s="9">
        <f>IF(70&lt;=核心参数输入!$B$9*4,IF(AND(70-核心参数输入!$B$104&gt;=0,70-核心参数输入!$B$104&lt;=120),INDEX(季度经营税费!$D$137:$DT$137,1,MAX(1,MIN(121,70-核心参数输入!$B$104+1))),0),0)</f>
        <v>20.59178774146363</v>
      </c>
      <c r="BW138" s="9">
        <f>IF(71&lt;=核心参数输入!$B$9*4,IF(AND(71-核心参数输入!$B$104&gt;=0,71-核心参数输入!$B$104&lt;=120),INDEX(季度经营税费!$D$137:$DT$137,1,MAX(1,MIN(121,71-核心参数输入!$B$104+1))),0),0)</f>
        <v>20.59178774146363</v>
      </c>
      <c r="BX138" s="9">
        <f>IF(72&lt;=核心参数输入!$B$9*4,IF(AND(72-核心参数输入!$B$104&gt;=0,72-核心参数输入!$B$104&lt;=120),INDEX(季度经营税费!$D$137:$DT$137,1,MAX(1,MIN(121,72-核心参数输入!$B$104+1))),0),0)</f>
        <v>20.59178774146363</v>
      </c>
      <c r="BY138" s="9">
        <f>IF(73&lt;=核心参数输入!$B$9*4,IF(AND(73-核心参数输入!$B$104&gt;=0,73-核心参数输入!$B$104&lt;=120),INDEX(季度经营税费!$D$137:$DT$137,1,MAX(1,MIN(121,73-核心参数输入!$B$104+1))),0),0)</f>
        <v>20.900664557585582</v>
      </c>
      <c r="BZ138" s="9">
        <f>IF(74&lt;=核心参数输入!$B$9*4,IF(AND(74-核心参数输入!$B$104&gt;=0,74-核心参数输入!$B$104&lt;=120),INDEX(季度经营税费!$D$137:$DT$137,1,MAX(1,MIN(121,74-核心参数输入!$B$104+1))),0),0)</f>
        <v>20.900664557585582</v>
      </c>
      <c r="CA138" s="9">
        <f>IF(75&lt;=核心参数输入!$B$9*4,IF(AND(75-核心参数输入!$B$104&gt;=0,75-核心参数输入!$B$104&lt;=120),INDEX(季度经营税费!$D$137:$DT$137,1,MAX(1,MIN(121,75-核心参数输入!$B$104+1))),0),0)</f>
        <v>20.900664557585582</v>
      </c>
      <c r="CB138" s="9">
        <f>IF(76&lt;=核心参数输入!$B$9*4,IF(AND(76-核心参数输入!$B$104&gt;=0,76-核心参数输入!$B$104&lt;=120),INDEX(季度经营税费!$D$137:$DT$137,1,MAX(1,MIN(121,76-核心参数输入!$B$104+1))),0),0)</f>
        <v>20.900664557585582</v>
      </c>
      <c r="CC138" s="9">
        <f>IF(77&lt;=核心参数输入!$B$9*4,IF(AND(77-核心参数输入!$B$104&gt;=0,77-核心参数输入!$B$104&lt;=120),INDEX(季度经营税费!$D$137:$DT$137,1,MAX(1,MIN(121,77-核心参数输入!$B$104+1))),0),0)</f>
        <v>21.21417452594936</v>
      </c>
      <c r="CD138" s="9">
        <f>IF(78&lt;=核心参数输入!$B$9*4,IF(AND(78-核心参数输入!$B$104&gt;=0,78-核心参数输入!$B$104&lt;=120),INDEX(季度经营税费!$D$137:$DT$137,1,MAX(1,MIN(121,78-核心参数输入!$B$104+1))),0),0)</f>
        <v>21.21417452594936</v>
      </c>
      <c r="CE138" s="9">
        <f>IF(79&lt;=核心参数输入!$B$9*4,IF(AND(79-核心参数输入!$B$104&gt;=0,79-核心参数输入!$B$104&lt;=120),INDEX(季度经营税费!$D$137:$DT$137,1,MAX(1,MIN(121,79-核心参数输入!$B$104+1))),0),0)</f>
        <v>21.21417452594936</v>
      </c>
      <c r="CF138" s="9">
        <f>IF(80&lt;=核心参数输入!$B$9*4,IF(AND(80-核心参数输入!$B$104&gt;=0,80-核心参数输入!$B$104&lt;=120),INDEX(季度经营税费!$D$137:$DT$137,1,MAX(1,MIN(121,80-核心参数输入!$B$104+1))),0),0)</f>
        <v>21.21417452594936</v>
      </c>
      <c r="CG138" s="9">
        <f>IF(81&lt;=核心参数输入!$B$9*4,IF(AND(81-核心参数输入!$B$104&gt;=0,81-核心参数输入!$B$104&lt;=120),INDEX(季度经营税费!$D$137:$DT$137,1,MAX(1,MIN(121,81-核心参数输入!$B$104+1))),0),0)</f>
        <v>0</v>
      </c>
      <c r="CH138" s="9">
        <f>IF(82&lt;=核心参数输入!$B$9*4,IF(AND(82-核心参数输入!$B$104&gt;=0,82-核心参数输入!$B$104&lt;=120),INDEX(季度经营税费!$D$137:$DT$137,1,MAX(1,MIN(121,82-核心参数输入!$B$104+1))),0),0)</f>
        <v>0</v>
      </c>
      <c r="CI138" s="9">
        <f>IF(83&lt;=核心参数输入!$B$9*4,IF(AND(83-核心参数输入!$B$104&gt;=0,83-核心参数输入!$B$104&lt;=120),INDEX(季度经营税费!$D$137:$DT$137,1,MAX(1,MIN(121,83-核心参数输入!$B$104+1))),0),0)</f>
        <v>0</v>
      </c>
      <c r="CJ138" s="9">
        <f>IF(84&lt;=核心参数输入!$B$9*4,IF(AND(84-核心参数输入!$B$104&gt;=0,84-核心参数输入!$B$104&lt;=120),INDEX(季度经营税费!$D$137:$DT$137,1,MAX(1,MIN(121,84-核心参数输入!$B$104+1))),0),0)</f>
        <v>0</v>
      </c>
      <c r="CK138" s="9">
        <f>IF(85&lt;=核心参数输入!$B$9*4,IF(AND(85-核心参数输入!$B$104&gt;=0,85-核心参数输入!$B$104&lt;=120),INDEX(季度经营税费!$D$137:$DT$137,1,MAX(1,MIN(121,85-核心参数输入!$B$104+1))),0),0)</f>
        <v>0</v>
      </c>
      <c r="CL138" s="9">
        <f>IF(86&lt;=核心参数输入!$B$9*4,IF(AND(86-核心参数输入!$B$104&gt;=0,86-核心参数输入!$B$104&lt;=120),INDEX(季度经营税费!$D$137:$DT$137,1,MAX(1,MIN(121,86-核心参数输入!$B$104+1))),0),0)</f>
        <v>0</v>
      </c>
      <c r="CM138" s="9">
        <f>IF(87&lt;=核心参数输入!$B$9*4,IF(AND(87-核心参数输入!$B$104&gt;=0,87-核心参数输入!$B$104&lt;=120),INDEX(季度经营税费!$D$137:$DT$137,1,MAX(1,MIN(121,87-核心参数输入!$B$104+1))),0),0)</f>
        <v>0</v>
      </c>
      <c r="CN138" s="9">
        <f>IF(88&lt;=核心参数输入!$B$9*4,IF(AND(88-核心参数输入!$B$104&gt;=0,88-核心参数输入!$B$104&lt;=120),INDEX(季度经营税费!$D$137:$DT$137,1,MAX(1,MIN(121,88-核心参数输入!$B$104+1))),0),0)</f>
        <v>0</v>
      </c>
      <c r="CO138" s="9">
        <f>IF(89&lt;=核心参数输入!$B$9*4,IF(AND(89-核心参数输入!$B$104&gt;=0,89-核心参数输入!$B$104&lt;=120),INDEX(季度经营税费!$D$137:$DT$137,1,MAX(1,MIN(121,89-核心参数输入!$B$104+1))),0),0)</f>
        <v>0</v>
      </c>
      <c r="CP138" s="9">
        <f>IF(90&lt;=核心参数输入!$B$9*4,IF(AND(90-核心参数输入!$B$104&gt;=0,90-核心参数输入!$B$104&lt;=120),INDEX(季度经营税费!$D$137:$DT$137,1,MAX(1,MIN(121,90-核心参数输入!$B$104+1))),0),0)</f>
        <v>0</v>
      </c>
      <c r="CQ138" s="9">
        <f>IF(91&lt;=核心参数输入!$B$9*4,IF(AND(91-核心参数输入!$B$104&gt;=0,91-核心参数输入!$B$104&lt;=120),INDEX(季度经营税费!$D$137:$DT$137,1,MAX(1,MIN(121,91-核心参数输入!$B$104+1))),0),0)</f>
        <v>0</v>
      </c>
      <c r="CR138" s="9">
        <f>IF(92&lt;=核心参数输入!$B$9*4,IF(AND(92-核心参数输入!$B$104&gt;=0,92-核心参数输入!$B$104&lt;=120),INDEX(季度经营税费!$D$137:$DT$137,1,MAX(1,MIN(121,92-核心参数输入!$B$104+1))),0),0)</f>
        <v>0</v>
      </c>
      <c r="CS138" s="9">
        <f>IF(93&lt;=核心参数输入!$B$9*4,IF(AND(93-核心参数输入!$B$104&gt;=0,93-核心参数输入!$B$104&lt;=120),INDEX(季度经营税费!$D$137:$DT$137,1,MAX(1,MIN(121,93-核心参数输入!$B$104+1))),0),0)</f>
        <v>0</v>
      </c>
      <c r="CT138" s="9">
        <f>IF(94&lt;=核心参数输入!$B$9*4,IF(AND(94-核心参数输入!$B$104&gt;=0,94-核心参数输入!$B$104&lt;=120),INDEX(季度经营税费!$D$137:$DT$137,1,MAX(1,MIN(121,94-核心参数输入!$B$104+1))),0),0)</f>
        <v>0</v>
      </c>
      <c r="CU138" s="9">
        <f>IF(95&lt;=核心参数输入!$B$9*4,IF(AND(95-核心参数输入!$B$104&gt;=0,95-核心参数输入!$B$104&lt;=120),INDEX(季度经营税费!$D$137:$DT$137,1,MAX(1,MIN(121,95-核心参数输入!$B$104+1))),0),0)</f>
        <v>0</v>
      </c>
      <c r="CV138" s="9">
        <f>IF(96&lt;=核心参数输入!$B$9*4,IF(AND(96-核心参数输入!$B$104&gt;=0,96-核心参数输入!$B$104&lt;=120),INDEX(季度经营税费!$D$137:$DT$137,1,MAX(1,MIN(121,96-核心参数输入!$B$104+1))),0),0)</f>
        <v>0</v>
      </c>
      <c r="CW138" s="9">
        <f>IF(97&lt;=核心参数输入!$B$9*4,IF(AND(97-核心参数输入!$B$104&gt;=0,97-核心参数输入!$B$104&lt;=120),INDEX(季度经营税费!$D$137:$DT$137,1,MAX(1,MIN(121,97-核心参数输入!$B$104+1))),0),0)</f>
        <v>0</v>
      </c>
      <c r="CX138" s="9">
        <f>IF(98&lt;=核心参数输入!$B$9*4,IF(AND(98-核心参数输入!$B$104&gt;=0,98-核心参数输入!$B$104&lt;=120),INDEX(季度经营税费!$D$137:$DT$137,1,MAX(1,MIN(121,98-核心参数输入!$B$104+1))),0),0)</f>
        <v>0</v>
      </c>
      <c r="CY138" s="9">
        <f>IF(99&lt;=核心参数输入!$B$9*4,IF(AND(99-核心参数输入!$B$104&gt;=0,99-核心参数输入!$B$104&lt;=120),INDEX(季度经营税费!$D$137:$DT$137,1,MAX(1,MIN(121,99-核心参数输入!$B$104+1))),0),0)</f>
        <v>0</v>
      </c>
      <c r="CZ138" s="9">
        <f>IF(100&lt;=核心参数输入!$B$9*4,IF(AND(100-核心参数输入!$B$104&gt;=0,100-核心参数输入!$B$104&lt;=120),INDEX(季度经营税费!$D$137:$DT$137,1,MAX(1,MIN(121,100-核心参数输入!$B$104+1))),0),0)</f>
        <v>0</v>
      </c>
      <c r="DA138" s="9">
        <f>IF(101&lt;=核心参数输入!$B$9*4,IF(AND(101-核心参数输入!$B$104&gt;=0,101-核心参数输入!$B$104&lt;=120),INDEX(季度经营税费!$D$137:$DT$137,1,MAX(1,MIN(121,101-核心参数输入!$B$104+1))),0),0)</f>
        <v>0</v>
      </c>
      <c r="DB138" s="9">
        <f>IF(102&lt;=核心参数输入!$B$9*4,IF(AND(102-核心参数输入!$B$104&gt;=0,102-核心参数输入!$B$104&lt;=120),INDEX(季度经营税费!$D$137:$DT$137,1,MAX(1,MIN(121,102-核心参数输入!$B$104+1))),0),0)</f>
        <v>0</v>
      </c>
      <c r="DC138" s="9">
        <f>IF(103&lt;=核心参数输入!$B$9*4,IF(AND(103-核心参数输入!$B$104&gt;=0,103-核心参数输入!$B$104&lt;=120),INDEX(季度经营税费!$D$137:$DT$137,1,MAX(1,MIN(121,103-核心参数输入!$B$104+1))),0),0)</f>
        <v>0</v>
      </c>
      <c r="DD138" s="9">
        <f>IF(104&lt;=核心参数输入!$B$9*4,IF(AND(104-核心参数输入!$B$104&gt;=0,104-核心参数输入!$B$104&lt;=120),INDEX(季度经营税费!$D$137:$DT$137,1,MAX(1,MIN(121,104-核心参数输入!$B$104+1))),0),0)</f>
        <v>0</v>
      </c>
      <c r="DE138" s="9">
        <f>IF(105&lt;=核心参数输入!$B$9*4,IF(AND(105-核心参数输入!$B$104&gt;=0,105-核心参数输入!$B$104&lt;=120),INDEX(季度经营税费!$D$137:$DT$137,1,MAX(1,MIN(121,105-核心参数输入!$B$104+1))),0),0)</f>
        <v>0</v>
      </c>
      <c r="DF138" s="9">
        <f>IF(106&lt;=核心参数输入!$B$9*4,IF(AND(106-核心参数输入!$B$104&gt;=0,106-核心参数输入!$B$104&lt;=120),INDEX(季度经营税费!$D$137:$DT$137,1,MAX(1,MIN(121,106-核心参数输入!$B$104+1))),0),0)</f>
        <v>0</v>
      </c>
      <c r="DG138" s="9">
        <f>IF(107&lt;=核心参数输入!$B$9*4,IF(AND(107-核心参数输入!$B$104&gt;=0,107-核心参数输入!$B$104&lt;=120),INDEX(季度经营税费!$D$137:$DT$137,1,MAX(1,MIN(121,107-核心参数输入!$B$104+1))),0),0)</f>
        <v>0</v>
      </c>
      <c r="DH138" s="9">
        <f>IF(108&lt;=核心参数输入!$B$9*4,IF(AND(108-核心参数输入!$B$104&gt;=0,108-核心参数输入!$B$104&lt;=120),INDEX(季度经营税费!$D$137:$DT$137,1,MAX(1,MIN(121,108-核心参数输入!$B$104+1))),0),0)</f>
        <v>0</v>
      </c>
      <c r="DI138" s="9">
        <f>IF(109&lt;=核心参数输入!$B$9*4,IF(AND(109-核心参数输入!$B$104&gt;=0,109-核心参数输入!$B$104&lt;=120),INDEX(季度经营税费!$D$137:$DT$137,1,MAX(1,MIN(121,109-核心参数输入!$B$104+1))),0),0)</f>
        <v>0</v>
      </c>
      <c r="DJ138" s="9">
        <f>IF(110&lt;=核心参数输入!$B$9*4,IF(AND(110-核心参数输入!$B$104&gt;=0,110-核心参数输入!$B$104&lt;=120),INDEX(季度经营税费!$D$137:$DT$137,1,MAX(1,MIN(121,110-核心参数输入!$B$104+1))),0),0)</f>
        <v>0</v>
      </c>
      <c r="DK138" s="9">
        <f>IF(111&lt;=核心参数输入!$B$9*4,IF(AND(111-核心参数输入!$B$104&gt;=0,111-核心参数输入!$B$104&lt;=120),INDEX(季度经营税费!$D$137:$DT$137,1,MAX(1,MIN(121,111-核心参数输入!$B$104+1))),0),0)</f>
        <v>0</v>
      </c>
      <c r="DL138" s="9">
        <f>IF(112&lt;=核心参数输入!$B$9*4,IF(AND(112-核心参数输入!$B$104&gt;=0,112-核心参数输入!$B$104&lt;=120),INDEX(季度经营税费!$D$137:$DT$137,1,MAX(1,MIN(121,112-核心参数输入!$B$104+1))),0),0)</f>
        <v>0</v>
      </c>
      <c r="DM138" s="9">
        <f>IF(113&lt;=核心参数输入!$B$9*4,IF(AND(113-核心参数输入!$B$104&gt;=0,113-核心参数输入!$B$104&lt;=120),INDEX(季度经营税费!$D$137:$DT$137,1,MAX(1,MIN(121,113-核心参数输入!$B$104+1))),0),0)</f>
        <v>0</v>
      </c>
      <c r="DN138" s="9">
        <f>IF(114&lt;=核心参数输入!$B$9*4,IF(AND(114-核心参数输入!$B$104&gt;=0,114-核心参数输入!$B$104&lt;=120),INDEX(季度经营税费!$D$137:$DT$137,1,MAX(1,MIN(121,114-核心参数输入!$B$104+1))),0),0)</f>
        <v>0</v>
      </c>
      <c r="DO138" s="9">
        <f>IF(115&lt;=核心参数输入!$B$9*4,IF(AND(115-核心参数输入!$B$104&gt;=0,115-核心参数输入!$B$104&lt;=120),INDEX(季度经营税费!$D$137:$DT$137,1,MAX(1,MIN(121,115-核心参数输入!$B$104+1))),0),0)</f>
        <v>0</v>
      </c>
      <c r="DP138" s="9">
        <f>IF(116&lt;=核心参数输入!$B$9*4,IF(AND(116-核心参数输入!$B$104&gt;=0,116-核心参数输入!$B$104&lt;=120),INDEX(季度经营税费!$D$137:$DT$137,1,MAX(1,MIN(121,116-核心参数输入!$B$104+1))),0),0)</f>
        <v>0</v>
      </c>
      <c r="DQ138" s="9">
        <f>IF(117&lt;=核心参数输入!$B$9*4,IF(AND(117-核心参数输入!$B$104&gt;=0,117-核心参数输入!$B$104&lt;=120),INDEX(季度经营税费!$D$137:$DT$137,1,MAX(1,MIN(121,117-核心参数输入!$B$104+1))),0),0)</f>
        <v>0</v>
      </c>
      <c r="DR138" s="9">
        <f>IF(118&lt;=核心参数输入!$B$9*4,IF(AND(118-核心参数输入!$B$104&gt;=0,118-核心参数输入!$B$104&lt;=120),INDEX(季度经营税费!$D$137:$DT$137,1,MAX(1,MIN(121,118-核心参数输入!$B$104+1))),0),0)</f>
        <v>0</v>
      </c>
      <c r="DS138" s="9">
        <f>IF(119&lt;=核心参数输入!$B$9*4,IF(AND(119-核心参数输入!$B$104&gt;=0,119-核心参数输入!$B$104&lt;=120),INDEX(季度经营税费!$D$137:$DT$137,1,MAX(1,MIN(121,119-核心参数输入!$B$104+1))),0),0)</f>
        <v>0</v>
      </c>
      <c r="DT138" s="9">
        <f>IF(120&lt;=核心参数输入!$B$9*4,IF(AND(120-核心参数输入!$B$104&gt;=0,120-核心参数输入!$B$104&lt;=120),INDEX(季度经营税费!$D$137:$DT$137,1,MAX(1,MIN(121,120-核心参数输入!$B$104+1))),0),0)</f>
        <v>0</v>
      </c>
    </row>
    <row r="139" spans="1:124" ht="21" customHeight="1">
      <c r="A139" s="8" t="s">
        <v>463</v>
      </c>
      <c r="B139" s="8" t="s">
        <v>39</v>
      </c>
      <c r="C139" s="8"/>
      <c r="D139" s="9">
        <f>IF(0&lt;=核心参数输入!$B$9*4,IF(核心参数输入!$B$96=2,D121-D121/(1+核心参数输入!$B$118),0),0)</f>
        <v>0</v>
      </c>
      <c r="E139" s="9">
        <f>IF(1&lt;=核心参数输入!$B$9*4,IF(核心参数输入!$B$96=2,E121-E121/(1+核心参数输入!$B$118),0),0)</f>
        <v>0</v>
      </c>
      <c r="F139" s="9">
        <f>IF(2&lt;=核心参数输入!$B$9*4,IF(核心参数输入!$B$96=2,F121-F121/(1+核心参数输入!$B$118),0),0)</f>
        <v>0</v>
      </c>
      <c r="G139" s="9">
        <f>IF(3&lt;=核心参数输入!$B$9*4,IF(核心参数输入!$B$96=2,G121-G121/(1+核心参数输入!$B$118),0),0)</f>
        <v>0</v>
      </c>
      <c r="H139" s="9">
        <f>IF(4&lt;=核心参数输入!$B$9*4,IF(核心参数输入!$B$96=2,H121-H121/(1+核心参数输入!$B$118),0),0)</f>
        <v>0</v>
      </c>
      <c r="I139" s="9">
        <f>IF(5&lt;=核心参数输入!$B$9*4,IF(核心参数输入!$B$96=2,I121-I121/(1+核心参数输入!$B$118),0),0)</f>
        <v>0</v>
      </c>
      <c r="J139" s="9">
        <f>IF(6&lt;=核心参数输入!$B$9*4,IF(核心参数输入!$B$96=2,J121-J121/(1+核心参数输入!$B$118),0),0)</f>
        <v>0</v>
      </c>
      <c r="K139" s="9">
        <f>IF(7&lt;=核心参数输入!$B$9*4,IF(核心参数输入!$B$96=2,K121-K121/(1+核心参数输入!$B$118),0),0)</f>
        <v>0</v>
      </c>
      <c r="L139" s="9">
        <f>IF(8&lt;=核心参数输入!$B$9*4,IF(核心参数输入!$B$96=2,L121-L121/(1+核心参数输入!$B$118),0),0)</f>
        <v>0</v>
      </c>
      <c r="M139" s="9">
        <f>IF(9&lt;=核心参数输入!$B$9*4,IF(核心参数输入!$B$96=2,M121-M121/(1+核心参数输入!$B$118),0),0)</f>
        <v>0</v>
      </c>
      <c r="N139" s="9">
        <f>IF(10&lt;=核心参数输入!$B$9*4,IF(核心参数输入!$B$96=2,N121-N121/(1+核心参数输入!$B$118),0),0)</f>
        <v>0</v>
      </c>
      <c r="O139" s="9">
        <f>IF(11&lt;=核心参数输入!$B$9*4,IF(核心参数输入!$B$96=2,O121-O121/(1+核心参数输入!$B$118),0),0)</f>
        <v>0</v>
      </c>
      <c r="P139" s="9">
        <f>IF(12&lt;=核心参数输入!$B$9*4,IF(核心参数输入!$B$96=2,P121-P121/(1+核心参数输入!$B$118),0),0)</f>
        <v>0</v>
      </c>
      <c r="Q139" s="9">
        <f>IF(13&lt;=核心参数输入!$B$9*4,IF(核心参数输入!$B$96=2,Q121-Q121/(1+核心参数输入!$B$118),0),0)</f>
        <v>0</v>
      </c>
      <c r="R139" s="9">
        <f>IF(14&lt;=核心参数输入!$B$9*4,IF(核心参数输入!$B$96=2,R121-R121/(1+核心参数输入!$B$118),0),0)</f>
        <v>0</v>
      </c>
      <c r="S139" s="9">
        <f>IF(15&lt;=核心参数输入!$B$9*4,IF(核心参数输入!$B$96=2,S121-S121/(1+核心参数输入!$B$118),0),0)</f>
        <v>0</v>
      </c>
      <c r="T139" s="9">
        <f>IF(16&lt;=核心参数输入!$B$9*4,IF(核心参数输入!$B$96=2,T121-T121/(1+核心参数输入!$B$118),0),0)</f>
        <v>0</v>
      </c>
      <c r="U139" s="9">
        <f>IF(17&lt;=核心参数输入!$B$9*4,IF(核心参数输入!$B$96=2,U121-U121/(1+核心参数输入!$B$118),0),0)</f>
        <v>0</v>
      </c>
      <c r="V139" s="9">
        <f>IF(18&lt;=核心参数输入!$B$9*4,IF(核心参数输入!$B$96=2,V121-V121/(1+核心参数输入!$B$118),0),0)</f>
        <v>0</v>
      </c>
      <c r="W139" s="9">
        <f>IF(19&lt;=核心参数输入!$B$9*4,IF(核心参数输入!$B$96=2,W121-W121/(1+核心参数输入!$B$118),0),0)</f>
        <v>0</v>
      </c>
      <c r="X139" s="9">
        <f>IF(20&lt;=核心参数输入!$B$9*4,IF(核心参数输入!$B$96=2,X121-X121/(1+核心参数输入!$B$118),0),0)</f>
        <v>0</v>
      </c>
      <c r="Y139" s="9">
        <f>IF(21&lt;=核心参数输入!$B$9*4,IF(核心参数输入!$B$96=2,Y121-Y121/(1+核心参数输入!$B$118),0),0)</f>
        <v>0</v>
      </c>
      <c r="Z139" s="9">
        <f>IF(22&lt;=核心参数输入!$B$9*4,IF(核心参数输入!$B$96=2,Z121-Z121/(1+核心参数输入!$B$118),0),0)</f>
        <v>0</v>
      </c>
      <c r="AA139" s="9">
        <f>IF(23&lt;=核心参数输入!$B$9*4,IF(核心参数输入!$B$96=2,AA121-AA121/(1+核心参数输入!$B$118),0),0)</f>
        <v>0</v>
      </c>
      <c r="AB139" s="9">
        <f>IF(24&lt;=核心参数输入!$B$9*4,IF(核心参数输入!$B$96=2,AB121-AB121/(1+核心参数输入!$B$118),0),0)</f>
        <v>0</v>
      </c>
      <c r="AC139" s="9">
        <f>IF(25&lt;=核心参数输入!$B$9*4,IF(核心参数输入!$B$96=2,AC121-AC121/(1+核心参数输入!$B$118),0),0)</f>
        <v>0</v>
      </c>
      <c r="AD139" s="9">
        <f>IF(26&lt;=核心参数输入!$B$9*4,IF(核心参数输入!$B$96=2,AD121-AD121/(1+核心参数输入!$B$118),0),0)</f>
        <v>0</v>
      </c>
      <c r="AE139" s="9">
        <f>IF(27&lt;=核心参数输入!$B$9*4,IF(核心参数输入!$B$96=2,AE121-AE121/(1+核心参数输入!$B$118),0),0)</f>
        <v>0</v>
      </c>
      <c r="AF139" s="9">
        <f>IF(28&lt;=核心参数输入!$B$9*4,IF(核心参数输入!$B$96=2,AF121-AF121/(1+核心参数输入!$B$118),0),0)</f>
        <v>0</v>
      </c>
      <c r="AG139" s="9">
        <f>IF(29&lt;=核心参数输入!$B$9*4,IF(核心参数输入!$B$96=2,AG121-AG121/(1+核心参数输入!$B$118),0),0)</f>
        <v>0</v>
      </c>
      <c r="AH139" s="9">
        <f>IF(30&lt;=核心参数输入!$B$9*4,IF(核心参数输入!$B$96=2,AH121-AH121/(1+核心参数输入!$B$118),0),0)</f>
        <v>0</v>
      </c>
      <c r="AI139" s="9">
        <f>IF(31&lt;=核心参数输入!$B$9*4,IF(核心参数输入!$B$96=2,AI121-AI121/(1+核心参数输入!$B$118),0),0)</f>
        <v>0</v>
      </c>
      <c r="AJ139" s="9">
        <f>IF(32&lt;=核心参数输入!$B$9*4,IF(核心参数输入!$B$96=2,AJ121-AJ121/(1+核心参数输入!$B$118),0),0)</f>
        <v>0</v>
      </c>
      <c r="AK139" s="9">
        <f>IF(33&lt;=核心参数输入!$B$9*4,IF(核心参数输入!$B$96=2,AK121-AK121/(1+核心参数输入!$B$118),0),0)</f>
        <v>0</v>
      </c>
      <c r="AL139" s="9">
        <f>IF(34&lt;=核心参数输入!$B$9*4,IF(核心参数输入!$B$96=2,AL121-AL121/(1+核心参数输入!$B$118),0),0)</f>
        <v>0</v>
      </c>
      <c r="AM139" s="9">
        <f>IF(35&lt;=核心参数输入!$B$9*4,IF(核心参数输入!$B$96=2,AM121-AM121/(1+核心参数输入!$B$118),0),0)</f>
        <v>0</v>
      </c>
      <c r="AN139" s="9">
        <f>IF(36&lt;=核心参数输入!$B$9*4,IF(核心参数输入!$B$96=2,AN121-AN121/(1+核心参数输入!$B$118),0),0)</f>
        <v>0</v>
      </c>
      <c r="AO139" s="9">
        <f>IF(37&lt;=核心参数输入!$B$9*4,IF(核心参数输入!$B$96=2,AO121-AO121/(1+核心参数输入!$B$118),0),0)</f>
        <v>0</v>
      </c>
      <c r="AP139" s="9">
        <f>IF(38&lt;=核心参数输入!$B$9*4,IF(核心参数输入!$B$96=2,AP121-AP121/(1+核心参数输入!$B$118),0),0)</f>
        <v>0</v>
      </c>
      <c r="AQ139" s="9">
        <f>IF(39&lt;=核心参数输入!$B$9*4,IF(核心参数输入!$B$96=2,AQ121-AQ121/(1+核心参数输入!$B$118),0),0)</f>
        <v>0</v>
      </c>
      <c r="AR139" s="9">
        <f>IF(40&lt;=核心参数输入!$B$9*4,IF(核心参数输入!$B$96=2,AR121-AR121/(1+核心参数输入!$B$118),0),0)</f>
        <v>0</v>
      </c>
      <c r="AS139" s="9">
        <f>IF(41&lt;=核心参数输入!$B$9*4,IF(核心参数输入!$B$96=2,AS121-AS121/(1+核心参数输入!$B$118),0),0)</f>
        <v>0</v>
      </c>
      <c r="AT139" s="9">
        <f>IF(42&lt;=核心参数输入!$B$9*4,IF(核心参数输入!$B$96=2,AT121-AT121/(1+核心参数输入!$B$118),0),0)</f>
        <v>0</v>
      </c>
      <c r="AU139" s="9">
        <f>IF(43&lt;=核心参数输入!$B$9*4,IF(核心参数输入!$B$96=2,AU121-AU121/(1+核心参数输入!$B$118),0),0)</f>
        <v>0</v>
      </c>
      <c r="AV139" s="9">
        <f>IF(44&lt;=核心参数输入!$B$9*4,IF(核心参数输入!$B$96=2,AV121-AV121/(1+核心参数输入!$B$118),0),0)</f>
        <v>0</v>
      </c>
      <c r="AW139" s="9">
        <f>IF(45&lt;=核心参数输入!$B$9*4,IF(核心参数输入!$B$96=2,AW121-AW121/(1+核心参数输入!$B$118),0),0)</f>
        <v>0</v>
      </c>
      <c r="AX139" s="9">
        <f>IF(46&lt;=核心参数输入!$B$9*4,IF(核心参数输入!$B$96=2,AX121-AX121/(1+核心参数输入!$B$118),0),0)</f>
        <v>0</v>
      </c>
      <c r="AY139" s="9">
        <f>IF(47&lt;=核心参数输入!$B$9*4,IF(核心参数输入!$B$96=2,AY121-AY121/(1+核心参数输入!$B$118),0),0)</f>
        <v>0</v>
      </c>
      <c r="AZ139" s="9">
        <f>IF(48&lt;=核心参数输入!$B$9*4,IF(核心参数输入!$B$96=2,AZ121-AZ121/(1+核心参数输入!$B$118),0),0)</f>
        <v>0</v>
      </c>
      <c r="BA139" s="9">
        <f>IF(49&lt;=核心参数输入!$B$9*4,IF(核心参数输入!$B$96=2,BA121-BA121/(1+核心参数输入!$B$118),0),0)</f>
        <v>0</v>
      </c>
      <c r="BB139" s="9">
        <f>IF(50&lt;=核心参数输入!$B$9*4,IF(核心参数输入!$B$96=2,BB121-BB121/(1+核心参数输入!$B$118),0),0)</f>
        <v>0</v>
      </c>
      <c r="BC139" s="9">
        <f>IF(51&lt;=核心参数输入!$B$9*4,IF(核心参数输入!$B$96=2,BC121-BC121/(1+核心参数输入!$B$118),0),0)</f>
        <v>0</v>
      </c>
      <c r="BD139" s="9">
        <f>IF(52&lt;=核心参数输入!$B$9*4,IF(核心参数输入!$B$96=2,BD121-BD121/(1+核心参数输入!$B$118),0),0)</f>
        <v>0</v>
      </c>
      <c r="BE139" s="9">
        <f>IF(53&lt;=核心参数输入!$B$9*4,IF(核心参数输入!$B$96=2,BE121-BE121/(1+核心参数输入!$B$118),0),0)</f>
        <v>0</v>
      </c>
      <c r="BF139" s="9">
        <f>IF(54&lt;=核心参数输入!$B$9*4,IF(核心参数输入!$B$96=2,BF121-BF121/(1+核心参数输入!$B$118),0),0)</f>
        <v>0</v>
      </c>
      <c r="BG139" s="9">
        <f>IF(55&lt;=核心参数输入!$B$9*4,IF(核心参数输入!$B$96=2,BG121-BG121/(1+核心参数输入!$B$118),0),0)</f>
        <v>0</v>
      </c>
      <c r="BH139" s="9">
        <f>IF(56&lt;=核心参数输入!$B$9*4,IF(核心参数输入!$B$96=2,BH121-BH121/(1+核心参数输入!$B$118),0),0)</f>
        <v>0</v>
      </c>
      <c r="BI139" s="9">
        <f>IF(57&lt;=核心参数输入!$B$9*4,IF(核心参数输入!$B$96=2,BI121-BI121/(1+核心参数输入!$B$118),0),0)</f>
        <v>0</v>
      </c>
      <c r="BJ139" s="9">
        <f>IF(58&lt;=核心参数输入!$B$9*4,IF(核心参数输入!$B$96=2,BJ121-BJ121/(1+核心参数输入!$B$118),0),0)</f>
        <v>0</v>
      </c>
      <c r="BK139" s="9">
        <f>IF(59&lt;=核心参数输入!$B$9*4,IF(核心参数输入!$B$96=2,BK121-BK121/(1+核心参数输入!$B$118),0),0)</f>
        <v>0</v>
      </c>
      <c r="BL139" s="9">
        <f>IF(60&lt;=核心参数输入!$B$9*4,IF(核心参数输入!$B$96=2,BL121-BL121/(1+核心参数输入!$B$118),0),0)</f>
        <v>0</v>
      </c>
      <c r="BM139" s="9">
        <f>IF(61&lt;=核心参数输入!$B$9*4,IF(核心参数输入!$B$96=2,BM121-BM121/(1+核心参数输入!$B$118),0),0)</f>
        <v>0</v>
      </c>
      <c r="BN139" s="9">
        <f>IF(62&lt;=核心参数输入!$B$9*4,IF(核心参数输入!$B$96=2,BN121-BN121/(1+核心参数输入!$B$118),0),0)</f>
        <v>0</v>
      </c>
      <c r="BO139" s="9">
        <f>IF(63&lt;=核心参数输入!$B$9*4,IF(核心参数输入!$B$96=2,BO121-BO121/(1+核心参数输入!$B$118),0),0)</f>
        <v>0</v>
      </c>
      <c r="BP139" s="9">
        <f>IF(64&lt;=核心参数输入!$B$9*4,IF(核心参数输入!$B$96=2,BP121-BP121/(1+核心参数输入!$B$118),0),0)</f>
        <v>0</v>
      </c>
      <c r="BQ139" s="9">
        <f>IF(65&lt;=核心参数输入!$B$9*4,IF(核心参数输入!$B$96=2,BQ121-BQ121/(1+核心参数输入!$B$118),0),0)</f>
        <v>0</v>
      </c>
      <c r="BR139" s="9">
        <f>IF(66&lt;=核心参数输入!$B$9*4,IF(核心参数输入!$B$96=2,BR121-BR121/(1+核心参数输入!$B$118),0),0)</f>
        <v>0</v>
      </c>
      <c r="BS139" s="9">
        <f>IF(67&lt;=核心参数输入!$B$9*4,IF(核心参数输入!$B$96=2,BS121-BS121/(1+核心参数输入!$B$118),0),0)</f>
        <v>0</v>
      </c>
      <c r="BT139" s="9">
        <f>IF(68&lt;=核心参数输入!$B$9*4,IF(核心参数输入!$B$96=2,BT121-BT121/(1+核心参数输入!$B$118),0),0)</f>
        <v>0</v>
      </c>
      <c r="BU139" s="9">
        <f>IF(69&lt;=核心参数输入!$B$9*4,IF(核心参数输入!$B$96=2,BU121-BU121/(1+核心参数输入!$B$118),0),0)</f>
        <v>0</v>
      </c>
      <c r="BV139" s="9">
        <f>IF(70&lt;=核心参数输入!$B$9*4,IF(核心参数输入!$B$96=2,BV121-BV121/(1+核心参数输入!$B$118),0),0)</f>
        <v>0</v>
      </c>
      <c r="BW139" s="9">
        <f>IF(71&lt;=核心参数输入!$B$9*4,IF(核心参数输入!$B$96=2,BW121-BW121/(1+核心参数输入!$B$118),0),0)</f>
        <v>0</v>
      </c>
      <c r="BX139" s="9">
        <f>IF(72&lt;=核心参数输入!$B$9*4,IF(核心参数输入!$B$96=2,BX121-BX121/(1+核心参数输入!$B$118),0),0)</f>
        <v>0</v>
      </c>
      <c r="BY139" s="9">
        <f>IF(73&lt;=核心参数输入!$B$9*4,IF(核心参数输入!$B$96=2,BY121-BY121/(1+核心参数输入!$B$118),0),0)</f>
        <v>0</v>
      </c>
      <c r="BZ139" s="9">
        <f>IF(74&lt;=核心参数输入!$B$9*4,IF(核心参数输入!$B$96=2,BZ121-BZ121/(1+核心参数输入!$B$118),0),0)</f>
        <v>0</v>
      </c>
      <c r="CA139" s="9">
        <f>IF(75&lt;=核心参数输入!$B$9*4,IF(核心参数输入!$B$96=2,CA121-CA121/(1+核心参数输入!$B$118),0),0)</f>
        <v>0</v>
      </c>
      <c r="CB139" s="9">
        <f>IF(76&lt;=核心参数输入!$B$9*4,IF(核心参数输入!$B$96=2,CB121-CB121/(1+核心参数输入!$B$118),0),0)</f>
        <v>0</v>
      </c>
      <c r="CC139" s="9">
        <f>IF(77&lt;=核心参数输入!$B$9*4,IF(核心参数输入!$B$96=2,CC121-CC121/(1+核心参数输入!$B$118),0),0)</f>
        <v>0</v>
      </c>
      <c r="CD139" s="9">
        <f>IF(78&lt;=核心参数输入!$B$9*4,IF(核心参数输入!$B$96=2,CD121-CD121/(1+核心参数输入!$B$118),0),0)</f>
        <v>0</v>
      </c>
      <c r="CE139" s="9">
        <f>IF(79&lt;=核心参数输入!$B$9*4,IF(核心参数输入!$B$96=2,CE121-CE121/(1+核心参数输入!$B$118),0),0)</f>
        <v>0</v>
      </c>
      <c r="CF139" s="9">
        <f>IF(80&lt;=核心参数输入!$B$9*4,IF(核心参数输入!$B$96=2,CF121-CF121/(1+核心参数输入!$B$118),0),0)</f>
        <v>0</v>
      </c>
      <c r="CG139" s="9">
        <f>IF(81&lt;=核心参数输入!$B$9*4,IF(核心参数输入!$B$96=2,CG121-CG121/(1+核心参数输入!$B$118),0),0)</f>
        <v>0</v>
      </c>
      <c r="CH139" s="9">
        <f>IF(82&lt;=核心参数输入!$B$9*4,IF(核心参数输入!$B$96=2,CH121-CH121/(1+核心参数输入!$B$118),0),0)</f>
        <v>0</v>
      </c>
      <c r="CI139" s="9">
        <f>IF(83&lt;=核心参数输入!$B$9*4,IF(核心参数输入!$B$96=2,CI121-CI121/(1+核心参数输入!$B$118),0),0)</f>
        <v>0</v>
      </c>
      <c r="CJ139" s="9">
        <f>IF(84&lt;=核心参数输入!$B$9*4,IF(核心参数输入!$B$96=2,CJ121-CJ121/(1+核心参数输入!$B$118),0),0)</f>
        <v>0</v>
      </c>
      <c r="CK139" s="9">
        <f>IF(85&lt;=核心参数输入!$B$9*4,IF(核心参数输入!$B$96=2,CK121-CK121/(1+核心参数输入!$B$118),0),0)</f>
        <v>0</v>
      </c>
      <c r="CL139" s="9">
        <f>IF(86&lt;=核心参数输入!$B$9*4,IF(核心参数输入!$B$96=2,CL121-CL121/(1+核心参数输入!$B$118),0),0)</f>
        <v>0</v>
      </c>
      <c r="CM139" s="9">
        <f>IF(87&lt;=核心参数输入!$B$9*4,IF(核心参数输入!$B$96=2,CM121-CM121/(1+核心参数输入!$B$118),0),0)</f>
        <v>0</v>
      </c>
      <c r="CN139" s="9">
        <f>IF(88&lt;=核心参数输入!$B$9*4,IF(核心参数输入!$B$96=2,CN121-CN121/(1+核心参数输入!$B$118),0),0)</f>
        <v>0</v>
      </c>
      <c r="CO139" s="9">
        <f>IF(89&lt;=核心参数输入!$B$9*4,IF(核心参数输入!$B$96=2,CO121-CO121/(1+核心参数输入!$B$118),0),0)</f>
        <v>0</v>
      </c>
      <c r="CP139" s="9">
        <f>IF(90&lt;=核心参数输入!$B$9*4,IF(核心参数输入!$B$96=2,CP121-CP121/(1+核心参数输入!$B$118),0),0)</f>
        <v>0</v>
      </c>
      <c r="CQ139" s="9">
        <f>IF(91&lt;=核心参数输入!$B$9*4,IF(核心参数输入!$B$96=2,CQ121-CQ121/(1+核心参数输入!$B$118),0),0)</f>
        <v>0</v>
      </c>
      <c r="CR139" s="9">
        <f>IF(92&lt;=核心参数输入!$B$9*4,IF(核心参数输入!$B$96=2,CR121-CR121/(1+核心参数输入!$B$118),0),0)</f>
        <v>0</v>
      </c>
      <c r="CS139" s="9">
        <f>IF(93&lt;=核心参数输入!$B$9*4,IF(核心参数输入!$B$96=2,CS121-CS121/(1+核心参数输入!$B$118),0),0)</f>
        <v>0</v>
      </c>
      <c r="CT139" s="9">
        <f>IF(94&lt;=核心参数输入!$B$9*4,IF(核心参数输入!$B$96=2,CT121-CT121/(1+核心参数输入!$B$118),0),0)</f>
        <v>0</v>
      </c>
      <c r="CU139" s="9">
        <f>IF(95&lt;=核心参数输入!$B$9*4,IF(核心参数输入!$B$96=2,CU121-CU121/(1+核心参数输入!$B$118),0),0)</f>
        <v>0</v>
      </c>
      <c r="CV139" s="9">
        <f>IF(96&lt;=核心参数输入!$B$9*4,IF(核心参数输入!$B$96=2,CV121-CV121/(1+核心参数输入!$B$118),0),0)</f>
        <v>0</v>
      </c>
      <c r="CW139" s="9">
        <f>IF(97&lt;=核心参数输入!$B$9*4,IF(核心参数输入!$B$96=2,CW121-CW121/(1+核心参数输入!$B$118),0),0)</f>
        <v>0</v>
      </c>
      <c r="CX139" s="9">
        <f>IF(98&lt;=核心参数输入!$B$9*4,IF(核心参数输入!$B$96=2,CX121-CX121/(1+核心参数输入!$B$118),0),0)</f>
        <v>0</v>
      </c>
      <c r="CY139" s="9">
        <f>IF(99&lt;=核心参数输入!$B$9*4,IF(核心参数输入!$B$96=2,CY121-CY121/(1+核心参数输入!$B$118),0),0)</f>
        <v>0</v>
      </c>
      <c r="CZ139" s="9">
        <f>IF(100&lt;=核心参数输入!$B$9*4,IF(核心参数输入!$B$96=2,CZ121-CZ121/(1+核心参数输入!$B$118),0),0)</f>
        <v>0</v>
      </c>
      <c r="DA139" s="9">
        <f>IF(101&lt;=核心参数输入!$B$9*4,IF(核心参数输入!$B$96=2,DA121-DA121/(1+核心参数输入!$B$118),0),0)</f>
        <v>0</v>
      </c>
      <c r="DB139" s="9">
        <f>IF(102&lt;=核心参数输入!$B$9*4,IF(核心参数输入!$B$96=2,DB121-DB121/(1+核心参数输入!$B$118),0),0)</f>
        <v>0</v>
      </c>
      <c r="DC139" s="9">
        <f>IF(103&lt;=核心参数输入!$B$9*4,IF(核心参数输入!$B$96=2,DC121-DC121/(1+核心参数输入!$B$118),0),0)</f>
        <v>0</v>
      </c>
      <c r="DD139" s="9">
        <f>IF(104&lt;=核心参数输入!$B$9*4,IF(核心参数输入!$B$96=2,DD121-DD121/(1+核心参数输入!$B$118),0),0)</f>
        <v>0</v>
      </c>
      <c r="DE139" s="9">
        <f>IF(105&lt;=核心参数输入!$B$9*4,IF(核心参数输入!$B$96=2,DE121-DE121/(1+核心参数输入!$B$118),0),0)</f>
        <v>0</v>
      </c>
      <c r="DF139" s="9">
        <f>IF(106&lt;=核心参数输入!$B$9*4,IF(核心参数输入!$B$96=2,DF121-DF121/(1+核心参数输入!$B$118),0),0)</f>
        <v>0</v>
      </c>
      <c r="DG139" s="9">
        <f>IF(107&lt;=核心参数输入!$B$9*4,IF(核心参数输入!$B$96=2,DG121-DG121/(1+核心参数输入!$B$118),0),0)</f>
        <v>0</v>
      </c>
      <c r="DH139" s="9">
        <f>IF(108&lt;=核心参数输入!$B$9*4,IF(核心参数输入!$B$96=2,DH121-DH121/(1+核心参数输入!$B$118),0),0)</f>
        <v>0</v>
      </c>
      <c r="DI139" s="9">
        <f>IF(109&lt;=核心参数输入!$B$9*4,IF(核心参数输入!$B$96=2,DI121-DI121/(1+核心参数输入!$B$118),0),0)</f>
        <v>0</v>
      </c>
      <c r="DJ139" s="9">
        <f>IF(110&lt;=核心参数输入!$B$9*4,IF(核心参数输入!$B$96=2,DJ121-DJ121/(1+核心参数输入!$B$118),0),0)</f>
        <v>0</v>
      </c>
      <c r="DK139" s="9">
        <f>IF(111&lt;=核心参数输入!$B$9*4,IF(核心参数输入!$B$96=2,DK121-DK121/(1+核心参数输入!$B$118),0),0)</f>
        <v>0</v>
      </c>
      <c r="DL139" s="9">
        <f>IF(112&lt;=核心参数输入!$B$9*4,IF(核心参数输入!$B$96=2,DL121-DL121/(1+核心参数输入!$B$118),0),0)</f>
        <v>0</v>
      </c>
      <c r="DM139" s="9">
        <f>IF(113&lt;=核心参数输入!$B$9*4,IF(核心参数输入!$B$96=2,DM121-DM121/(1+核心参数输入!$B$118),0),0)</f>
        <v>0</v>
      </c>
      <c r="DN139" s="9">
        <f>IF(114&lt;=核心参数输入!$B$9*4,IF(核心参数输入!$B$96=2,DN121-DN121/(1+核心参数输入!$B$118),0),0)</f>
        <v>0</v>
      </c>
      <c r="DO139" s="9">
        <f>IF(115&lt;=核心参数输入!$B$9*4,IF(核心参数输入!$B$96=2,DO121-DO121/(1+核心参数输入!$B$118),0),0)</f>
        <v>0</v>
      </c>
      <c r="DP139" s="9">
        <f>IF(116&lt;=核心参数输入!$B$9*4,IF(核心参数输入!$B$96=2,DP121-DP121/(1+核心参数输入!$B$118),0),0)</f>
        <v>0</v>
      </c>
      <c r="DQ139" s="9">
        <f>IF(117&lt;=核心参数输入!$B$9*4,IF(核心参数输入!$B$96=2,DQ121-DQ121/(1+核心参数输入!$B$118),0),0)</f>
        <v>0</v>
      </c>
      <c r="DR139" s="9">
        <f>IF(118&lt;=核心参数输入!$B$9*4,IF(核心参数输入!$B$96=2,DR121-DR121/(1+核心参数输入!$B$118),0),0)</f>
        <v>0</v>
      </c>
      <c r="DS139" s="9">
        <f>IF(119&lt;=核心参数输入!$B$9*4,IF(核心参数输入!$B$96=2,DS121-DS121/(1+核心参数输入!$B$118),0),0)</f>
        <v>0</v>
      </c>
      <c r="DT139" s="9">
        <f>IF(120&lt;=核心参数输入!$B$9*4,IF(核心参数输入!$B$96=2,DT121-DT121/(1+核心参数输入!$B$118),0),0)</f>
        <v>0</v>
      </c>
    </row>
    <row r="140" spans="1:124" ht="21" customHeight="1">
      <c r="A140" s="8" t="s">
        <v>464</v>
      </c>
      <c r="B140" s="8" t="s">
        <v>39</v>
      </c>
      <c r="C140" s="8"/>
      <c r="D140" s="9">
        <f>IF(0&lt;=核心参数输入!$B$9*4,IF(核心参数输入!$B$96=2,D133-D133/(1+核心参数输入!$B$119),0),0)</f>
        <v>0</v>
      </c>
      <c r="E140" s="9">
        <f>IF(1&lt;=核心参数输入!$B$9*4,IF(核心参数输入!$B$96=2,E133-E133/(1+核心参数输入!$B$119),0),0)</f>
        <v>0</v>
      </c>
      <c r="F140" s="9">
        <f>IF(2&lt;=核心参数输入!$B$9*4,IF(核心参数输入!$B$96=2,F133-F133/(1+核心参数输入!$B$119),0),0)</f>
        <v>0</v>
      </c>
      <c r="G140" s="9">
        <f>IF(3&lt;=核心参数输入!$B$9*4,IF(核心参数输入!$B$96=2,G133-G133/(1+核心参数输入!$B$119),0),0)</f>
        <v>0</v>
      </c>
      <c r="H140" s="9">
        <f>IF(4&lt;=核心参数输入!$B$9*4,IF(核心参数输入!$B$96=2,H133-H133/(1+核心参数输入!$B$119),0),0)</f>
        <v>0</v>
      </c>
      <c r="I140" s="9">
        <f>IF(5&lt;=核心参数输入!$B$9*4,IF(核心参数输入!$B$96=2,I133-I133/(1+核心参数输入!$B$119),0),0)</f>
        <v>0</v>
      </c>
      <c r="J140" s="9">
        <f>IF(6&lt;=核心参数输入!$B$9*4,IF(核心参数输入!$B$96=2,J133-J133/(1+核心参数输入!$B$119),0),0)</f>
        <v>0</v>
      </c>
      <c r="K140" s="9">
        <f>IF(7&lt;=核心参数输入!$B$9*4,IF(核心参数输入!$B$96=2,K133-K133/(1+核心参数输入!$B$119),0),0)</f>
        <v>0</v>
      </c>
      <c r="L140" s="9">
        <f>IF(8&lt;=核心参数输入!$B$9*4,IF(核心参数输入!$B$96=2,L133-L133/(1+核心参数输入!$B$119),0),0)</f>
        <v>0</v>
      </c>
      <c r="M140" s="9">
        <f>IF(9&lt;=核心参数输入!$B$9*4,IF(核心参数输入!$B$96=2,M133-M133/(1+核心参数输入!$B$119),0),0)</f>
        <v>0</v>
      </c>
      <c r="N140" s="9">
        <f>IF(10&lt;=核心参数输入!$B$9*4,IF(核心参数输入!$B$96=2,N133-N133/(1+核心参数输入!$B$119),0),0)</f>
        <v>0</v>
      </c>
      <c r="O140" s="9">
        <f>IF(11&lt;=核心参数输入!$B$9*4,IF(核心参数输入!$B$96=2,O133-O133/(1+核心参数输入!$B$119),0),0)</f>
        <v>0</v>
      </c>
      <c r="P140" s="9">
        <f>IF(12&lt;=核心参数输入!$B$9*4,IF(核心参数输入!$B$96=2,P133-P133/(1+核心参数输入!$B$119),0),0)</f>
        <v>0</v>
      </c>
      <c r="Q140" s="9">
        <f>IF(13&lt;=核心参数输入!$B$9*4,IF(核心参数输入!$B$96=2,Q133-Q133/(1+核心参数输入!$B$119),0),0)</f>
        <v>0</v>
      </c>
      <c r="R140" s="9">
        <f>IF(14&lt;=核心参数输入!$B$9*4,IF(核心参数输入!$B$96=2,R133-R133/(1+核心参数输入!$B$119),0),0)</f>
        <v>0</v>
      </c>
      <c r="S140" s="9">
        <f>IF(15&lt;=核心参数输入!$B$9*4,IF(核心参数输入!$B$96=2,S133-S133/(1+核心参数输入!$B$119),0),0)</f>
        <v>0</v>
      </c>
      <c r="T140" s="9">
        <f>IF(16&lt;=核心参数输入!$B$9*4,IF(核心参数输入!$B$96=2,T133-T133/(1+核心参数输入!$B$119),0),0)</f>
        <v>0</v>
      </c>
      <c r="U140" s="9">
        <f>IF(17&lt;=核心参数输入!$B$9*4,IF(核心参数输入!$B$96=2,U133-U133/(1+核心参数输入!$B$119),0),0)</f>
        <v>0</v>
      </c>
      <c r="V140" s="9">
        <f>IF(18&lt;=核心参数输入!$B$9*4,IF(核心参数输入!$B$96=2,V133-V133/(1+核心参数输入!$B$119),0),0)</f>
        <v>0</v>
      </c>
      <c r="W140" s="9">
        <f>IF(19&lt;=核心参数输入!$B$9*4,IF(核心参数输入!$B$96=2,W133-W133/(1+核心参数输入!$B$119),0),0)</f>
        <v>0</v>
      </c>
      <c r="X140" s="9">
        <f>IF(20&lt;=核心参数输入!$B$9*4,IF(核心参数输入!$B$96=2,X133-X133/(1+核心参数输入!$B$119),0),0)</f>
        <v>0</v>
      </c>
      <c r="Y140" s="9">
        <f>IF(21&lt;=核心参数输入!$B$9*4,IF(核心参数输入!$B$96=2,Y133-Y133/(1+核心参数输入!$B$119),0),0)</f>
        <v>0</v>
      </c>
      <c r="Z140" s="9">
        <f>IF(22&lt;=核心参数输入!$B$9*4,IF(核心参数输入!$B$96=2,Z133-Z133/(1+核心参数输入!$B$119),0),0)</f>
        <v>0</v>
      </c>
      <c r="AA140" s="9">
        <f>IF(23&lt;=核心参数输入!$B$9*4,IF(核心参数输入!$B$96=2,AA133-AA133/(1+核心参数输入!$B$119),0),0)</f>
        <v>0</v>
      </c>
      <c r="AB140" s="9">
        <f>IF(24&lt;=核心参数输入!$B$9*4,IF(核心参数输入!$B$96=2,AB133-AB133/(1+核心参数输入!$B$119),0),0)</f>
        <v>0</v>
      </c>
      <c r="AC140" s="9">
        <f>IF(25&lt;=核心参数输入!$B$9*4,IF(核心参数输入!$B$96=2,AC133-AC133/(1+核心参数输入!$B$119),0),0)</f>
        <v>0</v>
      </c>
      <c r="AD140" s="9">
        <f>IF(26&lt;=核心参数输入!$B$9*4,IF(核心参数输入!$B$96=2,AD133-AD133/(1+核心参数输入!$B$119),0),0)</f>
        <v>0</v>
      </c>
      <c r="AE140" s="9">
        <f>IF(27&lt;=核心参数输入!$B$9*4,IF(核心参数输入!$B$96=2,AE133-AE133/(1+核心参数输入!$B$119),0),0)</f>
        <v>0</v>
      </c>
      <c r="AF140" s="9">
        <f>IF(28&lt;=核心参数输入!$B$9*4,IF(核心参数输入!$B$96=2,AF133-AF133/(1+核心参数输入!$B$119),0),0)</f>
        <v>0</v>
      </c>
      <c r="AG140" s="9">
        <f>IF(29&lt;=核心参数输入!$B$9*4,IF(核心参数输入!$B$96=2,AG133-AG133/(1+核心参数输入!$B$119),0),0)</f>
        <v>0</v>
      </c>
      <c r="AH140" s="9">
        <f>IF(30&lt;=核心参数输入!$B$9*4,IF(核心参数输入!$B$96=2,AH133-AH133/(1+核心参数输入!$B$119),0),0)</f>
        <v>0</v>
      </c>
      <c r="AI140" s="9">
        <f>IF(31&lt;=核心参数输入!$B$9*4,IF(核心参数输入!$B$96=2,AI133-AI133/(1+核心参数输入!$B$119),0),0)</f>
        <v>0</v>
      </c>
      <c r="AJ140" s="9">
        <f>IF(32&lt;=核心参数输入!$B$9*4,IF(核心参数输入!$B$96=2,AJ133-AJ133/(1+核心参数输入!$B$119),0),0)</f>
        <v>0</v>
      </c>
      <c r="AK140" s="9">
        <f>IF(33&lt;=核心参数输入!$B$9*4,IF(核心参数输入!$B$96=2,AK133-AK133/(1+核心参数输入!$B$119),0),0)</f>
        <v>0</v>
      </c>
      <c r="AL140" s="9">
        <f>IF(34&lt;=核心参数输入!$B$9*4,IF(核心参数输入!$B$96=2,AL133-AL133/(1+核心参数输入!$B$119),0),0)</f>
        <v>0</v>
      </c>
      <c r="AM140" s="9">
        <f>IF(35&lt;=核心参数输入!$B$9*4,IF(核心参数输入!$B$96=2,AM133-AM133/(1+核心参数输入!$B$119),0),0)</f>
        <v>0</v>
      </c>
      <c r="AN140" s="9">
        <f>IF(36&lt;=核心参数输入!$B$9*4,IF(核心参数输入!$B$96=2,AN133-AN133/(1+核心参数输入!$B$119),0),0)</f>
        <v>0</v>
      </c>
      <c r="AO140" s="9">
        <f>IF(37&lt;=核心参数输入!$B$9*4,IF(核心参数输入!$B$96=2,AO133-AO133/(1+核心参数输入!$B$119),0),0)</f>
        <v>0</v>
      </c>
      <c r="AP140" s="9">
        <f>IF(38&lt;=核心参数输入!$B$9*4,IF(核心参数输入!$B$96=2,AP133-AP133/(1+核心参数输入!$B$119),0),0)</f>
        <v>0</v>
      </c>
      <c r="AQ140" s="9">
        <f>IF(39&lt;=核心参数输入!$B$9*4,IF(核心参数输入!$B$96=2,AQ133-AQ133/(1+核心参数输入!$B$119),0),0)</f>
        <v>0</v>
      </c>
      <c r="AR140" s="9">
        <f>IF(40&lt;=核心参数输入!$B$9*4,IF(核心参数输入!$B$96=2,AR133-AR133/(1+核心参数输入!$B$119),0),0)</f>
        <v>0</v>
      </c>
      <c r="AS140" s="9">
        <f>IF(41&lt;=核心参数输入!$B$9*4,IF(核心参数输入!$B$96=2,AS133-AS133/(1+核心参数输入!$B$119),0),0)</f>
        <v>0</v>
      </c>
      <c r="AT140" s="9">
        <f>IF(42&lt;=核心参数输入!$B$9*4,IF(核心参数输入!$B$96=2,AT133-AT133/(1+核心参数输入!$B$119),0),0)</f>
        <v>0</v>
      </c>
      <c r="AU140" s="9">
        <f>IF(43&lt;=核心参数输入!$B$9*4,IF(核心参数输入!$B$96=2,AU133-AU133/(1+核心参数输入!$B$119),0),0)</f>
        <v>0</v>
      </c>
      <c r="AV140" s="9">
        <f>IF(44&lt;=核心参数输入!$B$9*4,IF(核心参数输入!$B$96=2,AV133-AV133/(1+核心参数输入!$B$119),0),0)</f>
        <v>0</v>
      </c>
      <c r="AW140" s="9">
        <f>IF(45&lt;=核心参数输入!$B$9*4,IF(核心参数输入!$B$96=2,AW133-AW133/(1+核心参数输入!$B$119),0),0)</f>
        <v>0</v>
      </c>
      <c r="AX140" s="9">
        <f>IF(46&lt;=核心参数输入!$B$9*4,IF(核心参数输入!$B$96=2,AX133-AX133/(1+核心参数输入!$B$119),0),0)</f>
        <v>0</v>
      </c>
      <c r="AY140" s="9">
        <f>IF(47&lt;=核心参数输入!$B$9*4,IF(核心参数输入!$B$96=2,AY133-AY133/(1+核心参数输入!$B$119),0),0)</f>
        <v>0</v>
      </c>
      <c r="AZ140" s="9">
        <f>IF(48&lt;=核心参数输入!$B$9*4,IF(核心参数输入!$B$96=2,AZ133-AZ133/(1+核心参数输入!$B$119),0),0)</f>
        <v>0</v>
      </c>
      <c r="BA140" s="9">
        <f>IF(49&lt;=核心参数输入!$B$9*4,IF(核心参数输入!$B$96=2,BA133-BA133/(1+核心参数输入!$B$119),0),0)</f>
        <v>0</v>
      </c>
      <c r="BB140" s="9">
        <f>IF(50&lt;=核心参数输入!$B$9*4,IF(核心参数输入!$B$96=2,BB133-BB133/(1+核心参数输入!$B$119),0),0)</f>
        <v>0</v>
      </c>
      <c r="BC140" s="9">
        <f>IF(51&lt;=核心参数输入!$B$9*4,IF(核心参数输入!$B$96=2,BC133-BC133/(1+核心参数输入!$B$119),0),0)</f>
        <v>0</v>
      </c>
      <c r="BD140" s="9">
        <f>IF(52&lt;=核心参数输入!$B$9*4,IF(核心参数输入!$B$96=2,BD133-BD133/(1+核心参数输入!$B$119),0),0)</f>
        <v>0</v>
      </c>
      <c r="BE140" s="9">
        <f>IF(53&lt;=核心参数输入!$B$9*4,IF(核心参数输入!$B$96=2,BE133-BE133/(1+核心参数输入!$B$119),0),0)</f>
        <v>0</v>
      </c>
      <c r="BF140" s="9">
        <f>IF(54&lt;=核心参数输入!$B$9*4,IF(核心参数输入!$B$96=2,BF133-BF133/(1+核心参数输入!$B$119),0),0)</f>
        <v>0</v>
      </c>
      <c r="BG140" s="9">
        <f>IF(55&lt;=核心参数输入!$B$9*4,IF(核心参数输入!$B$96=2,BG133-BG133/(1+核心参数输入!$B$119),0),0)</f>
        <v>0</v>
      </c>
      <c r="BH140" s="9">
        <f>IF(56&lt;=核心参数输入!$B$9*4,IF(核心参数输入!$B$96=2,BH133-BH133/(1+核心参数输入!$B$119),0),0)</f>
        <v>0</v>
      </c>
      <c r="BI140" s="9">
        <f>IF(57&lt;=核心参数输入!$B$9*4,IF(核心参数输入!$B$96=2,BI133-BI133/(1+核心参数输入!$B$119),0),0)</f>
        <v>0</v>
      </c>
      <c r="BJ140" s="9">
        <f>IF(58&lt;=核心参数输入!$B$9*4,IF(核心参数输入!$B$96=2,BJ133-BJ133/(1+核心参数输入!$B$119),0),0)</f>
        <v>0</v>
      </c>
      <c r="BK140" s="9">
        <f>IF(59&lt;=核心参数输入!$B$9*4,IF(核心参数输入!$B$96=2,BK133-BK133/(1+核心参数输入!$B$119),0),0)</f>
        <v>0</v>
      </c>
      <c r="BL140" s="9">
        <f>IF(60&lt;=核心参数输入!$B$9*4,IF(核心参数输入!$B$96=2,BL133-BL133/(1+核心参数输入!$B$119),0),0)</f>
        <v>0</v>
      </c>
      <c r="BM140" s="9">
        <f>IF(61&lt;=核心参数输入!$B$9*4,IF(核心参数输入!$B$96=2,BM133-BM133/(1+核心参数输入!$B$119),0),0)</f>
        <v>0</v>
      </c>
      <c r="BN140" s="9">
        <f>IF(62&lt;=核心参数输入!$B$9*4,IF(核心参数输入!$B$96=2,BN133-BN133/(1+核心参数输入!$B$119),0),0)</f>
        <v>0</v>
      </c>
      <c r="BO140" s="9">
        <f>IF(63&lt;=核心参数输入!$B$9*4,IF(核心参数输入!$B$96=2,BO133-BO133/(1+核心参数输入!$B$119),0),0)</f>
        <v>0</v>
      </c>
      <c r="BP140" s="9">
        <f>IF(64&lt;=核心参数输入!$B$9*4,IF(核心参数输入!$B$96=2,BP133-BP133/(1+核心参数输入!$B$119),0),0)</f>
        <v>0</v>
      </c>
      <c r="BQ140" s="9">
        <f>IF(65&lt;=核心参数输入!$B$9*4,IF(核心参数输入!$B$96=2,BQ133-BQ133/(1+核心参数输入!$B$119),0),0)</f>
        <v>0</v>
      </c>
      <c r="BR140" s="9">
        <f>IF(66&lt;=核心参数输入!$B$9*4,IF(核心参数输入!$B$96=2,BR133-BR133/(1+核心参数输入!$B$119),0),0)</f>
        <v>0</v>
      </c>
      <c r="BS140" s="9">
        <f>IF(67&lt;=核心参数输入!$B$9*4,IF(核心参数输入!$B$96=2,BS133-BS133/(1+核心参数输入!$B$119),0),0)</f>
        <v>0</v>
      </c>
      <c r="BT140" s="9">
        <f>IF(68&lt;=核心参数输入!$B$9*4,IF(核心参数输入!$B$96=2,BT133-BT133/(1+核心参数输入!$B$119),0),0)</f>
        <v>0</v>
      </c>
      <c r="BU140" s="9">
        <f>IF(69&lt;=核心参数输入!$B$9*4,IF(核心参数输入!$B$96=2,BU133-BU133/(1+核心参数输入!$B$119),0),0)</f>
        <v>0</v>
      </c>
      <c r="BV140" s="9">
        <f>IF(70&lt;=核心参数输入!$B$9*4,IF(核心参数输入!$B$96=2,BV133-BV133/(1+核心参数输入!$B$119),0),0)</f>
        <v>0</v>
      </c>
      <c r="BW140" s="9">
        <f>IF(71&lt;=核心参数输入!$B$9*4,IF(核心参数输入!$B$96=2,BW133-BW133/(1+核心参数输入!$B$119),0),0)</f>
        <v>0</v>
      </c>
      <c r="BX140" s="9">
        <f>IF(72&lt;=核心参数输入!$B$9*4,IF(核心参数输入!$B$96=2,BX133-BX133/(1+核心参数输入!$B$119),0),0)</f>
        <v>0</v>
      </c>
      <c r="BY140" s="9">
        <f>IF(73&lt;=核心参数输入!$B$9*4,IF(核心参数输入!$B$96=2,BY133-BY133/(1+核心参数输入!$B$119),0),0)</f>
        <v>0</v>
      </c>
      <c r="BZ140" s="9">
        <f>IF(74&lt;=核心参数输入!$B$9*4,IF(核心参数输入!$B$96=2,BZ133-BZ133/(1+核心参数输入!$B$119),0),0)</f>
        <v>0</v>
      </c>
      <c r="CA140" s="9">
        <f>IF(75&lt;=核心参数输入!$B$9*4,IF(核心参数输入!$B$96=2,CA133-CA133/(1+核心参数输入!$B$119),0),0)</f>
        <v>0</v>
      </c>
      <c r="CB140" s="9">
        <f>IF(76&lt;=核心参数输入!$B$9*4,IF(核心参数输入!$B$96=2,CB133-CB133/(1+核心参数输入!$B$119),0),0)</f>
        <v>0</v>
      </c>
      <c r="CC140" s="9">
        <f>IF(77&lt;=核心参数输入!$B$9*4,IF(核心参数输入!$B$96=2,CC133-CC133/(1+核心参数输入!$B$119),0),0)</f>
        <v>0</v>
      </c>
      <c r="CD140" s="9">
        <f>IF(78&lt;=核心参数输入!$B$9*4,IF(核心参数输入!$B$96=2,CD133-CD133/(1+核心参数输入!$B$119),0),0)</f>
        <v>0</v>
      </c>
      <c r="CE140" s="9">
        <f>IF(79&lt;=核心参数输入!$B$9*4,IF(核心参数输入!$B$96=2,CE133-CE133/(1+核心参数输入!$B$119),0),0)</f>
        <v>0</v>
      </c>
      <c r="CF140" s="9">
        <f>IF(80&lt;=核心参数输入!$B$9*4,IF(核心参数输入!$B$96=2,CF133-CF133/(1+核心参数输入!$B$119),0),0)</f>
        <v>0</v>
      </c>
      <c r="CG140" s="9">
        <f>IF(81&lt;=核心参数输入!$B$9*4,IF(核心参数输入!$B$96=2,CG133-CG133/(1+核心参数输入!$B$119),0),0)</f>
        <v>0</v>
      </c>
      <c r="CH140" s="9">
        <f>IF(82&lt;=核心参数输入!$B$9*4,IF(核心参数输入!$B$96=2,CH133-CH133/(1+核心参数输入!$B$119),0),0)</f>
        <v>0</v>
      </c>
      <c r="CI140" s="9">
        <f>IF(83&lt;=核心参数输入!$B$9*4,IF(核心参数输入!$B$96=2,CI133-CI133/(1+核心参数输入!$B$119),0),0)</f>
        <v>0</v>
      </c>
      <c r="CJ140" s="9">
        <f>IF(84&lt;=核心参数输入!$B$9*4,IF(核心参数输入!$B$96=2,CJ133-CJ133/(1+核心参数输入!$B$119),0),0)</f>
        <v>0</v>
      </c>
      <c r="CK140" s="9">
        <f>IF(85&lt;=核心参数输入!$B$9*4,IF(核心参数输入!$B$96=2,CK133-CK133/(1+核心参数输入!$B$119),0),0)</f>
        <v>0</v>
      </c>
      <c r="CL140" s="9">
        <f>IF(86&lt;=核心参数输入!$B$9*4,IF(核心参数输入!$B$96=2,CL133-CL133/(1+核心参数输入!$B$119),0),0)</f>
        <v>0</v>
      </c>
      <c r="CM140" s="9">
        <f>IF(87&lt;=核心参数输入!$B$9*4,IF(核心参数输入!$B$96=2,CM133-CM133/(1+核心参数输入!$B$119),0),0)</f>
        <v>0</v>
      </c>
      <c r="CN140" s="9">
        <f>IF(88&lt;=核心参数输入!$B$9*4,IF(核心参数输入!$B$96=2,CN133-CN133/(1+核心参数输入!$B$119),0),0)</f>
        <v>0</v>
      </c>
      <c r="CO140" s="9">
        <f>IF(89&lt;=核心参数输入!$B$9*4,IF(核心参数输入!$B$96=2,CO133-CO133/(1+核心参数输入!$B$119),0),0)</f>
        <v>0</v>
      </c>
      <c r="CP140" s="9">
        <f>IF(90&lt;=核心参数输入!$B$9*4,IF(核心参数输入!$B$96=2,CP133-CP133/(1+核心参数输入!$B$119),0),0)</f>
        <v>0</v>
      </c>
      <c r="CQ140" s="9">
        <f>IF(91&lt;=核心参数输入!$B$9*4,IF(核心参数输入!$B$96=2,CQ133-CQ133/(1+核心参数输入!$B$119),0),0)</f>
        <v>0</v>
      </c>
      <c r="CR140" s="9">
        <f>IF(92&lt;=核心参数输入!$B$9*4,IF(核心参数输入!$B$96=2,CR133-CR133/(1+核心参数输入!$B$119),0),0)</f>
        <v>0</v>
      </c>
      <c r="CS140" s="9">
        <f>IF(93&lt;=核心参数输入!$B$9*4,IF(核心参数输入!$B$96=2,CS133-CS133/(1+核心参数输入!$B$119),0),0)</f>
        <v>0</v>
      </c>
      <c r="CT140" s="9">
        <f>IF(94&lt;=核心参数输入!$B$9*4,IF(核心参数输入!$B$96=2,CT133-CT133/(1+核心参数输入!$B$119),0),0)</f>
        <v>0</v>
      </c>
      <c r="CU140" s="9">
        <f>IF(95&lt;=核心参数输入!$B$9*4,IF(核心参数输入!$B$96=2,CU133-CU133/(1+核心参数输入!$B$119),0),0)</f>
        <v>0</v>
      </c>
      <c r="CV140" s="9">
        <f>IF(96&lt;=核心参数输入!$B$9*4,IF(核心参数输入!$B$96=2,CV133-CV133/(1+核心参数输入!$B$119),0),0)</f>
        <v>0</v>
      </c>
      <c r="CW140" s="9">
        <f>IF(97&lt;=核心参数输入!$B$9*4,IF(核心参数输入!$B$96=2,CW133-CW133/(1+核心参数输入!$B$119),0),0)</f>
        <v>0</v>
      </c>
      <c r="CX140" s="9">
        <f>IF(98&lt;=核心参数输入!$B$9*4,IF(核心参数输入!$B$96=2,CX133-CX133/(1+核心参数输入!$B$119),0),0)</f>
        <v>0</v>
      </c>
      <c r="CY140" s="9">
        <f>IF(99&lt;=核心参数输入!$B$9*4,IF(核心参数输入!$B$96=2,CY133-CY133/(1+核心参数输入!$B$119),0),0)</f>
        <v>0</v>
      </c>
      <c r="CZ140" s="9">
        <f>IF(100&lt;=核心参数输入!$B$9*4,IF(核心参数输入!$B$96=2,CZ133-CZ133/(1+核心参数输入!$B$119),0),0)</f>
        <v>0</v>
      </c>
      <c r="DA140" s="9">
        <f>IF(101&lt;=核心参数输入!$B$9*4,IF(核心参数输入!$B$96=2,DA133-DA133/(1+核心参数输入!$B$119),0),0)</f>
        <v>0</v>
      </c>
      <c r="DB140" s="9">
        <f>IF(102&lt;=核心参数输入!$B$9*4,IF(核心参数输入!$B$96=2,DB133-DB133/(1+核心参数输入!$B$119),0),0)</f>
        <v>0</v>
      </c>
      <c r="DC140" s="9">
        <f>IF(103&lt;=核心参数输入!$B$9*4,IF(核心参数输入!$B$96=2,DC133-DC133/(1+核心参数输入!$B$119),0),0)</f>
        <v>0</v>
      </c>
      <c r="DD140" s="9">
        <f>IF(104&lt;=核心参数输入!$B$9*4,IF(核心参数输入!$B$96=2,DD133-DD133/(1+核心参数输入!$B$119),0),0)</f>
        <v>0</v>
      </c>
      <c r="DE140" s="9">
        <f>IF(105&lt;=核心参数输入!$B$9*4,IF(核心参数输入!$B$96=2,DE133-DE133/(1+核心参数输入!$B$119),0),0)</f>
        <v>0</v>
      </c>
      <c r="DF140" s="9">
        <f>IF(106&lt;=核心参数输入!$B$9*4,IF(核心参数输入!$B$96=2,DF133-DF133/(1+核心参数输入!$B$119),0),0)</f>
        <v>0</v>
      </c>
      <c r="DG140" s="9">
        <f>IF(107&lt;=核心参数输入!$B$9*4,IF(核心参数输入!$B$96=2,DG133-DG133/(1+核心参数输入!$B$119),0),0)</f>
        <v>0</v>
      </c>
      <c r="DH140" s="9">
        <f>IF(108&lt;=核心参数输入!$B$9*4,IF(核心参数输入!$B$96=2,DH133-DH133/(1+核心参数输入!$B$119),0),0)</f>
        <v>0</v>
      </c>
      <c r="DI140" s="9">
        <f>IF(109&lt;=核心参数输入!$B$9*4,IF(核心参数输入!$B$96=2,DI133-DI133/(1+核心参数输入!$B$119),0),0)</f>
        <v>0</v>
      </c>
      <c r="DJ140" s="9">
        <f>IF(110&lt;=核心参数输入!$B$9*4,IF(核心参数输入!$B$96=2,DJ133-DJ133/(1+核心参数输入!$B$119),0),0)</f>
        <v>0</v>
      </c>
      <c r="DK140" s="9">
        <f>IF(111&lt;=核心参数输入!$B$9*4,IF(核心参数输入!$B$96=2,DK133-DK133/(1+核心参数输入!$B$119),0),0)</f>
        <v>0</v>
      </c>
      <c r="DL140" s="9">
        <f>IF(112&lt;=核心参数输入!$B$9*4,IF(核心参数输入!$B$96=2,DL133-DL133/(1+核心参数输入!$B$119),0),0)</f>
        <v>0</v>
      </c>
      <c r="DM140" s="9">
        <f>IF(113&lt;=核心参数输入!$B$9*4,IF(核心参数输入!$B$96=2,DM133-DM133/(1+核心参数输入!$B$119),0),0)</f>
        <v>0</v>
      </c>
      <c r="DN140" s="9">
        <f>IF(114&lt;=核心参数输入!$B$9*4,IF(核心参数输入!$B$96=2,DN133-DN133/(1+核心参数输入!$B$119),0),0)</f>
        <v>0</v>
      </c>
      <c r="DO140" s="9">
        <f>IF(115&lt;=核心参数输入!$B$9*4,IF(核心参数输入!$B$96=2,DO133-DO133/(1+核心参数输入!$B$119),0),0)</f>
        <v>0</v>
      </c>
      <c r="DP140" s="9">
        <f>IF(116&lt;=核心参数输入!$B$9*4,IF(核心参数输入!$B$96=2,DP133-DP133/(1+核心参数输入!$B$119),0),0)</f>
        <v>0</v>
      </c>
      <c r="DQ140" s="9">
        <f>IF(117&lt;=核心参数输入!$B$9*4,IF(核心参数输入!$B$96=2,DQ133-DQ133/(1+核心参数输入!$B$119),0),0)</f>
        <v>0</v>
      </c>
      <c r="DR140" s="9">
        <f>IF(118&lt;=核心参数输入!$B$9*4,IF(核心参数输入!$B$96=2,DR133-DR133/(1+核心参数输入!$B$119),0),0)</f>
        <v>0</v>
      </c>
      <c r="DS140" s="9">
        <f>IF(119&lt;=核心参数输入!$B$9*4,IF(核心参数输入!$B$96=2,DS133-DS133/(1+核心参数输入!$B$119),0),0)</f>
        <v>0</v>
      </c>
      <c r="DT140" s="9">
        <f>IF(120&lt;=核心参数输入!$B$9*4,IF(核心参数输入!$B$96=2,DT133-DT133/(1+核心参数输入!$B$119),0),0)</f>
        <v>0</v>
      </c>
    </row>
    <row r="141" spans="1:124" ht="21" customHeight="1">
      <c r="A141" s="8" t="s">
        <v>465</v>
      </c>
      <c r="B141" s="8" t="s">
        <v>39</v>
      </c>
      <c r="C141" s="8"/>
      <c r="D141" s="9">
        <f>IF(0&lt;=核心参数输入!$B$9*4,IF(核心参数输入!$B$96=2,D137-D137/(1+核心参数输入!$B$119),0),0)</f>
        <v>0</v>
      </c>
      <c r="E141" s="9">
        <f>IF(1&lt;=核心参数输入!$B$9*4,IF(核心参数输入!$B$96=2,E137-E137/(1+核心参数输入!$B$119),0),0)</f>
        <v>0</v>
      </c>
      <c r="F141" s="9">
        <f>IF(2&lt;=核心参数输入!$B$9*4,IF(核心参数输入!$B$96=2,F137-F137/(1+核心参数输入!$B$119),0),0)</f>
        <v>0</v>
      </c>
      <c r="G141" s="9">
        <f>IF(3&lt;=核心参数输入!$B$9*4,IF(核心参数输入!$B$96=2,G137-G137/(1+核心参数输入!$B$119),0),0)</f>
        <v>0</v>
      </c>
      <c r="H141" s="9">
        <f>IF(4&lt;=核心参数输入!$B$9*4,IF(核心参数输入!$B$96=2,H137-H137/(1+核心参数输入!$B$119),0),0)</f>
        <v>0</v>
      </c>
      <c r="I141" s="9">
        <f>IF(5&lt;=核心参数输入!$B$9*4,IF(核心参数输入!$B$96=2,I137-I137/(1+核心参数输入!$B$119),0),0)</f>
        <v>0</v>
      </c>
      <c r="J141" s="9">
        <f>IF(6&lt;=核心参数输入!$B$9*4,IF(核心参数输入!$B$96=2,J137-J137/(1+核心参数输入!$B$119),0),0)</f>
        <v>0</v>
      </c>
      <c r="K141" s="9">
        <f>IF(7&lt;=核心参数输入!$B$9*4,IF(核心参数输入!$B$96=2,K137-K137/(1+核心参数输入!$B$119),0),0)</f>
        <v>0</v>
      </c>
      <c r="L141" s="9">
        <f>IF(8&lt;=核心参数输入!$B$9*4,IF(核心参数输入!$B$96=2,L137-L137/(1+核心参数输入!$B$119),0),0)</f>
        <v>0</v>
      </c>
      <c r="M141" s="9">
        <f>IF(9&lt;=核心参数输入!$B$9*4,IF(核心参数输入!$B$96=2,M137-M137/(1+核心参数输入!$B$119),0),0)</f>
        <v>0</v>
      </c>
      <c r="N141" s="9">
        <f>IF(10&lt;=核心参数输入!$B$9*4,IF(核心参数输入!$B$96=2,N137-N137/(1+核心参数输入!$B$119),0),0)</f>
        <v>0</v>
      </c>
      <c r="O141" s="9">
        <f>IF(11&lt;=核心参数输入!$B$9*4,IF(核心参数输入!$B$96=2,O137-O137/(1+核心参数输入!$B$119),0),0)</f>
        <v>0</v>
      </c>
      <c r="P141" s="9">
        <f>IF(12&lt;=核心参数输入!$B$9*4,IF(核心参数输入!$B$96=2,P137-P137/(1+核心参数输入!$B$119),0),0)</f>
        <v>0</v>
      </c>
      <c r="Q141" s="9">
        <f>IF(13&lt;=核心参数输入!$B$9*4,IF(核心参数输入!$B$96=2,Q137-Q137/(1+核心参数输入!$B$119),0),0)</f>
        <v>0</v>
      </c>
      <c r="R141" s="9">
        <f>IF(14&lt;=核心参数输入!$B$9*4,IF(核心参数输入!$B$96=2,R137-R137/(1+核心参数输入!$B$119),0),0)</f>
        <v>0</v>
      </c>
      <c r="S141" s="9">
        <f>IF(15&lt;=核心参数输入!$B$9*4,IF(核心参数输入!$B$96=2,S137-S137/(1+核心参数输入!$B$119),0),0)</f>
        <v>0</v>
      </c>
      <c r="T141" s="9">
        <f>IF(16&lt;=核心参数输入!$B$9*4,IF(核心参数输入!$B$96=2,T137-T137/(1+核心参数输入!$B$119),0),0)</f>
        <v>0</v>
      </c>
      <c r="U141" s="9">
        <f>IF(17&lt;=核心参数输入!$B$9*4,IF(核心参数输入!$B$96=2,U137-U137/(1+核心参数输入!$B$119),0),0)</f>
        <v>0</v>
      </c>
      <c r="V141" s="9">
        <f>IF(18&lt;=核心参数输入!$B$9*4,IF(核心参数输入!$B$96=2,V137-V137/(1+核心参数输入!$B$119),0),0)</f>
        <v>0</v>
      </c>
      <c r="W141" s="9">
        <f>IF(19&lt;=核心参数输入!$B$9*4,IF(核心参数输入!$B$96=2,W137-W137/(1+核心参数输入!$B$119),0),0)</f>
        <v>0</v>
      </c>
      <c r="X141" s="9">
        <f>IF(20&lt;=核心参数输入!$B$9*4,IF(核心参数输入!$B$96=2,X137-X137/(1+核心参数输入!$B$119),0),0)</f>
        <v>0</v>
      </c>
      <c r="Y141" s="9">
        <f>IF(21&lt;=核心参数输入!$B$9*4,IF(核心参数输入!$B$96=2,Y137-Y137/(1+核心参数输入!$B$119),0),0)</f>
        <v>0</v>
      </c>
      <c r="Z141" s="9">
        <f>IF(22&lt;=核心参数输入!$B$9*4,IF(核心参数输入!$B$96=2,Z137-Z137/(1+核心参数输入!$B$119),0),0)</f>
        <v>0</v>
      </c>
      <c r="AA141" s="9">
        <f>IF(23&lt;=核心参数输入!$B$9*4,IF(核心参数输入!$B$96=2,AA137-AA137/(1+核心参数输入!$B$119),0),0)</f>
        <v>0</v>
      </c>
      <c r="AB141" s="9">
        <f>IF(24&lt;=核心参数输入!$B$9*4,IF(核心参数输入!$B$96=2,AB137-AB137/(1+核心参数输入!$B$119),0),0)</f>
        <v>0</v>
      </c>
      <c r="AC141" s="9">
        <f>IF(25&lt;=核心参数输入!$B$9*4,IF(核心参数输入!$B$96=2,AC137-AC137/(1+核心参数输入!$B$119),0),0)</f>
        <v>0</v>
      </c>
      <c r="AD141" s="9">
        <f>IF(26&lt;=核心参数输入!$B$9*4,IF(核心参数输入!$B$96=2,AD137-AD137/(1+核心参数输入!$B$119),0),0)</f>
        <v>0</v>
      </c>
      <c r="AE141" s="9">
        <f>IF(27&lt;=核心参数输入!$B$9*4,IF(核心参数输入!$B$96=2,AE137-AE137/(1+核心参数输入!$B$119),0),0)</f>
        <v>0</v>
      </c>
      <c r="AF141" s="9">
        <f>IF(28&lt;=核心参数输入!$B$9*4,IF(核心参数输入!$B$96=2,AF137-AF137/(1+核心参数输入!$B$119),0),0)</f>
        <v>0</v>
      </c>
      <c r="AG141" s="9">
        <f>IF(29&lt;=核心参数输入!$B$9*4,IF(核心参数输入!$B$96=2,AG137-AG137/(1+核心参数输入!$B$119),0),0)</f>
        <v>0</v>
      </c>
      <c r="AH141" s="9">
        <f>IF(30&lt;=核心参数输入!$B$9*4,IF(核心参数输入!$B$96=2,AH137-AH137/(1+核心参数输入!$B$119),0),0)</f>
        <v>0</v>
      </c>
      <c r="AI141" s="9">
        <f>IF(31&lt;=核心参数输入!$B$9*4,IF(核心参数输入!$B$96=2,AI137-AI137/(1+核心参数输入!$B$119),0),0)</f>
        <v>0</v>
      </c>
      <c r="AJ141" s="9">
        <f>IF(32&lt;=核心参数输入!$B$9*4,IF(核心参数输入!$B$96=2,AJ137-AJ137/(1+核心参数输入!$B$119),0),0)</f>
        <v>0</v>
      </c>
      <c r="AK141" s="9">
        <f>IF(33&lt;=核心参数输入!$B$9*4,IF(核心参数输入!$B$96=2,AK137-AK137/(1+核心参数输入!$B$119),0),0)</f>
        <v>0</v>
      </c>
      <c r="AL141" s="9">
        <f>IF(34&lt;=核心参数输入!$B$9*4,IF(核心参数输入!$B$96=2,AL137-AL137/(1+核心参数输入!$B$119),0),0)</f>
        <v>0</v>
      </c>
      <c r="AM141" s="9">
        <f>IF(35&lt;=核心参数输入!$B$9*4,IF(核心参数输入!$B$96=2,AM137-AM137/(1+核心参数输入!$B$119),0),0)</f>
        <v>0</v>
      </c>
      <c r="AN141" s="9">
        <f>IF(36&lt;=核心参数输入!$B$9*4,IF(核心参数输入!$B$96=2,AN137-AN137/(1+核心参数输入!$B$119),0),0)</f>
        <v>0</v>
      </c>
      <c r="AO141" s="9">
        <f>IF(37&lt;=核心参数输入!$B$9*4,IF(核心参数输入!$B$96=2,AO137-AO137/(1+核心参数输入!$B$119),0),0)</f>
        <v>0</v>
      </c>
      <c r="AP141" s="9">
        <f>IF(38&lt;=核心参数输入!$B$9*4,IF(核心参数输入!$B$96=2,AP137-AP137/(1+核心参数输入!$B$119),0),0)</f>
        <v>0</v>
      </c>
      <c r="AQ141" s="9">
        <f>IF(39&lt;=核心参数输入!$B$9*4,IF(核心参数输入!$B$96=2,AQ137-AQ137/(1+核心参数输入!$B$119),0),0)</f>
        <v>0</v>
      </c>
      <c r="AR141" s="9">
        <f>IF(40&lt;=核心参数输入!$B$9*4,IF(核心参数输入!$B$96=2,AR137-AR137/(1+核心参数输入!$B$119),0),0)</f>
        <v>0</v>
      </c>
      <c r="AS141" s="9">
        <f>IF(41&lt;=核心参数输入!$B$9*4,IF(核心参数输入!$B$96=2,AS137-AS137/(1+核心参数输入!$B$119),0),0)</f>
        <v>0</v>
      </c>
      <c r="AT141" s="9">
        <f>IF(42&lt;=核心参数输入!$B$9*4,IF(核心参数输入!$B$96=2,AT137-AT137/(1+核心参数输入!$B$119),0),0)</f>
        <v>0</v>
      </c>
      <c r="AU141" s="9">
        <f>IF(43&lt;=核心参数输入!$B$9*4,IF(核心参数输入!$B$96=2,AU137-AU137/(1+核心参数输入!$B$119),0),0)</f>
        <v>0</v>
      </c>
      <c r="AV141" s="9">
        <f>IF(44&lt;=核心参数输入!$B$9*4,IF(核心参数输入!$B$96=2,AV137-AV137/(1+核心参数输入!$B$119),0),0)</f>
        <v>0</v>
      </c>
      <c r="AW141" s="9">
        <f>IF(45&lt;=核心参数输入!$B$9*4,IF(核心参数输入!$B$96=2,AW137-AW137/(1+核心参数输入!$B$119),0),0)</f>
        <v>0</v>
      </c>
      <c r="AX141" s="9">
        <f>IF(46&lt;=核心参数输入!$B$9*4,IF(核心参数输入!$B$96=2,AX137-AX137/(1+核心参数输入!$B$119),0),0)</f>
        <v>0</v>
      </c>
      <c r="AY141" s="9">
        <f>IF(47&lt;=核心参数输入!$B$9*4,IF(核心参数输入!$B$96=2,AY137-AY137/(1+核心参数输入!$B$119),0),0)</f>
        <v>0</v>
      </c>
      <c r="AZ141" s="9">
        <f>IF(48&lt;=核心参数输入!$B$9*4,IF(核心参数输入!$B$96=2,AZ137-AZ137/(1+核心参数输入!$B$119),0),0)</f>
        <v>0</v>
      </c>
      <c r="BA141" s="9">
        <f>IF(49&lt;=核心参数输入!$B$9*4,IF(核心参数输入!$B$96=2,BA137-BA137/(1+核心参数输入!$B$119),0),0)</f>
        <v>0</v>
      </c>
      <c r="BB141" s="9">
        <f>IF(50&lt;=核心参数输入!$B$9*4,IF(核心参数输入!$B$96=2,BB137-BB137/(1+核心参数输入!$B$119),0),0)</f>
        <v>0</v>
      </c>
      <c r="BC141" s="9">
        <f>IF(51&lt;=核心参数输入!$B$9*4,IF(核心参数输入!$B$96=2,BC137-BC137/(1+核心参数输入!$B$119),0),0)</f>
        <v>0</v>
      </c>
      <c r="BD141" s="9">
        <f>IF(52&lt;=核心参数输入!$B$9*4,IF(核心参数输入!$B$96=2,BD137-BD137/(1+核心参数输入!$B$119),0),0)</f>
        <v>0</v>
      </c>
      <c r="BE141" s="9">
        <f>IF(53&lt;=核心参数输入!$B$9*4,IF(核心参数输入!$B$96=2,BE137-BE137/(1+核心参数输入!$B$119),0),0)</f>
        <v>0</v>
      </c>
      <c r="BF141" s="9">
        <f>IF(54&lt;=核心参数输入!$B$9*4,IF(核心参数输入!$B$96=2,BF137-BF137/(1+核心参数输入!$B$119),0),0)</f>
        <v>0</v>
      </c>
      <c r="BG141" s="9">
        <f>IF(55&lt;=核心参数输入!$B$9*4,IF(核心参数输入!$B$96=2,BG137-BG137/(1+核心参数输入!$B$119),0),0)</f>
        <v>0</v>
      </c>
      <c r="BH141" s="9">
        <f>IF(56&lt;=核心参数输入!$B$9*4,IF(核心参数输入!$B$96=2,BH137-BH137/(1+核心参数输入!$B$119),0),0)</f>
        <v>0</v>
      </c>
      <c r="BI141" s="9">
        <f>IF(57&lt;=核心参数输入!$B$9*4,IF(核心参数输入!$B$96=2,BI137-BI137/(1+核心参数输入!$B$119),0),0)</f>
        <v>0</v>
      </c>
      <c r="BJ141" s="9">
        <f>IF(58&lt;=核心参数输入!$B$9*4,IF(核心参数输入!$B$96=2,BJ137-BJ137/(1+核心参数输入!$B$119),0),0)</f>
        <v>0</v>
      </c>
      <c r="BK141" s="9">
        <f>IF(59&lt;=核心参数输入!$B$9*4,IF(核心参数输入!$B$96=2,BK137-BK137/(1+核心参数输入!$B$119),0),0)</f>
        <v>0</v>
      </c>
      <c r="BL141" s="9">
        <f>IF(60&lt;=核心参数输入!$B$9*4,IF(核心参数输入!$B$96=2,BL137-BL137/(1+核心参数输入!$B$119),0),0)</f>
        <v>0</v>
      </c>
      <c r="BM141" s="9">
        <f>IF(61&lt;=核心参数输入!$B$9*4,IF(核心参数输入!$B$96=2,BM137-BM137/(1+核心参数输入!$B$119),0),0)</f>
        <v>0</v>
      </c>
      <c r="BN141" s="9">
        <f>IF(62&lt;=核心参数输入!$B$9*4,IF(核心参数输入!$B$96=2,BN137-BN137/(1+核心参数输入!$B$119),0),0)</f>
        <v>0</v>
      </c>
      <c r="BO141" s="9">
        <f>IF(63&lt;=核心参数输入!$B$9*4,IF(核心参数输入!$B$96=2,BO137-BO137/(1+核心参数输入!$B$119),0),0)</f>
        <v>0</v>
      </c>
      <c r="BP141" s="9">
        <f>IF(64&lt;=核心参数输入!$B$9*4,IF(核心参数输入!$B$96=2,BP137-BP137/(1+核心参数输入!$B$119),0),0)</f>
        <v>0</v>
      </c>
      <c r="BQ141" s="9">
        <f>IF(65&lt;=核心参数输入!$B$9*4,IF(核心参数输入!$B$96=2,BQ137-BQ137/(1+核心参数输入!$B$119),0),0)</f>
        <v>0</v>
      </c>
      <c r="BR141" s="9">
        <f>IF(66&lt;=核心参数输入!$B$9*4,IF(核心参数输入!$B$96=2,BR137-BR137/(1+核心参数输入!$B$119),0),0)</f>
        <v>0</v>
      </c>
      <c r="BS141" s="9">
        <f>IF(67&lt;=核心参数输入!$B$9*4,IF(核心参数输入!$B$96=2,BS137-BS137/(1+核心参数输入!$B$119),0),0)</f>
        <v>0</v>
      </c>
      <c r="BT141" s="9">
        <f>IF(68&lt;=核心参数输入!$B$9*4,IF(核心参数输入!$B$96=2,BT137-BT137/(1+核心参数输入!$B$119),0),0)</f>
        <v>0</v>
      </c>
      <c r="BU141" s="9">
        <f>IF(69&lt;=核心参数输入!$B$9*4,IF(核心参数输入!$B$96=2,BU137-BU137/(1+核心参数输入!$B$119),0),0)</f>
        <v>0</v>
      </c>
      <c r="BV141" s="9">
        <f>IF(70&lt;=核心参数输入!$B$9*4,IF(核心参数输入!$B$96=2,BV137-BV137/(1+核心参数输入!$B$119),0),0)</f>
        <v>0</v>
      </c>
      <c r="BW141" s="9">
        <f>IF(71&lt;=核心参数输入!$B$9*4,IF(核心参数输入!$B$96=2,BW137-BW137/(1+核心参数输入!$B$119),0),0)</f>
        <v>0</v>
      </c>
      <c r="BX141" s="9">
        <f>IF(72&lt;=核心参数输入!$B$9*4,IF(核心参数输入!$B$96=2,BX137-BX137/(1+核心参数输入!$B$119),0),0)</f>
        <v>0</v>
      </c>
      <c r="BY141" s="9">
        <f>IF(73&lt;=核心参数输入!$B$9*4,IF(核心参数输入!$B$96=2,BY137-BY137/(1+核心参数输入!$B$119),0),0)</f>
        <v>0</v>
      </c>
      <c r="BZ141" s="9">
        <f>IF(74&lt;=核心参数输入!$B$9*4,IF(核心参数输入!$B$96=2,BZ137-BZ137/(1+核心参数输入!$B$119),0),0)</f>
        <v>0</v>
      </c>
      <c r="CA141" s="9">
        <f>IF(75&lt;=核心参数输入!$B$9*4,IF(核心参数输入!$B$96=2,CA137-CA137/(1+核心参数输入!$B$119),0),0)</f>
        <v>0</v>
      </c>
      <c r="CB141" s="9">
        <f>IF(76&lt;=核心参数输入!$B$9*4,IF(核心参数输入!$B$96=2,CB137-CB137/(1+核心参数输入!$B$119),0),0)</f>
        <v>0</v>
      </c>
      <c r="CC141" s="9">
        <f>IF(77&lt;=核心参数输入!$B$9*4,IF(核心参数输入!$B$96=2,CC137-CC137/(1+核心参数输入!$B$119),0),0)</f>
        <v>0</v>
      </c>
      <c r="CD141" s="9">
        <f>IF(78&lt;=核心参数输入!$B$9*4,IF(核心参数输入!$B$96=2,CD137-CD137/(1+核心参数输入!$B$119),0),0)</f>
        <v>0</v>
      </c>
      <c r="CE141" s="9">
        <f>IF(79&lt;=核心参数输入!$B$9*4,IF(核心参数输入!$B$96=2,CE137-CE137/(1+核心参数输入!$B$119),0),0)</f>
        <v>0</v>
      </c>
      <c r="CF141" s="9">
        <f>IF(80&lt;=核心参数输入!$B$9*4,IF(核心参数输入!$B$96=2,CF137-CF137/(1+核心参数输入!$B$119),0),0)</f>
        <v>0</v>
      </c>
      <c r="CG141" s="9">
        <f>IF(81&lt;=核心参数输入!$B$9*4,IF(核心参数输入!$B$96=2,CG137-CG137/(1+核心参数输入!$B$119),0),0)</f>
        <v>0</v>
      </c>
      <c r="CH141" s="9">
        <f>IF(82&lt;=核心参数输入!$B$9*4,IF(核心参数输入!$B$96=2,CH137-CH137/(1+核心参数输入!$B$119),0),0)</f>
        <v>0</v>
      </c>
      <c r="CI141" s="9">
        <f>IF(83&lt;=核心参数输入!$B$9*4,IF(核心参数输入!$B$96=2,CI137-CI137/(1+核心参数输入!$B$119),0),0)</f>
        <v>0</v>
      </c>
      <c r="CJ141" s="9">
        <f>IF(84&lt;=核心参数输入!$B$9*4,IF(核心参数输入!$B$96=2,CJ137-CJ137/(1+核心参数输入!$B$119),0),0)</f>
        <v>0</v>
      </c>
      <c r="CK141" s="9">
        <f>IF(85&lt;=核心参数输入!$B$9*4,IF(核心参数输入!$B$96=2,CK137-CK137/(1+核心参数输入!$B$119),0),0)</f>
        <v>0</v>
      </c>
      <c r="CL141" s="9">
        <f>IF(86&lt;=核心参数输入!$B$9*4,IF(核心参数输入!$B$96=2,CL137-CL137/(1+核心参数输入!$B$119),0),0)</f>
        <v>0</v>
      </c>
      <c r="CM141" s="9">
        <f>IF(87&lt;=核心参数输入!$B$9*4,IF(核心参数输入!$B$96=2,CM137-CM137/(1+核心参数输入!$B$119),0),0)</f>
        <v>0</v>
      </c>
      <c r="CN141" s="9">
        <f>IF(88&lt;=核心参数输入!$B$9*4,IF(核心参数输入!$B$96=2,CN137-CN137/(1+核心参数输入!$B$119),0),0)</f>
        <v>0</v>
      </c>
      <c r="CO141" s="9">
        <f>IF(89&lt;=核心参数输入!$B$9*4,IF(核心参数输入!$B$96=2,CO137-CO137/(1+核心参数输入!$B$119),0),0)</f>
        <v>0</v>
      </c>
      <c r="CP141" s="9">
        <f>IF(90&lt;=核心参数输入!$B$9*4,IF(核心参数输入!$B$96=2,CP137-CP137/(1+核心参数输入!$B$119),0),0)</f>
        <v>0</v>
      </c>
      <c r="CQ141" s="9">
        <f>IF(91&lt;=核心参数输入!$B$9*4,IF(核心参数输入!$B$96=2,CQ137-CQ137/(1+核心参数输入!$B$119),0),0)</f>
        <v>0</v>
      </c>
      <c r="CR141" s="9">
        <f>IF(92&lt;=核心参数输入!$B$9*4,IF(核心参数输入!$B$96=2,CR137-CR137/(1+核心参数输入!$B$119),0),0)</f>
        <v>0</v>
      </c>
      <c r="CS141" s="9">
        <f>IF(93&lt;=核心参数输入!$B$9*4,IF(核心参数输入!$B$96=2,CS137-CS137/(1+核心参数输入!$B$119),0),0)</f>
        <v>0</v>
      </c>
      <c r="CT141" s="9">
        <f>IF(94&lt;=核心参数输入!$B$9*4,IF(核心参数输入!$B$96=2,CT137-CT137/(1+核心参数输入!$B$119),0),0)</f>
        <v>0</v>
      </c>
      <c r="CU141" s="9">
        <f>IF(95&lt;=核心参数输入!$B$9*4,IF(核心参数输入!$B$96=2,CU137-CU137/(1+核心参数输入!$B$119),0),0)</f>
        <v>0</v>
      </c>
      <c r="CV141" s="9">
        <f>IF(96&lt;=核心参数输入!$B$9*4,IF(核心参数输入!$B$96=2,CV137-CV137/(1+核心参数输入!$B$119),0),0)</f>
        <v>0</v>
      </c>
      <c r="CW141" s="9">
        <f>IF(97&lt;=核心参数输入!$B$9*4,IF(核心参数输入!$B$96=2,CW137-CW137/(1+核心参数输入!$B$119),0),0)</f>
        <v>0</v>
      </c>
      <c r="CX141" s="9">
        <f>IF(98&lt;=核心参数输入!$B$9*4,IF(核心参数输入!$B$96=2,CX137-CX137/(1+核心参数输入!$B$119),0),0)</f>
        <v>0</v>
      </c>
      <c r="CY141" s="9">
        <f>IF(99&lt;=核心参数输入!$B$9*4,IF(核心参数输入!$B$96=2,CY137-CY137/(1+核心参数输入!$B$119),0),0)</f>
        <v>0</v>
      </c>
      <c r="CZ141" s="9">
        <f>IF(100&lt;=核心参数输入!$B$9*4,IF(核心参数输入!$B$96=2,CZ137-CZ137/(1+核心参数输入!$B$119),0),0)</f>
        <v>0</v>
      </c>
      <c r="DA141" s="9">
        <f>IF(101&lt;=核心参数输入!$B$9*4,IF(核心参数输入!$B$96=2,DA137-DA137/(1+核心参数输入!$B$119),0),0)</f>
        <v>0</v>
      </c>
      <c r="DB141" s="9">
        <f>IF(102&lt;=核心参数输入!$B$9*4,IF(核心参数输入!$B$96=2,DB137-DB137/(1+核心参数输入!$B$119),0),0)</f>
        <v>0</v>
      </c>
      <c r="DC141" s="9">
        <f>IF(103&lt;=核心参数输入!$B$9*4,IF(核心参数输入!$B$96=2,DC137-DC137/(1+核心参数输入!$B$119),0),0)</f>
        <v>0</v>
      </c>
      <c r="DD141" s="9">
        <f>IF(104&lt;=核心参数输入!$B$9*4,IF(核心参数输入!$B$96=2,DD137-DD137/(1+核心参数输入!$B$119),0),0)</f>
        <v>0</v>
      </c>
      <c r="DE141" s="9">
        <f>IF(105&lt;=核心参数输入!$B$9*4,IF(核心参数输入!$B$96=2,DE137-DE137/(1+核心参数输入!$B$119),0),0)</f>
        <v>0</v>
      </c>
      <c r="DF141" s="9">
        <f>IF(106&lt;=核心参数输入!$B$9*4,IF(核心参数输入!$B$96=2,DF137-DF137/(1+核心参数输入!$B$119),0),0)</f>
        <v>0</v>
      </c>
      <c r="DG141" s="9">
        <f>IF(107&lt;=核心参数输入!$B$9*4,IF(核心参数输入!$B$96=2,DG137-DG137/(1+核心参数输入!$B$119),0),0)</f>
        <v>0</v>
      </c>
      <c r="DH141" s="9">
        <f>IF(108&lt;=核心参数输入!$B$9*4,IF(核心参数输入!$B$96=2,DH137-DH137/(1+核心参数输入!$B$119),0),0)</f>
        <v>0</v>
      </c>
      <c r="DI141" s="9">
        <f>IF(109&lt;=核心参数输入!$B$9*4,IF(核心参数输入!$B$96=2,DI137-DI137/(1+核心参数输入!$B$119),0),0)</f>
        <v>0</v>
      </c>
      <c r="DJ141" s="9">
        <f>IF(110&lt;=核心参数输入!$B$9*4,IF(核心参数输入!$B$96=2,DJ137-DJ137/(1+核心参数输入!$B$119),0),0)</f>
        <v>0</v>
      </c>
      <c r="DK141" s="9">
        <f>IF(111&lt;=核心参数输入!$B$9*4,IF(核心参数输入!$B$96=2,DK137-DK137/(1+核心参数输入!$B$119),0),0)</f>
        <v>0</v>
      </c>
      <c r="DL141" s="9">
        <f>IF(112&lt;=核心参数输入!$B$9*4,IF(核心参数输入!$B$96=2,DL137-DL137/(1+核心参数输入!$B$119),0),0)</f>
        <v>0</v>
      </c>
      <c r="DM141" s="9">
        <f>IF(113&lt;=核心参数输入!$B$9*4,IF(核心参数输入!$B$96=2,DM137-DM137/(1+核心参数输入!$B$119),0),0)</f>
        <v>0</v>
      </c>
      <c r="DN141" s="9">
        <f>IF(114&lt;=核心参数输入!$B$9*4,IF(核心参数输入!$B$96=2,DN137-DN137/(1+核心参数输入!$B$119),0),0)</f>
        <v>0</v>
      </c>
      <c r="DO141" s="9">
        <f>IF(115&lt;=核心参数输入!$B$9*4,IF(核心参数输入!$B$96=2,DO137-DO137/(1+核心参数输入!$B$119),0),0)</f>
        <v>0</v>
      </c>
      <c r="DP141" s="9">
        <f>IF(116&lt;=核心参数输入!$B$9*4,IF(核心参数输入!$B$96=2,DP137-DP137/(1+核心参数输入!$B$119),0),0)</f>
        <v>0</v>
      </c>
      <c r="DQ141" s="9">
        <f>IF(117&lt;=核心参数输入!$B$9*4,IF(核心参数输入!$B$96=2,DQ137-DQ137/(1+核心参数输入!$B$119),0),0)</f>
        <v>0</v>
      </c>
      <c r="DR141" s="9">
        <f>IF(118&lt;=核心参数输入!$B$9*4,IF(核心参数输入!$B$96=2,DR137-DR137/(1+核心参数输入!$B$119),0),0)</f>
        <v>0</v>
      </c>
      <c r="DS141" s="9">
        <f>IF(119&lt;=核心参数输入!$B$9*4,IF(核心参数输入!$B$96=2,DS137-DS137/(1+核心参数输入!$B$119),0),0)</f>
        <v>0</v>
      </c>
      <c r="DT141" s="9">
        <f>IF(120&lt;=核心参数输入!$B$9*4,IF(核心参数输入!$B$96=2,DT137-DT137/(1+核心参数输入!$B$119),0),0)</f>
        <v>0</v>
      </c>
    </row>
    <row r="142" spans="1:124" ht="21" customHeight="1">
      <c r="A142" s="8" t="s">
        <v>363</v>
      </c>
      <c r="B142" s="8" t="s">
        <v>39</v>
      </c>
      <c r="C142" s="8"/>
      <c r="D142" s="9">
        <f>IF(0&lt;=核心参数输入!$B$9*4,D121-D139,0)</f>
        <v>0</v>
      </c>
      <c r="E142" s="9">
        <f>IF(1&lt;=核心参数输入!$B$9*4,E121-E139,0)</f>
        <v>0</v>
      </c>
      <c r="F142" s="9">
        <f>IF(2&lt;=核心参数输入!$B$9*4,F121-F139,0)</f>
        <v>0</v>
      </c>
      <c r="G142" s="9">
        <f>IF(3&lt;=核心参数输入!$B$9*4,G121-G139,0)</f>
        <v>0</v>
      </c>
      <c r="H142" s="9">
        <f>IF(4&lt;=核心参数输入!$B$9*4,H121-H139,0)</f>
        <v>0</v>
      </c>
      <c r="I142" s="9">
        <f>IF(5&lt;=核心参数输入!$B$9*4,I121-I139,0)</f>
        <v>0</v>
      </c>
      <c r="J142" s="9">
        <f>IF(6&lt;=核心参数输入!$B$9*4,J121-J139,0)</f>
        <v>0</v>
      </c>
      <c r="K142" s="9">
        <f>IF(7&lt;=核心参数输入!$B$9*4,K121-K139,0)</f>
        <v>0</v>
      </c>
      <c r="L142" s="9">
        <f>IF(8&lt;=核心参数输入!$B$9*4,L121-L139,0)</f>
        <v>0</v>
      </c>
      <c r="M142" s="9">
        <f>IF(9&lt;=核心参数输入!$B$9*4,M121-M139,0)</f>
        <v>0</v>
      </c>
      <c r="N142" s="9">
        <f>IF(10&lt;=核心参数输入!$B$9*4,N121-N139,0)</f>
        <v>0</v>
      </c>
      <c r="O142" s="9">
        <f>IF(11&lt;=核心参数输入!$B$9*4,O121-O139,0)</f>
        <v>0</v>
      </c>
      <c r="P142" s="9">
        <f>IF(12&lt;=核心参数输入!$B$9*4,P121-P139,0)</f>
        <v>0</v>
      </c>
      <c r="Q142" s="9">
        <f>IF(13&lt;=核心参数输入!$B$9*4,Q121-Q139,0)</f>
        <v>3257.71875</v>
      </c>
      <c r="R142" s="9">
        <f>IF(14&lt;=核心参数输入!$B$9*4,R121-R139,0)</f>
        <v>3257.71875</v>
      </c>
      <c r="S142" s="9">
        <f>IF(15&lt;=核心参数输入!$B$9*4,S121-S139,0)</f>
        <v>3257.71875</v>
      </c>
      <c r="T142" s="9">
        <f>IF(16&lt;=核心参数输入!$B$9*4,T121-T139,0)</f>
        <v>3257.71875</v>
      </c>
      <c r="U142" s="9">
        <f>IF(17&lt;=核心参数输入!$B$9*4,U121-U139,0)</f>
        <v>4343.625</v>
      </c>
      <c r="V142" s="9">
        <f>IF(18&lt;=核心参数输入!$B$9*4,V121-V139,0)</f>
        <v>4343.625</v>
      </c>
      <c r="W142" s="9">
        <f>IF(19&lt;=核心参数输入!$B$9*4,W121-W139,0)</f>
        <v>4343.625</v>
      </c>
      <c r="X142" s="9">
        <f>IF(20&lt;=核心参数输入!$B$9*4,X121-X139,0)</f>
        <v>4343.625</v>
      </c>
      <c r="Y142" s="9">
        <f>IF(21&lt;=核心参数输入!$B$9*4,Y121-Y139,0)</f>
        <v>3257.71875</v>
      </c>
      <c r="Z142" s="9">
        <f>IF(22&lt;=核心参数输入!$B$9*4,Z121-Z139,0)</f>
        <v>3257.71875</v>
      </c>
      <c r="AA142" s="9">
        <f>IF(23&lt;=核心参数输入!$B$9*4,AA121-AA139,0)</f>
        <v>3257.71875</v>
      </c>
      <c r="AB142" s="9">
        <f>IF(24&lt;=核心参数输入!$B$9*4,AB121-AB139,0)</f>
        <v>3257.71875</v>
      </c>
      <c r="AC142" s="9">
        <f>IF(25&lt;=核心参数输入!$B$9*4,AC121-AC139,0)</f>
        <v>0</v>
      </c>
      <c r="AD142" s="9">
        <f>IF(26&lt;=核心参数输入!$B$9*4,AD121-AD139,0)</f>
        <v>0</v>
      </c>
      <c r="AE142" s="9">
        <f>IF(27&lt;=核心参数输入!$B$9*4,AE121-AE139,0)</f>
        <v>0</v>
      </c>
      <c r="AF142" s="9">
        <f>IF(28&lt;=核心参数输入!$B$9*4,AF121-AF139,0)</f>
        <v>0</v>
      </c>
      <c r="AG142" s="9">
        <f>IF(29&lt;=核心参数输入!$B$9*4,AG121-AG139,0)</f>
        <v>0</v>
      </c>
      <c r="AH142" s="9">
        <f>IF(30&lt;=核心参数输入!$B$9*4,AH121-AH139,0)</f>
        <v>0</v>
      </c>
      <c r="AI142" s="9">
        <f>IF(31&lt;=核心参数输入!$B$9*4,AI121-AI139,0)</f>
        <v>0</v>
      </c>
      <c r="AJ142" s="9">
        <f>IF(32&lt;=核心参数输入!$B$9*4,AJ121-AJ139,0)</f>
        <v>0</v>
      </c>
      <c r="AK142" s="9">
        <f>IF(33&lt;=核心参数输入!$B$9*4,AK121-AK139,0)</f>
        <v>0</v>
      </c>
      <c r="AL142" s="9">
        <f>IF(34&lt;=核心参数输入!$B$9*4,AL121-AL139,0)</f>
        <v>0</v>
      </c>
      <c r="AM142" s="9">
        <f>IF(35&lt;=核心参数输入!$B$9*4,AM121-AM139,0)</f>
        <v>0</v>
      </c>
      <c r="AN142" s="9">
        <f>IF(36&lt;=核心参数输入!$B$9*4,AN121-AN139,0)</f>
        <v>0</v>
      </c>
      <c r="AO142" s="9">
        <f>IF(37&lt;=核心参数输入!$B$9*4,AO121-AO139,0)</f>
        <v>0</v>
      </c>
      <c r="AP142" s="9">
        <f>IF(38&lt;=核心参数输入!$B$9*4,AP121-AP139,0)</f>
        <v>0</v>
      </c>
      <c r="AQ142" s="9">
        <f>IF(39&lt;=核心参数输入!$B$9*4,AQ121-AQ139,0)</f>
        <v>0</v>
      </c>
      <c r="AR142" s="9">
        <f>IF(40&lt;=核心参数输入!$B$9*4,AR121-AR139,0)</f>
        <v>0</v>
      </c>
      <c r="AS142" s="9">
        <f>IF(41&lt;=核心参数输入!$B$9*4,AS121-AS139,0)</f>
        <v>0</v>
      </c>
      <c r="AT142" s="9">
        <f>IF(42&lt;=核心参数输入!$B$9*4,AT121-AT139,0)</f>
        <v>0</v>
      </c>
      <c r="AU142" s="9">
        <f>IF(43&lt;=核心参数输入!$B$9*4,AU121-AU139,0)</f>
        <v>0</v>
      </c>
      <c r="AV142" s="9">
        <f>IF(44&lt;=核心参数输入!$B$9*4,AV121-AV139,0)</f>
        <v>0</v>
      </c>
      <c r="AW142" s="9">
        <f>IF(45&lt;=核心参数输入!$B$9*4,AW121-AW139,0)</f>
        <v>0</v>
      </c>
      <c r="AX142" s="9">
        <f>IF(46&lt;=核心参数输入!$B$9*4,AX121-AX139,0)</f>
        <v>0</v>
      </c>
      <c r="AY142" s="9">
        <f>IF(47&lt;=核心参数输入!$B$9*4,AY121-AY139,0)</f>
        <v>0</v>
      </c>
      <c r="AZ142" s="9">
        <f>IF(48&lt;=核心参数输入!$B$9*4,AZ121-AZ139,0)</f>
        <v>0</v>
      </c>
      <c r="BA142" s="9">
        <f>IF(49&lt;=核心参数输入!$B$9*4,BA121-BA139,0)</f>
        <v>0</v>
      </c>
      <c r="BB142" s="9">
        <f>IF(50&lt;=核心参数输入!$B$9*4,BB121-BB139,0)</f>
        <v>0</v>
      </c>
      <c r="BC142" s="9">
        <f>IF(51&lt;=核心参数输入!$B$9*4,BC121-BC139,0)</f>
        <v>0</v>
      </c>
      <c r="BD142" s="9">
        <f>IF(52&lt;=核心参数输入!$B$9*4,BD121-BD139,0)</f>
        <v>0</v>
      </c>
      <c r="BE142" s="9">
        <f>IF(53&lt;=核心参数输入!$B$9*4,BE121-BE139,0)</f>
        <v>0</v>
      </c>
      <c r="BF142" s="9">
        <f>IF(54&lt;=核心参数输入!$B$9*4,BF121-BF139,0)</f>
        <v>0</v>
      </c>
      <c r="BG142" s="9">
        <f>IF(55&lt;=核心参数输入!$B$9*4,BG121-BG139,0)</f>
        <v>0</v>
      </c>
      <c r="BH142" s="9">
        <f>IF(56&lt;=核心参数输入!$B$9*4,BH121-BH139,0)</f>
        <v>0</v>
      </c>
      <c r="BI142" s="9">
        <f>IF(57&lt;=核心参数输入!$B$9*4,BI121-BI139,0)</f>
        <v>0</v>
      </c>
      <c r="BJ142" s="9">
        <f>IF(58&lt;=核心参数输入!$B$9*4,BJ121-BJ139,0)</f>
        <v>0</v>
      </c>
      <c r="BK142" s="9">
        <f>IF(59&lt;=核心参数输入!$B$9*4,BK121-BK139,0)</f>
        <v>0</v>
      </c>
      <c r="BL142" s="9">
        <f>IF(60&lt;=核心参数输入!$B$9*4,BL121-BL139,0)</f>
        <v>0</v>
      </c>
      <c r="BM142" s="9">
        <f>IF(61&lt;=核心参数输入!$B$9*4,BM121-BM139,0)</f>
        <v>0</v>
      </c>
      <c r="BN142" s="9">
        <f>IF(62&lt;=核心参数输入!$B$9*4,BN121-BN139,0)</f>
        <v>0</v>
      </c>
      <c r="BO142" s="9">
        <f>IF(63&lt;=核心参数输入!$B$9*4,BO121-BO139,0)</f>
        <v>0</v>
      </c>
      <c r="BP142" s="9">
        <f>IF(64&lt;=核心参数输入!$B$9*4,BP121-BP139,0)</f>
        <v>0</v>
      </c>
      <c r="BQ142" s="9">
        <f>IF(65&lt;=核心参数输入!$B$9*4,BQ121-BQ139,0)</f>
        <v>0</v>
      </c>
      <c r="BR142" s="9">
        <f>IF(66&lt;=核心参数输入!$B$9*4,BR121-BR139,0)</f>
        <v>0</v>
      </c>
      <c r="BS142" s="9">
        <f>IF(67&lt;=核心参数输入!$B$9*4,BS121-BS139,0)</f>
        <v>0</v>
      </c>
      <c r="BT142" s="9">
        <f>IF(68&lt;=核心参数输入!$B$9*4,BT121-BT139,0)</f>
        <v>0</v>
      </c>
      <c r="BU142" s="9">
        <f>IF(69&lt;=核心参数输入!$B$9*4,BU121-BU139,0)</f>
        <v>0</v>
      </c>
      <c r="BV142" s="9">
        <f>IF(70&lt;=核心参数输入!$B$9*4,BV121-BV139,0)</f>
        <v>0</v>
      </c>
      <c r="BW142" s="9">
        <f>IF(71&lt;=核心参数输入!$B$9*4,BW121-BW139,0)</f>
        <v>0</v>
      </c>
      <c r="BX142" s="9">
        <f>IF(72&lt;=核心参数输入!$B$9*4,BX121-BX139,0)</f>
        <v>0</v>
      </c>
      <c r="BY142" s="9">
        <f>IF(73&lt;=核心参数输入!$B$9*4,BY121-BY139,0)</f>
        <v>0</v>
      </c>
      <c r="BZ142" s="9">
        <f>IF(74&lt;=核心参数输入!$B$9*4,BZ121-BZ139,0)</f>
        <v>0</v>
      </c>
      <c r="CA142" s="9">
        <f>IF(75&lt;=核心参数输入!$B$9*4,CA121-CA139,0)</f>
        <v>0</v>
      </c>
      <c r="CB142" s="9">
        <f>IF(76&lt;=核心参数输入!$B$9*4,CB121-CB139,0)</f>
        <v>0</v>
      </c>
      <c r="CC142" s="9">
        <f>IF(77&lt;=核心参数输入!$B$9*4,CC121-CC139,0)</f>
        <v>0</v>
      </c>
      <c r="CD142" s="9">
        <f>IF(78&lt;=核心参数输入!$B$9*4,CD121-CD139,0)</f>
        <v>0</v>
      </c>
      <c r="CE142" s="9">
        <f>IF(79&lt;=核心参数输入!$B$9*4,CE121-CE139,0)</f>
        <v>0</v>
      </c>
      <c r="CF142" s="9">
        <f>IF(80&lt;=核心参数输入!$B$9*4,CF121-CF139,0)</f>
        <v>0</v>
      </c>
      <c r="CG142" s="9">
        <f>IF(81&lt;=核心参数输入!$B$9*4,CG121-CG139,0)</f>
        <v>0</v>
      </c>
      <c r="CH142" s="9">
        <f>IF(82&lt;=核心参数输入!$B$9*4,CH121-CH139,0)</f>
        <v>0</v>
      </c>
      <c r="CI142" s="9">
        <f>IF(83&lt;=核心参数输入!$B$9*4,CI121-CI139,0)</f>
        <v>0</v>
      </c>
      <c r="CJ142" s="9">
        <f>IF(84&lt;=核心参数输入!$B$9*4,CJ121-CJ139,0)</f>
        <v>0</v>
      </c>
      <c r="CK142" s="9">
        <f>IF(85&lt;=核心参数输入!$B$9*4,CK121-CK139,0)</f>
        <v>0</v>
      </c>
      <c r="CL142" s="9">
        <f>IF(86&lt;=核心参数输入!$B$9*4,CL121-CL139,0)</f>
        <v>0</v>
      </c>
      <c r="CM142" s="9">
        <f>IF(87&lt;=核心参数输入!$B$9*4,CM121-CM139,0)</f>
        <v>0</v>
      </c>
      <c r="CN142" s="9">
        <f>IF(88&lt;=核心参数输入!$B$9*4,CN121-CN139,0)</f>
        <v>0</v>
      </c>
      <c r="CO142" s="9">
        <f>IF(89&lt;=核心参数输入!$B$9*4,CO121-CO139,0)</f>
        <v>0</v>
      </c>
      <c r="CP142" s="9">
        <f>IF(90&lt;=核心参数输入!$B$9*4,CP121-CP139,0)</f>
        <v>0</v>
      </c>
      <c r="CQ142" s="9">
        <f>IF(91&lt;=核心参数输入!$B$9*4,CQ121-CQ139,0)</f>
        <v>0</v>
      </c>
      <c r="CR142" s="9">
        <f>IF(92&lt;=核心参数输入!$B$9*4,CR121-CR139,0)</f>
        <v>0</v>
      </c>
      <c r="CS142" s="9">
        <f>IF(93&lt;=核心参数输入!$B$9*4,CS121-CS139,0)</f>
        <v>0</v>
      </c>
      <c r="CT142" s="9">
        <f>IF(94&lt;=核心参数输入!$B$9*4,CT121-CT139,0)</f>
        <v>0</v>
      </c>
      <c r="CU142" s="9">
        <f>IF(95&lt;=核心参数输入!$B$9*4,CU121-CU139,0)</f>
        <v>0</v>
      </c>
      <c r="CV142" s="9">
        <f>IF(96&lt;=核心参数输入!$B$9*4,CV121-CV139,0)</f>
        <v>0</v>
      </c>
      <c r="CW142" s="9">
        <f>IF(97&lt;=核心参数输入!$B$9*4,CW121-CW139,0)</f>
        <v>0</v>
      </c>
      <c r="CX142" s="9">
        <f>IF(98&lt;=核心参数输入!$B$9*4,CX121-CX139,0)</f>
        <v>0</v>
      </c>
      <c r="CY142" s="9">
        <f>IF(99&lt;=核心参数输入!$B$9*4,CY121-CY139,0)</f>
        <v>0</v>
      </c>
      <c r="CZ142" s="9">
        <f>IF(100&lt;=核心参数输入!$B$9*4,CZ121-CZ139,0)</f>
        <v>0</v>
      </c>
      <c r="DA142" s="9">
        <f>IF(101&lt;=核心参数输入!$B$9*4,DA121-DA139,0)</f>
        <v>0</v>
      </c>
      <c r="DB142" s="9">
        <f>IF(102&lt;=核心参数输入!$B$9*4,DB121-DB139,0)</f>
        <v>0</v>
      </c>
      <c r="DC142" s="9">
        <f>IF(103&lt;=核心参数输入!$B$9*4,DC121-DC139,0)</f>
        <v>0</v>
      </c>
      <c r="DD142" s="9">
        <f>IF(104&lt;=核心参数输入!$B$9*4,DD121-DD139,0)</f>
        <v>0</v>
      </c>
      <c r="DE142" s="9">
        <f>IF(105&lt;=核心参数输入!$B$9*4,DE121-DE139,0)</f>
        <v>0</v>
      </c>
      <c r="DF142" s="9">
        <f>IF(106&lt;=核心参数输入!$B$9*4,DF121-DF139,0)</f>
        <v>0</v>
      </c>
      <c r="DG142" s="9">
        <f>IF(107&lt;=核心参数输入!$B$9*4,DG121-DG139,0)</f>
        <v>0</v>
      </c>
      <c r="DH142" s="9">
        <f>IF(108&lt;=核心参数输入!$B$9*4,DH121-DH139,0)</f>
        <v>0</v>
      </c>
      <c r="DI142" s="9">
        <f>IF(109&lt;=核心参数输入!$B$9*4,DI121-DI139,0)</f>
        <v>0</v>
      </c>
      <c r="DJ142" s="9">
        <f>IF(110&lt;=核心参数输入!$B$9*4,DJ121-DJ139,0)</f>
        <v>0</v>
      </c>
      <c r="DK142" s="9">
        <f>IF(111&lt;=核心参数输入!$B$9*4,DK121-DK139,0)</f>
        <v>0</v>
      </c>
      <c r="DL142" s="9">
        <f>IF(112&lt;=核心参数输入!$B$9*4,DL121-DL139,0)</f>
        <v>0</v>
      </c>
      <c r="DM142" s="9">
        <f>IF(113&lt;=核心参数输入!$B$9*4,DM121-DM139,0)</f>
        <v>0</v>
      </c>
      <c r="DN142" s="9">
        <f>IF(114&lt;=核心参数输入!$B$9*4,DN121-DN139,0)</f>
        <v>0</v>
      </c>
      <c r="DO142" s="9">
        <f>IF(115&lt;=核心参数输入!$B$9*4,DO121-DO139,0)</f>
        <v>0</v>
      </c>
      <c r="DP142" s="9">
        <f>IF(116&lt;=核心参数输入!$B$9*4,DP121-DP139,0)</f>
        <v>0</v>
      </c>
      <c r="DQ142" s="9">
        <f>IF(117&lt;=核心参数输入!$B$9*4,DQ121-DQ139,0)</f>
        <v>0</v>
      </c>
      <c r="DR142" s="9">
        <f>IF(118&lt;=核心参数输入!$B$9*4,DR121-DR139,0)</f>
        <v>0</v>
      </c>
      <c r="DS142" s="9">
        <f>IF(119&lt;=核心参数输入!$B$9*4,DS121-DS139,0)</f>
        <v>0</v>
      </c>
      <c r="DT142" s="9">
        <f>IF(120&lt;=核心参数输入!$B$9*4,DT121-DT139,0)</f>
        <v>0</v>
      </c>
    </row>
    <row r="143" spans="1:124" ht="21" customHeight="1">
      <c r="A143" s="8" t="s">
        <v>364</v>
      </c>
      <c r="B143" s="8" t="s">
        <v>39</v>
      </c>
      <c r="C143" s="8"/>
      <c r="D143" s="9">
        <f>IF(0&lt;=核心参数输入!$B$9*4,D133+D137-D140-D141,0)</f>
        <v>0</v>
      </c>
      <c r="E143" s="9">
        <f>IF(1&lt;=核心参数输入!$B$9*4,E133+E137-E140-E141,0)</f>
        <v>0</v>
      </c>
      <c r="F143" s="9">
        <f>IF(2&lt;=核心参数输入!$B$9*4,F133+F137-F140-F141,0)</f>
        <v>0</v>
      </c>
      <c r="G143" s="9">
        <f>IF(3&lt;=核心参数输入!$B$9*4,G133+G137-G140-G141,0)</f>
        <v>0</v>
      </c>
      <c r="H143" s="9">
        <f>IF(4&lt;=核心参数输入!$B$9*4,H133+H137-H140-H141,0)</f>
        <v>0</v>
      </c>
      <c r="I143" s="9">
        <f>IF(5&lt;=核心参数输入!$B$9*4,I133+I137-I140-I141,0)</f>
        <v>0</v>
      </c>
      <c r="J143" s="9">
        <f>IF(6&lt;=核心参数输入!$B$9*4,J133+J137-J140-J141,0)</f>
        <v>0</v>
      </c>
      <c r="K143" s="9">
        <f>IF(7&lt;=核心参数输入!$B$9*4,K133+K137-K140-K141,0)</f>
        <v>0</v>
      </c>
      <c r="L143" s="9">
        <f>IF(8&lt;=核心参数输入!$B$9*4,L133+L137-L140-L141,0)</f>
        <v>0</v>
      </c>
      <c r="M143" s="9">
        <f>IF(9&lt;=核心参数输入!$B$9*4,M133+M137-M140-M141,0)</f>
        <v>0</v>
      </c>
      <c r="N143" s="9">
        <f>IF(10&lt;=核心参数输入!$B$9*4,N133+N137-N140-N141,0)</f>
        <v>0</v>
      </c>
      <c r="O143" s="9">
        <f>IF(11&lt;=核心参数输入!$B$9*4,O133+O137-O140-O141,0)</f>
        <v>0</v>
      </c>
      <c r="P143" s="9">
        <f>IF(12&lt;=核心参数输入!$B$9*4,P133+P137-P140-P141,0)</f>
        <v>0</v>
      </c>
      <c r="Q143" s="9">
        <f>IF(13&lt;=核心参数输入!$B$9*4,Q133+Q137-Q140-Q141,0)</f>
        <v>0</v>
      </c>
      <c r="R143" s="9">
        <f>IF(14&lt;=核心参数输入!$B$9*4,R133+R137-R140-R141,0)</f>
        <v>22.368089250000008</v>
      </c>
      <c r="S143" s="9">
        <f>IF(15&lt;=核心参数输入!$B$9*4,S133+S137-S140-S141,0)</f>
        <v>67.10426775000002</v>
      </c>
      <c r="T143" s="9">
        <f>IF(16&lt;=核心参数输入!$B$9*4,T133+T137-T140-T141,0)</f>
        <v>111.84044625000001</v>
      </c>
      <c r="U143" s="9">
        <f>IF(17&lt;=核心参数输入!$B$9*4,U133+U137-U140-U141,0)</f>
        <v>158.92527412125003</v>
      </c>
      <c r="V143" s="9">
        <f>IF(18&lt;=核心参数输入!$B$9*4,V133+V137-V140-V141,0)</f>
        <v>192.98069000437499</v>
      </c>
      <c r="W143" s="9">
        <f>IF(19&lt;=核心参数输入!$B$9*4,W133+W137-W140-W141,0)</f>
        <v>215.68430059312499</v>
      </c>
      <c r="X143" s="9">
        <f>IF(20&lt;=核心参数输入!$B$9*4,X133+X137-X140-X141,0)</f>
        <v>238.38791118187501</v>
      </c>
      <c r="Y143" s="9">
        <f>IF(21&lt;=核心参数输入!$B$9*4,Y133+Y137-Y140-Y141,0)</f>
        <v>265.00789459718425</v>
      </c>
      <c r="Z143" s="9">
        <f>IF(22&lt;=核心参数输入!$B$9*4,Z133+Z137-Z140-Z141,0)</f>
        <v>285.17153875131788</v>
      </c>
      <c r="AA143" s="9">
        <f>IF(23&lt;=核心参数输入!$B$9*4,AA133+AA137-AA140-AA141,0)</f>
        <v>302.45466231200385</v>
      </c>
      <c r="AB143" s="9">
        <f>IF(24&lt;=核心参数输入!$B$9*4,AB133+AB137-AB140-AB141,0)</f>
        <v>319.73778587268976</v>
      </c>
      <c r="AC143" s="9">
        <f>IF(25&lt;=核心参数输入!$B$9*4,AC133+AC137-AC140-AC141,0)</f>
        <v>342.07622307487622</v>
      </c>
      <c r="AD143" s="9">
        <f>IF(26&lt;=核心参数输入!$B$9*4,AD133+AD137-AD140-AD141,0)</f>
        <v>353.7711366842737</v>
      </c>
      <c r="AE143" s="9">
        <f>IF(27&lt;=核心参数输入!$B$9*4,AE133+AE137-AE140-AE141,0)</f>
        <v>359.61859348897246</v>
      </c>
      <c r="AF143" s="9">
        <f>IF(28&lt;=核心参数输入!$B$9*4,AF133+AF137-AF140-AF141,0)</f>
        <v>365.46605029367123</v>
      </c>
      <c r="AG143" s="9">
        <f>IF(29&lt;=核心参数输入!$B$9*4,AG133+AG137-AG140-AG141,0)</f>
        <v>376.88320970484551</v>
      </c>
      <c r="AH143" s="9">
        <f>IF(30&lt;=核心参数输入!$B$9*4,AH133+AH137-AH140-AH141,0)</f>
        <v>379.8507940332301</v>
      </c>
      <c r="AI143" s="9">
        <f>IF(31&lt;=核心参数输入!$B$9*4,AI133+AI137-AI140-AI141,0)</f>
        <v>379.8507940332301</v>
      </c>
      <c r="AJ143" s="9">
        <f>IF(32&lt;=核心参数输入!$B$9*4,AJ133+AJ137-AJ140-AJ141,0)</f>
        <v>379.8507940332301</v>
      </c>
      <c r="AK143" s="9">
        <f>IF(33&lt;=核心参数输入!$B$9*4,AK133+AK137-AK140-AK141,0)</f>
        <v>385.54855594372856</v>
      </c>
      <c r="AL143" s="9">
        <f>IF(34&lt;=核心参数输入!$B$9*4,AL133+AL137-AL140-AL141,0)</f>
        <v>385.54855594372856</v>
      </c>
      <c r="AM143" s="9">
        <f>IF(35&lt;=核心参数输入!$B$9*4,AM133+AM137-AM140-AM141,0)</f>
        <v>385.54855594372856</v>
      </c>
      <c r="AN143" s="9">
        <f>IF(36&lt;=核心参数输入!$B$9*4,AN133+AN137-AN140-AN141,0)</f>
        <v>385.54855594372856</v>
      </c>
      <c r="AO143" s="9">
        <f>IF(37&lt;=核心参数输入!$B$9*4,AO133+AO137-AO140-AO141,0)</f>
        <v>391.33178428288437</v>
      </c>
      <c r="AP143" s="9">
        <f>IF(38&lt;=核心参数输入!$B$9*4,AP133+AP137-AP140-AP141,0)</f>
        <v>391.33178428288437</v>
      </c>
      <c r="AQ143" s="9">
        <f>IF(39&lt;=核心参数输入!$B$9*4,AQ133+AQ137-AQ140-AQ141,0)</f>
        <v>391.33178428288437</v>
      </c>
      <c r="AR143" s="9">
        <f>IF(40&lt;=核心参数输入!$B$9*4,AR133+AR137-AR140-AR141,0)</f>
        <v>391.33178428288437</v>
      </c>
      <c r="AS143" s="9">
        <f>IF(41&lt;=核心参数输入!$B$9*4,AS133+AS137-AS140-AS141,0)</f>
        <v>397.2017610471276</v>
      </c>
      <c r="AT143" s="9">
        <f>IF(42&lt;=核心参数输入!$B$9*4,AT133+AT137-AT140-AT141,0)</f>
        <v>397.2017610471276</v>
      </c>
      <c r="AU143" s="9">
        <f>IF(43&lt;=核心参数输入!$B$9*4,AU133+AU137-AU140-AU141,0)</f>
        <v>397.2017610471276</v>
      </c>
      <c r="AV143" s="9">
        <f>IF(44&lt;=核心参数输入!$B$9*4,AV133+AV137-AV140-AV141,0)</f>
        <v>397.2017610471276</v>
      </c>
      <c r="AW143" s="9">
        <f>IF(45&lt;=核心参数输入!$B$9*4,AW133+AW137-AW140-AW141,0)</f>
        <v>403.1597874628344</v>
      </c>
      <c r="AX143" s="9">
        <f>IF(46&lt;=核心参数输入!$B$9*4,AX133+AX137-AX140-AX141,0)</f>
        <v>403.1597874628344</v>
      </c>
      <c r="AY143" s="9">
        <f>IF(47&lt;=核心参数输入!$B$9*4,AY133+AY137-AY140-AY141,0)</f>
        <v>403.1597874628344</v>
      </c>
      <c r="AZ143" s="9">
        <f>IF(48&lt;=核心参数输入!$B$9*4,AZ133+AZ137-AZ140-AZ141,0)</f>
        <v>403.1597874628344</v>
      </c>
      <c r="BA143" s="9">
        <f>IF(49&lt;=核心参数输入!$B$9*4,BA133+BA137-BA140-BA141,0)</f>
        <v>409.20718427477692</v>
      </c>
      <c r="BB143" s="9">
        <f>IF(50&lt;=核心参数输入!$B$9*4,BB133+BB137-BB140-BB141,0)</f>
        <v>409.20718427477692</v>
      </c>
      <c r="BC143" s="9">
        <f>IF(51&lt;=核心参数输入!$B$9*4,BC133+BC137-BC140-BC141,0)</f>
        <v>409.20718427477692</v>
      </c>
      <c r="BD143" s="9">
        <f>IF(52&lt;=核心参数输入!$B$9*4,BD133+BD137-BD140-BD141,0)</f>
        <v>409.20718427477692</v>
      </c>
      <c r="BE143" s="9">
        <f>IF(53&lt;=核心参数输入!$B$9*4,BE133+BE137-BE140-BE141,0)</f>
        <v>415.34529203889849</v>
      </c>
      <c r="BF143" s="9">
        <f>IF(54&lt;=核心参数输入!$B$9*4,BF133+BF137-BF140-BF141,0)</f>
        <v>415.34529203889849</v>
      </c>
      <c r="BG143" s="9">
        <f>IF(55&lt;=核心参数输入!$B$9*4,BG133+BG137-BG140-BG141,0)</f>
        <v>415.34529203889849</v>
      </c>
      <c r="BH143" s="9">
        <f>IF(56&lt;=核心参数输入!$B$9*4,BH133+BH137-BH140-BH141,0)</f>
        <v>415.34529203889849</v>
      </c>
      <c r="BI143" s="9">
        <f>IF(57&lt;=核心参数输入!$B$9*4,BI133+BI137-BI140-BI141,0)</f>
        <v>421.57547141948186</v>
      </c>
      <c r="BJ143" s="9">
        <f>IF(58&lt;=核心参数输入!$B$9*4,BJ133+BJ137-BJ140-BJ141,0)</f>
        <v>421.57547141948186</v>
      </c>
      <c r="BK143" s="9">
        <f>IF(59&lt;=核心参数输入!$B$9*4,BK133+BK137-BK140-BK141,0)</f>
        <v>421.57547141948186</v>
      </c>
      <c r="BL143" s="9">
        <f>IF(60&lt;=核心参数输入!$B$9*4,BL133+BL137-BL140-BL141,0)</f>
        <v>421.57547141948186</v>
      </c>
      <c r="BM143" s="9">
        <f>IF(61&lt;=核心参数输入!$B$9*4,BM133+BM137-BM140-BM141,0)</f>
        <v>427.899103490774</v>
      </c>
      <c r="BN143" s="9">
        <f>IF(62&lt;=核心参数输入!$B$9*4,BN133+BN137-BN140-BN141,0)</f>
        <v>427.899103490774</v>
      </c>
      <c r="BO143" s="9">
        <f>IF(63&lt;=核心参数输入!$B$9*4,BO133+BO137-BO140-BO141,0)</f>
        <v>427.899103490774</v>
      </c>
      <c r="BP143" s="9">
        <f>IF(64&lt;=核心参数输入!$B$9*4,BP133+BP137-BP140-BP141,0)</f>
        <v>427.899103490774</v>
      </c>
      <c r="BQ143" s="9">
        <f>IF(65&lt;=核心参数输入!$B$9*4,BQ133+BQ137-BQ140-BQ141,0)</f>
        <v>434.31759004313568</v>
      </c>
      <c r="BR143" s="9">
        <f>IF(66&lt;=核心参数输入!$B$9*4,BR133+BR137-BR140-BR141,0)</f>
        <v>434.31759004313568</v>
      </c>
      <c r="BS143" s="9">
        <f>IF(67&lt;=核心参数输入!$B$9*4,BS133+BS137-BS140-BS141,0)</f>
        <v>434.31759004313568</v>
      </c>
      <c r="BT143" s="9">
        <f>IF(68&lt;=核心参数输入!$B$9*4,BT133+BT137-BT140-BT141,0)</f>
        <v>434.31759004313568</v>
      </c>
      <c r="BU143" s="9">
        <f>IF(69&lt;=核心参数输入!$B$9*4,BU133+BU137-BU140-BU141,0)</f>
        <v>440.83235389378257</v>
      </c>
      <c r="BV143" s="9">
        <f>IF(70&lt;=核心参数输入!$B$9*4,BV133+BV137-BV140-BV141,0)</f>
        <v>440.83235389378257</v>
      </c>
      <c r="BW143" s="9">
        <f>IF(71&lt;=核心参数输入!$B$9*4,BW133+BW137-BW140-BW141,0)</f>
        <v>440.83235389378257</v>
      </c>
      <c r="BX143" s="9">
        <f>IF(72&lt;=核心参数输入!$B$9*4,BX133+BX137-BX140-BX141,0)</f>
        <v>440.83235389378257</v>
      </c>
      <c r="BY143" s="9">
        <f>IF(73&lt;=核心参数输入!$B$9*4,BY133+BY137-BY140-BY141,0)</f>
        <v>447.44483920218926</v>
      </c>
      <c r="BZ143" s="9">
        <f>IF(74&lt;=核心参数输入!$B$9*4,BZ133+BZ137-BZ140-BZ141,0)</f>
        <v>447.44483920218926</v>
      </c>
      <c r="CA143" s="9">
        <f>IF(75&lt;=核心参数输入!$B$9*4,CA133+CA137-CA140-CA141,0)</f>
        <v>447.44483920218926</v>
      </c>
      <c r="CB143" s="9">
        <f>IF(76&lt;=核心参数输入!$B$9*4,CB133+CB137-CB140-CB141,0)</f>
        <v>447.44483920218926</v>
      </c>
      <c r="CC143" s="9">
        <f>IF(77&lt;=核心参数输入!$B$9*4,CC133+CC137-CC140-CC141,0)</f>
        <v>454.15651179022205</v>
      </c>
      <c r="CD143" s="9">
        <f>IF(78&lt;=核心参数输入!$B$9*4,CD133+CD137-CD140-CD141,0)</f>
        <v>454.15651179022205</v>
      </c>
      <c r="CE143" s="9">
        <f>IF(79&lt;=核心参数输入!$B$9*4,CE133+CE137-CE140-CE141,0)</f>
        <v>454.15651179022205</v>
      </c>
      <c r="CF143" s="9">
        <f>IF(80&lt;=核心参数输入!$B$9*4,CF133+CF137-CF140-CF141,0)</f>
        <v>454.15651179022205</v>
      </c>
      <c r="CG143" s="9">
        <f>IF(81&lt;=核心参数输入!$B$9*4,CG133+CG137-CG140-CG141,0)</f>
        <v>0</v>
      </c>
      <c r="CH143" s="9">
        <f>IF(82&lt;=核心参数输入!$B$9*4,CH133+CH137-CH140-CH141,0)</f>
        <v>0</v>
      </c>
      <c r="CI143" s="9">
        <f>IF(83&lt;=核心参数输入!$B$9*4,CI133+CI137-CI140-CI141,0)</f>
        <v>0</v>
      </c>
      <c r="CJ143" s="9">
        <f>IF(84&lt;=核心参数输入!$B$9*4,CJ133+CJ137-CJ140-CJ141,0)</f>
        <v>0</v>
      </c>
      <c r="CK143" s="9">
        <f>IF(85&lt;=核心参数输入!$B$9*4,CK133+CK137-CK140-CK141,0)</f>
        <v>0</v>
      </c>
      <c r="CL143" s="9">
        <f>IF(86&lt;=核心参数输入!$B$9*4,CL133+CL137-CL140-CL141,0)</f>
        <v>0</v>
      </c>
      <c r="CM143" s="9">
        <f>IF(87&lt;=核心参数输入!$B$9*4,CM133+CM137-CM140-CM141,0)</f>
        <v>0</v>
      </c>
      <c r="CN143" s="9">
        <f>IF(88&lt;=核心参数输入!$B$9*4,CN133+CN137-CN140-CN141,0)</f>
        <v>0</v>
      </c>
      <c r="CO143" s="9">
        <f>IF(89&lt;=核心参数输入!$B$9*4,CO133+CO137-CO140-CO141,0)</f>
        <v>0</v>
      </c>
      <c r="CP143" s="9">
        <f>IF(90&lt;=核心参数输入!$B$9*4,CP133+CP137-CP140-CP141,0)</f>
        <v>0</v>
      </c>
      <c r="CQ143" s="9">
        <f>IF(91&lt;=核心参数输入!$B$9*4,CQ133+CQ137-CQ140-CQ141,0)</f>
        <v>0</v>
      </c>
      <c r="CR143" s="9">
        <f>IF(92&lt;=核心参数输入!$B$9*4,CR133+CR137-CR140-CR141,0)</f>
        <v>0</v>
      </c>
      <c r="CS143" s="9">
        <f>IF(93&lt;=核心参数输入!$B$9*4,CS133+CS137-CS140-CS141,0)</f>
        <v>0</v>
      </c>
      <c r="CT143" s="9">
        <f>IF(94&lt;=核心参数输入!$B$9*4,CT133+CT137-CT140-CT141,0)</f>
        <v>0</v>
      </c>
      <c r="CU143" s="9">
        <f>IF(95&lt;=核心参数输入!$B$9*4,CU133+CU137-CU140-CU141,0)</f>
        <v>0</v>
      </c>
      <c r="CV143" s="9">
        <f>IF(96&lt;=核心参数输入!$B$9*4,CV133+CV137-CV140-CV141,0)</f>
        <v>0</v>
      </c>
      <c r="CW143" s="9">
        <f>IF(97&lt;=核心参数输入!$B$9*4,CW133+CW137-CW140-CW141,0)</f>
        <v>0</v>
      </c>
      <c r="CX143" s="9">
        <f>IF(98&lt;=核心参数输入!$B$9*4,CX133+CX137-CX140-CX141,0)</f>
        <v>0</v>
      </c>
      <c r="CY143" s="9">
        <f>IF(99&lt;=核心参数输入!$B$9*4,CY133+CY137-CY140-CY141,0)</f>
        <v>0</v>
      </c>
      <c r="CZ143" s="9">
        <f>IF(100&lt;=核心参数输入!$B$9*4,CZ133+CZ137-CZ140-CZ141,0)</f>
        <v>0</v>
      </c>
      <c r="DA143" s="9">
        <f>IF(101&lt;=核心参数输入!$B$9*4,DA133+DA137-DA140-DA141,0)</f>
        <v>0</v>
      </c>
      <c r="DB143" s="9">
        <f>IF(102&lt;=核心参数输入!$B$9*4,DB133+DB137-DB140-DB141,0)</f>
        <v>0</v>
      </c>
      <c r="DC143" s="9">
        <f>IF(103&lt;=核心参数输入!$B$9*4,DC133+DC137-DC140-DC141,0)</f>
        <v>0</v>
      </c>
      <c r="DD143" s="9">
        <f>IF(104&lt;=核心参数输入!$B$9*4,DD133+DD137-DD140-DD141,0)</f>
        <v>0</v>
      </c>
      <c r="DE143" s="9">
        <f>IF(105&lt;=核心参数输入!$B$9*4,DE133+DE137-DE140-DE141,0)</f>
        <v>0</v>
      </c>
      <c r="DF143" s="9">
        <f>IF(106&lt;=核心参数输入!$B$9*4,DF133+DF137-DF140-DF141,0)</f>
        <v>0</v>
      </c>
      <c r="DG143" s="9">
        <f>IF(107&lt;=核心参数输入!$B$9*4,DG133+DG137-DG140-DG141,0)</f>
        <v>0</v>
      </c>
      <c r="DH143" s="9">
        <f>IF(108&lt;=核心参数输入!$B$9*4,DH133+DH137-DH140-DH141,0)</f>
        <v>0</v>
      </c>
      <c r="DI143" s="9">
        <f>IF(109&lt;=核心参数输入!$B$9*4,DI133+DI137-DI140-DI141,0)</f>
        <v>0</v>
      </c>
      <c r="DJ143" s="9">
        <f>IF(110&lt;=核心参数输入!$B$9*4,DJ133+DJ137-DJ140-DJ141,0)</f>
        <v>0</v>
      </c>
      <c r="DK143" s="9">
        <f>IF(111&lt;=核心参数输入!$B$9*4,DK133+DK137-DK140-DK141,0)</f>
        <v>0</v>
      </c>
      <c r="DL143" s="9">
        <f>IF(112&lt;=核心参数输入!$B$9*4,DL133+DL137-DL140-DL141,0)</f>
        <v>0</v>
      </c>
      <c r="DM143" s="9">
        <f>IF(113&lt;=核心参数输入!$B$9*4,DM133+DM137-DM140-DM141,0)</f>
        <v>0</v>
      </c>
      <c r="DN143" s="9">
        <f>IF(114&lt;=核心参数输入!$B$9*4,DN133+DN137-DN140-DN141,0)</f>
        <v>0</v>
      </c>
      <c r="DO143" s="9">
        <f>IF(115&lt;=核心参数输入!$B$9*4,DO133+DO137-DO140-DO141,0)</f>
        <v>0</v>
      </c>
      <c r="DP143" s="9">
        <f>IF(116&lt;=核心参数输入!$B$9*4,DP133+DP137-DP140-DP141,0)</f>
        <v>0</v>
      </c>
      <c r="DQ143" s="9">
        <f>IF(117&lt;=核心参数输入!$B$9*4,DQ133+DQ137-DQ140-DQ141,0)</f>
        <v>0</v>
      </c>
      <c r="DR143" s="9">
        <f>IF(118&lt;=核心参数输入!$B$9*4,DR133+DR137-DR140-DR141,0)</f>
        <v>0</v>
      </c>
      <c r="DS143" s="9">
        <f>IF(119&lt;=核心参数输入!$B$9*4,DS133+DS137-DS140-DS141,0)</f>
        <v>0</v>
      </c>
      <c r="DT143" s="9">
        <f>IF(120&lt;=核心参数输入!$B$9*4,DT133+DT137-DT140-DT141,0)</f>
        <v>0</v>
      </c>
    </row>
    <row r="144" spans="1:124" ht="21" customHeight="1">
      <c r="A144" s="8" t="s">
        <v>466</v>
      </c>
      <c r="B144" s="8" t="s">
        <v>39</v>
      </c>
      <c r="C144" s="8"/>
      <c r="D144" s="9">
        <f>IF(0&lt;=核心参数输入!$B$9*4,D142+D143,0)</f>
        <v>0</v>
      </c>
      <c r="E144" s="9">
        <f>IF(1&lt;=核心参数输入!$B$9*4,E142+E143,0)</f>
        <v>0</v>
      </c>
      <c r="F144" s="9">
        <f>IF(2&lt;=核心参数输入!$B$9*4,F142+F143,0)</f>
        <v>0</v>
      </c>
      <c r="G144" s="9">
        <f>IF(3&lt;=核心参数输入!$B$9*4,G142+G143,0)</f>
        <v>0</v>
      </c>
      <c r="H144" s="9">
        <f>IF(4&lt;=核心参数输入!$B$9*4,H142+H143,0)</f>
        <v>0</v>
      </c>
      <c r="I144" s="9">
        <f>IF(5&lt;=核心参数输入!$B$9*4,I142+I143,0)</f>
        <v>0</v>
      </c>
      <c r="J144" s="9">
        <f>IF(6&lt;=核心参数输入!$B$9*4,J142+J143,0)</f>
        <v>0</v>
      </c>
      <c r="K144" s="9">
        <f>IF(7&lt;=核心参数输入!$B$9*4,K142+K143,0)</f>
        <v>0</v>
      </c>
      <c r="L144" s="9">
        <f>IF(8&lt;=核心参数输入!$B$9*4,L142+L143,0)</f>
        <v>0</v>
      </c>
      <c r="M144" s="9">
        <f>IF(9&lt;=核心参数输入!$B$9*4,M142+M143,0)</f>
        <v>0</v>
      </c>
      <c r="N144" s="9">
        <f>IF(10&lt;=核心参数输入!$B$9*4,N142+N143,0)</f>
        <v>0</v>
      </c>
      <c r="O144" s="9">
        <f>IF(11&lt;=核心参数输入!$B$9*4,O142+O143,0)</f>
        <v>0</v>
      </c>
      <c r="P144" s="9">
        <f>IF(12&lt;=核心参数输入!$B$9*4,P142+P143,0)</f>
        <v>0</v>
      </c>
      <c r="Q144" s="9">
        <f>IF(13&lt;=核心参数输入!$B$9*4,Q142+Q143,0)</f>
        <v>3257.71875</v>
      </c>
      <c r="R144" s="9">
        <f>IF(14&lt;=核心参数输入!$B$9*4,R142+R143,0)</f>
        <v>3280.0868392500001</v>
      </c>
      <c r="S144" s="9">
        <f>IF(15&lt;=核心参数输入!$B$9*4,S142+S143,0)</f>
        <v>3324.82301775</v>
      </c>
      <c r="T144" s="9">
        <f>IF(16&lt;=核心参数输入!$B$9*4,T142+T143,0)</f>
        <v>3369.5591962500002</v>
      </c>
      <c r="U144" s="9">
        <f>IF(17&lt;=核心参数输入!$B$9*4,U142+U143,0)</f>
        <v>4502.5502741212504</v>
      </c>
      <c r="V144" s="9">
        <f>IF(18&lt;=核心参数输入!$B$9*4,V142+V143,0)</f>
        <v>4536.605690004375</v>
      </c>
      <c r="W144" s="9">
        <f>IF(19&lt;=核心参数输入!$B$9*4,W142+W143,0)</f>
        <v>4559.309300593125</v>
      </c>
      <c r="X144" s="9">
        <f>IF(20&lt;=核心参数输入!$B$9*4,X142+X143,0)</f>
        <v>4582.0129111818751</v>
      </c>
      <c r="Y144" s="9">
        <f>IF(21&lt;=核心参数输入!$B$9*4,Y142+Y143,0)</f>
        <v>3522.7266445971841</v>
      </c>
      <c r="Z144" s="9">
        <f>IF(22&lt;=核心参数输入!$B$9*4,Z142+Z143,0)</f>
        <v>3542.8902887513177</v>
      </c>
      <c r="AA144" s="9">
        <f>IF(23&lt;=核心参数输入!$B$9*4,AA142+AA143,0)</f>
        <v>3560.1734123120041</v>
      </c>
      <c r="AB144" s="9">
        <f>IF(24&lt;=核心参数输入!$B$9*4,AB142+AB143,0)</f>
        <v>3577.4565358726895</v>
      </c>
      <c r="AC144" s="9">
        <f>IF(25&lt;=核心参数输入!$B$9*4,AC142+AC143,0)</f>
        <v>342.07622307487622</v>
      </c>
      <c r="AD144" s="9">
        <f>IF(26&lt;=核心参数输入!$B$9*4,AD142+AD143,0)</f>
        <v>353.7711366842737</v>
      </c>
      <c r="AE144" s="9">
        <f>IF(27&lt;=核心参数输入!$B$9*4,AE142+AE143,0)</f>
        <v>359.61859348897246</v>
      </c>
      <c r="AF144" s="9">
        <f>IF(28&lt;=核心参数输入!$B$9*4,AF142+AF143,0)</f>
        <v>365.46605029367123</v>
      </c>
      <c r="AG144" s="9">
        <f>IF(29&lt;=核心参数输入!$B$9*4,AG142+AG143,0)</f>
        <v>376.88320970484551</v>
      </c>
      <c r="AH144" s="9">
        <f>IF(30&lt;=核心参数输入!$B$9*4,AH142+AH143,0)</f>
        <v>379.8507940332301</v>
      </c>
      <c r="AI144" s="9">
        <f>IF(31&lt;=核心参数输入!$B$9*4,AI142+AI143,0)</f>
        <v>379.8507940332301</v>
      </c>
      <c r="AJ144" s="9">
        <f>IF(32&lt;=核心参数输入!$B$9*4,AJ142+AJ143,0)</f>
        <v>379.8507940332301</v>
      </c>
      <c r="AK144" s="9">
        <f>IF(33&lt;=核心参数输入!$B$9*4,AK142+AK143,0)</f>
        <v>385.54855594372856</v>
      </c>
      <c r="AL144" s="9">
        <f>IF(34&lt;=核心参数输入!$B$9*4,AL142+AL143,0)</f>
        <v>385.54855594372856</v>
      </c>
      <c r="AM144" s="9">
        <f>IF(35&lt;=核心参数输入!$B$9*4,AM142+AM143,0)</f>
        <v>385.54855594372856</v>
      </c>
      <c r="AN144" s="9">
        <f>IF(36&lt;=核心参数输入!$B$9*4,AN142+AN143,0)</f>
        <v>385.54855594372856</v>
      </c>
      <c r="AO144" s="9">
        <f>IF(37&lt;=核心参数输入!$B$9*4,AO142+AO143,0)</f>
        <v>391.33178428288437</v>
      </c>
      <c r="AP144" s="9">
        <f>IF(38&lt;=核心参数输入!$B$9*4,AP142+AP143,0)</f>
        <v>391.33178428288437</v>
      </c>
      <c r="AQ144" s="9">
        <f>IF(39&lt;=核心参数输入!$B$9*4,AQ142+AQ143,0)</f>
        <v>391.33178428288437</v>
      </c>
      <c r="AR144" s="9">
        <f>IF(40&lt;=核心参数输入!$B$9*4,AR142+AR143,0)</f>
        <v>391.33178428288437</v>
      </c>
      <c r="AS144" s="9">
        <f>IF(41&lt;=核心参数输入!$B$9*4,AS142+AS143,0)</f>
        <v>397.2017610471276</v>
      </c>
      <c r="AT144" s="9">
        <f>IF(42&lt;=核心参数输入!$B$9*4,AT142+AT143,0)</f>
        <v>397.2017610471276</v>
      </c>
      <c r="AU144" s="9">
        <f>IF(43&lt;=核心参数输入!$B$9*4,AU142+AU143,0)</f>
        <v>397.2017610471276</v>
      </c>
      <c r="AV144" s="9">
        <f>IF(44&lt;=核心参数输入!$B$9*4,AV142+AV143,0)</f>
        <v>397.2017610471276</v>
      </c>
      <c r="AW144" s="9">
        <f>IF(45&lt;=核心参数输入!$B$9*4,AW142+AW143,0)</f>
        <v>403.1597874628344</v>
      </c>
      <c r="AX144" s="9">
        <f>IF(46&lt;=核心参数输入!$B$9*4,AX142+AX143,0)</f>
        <v>403.1597874628344</v>
      </c>
      <c r="AY144" s="9">
        <f>IF(47&lt;=核心参数输入!$B$9*4,AY142+AY143,0)</f>
        <v>403.1597874628344</v>
      </c>
      <c r="AZ144" s="9">
        <f>IF(48&lt;=核心参数输入!$B$9*4,AZ142+AZ143,0)</f>
        <v>403.1597874628344</v>
      </c>
      <c r="BA144" s="9">
        <f>IF(49&lt;=核心参数输入!$B$9*4,BA142+BA143,0)</f>
        <v>409.20718427477692</v>
      </c>
      <c r="BB144" s="9">
        <f>IF(50&lt;=核心参数输入!$B$9*4,BB142+BB143,0)</f>
        <v>409.20718427477692</v>
      </c>
      <c r="BC144" s="9">
        <f>IF(51&lt;=核心参数输入!$B$9*4,BC142+BC143,0)</f>
        <v>409.20718427477692</v>
      </c>
      <c r="BD144" s="9">
        <f>IF(52&lt;=核心参数输入!$B$9*4,BD142+BD143,0)</f>
        <v>409.20718427477692</v>
      </c>
      <c r="BE144" s="9">
        <f>IF(53&lt;=核心参数输入!$B$9*4,BE142+BE143,0)</f>
        <v>415.34529203889849</v>
      </c>
      <c r="BF144" s="9">
        <f>IF(54&lt;=核心参数输入!$B$9*4,BF142+BF143,0)</f>
        <v>415.34529203889849</v>
      </c>
      <c r="BG144" s="9">
        <f>IF(55&lt;=核心参数输入!$B$9*4,BG142+BG143,0)</f>
        <v>415.34529203889849</v>
      </c>
      <c r="BH144" s="9">
        <f>IF(56&lt;=核心参数输入!$B$9*4,BH142+BH143,0)</f>
        <v>415.34529203889849</v>
      </c>
      <c r="BI144" s="9">
        <f>IF(57&lt;=核心参数输入!$B$9*4,BI142+BI143,0)</f>
        <v>421.57547141948186</v>
      </c>
      <c r="BJ144" s="9">
        <f>IF(58&lt;=核心参数输入!$B$9*4,BJ142+BJ143,0)</f>
        <v>421.57547141948186</v>
      </c>
      <c r="BK144" s="9">
        <f>IF(59&lt;=核心参数输入!$B$9*4,BK142+BK143,0)</f>
        <v>421.57547141948186</v>
      </c>
      <c r="BL144" s="9">
        <f>IF(60&lt;=核心参数输入!$B$9*4,BL142+BL143,0)</f>
        <v>421.57547141948186</v>
      </c>
      <c r="BM144" s="9">
        <f>IF(61&lt;=核心参数输入!$B$9*4,BM142+BM143,0)</f>
        <v>427.899103490774</v>
      </c>
      <c r="BN144" s="9">
        <f>IF(62&lt;=核心参数输入!$B$9*4,BN142+BN143,0)</f>
        <v>427.899103490774</v>
      </c>
      <c r="BO144" s="9">
        <f>IF(63&lt;=核心参数输入!$B$9*4,BO142+BO143,0)</f>
        <v>427.899103490774</v>
      </c>
      <c r="BP144" s="9">
        <f>IF(64&lt;=核心参数输入!$B$9*4,BP142+BP143,0)</f>
        <v>427.899103490774</v>
      </c>
      <c r="BQ144" s="9">
        <f>IF(65&lt;=核心参数输入!$B$9*4,BQ142+BQ143,0)</f>
        <v>434.31759004313568</v>
      </c>
      <c r="BR144" s="9">
        <f>IF(66&lt;=核心参数输入!$B$9*4,BR142+BR143,0)</f>
        <v>434.31759004313568</v>
      </c>
      <c r="BS144" s="9">
        <f>IF(67&lt;=核心参数输入!$B$9*4,BS142+BS143,0)</f>
        <v>434.31759004313568</v>
      </c>
      <c r="BT144" s="9">
        <f>IF(68&lt;=核心参数输入!$B$9*4,BT142+BT143,0)</f>
        <v>434.31759004313568</v>
      </c>
      <c r="BU144" s="9">
        <f>IF(69&lt;=核心参数输入!$B$9*4,BU142+BU143,0)</f>
        <v>440.83235389378257</v>
      </c>
      <c r="BV144" s="9">
        <f>IF(70&lt;=核心参数输入!$B$9*4,BV142+BV143,0)</f>
        <v>440.83235389378257</v>
      </c>
      <c r="BW144" s="9">
        <f>IF(71&lt;=核心参数输入!$B$9*4,BW142+BW143,0)</f>
        <v>440.83235389378257</v>
      </c>
      <c r="BX144" s="9">
        <f>IF(72&lt;=核心参数输入!$B$9*4,BX142+BX143,0)</f>
        <v>440.83235389378257</v>
      </c>
      <c r="BY144" s="9">
        <f>IF(73&lt;=核心参数输入!$B$9*4,BY142+BY143,0)</f>
        <v>447.44483920218926</v>
      </c>
      <c r="BZ144" s="9">
        <f>IF(74&lt;=核心参数输入!$B$9*4,BZ142+BZ143,0)</f>
        <v>447.44483920218926</v>
      </c>
      <c r="CA144" s="9">
        <f>IF(75&lt;=核心参数输入!$B$9*4,CA142+CA143,0)</f>
        <v>447.44483920218926</v>
      </c>
      <c r="CB144" s="9">
        <f>IF(76&lt;=核心参数输入!$B$9*4,CB142+CB143,0)</f>
        <v>447.44483920218926</v>
      </c>
      <c r="CC144" s="9">
        <f>IF(77&lt;=核心参数输入!$B$9*4,CC142+CC143,0)</f>
        <v>454.15651179022205</v>
      </c>
      <c r="CD144" s="9">
        <f>IF(78&lt;=核心参数输入!$B$9*4,CD142+CD143,0)</f>
        <v>454.15651179022205</v>
      </c>
      <c r="CE144" s="9">
        <f>IF(79&lt;=核心参数输入!$B$9*4,CE142+CE143,0)</f>
        <v>454.15651179022205</v>
      </c>
      <c r="CF144" s="9">
        <f>IF(80&lt;=核心参数输入!$B$9*4,CF142+CF143,0)</f>
        <v>454.15651179022205</v>
      </c>
      <c r="CG144" s="9">
        <f>IF(81&lt;=核心参数输入!$B$9*4,CG142+CG143,0)</f>
        <v>0</v>
      </c>
      <c r="CH144" s="9">
        <f>IF(82&lt;=核心参数输入!$B$9*4,CH142+CH143,0)</f>
        <v>0</v>
      </c>
      <c r="CI144" s="9">
        <f>IF(83&lt;=核心参数输入!$B$9*4,CI142+CI143,0)</f>
        <v>0</v>
      </c>
      <c r="CJ144" s="9">
        <f>IF(84&lt;=核心参数输入!$B$9*4,CJ142+CJ143,0)</f>
        <v>0</v>
      </c>
      <c r="CK144" s="9">
        <f>IF(85&lt;=核心参数输入!$B$9*4,CK142+CK143,0)</f>
        <v>0</v>
      </c>
      <c r="CL144" s="9">
        <f>IF(86&lt;=核心参数输入!$B$9*4,CL142+CL143,0)</f>
        <v>0</v>
      </c>
      <c r="CM144" s="9">
        <f>IF(87&lt;=核心参数输入!$B$9*4,CM142+CM143,0)</f>
        <v>0</v>
      </c>
      <c r="CN144" s="9">
        <f>IF(88&lt;=核心参数输入!$B$9*4,CN142+CN143,0)</f>
        <v>0</v>
      </c>
      <c r="CO144" s="9">
        <f>IF(89&lt;=核心参数输入!$B$9*4,CO142+CO143,0)</f>
        <v>0</v>
      </c>
      <c r="CP144" s="9">
        <f>IF(90&lt;=核心参数输入!$B$9*4,CP142+CP143,0)</f>
        <v>0</v>
      </c>
      <c r="CQ144" s="9">
        <f>IF(91&lt;=核心参数输入!$B$9*4,CQ142+CQ143,0)</f>
        <v>0</v>
      </c>
      <c r="CR144" s="9">
        <f>IF(92&lt;=核心参数输入!$B$9*4,CR142+CR143,0)</f>
        <v>0</v>
      </c>
      <c r="CS144" s="9">
        <f>IF(93&lt;=核心参数输入!$B$9*4,CS142+CS143,0)</f>
        <v>0</v>
      </c>
      <c r="CT144" s="9">
        <f>IF(94&lt;=核心参数输入!$B$9*4,CT142+CT143,0)</f>
        <v>0</v>
      </c>
      <c r="CU144" s="9">
        <f>IF(95&lt;=核心参数输入!$B$9*4,CU142+CU143,0)</f>
        <v>0</v>
      </c>
      <c r="CV144" s="9">
        <f>IF(96&lt;=核心参数输入!$B$9*4,CV142+CV143,0)</f>
        <v>0</v>
      </c>
      <c r="CW144" s="9">
        <f>IF(97&lt;=核心参数输入!$B$9*4,CW142+CW143,0)</f>
        <v>0</v>
      </c>
      <c r="CX144" s="9">
        <f>IF(98&lt;=核心参数输入!$B$9*4,CX142+CX143,0)</f>
        <v>0</v>
      </c>
      <c r="CY144" s="9">
        <f>IF(99&lt;=核心参数输入!$B$9*4,CY142+CY143,0)</f>
        <v>0</v>
      </c>
      <c r="CZ144" s="9">
        <f>IF(100&lt;=核心参数输入!$B$9*4,CZ142+CZ143,0)</f>
        <v>0</v>
      </c>
      <c r="DA144" s="9">
        <f>IF(101&lt;=核心参数输入!$B$9*4,DA142+DA143,0)</f>
        <v>0</v>
      </c>
      <c r="DB144" s="9">
        <f>IF(102&lt;=核心参数输入!$B$9*4,DB142+DB143,0)</f>
        <v>0</v>
      </c>
      <c r="DC144" s="9">
        <f>IF(103&lt;=核心参数输入!$B$9*4,DC142+DC143,0)</f>
        <v>0</v>
      </c>
      <c r="DD144" s="9">
        <f>IF(104&lt;=核心参数输入!$B$9*4,DD142+DD143,0)</f>
        <v>0</v>
      </c>
      <c r="DE144" s="9">
        <f>IF(105&lt;=核心参数输入!$B$9*4,DE142+DE143,0)</f>
        <v>0</v>
      </c>
      <c r="DF144" s="9">
        <f>IF(106&lt;=核心参数输入!$B$9*4,DF142+DF143,0)</f>
        <v>0</v>
      </c>
      <c r="DG144" s="9">
        <f>IF(107&lt;=核心参数输入!$B$9*4,DG142+DG143,0)</f>
        <v>0</v>
      </c>
      <c r="DH144" s="9">
        <f>IF(108&lt;=核心参数输入!$B$9*4,DH142+DH143,0)</f>
        <v>0</v>
      </c>
      <c r="DI144" s="9">
        <f>IF(109&lt;=核心参数输入!$B$9*4,DI142+DI143,0)</f>
        <v>0</v>
      </c>
      <c r="DJ144" s="9">
        <f>IF(110&lt;=核心参数输入!$B$9*4,DJ142+DJ143,0)</f>
        <v>0</v>
      </c>
      <c r="DK144" s="9">
        <f>IF(111&lt;=核心参数输入!$B$9*4,DK142+DK143,0)</f>
        <v>0</v>
      </c>
      <c r="DL144" s="9">
        <f>IF(112&lt;=核心参数输入!$B$9*4,DL142+DL143,0)</f>
        <v>0</v>
      </c>
      <c r="DM144" s="9">
        <f>IF(113&lt;=核心参数输入!$B$9*4,DM142+DM143,0)</f>
        <v>0</v>
      </c>
      <c r="DN144" s="9">
        <f>IF(114&lt;=核心参数输入!$B$9*4,DN142+DN143,0)</f>
        <v>0</v>
      </c>
      <c r="DO144" s="9">
        <f>IF(115&lt;=核心参数输入!$B$9*4,DO142+DO143,0)</f>
        <v>0</v>
      </c>
      <c r="DP144" s="9">
        <f>IF(116&lt;=核心参数输入!$B$9*4,DP142+DP143,0)</f>
        <v>0</v>
      </c>
      <c r="DQ144" s="9">
        <f>IF(117&lt;=核心参数输入!$B$9*4,DQ142+DQ143,0)</f>
        <v>0</v>
      </c>
      <c r="DR144" s="9">
        <f>IF(118&lt;=核心参数输入!$B$9*4,DR142+DR143,0)</f>
        <v>0</v>
      </c>
      <c r="DS144" s="9">
        <f>IF(119&lt;=核心参数输入!$B$9*4,DS142+DS143,0)</f>
        <v>0</v>
      </c>
      <c r="DT144" s="9">
        <f>IF(120&lt;=核心参数输入!$B$9*4,DT142+DT143,0)</f>
        <v>0</v>
      </c>
    </row>
    <row r="145" spans="1:124" ht="21" customHeight="1">
      <c r="A145" s="8" t="s">
        <v>467</v>
      </c>
      <c r="B145" s="8" t="s">
        <v>39</v>
      </c>
      <c r="C145" s="8"/>
      <c r="D145" s="9">
        <f>IF(0&lt;=核心参数输入!$B$9*4,D121*核心参数输入!$B$32,0)</f>
        <v>0</v>
      </c>
      <c r="E145" s="9">
        <f>IF(1&lt;=核心参数输入!$B$9*4,E121*核心参数输入!$B$32,0)</f>
        <v>0</v>
      </c>
      <c r="F145" s="9">
        <f>IF(2&lt;=核心参数输入!$B$9*4,F121*核心参数输入!$B$32,0)</f>
        <v>0</v>
      </c>
      <c r="G145" s="9">
        <f>IF(3&lt;=核心参数输入!$B$9*4,G121*核心参数输入!$B$32,0)</f>
        <v>0</v>
      </c>
      <c r="H145" s="9">
        <f>IF(4&lt;=核心参数输入!$B$9*4,H121*核心参数输入!$B$32,0)</f>
        <v>0</v>
      </c>
      <c r="I145" s="9">
        <f>IF(5&lt;=核心参数输入!$B$9*4,I121*核心参数输入!$B$32,0)</f>
        <v>0</v>
      </c>
      <c r="J145" s="9">
        <f>IF(6&lt;=核心参数输入!$B$9*4,J121*核心参数输入!$B$32,0)</f>
        <v>0</v>
      </c>
      <c r="K145" s="9">
        <f>IF(7&lt;=核心参数输入!$B$9*4,K121*核心参数输入!$B$32,0)</f>
        <v>0</v>
      </c>
      <c r="L145" s="9">
        <f>IF(8&lt;=核心参数输入!$B$9*4,L121*核心参数输入!$B$32,0)</f>
        <v>0</v>
      </c>
      <c r="M145" s="9">
        <f>IF(9&lt;=核心参数输入!$B$9*4,M121*核心参数输入!$B$32,0)</f>
        <v>0</v>
      </c>
      <c r="N145" s="9">
        <f>IF(10&lt;=核心参数输入!$B$9*4,N121*核心参数输入!$B$32,0)</f>
        <v>0</v>
      </c>
      <c r="O145" s="9">
        <f>IF(11&lt;=核心参数输入!$B$9*4,O121*核心参数输入!$B$32,0)</f>
        <v>0</v>
      </c>
      <c r="P145" s="9">
        <f>IF(12&lt;=核心参数输入!$B$9*4,P121*核心参数输入!$B$32,0)</f>
        <v>0</v>
      </c>
      <c r="Q145" s="9">
        <f>IF(13&lt;=核心参数输入!$B$9*4,Q121*核心参数输入!$B$32,0)</f>
        <v>81.442968750000006</v>
      </c>
      <c r="R145" s="9">
        <f>IF(14&lt;=核心参数输入!$B$9*4,R121*核心参数输入!$B$32,0)</f>
        <v>81.442968750000006</v>
      </c>
      <c r="S145" s="9">
        <f>IF(15&lt;=核心参数输入!$B$9*4,S121*核心参数输入!$B$32,0)</f>
        <v>81.442968750000006</v>
      </c>
      <c r="T145" s="9">
        <f>IF(16&lt;=核心参数输入!$B$9*4,T121*核心参数输入!$B$32,0)</f>
        <v>81.442968750000006</v>
      </c>
      <c r="U145" s="9">
        <f>IF(17&lt;=核心参数输入!$B$9*4,U121*核心参数输入!$B$32,0)</f>
        <v>108.590625</v>
      </c>
      <c r="V145" s="9">
        <f>IF(18&lt;=核心参数输入!$B$9*4,V121*核心参数输入!$B$32,0)</f>
        <v>108.590625</v>
      </c>
      <c r="W145" s="9">
        <f>IF(19&lt;=核心参数输入!$B$9*4,W121*核心参数输入!$B$32,0)</f>
        <v>108.590625</v>
      </c>
      <c r="X145" s="9">
        <f>IF(20&lt;=核心参数输入!$B$9*4,X121*核心参数输入!$B$32,0)</f>
        <v>108.590625</v>
      </c>
      <c r="Y145" s="9">
        <f>IF(21&lt;=核心参数输入!$B$9*4,Y121*核心参数输入!$B$32,0)</f>
        <v>81.442968750000006</v>
      </c>
      <c r="Z145" s="9">
        <f>IF(22&lt;=核心参数输入!$B$9*4,Z121*核心参数输入!$B$32,0)</f>
        <v>81.442968750000006</v>
      </c>
      <c r="AA145" s="9">
        <f>IF(23&lt;=核心参数输入!$B$9*4,AA121*核心参数输入!$B$32,0)</f>
        <v>81.442968750000006</v>
      </c>
      <c r="AB145" s="9">
        <f>IF(24&lt;=核心参数输入!$B$9*4,AB121*核心参数输入!$B$32,0)</f>
        <v>81.442968750000006</v>
      </c>
      <c r="AC145" s="9">
        <f>IF(25&lt;=核心参数输入!$B$9*4,AC121*核心参数输入!$B$32,0)</f>
        <v>0</v>
      </c>
      <c r="AD145" s="9">
        <f>IF(26&lt;=核心参数输入!$B$9*4,AD121*核心参数输入!$B$32,0)</f>
        <v>0</v>
      </c>
      <c r="AE145" s="9">
        <f>IF(27&lt;=核心参数输入!$B$9*4,AE121*核心参数输入!$B$32,0)</f>
        <v>0</v>
      </c>
      <c r="AF145" s="9">
        <f>IF(28&lt;=核心参数输入!$B$9*4,AF121*核心参数输入!$B$32,0)</f>
        <v>0</v>
      </c>
      <c r="AG145" s="9">
        <f>IF(29&lt;=核心参数输入!$B$9*4,AG121*核心参数输入!$B$32,0)</f>
        <v>0</v>
      </c>
      <c r="AH145" s="9">
        <f>IF(30&lt;=核心参数输入!$B$9*4,AH121*核心参数输入!$B$32,0)</f>
        <v>0</v>
      </c>
      <c r="AI145" s="9">
        <f>IF(31&lt;=核心参数输入!$B$9*4,AI121*核心参数输入!$B$32,0)</f>
        <v>0</v>
      </c>
      <c r="AJ145" s="9">
        <f>IF(32&lt;=核心参数输入!$B$9*4,AJ121*核心参数输入!$B$32,0)</f>
        <v>0</v>
      </c>
      <c r="AK145" s="9">
        <f>IF(33&lt;=核心参数输入!$B$9*4,AK121*核心参数输入!$B$32,0)</f>
        <v>0</v>
      </c>
      <c r="AL145" s="9">
        <f>IF(34&lt;=核心参数输入!$B$9*4,AL121*核心参数输入!$B$32,0)</f>
        <v>0</v>
      </c>
      <c r="AM145" s="9">
        <f>IF(35&lt;=核心参数输入!$B$9*4,AM121*核心参数输入!$B$32,0)</f>
        <v>0</v>
      </c>
      <c r="AN145" s="9">
        <f>IF(36&lt;=核心参数输入!$B$9*4,AN121*核心参数输入!$B$32,0)</f>
        <v>0</v>
      </c>
      <c r="AO145" s="9">
        <f>IF(37&lt;=核心参数输入!$B$9*4,AO121*核心参数输入!$B$32,0)</f>
        <v>0</v>
      </c>
      <c r="AP145" s="9">
        <f>IF(38&lt;=核心参数输入!$B$9*4,AP121*核心参数输入!$B$32,0)</f>
        <v>0</v>
      </c>
      <c r="AQ145" s="9">
        <f>IF(39&lt;=核心参数输入!$B$9*4,AQ121*核心参数输入!$B$32,0)</f>
        <v>0</v>
      </c>
      <c r="AR145" s="9">
        <f>IF(40&lt;=核心参数输入!$B$9*4,AR121*核心参数输入!$B$32,0)</f>
        <v>0</v>
      </c>
      <c r="AS145" s="9">
        <f>IF(41&lt;=核心参数输入!$B$9*4,AS121*核心参数输入!$B$32,0)</f>
        <v>0</v>
      </c>
      <c r="AT145" s="9">
        <f>IF(42&lt;=核心参数输入!$B$9*4,AT121*核心参数输入!$B$32,0)</f>
        <v>0</v>
      </c>
      <c r="AU145" s="9">
        <f>IF(43&lt;=核心参数输入!$B$9*4,AU121*核心参数输入!$B$32,0)</f>
        <v>0</v>
      </c>
      <c r="AV145" s="9">
        <f>IF(44&lt;=核心参数输入!$B$9*4,AV121*核心参数输入!$B$32,0)</f>
        <v>0</v>
      </c>
      <c r="AW145" s="9">
        <f>IF(45&lt;=核心参数输入!$B$9*4,AW121*核心参数输入!$B$32,0)</f>
        <v>0</v>
      </c>
      <c r="AX145" s="9">
        <f>IF(46&lt;=核心参数输入!$B$9*4,AX121*核心参数输入!$B$32,0)</f>
        <v>0</v>
      </c>
      <c r="AY145" s="9">
        <f>IF(47&lt;=核心参数输入!$B$9*4,AY121*核心参数输入!$B$32,0)</f>
        <v>0</v>
      </c>
      <c r="AZ145" s="9">
        <f>IF(48&lt;=核心参数输入!$B$9*4,AZ121*核心参数输入!$B$32,0)</f>
        <v>0</v>
      </c>
      <c r="BA145" s="9">
        <f>IF(49&lt;=核心参数输入!$B$9*4,BA121*核心参数输入!$B$32,0)</f>
        <v>0</v>
      </c>
      <c r="BB145" s="9">
        <f>IF(50&lt;=核心参数输入!$B$9*4,BB121*核心参数输入!$B$32,0)</f>
        <v>0</v>
      </c>
      <c r="BC145" s="9">
        <f>IF(51&lt;=核心参数输入!$B$9*4,BC121*核心参数输入!$B$32,0)</f>
        <v>0</v>
      </c>
      <c r="BD145" s="9">
        <f>IF(52&lt;=核心参数输入!$B$9*4,BD121*核心参数输入!$B$32,0)</f>
        <v>0</v>
      </c>
      <c r="BE145" s="9">
        <f>IF(53&lt;=核心参数输入!$B$9*4,BE121*核心参数输入!$B$32,0)</f>
        <v>0</v>
      </c>
      <c r="BF145" s="9">
        <f>IF(54&lt;=核心参数输入!$B$9*4,BF121*核心参数输入!$B$32,0)</f>
        <v>0</v>
      </c>
      <c r="BG145" s="9">
        <f>IF(55&lt;=核心参数输入!$B$9*4,BG121*核心参数输入!$B$32,0)</f>
        <v>0</v>
      </c>
      <c r="BH145" s="9">
        <f>IF(56&lt;=核心参数输入!$B$9*4,BH121*核心参数输入!$B$32,0)</f>
        <v>0</v>
      </c>
      <c r="BI145" s="9">
        <f>IF(57&lt;=核心参数输入!$B$9*4,BI121*核心参数输入!$B$32,0)</f>
        <v>0</v>
      </c>
      <c r="BJ145" s="9">
        <f>IF(58&lt;=核心参数输入!$B$9*4,BJ121*核心参数输入!$B$32,0)</f>
        <v>0</v>
      </c>
      <c r="BK145" s="9">
        <f>IF(59&lt;=核心参数输入!$B$9*4,BK121*核心参数输入!$B$32,0)</f>
        <v>0</v>
      </c>
      <c r="BL145" s="9">
        <f>IF(60&lt;=核心参数输入!$B$9*4,BL121*核心参数输入!$B$32,0)</f>
        <v>0</v>
      </c>
      <c r="BM145" s="9">
        <f>IF(61&lt;=核心参数输入!$B$9*4,BM121*核心参数输入!$B$32,0)</f>
        <v>0</v>
      </c>
      <c r="BN145" s="9">
        <f>IF(62&lt;=核心参数输入!$B$9*4,BN121*核心参数输入!$B$32,0)</f>
        <v>0</v>
      </c>
      <c r="BO145" s="9">
        <f>IF(63&lt;=核心参数输入!$B$9*4,BO121*核心参数输入!$B$32,0)</f>
        <v>0</v>
      </c>
      <c r="BP145" s="9">
        <f>IF(64&lt;=核心参数输入!$B$9*4,BP121*核心参数输入!$B$32,0)</f>
        <v>0</v>
      </c>
      <c r="BQ145" s="9">
        <f>IF(65&lt;=核心参数输入!$B$9*4,BQ121*核心参数输入!$B$32,0)</f>
        <v>0</v>
      </c>
      <c r="BR145" s="9">
        <f>IF(66&lt;=核心参数输入!$B$9*4,BR121*核心参数输入!$B$32,0)</f>
        <v>0</v>
      </c>
      <c r="BS145" s="9">
        <f>IF(67&lt;=核心参数输入!$B$9*4,BS121*核心参数输入!$B$32,0)</f>
        <v>0</v>
      </c>
      <c r="BT145" s="9">
        <f>IF(68&lt;=核心参数输入!$B$9*4,BT121*核心参数输入!$B$32,0)</f>
        <v>0</v>
      </c>
      <c r="BU145" s="9">
        <f>IF(69&lt;=核心参数输入!$B$9*4,BU121*核心参数输入!$B$32,0)</f>
        <v>0</v>
      </c>
      <c r="BV145" s="9">
        <f>IF(70&lt;=核心参数输入!$B$9*4,BV121*核心参数输入!$B$32,0)</f>
        <v>0</v>
      </c>
      <c r="BW145" s="9">
        <f>IF(71&lt;=核心参数输入!$B$9*4,BW121*核心参数输入!$B$32,0)</f>
        <v>0</v>
      </c>
      <c r="BX145" s="9">
        <f>IF(72&lt;=核心参数输入!$B$9*4,BX121*核心参数输入!$B$32,0)</f>
        <v>0</v>
      </c>
      <c r="BY145" s="9">
        <f>IF(73&lt;=核心参数输入!$B$9*4,BY121*核心参数输入!$B$32,0)</f>
        <v>0</v>
      </c>
      <c r="BZ145" s="9">
        <f>IF(74&lt;=核心参数输入!$B$9*4,BZ121*核心参数输入!$B$32,0)</f>
        <v>0</v>
      </c>
      <c r="CA145" s="9">
        <f>IF(75&lt;=核心参数输入!$B$9*4,CA121*核心参数输入!$B$32,0)</f>
        <v>0</v>
      </c>
      <c r="CB145" s="9">
        <f>IF(76&lt;=核心参数输入!$B$9*4,CB121*核心参数输入!$B$32,0)</f>
        <v>0</v>
      </c>
      <c r="CC145" s="9">
        <f>IF(77&lt;=核心参数输入!$B$9*4,CC121*核心参数输入!$B$32,0)</f>
        <v>0</v>
      </c>
      <c r="CD145" s="9">
        <f>IF(78&lt;=核心参数输入!$B$9*4,CD121*核心参数输入!$B$32,0)</f>
        <v>0</v>
      </c>
      <c r="CE145" s="9">
        <f>IF(79&lt;=核心参数输入!$B$9*4,CE121*核心参数输入!$B$32,0)</f>
        <v>0</v>
      </c>
      <c r="CF145" s="9">
        <f>IF(80&lt;=核心参数输入!$B$9*4,CF121*核心参数输入!$B$32,0)</f>
        <v>0</v>
      </c>
      <c r="CG145" s="9">
        <f>IF(81&lt;=核心参数输入!$B$9*4,CG121*核心参数输入!$B$32,0)</f>
        <v>0</v>
      </c>
      <c r="CH145" s="9">
        <f>IF(82&lt;=核心参数输入!$B$9*4,CH121*核心参数输入!$B$32,0)</f>
        <v>0</v>
      </c>
      <c r="CI145" s="9">
        <f>IF(83&lt;=核心参数输入!$B$9*4,CI121*核心参数输入!$B$32,0)</f>
        <v>0</v>
      </c>
      <c r="CJ145" s="9">
        <f>IF(84&lt;=核心参数输入!$B$9*4,CJ121*核心参数输入!$B$32,0)</f>
        <v>0</v>
      </c>
      <c r="CK145" s="9">
        <f>IF(85&lt;=核心参数输入!$B$9*4,CK121*核心参数输入!$B$32,0)</f>
        <v>0</v>
      </c>
      <c r="CL145" s="9">
        <f>IF(86&lt;=核心参数输入!$B$9*4,CL121*核心参数输入!$B$32,0)</f>
        <v>0</v>
      </c>
      <c r="CM145" s="9">
        <f>IF(87&lt;=核心参数输入!$B$9*4,CM121*核心参数输入!$B$32,0)</f>
        <v>0</v>
      </c>
      <c r="CN145" s="9">
        <f>IF(88&lt;=核心参数输入!$B$9*4,CN121*核心参数输入!$B$32,0)</f>
        <v>0</v>
      </c>
      <c r="CO145" s="9">
        <f>IF(89&lt;=核心参数输入!$B$9*4,CO121*核心参数输入!$B$32,0)</f>
        <v>0</v>
      </c>
      <c r="CP145" s="9">
        <f>IF(90&lt;=核心参数输入!$B$9*4,CP121*核心参数输入!$B$32,0)</f>
        <v>0</v>
      </c>
      <c r="CQ145" s="9">
        <f>IF(91&lt;=核心参数输入!$B$9*4,CQ121*核心参数输入!$B$32,0)</f>
        <v>0</v>
      </c>
      <c r="CR145" s="9">
        <f>IF(92&lt;=核心参数输入!$B$9*4,CR121*核心参数输入!$B$32,0)</f>
        <v>0</v>
      </c>
      <c r="CS145" s="9">
        <f>IF(93&lt;=核心参数输入!$B$9*4,CS121*核心参数输入!$B$32,0)</f>
        <v>0</v>
      </c>
      <c r="CT145" s="9">
        <f>IF(94&lt;=核心参数输入!$B$9*4,CT121*核心参数输入!$B$32,0)</f>
        <v>0</v>
      </c>
      <c r="CU145" s="9">
        <f>IF(95&lt;=核心参数输入!$B$9*4,CU121*核心参数输入!$B$32,0)</f>
        <v>0</v>
      </c>
      <c r="CV145" s="9">
        <f>IF(96&lt;=核心参数输入!$B$9*4,CV121*核心参数输入!$B$32,0)</f>
        <v>0</v>
      </c>
      <c r="CW145" s="9">
        <f>IF(97&lt;=核心参数输入!$B$9*4,CW121*核心参数输入!$B$32,0)</f>
        <v>0</v>
      </c>
      <c r="CX145" s="9">
        <f>IF(98&lt;=核心参数输入!$B$9*4,CX121*核心参数输入!$B$32,0)</f>
        <v>0</v>
      </c>
      <c r="CY145" s="9">
        <f>IF(99&lt;=核心参数输入!$B$9*4,CY121*核心参数输入!$B$32,0)</f>
        <v>0</v>
      </c>
      <c r="CZ145" s="9">
        <f>IF(100&lt;=核心参数输入!$B$9*4,CZ121*核心参数输入!$B$32,0)</f>
        <v>0</v>
      </c>
      <c r="DA145" s="9">
        <f>IF(101&lt;=核心参数输入!$B$9*4,DA121*核心参数输入!$B$32,0)</f>
        <v>0</v>
      </c>
      <c r="DB145" s="9">
        <f>IF(102&lt;=核心参数输入!$B$9*4,DB121*核心参数输入!$B$32,0)</f>
        <v>0</v>
      </c>
      <c r="DC145" s="9">
        <f>IF(103&lt;=核心参数输入!$B$9*4,DC121*核心参数输入!$B$32,0)</f>
        <v>0</v>
      </c>
      <c r="DD145" s="9">
        <f>IF(104&lt;=核心参数输入!$B$9*4,DD121*核心参数输入!$B$32,0)</f>
        <v>0</v>
      </c>
      <c r="DE145" s="9">
        <f>IF(105&lt;=核心参数输入!$B$9*4,DE121*核心参数输入!$B$32,0)</f>
        <v>0</v>
      </c>
      <c r="DF145" s="9">
        <f>IF(106&lt;=核心参数输入!$B$9*4,DF121*核心参数输入!$B$32,0)</f>
        <v>0</v>
      </c>
      <c r="DG145" s="9">
        <f>IF(107&lt;=核心参数输入!$B$9*4,DG121*核心参数输入!$B$32,0)</f>
        <v>0</v>
      </c>
      <c r="DH145" s="9">
        <f>IF(108&lt;=核心参数输入!$B$9*4,DH121*核心参数输入!$B$32,0)</f>
        <v>0</v>
      </c>
      <c r="DI145" s="9">
        <f>IF(109&lt;=核心参数输入!$B$9*4,DI121*核心参数输入!$B$32,0)</f>
        <v>0</v>
      </c>
      <c r="DJ145" s="9">
        <f>IF(110&lt;=核心参数输入!$B$9*4,DJ121*核心参数输入!$B$32,0)</f>
        <v>0</v>
      </c>
      <c r="DK145" s="9">
        <f>IF(111&lt;=核心参数输入!$B$9*4,DK121*核心参数输入!$B$32,0)</f>
        <v>0</v>
      </c>
      <c r="DL145" s="9">
        <f>IF(112&lt;=核心参数输入!$B$9*4,DL121*核心参数输入!$B$32,0)</f>
        <v>0</v>
      </c>
      <c r="DM145" s="9">
        <f>IF(113&lt;=核心参数输入!$B$9*4,DM121*核心参数输入!$B$32,0)</f>
        <v>0</v>
      </c>
      <c r="DN145" s="9">
        <f>IF(114&lt;=核心参数输入!$B$9*4,DN121*核心参数输入!$B$32,0)</f>
        <v>0</v>
      </c>
      <c r="DO145" s="9">
        <f>IF(115&lt;=核心参数输入!$B$9*4,DO121*核心参数输入!$B$32,0)</f>
        <v>0</v>
      </c>
      <c r="DP145" s="9">
        <f>IF(116&lt;=核心参数输入!$B$9*4,DP121*核心参数输入!$B$32,0)</f>
        <v>0</v>
      </c>
      <c r="DQ145" s="9">
        <f>IF(117&lt;=核心参数输入!$B$9*4,DQ121*核心参数输入!$B$32,0)</f>
        <v>0</v>
      </c>
      <c r="DR145" s="9">
        <f>IF(118&lt;=核心参数输入!$B$9*4,DR121*核心参数输入!$B$32,0)</f>
        <v>0</v>
      </c>
      <c r="DS145" s="9">
        <f>IF(119&lt;=核心参数输入!$B$9*4,DS121*核心参数输入!$B$32,0)</f>
        <v>0</v>
      </c>
      <c r="DT145" s="9">
        <f>IF(120&lt;=核心参数输入!$B$9*4,DT121*核心参数输入!$B$32,0)</f>
        <v>0</v>
      </c>
    </row>
    <row r="146" spans="1:124" ht="21" customHeight="1">
      <c r="A146" s="8" t="s">
        <v>468</v>
      </c>
      <c r="B146" s="8" t="s">
        <v>39</v>
      </c>
      <c r="C146" s="8"/>
      <c r="D146" s="9">
        <f>IF(0&lt;=核心参数输入!$B$9*4,D121*IF(核心参数输入!$B$96=1,核心参数输入!$B$33,核心参数输入!$B$121),0)</f>
        <v>0</v>
      </c>
      <c r="E146" s="9">
        <f>IF(1&lt;=核心参数输入!$B$9*4,E121*IF(核心参数输入!$B$96=1,核心参数输入!$B$33,核心参数输入!$B$121),0)</f>
        <v>0</v>
      </c>
      <c r="F146" s="9">
        <f>IF(2&lt;=核心参数输入!$B$9*4,F121*IF(核心参数输入!$B$96=1,核心参数输入!$B$33,核心参数输入!$B$121),0)</f>
        <v>0</v>
      </c>
      <c r="G146" s="9">
        <f>IF(3&lt;=核心参数输入!$B$9*4,G121*IF(核心参数输入!$B$96=1,核心参数输入!$B$33,核心参数输入!$B$121),0)</f>
        <v>0</v>
      </c>
      <c r="H146" s="9">
        <f>IF(4&lt;=核心参数输入!$B$9*4,H121*IF(核心参数输入!$B$96=1,核心参数输入!$B$33,核心参数输入!$B$121),0)</f>
        <v>0</v>
      </c>
      <c r="I146" s="9">
        <f>IF(5&lt;=核心参数输入!$B$9*4,I121*IF(核心参数输入!$B$96=1,核心参数输入!$B$33,核心参数输入!$B$121),0)</f>
        <v>0</v>
      </c>
      <c r="J146" s="9">
        <f>IF(6&lt;=核心参数输入!$B$9*4,J121*IF(核心参数输入!$B$96=1,核心参数输入!$B$33,核心参数输入!$B$121),0)</f>
        <v>0</v>
      </c>
      <c r="K146" s="9">
        <f>IF(7&lt;=核心参数输入!$B$9*4,K121*IF(核心参数输入!$B$96=1,核心参数输入!$B$33,核心参数输入!$B$121),0)</f>
        <v>0</v>
      </c>
      <c r="L146" s="9">
        <f>IF(8&lt;=核心参数输入!$B$9*4,L121*IF(核心参数输入!$B$96=1,核心参数输入!$B$33,核心参数输入!$B$121),0)</f>
        <v>0</v>
      </c>
      <c r="M146" s="9">
        <f>IF(9&lt;=核心参数输入!$B$9*4,M121*IF(核心参数输入!$B$96=1,核心参数输入!$B$33,核心参数输入!$B$121),0)</f>
        <v>0</v>
      </c>
      <c r="N146" s="9">
        <f>IF(10&lt;=核心参数输入!$B$9*4,N121*IF(核心参数输入!$B$96=1,核心参数输入!$B$33,核心参数输入!$B$121),0)</f>
        <v>0</v>
      </c>
      <c r="O146" s="9">
        <f>IF(11&lt;=核心参数输入!$B$9*4,O121*IF(核心参数输入!$B$96=1,核心参数输入!$B$33,核心参数输入!$B$121),0)</f>
        <v>0</v>
      </c>
      <c r="P146" s="9">
        <f>IF(12&lt;=核心参数输入!$B$9*4,P121*IF(核心参数输入!$B$96=1,核心参数输入!$B$33,核心参数输入!$B$121),0)</f>
        <v>0</v>
      </c>
      <c r="Q146" s="9">
        <f>IF(13&lt;=核心参数输入!$B$9*4,Q121*IF(核心参数输入!$B$96=1,核心参数输入!$B$33,核心参数输入!$B$121),0)</f>
        <v>260.61750000000001</v>
      </c>
      <c r="R146" s="9">
        <f>IF(14&lt;=核心参数输入!$B$9*4,R121*IF(核心参数输入!$B$96=1,核心参数输入!$B$33,核心参数输入!$B$121),0)</f>
        <v>260.61750000000001</v>
      </c>
      <c r="S146" s="9">
        <f>IF(15&lt;=核心参数输入!$B$9*4,S121*IF(核心参数输入!$B$96=1,核心参数输入!$B$33,核心参数输入!$B$121),0)</f>
        <v>260.61750000000001</v>
      </c>
      <c r="T146" s="9">
        <f>IF(16&lt;=核心参数输入!$B$9*4,T121*IF(核心参数输入!$B$96=1,核心参数输入!$B$33,核心参数输入!$B$121),0)</f>
        <v>260.61750000000001</v>
      </c>
      <c r="U146" s="9">
        <f>IF(17&lt;=核心参数输入!$B$9*4,U121*IF(核心参数输入!$B$96=1,核心参数输入!$B$33,核心参数输入!$B$121),0)</f>
        <v>347.49</v>
      </c>
      <c r="V146" s="9">
        <f>IF(18&lt;=核心参数输入!$B$9*4,V121*IF(核心参数输入!$B$96=1,核心参数输入!$B$33,核心参数输入!$B$121),0)</f>
        <v>347.49</v>
      </c>
      <c r="W146" s="9">
        <f>IF(19&lt;=核心参数输入!$B$9*4,W121*IF(核心参数输入!$B$96=1,核心参数输入!$B$33,核心参数输入!$B$121),0)</f>
        <v>347.49</v>
      </c>
      <c r="X146" s="9">
        <f>IF(20&lt;=核心参数输入!$B$9*4,X121*IF(核心参数输入!$B$96=1,核心参数输入!$B$33,核心参数输入!$B$121),0)</f>
        <v>347.49</v>
      </c>
      <c r="Y146" s="9">
        <f>IF(21&lt;=核心参数输入!$B$9*4,Y121*IF(核心参数输入!$B$96=1,核心参数输入!$B$33,核心参数输入!$B$121),0)</f>
        <v>260.61750000000001</v>
      </c>
      <c r="Z146" s="9">
        <f>IF(22&lt;=核心参数输入!$B$9*4,Z121*IF(核心参数输入!$B$96=1,核心参数输入!$B$33,核心参数输入!$B$121),0)</f>
        <v>260.61750000000001</v>
      </c>
      <c r="AA146" s="9">
        <f>IF(23&lt;=核心参数输入!$B$9*4,AA121*IF(核心参数输入!$B$96=1,核心参数输入!$B$33,核心参数输入!$B$121),0)</f>
        <v>260.61750000000001</v>
      </c>
      <c r="AB146" s="9">
        <f>IF(24&lt;=核心参数输入!$B$9*4,AB121*IF(核心参数输入!$B$96=1,核心参数输入!$B$33,核心参数输入!$B$121),0)</f>
        <v>260.61750000000001</v>
      </c>
      <c r="AC146" s="9">
        <f>IF(25&lt;=核心参数输入!$B$9*4,AC121*IF(核心参数输入!$B$96=1,核心参数输入!$B$33,核心参数输入!$B$121),0)</f>
        <v>0</v>
      </c>
      <c r="AD146" s="9">
        <f>IF(26&lt;=核心参数输入!$B$9*4,AD121*IF(核心参数输入!$B$96=1,核心参数输入!$B$33,核心参数输入!$B$121),0)</f>
        <v>0</v>
      </c>
      <c r="AE146" s="9">
        <f>IF(27&lt;=核心参数输入!$B$9*4,AE121*IF(核心参数输入!$B$96=1,核心参数输入!$B$33,核心参数输入!$B$121),0)</f>
        <v>0</v>
      </c>
      <c r="AF146" s="9">
        <f>IF(28&lt;=核心参数输入!$B$9*4,AF121*IF(核心参数输入!$B$96=1,核心参数输入!$B$33,核心参数输入!$B$121),0)</f>
        <v>0</v>
      </c>
      <c r="AG146" s="9">
        <f>IF(29&lt;=核心参数输入!$B$9*4,AG121*IF(核心参数输入!$B$96=1,核心参数输入!$B$33,核心参数输入!$B$121),0)</f>
        <v>0</v>
      </c>
      <c r="AH146" s="9">
        <f>IF(30&lt;=核心参数输入!$B$9*4,AH121*IF(核心参数输入!$B$96=1,核心参数输入!$B$33,核心参数输入!$B$121),0)</f>
        <v>0</v>
      </c>
      <c r="AI146" s="9">
        <f>IF(31&lt;=核心参数输入!$B$9*4,AI121*IF(核心参数输入!$B$96=1,核心参数输入!$B$33,核心参数输入!$B$121),0)</f>
        <v>0</v>
      </c>
      <c r="AJ146" s="9">
        <f>IF(32&lt;=核心参数输入!$B$9*4,AJ121*IF(核心参数输入!$B$96=1,核心参数输入!$B$33,核心参数输入!$B$121),0)</f>
        <v>0</v>
      </c>
      <c r="AK146" s="9">
        <f>IF(33&lt;=核心参数输入!$B$9*4,AK121*IF(核心参数输入!$B$96=1,核心参数输入!$B$33,核心参数输入!$B$121),0)</f>
        <v>0</v>
      </c>
      <c r="AL146" s="9">
        <f>IF(34&lt;=核心参数输入!$B$9*4,AL121*IF(核心参数输入!$B$96=1,核心参数输入!$B$33,核心参数输入!$B$121),0)</f>
        <v>0</v>
      </c>
      <c r="AM146" s="9">
        <f>IF(35&lt;=核心参数输入!$B$9*4,AM121*IF(核心参数输入!$B$96=1,核心参数输入!$B$33,核心参数输入!$B$121),0)</f>
        <v>0</v>
      </c>
      <c r="AN146" s="9">
        <f>IF(36&lt;=核心参数输入!$B$9*4,AN121*IF(核心参数输入!$B$96=1,核心参数输入!$B$33,核心参数输入!$B$121),0)</f>
        <v>0</v>
      </c>
      <c r="AO146" s="9">
        <f>IF(37&lt;=核心参数输入!$B$9*4,AO121*IF(核心参数输入!$B$96=1,核心参数输入!$B$33,核心参数输入!$B$121),0)</f>
        <v>0</v>
      </c>
      <c r="AP146" s="9">
        <f>IF(38&lt;=核心参数输入!$B$9*4,AP121*IF(核心参数输入!$B$96=1,核心参数输入!$B$33,核心参数输入!$B$121),0)</f>
        <v>0</v>
      </c>
      <c r="AQ146" s="9">
        <f>IF(39&lt;=核心参数输入!$B$9*4,AQ121*IF(核心参数输入!$B$96=1,核心参数输入!$B$33,核心参数输入!$B$121),0)</f>
        <v>0</v>
      </c>
      <c r="AR146" s="9">
        <f>IF(40&lt;=核心参数输入!$B$9*4,AR121*IF(核心参数输入!$B$96=1,核心参数输入!$B$33,核心参数输入!$B$121),0)</f>
        <v>0</v>
      </c>
      <c r="AS146" s="9">
        <f>IF(41&lt;=核心参数输入!$B$9*4,AS121*IF(核心参数输入!$B$96=1,核心参数输入!$B$33,核心参数输入!$B$121),0)</f>
        <v>0</v>
      </c>
      <c r="AT146" s="9">
        <f>IF(42&lt;=核心参数输入!$B$9*4,AT121*IF(核心参数输入!$B$96=1,核心参数输入!$B$33,核心参数输入!$B$121),0)</f>
        <v>0</v>
      </c>
      <c r="AU146" s="9">
        <f>IF(43&lt;=核心参数输入!$B$9*4,AU121*IF(核心参数输入!$B$96=1,核心参数输入!$B$33,核心参数输入!$B$121),0)</f>
        <v>0</v>
      </c>
      <c r="AV146" s="9">
        <f>IF(44&lt;=核心参数输入!$B$9*4,AV121*IF(核心参数输入!$B$96=1,核心参数输入!$B$33,核心参数输入!$B$121),0)</f>
        <v>0</v>
      </c>
      <c r="AW146" s="9">
        <f>IF(45&lt;=核心参数输入!$B$9*4,AW121*IF(核心参数输入!$B$96=1,核心参数输入!$B$33,核心参数输入!$B$121),0)</f>
        <v>0</v>
      </c>
      <c r="AX146" s="9">
        <f>IF(46&lt;=核心参数输入!$B$9*4,AX121*IF(核心参数输入!$B$96=1,核心参数输入!$B$33,核心参数输入!$B$121),0)</f>
        <v>0</v>
      </c>
      <c r="AY146" s="9">
        <f>IF(47&lt;=核心参数输入!$B$9*4,AY121*IF(核心参数输入!$B$96=1,核心参数输入!$B$33,核心参数输入!$B$121),0)</f>
        <v>0</v>
      </c>
      <c r="AZ146" s="9">
        <f>IF(48&lt;=核心参数输入!$B$9*4,AZ121*IF(核心参数输入!$B$96=1,核心参数输入!$B$33,核心参数输入!$B$121),0)</f>
        <v>0</v>
      </c>
      <c r="BA146" s="9">
        <f>IF(49&lt;=核心参数输入!$B$9*4,BA121*IF(核心参数输入!$B$96=1,核心参数输入!$B$33,核心参数输入!$B$121),0)</f>
        <v>0</v>
      </c>
      <c r="BB146" s="9">
        <f>IF(50&lt;=核心参数输入!$B$9*4,BB121*IF(核心参数输入!$B$96=1,核心参数输入!$B$33,核心参数输入!$B$121),0)</f>
        <v>0</v>
      </c>
      <c r="BC146" s="9">
        <f>IF(51&lt;=核心参数输入!$B$9*4,BC121*IF(核心参数输入!$B$96=1,核心参数输入!$B$33,核心参数输入!$B$121),0)</f>
        <v>0</v>
      </c>
      <c r="BD146" s="9">
        <f>IF(52&lt;=核心参数输入!$B$9*4,BD121*IF(核心参数输入!$B$96=1,核心参数输入!$B$33,核心参数输入!$B$121),0)</f>
        <v>0</v>
      </c>
      <c r="BE146" s="9">
        <f>IF(53&lt;=核心参数输入!$B$9*4,BE121*IF(核心参数输入!$B$96=1,核心参数输入!$B$33,核心参数输入!$B$121),0)</f>
        <v>0</v>
      </c>
      <c r="BF146" s="9">
        <f>IF(54&lt;=核心参数输入!$B$9*4,BF121*IF(核心参数输入!$B$96=1,核心参数输入!$B$33,核心参数输入!$B$121),0)</f>
        <v>0</v>
      </c>
      <c r="BG146" s="9">
        <f>IF(55&lt;=核心参数输入!$B$9*4,BG121*IF(核心参数输入!$B$96=1,核心参数输入!$B$33,核心参数输入!$B$121),0)</f>
        <v>0</v>
      </c>
      <c r="BH146" s="9">
        <f>IF(56&lt;=核心参数输入!$B$9*4,BH121*IF(核心参数输入!$B$96=1,核心参数输入!$B$33,核心参数输入!$B$121),0)</f>
        <v>0</v>
      </c>
      <c r="BI146" s="9">
        <f>IF(57&lt;=核心参数输入!$B$9*4,BI121*IF(核心参数输入!$B$96=1,核心参数输入!$B$33,核心参数输入!$B$121),0)</f>
        <v>0</v>
      </c>
      <c r="BJ146" s="9">
        <f>IF(58&lt;=核心参数输入!$B$9*4,BJ121*IF(核心参数输入!$B$96=1,核心参数输入!$B$33,核心参数输入!$B$121),0)</f>
        <v>0</v>
      </c>
      <c r="BK146" s="9">
        <f>IF(59&lt;=核心参数输入!$B$9*4,BK121*IF(核心参数输入!$B$96=1,核心参数输入!$B$33,核心参数输入!$B$121),0)</f>
        <v>0</v>
      </c>
      <c r="BL146" s="9">
        <f>IF(60&lt;=核心参数输入!$B$9*4,BL121*IF(核心参数输入!$B$96=1,核心参数输入!$B$33,核心参数输入!$B$121),0)</f>
        <v>0</v>
      </c>
      <c r="BM146" s="9">
        <f>IF(61&lt;=核心参数输入!$B$9*4,BM121*IF(核心参数输入!$B$96=1,核心参数输入!$B$33,核心参数输入!$B$121),0)</f>
        <v>0</v>
      </c>
      <c r="BN146" s="9">
        <f>IF(62&lt;=核心参数输入!$B$9*4,BN121*IF(核心参数输入!$B$96=1,核心参数输入!$B$33,核心参数输入!$B$121),0)</f>
        <v>0</v>
      </c>
      <c r="BO146" s="9">
        <f>IF(63&lt;=核心参数输入!$B$9*4,BO121*IF(核心参数输入!$B$96=1,核心参数输入!$B$33,核心参数输入!$B$121),0)</f>
        <v>0</v>
      </c>
      <c r="BP146" s="9">
        <f>IF(64&lt;=核心参数输入!$B$9*4,BP121*IF(核心参数输入!$B$96=1,核心参数输入!$B$33,核心参数输入!$B$121),0)</f>
        <v>0</v>
      </c>
      <c r="BQ146" s="9">
        <f>IF(65&lt;=核心参数输入!$B$9*4,BQ121*IF(核心参数输入!$B$96=1,核心参数输入!$B$33,核心参数输入!$B$121),0)</f>
        <v>0</v>
      </c>
      <c r="BR146" s="9">
        <f>IF(66&lt;=核心参数输入!$B$9*4,BR121*IF(核心参数输入!$B$96=1,核心参数输入!$B$33,核心参数输入!$B$121),0)</f>
        <v>0</v>
      </c>
      <c r="BS146" s="9">
        <f>IF(67&lt;=核心参数输入!$B$9*4,BS121*IF(核心参数输入!$B$96=1,核心参数输入!$B$33,核心参数输入!$B$121),0)</f>
        <v>0</v>
      </c>
      <c r="BT146" s="9">
        <f>IF(68&lt;=核心参数输入!$B$9*4,BT121*IF(核心参数输入!$B$96=1,核心参数输入!$B$33,核心参数输入!$B$121),0)</f>
        <v>0</v>
      </c>
      <c r="BU146" s="9">
        <f>IF(69&lt;=核心参数输入!$B$9*4,BU121*IF(核心参数输入!$B$96=1,核心参数输入!$B$33,核心参数输入!$B$121),0)</f>
        <v>0</v>
      </c>
      <c r="BV146" s="9">
        <f>IF(70&lt;=核心参数输入!$B$9*4,BV121*IF(核心参数输入!$B$96=1,核心参数输入!$B$33,核心参数输入!$B$121),0)</f>
        <v>0</v>
      </c>
      <c r="BW146" s="9">
        <f>IF(71&lt;=核心参数输入!$B$9*4,BW121*IF(核心参数输入!$B$96=1,核心参数输入!$B$33,核心参数输入!$B$121),0)</f>
        <v>0</v>
      </c>
      <c r="BX146" s="9">
        <f>IF(72&lt;=核心参数输入!$B$9*4,BX121*IF(核心参数输入!$B$96=1,核心参数输入!$B$33,核心参数输入!$B$121),0)</f>
        <v>0</v>
      </c>
      <c r="BY146" s="9">
        <f>IF(73&lt;=核心参数输入!$B$9*4,BY121*IF(核心参数输入!$B$96=1,核心参数输入!$B$33,核心参数输入!$B$121),0)</f>
        <v>0</v>
      </c>
      <c r="BZ146" s="9">
        <f>IF(74&lt;=核心参数输入!$B$9*4,BZ121*IF(核心参数输入!$B$96=1,核心参数输入!$B$33,核心参数输入!$B$121),0)</f>
        <v>0</v>
      </c>
      <c r="CA146" s="9">
        <f>IF(75&lt;=核心参数输入!$B$9*4,CA121*IF(核心参数输入!$B$96=1,核心参数输入!$B$33,核心参数输入!$B$121),0)</f>
        <v>0</v>
      </c>
      <c r="CB146" s="9">
        <f>IF(76&lt;=核心参数输入!$B$9*4,CB121*IF(核心参数输入!$B$96=1,核心参数输入!$B$33,核心参数输入!$B$121),0)</f>
        <v>0</v>
      </c>
      <c r="CC146" s="9">
        <f>IF(77&lt;=核心参数输入!$B$9*4,CC121*IF(核心参数输入!$B$96=1,核心参数输入!$B$33,核心参数输入!$B$121),0)</f>
        <v>0</v>
      </c>
      <c r="CD146" s="9">
        <f>IF(78&lt;=核心参数输入!$B$9*4,CD121*IF(核心参数输入!$B$96=1,核心参数输入!$B$33,核心参数输入!$B$121),0)</f>
        <v>0</v>
      </c>
      <c r="CE146" s="9">
        <f>IF(79&lt;=核心参数输入!$B$9*4,CE121*IF(核心参数输入!$B$96=1,核心参数输入!$B$33,核心参数输入!$B$121),0)</f>
        <v>0</v>
      </c>
      <c r="CF146" s="9">
        <f>IF(80&lt;=核心参数输入!$B$9*4,CF121*IF(核心参数输入!$B$96=1,核心参数输入!$B$33,核心参数输入!$B$121),0)</f>
        <v>0</v>
      </c>
      <c r="CG146" s="9">
        <f>IF(81&lt;=核心参数输入!$B$9*4,CG121*IF(核心参数输入!$B$96=1,核心参数输入!$B$33,核心参数输入!$B$121),0)</f>
        <v>0</v>
      </c>
      <c r="CH146" s="9">
        <f>IF(82&lt;=核心参数输入!$B$9*4,CH121*IF(核心参数输入!$B$96=1,核心参数输入!$B$33,核心参数输入!$B$121),0)</f>
        <v>0</v>
      </c>
      <c r="CI146" s="9">
        <f>IF(83&lt;=核心参数输入!$B$9*4,CI121*IF(核心参数输入!$B$96=1,核心参数输入!$B$33,核心参数输入!$B$121),0)</f>
        <v>0</v>
      </c>
      <c r="CJ146" s="9">
        <f>IF(84&lt;=核心参数输入!$B$9*4,CJ121*IF(核心参数输入!$B$96=1,核心参数输入!$B$33,核心参数输入!$B$121),0)</f>
        <v>0</v>
      </c>
      <c r="CK146" s="9">
        <f>IF(85&lt;=核心参数输入!$B$9*4,CK121*IF(核心参数输入!$B$96=1,核心参数输入!$B$33,核心参数输入!$B$121),0)</f>
        <v>0</v>
      </c>
      <c r="CL146" s="9">
        <f>IF(86&lt;=核心参数输入!$B$9*4,CL121*IF(核心参数输入!$B$96=1,核心参数输入!$B$33,核心参数输入!$B$121),0)</f>
        <v>0</v>
      </c>
      <c r="CM146" s="9">
        <f>IF(87&lt;=核心参数输入!$B$9*4,CM121*IF(核心参数输入!$B$96=1,核心参数输入!$B$33,核心参数输入!$B$121),0)</f>
        <v>0</v>
      </c>
      <c r="CN146" s="9">
        <f>IF(88&lt;=核心参数输入!$B$9*4,CN121*IF(核心参数输入!$B$96=1,核心参数输入!$B$33,核心参数输入!$B$121),0)</f>
        <v>0</v>
      </c>
      <c r="CO146" s="9">
        <f>IF(89&lt;=核心参数输入!$B$9*4,CO121*IF(核心参数输入!$B$96=1,核心参数输入!$B$33,核心参数输入!$B$121),0)</f>
        <v>0</v>
      </c>
      <c r="CP146" s="9">
        <f>IF(90&lt;=核心参数输入!$B$9*4,CP121*IF(核心参数输入!$B$96=1,核心参数输入!$B$33,核心参数输入!$B$121),0)</f>
        <v>0</v>
      </c>
      <c r="CQ146" s="9">
        <f>IF(91&lt;=核心参数输入!$B$9*4,CQ121*IF(核心参数输入!$B$96=1,核心参数输入!$B$33,核心参数输入!$B$121),0)</f>
        <v>0</v>
      </c>
      <c r="CR146" s="9">
        <f>IF(92&lt;=核心参数输入!$B$9*4,CR121*IF(核心参数输入!$B$96=1,核心参数输入!$B$33,核心参数输入!$B$121),0)</f>
        <v>0</v>
      </c>
      <c r="CS146" s="9">
        <f>IF(93&lt;=核心参数输入!$B$9*4,CS121*IF(核心参数输入!$B$96=1,核心参数输入!$B$33,核心参数输入!$B$121),0)</f>
        <v>0</v>
      </c>
      <c r="CT146" s="9">
        <f>IF(94&lt;=核心参数输入!$B$9*4,CT121*IF(核心参数输入!$B$96=1,核心参数输入!$B$33,核心参数输入!$B$121),0)</f>
        <v>0</v>
      </c>
      <c r="CU146" s="9">
        <f>IF(95&lt;=核心参数输入!$B$9*4,CU121*IF(核心参数输入!$B$96=1,核心参数输入!$B$33,核心参数输入!$B$121),0)</f>
        <v>0</v>
      </c>
      <c r="CV146" s="9">
        <f>IF(96&lt;=核心参数输入!$B$9*4,CV121*IF(核心参数输入!$B$96=1,核心参数输入!$B$33,核心参数输入!$B$121),0)</f>
        <v>0</v>
      </c>
      <c r="CW146" s="9">
        <f>IF(97&lt;=核心参数输入!$B$9*4,CW121*IF(核心参数输入!$B$96=1,核心参数输入!$B$33,核心参数输入!$B$121),0)</f>
        <v>0</v>
      </c>
      <c r="CX146" s="9">
        <f>IF(98&lt;=核心参数输入!$B$9*4,CX121*IF(核心参数输入!$B$96=1,核心参数输入!$B$33,核心参数输入!$B$121),0)</f>
        <v>0</v>
      </c>
      <c r="CY146" s="9">
        <f>IF(99&lt;=核心参数输入!$B$9*4,CY121*IF(核心参数输入!$B$96=1,核心参数输入!$B$33,核心参数输入!$B$121),0)</f>
        <v>0</v>
      </c>
      <c r="CZ146" s="9">
        <f>IF(100&lt;=核心参数输入!$B$9*4,CZ121*IF(核心参数输入!$B$96=1,核心参数输入!$B$33,核心参数输入!$B$121),0)</f>
        <v>0</v>
      </c>
      <c r="DA146" s="9">
        <f>IF(101&lt;=核心参数输入!$B$9*4,DA121*IF(核心参数输入!$B$96=1,核心参数输入!$B$33,核心参数输入!$B$121),0)</f>
        <v>0</v>
      </c>
      <c r="DB146" s="9">
        <f>IF(102&lt;=核心参数输入!$B$9*4,DB121*IF(核心参数输入!$B$96=1,核心参数输入!$B$33,核心参数输入!$B$121),0)</f>
        <v>0</v>
      </c>
      <c r="DC146" s="9">
        <f>IF(103&lt;=核心参数输入!$B$9*4,DC121*IF(核心参数输入!$B$96=1,核心参数输入!$B$33,核心参数输入!$B$121),0)</f>
        <v>0</v>
      </c>
      <c r="DD146" s="9">
        <f>IF(104&lt;=核心参数输入!$B$9*4,DD121*IF(核心参数输入!$B$96=1,核心参数输入!$B$33,核心参数输入!$B$121),0)</f>
        <v>0</v>
      </c>
      <c r="DE146" s="9">
        <f>IF(105&lt;=核心参数输入!$B$9*4,DE121*IF(核心参数输入!$B$96=1,核心参数输入!$B$33,核心参数输入!$B$121),0)</f>
        <v>0</v>
      </c>
      <c r="DF146" s="9">
        <f>IF(106&lt;=核心参数输入!$B$9*4,DF121*IF(核心参数输入!$B$96=1,核心参数输入!$B$33,核心参数输入!$B$121),0)</f>
        <v>0</v>
      </c>
      <c r="DG146" s="9">
        <f>IF(107&lt;=核心参数输入!$B$9*4,DG121*IF(核心参数输入!$B$96=1,核心参数输入!$B$33,核心参数输入!$B$121),0)</f>
        <v>0</v>
      </c>
      <c r="DH146" s="9">
        <f>IF(108&lt;=核心参数输入!$B$9*4,DH121*IF(核心参数输入!$B$96=1,核心参数输入!$B$33,核心参数输入!$B$121),0)</f>
        <v>0</v>
      </c>
      <c r="DI146" s="9">
        <f>IF(109&lt;=核心参数输入!$B$9*4,DI121*IF(核心参数输入!$B$96=1,核心参数输入!$B$33,核心参数输入!$B$121),0)</f>
        <v>0</v>
      </c>
      <c r="DJ146" s="9">
        <f>IF(110&lt;=核心参数输入!$B$9*4,DJ121*IF(核心参数输入!$B$96=1,核心参数输入!$B$33,核心参数输入!$B$121),0)</f>
        <v>0</v>
      </c>
      <c r="DK146" s="9">
        <f>IF(111&lt;=核心参数输入!$B$9*4,DK121*IF(核心参数输入!$B$96=1,核心参数输入!$B$33,核心参数输入!$B$121),0)</f>
        <v>0</v>
      </c>
      <c r="DL146" s="9">
        <f>IF(112&lt;=核心参数输入!$B$9*4,DL121*IF(核心参数输入!$B$96=1,核心参数输入!$B$33,核心参数输入!$B$121),0)</f>
        <v>0</v>
      </c>
      <c r="DM146" s="9">
        <f>IF(113&lt;=核心参数输入!$B$9*4,DM121*IF(核心参数输入!$B$96=1,核心参数输入!$B$33,核心参数输入!$B$121),0)</f>
        <v>0</v>
      </c>
      <c r="DN146" s="9">
        <f>IF(114&lt;=核心参数输入!$B$9*4,DN121*IF(核心参数输入!$B$96=1,核心参数输入!$B$33,核心参数输入!$B$121),0)</f>
        <v>0</v>
      </c>
      <c r="DO146" s="9">
        <f>IF(115&lt;=核心参数输入!$B$9*4,DO121*IF(核心参数输入!$B$96=1,核心参数输入!$B$33,核心参数输入!$B$121),0)</f>
        <v>0</v>
      </c>
      <c r="DP146" s="9">
        <f>IF(116&lt;=核心参数输入!$B$9*4,DP121*IF(核心参数输入!$B$96=1,核心参数输入!$B$33,核心参数输入!$B$121),0)</f>
        <v>0</v>
      </c>
      <c r="DQ146" s="9">
        <f>IF(117&lt;=核心参数输入!$B$9*4,DQ121*IF(核心参数输入!$B$96=1,核心参数输入!$B$33,核心参数输入!$B$121),0)</f>
        <v>0</v>
      </c>
      <c r="DR146" s="9">
        <f>IF(118&lt;=核心参数输入!$B$9*4,DR121*IF(核心参数输入!$B$96=1,核心参数输入!$B$33,核心参数输入!$B$121),0)</f>
        <v>0</v>
      </c>
      <c r="DS146" s="9">
        <f>IF(119&lt;=核心参数输入!$B$9*4,DS121*IF(核心参数输入!$B$96=1,核心参数输入!$B$33,核心参数输入!$B$121),0)</f>
        <v>0</v>
      </c>
      <c r="DT146" s="9">
        <f>IF(120&lt;=核心参数输入!$B$9*4,DT121*IF(核心参数输入!$B$96=1,核心参数输入!$B$33,核心参数输入!$B$121),0)</f>
        <v>0</v>
      </c>
    </row>
    <row r="147" spans="1:124" ht="21" customHeight="1">
      <c r="A147" s="8" t="s">
        <v>469</v>
      </c>
      <c r="B147" s="8" t="s">
        <v>39</v>
      </c>
      <c r="C147" s="8"/>
      <c r="D147" s="9">
        <f>IF(0&lt;=核心参数输入!$B$9*4,IF(AND((核心参数输入!$B$10*核心参数输入!$B$11*核心参数输入!$B$12*核心参数输入!$B$143)&gt;0,0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(0-(核心参数输入!$B$16*4+(核心参数输入!$B$148+核心参数输入!$B$124))-1)/4)/4,0),0)</f>
        <v>0</v>
      </c>
      <c r="E147" s="9">
        <f>IF(1&lt;=核心参数输入!$B$9*4,IF(AND((核心参数输入!$B$10*核心参数输入!$B$11*核心参数输入!$B$12*核心参数输入!$B$143)&gt;0,1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(1-(核心参数输入!$B$16*4+(核心参数输入!$B$148+核心参数输入!$B$124))-1)/4)/4,0),0)</f>
        <v>0</v>
      </c>
      <c r="F147" s="9">
        <f>IF(2&lt;=核心参数输入!$B$9*4,IF(AND((核心参数输入!$B$10*核心参数输入!$B$11*核心参数输入!$B$12*核心参数输入!$B$143)&gt;0,2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(2-(核心参数输入!$B$16*4+(核心参数输入!$B$148+核心参数输入!$B$124))-1)/4)/4,0),0)</f>
        <v>0</v>
      </c>
      <c r="G147" s="9">
        <f>IF(3&lt;=核心参数输入!$B$9*4,IF(AND((核心参数输入!$B$10*核心参数输入!$B$11*核心参数输入!$B$12*核心参数输入!$B$143)&gt;0,3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(3-(核心参数输入!$B$16*4+(核心参数输入!$B$148+核心参数输入!$B$124))-1)/4)/4,0),0)</f>
        <v>0</v>
      </c>
      <c r="H147" s="9">
        <f>IF(4&lt;=核心参数输入!$B$9*4,IF(AND((核心参数输入!$B$10*核心参数输入!$B$11*核心参数输入!$B$12*核心参数输入!$B$143)&gt;0,4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(4-(核心参数输入!$B$16*4+(核心参数输入!$B$148+核心参数输入!$B$124))-1)/4)/4,0),0)</f>
        <v>0</v>
      </c>
      <c r="I147" s="9">
        <f>IF(5&lt;=核心参数输入!$B$9*4,IF(AND((核心参数输入!$B$10*核心参数输入!$B$11*核心参数输入!$B$12*核心参数输入!$B$143)&gt;0,5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(5-(核心参数输入!$B$16*4+(核心参数输入!$B$148+核心参数输入!$B$124))-1)/4)/4,0),0)</f>
        <v>0</v>
      </c>
      <c r="J147" s="9">
        <f>IF(6&lt;=核心参数输入!$B$9*4,IF(AND((核心参数输入!$B$10*核心参数输入!$B$11*核心参数输入!$B$12*核心参数输入!$B$143)&gt;0,6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(6-(核心参数输入!$B$16*4+(核心参数输入!$B$148+核心参数输入!$B$124))-1)/4)/4,0),0)</f>
        <v>0</v>
      </c>
      <c r="K147" s="9">
        <f>IF(7&lt;=核心参数输入!$B$9*4,IF(AND((核心参数输入!$B$10*核心参数输入!$B$11*核心参数输入!$B$12*核心参数输入!$B$143)&gt;0,7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(7-(核心参数输入!$B$16*4+(核心参数输入!$B$148+核心参数输入!$B$124))-1)/4)/4,0),0)</f>
        <v>0</v>
      </c>
      <c r="L147" s="9">
        <f>IF(8&lt;=核心参数输入!$B$9*4,IF(AND((核心参数输入!$B$10*核心参数输入!$B$11*核心参数输入!$B$12*核心参数输入!$B$143)&gt;0,8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(8-(核心参数输入!$B$16*4+(核心参数输入!$B$148+核心参数输入!$B$124))-1)/4)/4,0),0)</f>
        <v>0</v>
      </c>
      <c r="M147" s="9">
        <f>IF(9&lt;=核心参数输入!$B$9*4,IF(AND((核心参数输入!$B$10*核心参数输入!$B$11*核心参数输入!$B$12*核心参数输入!$B$143)&gt;0,9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(9-(核心参数输入!$B$16*4+(核心参数输入!$B$148+核心参数输入!$B$124))-1)/4)/4,0),0)</f>
        <v>0</v>
      </c>
      <c r="N147" s="9">
        <f>IF(10&lt;=核心参数输入!$B$9*4,IF(AND((核心参数输入!$B$10*核心参数输入!$B$11*核心参数输入!$B$12*核心参数输入!$B$143)&gt;0,10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(10-(核心参数输入!$B$16*4+(核心参数输入!$B$148+核心参数输入!$B$124))-1)/4)/4,0),0)</f>
        <v>0</v>
      </c>
      <c r="O147" s="9">
        <f>IF(11&lt;=核心参数输入!$B$9*4,IF(AND((核心参数输入!$B$10*核心参数输入!$B$11*核心参数输入!$B$12*核心参数输入!$B$143)&gt;0,11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(11-(核心参数输入!$B$16*4+(核心参数输入!$B$148+核心参数输入!$B$124))-1)/4)/4,0),0)</f>
        <v>0</v>
      </c>
      <c r="P147" s="9">
        <f>IF(12&lt;=核心参数输入!$B$9*4,IF(AND((核心参数输入!$B$10*核心参数输入!$B$11*核心参数输入!$B$12*核心参数输入!$B$143)&gt;0,12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(12-(核心参数输入!$B$16*4+(核心参数输入!$B$148+核心参数输入!$B$124))-1)/4)/4,0),0)</f>
        <v>0</v>
      </c>
      <c r="Q147" s="9">
        <f>IF(13&lt;=核心参数输入!$B$9*4,IF(AND((核心参数输入!$B$10*核心参数输入!$B$11*核心参数输入!$B$12*核心参数输入!$B$143)&gt;0,13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(13-(核心参数输入!$B$16*4+(核心参数输入!$B$148+核心参数输入!$B$124))-1)/4)/4,0),0)</f>
        <v>74.999999999999986</v>
      </c>
      <c r="R147" s="9">
        <f>IF(14&lt;=核心参数输入!$B$9*4,IF(AND((核心参数输入!$B$10*核心参数输入!$B$11*核心参数输入!$B$12*核心参数输入!$B$143)&gt;0,14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(14-(核心参数输入!$B$16*4+(核心参数输入!$B$148+核心参数输入!$B$124))-1)/4)/4,0),0)</f>
        <v>74.999999999999986</v>
      </c>
      <c r="S147" s="9">
        <f>IF(15&lt;=核心参数输入!$B$9*4,IF(AND((核心参数输入!$B$10*核心参数输入!$B$11*核心参数输入!$B$12*核心参数输入!$B$143)&gt;0,15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(15-(核心参数输入!$B$16*4+(核心参数输入!$B$148+核心参数输入!$B$124))-1)/4)/4,0),0)</f>
        <v>74.999999999999986</v>
      </c>
      <c r="T147" s="9">
        <f>IF(16&lt;=核心参数输入!$B$9*4,IF(AND((核心参数输入!$B$10*核心参数输入!$B$11*核心参数输入!$B$12*核心参数输入!$B$143)&gt;0,16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(16-(核心参数输入!$B$16*4+(核心参数输入!$B$148+核心参数输入!$B$124))-1)/4)/4,0),0)</f>
        <v>74.999999999999986</v>
      </c>
      <c r="U147" s="9">
        <f>IF(17&lt;=核心参数输入!$B$9*4,IF(AND((核心参数输入!$B$10*核心参数输入!$B$11*核心参数输入!$B$12*核心参数输入!$B$143)&gt;0,17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(17-(核心参数输入!$B$16*4+(核心参数输入!$B$148+核心参数输入!$B$124))-1)/4)/4,0),0)</f>
        <v>76.499999999999986</v>
      </c>
      <c r="V147" s="9">
        <f>IF(18&lt;=核心参数输入!$B$9*4,IF(AND((核心参数输入!$B$10*核心参数输入!$B$11*核心参数输入!$B$12*核心参数输入!$B$143)&gt;0,18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(18-(核心参数输入!$B$16*4+(核心参数输入!$B$148+核心参数输入!$B$124))-1)/4)/4,0),0)</f>
        <v>76.499999999999986</v>
      </c>
      <c r="W147" s="9">
        <f>IF(19&lt;=核心参数输入!$B$9*4,IF(AND((核心参数输入!$B$10*核心参数输入!$B$11*核心参数输入!$B$12*核心参数输入!$B$143)&gt;0,19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(19-(核心参数输入!$B$16*4+(核心参数输入!$B$148+核心参数输入!$B$124))-1)/4)/4,0),0)</f>
        <v>76.499999999999986</v>
      </c>
      <c r="X147" s="9">
        <f>IF(20&lt;=核心参数输入!$B$9*4,IF(AND((核心参数输入!$B$10*核心参数输入!$B$11*核心参数输入!$B$12*核心参数输入!$B$143)&gt;0,20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(20-(核心参数输入!$B$16*4+(核心参数输入!$B$148+核心参数输入!$B$124))-1)/4)/4,0),0)</f>
        <v>76.499999999999986</v>
      </c>
      <c r="Y147" s="9">
        <f>IF(21&lt;=核心参数输入!$B$9*4,IF(AND((核心参数输入!$B$10*核心参数输入!$B$11*核心参数输入!$B$12*核心参数输入!$B$143)&gt;0,21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(21-(核心参数输入!$B$16*4+(核心参数输入!$B$148+核心参数输入!$B$124))-1)/4)/4,0),0)</f>
        <v>78.029999999999987</v>
      </c>
      <c r="Z147" s="9">
        <f>IF(22&lt;=核心参数输入!$B$9*4,IF(AND((核心参数输入!$B$10*核心参数输入!$B$11*核心参数输入!$B$12*核心参数输入!$B$143)&gt;0,22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(22-(核心参数输入!$B$16*4+(核心参数输入!$B$148+核心参数输入!$B$124))-1)/4)/4,0),0)</f>
        <v>78.029999999999987</v>
      </c>
      <c r="AA147" s="9">
        <f>IF(23&lt;=核心参数输入!$B$9*4,IF(AND((核心参数输入!$B$10*核心参数输入!$B$11*核心参数输入!$B$12*核心参数输入!$B$143)&gt;0,23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(23-(核心参数输入!$B$16*4+(核心参数输入!$B$148+核心参数输入!$B$124))-1)/4)/4,0),0)</f>
        <v>78.029999999999987</v>
      </c>
      <c r="AB147" s="9">
        <f>IF(24&lt;=核心参数输入!$B$9*4,IF(AND((核心参数输入!$B$10*核心参数输入!$B$11*核心参数输入!$B$12*核心参数输入!$B$143)&gt;0,24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(24-(核心参数输入!$B$16*4+(核心参数输入!$B$148+核心参数输入!$B$124))-1)/4)/4,0),0)</f>
        <v>78.029999999999987</v>
      </c>
      <c r="AC147" s="9">
        <f>IF(25&lt;=核心参数输入!$B$9*4,IF(AND((核心参数输入!$B$10*核心参数输入!$B$11*核心参数输入!$B$12*核心参数输入!$B$143)&gt;0,25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(25-(核心参数输入!$B$16*4+(核心参数输入!$B$148+核心参数输入!$B$124))-1)/4)/4,0),0)</f>
        <v>79.590599999999981</v>
      </c>
      <c r="AD147" s="9">
        <f>IF(26&lt;=核心参数输入!$B$9*4,IF(AND((核心参数输入!$B$10*核心参数输入!$B$11*核心参数输入!$B$12*核心参数输入!$B$143)&gt;0,26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(26-(核心参数输入!$B$16*4+(核心参数输入!$B$148+核心参数输入!$B$124))-1)/4)/4,0),0)</f>
        <v>79.590599999999981</v>
      </c>
      <c r="AE147" s="9">
        <f>IF(27&lt;=核心参数输入!$B$9*4,IF(AND((核心参数输入!$B$10*核心参数输入!$B$11*核心参数输入!$B$12*核心参数输入!$B$143)&gt;0,27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(27-(核心参数输入!$B$16*4+(核心参数输入!$B$148+核心参数输入!$B$124))-1)/4)/4,0),0)</f>
        <v>79.590599999999981</v>
      </c>
      <c r="AF147" s="9">
        <f>IF(28&lt;=核心参数输入!$B$9*4,IF(AND((核心参数输入!$B$10*核心参数输入!$B$11*核心参数输入!$B$12*核心参数输入!$B$143)&gt;0,28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(28-(核心参数输入!$B$16*4+(核心参数输入!$B$148+核心参数输入!$B$124))-1)/4)/4,0),0)</f>
        <v>79.590599999999981</v>
      </c>
      <c r="AG147" s="9">
        <f>IF(29&lt;=核心参数输入!$B$9*4,IF(AND((核心参数输入!$B$10*核心参数输入!$B$11*核心参数输入!$B$12*核心参数输入!$B$143)&gt;0,29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(29-(核心参数输入!$B$16*4+(核心参数输入!$B$148+核心参数输入!$B$124))-1)/4)/4,0),0)</f>
        <v>81.182411999999985</v>
      </c>
      <c r="AH147" s="9">
        <f>IF(30&lt;=核心参数输入!$B$9*4,IF(AND((核心参数输入!$B$10*核心参数输入!$B$11*核心参数输入!$B$12*核心参数输入!$B$143)&gt;0,30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(30-(核心参数输入!$B$16*4+(核心参数输入!$B$148+核心参数输入!$B$124))-1)/4)/4,0),0)</f>
        <v>81.182411999999985</v>
      </c>
      <c r="AI147" s="9">
        <f>IF(31&lt;=核心参数输入!$B$9*4,IF(AND((核心参数输入!$B$10*核心参数输入!$B$11*核心参数输入!$B$12*核心参数输入!$B$143)&gt;0,31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(31-(核心参数输入!$B$16*4+(核心参数输入!$B$148+核心参数输入!$B$124))-1)/4)/4,0),0)</f>
        <v>81.182411999999985</v>
      </c>
      <c r="AJ147" s="9">
        <f>IF(32&lt;=核心参数输入!$B$9*4,IF(AND((核心参数输入!$B$10*核心参数输入!$B$11*核心参数输入!$B$12*核心参数输入!$B$143)&gt;0,32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(32-(核心参数输入!$B$16*4+(核心参数输入!$B$148+核心参数输入!$B$124))-1)/4)/4,0),0)</f>
        <v>81.182411999999985</v>
      </c>
      <c r="AK147" s="9">
        <f>IF(33&lt;=核心参数输入!$B$9*4,IF(AND((核心参数输入!$B$10*核心参数输入!$B$11*核心参数输入!$B$12*核心参数输入!$B$143)&gt;0,33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(33-(核心参数输入!$B$16*4+(核心参数输入!$B$148+核心参数输入!$B$124))-1)/4)/4,0),0)</f>
        <v>82.806060239999979</v>
      </c>
      <c r="AL147" s="9">
        <f>IF(34&lt;=核心参数输入!$B$9*4,IF(AND((核心参数输入!$B$10*核心参数输入!$B$11*核心参数输入!$B$12*核心参数输入!$B$143)&gt;0,34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(34-(核心参数输入!$B$16*4+(核心参数输入!$B$148+核心参数输入!$B$124))-1)/4)/4,0),0)</f>
        <v>82.806060239999979</v>
      </c>
      <c r="AM147" s="9">
        <f>IF(35&lt;=核心参数输入!$B$9*4,IF(AND((核心参数输入!$B$10*核心参数输入!$B$11*核心参数输入!$B$12*核心参数输入!$B$143)&gt;0,35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(35-(核心参数输入!$B$16*4+(核心参数输入!$B$148+核心参数输入!$B$124))-1)/4)/4,0),0)</f>
        <v>82.806060239999979</v>
      </c>
      <c r="AN147" s="9">
        <f>IF(36&lt;=核心参数输入!$B$9*4,IF(AND((核心参数输入!$B$10*核心参数输入!$B$11*核心参数输入!$B$12*核心参数输入!$B$143)&gt;0,36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(36-(核心参数输入!$B$16*4+(核心参数输入!$B$148+核心参数输入!$B$124))-1)/4)/4,0),0)</f>
        <v>82.806060239999979</v>
      </c>
      <c r="AO147" s="9">
        <f>IF(37&lt;=核心参数输入!$B$9*4,IF(AND((核心参数输入!$B$10*核心参数输入!$B$11*核心参数输入!$B$12*核心参数输入!$B$143)&gt;0,37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(37-(核心参数输入!$B$16*4+(核心参数输入!$B$148+核心参数输入!$B$124))-1)/4)/4,0),0)</f>
        <v>84.462181444799995</v>
      </c>
      <c r="AP147" s="9">
        <f>IF(38&lt;=核心参数输入!$B$9*4,IF(AND((核心参数输入!$B$10*核心参数输入!$B$11*核心参数输入!$B$12*核心参数输入!$B$143)&gt;0,38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(38-(核心参数输入!$B$16*4+(核心参数输入!$B$148+核心参数输入!$B$124))-1)/4)/4,0),0)</f>
        <v>84.462181444799995</v>
      </c>
      <c r="AQ147" s="9">
        <f>IF(39&lt;=核心参数输入!$B$9*4,IF(AND((核心参数输入!$B$10*核心参数输入!$B$11*核心参数输入!$B$12*核心参数输入!$B$143)&gt;0,39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(39-(核心参数输入!$B$16*4+(核心参数输入!$B$148+核心参数输入!$B$124))-1)/4)/4,0),0)</f>
        <v>84.462181444799995</v>
      </c>
      <c r="AR147" s="9">
        <f>IF(40&lt;=核心参数输入!$B$9*4,IF(AND((核心参数输入!$B$10*核心参数输入!$B$11*核心参数输入!$B$12*核心参数输入!$B$143)&gt;0,40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(40-(核心参数输入!$B$16*4+(核心参数输入!$B$148+核心参数输入!$B$124))-1)/4)/4,0),0)</f>
        <v>84.462181444799995</v>
      </c>
      <c r="AS147" s="9">
        <f>IF(41&lt;=核心参数输入!$B$9*4,IF(AND((核心参数输入!$B$10*核心参数输入!$B$11*核心参数输入!$B$12*核心参数输入!$B$143)&gt;0,41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(41-(核心参数输入!$B$16*4+(核心参数输入!$B$148+核心参数输入!$B$124))-1)/4)/4,0),0)</f>
        <v>86.151425073695975</v>
      </c>
      <c r="AT147" s="9">
        <f>IF(42&lt;=核心参数输入!$B$9*4,IF(AND((核心参数输入!$B$10*核心参数输入!$B$11*核心参数输入!$B$12*核心参数输入!$B$143)&gt;0,42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(42-(核心参数输入!$B$16*4+(核心参数输入!$B$148+核心参数输入!$B$124))-1)/4)/4,0),0)</f>
        <v>86.151425073695975</v>
      </c>
      <c r="AU147" s="9">
        <f>IF(43&lt;=核心参数输入!$B$9*4,IF(AND((核心参数输入!$B$10*核心参数输入!$B$11*核心参数输入!$B$12*核心参数输入!$B$143)&gt;0,43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(43-(核心参数输入!$B$16*4+(核心参数输入!$B$148+核心参数输入!$B$124))-1)/4)/4,0),0)</f>
        <v>86.151425073695975</v>
      </c>
      <c r="AV147" s="9">
        <f>IF(44&lt;=核心参数输入!$B$9*4,IF(AND((核心参数输入!$B$10*核心参数输入!$B$11*核心参数输入!$B$12*核心参数输入!$B$143)&gt;0,44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(44-(核心参数输入!$B$16*4+(核心参数输入!$B$148+核心参数输入!$B$124))-1)/4)/4,0),0)</f>
        <v>86.151425073695975</v>
      </c>
      <c r="AW147" s="9">
        <f>IF(45&lt;=核心参数输入!$B$9*4,IF(AND((核心参数输入!$B$10*核心参数输入!$B$11*核心参数输入!$B$12*核心参数输入!$B$143)&gt;0,45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(45-(核心参数输入!$B$16*4+(核心参数输入!$B$148+核心参数输入!$B$124))-1)/4)/4,0),0)</f>
        <v>87.874453575169895</v>
      </c>
      <c r="AX147" s="9">
        <f>IF(46&lt;=核心参数输入!$B$9*4,IF(AND((核心参数输入!$B$10*核心参数输入!$B$11*核心参数输入!$B$12*核心参数输入!$B$143)&gt;0,46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(46-(核心参数输入!$B$16*4+(核心参数输入!$B$148+核心参数输入!$B$124))-1)/4)/4,0),0)</f>
        <v>87.874453575169895</v>
      </c>
      <c r="AY147" s="9">
        <f>IF(47&lt;=核心参数输入!$B$9*4,IF(AND((核心参数输入!$B$10*核心参数输入!$B$11*核心参数输入!$B$12*核心参数输入!$B$143)&gt;0,47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(47-(核心参数输入!$B$16*4+(核心参数输入!$B$148+核心参数输入!$B$124))-1)/4)/4,0),0)</f>
        <v>87.874453575169895</v>
      </c>
      <c r="AZ147" s="9">
        <f>IF(48&lt;=核心参数输入!$B$9*4,IF(AND((核心参数输入!$B$10*核心参数输入!$B$11*核心参数输入!$B$12*核心参数输入!$B$143)&gt;0,48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(48-(核心参数输入!$B$16*4+(核心参数输入!$B$148+核心参数输入!$B$124))-1)/4)/4,0),0)</f>
        <v>87.874453575169895</v>
      </c>
      <c r="BA147" s="9">
        <f>IF(49&lt;=核心参数输入!$B$9*4,IF(AND((核心参数输入!$B$10*核心参数输入!$B$11*核心参数输入!$B$12*核心参数输入!$B$143)&gt;0,49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(49-(核心参数输入!$B$16*4+(核心参数输入!$B$148+核心参数输入!$B$124))-1)/4)/4,0),0)</f>
        <v>89.631942646673295</v>
      </c>
      <c r="BB147" s="9">
        <f>IF(50&lt;=核心参数输入!$B$9*4,IF(AND((核心参数输入!$B$10*核心参数输入!$B$11*核心参数输入!$B$12*核心参数输入!$B$143)&gt;0,50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(50-(核心参数输入!$B$16*4+(核心参数输入!$B$148+核心参数输入!$B$124))-1)/4)/4,0),0)</f>
        <v>89.631942646673295</v>
      </c>
      <c r="BC147" s="9">
        <f>IF(51&lt;=核心参数输入!$B$9*4,IF(AND((核心参数输入!$B$10*核心参数输入!$B$11*核心参数输入!$B$12*核心参数输入!$B$143)&gt;0,51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(51-(核心参数输入!$B$16*4+(核心参数输入!$B$148+核心参数输入!$B$124))-1)/4)/4,0),0)</f>
        <v>89.631942646673295</v>
      </c>
      <c r="BD147" s="9">
        <f>IF(52&lt;=核心参数输入!$B$9*4,IF(AND((核心参数输入!$B$10*核心参数输入!$B$11*核心参数输入!$B$12*核心参数输入!$B$143)&gt;0,52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(52-(核心参数输入!$B$16*4+(核心参数输入!$B$148+核心参数输入!$B$124))-1)/4)/4,0),0)</f>
        <v>89.631942646673295</v>
      </c>
      <c r="BE147" s="9">
        <f>IF(53&lt;=核心参数输入!$B$9*4,IF(AND((核心参数输入!$B$10*核心参数输入!$B$11*核心参数输入!$B$12*核心参数输入!$B$143)&gt;0,53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(53-(核心参数输入!$B$16*4+(核心参数输入!$B$148+核心参数输入!$B$124))-1)/4)/4,0),0)</f>
        <v>91.424581499606759</v>
      </c>
      <c r="BF147" s="9">
        <f>IF(54&lt;=核心参数输入!$B$9*4,IF(AND((核心参数输入!$B$10*核心参数输入!$B$11*核心参数输入!$B$12*核心参数输入!$B$143)&gt;0,54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(54-(核心参数输入!$B$16*4+(核心参数输入!$B$148+核心参数输入!$B$124))-1)/4)/4,0),0)</f>
        <v>91.424581499606759</v>
      </c>
      <c r="BG147" s="9">
        <f>IF(55&lt;=核心参数输入!$B$9*4,IF(AND((核心参数输入!$B$10*核心参数输入!$B$11*核心参数输入!$B$12*核心参数输入!$B$143)&gt;0,55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(55-(核心参数输入!$B$16*4+(核心参数输入!$B$148+核心参数输入!$B$124))-1)/4)/4,0),0)</f>
        <v>91.424581499606759</v>
      </c>
      <c r="BH147" s="9">
        <f>IF(56&lt;=核心参数输入!$B$9*4,IF(AND((核心参数输入!$B$10*核心参数输入!$B$11*核心参数输入!$B$12*核心参数输入!$B$143)&gt;0,56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(56-(核心参数输入!$B$16*4+(核心参数输入!$B$148+核心参数输入!$B$124))-1)/4)/4,0),0)</f>
        <v>91.424581499606759</v>
      </c>
      <c r="BI147" s="9">
        <f>IF(57&lt;=核心参数输入!$B$9*4,IF(AND((核心参数输入!$B$10*核心参数输入!$B$11*核心参数输入!$B$12*核心参数输入!$B$143)&gt;0,57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(57-(核心参数输入!$B$16*4+(核心参数输入!$B$148+核心参数输入!$B$124))-1)/4)/4,0),0)</f>
        <v>93.253073129598889</v>
      </c>
      <c r="BJ147" s="9">
        <f>IF(58&lt;=核心参数输入!$B$9*4,IF(AND((核心参数输入!$B$10*核心参数输入!$B$11*核心参数输入!$B$12*核心参数输入!$B$143)&gt;0,58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(58-(核心参数输入!$B$16*4+(核心参数输入!$B$148+核心参数输入!$B$124))-1)/4)/4,0),0)</f>
        <v>93.253073129598889</v>
      </c>
      <c r="BK147" s="9">
        <f>IF(59&lt;=核心参数输入!$B$9*4,IF(AND((核心参数输入!$B$10*核心参数输入!$B$11*核心参数输入!$B$12*核心参数输入!$B$143)&gt;0,59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(59-(核心参数输入!$B$16*4+(核心参数输入!$B$148+核心参数输入!$B$124))-1)/4)/4,0),0)</f>
        <v>93.253073129598889</v>
      </c>
      <c r="BL147" s="9">
        <f>IF(60&lt;=核心参数输入!$B$9*4,IF(AND((核心参数输入!$B$10*核心参数输入!$B$11*核心参数输入!$B$12*核心参数输入!$B$143)&gt;0,60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(60-(核心参数输入!$B$16*4+(核心参数输入!$B$148+核心参数输入!$B$124))-1)/4)/4,0),0)</f>
        <v>93.253073129598889</v>
      </c>
      <c r="BM147" s="9">
        <f>IF(61&lt;=核心参数输入!$B$9*4,IF(AND((核心参数输入!$B$10*核心参数输入!$B$11*核心参数输入!$B$12*核心参数输入!$B$143)&gt;0,61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(61-(核心参数输入!$B$16*4+(核心参数输入!$B$148+核心参数输入!$B$124))-1)/4)/4,0),0)</f>
        <v>95.11813459219087</v>
      </c>
      <c r="BN147" s="9">
        <f>IF(62&lt;=核心参数输入!$B$9*4,IF(AND((核心参数输入!$B$10*核心参数输入!$B$11*核心参数输入!$B$12*核心参数输入!$B$143)&gt;0,62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(62-(核心参数输入!$B$16*4+(核心参数输入!$B$148+核心参数输入!$B$124))-1)/4)/4,0),0)</f>
        <v>95.11813459219087</v>
      </c>
      <c r="BO147" s="9">
        <f>IF(63&lt;=核心参数输入!$B$9*4,IF(AND((核心参数输入!$B$10*核心参数输入!$B$11*核心参数输入!$B$12*核心参数输入!$B$143)&gt;0,63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(63-(核心参数输入!$B$16*4+(核心参数输入!$B$148+核心参数输入!$B$124))-1)/4)/4,0),0)</f>
        <v>95.11813459219087</v>
      </c>
      <c r="BP147" s="9">
        <f>IF(64&lt;=核心参数输入!$B$9*4,IF(AND((核心参数输入!$B$10*核心参数输入!$B$11*核心参数输入!$B$12*核心参数输入!$B$143)&gt;0,64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(64-(核心参数输入!$B$16*4+(核心参数输入!$B$148+核心参数输入!$B$124))-1)/4)/4,0),0)</f>
        <v>95.11813459219087</v>
      </c>
      <c r="BQ147" s="9">
        <f>IF(65&lt;=核心参数输入!$B$9*4,IF(AND((核心参数输入!$B$10*核心参数输入!$B$11*核心参数输入!$B$12*核心参数输入!$B$143)&gt;0,65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(65-(核心参数输入!$B$16*4+(核心参数输入!$B$148+核心参数输入!$B$124))-1)/4)/4,0),0)</f>
        <v>97.02049728403469</v>
      </c>
      <c r="BR147" s="9">
        <f>IF(66&lt;=核心参数输入!$B$9*4,IF(AND((核心参数输入!$B$10*核心参数输入!$B$11*核心参数输入!$B$12*核心参数输入!$B$143)&gt;0,66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(66-(核心参数输入!$B$16*4+(核心参数输入!$B$148+核心参数输入!$B$124))-1)/4)/4,0),0)</f>
        <v>97.02049728403469</v>
      </c>
      <c r="BS147" s="9">
        <f>IF(67&lt;=核心参数输入!$B$9*4,IF(AND((核心参数输入!$B$10*核心参数输入!$B$11*核心参数输入!$B$12*核心参数输入!$B$143)&gt;0,67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(67-(核心参数输入!$B$16*4+(核心参数输入!$B$148+核心参数输入!$B$124))-1)/4)/4,0),0)</f>
        <v>97.02049728403469</v>
      </c>
      <c r="BT147" s="9">
        <f>IF(68&lt;=核心参数输入!$B$9*4,IF(AND((核心参数输入!$B$10*核心参数输入!$B$11*核心参数输入!$B$12*核心参数输入!$B$143)&gt;0,68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(68-(核心参数输入!$B$16*4+(核心参数输入!$B$148+核心参数输入!$B$124))-1)/4)/4,0),0)</f>
        <v>97.02049728403469</v>
      </c>
      <c r="BU147" s="9">
        <f>IF(69&lt;=核心参数输入!$B$9*4,IF(AND((核心参数输入!$B$10*核心参数输入!$B$11*核心参数输入!$B$12*核心参数输入!$B$143)&gt;0,69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(69-(核心参数输入!$B$16*4+(核心参数输入!$B$148+核心参数输入!$B$124))-1)/4)/4,0),0)</f>
        <v>98.960907229715389</v>
      </c>
      <c r="BV147" s="9">
        <f>IF(70&lt;=核心参数输入!$B$9*4,IF(AND((核心参数输入!$B$10*核心参数输入!$B$11*核心参数输入!$B$12*核心参数输入!$B$143)&gt;0,70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(70-(核心参数输入!$B$16*4+(核心参数输入!$B$148+核心参数输入!$B$124))-1)/4)/4,0),0)</f>
        <v>98.960907229715389</v>
      </c>
      <c r="BW147" s="9">
        <f>IF(71&lt;=核心参数输入!$B$9*4,IF(AND((核心参数输入!$B$10*核心参数输入!$B$11*核心参数输入!$B$12*核心参数输入!$B$143)&gt;0,71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(71-(核心参数输入!$B$16*4+(核心参数输入!$B$148+核心参数输入!$B$124))-1)/4)/4,0),0)</f>
        <v>98.960907229715389</v>
      </c>
      <c r="BX147" s="9">
        <f>IF(72&lt;=核心参数输入!$B$9*4,IF(AND((核心参数输入!$B$10*核心参数输入!$B$11*核心参数输入!$B$12*核心参数输入!$B$143)&gt;0,72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(72-(核心参数输入!$B$16*4+(核心参数输入!$B$148+核心参数输入!$B$124))-1)/4)/4,0),0)</f>
        <v>98.960907229715389</v>
      </c>
      <c r="BY147" s="9">
        <f>IF(73&lt;=核心参数输入!$B$9*4,IF(AND((核心参数输入!$B$10*核心参数输入!$B$11*核心参数输入!$B$12*核心参数输入!$B$143)&gt;0,73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(73-(核心参数输入!$B$16*4+(核心参数输入!$B$148+核心参数输入!$B$124))-1)/4)/4,0),0)</f>
        <v>100.94012537430967</v>
      </c>
      <c r="BZ147" s="9">
        <f>IF(74&lt;=核心参数输入!$B$9*4,IF(AND((核心参数输入!$B$10*核心参数输入!$B$11*核心参数输入!$B$12*核心参数输入!$B$143)&gt;0,74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(74-(核心参数输入!$B$16*4+(核心参数输入!$B$148+核心参数输入!$B$124))-1)/4)/4,0),0)</f>
        <v>100.94012537430967</v>
      </c>
      <c r="CA147" s="9">
        <f>IF(75&lt;=核心参数输入!$B$9*4,IF(AND((核心参数输入!$B$10*核心参数输入!$B$11*核心参数输入!$B$12*核心参数输入!$B$143)&gt;0,75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(75-(核心参数输入!$B$16*4+(核心参数输入!$B$148+核心参数输入!$B$124))-1)/4)/4,0),0)</f>
        <v>100.94012537430967</v>
      </c>
      <c r="CB147" s="9">
        <f>IF(76&lt;=核心参数输入!$B$9*4,IF(AND((核心参数输入!$B$10*核心参数输入!$B$11*核心参数输入!$B$12*核心参数输入!$B$143)&gt;0,76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(76-(核心参数输入!$B$16*4+(核心参数输入!$B$148+核心参数输入!$B$124))-1)/4)/4,0),0)</f>
        <v>100.94012537430967</v>
      </c>
      <c r="CC147" s="9">
        <f>IF(77&lt;=核心参数输入!$B$9*4,IF(AND((核心参数输入!$B$10*核心参数输入!$B$11*核心参数输入!$B$12*核心参数输入!$B$143)&gt;0,77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(77-(核心参数输入!$B$16*4+(核心参数输入!$B$148+核心参数输入!$B$124))-1)/4)/4,0),0)</f>
        <v>102.95892788179589</v>
      </c>
      <c r="CD147" s="9">
        <f>IF(78&lt;=核心参数输入!$B$9*4,IF(AND((核心参数输入!$B$10*核心参数输入!$B$11*核心参数输入!$B$12*核心参数输入!$B$143)&gt;0,78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(78-(核心参数输入!$B$16*4+(核心参数输入!$B$148+核心参数输入!$B$124))-1)/4)/4,0),0)</f>
        <v>102.95892788179589</v>
      </c>
      <c r="CE147" s="9">
        <f>IF(79&lt;=核心参数输入!$B$9*4,IF(AND((核心参数输入!$B$10*核心参数输入!$B$11*核心参数输入!$B$12*核心参数输入!$B$143)&gt;0,79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(79-(核心参数输入!$B$16*4+(核心参数输入!$B$148+核心参数输入!$B$124))-1)/4)/4,0),0)</f>
        <v>102.95892788179589</v>
      </c>
      <c r="CF147" s="9">
        <f>IF(80&lt;=核心参数输入!$B$9*4,IF(AND((核心参数输入!$B$10*核心参数输入!$B$11*核心参数输入!$B$12*核心参数输入!$B$143)&gt;0,80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(80-(核心参数输入!$B$16*4+(核心参数输入!$B$148+核心参数输入!$B$124))-1)/4)/4,0),0)</f>
        <v>102.95892788179589</v>
      </c>
      <c r="CG147" s="9">
        <f>IF(81&lt;=核心参数输入!$B$9*4,IF(AND((核心参数输入!$B$10*核心参数输入!$B$11*核心参数输入!$B$12*核心参数输入!$B$143)&gt;0,81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(81-(核心参数输入!$B$16*4+(核心参数输入!$B$148+核心参数输入!$B$124))-1)/4)/4,0),0)</f>
        <v>0</v>
      </c>
      <c r="CH147" s="9">
        <f>IF(82&lt;=核心参数输入!$B$9*4,IF(AND((核心参数输入!$B$10*核心参数输入!$B$11*核心参数输入!$B$12*核心参数输入!$B$143)&gt;0,82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(82-(核心参数输入!$B$16*4+(核心参数输入!$B$148+核心参数输入!$B$124))-1)/4)/4,0),0)</f>
        <v>0</v>
      </c>
      <c r="CI147" s="9">
        <f>IF(83&lt;=核心参数输入!$B$9*4,IF(AND((核心参数输入!$B$10*核心参数输入!$B$11*核心参数输入!$B$12*核心参数输入!$B$143)&gt;0,83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(83-(核心参数输入!$B$16*4+(核心参数输入!$B$148+核心参数输入!$B$124))-1)/4)/4,0),0)</f>
        <v>0</v>
      </c>
      <c r="CJ147" s="9">
        <f>IF(84&lt;=核心参数输入!$B$9*4,IF(AND((核心参数输入!$B$10*核心参数输入!$B$11*核心参数输入!$B$12*核心参数输入!$B$143)&gt;0,84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(84-(核心参数输入!$B$16*4+(核心参数输入!$B$148+核心参数输入!$B$124))-1)/4)/4,0),0)</f>
        <v>0</v>
      </c>
      <c r="CK147" s="9">
        <f>IF(85&lt;=核心参数输入!$B$9*4,IF(AND((核心参数输入!$B$10*核心参数输入!$B$11*核心参数输入!$B$12*核心参数输入!$B$143)&gt;0,85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(85-(核心参数输入!$B$16*4+(核心参数输入!$B$148+核心参数输入!$B$124))-1)/4)/4,0),0)</f>
        <v>0</v>
      </c>
      <c r="CL147" s="9">
        <f>IF(86&lt;=核心参数输入!$B$9*4,IF(AND((核心参数输入!$B$10*核心参数输入!$B$11*核心参数输入!$B$12*核心参数输入!$B$143)&gt;0,86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(86-(核心参数输入!$B$16*4+(核心参数输入!$B$148+核心参数输入!$B$124))-1)/4)/4,0),0)</f>
        <v>0</v>
      </c>
      <c r="CM147" s="9">
        <f>IF(87&lt;=核心参数输入!$B$9*4,IF(AND((核心参数输入!$B$10*核心参数输入!$B$11*核心参数输入!$B$12*核心参数输入!$B$143)&gt;0,87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(87-(核心参数输入!$B$16*4+(核心参数输入!$B$148+核心参数输入!$B$124))-1)/4)/4,0),0)</f>
        <v>0</v>
      </c>
      <c r="CN147" s="9">
        <f>IF(88&lt;=核心参数输入!$B$9*4,IF(AND((核心参数输入!$B$10*核心参数输入!$B$11*核心参数输入!$B$12*核心参数输入!$B$143)&gt;0,88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(88-(核心参数输入!$B$16*4+(核心参数输入!$B$148+核心参数输入!$B$124))-1)/4)/4,0),0)</f>
        <v>0</v>
      </c>
      <c r="CO147" s="9">
        <f>IF(89&lt;=核心参数输入!$B$9*4,IF(AND((核心参数输入!$B$10*核心参数输入!$B$11*核心参数输入!$B$12*核心参数输入!$B$143)&gt;0,89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(89-(核心参数输入!$B$16*4+(核心参数输入!$B$148+核心参数输入!$B$124))-1)/4)/4,0),0)</f>
        <v>0</v>
      </c>
      <c r="CP147" s="9">
        <f>IF(90&lt;=核心参数输入!$B$9*4,IF(AND((核心参数输入!$B$10*核心参数输入!$B$11*核心参数输入!$B$12*核心参数输入!$B$143)&gt;0,90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(90-(核心参数输入!$B$16*4+(核心参数输入!$B$148+核心参数输入!$B$124))-1)/4)/4,0),0)</f>
        <v>0</v>
      </c>
      <c r="CQ147" s="9">
        <f>IF(91&lt;=核心参数输入!$B$9*4,IF(AND((核心参数输入!$B$10*核心参数输入!$B$11*核心参数输入!$B$12*核心参数输入!$B$143)&gt;0,91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(91-(核心参数输入!$B$16*4+(核心参数输入!$B$148+核心参数输入!$B$124))-1)/4)/4,0),0)</f>
        <v>0</v>
      </c>
      <c r="CR147" s="9">
        <f>IF(92&lt;=核心参数输入!$B$9*4,IF(AND((核心参数输入!$B$10*核心参数输入!$B$11*核心参数输入!$B$12*核心参数输入!$B$143)&gt;0,92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(92-(核心参数输入!$B$16*4+(核心参数输入!$B$148+核心参数输入!$B$124))-1)/4)/4,0),0)</f>
        <v>0</v>
      </c>
      <c r="CS147" s="9">
        <f>IF(93&lt;=核心参数输入!$B$9*4,IF(AND((核心参数输入!$B$10*核心参数输入!$B$11*核心参数输入!$B$12*核心参数输入!$B$143)&gt;0,93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(93-(核心参数输入!$B$16*4+(核心参数输入!$B$148+核心参数输入!$B$124))-1)/4)/4,0),0)</f>
        <v>0</v>
      </c>
      <c r="CT147" s="9">
        <f>IF(94&lt;=核心参数输入!$B$9*4,IF(AND((核心参数输入!$B$10*核心参数输入!$B$11*核心参数输入!$B$12*核心参数输入!$B$143)&gt;0,94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(94-(核心参数输入!$B$16*4+(核心参数输入!$B$148+核心参数输入!$B$124))-1)/4)/4,0),0)</f>
        <v>0</v>
      </c>
      <c r="CU147" s="9">
        <f>IF(95&lt;=核心参数输入!$B$9*4,IF(AND((核心参数输入!$B$10*核心参数输入!$B$11*核心参数输入!$B$12*核心参数输入!$B$143)&gt;0,95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(95-(核心参数输入!$B$16*4+(核心参数输入!$B$148+核心参数输入!$B$124))-1)/4)/4,0),0)</f>
        <v>0</v>
      </c>
      <c r="CV147" s="9">
        <f>IF(96&lt;=核心参数输入!$B$9*4,IF(AND((核心参数输入!$B$10*核心参数输入!$B$11*核心参数输入!$B$12*核心参数输入!$B$143)&gt;0,96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(96-(核心参数输入!$B$16*4+(核心参数输入!$B$148+核心参数输入!$B$124))-1)/4)/4,0),0)</f>
        <v>0</v>
      </c>
      <c r="CW147" s="9">
        <f>IF(97&lt;=核心参数输入!$B$9*4,IF(AND((核心参数输入!$B$10*核心参数输入!$B$11*核心参数输入!$B$12*核心参数输入!$B$143)&gt;0,97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(97-(核心参数输入!$B$16*4+(核心参数输入!$B$148+核心参数输入!$B$124))-1)/4)/4,0),0)</f>
        <v>0</v>
      </c>
      <c r="CX147" s="9">
        <f>IF(98&lt;=核心参数输入!$B$9*4,IF(AND((核心参数输入!$B$10*核心参数输入!$B$11*核心参数输入!$B$12*核心参数输入!$B$143)&gt;0,98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(98-(核心参数输入!$B$16*4+(核心参数输入!$B$148+核心参数输入!$B$124))-1)/4)/4,0),0)</f>
        <v>0</v>
      </c>
      <c r="CY147" s="9">
        <f>IF(99&lt;=核心参数输入!$B$9*4,IF(AND((核心参数输入!$B$10*核心参数输入!$B$11*核心参数输入!$B$12*核心参数输入!$B$143)&gt;0,99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(99-(核心参数输入!$B$16*4+(核心参数输入!$B$148+核心参数输入!$B$124))-1)/4)/4,0),0)</f>
        <v>0</v>
      </c>
      <c r="CZ147" s="9">
        <f>IF(100&lt;=核心参数输入!$B$9*4,IF(AND((核心参数输入!$B$10*核心参数输入!$B$11*核心参数输入!$B$12*核心参数输入!$B$143)&gt;0,100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(100-(核心参数输入!$B$16*4+(核心参数输入!$B$148+核心参数输入!$B$124))-1)/4)/4,0),0)</f>
        <v>0</v>
      </c>
      <c r="DA147" s="9">
        <f>IF(101&lt;=核心参数输入!$B$9*4,IF(AND((核心参数输入!$B$10*核心参数输入!$B$11*核心参数输入!$B$12*核心参数输入!$B$143)&gt;0,101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(101-(核心参数输入!$B$16*4+(核心参数输入!$B$148+核心参数输入!$B$124))-1)/4)/4,0),0)</f>
        <v>0</v>
      </c>
      <c r="DB147" s="9">
        <f>IF(102&lt;=核心参数输入!$B$9*4,IF(AND((核心参数输入!$B$10*核心参数输入!$B$11*核心参数输入!$B$12*核心参数输入!$B$143)&gt;0,102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(102-(核心参数输入!$B$16*4+(核心参数输入!$B$148+核心参数输入!$B$124))-1)/4)/4,0),0)</f>
        <v>0</v>
      </c>
      <c r="DC147" s="9">
        <f>IF(103&lt;=核心参数输入!$B$9*4,IF(AND((核心参数输入!$B$10*核心参数输入!$B$11*核心参数输入!$B$12*核心参数输入!$B$143)&gt;0,103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(103-(核心参数输入!$B$16*4+(核心参数输入!$B$148+核心参数输入!$B$124))-1)/4)/4,0),0)</f>
        <v>0</v>
      </c>
      <c r="DD147" s="9">
        <f>IF(104&lt;=核心参数输入!$B$9*4,IF(AND((核心参数输入!$B$10*核心参数输入!$B$11*核心参数输入!$B$12*核心参数输入!$B$143)&gt;0,104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(104-(核心参数输入!$B$16*4+(核心参数输入!$B$148+核心参数输入!$B$124))-1)/4)/4,0),0)</f>
        <v>0</v>
      </c>
      <c r="DE147" s="9">
        <f>IF(105&lt;=核心参数输入!$B$9*4,IF(AND((核心参数输入!$B$10*核心参数输入!$B$11*核心参数输入!$B$12*核心参数输入!$B$143)&gt;0,105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(105-(核心参数输入!$B$16*4+(核心参数输入!$B$148+核心参数输入!$B$124))-1)/4)/4,0),0)</f>
        <v>0</v>
      </c>
      <c r="DF147" s="9">
        <f>IF(106&lt;=核心参数输入!$B$9*4,IF(AND((核心参数输入!$B$10*核心参数输入!$B$11*核心参数输入!$B$12*核心参数输入!$B$143)&gt;0,106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(106-(核心参数输入!$B$16*4+(核心参数输入!$B$148+核心参数输入!$B$124))-1)/4)/4,0),0)</f>
        <v>0</v>
      </c>
      <c r="DG147" s="9">
        <f>IF(107&lt;=核心参数输入!$B$9*4,IF(AND((核心参数输入!$B$10*核心参数输入!$B$11*核心参数输入!$B$12*核心参数输入!$B$143)&gt;0,107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(107-(核心参数输入!$B$16*4+(核心参数输入!$B$148+核心参数输入!$B$124))-1)/4)/4,0),0)</f>
        <v>0</v>
      </c>
      <c r="DH147" s="9">
        <f>IF(108&lt;=核心参数输入!$B$9*4,IF(AND((核心参数输入!$B$10*核心参数输入!$B$11*核心参数输入!$B$12*核心参数输入!$B$143)&gt;0,108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(108-(核心参数输入!$B$16*4+(核心参数输入!$B$148+核心参数输入!$B$124))-1)/4)/4,0),0)</f>
        <v>0</v>
      </c>
      <c r="DI147" s="9">
        <f>IF(109&lt;=核心参数输入!$B$9*4,IF(AND((核心参数输入!$B$10*核心参数输入!$B$11*核心参数输入!$B$12*核心参数输入!$B$143)&gt;0,109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(109-(核心参数输入!$B$16*4+(核心参数输入!$B$148+核心参数输入!$B$124))-1)/4)/4,0),0)</f>
        <v>0</v>
      </c>
      <c r="DJ147" s="9">
        <f>IF(110&lt;=核心参数输入!$B$9*4,IF(AND((核心参数输入!$B$10*核心参数输入!$B$11*核心参数输入!$B$12*核心参数输入!$B$143)&gt;0,110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(110-(核心参数输入!$B$16*4+(核心参数输入!$B$148+核心参数输入!$B$124))-1)/4)/4,0),0)</f>
        <v>0</v>
      </c>
      <c r="DK147" s="9">
        <f>IF(111&lt;=核心参数输入!$B$9*4,IF(AND((核心参数输入!$B$10*核心参数输入!$B$11*核心参数输入!$B$12*核心参数输入!$B$143)&gt;0,111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(111-(核心参数输入!$B$16*4+(核心参数输入!$B$148+核心参数输入!$B$124))-1)/4)/4,0),0)</f>
        <v>0</v>
      </c>
      <c r="DL147" s="9">
        <f>IF(112&lt;=核心参数输入!$B$9*4,IF(AND((核心参数输入!$B$10*核心参数输入!$B$11*核心参数输入!$B$12*核心参数输入!$B$143)&gt;0,112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(112-(核心参数输入!$B$16*4+(核心参数输入!$B$148+核心参数输入!$B$124))-1)/4)/4,0),0)</f>
        <v>0</v>
      </c>
      <c r="DM147" s="9">
        <f>IF(113&lt;=核心参数输入!$B$9*4,IF(AND((核心参数输入!$B$10*核心参数输入!$B$11*核心参数输入!$B$12*核心参数输入!$B$143)&gt;0,113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(113-(核心参数输入!$B$16*4+(核心参数输入!$B$148+核心参数输入!$B$124))-1)/4)/4,0),0)</f>
        <v>0</v>
      </c>
      <c r="DN147" s="9">
        <f>IF(114&lt;=核心参数输入!$B$9*4,IF(AND((核心参数输入!$B$10*核心参数输入!$B$11*核心参数输入!$B$12*核心参数输入!$B$143)&gt;0,114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(114-(核心参数输入!$B$16*4+(核心参数输入!$B$148+核心参数输入!$B$124))-1)/4)/4,0),0)</f>
        <v>0</v>
      </c>
      <c r="DO147" s="9">
        <f>IF(115&lt;=核心参数输入!$B$9*4,IF(AND((核心参数输入!$B$10*核心参数输入!$B$11*核心参数输入!$B$12*核心参数输入!$B$143)&gt;0,115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(115-(核心参数输入!$B$16*4+(核心参数输入!$B$148+核心参数输入!$B$124))-1)/4)/4,0),0)</f>
        <v>0</v>
      </c>
      <c r="DP147" s="9">
        <f>IF(116&lt;=核心参数输入!$B$9*4,IF(AND((核心参数输入!$B$10*核心参数输入!$B$11*核心参数输入!$B$12*核心参数输入!$B$143)&gt;0,116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(116-(核心参数输入!$B$16*4+(核心参数输入!$B$148+核心参数输入!$B$124))-1)/4)/4,0),0)</f>
        <v>0</v>
      </c>
      <c r="DQ147" s="9">
        <f>IF(117&lt;=核心参数输入!$B$9*4,IF(AND((核心参数输入!$B$10*核心参数输入!$B$11*核心参数输入!$B$12*核心参数输入!$B$143)&gt;0,117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(117-(核心参数输入!$B$16*4+(核心参数输入!$B$148+核心参数输入!$B$124))-1)/4)/4,0),0)</f>
        <v>0</v>
      </c>
      <c r="DR147" s="9">
        <f>IF(118&lt;=核心参数输入!$B$9*4,IF(AND((核心参数输入!$B$10*核心参数输入!$B$11*核心参数输入!$B$12*核心参数输入!$B$143)&gt;0,118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(118-(核心参数输入!$B$16*4+(核心参数输入!$B$148+核心参数输入!$B$124))-1)/4)/4,0),0)</f>
        <v>0</v>
      </c>
      <c r="DS147" s="9">
        <f>IF(119&lt;=核心参数输入!$B$9*4,IF(AND((核心参数输入!$B$10*核心参数输入!$B$11*核心参数输入!$B$12*核心参数输入!$B$143)&gt;0,119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(119-(核心参数输入!$B$16*4+(核心参数输入!$B$148+核心参数输入!$B$124))-1)/4)/4,0),0)</f>
        <v>0</v>
      </c>
      <c r="DT147" s="9">
        <f>IF(120&lt;=核心参数输入!$B$9*4,IF(AND((核心参数输入!$B$10*核心参数输入!$B$11*核心参数输入!$B$12*核心参数输入!$B$143)&gt;0,120&gt;(核心参数输入!$B$16*4+(核心参数输入!$B$148+核心参数输入!$B$124))),核心参数输入!$B$47*(核心参数输入!$B$10*核心参数输入!$B$11*核心参数输入!$B$12*核心参数输入!$B$143)/MAX(1,核心参数输入!$B$108)*(1+核心参数输入!$B$48)^INT((120-(核心参数输入!$B$16*4+(核心参数输入!$B$148+核心参数输入!$B$124))-1)/4)/4,0),0)</f>
        <v>0</v>
      </c>
    </row>
    <row r="148" spans="1:124" ht="21" customHeight="1">
      <c r="A148" s="8" t="s">
        <v>470</v>
      </c>
      <c r="B148" s="8" t="s">
        <v>39</v>
      </c>
      <c r="C148" s="8"/>
      <c r="D148" s="9">
        <f>IF(0&lt;=核心参数输入!$B$9*4,(D143-D134)*核心参数输入!$B$49,0)</f>
        <v>0</v>
      </c>
      <c r="E148" s="9">
        <f>IF(1&lt;=核心参数输入!$B$9*4,(E143-E134)*核心参数输入!$B$49,0)</f>
        <v>0</v>
      </c>
      <c r="F148" s="9">
        <f>IF(2&lt;=核心参数输入!$B$9*4,(F143-F134)*核心参数输入!$B$49,0)</f>
        <v>0</v>
      </c>
      <c r="G148" s="9">
        <f>IF(3&lt;=核心参数输入!$B$9*4,(G143-G134)*核心参数输入!$B$49,0)</f>
        <v>0</v>
      </c>
      <c r="H148" s="9">
        <f>IF(4&lt;=核心参数输入!$B$9*4,(H143-H134)*核心参数输入!$B$49,0)</f>
        <v>0</v>
      </c>
      <c r="I148" s="9">
        <f>IF(5&lt;=核心参数输入!$B$9*4,(I143-I134)*核心参数输入!$B$49,0)</f>
        <v>0</v>
      </c>
      <c r="J148" s="9">
        <f>IF(6&lt;=核心参数输入!$B$9*4,(J143-J134)*核心参数输入!$B$49,0)</f>
        <v>0</v>
      </c>
      <c r="K148" s="9">
        <f>IF(7&lt;=核心参数输入!$B$9*4,(K143-K134)*核心参数输入!$B$49,0)</f>
        <v>0</v>
      </c>
      <c r="L148" s="9">
        <f>IF(8&lt;=核心参数输入!$B$9*4,(L143-L134)*核心参数输入!$B$49,0)</f>
        <v>0</v>
      </c>
      <c r="M148" s="9">
        <f>IF(9&lt;=核心参数输入!$B$9*4,(M143-M134)*核心参数输入!$B$49,0)</f>
        <v>0</v>
      </c>
      <c r="N148" s="9">
        <f>IF(10&lt;=核心参数输入!$B$9*4,(N143-N134)*核心参数输入!$B$49,0)</f>
        <v>0</v>
      </c>
      <c r="O148" s="9">
        <f>IF(11&lt;=核心参数输入!$B$9*4,(O143-O134)*核心参数输入!$B$49,0)</f>
        <v>0</v>
      </c>
      <c r="P148" s="9">
        <f>IF(12&lt;=核心参数输入!$B$9*4,(P143-P134)*核心参数输入!$B$49,0)</f>
        <v>0</v>
      </c>
      <c r="Q148" s="9">
        <f>IF(13&lt;=核心参数输入!$B$9*4,(Q143-Q134)*核心参数输入!$B$49,0)</f>
        <v>0</v>
      </c>
      <c r="R148" s="9">
        <f>IF(14&lt;=核心参数输入!$B$9*4,(R143-R134)*核心参数输入!$B$49,0)</f>
        <v>2.6329949100000007</v>
      </c>
      <c r="S148" s="9">
        <f>IF(15&lt;=核心参数输入!$B$9*4,(S143-S134)*核心参数输入!$B$49,0)</f>
        <v>7.8989847300000013</v>
      </c>
      <c r="T148" s="9">
        <f>IF(16&lt;=核心参数输入!$B$9*4,(T143-T134)*核心参数输入!$B$49,0)</f>
        <v>13.16497455</v>
      </c>
      <c r="U148" s="9">
        <f>IF(17&lt;=核心参数输入!$B$9*4,(U143-U134)*核心参数输入!$B$49,0)</f>
        <v>18.707428835550001</v>
      </c>
      <c r="V148" s="9">
        <f>IF(18&lt;=核心参数输入!$B$9*4,(V143-V134)*核心参数输入!$B$49,0)</f>
        <v>22.716163586024997</v>
      </c>
      <c r="W148" s="9">
        <f>IF(19&lt;=核心参数输入!$B$9*4,(W143-W134)*核心参数输入!$B$49,0)</f>
        <v>25.388653419674995</v>
      </c>
      <c r="X148" s="9">
        <f>IF(20&lt;=核心参数输入!$B$9*4,(X143-X134)*核心参数输入!$B$49,0)</f>
        <v>28.061143253325003</v>
      </c>
      <c r="Y148" s="9">
        <f>IF(21&lt;=核心参数输入!$B$9*4,(Y143-Y134)*核心参数输入!$B$49,0)</f>
        <v>31.194637583279608</v>
      </c>
      <c r="Z148" s="9">
        <f>IF(22&lt;=核心参数输入!$B$9*4,(Z143-Z134)*核心参数输入!$B$49,0)</f>
        <v>33.56814261679002</v>
      </c>
      <c r="AA148" s="9">
        <f>IF(23&lt;=核心参数输入!$B$9*4,(AA143-AA134)*核心参数输入!$B$49,0)</f>
        <v>35.60257550265608</v>
      </c>
      <c r="AB148" s="9">
        <f>IF(24&lt;=核心参数输入!$B$9*4,(AB143-AB134)*核心参数输入!$B$49,0)</f>
        <v>37.63700838852214</v>
      </c>
      <c r="AC148" s="9">
        <f>IF(25&lt;=核心参数输入!$B$9*4,(AC143-AC134)*核心参数输入!$B$49,0)</f>
        <v>40.266512893504022</v>
      </c>
      <c r="AD148" s="9">
        <f>IF(26&lt;=核心参数输入!$B$9*4,(AD143-AD134)*核心参数输入!$B$49,0)</f>
        <v>41.643145812940048</v>
      </c>
      <c r="AE148" s="9">
        <f>IF(27&lt;=核心参数输入!$B$9*4,(AE143-AE134)*核心参数输入!$B$49,0)</f>
        <v>42.331462272658072</v>
      </c>
      <c r="AF148" s="9">
        <f>IF(28&lt;=核心参数输入!$B$9*4,(AF143-AF134)*核心参数输入!$B$49,0)</f>
        <v>43.019778732376096</v>
      </c>
      <c r="AG148" s="9">
        <f>IF(29&lt;=核心参数输入!$B$9*4,(AG143-AG134)*核心参数输入!$B$49,0)</f>
        <v>44.36371661997552</v>
      </c>
      <c r="AH148" s="9">
        <f>IF(30&lt;=核心参数输入!$B$9*4,(AH143-AH134)*核心参数输入!$B$49,0)</f>
        <v>44.713037223282406</v>
      </c>
      <c r="AI148" s="9">
        <f>IF(31&lt;=核心参数输入!$B$9*4,(AI143-AI134)*核心参数输入!$B$49,0)</f>
        <v>44.713037223282406</v>
      </c>
      <c r="AJ148" s="9">
        <f>IF(32&lt;=核心参数输入!$B$9*4,(AJ143-AJ134)*核心参数输入!$B$49,0)</f>
        <v>44.713037223282406</v>
      </c>
      <c r="AK148" s="9">
        <f>IF(33&lt;=核心参数输入!$B$9*4,(AK143-AK134)*核心参数输入!$B$49,0)</f>
        <v>45.38373278163165</v>
      </c>
      <c r="AL148" s="9">
        <f>IF(34&lt;=核心参数输入!$B$9*4,(AL143-AL134)*核心参数输入!$B$49,0)</f>
        <v>45.38373278163165</v>
      </c>
      <c r="AM148" s="9">
        <f>IF(35&lt;=核心参数输入!$B$9*4,(AM143-AM134)*核心参数输入!$B$49,0)</f>
        <v>45.38373278163165</v>
      </c>
      <c r="AN148" s="9">
        <f>IF(36&lt;=核心参数输入!$B$9*4,(AN143-AN134)*核心参数输入!$B$49,0)</f>
        <v>45.38373278163165</v>
      </c>
      <c r="AO148" s="9">
        <f>IF(37&lt;=核心参数输入!$B$9*4,(AO143-AO134)*核心参数输入!$B$49,0)</f>
        <v>46.064488773356103</v>
      </c>
      <c r="AP148" s="9">
        <f>IF(38&lt;=核心参数输入!$B$9*4,(AP143-AP134)*核心参数输入!$B$49,0)</f>
        <v>46.064488773356103</v>
      </c>
      <c r="AQ148" s="9">
        <f>IF(39&lt;=核心参数输入!$B$9*4,(AQ143-AQ134)*核心参数输入!$B$49,0)</f>
        <v>46.064488773356103</v>
      </c>
      <c r="AR148" s="9">
        <f>IF(40&lt;=核心参数输入!$B$9*4,(AR143-AR134)*核心参数输入!$B$49,0)</f>
        <v>46.064488773356103</v>
      </c>
      <c r="AS148" s="9">
        <f>IF(41&lt;=核心参数输入!$B$9*4,(AS143-AS134)*核心参数输入!$B$49,0)</f>
        <v>46.755456104956451</v>
      </c>
      <c r="AT148" s="9">
        <f>IF(42&lt;=核心参数输入!$B$9*4,(AT143-AT134)*核心参数输入!$B$49,0)</f>
        <v>46.755456104956451</v>
      </c>
      <c r="AU148" s="9">
        <f>IF(43&lt;=核心参数输入!$B$9*4,(AU143-AU134)*核心参数输入!$B$49,0)</f>
        <v>46.755456104956451</v>
      </c>
      <c r="AV148" s="9">
        <f>IF(44&lt;=核心参数输入!$B$9*4,(AV143-AV134)*核心参数输入!$B$49,0)</f>
        <v>46.755456104956451</v>
      </c>
      <c r="AW148" s="9">
        <f>IF(45&lt;=核心参数输入!$B$9*4,(AW143-AW134)*核心参数输入!$B$49,0)</f>
        <v>47.456787946530781</v>
      </c>
      <c r="AX148" s="9">
        <f>IF(46&lt;=核心参数输入!$B$9*4,(AX143-AX134)*核心参数输入!$B$49,0)</f>
        <v>47.456787946530781</v>
      </c>
      <c r="AY148" s="9">
        <f>IF(47&lt;=核心参数输入!$B$9*4,(AY143-AY134)*核心参数输入!$B$49,0)</f>
        <v>47.456787946530781</v>
      </c>
      <c r="AZ148" s="9">
        <f>IF(48&lt;=核心参数输入!$B$9*4,(AZ143-AZ134)*核心参数输入!$B$49,0)</f>
        <v>47.456787946530781</v>
      </c>
      <c r="BA148" s="9">
        <f>IF(49&lt;=核心参数输入!$B$9*4,(BA143-BA134)*核心参数输入!$B$49,0)</f>
        <v>48.168639765728742</v>
      </c>
      <c r="BB148" s="9">
        <f>IF(50&lt;=核心参数输入!$B$9*4,(BB143-BB134)*核心参数输入!$B$49,0)</f>
        <v>48.168639765728742</v>
      </c>
      <c r="BC148" s="9">
        <f>IF(51&lt;=核心参数输入!$B$9*4,(BC143-BC134)*核心参数输入!$B$49,0)</f>
        <v>48.168639765728742</v>
      </c>
      <c r="BD148" s="9">
        <f>IF(52&lt;=核心参数输入!$B$9*4,(BD143-BD134)*核心参数输入!$B$49,0)</f>
        <v>48.168639765728742</v>
      </c>
      <c r="BE148" s="9">
        <f>IF(53&lt;=核心参数输入!$B$9*4,(BE143-BE134)*核心参数输入!$B$49,0)</f>
        <v>48.891169362214661</v>
      </c>
      <c r="BF148" s="9">
        <f>IF(54&lt;=核心参数输入!$B$9*4,(BF143-BF134)*核心参数输入!$B$49,0)</f>
        <v>48.891169362214661</v>
      </c>
      <c r="BG148" s="9">
        <f>IF(55&lt;=核心参数输入!$B$9*4,(BG143-BG134)*核心参数输入!$B$49,0)</f>
        <v>48.891169362214661</v>
      </c>
      <c r="BH148" s="9">
        <f>IF(56&lt;=核心参数输入!$B$9*4,(BH143-BH134)*核心参数输入!$B$49,0)</f>
        <v>48.891169362214661</v>
      </c>
      <c r="BI148" s="9">
        <f>IF(57&lt;=核心参数输入!$B$9*4,(BI143-BI134)*核心参数输入!$B$49,0)</f>
        <v>49.624536902647876</v>
      </c>
      <c r="BJ148" s="9">
        <f>IF(58&lt;=核心参数输入!$B$9*4,(BJ143-BJ134)*核心参数输入!$B$49,0)</f>
        <v>49.624536902647876</v>
      </c>
      <c r="BK148" s="9">
        <f>IF(59&lt;=核心参数输入!$B$9*4,(BK143-BK134)*核心参数输入!$B$49,0)</f>
        <v>49.624536902647876</v>
      </c>
      <c r="BL148" s="9">
        <f>IF(60&lt;=核心参数输入!$B$9*4,(BL143-BL134)*核心参数输入!$B$49,0)</f>
        <v>49.624536902647876</v>
      </c>
      <c r="BM148" s="9">
        <f>IF(61&lt;=核心参数输入!$B$9*4,(BM143-BM134)*核心参数输入!$B$49,0)</f>
        <v>50.368904956187578</v>
      </c>
      <c r="BN148" s="9">
        <f>IF(62&lt;=核心参数输入!$B$9*4,(BN143-BN134)*核心参数输入!$B$49,0)</f>
        <v>50.368904956187578</v>
      </c>
      <c r="BO148" s="9">
        <f>IF(63&lt;=核心参数输入!$B$9*4,(BO143-BO134)*核心参数输入!$B$49,0)</f>
        <v>50.368904956187578</v>
      </c>
      <c r="BP148" s="9">
        <f>IF(64&lt;=核心参数输入!$B$9*4,(BP143-BP134)*核心参数输入!$B$49,0)</f>
        <v>50.368904956187578</v>
      </c>
      <c r="BQ148" s="9">
        <f>IF(65&lt;=核心参数输入!$B$9*4,(BQ143-BQ134)*核心参数输入!$B$49,0)</f>
        <v>51.124438530530398</v>
      </c>
      <c r="BR148" s="9">
        <f>IF(66&lt;=核心参数输入!$B$9*4,(BR143-BR134)*核心参数输入!$B$49,0)</f>
        <v>51.124438530530398</v>
      </c>
      <c r="BS148" s="9">
        <f>IF(67&lt;=核心参数输入!$B$9*4,(BS143-BS134)*核心参数输入!$B$49,0)</f>
        <v>51.124438530530398</v>
      </c>
      <c r="BT148" s="9">
        <f>IF(68&lt;=核心参数输入!$B$9*4,(BT143-BT134)*核心参数输入!$B$49,0)</f>
        <v>51.124438530530398</v>
      </c>
      <c r="BU148" s="9">
        <f>IF(69&lt;=核心参数输入!$B$9*4,(BU143-BU134)*核心参数输入!$B$49,0)</f>
        <v>51.891305108488339</v>
      </c>
      <c r="BV148" s="9">
        <f>IF(70&lt;=核心参数输入!$B$9*4,(BV143-BV134)*核心参数输入!$B$49,0)</f>
        <v>51.891305108488339</v>
      </c>
      <c r="BW148" s="9">
        <f>IF(71&lt;=核心参数输入!$B$9*4,(BW143-BW134)*核心参数输入!$B$49,0)</f>
        <v>51.891305108488339</v>
      </c>
      <c r="BX148" s="9">
        <f>IF(72&lt;=核心参数输入!$B$9*4,(BX143-BX134)*核心参数输入!$B$49,0)</f>
        <v>51.891305108488339</v>
      </c>
      <c r="BY148" s="9">
        <f>IF(73&lt;=核心参数输入!$B$9*4,(BY143-BY134)*核心参数输入!$B$49,0)</f>
        <v>52.669674685115659</v>
      </c>
      <c r="BZ148" s="9">
        <f>IF(74&lt;=核心参数输入!$B$9*4,(BZ143-BZ134)*核心参数输入!$B$49,0)</f>
        <v>52.669674685115659</v>
      </c>
      <c r="CA148" s="9">
        <f>IF(75&lt;=核心参数输入!$B$9*4,(CA143-CA134)*核心参数输入!$B$49,0)</f>
        <v>52.669674685115659</v>
      </c>
      <c r="CB148" s="9">
        <f>IF(76&lt;=核心参数输入!$B$9*4,(CB143-CB134)*核心参数输入!$B$49,0)</f>
        <v>52.669674685115659</v>
      </c>
      <c r="CC148" s="9">
        <f>IF(77&lt;=核心参数输入!$B$9*4,(CC143-CC134)*核心参数输入!$B$49,0)</f>
        <v>53.459719805392389</v>
      </c>
      <c r="CD148" s="9">
        <f>IF(78&lt;=核心参数输入!$B$9*4,(CD143-CD134)*核心参数输入!$B$49,0)</f>
        <v>53.459719805392389</v>
      </c>
      <c r="CE148" s="9">
        <f>IF(79&lt;=核心参数输入!$B$9*4,(CE143-CE134)*核心参数输入!$B$49,0)</f>
        <v>53.459719805392389</v>
      </c>
      <c r="CF148" s="9">
        <f>IF(80&lt;=核心参数输入!$B$9*4,(CF143-CF134)*核心参数输入!$B$49,0)</f>
        <v>53.459719805392389</v>
      </c>
      <c r="CG148" s="9">
        <f>IF(81&lt;=核心参数输入!$B$9*4,(CG143-CG134)*核心参数输入!$B$49,0)</f>
        <v>0</v>
      </c>
      <c r="CH148" s="9">
        <f>IF(82&lt;=核心参数输入!$B$9*4,(CH143-CH134)*核心参数输入!$B$49,0)</f>
        <v>0</v>
      </c>
      <c r="CI148" s="9">
        <f>IF(83&lt;=核心参数输入!$B$9*4,(CI143-CI134)*核心参数输入!$B$49,0)</f>
        <v>0</v>
      </c>
      <c r="CJ148" s="9">
        <f>IF(84&lt;=核心参数输入!$B$9*4,(CJ143-CJ134)*核心参数输入!$B$49,0)</f>
        <v>0</v>
      </c>
      <c r="CK148" s="9">
        <f>IF(85&lt;=核心参数输入!$B$9*4,(CK143-CK134)*核心参数输入!$B$49,0)</f>
        <v>0</v>
      </c>
      <c r="CL148" s="9">
        <f>IF(86&lt;=核心参数输入!$B$9*4,(CL143-CL134)*核心参数输入!$B$49,0)</f>
        <v>0</v>
      </c>
      <c r="CM148" s="9">
        <f>IF(87&lt;=核心参数输入!$B$9*4,(CM143-CM134)*核心参数输入!$B$49,0)</f>
        <v>0</v>
      </c>
      <c r="CN148" s="9">
        <f>IF(88&lt;=核心参数输入!$B$9*4,(CN143-CN134)*核心参数输入!$B$49,0)</f>
        <v>0</v>
      </c>
      <c r="CO148" s="9">
        <f>IF(89&lt;=核心参数输入!$B$9*4,(CO143-CO134)*核心参数输入!$B$49,0)</f>
        <v>0</v>
      </c>
      <c r="CP148" s="9">
        <f>IF(90&lt;=核心参数输入!$B$9*4,(CP143-CP134)*核心参数输入!$B$49,0)</f>
        <v>0</v>
      </c>
      <c r="CQ148" s="9">
        <f>IF(91&lt;=核心参数输入!$B$9*4,(CQ143-CQ134)*核心参数输入!$B$49,0)</f>
        <v>0</v>
      </c>
      <c r="CR148" s="9">
        <f>IF(92&lt;=核心参数输入!$B$9*4,(CR143-CR134)*核心参数输入!$B$49,0)</f>
        <v>0</v>
      </c>
      <c r="CS148" s="9">
        <f>IF(93&lt;=核心参数输入!$B$9*4,(CS143-CS134)*核心参数输入!$B$49,0)</f>
        <v>0</v>
      </c>
      <c r="CT148" s="9">
        <f>IF(94&lt;=核心参数输入!$B$9*4,(CT143-CT134)*核心参数输入!$B$49,0)</f>
        <v>0</v>
      </c>
      <c r="CU148" s="9">
        <f>IF(95&lt;=核心参数输入!$B$9*4,(CU143-CU134)*核心参数输入!$B$49,0)</f>
        <v>0</v>
      </c>
      <c r="CV148" s="9">
        <f>IF(96&lt;=核心参数输入!$B$9*4,(CV143-CV134)*核心参数输入!$B$49,0)</f>
        <v>0</v>
      </c>
      <c r="CW148" s="9">
        <f>IF(97&lt;=核心参数输入!$B$9*4,(CW143-CW134)*核心参数输入!$B$49,0)</f>
        <v>0</v>
      </c>
      <c r="CX148" s="9">
        <f>IF(98&lt;=核心参数输入!$B$9*4,(CX143-CX134)*核心参数输入!$B$49,0)</f>
        <v>0</v>
      </c>
      <c r="CY148" s="9">
        <f>IF(99&lt;=核心参数输入!$B$9*4,(CY143-CY134)*核心参数输入!$B$49,0)</f>
        <v>0</v>
      </c>
      <c r="CZ148" s="9">
        <f>IF(100&lt;=核心参数输入!$B$9*4,(CZ143-CZ134)*核心参数输入!$B$49,0)</f>
        <v>0</v>
      </c>
      <c r="DA148" s="9">
        <f>IF(101&lt;=核心参数输入!$B$9*4,(DA143-DA134)*核心参数输入!$B$49,0)</f>
        <v>0</v>
      </c>
      <c r="DB148" s="9">
        <f>IF(102&lt;=核心参数输入!$B$9*4,(DB143-DB134)*核心参数输入!$B$49,0)</f>
        <v>0</v>
      </c>
      <c r="DC148" s="9">
        <f>IF(103&lt;=核心参数输入!$B$9*4,(DC143-DC134)*核心参数输入!$B$49,0)</f>
        <v>0</v>
      </c>
      <c r="DD148" s="9">
        <f>IF(104&lt;=核心参数输入!$B$9*4,(DD143-DD134)*核心参数输入!$B$49,0)</f>
        <v>0</v>
      </c>
      <c r="DE148" s="9">
        <f>IF(105&lt;=核心参数输入!$B$9*4,(DE143-DE134)*核心参数输入!$B$49,0)</f>
        <v>0</v>
      </c>
      <c r="DF148" s="9">
        <f>IF(106&lt;=核心参数输入!$B$9*4,(DF143-DF134)*核心参数输入!$B$49,0)</f>
        <v>0</v>
      </c>
      <c r="DG148" s="9">
        <f>IF(107&lt;=核心参数输入!$B$9*4,(DG143-DG134)*核心参数输入!$B$49,0)</f>
        <v>0</v>
      </c>
      <c r="DH148" s="9">
        <f>IF(108&lt;=核心参数输入!$B$9*4,(DH143-DH134)*核心参数输入!$B$49,0)</f>
        <v>0</v>
      </c>
      <c r="DI148" s="9">
        <f>IF(109&lt;=核心参数输入!$B$9*4,(DI143-DI134)*核心参数输入!$B$49,0)</f>
        <v>0</v>
      </c>
      <c r="DJ148" s="9">
        <f>IF(110&lt;=核心参数输入!$B$9*4,(DJ143-DJ134)*核心参数输入!$B$49,0)</f>
        <v>0</v>
      </c>
      <c r="DK148" s="9">
        <f>IF(111&lt;=核心参数输入!$B$9*4,(DK143-DK134)*核心参数输入!$B$49,0)</f>
        <v>0</v>
      </c>
      <c r="DL148" s="9">
        <f>IF(112&lt;=核心参数输入!$B$9*4,(DL143-DL134)*核心参数输入!$B$49,0)</f>
        <v>0</v>
      </c>
      <c r="DM148" s="9">
        <f>IF(113&lt;=核心参数输入!$B$9*4,(DM143-DM134)*核心参数输入!$B$49,0)</f>
        <v>0</v>
      </c>
      <c r="DN148" s="9">
        <f>IF(114&lt;=核心参数输入!$B$9*4,(DN143-DN134)*核心参数输入!$B$49,0)</f>
        <v>0</v>
      </c>
      <c r="DO148" s="9">
        <f>IF(115&lt;=核心参数输入!$B$9*4,(DO143-DO134)*核心参数输入!$B$49,0)</f>
        <v>0</v>
      </c>
      <c r="DP148" s="9">
        <f>IF(116&lt;=核心参数输入!$B$9*4,(DP143-DP134)*核心参数输入!$B$49,0)</f>
        <v>0</v>
      </c>
      <c r="DQ148" s="9">
        <f>IF(117&lt;=核心参数输入!$B$9*4,(DQ143-DQ134)*核心参数输入!$B$49,0)</f>
        <v>0</v>
      </c>
      <c r="DR148" s="9">
        <f>IF(118&lt;=核心参数输入!$B$9*4,(DR143-DR134)*核心参数输入!$B$49,0)</f>
        <v>0</v>
      </c>
      <c r="DS148" s="9">
        <f>IF(119&lt;=核心参数输入!$B$9*4,(DS143-DS134)*核心参数输入!$B$49,0)</f>
        <v>0</v>
      </c>
      <c r="DT148" s="9">
        <f>IF(120&lt;=核心参数输入!$B$9*4,(DT143-DT134)*核心参数输入!$B$49,0)</f>
        <v>0</v>
      </c>
    </row>
    <row r="149" spans="1:124" ht="21" customHeight="1">
      <c r="A149" s="8" t="s">
        <v>471</v>
      </c>
      <c r="B149" s="8" t="s">
        <v>39</v>
      </c>
      <c r="C149" s="8"/>
      <c r="D149" s="9">
        <f>IF(0&lt;=核心参数输入!$B$9*4,IF(AND((核心参数输入!$B$10*核心参数输入!$B$11*核心参数输入!$B$12*核心参数输入!$B$143)&gt;0,0&gt;(核心参数输入!$B$16*4+(核心参数输入!$B$148+核心参数输入!$B$124))),核心参数输入!$B$50*(核心参数输入!$B$10*核心参数输入!$B$11*核心参数输入!$B$12*核心参数输入!$B$143)/MAX(1,核心参数输入!$B$108)/4+IF(0=核心参数输入!$B$116*4,核心参数输入!$B$117,0),0),0)</f>
        <v>0</v>
      </c>
      <c r="E149" s="9">
        <f>IF(1&lt;=核心参数输入!$B$9*4,IF(AND((核心参数输入!$B$10*核心参数输入!$B$11*核心参数输入!$B$12*核心参数输入!$B$143)&gt;0,1&gt;(核心参数输入!$B$16*4+(核心参数输入!$B$148+核心参数输入!$B$124))),核心参数输入!$B$50*(核心参数输入!$B$10*核心参数输入!$B$11*核心参数输入!$B$12*核心参数输入!$B$143)/MAX(1,核心参数输入!$B$108)/4+IF(1=核心参数输入!$B$116*4,核心参数输入!$B$117,0),0),0)</f>
        <v>0</v>
      </c>
      <c r="F149" s="9">
        <f>IF(2&lt;=核心参数输入!$B$9*4,IF(AND((核心参数输入!$B$10*核心参数输入!$B$11*核心参数输入!$B$12*核心参数输入!$B$143)&gt;0,2&gt;(核心参数输入!$B$16*4+(核心参数输入!$B$148+核心参数输入!$B$124))),核心参数输入!$B$50*(核心参数输入!$B$10*核心参数输入!$B$11*核心参数输入!$B$12*核心参数输入!$B$143)/MAX(1,核心参数输入!$B$108)/4+IF(2=核心参数输入!$B$116*4,核心参数输入!$B$117,0),0),0)</f>
        <v>0</v>
      </c>
      <c r="G149" s="9">
        <f>IF(3&lt;=核心参数输入!$B$9*4,IF(AND((核心参数输入!$B$10*核心参数输入!$B$11*核心参数输入!$B$12*核心参数输入!$B$143)&gt;0,3&gt;(核心参数输入!$B$16*4+(核心参数输入!$B$148+核心参数输入!$B$124))),核心参数输入!$B$50*(核心参数输入!$B$10*核心参数输入!$B$11*核心参数输入!$B$12*核心参数输入!$B$143)/MAX(1,核心参数输入!$B$108)/4+IF(3=核心参数输入!$B$116*4,核心参数输入!$B$117,0),0),0)</f>
        <v>0</v>
      </c>
      <c r="H149" s="9">
        <f>IF(4&lt;=核心参数输入!$B$9*4,IF(AND((核心参数输入!$B$10*核心参数输入!$B$11*核心参数输入!$B$12*核心参数输入!$B$143)&gt;0,4&gt;(核心参数输入!$B$16*4+(核心参数输入!$B$148+核心参数输入!$B$124))),核心参数输入!$B$50*(核心参数输入!$B$10*核心参数输入!$B$11*核心参数输入!$B$12*核心参数输入!$B$143)/MAX(1,核心参数输入!$B$108)/4+IF(4=核心参数输入!$B$116*4,核心参数输入!$B$117,0),0),0)</f>
        <v>0</v>
      </c>
      <c r="I149" s="9">
        <f>IF(5&lt;=核心参数输入!$B$9*4,IF(AND((核心参数输入!$B$10*核心参数输入!$B$11*核心参数输入!$B$12*核心参数输入!$B$143)&gt;0,5&gt;(核心参数输入!$B$16*4+(核心参数输入!$B$148+核心参数输入!$B$124))),核心参数输入!$B$50*(核心参数输入!$B$10*核心参数输入!$B$11*核心参数输入!$B$12*核心参数输入!$B$143)/MAX(1,核心参数输入!$B$108)/4+IF(5=核心参数输入!$B$116*4,核心参数输入!$B$117,0),0),0)</f>
        <v>0</v>
      </c>
      <c r="J149" s="9">
        <f>IF(6&lt;=核心参数输入!$B$9*4,IF(AND((核心参数输入!$B$10*核心参数输入!$B$11*核心参数输入!$B$12*核心参数输入!$B$143)&gt;0,6&gt;(核心参数输入!$B$16*4+(核心参数输入!$B$148+核心参数输入!$B$124))),核心参数输入!$B$50*(核心参数输入!$B$10*核心参数输入!$B$11*核心参数输入!$B$12*核心参数输入!$B$143)/MAX(1,核心参数输入!$B$108)/4+IF(6=核心参数输入!$B$116*4,核心参数输入!$B$117,0),0),0)</f>
        <v>0</v>
      </c>
      <c r="K149" s="9">
        <f>IF(7&lt;=核心参数输入!$B$9*4,IF(AND((核心参数输入!$B$10*核心参数输入!$B$11*核心参数输入!$B$12*核心参数输入!$B$143)&gt;0,7&gt;(核心参数输入!$B$16*4+(核心参数输入!$B$148+核心参数输入!$B$124))),核心参数输入!$B$50*(核心参数输入!$B$10*核心参数输入!$B$11*核心参数输入!$B$12*核心参数输入!$B$143)/MAX(1,核心参数输入!$B$108)/4+IF(7=核心参数输入!$B$116*4,核心参数输入!$B$117,0),0),0)</f>
        <v>0</v>
      </c>
      <c r="L149" s="9">
        <f>IF(8&lt;=核心参数输入!$B$9*4,IF(AND((核心参数输入!$B$10*核心参数输入!$B$11*核心参数输入!$B$12*核心参数输入!$B$143)&gt;0,8&gt;(核心参数输入!$B$16*4+(核心参数输入!$B$148+核心参数输入!$B$124))),核心参数输入!$B$50*(核心参数输入!$B$10*核心参数输入!$B$11*核心参数输入!$B$12*核心参数输入!$B$143)/MAX(1,核心参数输入!$B$108)/4+IF(8=核心参数输入!$B$116*4,核心参数输入!$B$117,0),0),0)</f>
        <v>0</v>
      </c>
      <c r="M149" s="9">
        <f>IF(9&lt;=核心参数输入!$B$9*4,IF(AND((核心参数输入!$B$10*核心参数输入!$B$11*核心参数输入!$B$12*核心参数输入!$B$143)&gt;0,9&gt;(核心参数输入!$B$16*4+(核心参数输入!$B$148+核心参数输入!$B$124))),核心参数输入!$B$50*(核心参数输入!$B$10*核心参数输入!$B$11*核心参数输入!$B$12*核心参数输入!$B$143)/MAX(1,核心参数输入!$B$108)/4+IF(9=核心参数输入!$B$116*4,核心参数输入!$B$117,0),0),0)</f>
        <v>0</v>
      </c>
      <c r="N149" s="9">
        <f>IF(10&lt;=核心参数输入!$B$9*4,IF(AND((核心参数输入!$B$10*核心参数输入!$B$11*核心参数输入!$B$12*核心参数输入!$B$143)&gt;0,10&gt;(核心参数输入!$B$16*4+(核心参数输入!$B$148+核心参数输入!$B$124))),核心参数输入!$B$50*(核心参数输入!$B$10*核心参数输入!$B$11*核心参数输入!$B$12*核心参数输入!$B$143)/MAX(1,核心参数输入!$B$108)/4+IF(10=核心参数输入!$B$116*4,核心参数输入!$B$117,0),0),0)</f>
        <v>0</v>
      </c>
      <c r="O149" s="9">
        <f>IF(11&lt;=核心参数输入!$B$9*4,IF(AND((核心参数输入!$B$10*核心参数输入!$B$11*核心参数输入!$B$12*核心参数输入!$B$143)&gt;0,11&gt;(核心参数输入!$B$16*4+(核心参数输入!$B$148+核心参数输入!$B$124))),核心参数输入!$B$50*(核心参数输入!$B$10*核心参数输入!$B$11*核心参数输入!$B$12*核心参数输入!$B$143)/MAX(1,核心参数输入!$B$108)/4+IF(11=核心参数输入!$B$116*4,核心参数输入!$B$117,0),0),0)</f>
        <v>0</v>
      </c>
      <c r="P149" s="9">
        <f>IF(12&lt;=核心参数输入!$B$9*4,IF(AND((核心参数输入!$B$10*核心参数输入!$B$11*核心参数输入!$B$12*核心参数输入!$B$143)&gt;0,12&gt;(核心参数输入!$B$16*4+(核心参数输入!$B$148+核心参数输入!$B$124))),核心参数输入!$B$50*(核心参数输入!$B$10*核心参数输入!$B$11*核心参数输入!$B$12*核心参数输入!$B$143)/MAX(1,核心参数输入!$B$108)/4+IF(12=核心参数输入!$B$116*4,核心参数输入!$B$117,0),0),0)</f>
        <v>0</v>
      </c>
      <c r="Q149" s="9">
        <f>IF(13&lt;=核心参数输入!$B$9*4,IF(AND((核心参数输入!$B$10*核心参数输入!$B$11*核心参数输入!$B$12*核心参数输入!$B$143)&gt;0,13&gt;(核心参数输入!$B$16*4+(核心参数输入!$B$148+核心参数输入!$B$124))),核心参数输入!$B$50*(核心参数输入!$B$10*核心参数输入!$B$11*核心参数输入!$B$12*核心参数输入!$B$143)/MAX(1,核心参数输入!$B$108)/4+IF(13=核心参数输入!$B$116*4,核心参数输入!$B$117,0),0),0)</f>
        <v>44.999999999999993</v>
      </c>
      <c r="R149" s="9">
        <f>IF(14&lt;=核心参数输入!$B$9*4,IF(AND((核心参数输入!$B$10*核心参数输入!$B$11*核心参数输入!$B$12*核心参数输入!$B$143)&gt;0,14&gt;(核心参数输入!$B$16*4+(核心参数输入!$B$148+核心参数输入!$B$124))),核心参数输入!$B$50*(核心参数输入!$B$10*核心参数输入!$B$11*核心参数输入!$B$12*核心参数输入!$B$143)/MAX(1,核心参数输入!$B$108)/4+IF(14=核心参数输入!$B$116*4,核心参数输入!$B$117,0),0),0)</f>
        <v>44.999999999999993</v>
      </c>
      <c r="S149" s="9">
        <f>IF(15&lt;=核心参数输入!$B$9*4,IF(AND((核心参数输入!$B$10*核心参数输入!$B$11*核心参数输入!$B$12*核心参数输入!$B$143)&gt;0,15&gt;(核心参数输入!$B$16*4+(核心参数输入!$B$148+核心参数输入!$B$124))),核心参数输入!$B$50*(核心参数输入!$B$10*核心参数输入!$B$11*核心参数输入!$B$12*核心参数输入!$B$143)/MAX(1,核心参数输入!$B$108)/4+IF(15=核心参数输入!$B$116*4,核心参数输入!$B$117,0),0),0)</f>
        <v>44.999999999999993</v>
      </c>
      <c r="T149" s="9">
        <f>IF(16&lt;=核心参数输入!$B$9*4,IF(AND((核心参数输入!$B$10*核心参数输入!$B$11*核心参数输入!$B$12*核心参数输入!$B$143)&gt;0,16&gt;(核心参数输入!$B$16*4+(核心参数输入!$B$148+核心参数输入!$B$124))),核心参数输入!$B$50*(核心参数输入!$B$10*核心参数输入!$B$11*核心参数输入!$B$12*核心参数输入!$B$143)/MAX(1,核心参数输入!$B$108)/4+IF(16=核心参数输入!$B$116*4,核心参数输入!$B$117,0),0),0)</f>
        <v>44.999999999999993</v>
      </c>
      <c r="U149" s="9">
        <f>IF(17&lt;=核心参数输入!$B$9*4,IF(AND((核心参数输入!$B$10*核心参数输入!$B$11*核心参数输入!$B$12*核心参数输入!$B$143)&gt;0,17&gt;(核心参数输入!$B$16*4+(核心参数输入!$B$148+核心参数输入!$B$124))),核心参数输入!$B$50*(核心参数输入!$B$10*核心参数输入!$B$11*核心参数输入!$B$12*核心参数输入!$B$143)/MAX(1,核心参数输入!$B$108)/4+IF(17=核心参数输入!$B$116*4,核心参数输入!$B$117,0),0),0)</f>
        <v>44.999999999999993</v>
      </c>
      <c r="V149" s="9">
        <f>IF(18&lt;=核心参数输入!$B$9*4,IF(AND((核心参数输入!$B$10*核心参数输入!$B$11*核心参数输入!$B$12*核心参数输入!$B$143)&gt;0,18&gt;(核心参数输入!$B$16*4+(核心参数输入!$B$148+核心参数输入!$B$124))),核心参数输入!$B$50*(核心参数输入!$B$10*核心参数输入!$B$11*核心参数输入!$B$12*核心参数输入!$B$143)/MAX(1,核心参数输入!$B$108)/4+IF(18=核心参数输入!$B$116*4,核心参数输入!$B$117,0),0),0)</f>
        <v>44.999999999999993</v>
      </c>
      <c r="W149" s="9">
        <f>IF(19&lt;=核心参数输入!$B$9*4,IF(AND((核心参数输入!$B$10*核心参数输入!$B$11*核心参数输入!$B$12*核心参数输入!$B$143)&gt;0,19&gt;(核心参数输入!$B$16*4+(核心参数输入!$B$148+核心参数输入!$B$124))),核心参数输入!$B$50*(核心参数输入!$B$10*核心参数输入!$B$11*核心参数输入!$B$12*核心参数输入!$B$143)/MAX(1,核心参数输入!$B$108)/4+IF(19=核心参数输入!$B$116*4,核心参数输入!$B$117,0),0),0)</f>
        <v>44.999999999999993</v>
      </c>
      <c r="X149" s="9">
        <f>IF(20&lt;=核心参数输入!$B$9*4,IF(AND((核心参数输入!$B$10*核心参数输入!$B$11*核心参数输入!$B$12*核心参数输入!$B$143)&gt;0,20&gt;(核心参数输入!$B$16*4+(核心参数输入!$B$148+核心参数输入!$B$124))),核心参数输入!$B$50*(核心参数输入!$B$10*核心参数输入!$B$11*核心参数输入!$B$12*核心参数输入!$B$143)/MAX(1,核心参数输入!$B$108)/4+IF(20=核心参数输入!$B$116*4,核心参数输入!$B$117,0),0),0)</f>
        <v>44.999999999999993</v>
      </c>
      <c r="Y149" s="9">
        <f>IF(21&lt;=核心参数输入!$B$9*4,IF(AND((核心参数输入!$B$10*核心参数输入!$B$11*核心参数输入!$B$12*核心参数输入!$B$143)&gt;0,21&gt;(核心参数输入!$B$16*4+(核心参数输入!$B$148+核心参数输入!$B$124))),核心参数输入!$B$50*(核心参数输入!$B$10*核心参数输入!$B$11*核心参数输入!$B$12*核心参数输入!$B$143)/MAX(1,核心参数输入!$B$108)/4+IF(21=核心参数输入!$B$116*4,核心参数输入!$B$117,0),0),0)</f>
        <v>44.999999999999993</v>
      </c>
      <c r="Z149" s="9">
        <f>IF(22&lt;=核心参数输入!$B$9*4,IF(AND((核心参数输入!$B$10*核心参数输入!$B$11*核心参数输入!$B$12*核心参数输入!$B$143)&gt;0,22&gt;(核心参数输入!$B$16*4+(核心参数输入!$B$148+核心参数输入!$B$124))),核心参数输入!$B$50*(核心参数输入!$B$10*核心参数输入!$B$11*核心参数输入!$B$12*核心参数输入!$B$143)/MAX(1,核心参数输入!$B$108)/4+IF(22=核心参数输入!$B$116*4,核心参数输入!$B$117,0),0),0)</f>
        <v>44.999999999999993</v>
      </c>
      <c r="AA149" s="9">
        <f>IF(23&lt;=核心参数输入!$B$9*4,IF(AND((核心参数输入!$B$10*核心参数输入!$B$11*核心参数输入!$B$12*核心参数输入!$B$143)&gt;0,23&gt;(核心参数输入!$B$16*4+(核心参数输入!$B$148+核心参数输入!$B$124))),核心参数输入!$B$50*(核心参数输入!$B$10*核心参数输入!$B$11*核心参数输入!$B$12*核心参数输入!$B$143)/MAX(1,核心参数输入!$B$108)/4+IF(23=核心参数输入!$B$116*4,核心参数输入!$B$117,0),0),0)</f>
        <v>44.999999999999993</v>
      </c>
      <c r="AB149" s="9">
        <f>IF(24&lt;=核心参数输入!$B$9*4,IF(AND((核心参数输入!$B$10*核心参数输入!$B$11*核心参数输入!$B$12*核心参数输入!$B$143)&gt;0,24&gt;(核心参数输入!$B$16*4+(核心参数输入!$B$148+核心参数输入!$B$124))),核心参数输入!$B$50*(核心参数输入!$B$10*核心参数输入!$B$11*核心参数输入!$B$12*核心参数输入!$B$143)/MAX(1,核心参数输入!$B$108)/4+IF(24=核心参数输入!$B$116*4,核心参数输入!$B$117,0),0),0)</f>
        <v>44.999999999999993</v>
      </c>
      <c r="AC149" s="9">
        <f>IF(25&lt;=核心参数输入!$B$9*4,IF(AND((核心参数输入!$B$10*核心参数输入!$B$11*核心参数输入!$B$12*核心参数输入!$B$143)&gt;0,25&gt;(核心参数输入!$B$16*4+(核心参数输入!$B$148+核心参数输入!$B$124))),核心参数输入!$B$50*(核心参数输入!$B$10*核心参数输入!$B$11*核心参数输入!$B$12*核心参数输入!$B$143)/MAX(1,核心参数输入!$B$108)/4+IF(25=核心参数输入!$B$116*4,核心参数输入!$B$117,0),0),0)</f>
        <v>44.999999999999993</v>
      </c>
      <c r="AD149" s="9">
        <f>IF(26&lt;=核心参数输入!$B$9*4,IF(AND((核心参数输入!$B$10*核心参数输入!$B$11*核心参数输入!$B$12*核心参数输入!$B$143)&gt;0,26&gt;(核心参数输入!$B$16*4+(核心参数输入!$B$148+核心参数输入!$B$124))),核心参数输入!$B$50*(核心参数输入!$B$10*核心参数输入!$B$11*核心参数输入!$B$12*核心参数输入!$B$143)/MAX(1,核心参数输入!$B$108)/4+IF(26=核心参数输入!$B$116*4,核心参数输入!$B$117,0),0),0)</f>
        <v>44.999999999999993</v>
      </c>
      <c r="AE149" s="9">
        <f>IF(27&lt;=核心参数输入!$B$9*4,IF(AND((核心参数输入!$B$10*核心参数输入!$B$11*核心参数输入!$B$12*核心参数输入!$B$143)&gt;0,27&gt;(核心参数输入!$B$16*4+(核心参数输入!$B$148+核心参数输入!$B$124))),核心参数输入!$B$50*(核心参数输入!$B$10*核心参数输入!$B$11*核心参数输入!$B$12*核心参数输入!$B$143)/MAX(1,核心参数输入!$B$108)/4+IF(27=核心参数输入!$B$116*4,核心参数输入!$B$117,0),0),0)</f>
        <v>44.999999999999993</v>
      </c>
      <c r="AF149" s="9">
        <f>IF(28&lt;=核心参数输入!$B$9*4,IF(AND((核心参数输入!$B$10*核心参数输入!$B$11*核心参数输入!$B$12*核心参数输入!$B$143)&gt;0,28&gt;(核心参数输入!$B$16*4+(核心参数输入!$B$148+核心参数输入!$B$124))),核心参数输入!$B$50*(核心参数输入!$B$10*核心参数输入!$B$11*核心参数输入!$B$12*核心参数输入!$B$143)/MAX(1,核心参数输入!$B$108)/4+IF(28=核心参数输入!$B$116*4,核心参数输入!$B$117,0),0),0)</f>
        <v>44.999999999999993</v>
      </c>
      <c r="AG149" s="9">
        <f>IF(29&lt;=核心参数输入!$B$9*4,IF(AND((核心参数输入!$B$10*核心参数输入!$B$11*核心参数输入!$B$12*核心参数输入!$B$143)&gt;0,29&gt;(核心参数输入!$B$16*4+(核心参数输入!$B$148+核心参数输入!$B$124))),核心参数输入!$B$50*(核心参数输入!$B$10*核心参数输入!$B$11*核心参数输入!$B$12*核心参数输入!$B$143)/MAX(1,核心参数输入!$B$108)/4+IF(29=核心参数输入!$B$116*4,核心参数输入!$B$117,0),0),0)</f>
        <v>44.999999999999993</v>
      </c>
      <c r="AH149" s="9">
        <f>IF(30&lt;=核心参数输入!$B$9*4,IF(AND((核心参数输入!$B$10*核心参数输入!$B$11*核心参数输入!$B$12*核心参数输入!$B$143)&gt;0,30&gt;(核心参数输入!$B$16*4+(核心参数输入!$B$148+核心参数输入!$B$124))),核心参数输入!$B$50*(核心参数输入!$B$10*核心参数输入!$B$11*核心参数输入!$B$12*核心参数输入!$B$143)/MAX(1,核心参数输入!$B$108)/4+IF(30=核心参数输入!$B$116*4,核心参数输入!$B$117,0),0),0)</f>
        <v>44.999999999999993</v>
      </c>
      <c r="AI149" s="9">
        <f>IF(31&lt;=核心参数输入!$B$9*4,IF(AND((核心参数输入!$B$10*核心参数输入!$B$11*核心参数输入!$B$12*核心参数输入!$B$143)&gt;0,31&gt;(核心参数输入!$B$16*4+(核心参数输入!$B$148+核心参数输入!$B$124))),核心参数输入!$B$50*(核心参数输入!$B$10*核心参数输入!$B$11*核心参数输入!$B$12*核心参数输入!$B$143)/MAX(1,核心参数输入!$B$108)/4+IF(31=核心参数输入!$B$116*4,核心参数输入!$B$117,0),0),0)</f>
        <v>44.999999999999993</v>
      </c>
      <c r="AJ149" s="9">
        <f>IF(32&lt;=核心参数输入!$B$9*4,IF(AND((核心参数输入!$B$10*核心参数输入!$B$11*核心参数输入!$B$12*核心参数输入!$B$143)&gt;0,32&gt;(核心参数输入!$B$16*4+(核心参数输入!$B$148+核心参数输入!$B$124))),核心参数输入!$B$50*(核心参数输入!$B$10*核心参数输入!$B$11*核心参数输入!$B$12*核心参数输入!$B$143)/MAX(1,核心参数输入!$B$108)/4+IF(32=核心参数输入!$B$116*4,核心参数输入!$B$117,0),0),0)</f>
        <v>44.999999999999993</v>
      </c>
      <c r="AK149" s="9">
        <f>IF(33&lt;=核心参数输入!$B$9*4,IF(AND((核心参数输入!$B$10*核心参数输入!$B$11*核心参数输入!$B$12*核心参数输入!$B$143)&gt;0,33&gt;(核心参数输入!$B$16*4+(核心参数输入!$B$148+核心参数输入!$B$124))),核心参数输入!$B$50*(核心参数输入!$B$10*核心参数输入!$B$11*核心参数输入!$B$12*核心参数输入!$B$143)/MAX(1,核心参数输入!$B$108)/4+IF(33=核心参数输入!$B$116*4,核心参数输入!$B$117,0),0),0)</f>
        <v>44.999999999999993</v>
      </c>
      <c r="AL149" s="9">
        <f>IF(34&lt;=核心参数输入!$B$9*4,IF(AND((核心参数输入!$B$10*核心参数输入!$B$11*核心参数输入!$B$12*核心参数输入!$B$143)&gt;0,34&gt;(核心参数输入!$B$16*4+(核心参数输入!$B$148+核心参数输入!$B$124))),核心参数输入!$B$50*(核心参数输入!$B$10*核心参数输入!$B$11*核心参数输入!$B$12*核心参数输入!$B$143)/MAX(1,核心参数输入!$B$108)/4+IF(34=核心参数输入!$B$116*4,核心参数输入!$B$117,0),0),0)</f>
        <v>44.999999999999993</v>
      </c>
      <c r="AM149" s="9">
        <f>IF(35&lt;=核心参数输入!$B$9*4,IF(AND((核心参数输入!$B$10*核心参数输入!$B$11*核心参数输入!$B$12*核心参数输入!$B$143)&gt;0,35&gt;(核心参数输入!$B$16*4+(核心参数输入!$B$148+核心参数输入!$B$124))),核心参数输入!$B$50*(核心参数输入!$B$10*核心参数输入!$B$11*核心参数输入!$B$12*核心参数输入!$B$143)/MAX(1,核心参数输入!$B$108)/4+IF(35=核心参数输入!$B$116*4,核心参数输入!$B$117,0),0),0)</f>
        <v>44.999999999999993</v>
      </c>
      <c r="AN149" s="9">
        <f>IF(36&lt;=核心参数输入!$B$9*4,IF(AND((核心参数输入!$B$10*核心参数输入!$B$11*核心参数输入!$B$12*核心参数输入!$B$143)&gt;0,36&gt;(核心参数输入!$B$16*4+(核心参数输入!$B$148+核心参数输入!$B$124))),核心参数输入!$B$50*(核心参数输入!$B$10*核心参数输入!$B$11*核心参数输入!$B$12*核心参数输入!$B$143)/MAX(1,核心参数输入!$B$108)/4+IF(36=核心参数输入!$B$116*4,核心参数输入!$B$117,0),0),0)</f>
        <v>44.999999999999993</v>
      </c>
      <c r="AO149" s="9">
        <f>IF(37&lt;=核心参数输入!$B$9*4,IF(AND((核心参数输入!$B$10*核心参数输入!$B$11*核心参数输入!$B$12*核心参数输入!$B$143)&gt;0,37&gt;(核心参数输入!$B$16*4+(核心参数输入!$B$148+核心参数输入!$B$124))),核心参数输入!$B$50*(核心参数输入!$B$10*核心参数输入!$B$11*核心参数输入!$B$12*核心参数输入!$B$143)/MAX(1,核心参数输入!$B$108)/4+IF(37=核心参数输入!$B$116*4,核心参数输入!$B$117,0),0),0)</f>
        <v>44.999999999999993</v>
      </c>
      <c r="AP149" s="9">
        <f>IF(38&lt;=核心参数输入!$B$9*4,IF(AND((核心参数输入!$B$10*核心参数输入!$B$11*核心参数输入!$B$12*核心参数输入!$B$143)&gt;0,38&gt;(核心参数输入!$B$16*4+(核心参数输入!$B$148+核心参数输入!$B$124))),核心参数输入!$B$50*(核心参数输入!$B$10*核心参数输入!$B$11*核心参数输入!$B$12*核心参数输入!$B$143)/MAX(1,核心参数输入!$B$108)/4+IF(38=核心参数输入!$B$116*4,核心参数输入!$B$117,0),0),0)</f>
        <v>44.999999999999993</v>
      </c>
      <c r="AQ149" s="9">
        <f>IF(39&lt;=核心参数输入!$B$9*4,IF(AND((核心参数输入!$B$10*核心参数输入!$B$11*核心参数输入!$B$12*核心参数输入!$B$143)&gt;0,39&gt;(核心参数输入!$B$16*4+(核心参数输入!$B$148+核心参数输入!$B$124))),核心参数输入!$B$50*(核心参数输入!$B$10*核心参数输入!$B$11*核心参数输入!$B$12*核心参数输入!$B$143)/MAX(1,核心参数输入!$B$108)/4+IF(39=核心参数输入!$B$116*4,核心参数输入!$B$117,0),0),0)</f>
        <v>44.999999999999993</v>
      </c>
      <c r="AR149" s="9">
        <f>IF(40&lt;=核心参数输入!$B$9*4,IF(AND((核心参数输入!$B$10*核心参数输入!$B$11*核心参数输入!$B$12*核心参数输入!$B$143)&gt;0,40&gt;(核心参数输入!$B$16*4+(核心参数输入!$B$148+核心参数输入!$B$124))),核心参数输入!$B$50*(核心参数输入!$B$10*核心参数输入!$B$11*核心参数输入!$B$12*核心参数输入!$B$143)/MAX(1,核心参数输入!$B$108)/4+IF(40=核心参数输入!$B$116*4,核心参数输入!$B$117,0),0),0)</f>
        <v>44.999999999999993</v>
      </c>
      <c r="AS149" s="9">
        <f>IF(41&lt;=核心参数输入!$B$9*4,IF(AND((核心参数输入!$B$10*核心参数输入!$B$11*核心参数输入!$B$12*核心参数输入!$B$143)&gt;0,41&gt;(核心参数输入!$B$16*4+(核心参数输入!$B$148+核心参数输入!$B$124))),核心参数输入!$B$50*(核心参数输入!$B$10*核心参数输入!$B$11*核心参数输入!$B$12*核心参数输入!$B$143)/MAX(1,核心参数输入!$B$108)/4+IF(41=核心参数输入!$B$116*4,核心参数输入!$B$117,0),0),0)</f>
        <v>44.999999999999993</v>
      </c>
      <c r="AT149" s="9">
        <f>IF(42&lt;=核心参数输入!$B$9*4,IF(AND((核心参数输入!$B$10*核心参数输入!$B$11*核心参数输入!$B$12*核心参数输入!$B$143)&gt;0,42&gt;(核心参数输入!$B$16*4+(核心参数输入!$B$148+核心参数输入!$B$124))),核心参数输入!$B$50*(核心参数输入!$B$10*核心参数输入!$B$11*核心参数输入!$B$12*核心参数输入!$B$143)/MAX(1,核心参数输入!$B$108)/4+IF(42=核心参数输入!$B$116*4,核心参数输入!$B$117,0),0),0)</f>
        <v>44.999999999999993</v>
      </c>
      <c r="AU149" s="9">
        <f>IF(43&lt;=核心参数输入!$B$9*4,IF(AND((核心参数输入!$B$10*核心参数输入!$B$11*核心参数输入!$B$12*核心参数输入!$B$143)&gt;0,43&gt;(核心参数输入!$B$16*4+(核心参数输入!$B$148+核心参数输入!$B$124))),核心参数输入!$B$50*(核心参数输入!$B$10*核心参数输入!$B$11*核心参数输入!$B$12*核心参数输入!$B$143)/MAX(1,核心参数输入!$B$108)/4+IF(43=核心参数输入!$B$116*4,核心参数输入!$B$117,0),0),0)</f>
        <v>44.999999999999993</v>
      </c>
      <c r="AV149" s="9">
        <f>IF(44&lt;=核心参数输入!$B$9*4,IF(AND((核心参数输入!$B$10*核心参数输入!$B$11*核心参数输入!$B$12*核心参数输入!$B$143)&gt;0,44&gt;(核心参数输入!$B$16*4+(核心参数输入!$B$148+核心参数输入!$B$124))),核心参数输入!$B$50*(核心参数输入!$B$10*核心参数输入!$B$11*核心参数输入!$B$12*核心参数输入!$B$143)/MAX(1,核心参数输入!$B$108)/4+IF(44=核心参数输入!$B$116*4,核心参数输入!$B$117,0),0),0)</f>
        <v>44.999999999999993</v>
      </c>
      <c r="AW149" s="9">
        <f>IF(45&lt;=核心参数输入!$B$9*4,IF(AND((核心参数输入!$B$10*核心参数输入!$B$11*核心参数输入!$B$12*核心参数输入!$B$143)&gt;0,45&gt;(核心参数输入!$B$16*4+(核心参数输入!$B$148+核心参数输入!$B$124))),核心参数输入!$B$50*(核心参数输入!$B$10*核心参数输入!$B$11*核心参数输入!$B$12*核心参数输入!$B$143)/MAX(1,核心参数输入!$B$108)/4+IF(45=核心参数输入!$B$116*4,核心参数输入!$B$117,0),0),0)</f>
        <v>44.999999999999993</v>
      </c>
      <c r="AX149" s="9">
        <f>IF(46&lt;=核心参数输入!$B$9*4,IF(AND((核心参数输入!$B$10*核心参数输入!$B$11*核心参数输入!$B$12*核心参数输入!$B$143)&gt;0,46&gt;(核心参数输入!$B$16*4+(核心参数输入!$B$148+核心参数输入!$B$124))),核心参数输入!$B$50*(核心参数输入!$B$10*核心参数输入!$B$11*核心参数输入!$B$12*核心参数输入!$B$143)/MAX(1,核心参数输入!$B$108)/4+IF(46=核心参数输入!$B$116*4,核心参数输入!$B$117,0),0),0)</f>
        <v>44.999999999999993</v>
      </c>
      <c r="AY149" s="9">
        <f>IF(47&lt;=核心参数输入!$B$9*4,IF(AND((核心参数输入!$B$10*核心参数输入!$B$11*核心参数输入!$B$12*核心参数输入!$B$143)&gt;0,47&gt;(核心参数输入!$B$16*4+(核心参数输入!$B$148+核心参数输入!$B$124))),核心参数输入!$B$50*(核心参数输入!$B$10*核心参数输入!$B$11*核心参数输入!$B$12*核心参数输入!$B$143)/MAX(1,核心参数输入!$B$108)/4+IF(47=核心参数输入!$B$116*4,核心参数输入!$B$117,0),0),0)</f>
        <v>44.999999999999993</v>
      </c>
      <c r="AZ149" s="9">
        <f>IF(48&lt;=核心参数输入!$B$9*4,IF(AND((核心参数输入!$B$10*核心参数输入!$B$11*核心参数输入!$B$12*核心参数输入!$B$143)&gt;0,48&gt;(核心参数输入!$B$16*4+(核心参数输入!$B$148+核心参数输入!$B$124))),核心参数输入!$B$50*(核心参数输入!$B$10*核心参数输入!$B$11*核心参数输入!$B$12*核心参数输入!$B$143)/MAX(1,核心参数输入!$B$108)/4+IF(48=核心参数输入!$B$116*4,核心参数输入!$B$117,0),0),0)</f>
        <v>44.999999999999993</v>
      </c>
      <c r="BA149" s="9">
        <f>IF(49&lt;=核心参数输入!$B$9*4,IF(AND((核心参数输入!$B$10*核心参数输入!$B$11*核心参数输入!$B$12*核心参数输入!$B$143)&gt;0,49&gt;(核心参数输入!$B$16*4+(核心参数输入!$B$148+核心参数输入!$B$124))),核心参数输入!$B$50*(核心参数输入!$B$10*核心参数输入!$B$11*核心参数输入!$B$12*核心参数输入!$B$143)/MAX(1,核心参数输入!$B$108)/4+IF(49=核心参数输入!$B$116*4,核心参数输入!$B$117,0),0),0)</f>
        <v>44.999999999999993</v>
      </c>
      <c r="BB149" s="9">
        <f>IF(50&lt;=核心参数输入!$B$9*4,IF(AND((核心参数输入!$B$10*核心参数输入!$B$11*核心参数输入!$B$12*核心参数输入!$B$143)&gt;0,50&gt;(核心参数输入!$B$16*4+(核心参数输入!$B$148+核心参数输入!$B$124))),核心参数输入!$B$50*(核心参数输入!$B$10*核心参数输入!$B$11*核心参数输入!$B$12*核心参数输入!$B$143)/MAX(1,核心参数输入!$B$108)/4+IF(50=核心参数输入!$B$116*4,核心参数输入!$B$117,0),0),0)</f>
        <v>44.999999999999993</v>
      </c>
      <c r="BC149" s="9">
        <f>IF(51&lt;=核心参数输入!$B$9*4,IF(AND((核心参数输入!$B$10*核心参数输入!$B$11*核心参数输入!$B$12*核心参数输入!$B$143)&gt;0,51&gt;(核心参数输入!$B$16*4+(核心参数输入!$B$148+核心参数输入!$B$124))),核心参数输入!$B$50*(核心参数输入!$B$10*核心参数输入!$B$11*核心参数输入!$B$12*核心参数输入!$B$143)/MAX(1,核心参数输入!$B$108)/4+IF(51=核心参数输入!$B$116*4,核心参数输入!$B$117,0),0),0)</f>
        <v>44.999999999999993</v>
      </c>
      <c r="BD149" s="9">
        <f>IF(52&lt;=核心参数输入!$B$9*4,IF(AND((核心参数输入!$B$10*核心参数输入!$B$11*核心参数输入!$B$12*核心参数输入!$B$143)&gt;0,52&gt;(核心参数输入!$B$16*4+(核心参数输入!$B$148+核心参数输入!$B$124))),核心参数输入!$B$50*(核心参数输入!$B$10*核心参数输入!$B$11*核心参数输入!$B$12*核心参数输入!$B$143)/MAX(1,核心参数输入!$B$108)/4+IF(52=核心参数输入!$B$116*4,核心参数输入!$B$117,0),0),0)</f>
        <v>44.999999999999993</v>
      </c>
      <c r="BE149" s="9">
        <f>IF(53&lt;=核心参数输入!$B$9*4,IF(AND((核心参数输入!$B$10*核心参数输入!$B$11*核心参数输入!$B$12*核心参数输入!$B$143)&gt;0,53&gt;(核心参数输入!$B$16*4+(核心参数输入!$B$148+核心参数输入!$B$124))),核心参数输入!$B$50*(核心参数输入!$B$10*核心参数输入!$B$11*核心参数输入!$B$12*核心参数输入!$B$143)/MAX(1,核心参数输入!$B$108)/4+IF(53=核心参数输入!$B$116*4,核心参数输入!$B$117,0),0),0)</f>
        <v>44.999999999999993</v>
      </c>
      <c r="BF149" s="9">
        <f>IF(54&lt;=核心参数输入!$B$9*4,IF(AND((核心参数输入!$B$10*核心参数输入!$B$11*核心参数输入!$B$12*核心参数输入!$B$143)&gt;0,54&gt;(核心参数输入!$B$16*4+(核心参数输入!$B$148+核心参数输入!$B$124))),核心参数输入!$B$50*(核心参数输入!$B$10*核心参数输入!$B$11*核心参数输入!$B$12*核心参数输入!$B$143)/MAX(1,核心参数输入!$B$108)/4+IF(54=核心参数输入!$B$116*4,核心参数输入!$B$117,0),0),0)</f>
        <v>44.999999999999993</v>
      </c>
      <c r="BG149" s="9">
        <f>IF(55&lt;=核心参数输入!$B$9*4,IF(AND((核心参数输入!$B$10*核心参数输入!$B$11*核心参数输入!$B$12*核心参数输入!$B$143)&gt;0,55&gt;(核心参数输入!$B$16*4+(核心参数输入!$B$148+核心参数输入!$B$124))),核心参数输入!$B$50*(核心参数输入!$B$10*核心参数输入!$B$11*核心参数输入!$B$12*核心参数输入!$B$143)/MAX(1,核心参数输入!$B$108)/4+IF(55=核心参数输入!$B$116*4,核心参数输入!$B$117,0),0),0)</f>
        <v>44.999999999999993</v>
      </c>
      <c r="BH149" s="9">
        <f>IF(56&lt;=核心参数输入!$B$9*4,IF(AND((核心参数输入!$B$10*核心参数输入!$B$11*核心参数输入!$B$12*核心参数输入!$B$143)&gt;0,56&gt;(核心参数输入!$B$16*4+(核心参数输入!$B$148+核心参数输入!$B$124))),核心参数输入!$B$50*(核心参数输入!$B$10*核心参数输入!$B$11*核心参数输入!$B$12*核心参数输入!$B$143)/MAX(1,核心参数输入!$B$108)/4+IF(56=核心参数输入!$B$116*4,核心参数输入!$B$117,0),0),0)</f>
        <v>44.999999999999993</v>
      </c>
      <c r="BI149" s="9">
        <f>IF(57&lt;=核心参数输入!$B$9*4,IF(AND((核心参数输入!$B$10*核心参数输入!$B$11*核心参数输入!$B$12*核心参数输入!$B$143)&gt;0,57&gt;(核心参数输入!$B$16*4+(核心参数输入!$B$148+核心参数输入!$B$124))),核心参数输入!$B$50*(核心参数输入!$B$10*核心参数输入!$B$11*核心参数输入!$B$12*核心参数输入!$B$143)/MAX(1,核心参数输入!$B$108)/4+IF(57=核心参数输入!$B$116*4,核心参数输入!$B$117,0),0),0)</f>
        <v>44.999999999999993</v>
      </c>
      <c r="BJ149" s="9">
        <f>IF(58&lt;=核心参数输入!$B$9*4,IF(AND((核心参数输入!$B$10*核心参数输入!$B$11*核心参数输入!$B$12*核心参数输入!$B$143)&gt;0,58&gt;(核心参数输入!$B$16*4+(核心参数输入!$B$148+核心参数输入!$B$124))),核心参数输入!$B$50*(核心参数输入!$B$10*核心参数输入!$B$11*核心参数输入!$B$12*核心参数输入!$B$143)/MAX(1,核心参数输入!$B$108)/4+IF(58=核心参数输入!$B$116*4,核心参数输入!$B$117,0),0),0)</f>
        <v>44.999999999999993</v>
      </c>
      <c r="BK149" s="9">
        <f>IF(59&lt;=核心参数输入!$B$9*4,IF(AND((核心参数输入!$B$10*核心参数输入!$B$11*核心参数输入!$B$12*核心参数输入!$B$143)&gt;0,59&gt;(核心参数输入!$B$16*4+(核心参数输入!$B$148+核心参数输入!$B$124))),核心参数输入!$B$50*(核心参数输入!$B$10*核心参数输入!$B$11*核心参数输入!$B$12*核心参数输入!$B$143)/MAX(1,核心参数输入!$B$108)/4+IF(59=核心参数输入!$B$116*4,核心参数输入!$B$117,0),0),0)</f>
        <v>44.999999999999993</v>
      </c>
      <c r="BL149" s="9">
        <f>IF(60&lt;=核心参数输入!$B$9*4,IF(AND((核心参数输入!$B$10*核心参数输入!$B$11*核心参数输入!$B$12*核心参数输入!$B$143)&gt;0,60&gt;(核心参数输入!$B$16*4+(核心参数输入!$B$148+核心参数输入!$B$124))),核心参数输入!$B$50*(核心参数输入!$B$10*核心参数输入!$B$11*核心参数输入!$B$12*核心参数输入!$B$143)/MAX(1,核心参数输入!$B$108)/4+IF(60=核心参数输入!$B$116*4,核心参数输入!$B$117,0),0),0)</f>
        <v>44.999999999999993</v>
      </c>
      <c r="BM149" s="9">
        <f>IF(61&lt;=核心参数输入!$B$9*4,IF(AND((核心参数输入!$B$10*核心参数输入!$B$11*核心参数输入!$B$12*核心参数输入!$B$143)&gt;0,61&gt;(核心参数输入!$B$16*4+(核心参数输入!$B$148+核心参数输入!$B$124))),核心参数输入!$B$50*(核心参数输入!$B$10*核心参数输入!$B$11*核心参数输入!$B$12*核心参数输入!$B$143)/MAX(1,核心参数输入!$B$108)/4+IF(61=核心参数输入!$B$116*4,核心参数输入!$B$117,0),0),0)</f>
        <v>44.999999999999993</v>
      </c>
      <c r="BN149" s="9">
        <f>IF(62&lt;=核心参数输入!$B$9*4,IF(AND((核心参数输入!$B$10*核心参数输入!$B$11*核心参数输入!$B$12*核心参数输入!$B$143)&gt;0,62&gt;(核心参数输入!$B$16*4+(核心参数输入!$B$148+核心参数输入!$B$124))),核心参数输入!$B$50*(核心参数输入!$B$10*核心参数输入!$B$11*核心参数输入!$B$12*核心参数输入!$B$143)/MAX(1,核心参数输入!$B$108)/4+IF(62=核心参数输入!$B$116*4,核心参数输入!$B$117,0),0),0)</f>
        <v>44.999999999999993</v>
      </c>
      <c r="BO149" s="9">
        <f>IF(63&lt;=核心参数输入!$B$9*4,IF(AND((核心参数输入!$B$10*核心参数输入!$B$11*核心参数输入!$B$12*核心参数输入!$B$143)&gt;0,63&gt;(核心参数输入!$B$16*4+(核心参数输入!$B$148+核心参数输入!$B$124))),核心参数输入!$B$50*(核心参数输入!$B$10*核心参数输入!$B$11*核心参数输入!$B$12*核心参数输入!$B$143)/MAX(1,核心参数输入!$B$108)/4+IF(63=核心参数输入!$B$116*4,核心参数输入!$B$117,0),0),0)</f>
        <v>44.999999999999993</v>
      </c>
      <c r="BP149" s="9">
        <f>IF(64&lt;=核心参数输入!$B$9*4,IF(AND((核心参数输入!$B$10*核心参数输入!$B$11*核心参数输入!$B$12*核心参数输入!$B$143)&gt;0,64&gt;(核心参数输入!$B$16*4+(核心参数输入!$B$148+核心参数输入!$B$124))),核心参数输入!$B$50*(核心参数输入!$B$10*核心参数输入!$B$11*核心参数输入!$B$12*核心参数输入!$B$143)/MAX(1,核心参数输入!$B$108)/4+IF(64=核心参数输入!$B$116*4,核心参数输入!$B$117,0),0),0)</f>
        <v>44.999999999999993</v>
      </c>
      <c r="BQ149" s="9">
        <f>IF(65&lt;=核心参数输入!$B$9*4,IF(AND((核心参数输入!$B$10*核心参数输入!$B$11*核心参数输入!$B$12*核心参数输入!$B$143)&gt;0,65&gt;(核心参数输入!$B$16*4+(核心参数输入!$B$148+核心参数输入!$B$124))),核心参数输入!$B$50*(核心参数输入!$B$10*核心参数输入!$B$11*核心参数输入!$B$12*核心参数输入!$B$143)/MAX(1,核心参数输入!$B$108)/4+IF(65=核心参数输入!$B$116*4,核心参数输入!$B$117,0),0),0)</f>
        <v>44.999999999999993</v>
      </c>
      <c r="BR149" s="9">
        <f>IF(66&lt;=核心参数输入!$B$9*4,IF(AND((核心参数输入!$B$10*核心参数输入!$B$11*核心参数输入!$B$12*核心参数输入!$B$143)&gt;0,66&gt;(核心参数输入!$B$16*4+(核心参数输入!$B$148+核心参数输入!$B$124))),核心参数输入!$B$50*(核心参数输入!$B$10*核心参数输入!$B$11*核心参数输入!$B$12*核心参数输入!$B$143)/MAX(1,核心参数输入!$B$108)/4+IF(66=核心参数输入!$B$116*4,核心参数输入!$B$117,0),0),0)</f>
        <v>44.999999999999993</v>
      </c>
      <c r="BS149" s="9">
        <f>IF(67&lt;=核心参数输入!$B$9*4,IF(AND((核心参数输入!$B$10*核心参数输入!$B$11*核心参数输入!$B$12*核心参数输入!$B$143)&gt;0,67&gt;(核心参数输入!$B$16*4+(核心参数输入!$B$148+核心参数输入!$B$124))),核心参数输入!$B$50*(核心参数输入!$B$10*核心参数输入!$B$11*核心参数输入!$B$12*核心参数输入!$B$143)/MAX(1,核心参数输入!$B$108)/4+IF(67=核心参数输入!$B$116*4,核心参数输入!$B$117,0),0),0)</f>
        <v>44.999999999999993</v>
      </c>
      <c r="BT149" s="9">
        <f>IF(68&lt;=核心参数输入!$B$9*4,IF(AND((核心参数输入!$B$10*核心参数输入!$B$11*核心参数输入!$B$12*核心参数输入!$B$143)&gt;0,68&gt;(核心参数输入!$B$16*4+(核心参数输入!$B$148+核心参数输入!$B$124))),核心参数输入!$B$50*(核心参数输入!$B$10*核心参数输入!$B$11*核心参数输入!$B$12*核心参数输入!$B$143)/MAX(1,核心参数输入!$B$108)/4+IF(68=核心参数输入!$B$116*4,核心参数输入!$B$117,0),0),0)</f>
        <v>44.999999999999993</v>
      </c>
      <c r="BU149" s="9">
        <f>IF(69&lt;=核心参数输入!$B$9*4,IF(AND((核心参数输入!$B$10*核心参数输入!$B$11*核心参数输入!$B$12*核心参数输入!$B$143)&gt;0,69&gt;(核心参数输入!$B$16*4+(核心参数输入!$B$148+核心参数输入!$B$124))),核心参数输入!$B$50*(核心参数输入!$B$10*核心参数输入!$B$11*核心参数输入!$B$12*核心参数输入!$B$143)/MAX(1,核心参数输入!$B$108)/4+IF(69=核心参数输入!$B$116*4,核心参数输入!$B$117,0),0),0)</f>
        <v>44.999999999999993</v>
      </c>
      <c r="BV149" s="9">
        <f>IF(70&lt;=核心参数输入!$B$9*4,IF(AND((核心参数输入!$B$10*核心参数输入!$B$11*核心参数输入!$B$12*核心参数输入!$B$143)&gt;0,70&gt;(核心参数输入!$B$16*4+(核心参数输入!$B$148+核心参数输入!$B$124))),核心参数输入!$B$50*(核心参数输入!$B$10*核心参数输入!$B$11*核心参数输入!$B$12*核心参数输入!$B$143)/MAX(1,核心参数输入!$B$108)/4+IF(70=核心参数输入!$B$116*4,核心参数输入!$B$117,0),0),0)</f>
        <v>44.999999999999993</v>
      </c>
      <c r="BW149" s="9">
        <f>IF(71&lt;=核心参数输入!$B$9*4,IF(AND((核心参数输入!$B$10*核心参数输入!$B$11*核心参数输入!$B$12*核心参数输入!$B$143)&gt;0,71&gt;(核心参数输入!$B$16*4+(核心参数输入!$B$148+核心参数输入!$B$124))),核心参数输入!$B$50*(核心参数输入!$B$10*核心参数输入!$B$11*核心参数输入!$B$12*核心参数输入!$B$143)/MAX(1,核心参数输入!$B$108)/4+IF(71=核心参数输入!$B$116*4,核心参数输入!$B$117,0),0),0)</f>
        <v>44.999999999999993</v>
      </c>
      <c r="BX149" s="9">
        <f>IF(72&lt;=核心参数输入!$B$9*4,IF(AND((核心参数输入!$B$10*核心参数输入!$B$11*核心参数输入!$B$12*核心参数输入!$B$143)&gt;0,72&gt;(核心参数输入!$B$16*4+(核心参数输入!$B$148+核心参数输入!$B$124))),核心参数输入!$B$50*(核心参数输入!$B$10*核心参数输入!$B$11*核心参数输入!$B$12*核心参数输入!$B$143)/MAX(1,核心参数输入!$B$108)/4+IF(72=核心参数输入!$B$116*4,核心参数输入!$B$117,0),0),0)</f>
        <v>44.999999999999993</v>
      </c>
      <c r="BY149" s="9">
        <f>IF(73&lt;=核心参数输入!$B$9*4,IF(AND((核心参数输入!$B$10*核心参数输入!$B$11*核心参数输入!$B$12*核心参数输入!$B$143)&gt;0,73&gt;(核心参数输入!$B$16*4+(核心参数输入!$B$148+核心参数输入!$B$124))),核心参数输入!$B$50*(核心参数输入!$B$10*核心参数输入!$B$11*核心参数输入!$B$12*核心参数输入!$B$143)/MAX(1,核心参数输入!$B$108)/4+IF(73=核心参数输入!$B$116*4,核心参数输入!$B$117,0),0),0)</f>
        <v>44.999999999999993</v>
      </c>
      <c r="BZ149" s="9">
        <f>IF(74&lt;=核心参数输入!$B$9*4,IF(AND((核心参数输入!$B$10*核心参数输入!$B$11*核心参数输入!$B$12*核心参数输入!$B$143)&gt;0,74&gt;(核心参数输入!$B$16*4+(核心参数输入!$B$148+核心参数输入!$B$124))),核心参数输入!$B$50*(核心参数输入!$B$10*核心参数输入!$B$11*核心参数输入!$B$12*核心参数输入!$B$143)/MAX(1,核心参数输入!$B$108)/4+IF(74=核心参数输入!$B$116*4,核心参数输入!$B$117,0),0),0)</f>
        <v>44.999999999999993</v>
      </c>
      <c r="CA149" s="9">
        <f>IF(75&lt;=核心参数输入!$B$9*4,IF(AND((核心参数输入!$B$10*核心参数输入!$B$11*核心参数输入!$B$12*核心参数输入!$B$143)&gt;0,75&gt;(核心参数输入!$B$16*4+(核心参数输入!$B$148+核心参数输入!$B$124))),核心参数输入!$B$50*(核心参数输入!$B$10*核心参数输入!$B$11*核心参数输入!$B$12*核心参数输入!$B$143)/MAX(1,核心参数输入!$B$108)/4+IF(75=核心参数输入!$B$116*4,核心参数输入!$B$117,0),0),0)</f>
        <v>44.999999999999993</v>
      </c>
      <c r="CB149" s="9">
        <f>IF(76&lt;=核心参数输入!$B$9*4,IF(AND((核心参数输入!$B$10*核心参数输入!$B$11*核心参数输入!$B$12*核心参数输入!$B$143)&gt;0,76&gt;(核心参数输入!$B$16*4+(核心参数输入!$B$148+核心参数输入!$B$124))),核心参数输入!$B$50*(核心参数输入!$B$10*核心参数输入!$B$11*核心参数输入!$B$12*核心参数输入!$B$143)/MAX(1,核心参数输入!$B$108)/4+IF(76=核心参数输入!$B$116*4,核心参数输入!$B$117,0),0),0)</f>
        <v>44.999999999999993</v>
      </c>
      <c r="CC149" s="9">
        <f>IF(77&lt;=核心参数输入!$B$9*4,IF(AND((核心参数输入!$B$10*核心参数输入!$B$11*核心参数输入!$B$12*核心参数输入!$B$143)&gt;0,77&gt;(核心参数输入!$B$16*4+(核心参数输入!$B$148+核心参数输入!$B$124))),核心参数输入!$B$50*(核心参数输入!$B$10*核心参数输入!$B$11*核心参数输入!$B$12*核心参数输入!$B$143)/MAX(1,核心参数输入!$B$108)/4+IF(77=核心参数输入!$B$116*4,核心参数输入!$B$117,0),0),0)</f>
        <v>44.999999999999993</v>
      </c>
      <c r="CD149" s="9">
        <f>IF(78&lt;=核心参数输入!$B$9*4,IF(AND((核心参数输入!$B$10*核心参数输入!$B$11*核心参数输入!$B$12*核心参数输入!$B$143)&gt;0,78&gt;(核心参数输入!$B$16*4+(核心参数输入!$B$148+核心参数输入!$B$124))),核心参数输入!$B$50*(核心参数输入!$B$10*核心参数输入!$B$11*核心参数输入!$B$12*核心参数输入!$B$143)/MAX(1,核心参数输入!$B$108)/4+IF(78=核心参数输入!$B$116*4,核心参数输入!$B$117,0),0),0)</f>
        <v>44.999999999999993</v>
      </c>
      <c r="CE149" s="9">
        <f>IF(79&lt;=核心参数输入!$B$9*4,IF(AND((核心参数输入!$B$10*核心参数输入!$B$11*核心参数输入!$B$12*核心参数输入!$B$143)&gt;0,79&gt;(核心参数输入!$B$16*4+(核心参数输入!$B$148+核心参数输入!$B$124))),核心参数输入!$B$50*(核心参数输入!$B$10*核心参数输入!$B$11*核心参数输入!$B$12*核心参数输入!$B$143)/MAX(1,核心参数输入!$B$108)/4+IF(79=核心参数输入!$B$116*4,核心参数输入!$B$117,0),0),0)</f>
        <v>44.999999999999993</v>
      </c>
      <c r="CF149" s="9">
        <f>IF(80&lt;=核心参数输入!$B$9*4,IF(AND((核心参数输入!$B$10*核心参数输入!$B$11*核心参数输入!$B$12*核心参数输入!$B$143)&gt;0,80&gt;(核心参数输入!$B$16*4+(核心参数输入!$B$148+核心参数输入!$B$124))),核心参数输入!$B$50*(核心参数输入!$B$10*核心参数输入!$B$11*核心参数输入!$B$12*核心参数输入!$B$143)/MAX(1,核心参数输入!$B$108)/4+IF(80=核心参数输入!$B$116*4,核心参数输入!$B$117,0),0),0)</f>
        <v>44.999999999999993</v>
      </c>
      <c r="CG149" s="9">
        <f>IF(81&lt;=核心参数输入!$B$9*4,IF(AND((核心参数输入!$B$10*核心参数输入!$B$11*核心参数输入!$B$12*核心参数输入!$B$143)&gt;0,81&gt;(核心参数输入!$B$16*4+(核心参数输入!$B$148+核心参数输入!$B$124))),核心参数输入!$B$50*(核心参数输入!$B$10*核心参数输入!$B$11*核心参数输入!$B$12*核心参数输入!$B$143)/MAX(1,核心参数输入!$B$108)/4+IF(81=核心参数输入!$B$116*4,核心参数输入!$B$117,0),0),0)</f>
        <v>0</v>
      </c>
      <c r="CH149" s="9">
        <f>IF(82&lt;=核心参数输入!$B$9*4,IF(AND((核心参数输入!$B$10*核心参数输入!$B$11*核心参数输入!$B$12*核心参数输入!$B$143)&gt;0,82&gt;(核心参数输入!$B$16*4+(核心参数输入!$B$148+核心参数输入!$B$124))),核心参数输入!$B$50*(核心参数输入!$B$10*核心参数输入!$B$11*核心参数输入!$B$12*核心参数输入!$B$143)/MAX(1,核心参数输入!$B$108)/4+IF(82=核心参数输入!$B$116*4,核心参数输入!$B$117,0),0),0)</f>
        <v>0</v>
      </c>
      <c r="CI149" s="9">
        <f>IF(83&lt;=核心参数输入!$B$9*4,IF(AND((核心参数输入!$B$10*核心参数输入!$B$11*核心参数输入!$B$12*核心参数输入!$B$143)&gt;0,83&gt;(核心参数输入!$B$16*4+(核心参数输入!$B$148+核心参数输入!$B$124))),核心参数输入!$B$50*(核心参数输入!$B$10*核心参数输入!$B$11*核心参数输入!$B$12*核心参数输入!$B$143)/MAX(1,核心参数输入!$B$108)/4+IF(83=核心参数输入!$B$116*4,核心参数输入!$B$117,0),0),0)</f>
        <v>0</v>
      </c>
      <c r="CJ149" s="9">
        <f>IF(84&lt;=核心参数输入!$B$9*4,IF(AND((核心参数输入!$B$10*核心参数输入!$B$11*核心参数输入!$B$12*核心参数输入!$B$143)&gt;0,84&gt;(核心参数输入!$B$16*4+(核心参数输入!$B$148+核心参数输入!$B$124))),核心参数输入!$B$50*(核心参数输入!$B$10*核心参数输入!$B$11*核心参数输入!$B$12*核心参数输入!$B$143)/MAX(1,核心参数输入!$B$108)/4+IF(84=核心参数输入!$B$116*4,核心参数输入!$B$117,0),0),0)</f>
        <v>0</v>
      </c>
      <c r="CK149" s="9">
        <f>IF(85&lt;=核心参数输入!$B$9*4,IF(AND((核心参数输入!$B$10*核心参数输入!$B$11*核心参数输入!$B$12*核心参数输入!$B$143)&gt;0,85&gt;(核心参数输入!$B$16*4+(核心参数输入!$B$148+核心参数输入!$B$124))),核心参数输入!$B$50*(核心参数输入!$B$10*核心参数输入!$B$11*核心参数输入!$B$12*核心参数输入!$B$143)/MAX(1,核心参数输入!$B$108)/4+IF(85=核心参数输入!$B$116*4,核心参数输入!$B$117,0),0),0)</f>
        <v>0</v>
      </c>
      <c r="CL149" s="9">
        <f>IF(86&lt;=核心参数输入!$B$9*4,IF(AND((核心参数输入!$B$10*核心参数输入!$B$11*核心参数输入!$B$12*核心参数输入!$B$143)&gt;0,86&gt;(核心参数输入!$B$16*4+(核心参数输入!$B$148+核心参数输入!$B$124))),核心参数输入!$B$50*(核心参数输入!$B$10*核心参数输入!$B$11*核心参数输入!$B$12*核心参数输入!$B$143)/MAX(1,核心参数输入!$B$108)/4+IF(86=核心参数输入!$B$116*4,核心参数输入!$B$117,0),0),0)</f>
        <v>0</v>
      </c>
      <c r="CM149" s="9">
        <f>IF(87&lt;=核心参数输入!$B$9*4,IF(AND((核心参数输入!$B$10*核心参数输入!$B$11*核心参数输入!$B$12*核心参数输入!$B$143)&gt;0,87&gt;(核心参数输入!$B$16*4+(核心参数输入!$B$148+核心参数输入!$B$124))),核心参数输入!$B$50*(核心参数输入!$B$10*核心参数输入!$B$11*核心参数输入!$B$12*核心参数输入!$B$143)/MAX(1,核心参数输入!$B$108)/4+IF(87=核心参数输入!$B$116*4,核心参数输入!$B$117,0),0),0)</f>
        <v>0</v>
      </c>
      <c r="CN149" s="9">
        <f>IF(88&lt;=核心参数输入!$B$9*4,IF(AND((核心参数输入!$B$10*核心参数输入!$B$11*核心参数输入!$B$12*核心参数输入!$B$143)&gt;0,88&gt;(核心参数输入!$B$16*4+(核心参数输入!$B$148+核心参数输入!$B$124))),核心参数输入!$B$50*(核心参数输入!$B$10*核心参数输入!$B$11*核心参数输入!$B$12*核心参数输入!$B$143)/MAX(1,核心参数输入!$B$108)/4+IF(88=核心参数输入!$B$116*4,核心参数输入!$B$117,0),0),0)</f>
        <v>0</v>
      </c>
      <c r="CO149" s="9">
        <f>IF(89&lt;=核心参数输入!$B$9*4,IF(AND((核心参数输入!$B$10*核心参数输入!$B$11*核心参数输入!$B$12*核心参数输入!$B$143)&gt;0,89&gt;(核心参数输入!$B$16*4+(核心参数输入!$B$148+核心参数输入!$B$124))),核心参数输入!$B$50*(核心参数输入!$B$10*核心参数输入!$B$11*核心参数输入!$B$12*核心参数输入!$B$143)/MAX(1,核心参数输入!$B$108)/4+IF(89=核心参数输入!$B$116*4,核心参数输入!$B$117,0),0),0)</f>
        <v>0</v>
      </c>
      <c r="CP149" s="9">
        <f>IF(90&lt;=核心参数输入!$B$9*4,IF(AND((核心参数输入!$B$10*核心参数输入!$B$11*核心参数输入!$B$12*核心参数输入!$B$143)&gt;0,90&gt;(核心参数输入!$B$16*4+(核心参数输入!$B$148+核心参数输入!$B$124))),核心参数输入!$B$50*(核心参数输入!$B$10*核心参数输入!$B$11*核心参数输入!$B$12*核心参数输入!$B$143)/MAX(1,核心参数输入!$B$108)/4+IF(90=核心参数输入!$B$116*4,核心参数输入!$B$117,0),0),0)</f>
        <v>0</v>
      </c>
      <c r="CQ149" s="9">
        <f>IF(91&lt;=核心参数输入!$B$9*4,IF(AND((核心参数输入!$B$10*核心参数输入!$B$11*核心参数输入!$B$12*核心参数输入!$B$143)&gt;0,91&gt;(核心参数输入!$B$16*4+(核心参数输入!$B$148+核心参数输入!$B$124))),核心参数输入!$B$50*(核心参数输入!$B$10*核心参数输入!$B$11*核心参数输入!$B$12*核心参数输入!$B$143)/MAX(1,核心参数输入!$B$108)/4+IF(91=核心参数输入!$B$116*4,核心参数输入!$B$117,0),0),0)</f>
        <v>0</v>
      </c>
      <c r="CR149" s="9">
        <f>IF(92&lt;=核心参数输入!$B$9*4,IF(AND((核心参数输入!$B$10*核心参数输入!$B$11*核心参数输入!$B$12*核心参数输入!$B$143)&gt;0,92&gt;(核心参数输入!$B$16*4+(核心参数输入!$B$148+核心参数输入!$B$124))),核心参数输入!$B$50*(核心参数输入!$B$10*核心参数输入!$B$11*核心参数输入!$B$12*核心参数输入!$B$143)/MAX(1,核心参数输入!$B$108)/4+IF(92=核心参数输入!$B$116*4,核心参数输入!$B$117,0),0),0)</f>
        <v>0</v>
      </c>
      <c r="CS149" s="9">
        <f>IF(93&lt;=核心参数输入!$B$9*4,IF(AND((核心参数输入!$B$10*核心参数输入!$B$11*核心参数输入!$B$12*核心参数输入!$B$143)&gt;0,93&gt;(核心参数输入!$B$16*4+(核心参数输入!$B$148+核心参数输入!$B$124))),核心参数输入!$B$50*(核心参数输入!$B$10*核心参数输入!$B$11*核心参数输入!$B$12*核心参数输入!$B$143)/MAX(1,核心参数输入!$B$108)/4+IF(93=核心参数输入!$B$116*4,核心参数输入!$B$117,0),0),0)</f>
        <v>0</v>
      </c>
      <c r="CT149" s="9">
        <f>IF(94&lt;=核心参数输入!$B$9*4,IF(AND((核心参数输入!$B$10*核心参数输入!$B$11*核心参数输入!$B$12*核心参数输入!$B$143)&gt;0,94&gt;(核心参数输入!$B$16*4+(核心参数输入!$B$148+核心参数输入!$B$124))),核心参数输入!$B$50*(核心参数输入!$B$10*核心参数输入!$B$11*核心参数输入!$B$12*核心参数输入!$B$143)/MAX(1,核心参数输入!$B$108)/4+IF(94=核心参数输入!$B$116*4,核心参数输入!$B$117,0),0),0)</f>
        <v>0</v>
      </c>
      <c r="CU149" s="9">
        <f>IF(95&lt;=核心参数输入!$B$9*4,IF(AND((核心参数输入!$B$10*核心参数输入!$B$11*核心参数输入!$B$12*核心参数输入!$B$143)&gt;0,95&gt;(核心参数输入!$B$16*4+(核心参数输入!$B$148+核心参数输入!$B$124))),核心参数输入!$B$50*(核心参数输入!$B$10*核心参数输入!$B$11*核心参数输入!$B$12*核心参数输入!$B$143)/MAX(1,核心参数输入!$B$108)/4+IF(95=核心参数输入!$B$116*4,核心参数输入!$B$117,0),0),0)</f>
        <v>0</v>
      </c>
      <c r="CV149" s="9">
        <f>IF(96&lt;=核心参数输入!$B$9*4,IF(AND((核心参数输入!$B$10*核心参数输入!$B$11*核心参数输入!$B$12*核心参数输入!$B$143)&gt;0,96&gt;(核心参数输入!$B$16*4+(核心参数输入!$B$148+核心参数输入!$B$124))),核心参数输入!$B$50*(核心参数输入!$B$10*核心参数输入!$B$11*核心参数输入!$B$12*核心参数输入!$B$143)/MAX(1,核心参数输入!$B$108)/4+IF(96=核心参数输入!$B$116*4,核心参数输入!$B$117,0),0),0)</f>
        <v>0</v>
      </c>
      <c r="CW149" s="9">
        <f>IF(97&lt;=核心参数输入!$B$9*4,IF(AND((核心参数输入!$B$10*核心参数输入!$B$11*核心参数输入!$B$12*核心参数输入!$B$143)&gt;0,97&gt;(核心参数输入!$B$16*4+(核心参数输入!$B$148+核心参数输入!$B$124))),核心参数输入!$B$50*(核心参数输入!$B$10*核心参数输入!$B$11*核心参数输入!$B$12*核心参数输入!$B$143)/MAX(1,核心参数输入!$B$108)/4+IF(97=核心参数输入!$B$116*4,核心参数输入!$B$117,0),0),0)</f>
        <v>0</v>
      </c>
      <c r="CX149" s="9">
        <f>IF(98&lt;=核心参数输入!$B$9*4,IF(AND((核心参数输入!$B$10*核心参数输入!$B$11*核心参数输入!$B$12*核心参数输入!$B$143)&gt;0,98&gt;(核心参数输入!$B$16*4+(核心参数输入!$B$148+核心参数输入!$B$124))),核心参数输入!$B$50*(核心参数输入!$B$10*核心参数输入!$B$11*核心参数输入!$B$12*核心参数输入!$B$143)/MAX(1,核心参数输入!$B$108)/4+IF(98=核心参数输入!$B$116*4,核心参数输入!$B$117,0),0),0)</f>
        <v>0</v>
      </c>
      <c r="CY149" s="9">
        <f>IF(99&lt;=核心参数输入!$B$9*4,IF(AND((核心参数输入!$B$10*核心参数输入!$B$11*核心参数输入!$B$12*核心参数输入!$B$143)&gt;0,99&gt;(核心参数输入!$B$16*4+(核心参数输入!$B$148+核心参数输入!$B$124))),核心参数输入!$B$50*(核心参数输入!$B$10*核心参数输入!$B$11*核心参数输入!$B$12*核心参数输入!$B$143)/MAX(1,核心参数输入!$B$108)/4+IF(99=核心参数输入!$B$116*4,核心参数输入!$B$117,0),0),0)</f>
        <v>0</v>
      </c>
      <c r="CZ149" s="9">
        <f>IF(100&lt;=核心参数输入!$B$9*4,IF(AND((核心参数输入!$B$10*核心参数输入!$B$11*核心参数输入!$B$12*核心参数输入!$B$143)&gt;0,100&gt;(核心参数输入!$B$16*4+(核心参数输入!$B$148+核心参数输入!$B$124))),核心参数输入!$B$50*(核心参数输入!$B$10*核心参数输入!$B$11*核心参数输入!$B$12*核心参数输入!$B$143)/MAX(1,核心参数输入!$B$108)/4+IF(100=核心参数输入!$B$116*4,核心参数输入!$B$117,0),0),0)</f>
        <v>0</v>
      </c>
      <c r="DA149" s="9">
        <f>IF(101&lt;=核心参数输入!$B$9*4,IF(AND((核心参数输入!$B$10*核心参数输入!$B$11*核心参数输入!$B$12*核心参数输入!$B$143)&gt;0,101&gt;(核心参数输入!$B$16*4+(核心参数输入!$B$148+核心参数输入!$B$124))),核心参数输入!$B$50*(核心参数输入!$B$10*核心参数输入!$B$11*核心参数输入!$B$12*核心参数输入!$B$143)/MAX(1,核心参数输入!$B$108)/4+IF(101=核心参数输入!$B$116*4,核心参数输入!$B$117,0),0),0)</f>
        <v>0</v>
      </c>
      <c r="DB149" s="9">
        <f>IF(102&lt;=核心参数输入!$B$9*4,IF(AND((核心参数输入!$B$10*核心参数输入!$B$11*核心参数输入!$B$12*核心参数输入!$B$143)&gt;0,102&gt;(核心参数输入!$B$16*4+(核心参数输入!$B$148+核心参数输入!$B$124))),核心参数输入!$B$50*(核心参数输入!$B$10*核心参数输入!$B$11*核心参数输入!$B$12*核心参数输入!$B$143)/MAX(1,核心参数输入!$B$108)/4+IF(102=核心参数输入!$B$116*4,核心参数输入!$B$117,0),0),0)</f>
        <v>0</v>
      </c>
      <c r="DC149" s="9">
        <f>IF(103&lt;=核心参数输入!$B$9*4,IF(AND((核心参数输入!$B$10*核心参数输入!$B$11*核心参数输入!$B$12*核心参数输入!$B$143)&gt;0,103&gt;(核心参数输入!$B$16*4+(核心参数输入!$B$148+核心参数输入!$B$124))),核心参数输入!$B$50*(核心参数输入!$B$10*核心参数输入!$B$11*核心参数输入!$B$12*核心参数输入!$B$143)/MAX(1,核心参数输入!$B$108)/4+IF(103=核心参数输入!$B$116*4,核心参数输入!$B$117,0),0),0)</f>
        <v>0</v>
      </c>
      <c r="DD149" s="9">
        <f>IF(104&lt;=核心参数输入!$B$9*4,IF(AND((核心参数输入!$B$10*核心参数输入!$B$11*核心参数输入!$B$12*核心参数输入!$B$143)&gt;0,104&gt;(核心参数输入!$B$16*4+(核心参数输入!$B$148+核心参数输入!$B$124))),核心参数输入!$B$50*(核心参数输入!$B$10*核心参数输入!$B$11*核心参数输入!$B$12*核心参数输入!$B$143)/MAX(1,核心参数输入!$B$108)/4+IF(104=核心参数输入!$B$116*4,核心参数输入!$B$117,0),0),0)</f>
        <v>0</v>
      </c>
      <c r="DE149" s="9">
        <f>IF(105&lt;=核心参数输入!$B$9*4,IF(AND((核心参数输入!$B$10*核心参数输入!$B$11*核心参数输入!$B$12*核心参数输入!$B$143)&gt;0,105&gt;(核心参数输入!$B$16*4+(核心参数输入!$B$148+核心参数输入!$B$124))),核心参数输入!$B$50*(核心参数输入!$B$10*核心参数输入!$B$11*核心参数输入!$B$12*核心参数输入!$B$143)/MAX(1,核心参数输入!$B$108)/4+IF(105=核心参数输入!$B$116*4,核心参数输入!$B$117,0),0),0)</f>
        <v>0</v>
      </c>
      <c r="DF149" s="9">
        <f>IF(106&lt;=核心参数输入!$B$9*4,IF(AND((核心参数输入!$B$10*核心参数输入!$B$11*核心参数输入!$B$12*核心参数输入!$B$143)&gt;0,106&gt;(核心参数输入!$B$16*4+(核心参数输入!$B$148+核心参数输入!$B$124))),核心参数输入!$B$50*(核心参数输入!$B$10*核心参数输入!$B$11*核心参数输入!$B$12*核心参数输入!$B$143)/MAX(1,核心参数输入!$B$108)/4+IF(106=核心参数输入!$B$116*4,核心参数输入!$B$117,0),0),0)</f>
        <v>0</v>
      </c>
      <c r="DG149" s="9">
        <f>IF(107&lt;=核心参数输入!$B$9*4,IF(AND((核心参数输入!$B$10*核心参数输入!$B$11*核心参数输入!$B$12*核心参数输入!$B$143)&gt;0,107&gt;(核心参数输入!$B$16*4+(核心参数输入!$B$148+核心参数输入!$B$124))),核心参数输入!$B$50*(核心参数输入!$B$10*核心参数输入!$B$11*核心参数输入!$B$12*核心参数输入!$B$143)/MAX(1,核心参数输入!$B$108)/4+IF(107=核心参数输入!$B$116*4,核心参数输入!$B$117,0),0),0)</f>
        <v>0</v>
      </c>
      <c r="DH149" s="9">
        <f>IF(108&lt;=核心参数输入!$B$9*4,IF(AND((核心参数输入!$B$10*核心参数输入!$B$11*核心参数输入!$B$12*核心参数输入!$B$143)&gt;0,108&gt;(核心参数输入!$B$16*4+(核心参数输入!$B$148+核心参数输入!$B$124))),核心参数输入!$B$50*(核心参数输入!$B$10*核心参数输入!$B$11*核心参数输入!$B$12*核心参数输入!$B$143)/MAX(1,核心参数输入!$B$108)/4+IF(108=核心参数输入!$B$116*4,核心参数输入!$B$117,0),0),0)</f>
        <v>0</v>
      </c>
      <c r="DI149" s="9">
        <f>IF(109&lt;=核心参数输入!$B$9*4,IF(AND((核心参数输入!$B$10*核心参数输入!$B$11*核心参数输入!$B$12*核心参数输入!$B$143)&gt;0,109&gt;(核心参数输入!$B$16*4+(核心参数输入!$B$148+核心参数输入!$B$124))),核心参数输入!$B$50*(核心参数输入!$B$10*核心参数输入!$B$11*核心参数输入!$B$12*核心参数输入!$B$143)/MAX(1,核心参数输入!$B$108)/4+IF(109=核心参数输入!$B$116*4,核心参数输入!$B$117,0),0),0)</f>
        <v>0</v>
      </c>
      <c r="DJ149" s="9">
        <f>IF(110&lt;=核心参数输入!$B$9*4,IF(AND((核心参数输入!$B$10*核心参数输入!$B$11*核心参数输入!$B$12*核心参数输入!$B$143)&gt;0,110&gt;(核心参数输入!$B$16*4+(核心参数输入!$B$148+核心参数输入!$B$124))),核心参数输入!$B$50*(核心参数输入!$B$10*核心参数输入!$B$11*核心参数输入!$B$12*核心参数输入!$B$143)/MAX(1,核心参数输入!$B$108)/4+IF(110=核心参数输入!$B$116*4,核心参数输入!$B$117,0),0),0)</f>
        <v>0</v>
      </c>
      <c r="DK149" s="9">
        <f>IF(111&lt;=核心参数输入!$B$9*4,IF(AND((核心参数输入!$B$10*核心参数输入!$B$11*核心参数输入!$B$12*核心参数输入!$B$143)&gt;0,111&gt;(核心参数输入!$B$16*4+(核心参数输入!$B$148+核心参数输入!$B$124))),核心参数输入!$B$50*(核心参数输入!$B$10*核心参数输入!$B$11*核心参数输入!$B$12*核心参数输入!$B$143)/MAX(1,核心参数输入!$B$108)/4+IF(111=核心参数输入!$B$116*4,核心参数输入!$B$117,0),0),0)</f>
        <v>0</v>
      </c>
      <c r="DL149" s="9">
        <f>IF(112&lt;=核心参数输入!$B$9*4,IF(AND((核心参数输入!$B$10*核心参数输入!$B$11*核心参数输入!$B$12*核心参数输入!$B$143)&gt;0,112&gt;(核心参数输入!$B$16*4+(核心参数输入!$B$148+核心参数输入!$B$124))),核心参数输入!$B$50*(核心参数输入!$B$10*核心参数输入!$B$11*核心参数输入!$B$12*核心参数输入!$B$143)/MAX(1,核心参数输入!$B$108)/4+IF(112=核心参数输入!$B$116*4,核心参数输入!$B$117,0),0),0)</f>
        <v>0</v>
      </c>
      <c r="DM149" s="9">
        <f>IF(113&lt;=核心参数输入!$B$9*4,IF(AND((核心参数输入!$B$10*核心参数输入!$B$11*核心参数输入!$B$12*核心参数输入!$B$143)&gt;0,113&gt;(核心参数输入!$B$16*4+(核心参数输入!$B$148+核心参数输入!$B$124))),核心参数输入!$B$50*(核心参数输入!$B$10*核心参数输入!$B$11*核心参数输入!$B$12*核心参数输入!$B$143)/MAX(1,核心参数输入!$B$108)/4+IF(113=核心参数输入!$B$116*4,核心参数输入!$B$117,0),0),0)</f>
        <v>0</v>
      </c>
      <c r="DN149" s="9">
        <f>IF(114&lt;=核心参数输入!$B$9*4,IF(AND((核心参数输入!$B$10*核心参数输入!$B$11*核心参数输入!$B$12*核心参数输入!$B$143)&gt;0,114&gt;(核心参数输入!$B$16*4+(核心参数输入!$B$148+核心参数输入!$B$124))),核心参数输入!$B$50*(核心参数输入!$B$10*核心参数输入!$B$11*核心参数输入!$B$12*核心参数输入!$B$143)/MAX(1,核心参数输入!$B$108)/4+IF(114=核心参数输入!$B$116*4,核心参数输入!$B$117,0),0),0)</f>
        <v>0</v>
      </c>
      <c r="DO149" s="9">
        <f>IF(115&lt;=核心参数输入!$B$9*4,IF(AND((核心参数输入!$B$10*核心参数输入!$B$11*核心参数输入!$B$12*核心参数输入!$B$143)&gt;0,115&gt;(核心参数输入!$B$16*4+(核心参数输入!$B$148+核心参数输入!$B$124))),核心参数输入!$B$50*(核心参数输入!$B$10*核心参数输入!$B$11*核心参数输入!$B$12*核心参数输入!$B$143)/MAX(1,核心参数输入!$B$108)/4+IF(115=核心参数输入!$B$116*4,核心参数输入!$B$117,0),0),0)</f>
        <v>0</v>
      </c>
      <c r="DP149" s="9">
        <f>IF(116&lt;=核心参数输入!$B$9*4,IF(AND((核心参数输入!$B$10*核心参数输入!$B$11*核心参数输入!$B$12*核心参数输入!$B$143)&gt;0,116&gt;(核心参数输入!$B$16*4+(核心参数输入!$B$148+核心参数输入!$B$124))),核心参数输入!$B$50*(核心参数输入!$B$10*核心参数输入!$B$11*核心参数输入!$B$12*核心参数输入!$B$143)/MAX(1,核心参数输入!$B$108)/4+IF(116=核心参数输入!$B$116*4,核心参数输入!$B$117,0),0),0)</f>
        <v>0</v>
      </c>
      <c r="DQ149" s="9">
        <f>IF(117&lt;=核心参数输入!$B$9*4,IF(AND((核心参数输入!$B$10*核心参数输入!$B$11*核心参数输入!$B$12*核心参数输入!$B$143)&gt;0,117&gt;(核心参数输入!$B$16*4+(核心参数输入!$B$148+核心参数输入!$B$124))),核心参数输入!$B$50*(核心参数输入!$B$10*核心参数输入!$B$11*核心参数输入!$B$12*核心参数输入!$B$143)/MAX(1,核心参数输入!$B$108)/4+IF(117=核心参数输入!$B$116*4,核心参数输入!$B$117,0),0),0)</f>
        <v>0</v>
      </c>
      <c r="DR149" s="9">
        <f>IF(118&lt;=核心参数输入!$B$9*4,IF(AND((核心参数输入!$B$10*核心参数输入!$B$11*核心参数输入!$B$12*核心参数输入!$B$143)&gt;0,118&gt;(核心参数输入!$B$16*4+(核心参数输入!$B$148+核心参数输入!$B$124))),核心参数输入!$B$50*(核心参数输入!$B$10*核心参数输入!$B$11*核心参数输入!$B$12*核心参数输入!$B$143)/MAX(1,核心参数输入!$B$108)/4+IF(118=核心参数输入!$B$116*4,核心参数输入!$B$117,0),0),0)</f>
        <v>0</v>
      </c>
      <c r="DS149" s="9">
        <f>IF(119&lt;=核心参数输入!$B$9*4,IF(AND((核心参数输入!$B$10*核心参数输入!$B$11*核心参数输入!$B$12*核心参数输入!$B$143)&gt;0,119&gt;(核心参数输入!$B$16*4+(核心参数输入!$B$148+核心参数输入!$B$124))),核心参数输入!$B$50*(核心参数输入!$B$10*核心参数输入!$B$11*核心参数输入!$B$12*核心参数输入!$B$143)/MAX(1,核心参数输入!$B$108)/4+IF(119=核心参数输入!$B$116*4,核心参数输入!$B$117,0),0),0)</f>
        <v>0</v>
      </c>
      <c r="DT149" s="9">
        <f>IF(120&lt;=核心参数输入!$B$9*4,IF(AND((核心参数输入!$B$10*核心参数输入!$B$11*核心参数输入!$B$12*核心参数输入!$B$143)&gt;0,120&gt;(核心参数输入!$B$16*4+(核心参数输入!$B$148+核心参数输入!$B$124))),核心参数输入!$B$50*(核心参数输入!$B$10*核心参数输入!$B$11*核心参数输入!$B$12*核心参数输入!$B$143)/MAX(1,核心参数输入!$B$108)/4+IF(120=核心参数输入!$B$116*4,核心参数输入!$B$117,0),0),0)</f>
        <v>0</v>
      </c>
    </row>
    <row r="150" spans="1:124" ht="21" customHeight="1">
      <c r="A150" s="8" t="s">
        <v>472</v>
      </c>
      <c r="B150" s="8" t="s">
        <v>39</v>
      </c>
      <c r="C150" s="8"/>
      <c r="D150" s="9">
        <f>IF(0&lt;=核心参数输入!$B$9*4,(D133+D137)*IF(核心参数输入!$B$96=1,核心参数输入!$B$51,核心参数输入!$B$122),0)</f>
        <v>0</v>
      </c>
      <c r="E150" s="9">
        <f>IF(1&lt;=核心参数输入!$B$9*4,(E133+E137)*IF(核心参数输入!$B$96=1,核心参数输入!$B$51,核心参数输入!$B$122),0)</f>
        <v>0</v>
      </c>
      <c r="F150" s="9">
        <f>IF(2&lt;=核心参数输入!$B$9*4,(F133+F137)*IF(核心参数输入!$B$96=1,核心参数输入!$B$51,核心参数输入!$B$122),0)</f>
        <v>0</v>
      </c>
      <c r="G150" s="9">
        <f>IF(3&lt;=核心参数输入!$B$9*4,(G133+G137)*IF(核心参数输入!$B$96=1,核心参数输入!$B$51,核心参数输入!$B$122),0)</f>
        <v>0</v>
      </c>
      <c r="H150" s="9">
        <f>IF(4&lt;=核心参数输入!$B$9*4,(H133+H137)*IF(核心参数输入!$B$96=1,核心参数输入!$B$51,核心参数输入!$B$122),0)</f>
        <v>0</v>
      </c>
      <c r="I150" s="9">
        <f>IF(5&lt;=核心参数输入!$B$9*4,(I133+I137)*IF(核心参数输入!$B$96=1,核心参数输入!$B$51,核心参数输入!$B$122),0)</f>
        <v>0</v>
      </c>
      <c r="J150" s="9">
        <f>IF(6&lt;=核心参数输入!$B$9*4,(J133+J137)*IF(核心参数输入!$B$96=1,核心参数输入!$B$51,核心参数输入!$B$122),0)</f>
        <v>0</v>
      </c>
      <c r="K150" s="9">
        <f>IF(7&lt;=核心参数输入!$B$9*4,(K133+K137)*IF(核心参数输入!$B$96=1,核心参数输入!$B$51,核心参数输入!$B$122),0)</f>
        <v>0</v>
      </c>
      <c r="L150" s="9">
        <f>IF(8&lt;=核心参数输入!$B$9*4,(L133+L137)*IF(核心参数输入!$B$96=1,核心参数输入!$B$51,核心参数输入!$B$122),0)</f>
        <v>0</v>
      </c>
      <c r="M150" s="9">
        <f>IF(9&lt;=核心参数输入!$B$9*4,(M133+M137)*IF(核心参数输入!$B$96=1,核心参数输入!$B$51,核心参数输入!$B$122),0)</f>
        <v>0</v>
      </c>
      <c r="N150" s="9">
        <f>IF(10&lt;=核心参数输入!$B$9*4,(N133+N137)*IF(核心参数输入!$B$96=1,核心参数输入!$B$51,核心参数输入!$B$122),0)</f>
        <v>0</v>
      </c>
      <c r="O150" s="9">
        <f>IF(11&lt;=核心参数输入!$B$9*4,(O133+O137)*IF(核心参数输入!$B$96=1,核心参数输入!$B$51,核心参数输入!$B$122),0)</f>
        <v>0</v>
      </c>
      <c r="P150" s="9">
        <f>IF(12&lt;=核心参数输入!$B$9*4,(P133+P137)*IF(核心参数输入!$B$96=1,核心参数输入!$B$51,核心参数输入!$B$122),0)</f>
        <v>0</v>
      </c>
      <c r="Q150" s="9">
        <f>IF(13&lt;=核心参数输入!$B$9*4,(Q133+Q137)*IF(核心参数输入!$B$96=1,核心参数输入!$B$51,核心参数输入!$B$122),0)</f>
        <v>0</v>
      </c>
      <c r="R150" s="9">
        <f>IF(14&lt;=核心参数输入!$B$9*4,(R133+R137)*IF(核心参数输入!$B$96=1,核心参数输入!$B$51,核心参数输入!$B$122),0)</f>
        <v>1.3420853550000005</v>
      </c>
      <c r="S150" s="9">
        <f>IF(15&lt;=核心参数输入!$B$9*4,(S133+S137)*IF(核心参数输入!$B$96=1,核心参数输入!$B$51,核心参数输入!$B$122),0)</f>
        <v>4.026256065000001</v>
      </c>
      <c r="T150" s="9">
        <f>IF(16&lt;=核心参数输入!$B$9*4,(T133+T137)*IF(核心参数输入!$B$96=1,核心参数输入!$B$51,核心参数输入!$B$122),0)</f>
        <v>6.7104267750000002</v>
      </c>
      <c r="U150" s="9">
        <f>IF(17&lt;=核心参数输入!$B$9*4,(U133+U137)*IF(核心参数输入!$B$96=1,核心参数输入!$B$51,核心参数输入!$B$122),0)</f>
        <v>9.5355164472750005</v>
      </c>
      <c r="V150" s="9">
        <f>IF(18&lt;=核心参数输入!$B$9*4,(V133+V137)*IF(核心参数输入!$B$96=1,核心参数输入!$B$51,核心参数输入!$B$122),0)</f>
        <v>11.578841400262499</v>
      </c>
      <c r="W150" s="9">
        <f>IF(19&lt;=核心参数输入!$B$9*4,(W133+W137)*IF(核心参数输入!$B$96=1,核心参数输入!$B$51,核心参数输入!$B$122),0)</f>
        <v>12.941058035587499</v>
      </c>
      <c r="X150" s="9">
        <f>IF(20&lt;=核心参数输入!$B$9*4,(X133+X137)*IF(核心参数输入!$B$96=1,核心参数输入!$B$51,核心参数输入!$B$122),0)</f>
        <v>14.303274670912501</v>
      </c>
      <c r="Y150" s="9">
        <f>IF(21&lt;=核心参数输入!$B$9*4,(Y133+Y137)*IF(核心参数输入!$B$96=1,核心参数输入!$B$51,核心参数输入!$B$122),0)</f>
        <v>15.900473675831055</v>
      </c>
      <c r="Z150" s="9">
        <f>IF(22&lt;=核心参数输入!$B$9*4,(Z133+Z137)*IF(核心参数输入!$B$96=1,核心参数输入!$B$51,核心参数输入!$B$122),0)</f>
        <v>17.110292325079072</v>
      </c>
      <c r="AA150" s="9">
        <f>IF(23&lt;=核心参数输入!$B$9*4,(AA133+AA137)*IF(核心参数输入!$B$96=1,核心参数输入!$B$51,核心参数输入!$B$122),0)</f>
        <v>18.147279738720229</v>
      </c>
      <c r="AB150" s="9">
        <f>IF(24&lt;=核心参数输入!$B$9*4,(AB133+AB137)*IF(核心参数输入!$B$96=1,核心参数输入!$B$51,核心参数输入!$B$122),0)</f>
        <v>19.184267152361386</v>
      </c>
      <c r="AC150" s="9">
        <f>IF(25&lt;=核心参数输入!$B$9*4,(AC133+AC137)*IF(核心参数输入!$B$96=1,核心参数输入!$B$51,核心参数输入!$B$122),0)</f>
        <v>20.524573384492573</v>
      </c>
      <c r="AD150" s="9">
        <f>IF(26&lt;=核心参数输入!$B$9*4,(AD133+AD137)*IF(核心参数输入!$B$96=1,核心参数输入!$B$51,核心参数输入!$B$122),0)</f>
        <v>21.226268201056421</v>
      </c>
      <c r="AE150" s="9">
        <f>IF(27&lt;=核心参数输入!$B$9*4,(AE133+AE137)*IF(核心参数输入!$B$96=1,核心参数输入!$B$51,核心参数输入!$B$122),0)</f>
        <v>21.577115609338346</v>
      </c>
      <c r="AF150" s="9">
        <f>IF(28&lt;=核心参数输入!$B$9*4,(AF133+AF137)*IF(核心参数输入!$B$96=1,核心参数输入!$B$51,核心参数输入!$B$122),0)</f>
        <v>21.927963017620272</v>
      </c>
      <c r="AG150" s="9">
        <f>IF(29&lt;=核心参数输入!$B$9*4,(AG133+AG137)*IF(核心参数输入!$B$96=1,核心参数输入!$B$51,核心参数输入!$B$122),0)</f>
        <v>22.61299258229073</v>
      </c>
      <c r="AH150" s="9">
        <f>IF(30&lt;=核心参数输入!$B$9*4,(AH133+AH137)*IF(核心参数输入!$B$96=1,核心参数输入!$B$51,核心参数输入!$B$122),0)</f>
        <v>22.791047641993806</v>
      </c>
      <c r="AI150" s="9">
        <f>IF(31&lt;=核心参数输入!$B$9*4,(AI133+AI137)*IF(核心参数输入!$B$96=1,核心参数输入!$B$51,核心参数输入!$B$122),0)</f>
        <v>22.791047641993806</v>
      </c>
      <c r="AJ150" s="9">
        <f>IF(32&lt;=核心参数输入!$B$9*4,(AJ133+AJ137)*IF(核心参数输入!$B$96=1,核心参数输入!$B$51,核心参数输入!$B$122),0)</f>
        <v>22.791047641993806</v>
      </c>
      <c r="AK150" s="9">
        <f>IF(33&lt;=核心参数输入!$B$9*4,(AK133+AK137)*IF(核心参数输入!$B$96=1,核心参数输入!$B$51,核心参数输入!$B$122),0)</f>
        <v>23.132913356623714</v>
      </c>
      <c r="AL150" s="9">
        <f>IF(34&lt;=核心参数输入!$B$9*4,(AL133+AL137)*IF(核心参数输入!$B$96=1,核心参数输入!$B$51,核心参数输入!$B$122),0)</f>
        <v>23.132913356623714</v>
      </c>
      <c r="AM150" s="9">
        <f>IF(35&lt;=核心参数输入!$B$9*4,(AM133+AM137)*IF(核心参数输入!$B$96=1,核心参数输入!$B$51,核心参数输入!$B$122),0)</f>
        <v>23.132913356623714</v>
      </c>
      <c r="AN150" s="9">
        <f>IF(36&lt;=核心参数输入!$B$9*4,(AN133+AN137)*IF(核心参数输入!$B$96=1,核心参数输入!$B$51,核心参数输入!$B$122),0)</f>
        <v>23.132913356623714</v>
      </c>
      <c r="AO150" s="9">
        <f>IF(37&lt;=核心参数输入!$B$9*4,(AO133+AO137)*IF(核心参数输入!$B$96=1,核心参数输入!$B$51,核心参数输入!$B$122),0)</f>
        <v>23.479907056973062</v>
      </c>
      <c r="AP150" s="9">
        <f>IF(38&lt;=核心参数输入!$B$9*4,(AP133+AP137)*IF(核心参数输入!$B$96=1,核心参数输入!$B$51,核心参数输入!$B$122),0)</f>
        <v>23.479907056973062</v>
      </c>
      <c r="AQ150" s="9">
        <f>IF(39&lt;=核心参数输入!$B$9*4,(AQ133+AQ137)*IF(核心参数输入!$B$96=1,核心参数输入!$B$51,核心参数输入!$B$122),0)</f>
        <v>23.479907056973062</v>
      </c>
      <c r="AR150" s="9">
        <f>IF(40&lt;=核心参数输入!$B$9*4,(AR133+AR137)*IF(核心参数输入!$B$96=1,核心参数输入!$B$51,核心参数输入!$B$122),0)</f>
        <v>23.479907056973062</v>
      </c>
      <c r="AS150" s="9">
        <f>IF(41&lt;=核心参数输入!$B$9*4,(AS133+AS137)*IF(核心参数输入!$B$96=1,核心参数输入!$B$51,核心参数输入!$B$122),0)</f>
        <v>23.832105662827654</v>
      </c>
      <c r="AT150" s="9">
        <f>IF(42&lt;=核心参数输入!$B$9*4,(AT133+AT137)*IF(核心参数输入!$B$96=1,核心参数输入!$B$51,核心参数输入!$B$122),0)</f>
        <v>23.832105662827654</v>
      </c>
      <c r="AU150" s="9">
        <f>IF(43&lt;=核心参数输入!$B$9*4,(AU133+AU137)*IF(核心参数输入!$B$96=1,核心参数输入!$B$51,核心参数输入!$B$122),0)</f>
        <v>23.832105662827654</v>
      </c>
      <c r="AV150" s="9">
        <f>IF(44&lt;=核心参数输入!$B$9*4,(AV133+AV137)*IF(核心参数输入!$B$96=1,核心参数输入!$B$51,核心参数输入!$B$122),0)</f>
        <v>23.832105662827654</v>
      </c>
      <c r="AW150" s="9">
        <f>IF(45&lt;=核心参数输入!$B$9*4,(AW133+AW137)*IF(核心参数输入!$B$96=1,核心参数输入!$B$51,核心参数输入!$B$122),0)</f>
        <v>24.189587247770064</v>
      </c>
      <c r="AX150" s="9">
        <f>IF(46&lt;=核心参数输入!$B$9*4,(AX133+AX137)*IF(核心参数输入!$B$96=1,核心参数输入!$B$51,核心参数输入!$B$122),0)</f>
        <v>24.189587247770064</v>
      </c>
      <c r="AY150" s="9">
        <f>IF(47&lt;=核心参数输入!$B$9*4,(AY133+AY137)*IF(核心参数输入!$B$96=1,核心参数输入!$B$51,核心参数输入!$B$122),0)</f>
        <v>24.189587247770064</v>
      </c>
      <c r="AZ150" s="9">
        <f>IF(48&lt;=核心参数输入!$B$9*4,(AZ133+AZ137)*IF(核心参数输入!$B$96=1,核心参数输入!$B$51,核心参数输入!$B$122),0)</f>
        <v>24.189587247770064</v>
      </c>
      <c r="BA150" s="9">
        <f>IF(49&lt;=核心参数输入!$B$9*4,(BA133+BA137)*IF(核心参数输入!$B$96=1,核心参数输入!$B$51,核心参数输入!$B$122),0)</f>
        <v>24.552431056486615</v>
      </c>
      <c r="BB150" s="9">
        <f>IF(50&lt;=核心参数输入!$B$9*4,(BB133+BB137)*IF(核心参数输入!$B$96=1,核心参数输入!$B$51,核心参数输入!$B$122),0)</f>
        <v>24.552431056486615</v>
      </c>
      <c r="BC150" s="9">
        <f>IF(51&lt;=核心参数输入!$B$9*4,(BC133+BC137)*IF(核心参数输入!$B$96=1,核心参数输入!$B$51,核心参数输入!$B$122),0)</f>
        <v>24.552431056486615</v>
      </c>
      <c r="BD150" s="9">
        <f>IF(52&lt;=核心参数输入!$B$9*4,(BD133+BD137)*IF(核心参数输入!$B$96=1,核心参数输入!$B$51,核心参数输入!$B$122),0)</f>
        <v>24.552431056486615</v>
      </c>
      <c r="BE150" s="9">
        <f>IF(53&lt;=核心参数输入!$B$9*4,(BE133+BE137)*IF(核心参数输入!$B$96=1,核心参数输入!$B$51,核心参数输入!$B$122),0)</f>
        <v>24.920717522333909</v>
      </c>
      <c r="BF150" s="9">
        <f>IF(54&lt;=核心参数输入!$B$9*4,(BF133+BF137)*IF(核心参数输入!$B$96=1,核心参数输入!$B$51,核心参数输入!$B$122),0)</f>
        <v>24.920717522333909</v>
      </c>
      <c r="BG150" s="9">
        <f>IF(55&lt;=核心参数输入!$B$9*4,(BG133+BG137)*IF(核心参数输入!$B$96=1,核心参数输入!$B$51,核心参数输入!$B$122),0)</f>
        <v>24.920717522333909</v>
      </c>
      <c r="BH150" s="9">
        <f>IF(56&lt;=核心参数输入!$B$9*4,(BH133+BH137)*IF(核心参数输入!$B$96=1,核心参数输入!$B$51,核心参数输入!$B$122),0)</f>
        <v>24.920717522333909</v>
      </c>
      <c r="BI150" s="9">
        <f>IF(57&lt;=核心参数输入!$B$9*4,(BI133+BI137)*IF(核心参数输入!$B$96=1,核心参数输入!$B$51,核心参数输入!$B$122),0)</f>
        <v>25.294528285168912</v>
      </c>
      <c r="BJ150" s="9">
        <f>IF(58&lt;=核心参数输入!$B$9*4,(BJ133+BJ137)*IF(核心参数输入!$B$96=1,核心参数输入!$B$51,核心参数输入!$B$122),0)</f>
        <v>25.294528285168912</v>
      </c>
      <c r="BK150" s="9">
        <f>IF(59&lt;=核心参数输入!$B$9*4,(BK133+BK137)*IF(核心参数输入!$B$96=1,核心参数输入!$B$51,核心参数输入!$B$122),0)</f>
        <v>25.294528285168912</v>
      </c>
      <c r="BL150" s="9">
        <f>IF(60&lt;=核心参数输入!$B$9*4,(BL133+BL137)*IF(核心参数输入!$B$96=1,核心参数输入!$B$51,核心参数输入!$B$122),0)</f>
        <v>25.294528285168912</v>
      </c>
      <c r="BM150" s="9">
        <f>IF(61&lt;=核心参数输入!$B$9*4,(BM133+BM137)*IF(核心参数输入!$B$96=1,核心参数输入!$B$51,核心参数输入!$B$122),0)</f>
        <v>25.673946209446438</v>
      </c>
      <c r="BN150" s="9">
        <f>IF(62&lt;=核心参数输入!$B$9*4,(BN133+BN137)*IF(核心参数输入!$B$96=1,核心参数输入!$B$51,核心参数输入!$B$122),0)</f>
        <v>25.673946209446438</v>
      </c>
      <c r="BO150" s="9">
        <f>IF(63&lt;=核心参数输入!$B$9*4,(BO133+BO137)*IF(核心参数输入!$B$96=1,核心参数输入!$B$51,核心参数输入!$B$122),0)</f>
        <v>25.673946209446438</v>
      </c>
      <c r="BP150" s="9">
        <f>IF(64&lt;=核心参数输入!$B$9*4,(BP133+BP137)*IF(核心参数输入!$B$96=1,核心参数输入!$B$51,核心参数输入!$B$122),0)</f>
        <v>25.673946209446438</v>
      </c>
      <c r="BQ150" s="9">
        <f>IF(65&lt;=核心参数输入!$B$9*4,(BQ133+BQ137)*IF(核心参数输入!$B$96=1,核心参数输入!$B$51,核心参数输入!$B$122),0)</f>
        <v>26.05905540258814</v>
      </c>
      <c r="BR150" s="9">
        <f>IF(66&lt;=核心参数输入!$B$9*4,(BR133+BR137)*IF(核心参数输入!$B$96=1,核心参数输入!$B$51,核心参数输入!$B$122),0)</f>
        <v>26.05905540258814</v>
      </c>
      <c r="BS150" s="9">
        <f>IF(67&lt;=核心参数输入!$B$9*4,(BS133+BS137)*IF(核心参数输入!$B$96=1,核心参数输入!$B$51,核心参数输入!$B$122),0)</f>
        <v>26.05905540258814</v>
      </c>
      <c r="BT150" s="9">
        <f>IF(68&lt;=核心参数输入!$B$9*4,(BT133+BT137)*IF(核心参数输入!$B$96=1,核心参数输入!$B$51,核心参数输入!$B$122),0)</f>
        <v>26.05905540258814</v>
      </c>
      <c r="BU150" s="9">
        <f>IF(69&lt;=核心参数输入!$B$9*4,(BU133+BU137)*IF(核心参数输入!$B$96=1,核心参数输入!$B$51,核心参数输入!$B$122),0)</f>
        <v>26.449941233626951</v>
      </c>
      <c r="BV150" s="9">
        <f>IF(70&lt;=核心参数输入!$B$9*4,(BV133+BV137)*IF(核心参数输入!$B$96=1,核心参数输入!$B$51,核心参数输入!$B$122),0)</f>
        <v>26.449941233626951</v>
      </c>
      <c r="BW150" s="9">
        <f>IF(71&lt;=核心参数输入!$B$9*4,(BW133+BW137)*IF(核心参数输入!$B$96=1,核心参数输入!$B$51,核心参数输入!$B$122),0)</f>
        <v>26.449941233626951</v>
      </c>
      <c r="BX150" s="9">
        <f>IF(72&lt;=核心参数输入!$B$9*4,(BX133+BX137)*IF(核心参数输入!$B$96=1,核心参数输入!$B$51,核心参数输入!$B$122),0)</f>
        <v>26.449941233626951</v>
      </c>
      <c r="BY150" s="9">
        <f>IF(73&lt;=核心参数输入!$B$9*4,(BY133+BY137)*IF(核心参数输入!$B$96=1,核心参数输入!$B$51,核心参数输入!$B$122),0)</f>
        <v>26.846690352131354</v>
      </c>
      <c r="BZ150" s="9">
        <f>IF(74&lt;=核心参数输入!$B$9*4,(BZ133+BZ137)*IF(核心参数输入!$B$96=1,核心参数输入!$B$51,核心参数输入!$B$122),0)</f>
        <v>26.846690352131354</v>
      </c>
      <c r="CA150" s="9">
        <f>IF(75&lt;=核心参数输入!$B$9*4,(CA133+CA137)*IF(核心参数输入!$B$96=1,核心参数输入!$B$51,核心参数输入!$B$122),0)</f>
        <v>26.846690352131354</v>
      </c>
      <c r="CB150" s="9">
        <f>IF(76&lt;=核心参数输入!$B$9*4,(CB133+CB137)*IF(核心参数输入!$B$96=1,核心参数输入!$B$51,核心参数输入!$B$122),0)</f>
        <v>26.846690352131354</v>
      </c>
      <c r="CC150" s="9">
        <f>IF(77&lt;=核心参数输入!$B$9*4,(CC133+CC137)*IF(核心参数输入!$B$96=1,核心参数输入!$B$51,核心参数输入!$B$122),0)</f>
        <v>27.249390707413323</v>
      </c>
      <c r="CD150" s="9">
        <f>IF(78&lt;=核心参数输入!$B$9*4,(CD133+CD137)*IF(核心参数输入!$B$96=1,核心参数输入!$B$51,核心参数输入!$B$122),0)</f>
        <v>27.249390707413323</v>
      </c>
      <c r="CE150" s="9">
        <f>IF(79&lt;=核心参数输入!$B$9*4,(CE133+CE137)*IF(核心参数输入!$B$96=1,核心参数输入!$B$51,核心参数输入!$B$122),0)</f>
        <v>27.249390707413323</v>
      </c>
      <c r="CF150" s="9">
        <f>IF(80&lt;=核心参数输入!$B$9*4,(CF133+CF137)*IF(核心参数输入!$B$96=1,核心参数输入!$B$51,核心参数输入!$B$122),0)</f>
        <v>27.249390707413323</v>
      </c>
      <c r="CG150" s="9">
        <f>IF(81&lt;=核心参数输入!$B$9*4,(CG133+CG137)*IF(核心参数输入!$B$96=1,核心参数输入!$B$51,核心参数输入!$B$122),0)</f>
        <v>0</v>
      </c>
      <c r="CH150" s="9">
        <f>IF(82&lt;=核心参数输入!$B$9*4,(CH133+CH137)*IF(核心参数输入!$B$96=1,核心参数输入!$B$51,核心参数输入!$B$122),0)</f>
        <v>0</v>
      </c>
      <c r="CI150" s="9">
        <f>IF(83&lt;=核心参数输入!$B$9*4,(CI133+CI137)*IF(核心参数输入!$B$96=1,核心参数输入!$B$51,核心参数输入!$B$122),0)</f>
        <v>0</v>
      </c>
      <c r="CJ150" s="9">
        <f>IF(84&lt;=核心参数输入!$B$9*4,(CJ133+CJ137)*IF(核心参数输入!$B$96=1,核心参数输入!$B$51,核心参数输入!$B$122),0)</f>
        <v>0</v>
      </c>
      <c r="CK150" s="9">
        <f>IF(85&lt;=核心参数输入!$B$9*4,(CK133+CK137)*IF(核心参数输入!$B$96=1,核心参数输入!$B$51,核心参数输入!$B$122),0)</f>
        <v>0</v>
      </c>
      <c r="CL150" s="9">
        <f>IF(86&lt;=核心参数输入!$B$9*4,(CL133+CL137)*IF(核心参数输入!$B$96=1,核心参数输入!$B$51,核心参数输入!$B$122),0)</f>
        <v>0</v>
      </c>
      <c r="CM150" s="9">
        <f>IF(87&lt;=核心参数输入!$B$9*4,(CM133+CM137)*IF(核心参数输入!$B$96=1,核心参数输入!$B$51,核心参数输入!$B$122),0)</f>
        <v>0</v>
      </c>
      <c r="CN150" s="9">
        <f>IF(88&lt;=核心参数输入!$B$9*4,(CN133+CN137)*IF(核心参数输入!$B$96=1,核心参数输入!$B$51,核心参数输入!$B$122),0)</f>
        <v>0</v>
      </c>
      <c r="CO150" s="9">
        <f>IF(89&lt;=核心参数输入!$B$9*4,(CO133+CO137)*IF(核心参数输入!$B$96=1,核心参数输入!$B$51,核心参数输入!$B$122),0)</f>
        <v>0</v>
      </c>
      <c r="CP150" s="9">
        <f>IF(90&lt;=核心参数输入!$B$9*4,(CP133+CP137)*IF(核心参数输入!$B$96=1,核心参数输入!$B$51,核心参数输入!$B$122),0)</f>
        <v>0</v>
      </c>
      <c r="CQ150" s="9">
        <f>IF(91&lt;=核心参数输入!$B$9*4,(CQ133+CQ137)*IF(核心参数输入!$B$96=1,核心参数输入!$B$51,核心参数输入!$B$122),0)</f>
        <v>0</v>
      </c>
      <c r="CR150" s="9">
        <f>IF(92&lt;=核心参数输入!$B$9*4,(CR133+CR137)*IF(核心参数输入!$B$96=1,核心参数输入!$B$51,核心参数输入!$B$122),0)</f>
        <v>0</v>
      </c>
      <c r="CS150" s="9">
        <f>IF(93&lt;=核心参数输入!$B$9*4,(CS133+CS137)*IF(核心参数输入!$B$96=1,核心参数输入!$B$51,核心参数输入!$B$122),0)</f>
        <v>0</v>
      </c>
      <c r="CT150" s="9">
        <f>IF(94&lt;=核心参数输入!$B$9*4,(CT133+CT137)*IF(核心参数输入!$B$96=1,核心参数输入!$B$51,核心参数输入!$B$122),0)</f>
        <v>0</v>
      </c>
      <c r="CU150" s="9">
        <f>IF(95&lt;=核心参数输入!$B$9*4,(CU133+CU137)*IF(核心参数输入!$B$96=1,核心参数输入!$B$51,核心参数输入!$B$122),0)</f>
        <v>0</v>
      </c>
      <c r="CV150" s="9">
        <f>IF(96&lt;=核心参数输入!$B$9*4,(CV133+CV137)*IF(核心参数输入!$B$96=1,核心参数输入!$B$51,核心参数输入!$B$122),0)</f>
        <v>0</v>
      </c>
      <c r="CW150" s="9">
        <f>IF(97&lt;=核心参数输入!$B$9*4,(CW133+CW137)*IF(核心参数输入!$B$96=1,核心参数输入!$B$51,核心参数输入!$B$122),0)</f>
        <v>0</v>
      </c>
      <c r="CX150" s="9">
        <f>IF(98&lt;=核心参数输入!$B$9*4,(CX133+CX137)*IF(核心参数输入!$B$96=1,核心参数输入!$B$51,核心参数输入!$B$122),0)</f>
        <v>0</v>
      </c>
      <c r="CY150" s="9">
        <f>IF(99&lt;=核心参数输入!$B$9*4,(CY133+CY137)*IF(核心参数输入!$B$96=1,核心参数输入!$B$51,核心参数输入!$B$122),0)</f>
        <v>0</v>
      </c>
      <c r="CZ150" s="9">
        <f>IF(100&lt;=核心参数输入!$B$9*4,(CZ133+CZ137)*IF(核心参数输入!$B$96=1,核心参数输入!$B$51,核心参数输入!$B$122),0)</f>
        <v>0</v>
      </c>
      <c r="DA150" s="9">
        <f>IF(101&lt;=核心参数输入!$B$9*4,(DA133+DA137)*IF(核心参数输入!$B$96=1,核心参数输入!$B$51,核心参数输入!$B$122),0)</f>
        <v>0</v>
      </c>
      <c r="DB150" s="9">
        <f>IF(102&lt;=核心参数输入!$B$9*4,(DB133+DB137)*IF(核心参数输入!$B$96=1,核心参数输入!$B$51,核心参数输入!$B$122),0)</f>
        <v>0</v>
      </c>
      <c r="DC150" s="9">
        <f>IF(103&lt;=核心参数输入!$B$9*4,(DC133+DC137)*IF(核心参数输入!$B$96=1,核心参数输入!$B$51,核心参数输入!$B$122),0)</f>
        <v>0</v>
      </c>
      <c r="DD150" s="9">
        <f>IF(104&lt;=核心参数输入!$B$9*4,(DD133+DD137)*IF(核心参数输入!$B$96=1,核心参数输入!$B$51,核心参数输入!$B$122),0)</f>
        <v>0</v>
      </c>
      <c r="DE150" s="9">
        <f>IF(105&lt;=核心参数输入!$B$9*4,(DE133+DE137)*IF(核心参数输入!$B$96=1,核心参数输入!$B$51,核心参数输入!$B$122),0)</f>
        <v>0</v>
      </c>
      <c r="DF150" s="9">
        <f>IF(106&lt;=核心参数输入!$B$9*4,(DF133+DF137)*IF(核心参数输入!$B$96=1,核心参数输入!$B$51,核心参数输入!$B$122),0)</f>
        <v>0</v>
      </c>
      <c r="DG150" s="9">
        <f>IF(107&lt;=核心参数输入!$B$9*4,(DG133+DG137)*IF(核心参数输入!$B$96=1,核心参数输入!$B$51,核心参数输入!$B$122),0)</f>
        <v>0</v>
      </c>
      <c r="DH150" s="9">
        <f>IF(108&lt;=核心参数输入!$B$9*4,(DH133+DH137)*IF(核心参数输入!$B$96=1,核心参数输入!$B$51,核心参数输入!$B$122),0)</f>
        <v>0</v>
      </c>
      <c r="DI150" s="9">
        <f>IF(109&lt;=核心参数输入!$B$9*4,(DI133+DI137)*IF(核心参数输入!$B$96=1,核心参数输入!$B$51,核心参数输入!$B$122),0)</f>
        <v>0</v>
      </c>
      <c r="DJ150" s="9">
        <f>IF(110&lt;=核心参数输入!$B$9*4,(DJ133+DJ137)*IF(核心参数输入!$B$96=1,核心参数输入!$B$51,核心参数输入!$B$122),0)</f>
        <v>0</v>
      </c>
      <c r="DK150" s="9">
        <f>IF(111&lt;=核心参数输入!$B$9*4,(DK133+DK137)*IF(核心参数输入!$B$96=1,核心参数输入!$B$51,核心参数输入!$B$122),0)</f>
        <v>0</v>
      </c>
      <c r="DL150" s="9">
        <f>IF(112&lt;=核心参数输入!$B$9*4,(DL133+DL137)*IF(核心参数输入!$B$96=1,核心参数输入!$B$51,核心参数输入!$B$122),0)</f>
        <v>0</v>
      </c>
      <c r="DM150" s="9">
        <f>IF(113&lt;=核心参数输入!$B$9*4,(DM133+DM137)*IF(核心参数输入!$B$96=1,核心参数输入!$B$51,核心参数输入!$B$122),0)</f>
        <v>0</v>
      </c>
      <c r="DN150" s="9">
        <f>IF(114&lt;=核心参数输入!$B$9*4,(DN133+DN137)*IF(核心参数输入!$B$96=1,核心参数输入!$B$51,核心参数输入!$B$122),0)</f>
        <v>0</v>
      </c>
      <c r="DO150" s="9">
        <f>IF(115&lt;=核心参数输入!$B$9*4,(DO133+DO137)*IF(核心参数输入!$B$96=1,核心参数输入!$B$51,核心参数输入!$B$122),0)</f>
        <v>0</v>
      </c>
      <c r="DP150" s="9">
        <f>IF(116&lt;=核心参数输入!$B$9*4,(DP133+DP137)*IF(核心参数输入!$B$96=1,核心参数输入!$B$51,核心参数输入!$B$122),0)</f>
        <v>0</v>
      </c>
      <c r="DQ150" s="9">
        <f>IF(117&lt;=核心参数输入!$B$9*4,(DQ133+DQ137)*IF(核心参数输入!$B$96=1,核心参数输入!$B$51,核心参数输入!$B$122),0)</f>
        <v>0</v>
      </c>
      <c r="DR150" s="9">
        <f>IF(118&lt;=核心参数输入!$B$9*4,(DR133+DR137)*IF(核心参数输入!$B$96=1,核心参数输入!$B$51,核心参数输入!$B$122),0)</f>
        <v>0</v>
      </c>
      <c r="DS150" s="9">
        <f>IF(119&lt;=核心参数输入!$B$9*4,(DS133+DS137)*IF(核心参数输入!$B$96=1,核心参数输入!$B$51,核心参数输入!$B$122),0)</f>
        <v>0</v>
      </c>
      <c r="DT150" s="9">
        <f>IF(120&lt;=核心参数输入!$B$9*4,(DT133+DT137)*IF(核心参数输入!$B$96=1,核心参数输入!$B$51,核心参数输入!$B$122),0)</f>
        <v>0</v>
      </c>
    </row>
    <row r="151" spans="1:124" ht="21" customHeight="1">
      <c r="A151" s="8" t="s">
        <v>473</v>
      </c>
      <c r="B151" s="8" t="s">
        <v>39</v>
      </c>
      <c r="C151" s="8"/>
      <c r="D151" s="9">
        <f>IF(0&lt;=核心参数输入!$B$9*4,IF(AND(0&gt;(核心参数输入!$B$16*4+(核心参数输入!$B$148+核心参数输入!$B$124)),0&lt;=(核心参数输入!$B$16*4+(核心参数输入!$B$148+核心参数输入!$B$124))+核心参数输入!$B$53*4),季度投融资!$E$23*(1-核心参数输入!$B$54)/核心参数输入!$B$53/4,0),0)</f>
        <v>0</v>
      </c>
      <c r="E151" s="9">
        <f>IF(1&lt;=核心参数输入!$B$9*4,IF(AND(1&gt;(核心参数输入!$B$16*4+(核心参数输入!$B$148+核心参数输入!$B$124)),1&lt;=(核心参数输入!$B$16*4+(核心参数输入!$B$148+核心参数输入!$B$124))+核心参数输入!$B$53*4),季度投融资!$E$23*(1-核心参数输入!$B$54)/核心参数输入!$B$53/4,0),0)</f>
        <v>0</v>
      </c>
      <c r="F151" s="9">
        <f>IF(2&lt;=核心参数输入!$B$9*4,IF(AND(2&gt;(核心参数输入!$B$16*4+(核心参数输入!$B$148+核心参数输入!$B$124)),2&lt;=(核心参数输入!$B$16*4+(核心参数输入!$B$148+核心参数输入!$B$124))+核心参数输入!$B$53*4),季度投融资!$E$23*(1-核心参数输入!$B$54)/核心参数输入!$B$53/4,0),0)</f>
        <v>0</v>
      </c>
      <c r="G151" s="9">
        <f>IF(3&lt;=核心参数输入!$B$9*4,IF(AND(3&gt;(核心参数输入!$B$16*4+(核心参数输入!$B$148+核心参数输入!$B$124)),3&lt;=(核心参数输入!$B$16*4+(核心参数输入!$B$148+核心参数输入!$B$124))+核心参数输入!$B$53*4),季度投融资!$E$23*(1-核心参数输入!$B$54)/核心参数输入!$B$53/4,0),0)</f>
        <v>0</v>
      </c>
      <c r="H151" s="9">
        <f>IF(4&lt;=核心参数输入!$B$9*4,IF(AND(4&gt;(核心参数输入!$B$16*4+(核心参数输入!$B$148+核心参数输入!$B$124)),4&lt;=(核心参数输入!$B$16*4+(核心参数输入!$B$148+核心参数输入!$B$124))+核心参数输入!$B$53*4),季度投融资!$E$23*(1-核心参数输入!$B$54)/核心参数输入!$B$53/4,0),0)</f>
        <v>0</v>
      </c>
      <c r="I151" s="9">
        <f>IF(5&lt;=核心参数输入!$B$9*4,IF(AND(5&gt;(核心参数输入!$B$16*4+(核心参数输入!$B$148+核心参数输入!$B$124)),5&lt;=(核心参数输入!$B$16*4+(核心参数输入!$B$148+核心参数输入!$B$124))+核心参数输入!$B$53*4),季度投融资!$E$23*(1-核心参数输入!$B$54)/核心参数输入!$B$53/4,0),0)</f>
        <v>0</v>
      </c>
      <c r="J151" s="9">
        <f>IF(6&lt;=核心参数输入!$B$9*4,IF(AND(6&gt;(核心参数输入!$B$16*4+(核心参数输入!$B$148+核心参数输入!$B$124)),6&lt;=(核心参数输入!$B$16*4+(核心参数输入!$B$148+核心参数输入!$B$124))+核心参数输入!$B$53*4),季度投融资!$E$23*(1-核心参数输入!$B$54)/核心参数输入!$B$53/4,0),0)</f>
        <v>0</v>
      </c>
      <c r="K151" s="9">
        <f>IF(7&lt;=核心参数输入!$B$9*4,IF(AND(7&gt;(核心参数输入!$B$16*4+(核心参数输入!$B$148+核心参数输入!$B$124)),7&lt;=(核心参数输入!$B$16*4+(核心参数输入!$B$148+核心参数输入!$B$124))+核心参数输入!$B$53*4),季度投融资!$E$23*(1-核心参数输入!$B$54)/核心参数输入!$B$53/4,0),0)</f>
        <v>0</v>
      </c>
      <c r="L151" s="9">
        <f>IF(8&lt;=核心参数输入!$B$9*4,IF(AND(8&gt;(核心参数输入!$B$16*4+(核心参数输入!$B$148+核心参数输入!$B$124)),8&lt;=(核心参数输入!$B$16*4+(核心参数输入!$B$148+核心参数输入!$B$124))+核心参数输入!$B$53*4),季度投融资!$E$23*(1-核心参数输入!$B$54)/核心参数输入!$B$53/4,0),0)</f>
        <v>0</v>
      </c>
      <c r="M151" s="9">
        <f>IF(9&lt;=核心参数输入!$B$9*4,IF(AND(9&gt;(核心参数输入!$B$16*4+(核心参数输入!$B$148+核心参数输入!$B$124)),9&lt;=(核心参数输入!$B$16*4+(核心参数输入!$B$148+核心参数输入!$B$124))+核心参数输入!$B$53*4),季度投融资!$E$23*(1-核心参数输入!$B$54)/核心参数输入!$B$53/4,0),0)</f>
        <v>0</v>
      </c>
      <c r="N151" s="9">
        <f>IF(10&lt;=核心参数输入!$B$9*4,IF(AND(10&gt;(核心参数输入!$B$16*4+(核心参数输入!$B$148+核心参数输入!$B$124)),10&lt;=(核心参数输入!$B$16*4+(核心参数输入!$B$148+核心参数输入!$B$124))+核心参数输入!$B$53*4),季度投融资!$E$23*(1-核心参数输入!$B$54)/核心参数输入!$B$53/4,0),0)</f>
        <v>0</v>
      </c>
      <c r="O151" s="9">
        <f>IF(11&lt;=核心参数输入!$B$9*4,IF(AND(11&gt;(核心参数输入!$B$16*4+(核心参数输入!$B$148+核心参数输入!$B$124)),11&lt;=(核心参数输入!$B$16*4+(核心参数输入!$B$148+核心参数输入!$B$124))+核心参数输入!$B$53*4),季度投融资!$E$23*(1-核心参数输入!$B$54)/核心参数输入!$B$53/4,0),0)</f>
        <v>0</v>
      </c>
      <c r="P151" s="9">
        <f>IF(12&lt;=核心参数输入!$B$9*4,IF(AND(12&gt;(核心参数输入!$B$16*4+(核心参数输入!$B$148+核心参数输入!$B$124)),12&lt;=(核心参数输入!$B$16*4+(核心参数输入!$B$148+核心参数输入!$B$124))+核心参数输入!$B$53*4),季度投融资!$E$23*(1-核心参数输入!$B$54)/核心参数输入!$B$53/4,0),0)</f>
        <v>0</v>
      </c>
      <c r="Q151" s="9">
        <f>IF(13&lt;=核心参数输入!$B$9*4,IF(AND(13&gt;(核心参数输入!$B$16*4+(核心参数输入!$B$148+核心参数输入!$B$124)),13&lt;=(核心参数输入!$B$16*4+(核心参数输入!$B$148+核心参数输入!$B$124))+核心参数输入!$B$53*4),季度投融资!$E$23*(1-核心参数输入!$B$54)/核心参数输入!$B$53/4,0),0)</f>
        <v>207.38024999999999</v>
      </c>
      <c r="R151" s="9">
        <f>IF(14&lt;=核心参数输入!$B$9*4,IF(AND(14&gt;(核心参数输入!$B$16*4+(核心参数输入!$B$148+核心参数输入!$B$124)),14&lt;=(核心参数输入!$B$16*4+(核心参数输入!$B$148+核心参数输入!$B$124))+核心参数输入!$B$53*4),季度投融资!$E$23*(1-核心参数输入!$B$54)/核心参数输入!$B$53/4,0),0)</f>
        <v>207.38024999999999</v>
      </c>
      <c r="S151" s="9">
        <f>IF(15&lt;=核心参数输入!$B$9*4,IF(AND(15&gt;(核心参数输入!$B$16*4+(核心参数输入!$B$148+核心参数输入!$B$124)),15&lt;=(核心参数输入!$B$16*4+(核心参数输入!$B$148+核心参数输入!$B$124))+核心参数输入!$B$53*4),季度投融资!$E$23*(1-核心参数输入!$B$54)/核心参数输入!$B$53/4,0),0)</f>
        <v>207.38024999999999</v>
      </c>
      <c r="T151" s="9">
        <f>IF(16&lt;=核心参数输入!$B$9*4,IF(AND(16&gt;(核心参数输入!$B$16*4+(核心参数输入!$B$148+核心参数输入!$B$124)),16&lt;=(核心参数输入!$B$16*4+(核心参数输入!$B$148+核心参数输入!$B$124))+核心参数输入!$B$53*4),季度投融资!$E$23*(1-核心参数输入!$B$54)/核心参数输入!$B$53/4,0),0)</f>
        <v>207.38024999999999</v>
      </c>
      <c r="U151" s="9">
        <f>IF(17&lt;=核心参数输入!$B$9*4,IF(AND(17&gt;(核心参数输入!$B$16*4+(核心参数输入!$B$148+核心参数输入!$B$124)),17&lt;=(核心参数输入!$B$16*4+(核心参数输入!$B$148+核心参数输入!$B$124))+核心参数输入!$B$53*4),季度投融资!$E$23*(1-核心参数输入!$B$54)/核心参数输入!$B$53/4,0),0)</f>
        <v>207.38024999999999</v>
      </c>
      <c r="V151" s="9">
        <f>IF(18&lt;=核心参数输入!$B$9*4,IF(AND(18&gt;(核心参数输入!$B$16*4+(核心参数输入!$B$148+核心参数输入!$B$124)),18&lt;=(核心参数输入!$B$16*4+(核心参数输入!$B$148+核心参数输入!$B$124))+核心参数输入!$B$53*4),季度投融资!$E$23*(1-核心参数输入!$B$54)/核心参数输入!$B$53/4,0),0)</f>
        <v>207.38024999999999</v>
      </c>
      <c r="W151" s="9">
        <f>IF(19&lt;=核心参数输入!$B$9*4,IF(AND(19&gt;(核心参数输入!$B$16*4+(核心参数输入!$B$148+核心参数输入!$B$124)),19&lt;=(核心参数输入!$B$16*4+(核心参数输入!$B$148+核心参数输入!$B$124))+核心参数输入!$B$53*4),季度投融资!$E$23*(1-核心参数输入!$B$54)/核心参数输入!$B$53/4,0),0)</f>
        <v>207.38024999999999</v>
      </c>
      <c r="X151" s="9">
        <f>IF(20&lt;=核心参数输入!$B$9*4,IF(AND(20&gt;(核心参数输入!$B$16*4+(核心参数输入!$B$148+核心参数输入!$B$124)),20&lt;=(核心参数输入!$B$16*4+(核心参数输入!$B$148+核心参数输入!$B$124))+核心参数输入!$B$53*4),季度投融资!$E$23*(1-核心参数输入!$B$54)/核心参数输入!$B$53/4,0),0)</f>
        <v>207.38024999999999</v>
      </c>
      <c r="Y151" s="9">
        <f>IF(21&lt;=核心参数输入!$B$9*4,IF(AND(21&gt;(核心参数输入!$B$16*4+(核心参数输入!$B$148+核心参数输入!$B$124)),21&lt;=(核心参数输入!$B$16*4+(核心参数输入!$B$148+核心参数输入!$B$124))+核心参数输入!$B$53*4),季度投融资!$E$23*(1-核心参数输入!$B$54)/核心参数输入!$B$53/4,0),0)</f>
        <v>207.38024999999999</v>
      </c>
      <c r="Z151" s="9">
        <f>IF(22&lt;=核心参数输入!$B$9*4,IF(AND(22&gt;(核心参数输入!$B$16*4+(核心参数输入!$B$148+核心参数输入!$B$124)),22&lt;=(核心参数输入!$B$16*4+(核心参数输入!$B$148+核心参数输入!$B$124))+核心参数输入!$B$53*4),季度投融资!$E$23*(1-核心参数输入!$B$54)/核心参数输入!$B$53/4,0),0)</f>
        <v>207.38024999999999</v>
      </c>
      <c r="AA151" s="9">
        <f>IF(23&lt;=核心参数输入!$B$9*4,IF(AND(23&gt;(核心参数输入!$B$16*4+(核心参数输入!$B$148+核心参数输入!$B$124)),23&lt;=(核心参数输入!$B$16*4+(核心参数输入!$B$148+核心参数输入!$B$124))+核心参数输入!$B$53*4),季度投融资!$E$23*(1-核心参数输入!$B$54)/核心参数输入!$B$53/4,0),0)</f>
        <v>207.38024999999999</v>
      </c>
      <c r="AB151" s="9">
        <f>IF(24&lt;=核心参数输入!$B$9*4,IF(AND(24&gt;(核心参数输入!$B$16*4+(核心参数输入!$B$148+核心参数输入!$B$124)),24&lt;=(核心参数输入!$B$16*4+(核心参数输入!$B$148+核心参数输入!$B$124))+核心参数输入!$B$53*4),季度投融资!$E$23*(1-核心参数输入!$B$54)/核心参数输入!$B$53/4,0),0)</f>
        <v>207.38024999999999</v>
      </c>
      <c r="AC151" s="9">
        <f>IF(25&lt;=核心参数输入!$B$9*4,IF(AND(25&gt;(核心参数输入!$B$16*4+(核心参数输入!$B$148+核心参数输入!$B$124)),25&lt;=(核心参数输入!$B$16*4+(核心参数输入!$B$148+核心参数输入!$B$124))+核心参数输入!$B$53*4),季度投融资!$E$23*(1-核心参数输入!$B$54)/核心参数输入!$B$53/4,0),0)</f>
        <v>207.38024999999999</v>
      </c>
      <c r="AD151" s="9">
        <f>IF(26&lt;=核心参数输入!$B$9*4,IF(AND(26&gt;(核心参数输入!$B$16*4+(核心参数输入!$B$148+核心参数输入!$B$124)),26&lt;=(核心参数输入!$B$16*4+(核心参数输入!$B$148+核心参数输入!$B$124))+核心参数输入!$B$53*4),季度投融资!$E$23*(1-核心参数输入!$B$54)/核心参数输入!$B$53/4,0),0)</f>
        <v>207.38024999999999</v>
      </c>
      <c r="AE151" s="9">
        <f>IF(27&lt;=核心参数输入!$B$9*4,IF(AND(27&gt;(核心参数输入!$B$16*4+(核心参数输入!$B$148+核心参数输入!$B$124)),27&lt;=(核心参数输入!$B$16*4+(核心参数输入!$B$148+核心参数输入!$B$124))+核心参数输入!$B$53*4),季度投融资!$E$23*(1-核心参数输入!$B$54)/核心参数输入!$B$53/4,0),0)</f>
        <v>207.38024999999999</v>
      </c>
      <c r="AF151" s="9">
        <f>IF(28&lt;=核心参数输入!$B$9*4,IF(AND(28&gt;(核心参数输入!$B$16*4+(核心参数输入!$B$148+核心参数输入!$B$124)),28&lt;=(核心参数输入!$B$16*4+(核心参数输入!$B$148+核心参数输入!$B$124))+核心参数输入!$B$53*4),季度投融资!$E$23*(1-核心参数输入!$B$54)/核心参数输入!$B$53/4,0),0)</f>
        <v>207.38024999999999</v>
      </c>
      <c r="AG151" s="9">
        <f>IF(29&lt;=核心参数输入!$B$9*4,IF(AND(29&gt;(核心参数输入!$B$16*4+(核心参数输入!$B$148+核心参数输入!$B$124)),29&lt;=(核心参数输入!$B$16*4+(核心参数输入!$B$148+核心参数输入!$B$124))+核心参数输入!$B$53*4),季度投融资!$E$23*(1-核心参数输入!$B$54)/核心参数输入!$B$53/4,0),0)</f>
        <v>207.38024999999999</v>
      </c>
      <c r="AH151" s="9">
        <f>IF(30&lt;=核心参数输入!$B$9*4,IF(AND(30&gt;(核心参数输入!$B$16*4+(核心参数输入!$B$148+核心参数输入!$B$124)),30&lt;=(核心参数输入!$B$16*4+(核心参数输入!$B$148+核心参数输入!$B$124))+核心参数输入!$B$53*4),季度投融资!$E$23*(1-核心参数输入!$B$54)/核心参数输入!$B$53/4,0),0)</f>
        <v>207.38024999999999</v>
      </c>
      <c r="AI151" s="9">
        <f>IF(31&lt;=核心参数输入!$B$9*4,IF(AND(31&gt;(核心参数输入!$B$16*4+(核心参数输入!$B$148+核心参数输入!$B$124)),31&lt;=(核心参数输入!$B$16*4+(核心参数输入!$B$148+核心参数输入!$B$124))+核心参数输入!$B$53*4),季度投融资!$E$23*(1-核心参数输入!$B$54)/核心参数输入!$B$53/4,0),0)</f>
        <v>207.38024999999999</v>
      </c>
      <c r="AJ151" s="9">
        <f>IF(32&lt;=核心参数输入!$B$9*4,IF(AND(32&gt;(核心参数输入!$B$16*4+(核心参数输入!$B$148+核心参数输入!$B$124)),32&lt;=(核心参数输入!$B$16*4+(核心参数输入!$B$148+核心参数输入!$B$124))+核心参数输入!$B$53*4),季度投融资!$E$23*(1-核心参数输入!$B$54)/核心参数输入!$B$53/4,0),0)</f>
        <v>207.38024999999999</v>
      </c>
      <c r="AK151" s="9">
        <f>IF(33&lt;=核心参数输入!$B$9*4,IF(AND(33&gt;(核心参数输入!$B$16*4+(核心参数输入!$B$148+核心参数输入!$B$124)),33&lt;=(核心参数输入!$B$16*4+(核心参数输入!$B$148+核心参数输入!$B$124))+核心参数输入!$B$53*4),季度投融资!$E$23*(1-核心参数输入!$B$54)/核心参数输入!$B$53/4,0),0)</f>
        <v>207.38024999999999</v>
      </c>
      <c r="AL151" s="9">
        <f>IF(34&lt;=核心参数输入!$B$9*4,IF(AND(34&gt;(核心参数输入!$B$16*4+(核心参数输入!$B$148+核心参数输入!$B$124)),34&lt;=(核心参数输入!$B$16*4+(核心参数输入!$B$148+核心参数输入!$B$124))+核心参数输入!$B$53*4),季度投融资!$E$23*(1-核心参数输入!$B$54)/核心参数输入!$B$53/4,0),0)</f>
        <v>207.38024999999999</v>
      </c>
      <c r="AM151" s="9">
        <f>IF(35&lt;=核心参数输入!$B$9*4,IF(AND(35&gt;(核心参数输入!$B$16*4+(核心参数输入!$B$148+核心参数输入!$B$124)),35&lt;=(核心参数输入!$B$16*4+(核心参数输入!$B$148+核心参数输入!$B$124))+核心参数输入!$B$53*4),季度投融资!$E$23*(1-核心参数输入!$B$54)/核心参数输入!$B$53/4,0),0)</f>
        <v>207.38024999999999</v>
      </c>
      <c r="AN151" s="9">
        <f>IF(36&lt;=核心参数输入!$B$9*4,IF(AND(36&gt;(核心参数输入!$B$16*4+(核心参数输入!$B$148+核心参数输入!$B$124)),36&lt;=(核心参数输入!$B$16*4+(核心参数输入!$B$148+核心参数输入!$B$124))+核心参数输入!$B$53*4),季度投融资!$E$23*(1-核心参数输入!$B$54)/核心参数输入!$B$53/4,0),0)</f>
        <v>207.38024999999999</v>
      </c>
      <c r="AO151" s="9">
        <f>IF(37&lt;=核心参数输入!$B$9*4,IF(AND(37&gt;(核心参数输入!$B$16*4+(核心参数输入!$B$148+核心参数输入!$B$124)),37&lt;=(核心参数输入!$B$16*4+(核心参数输入!$B$148+核心参数输入!$B$124))+核心参数输入!$B$53*4),季度投融资!$E$23*(1-核心参数输入!$B$54)/核心参数输入!$B$53/4,0),0)</f>
        <v>207.38024999999999</v>
      </c>
      <c r="AP151" s="9">
        <f>IF(38&lt;=核心参数输入!$B$9*4,IF(AND(38&gt;(核心参数输入!$B$16*4+(核心参数输入!$B$148+核心参数输入!$B$124)),38&lt;=(核心参数输入!$B$16*4+(核心参数输入!$B$148+核心参数输入!$B$124))+核心参数输入!$B$53*4),季度投融资!$E$23*(1-核心参数输入!$B$54)/核心参数输入!$B$53/4,0),0)</f>
        <v>207.38024999999999</v>
      </c>
      <c r="AQ151" s="9">
        <f>IF(39&lt;=核心参数输入!$B$9*4,IF(AND(39&gt;(核心参数输入!$B$16*4+(核心参数输入!$B$148+核心参数输入!$B$124)),39&lt;=(核心参数输入!$B$16*4+(核心参数输入!$B$148+核心参数输入!$B$124))+核心参数输入!$B$53*4),季度投融资!$E$23*(1-核心参数输入!$B$54)/核心参数输入!$B$53/4,0),0)</f>
        <v>207.38024999999999</v>
      </c>
      <c r="AR151" s="9">
        <f>IF(40&lt;=核心参数输入!$B$9*4,IF(AND(40&gt;(核心参数输入!$B$16*4+(核心参数输入!$B$148+核心参数输入!$B$124)),40&lt;=(核心参数输入!$B$16*4+(核心参数输入!$B$148+核心参数输入!$B$124))+核心参数输入!$B$53*4),季度投融资!$E$23*(1-核心参数输入!$B$54)/核心参数输入!$B$53/4,0),0)</f>
        <v>207.38024999999999</v>
      </c>
      <c r="AS151" s="9">
        <f>IF(41&lt;=核心参数输入!$B$9*4,IF(AND(41&gt;(核心参数输入!$B$16*4+(核心参数输入!$B$148+核心参数输入!$B$124)),41&lt;=(核心参数输入!$B$16*4+(核心参数输入!$B$148+核心参数输入!$B$124))+核心参数输入!$B$53*4),季度投融资!$E$23*(1-核心参数输入!$B$54)/核心参数输入!$B$53/4,0),0)</f>
        <v>207.38024999999999</v>
      </c>
      <c r="AT151" s="9">
        <f>IF(42&lt;=核心参数输入!$B$9*4,IF(AND(42&gt;(核心参数输入!$B$16*4+(核心参数输入!$B$148+核心参数输入!$B$124)),42&lt;=(核心参数输入!$B$16*4+(核心参数输入!$B$148+核心参数输入!$B$124))+核心参数输入!$B$53*4),季度投融资!$E$23*(1-核心参数输入!$B$54)/核心参数输入!$B$53/4,0),0)</f>
        <v>207.38024999999999</v>
      </c>
      <c r="AU151" s="9">
        <f>IF(43&lt;=核心参数输入!$B$9*4,IF(AND(43&gt;(核心参数输入!$B$16*4+(核心参数输入!$B$148+核心参数输入!$B$124)),43&lt;=(核心参数输入!$B$16*4+(核心参数输入!$B$148+核心参数输入!$B$124))+核心参数输入!$B$53*4),季度投融资!$E$23*(1-核心参数输入!$B$54)/核心参数输入!$B$53/4,0),0)</f>
        <v>207.38024999999999</v>
      </c>
      <c r="AV151" s="9">
        <f>IF(44&lt;=核心参数输入!$B$9*4,IF(AND(44&gt;(核心参数输入!$B$16*4+(核心参数输入!$B$148+核心参数输入!$B$124)),44&lt;=(核心参数输入!$B$16*4+(核心参数输入!$B$148+核心参数输入!$B$124))+核心参数输入!$B$53*4),季度投融资!$E$23*(1-核心参数输入!$B$54)/核心参数输入!$B$53/4,0),0)</f>
        <v>207.38024999999999</v>
      </c>
      <c r="AW151" s="9">
        <f>IF(45&lt;=核心参数输入!$B$9*4,IF(AND(45&gt;(核心参数输入!$B$16*4+(核心参数输入!$B$148+核心参数输入!$B$124)),45&lt;=(核心参数输入!$B$16*4+(核心参数输入!$B$148+核心参数输入!$B$124))+核心参数输入!$B$53*4),季度投融资!$E$23*(1-核心参数输入!$B$54)/核心参数输入!$B$53/4,0),0)</f>
        <v>207.38024999999999</v>
      </c>
      <c r="AX151" s="9">
        <f>IF(46&lt;=核心参数输入!$B$9*4,IF(AND(46&gt;(核心参数输入!$B$16*4+(核心参数输入!$B$148+核心参数输入!$B$124)),46&lt;=(核心参数输入!$B$16*4+(核心参数输入!$B$148+核心参数输入!$B$124))+核心参数输入!$B$53*4),季度投融资!$E$23*(1-核心参数输入!$B$54)/核心参数输入!$B$53/4,0),0)</f>
        <v>207.38024999999999</v>
      </c>
      <c r="AY151" s="9">
        <f>IF(47&lt;=核心参数输入!$B$9*4,IF(AND(47&gt;(核心参数输入!$B$16*4+(核心参数输入!$B$148+核心参数输入!$B$124)),47&lt;=(核心参数输入!$B$16*4+(核心参数输入!$B$148+核心参数输入!$B$124))+核心参数输入!$B$53*4),季度投融资!$E$23*(1-核心参数输入!$B$54)/核心参数输入!$B$53/4,0),0)</f>
        <v>207.38024999999999</v>
      </c>
      <c r="AZ151" s="9">
        <f>IF(48&lt;=核心参数输入!$B$9*4,IF(AND(48&gt;(核心参数输入!$B$16*4+(核心参数输入!$B$148+核心参数输入!$B$124)),48&lt;=(核心参数输入!$B$16*4+(核心参数输入!$B$148+核心参数输入!$B$124))+核心参数输入!$B$53*4),季度投融资!$E$23*(1-核心参数输入!$B$54)/核心参数输入!$B$53/4,0),0)</f>
        <v>207.38024999999999</v>
      </c>
      <c r="BA151" s="9">
        <f>IF(49&lt;=核心参数输入!$B$9*4,IF(AND(49&gt;(核心参数输入!$B$16*4+(核心参数输入!$B$148+核心参数输入!$B$124)),49&lt;=(核心参数输入!$B$16*4+(核心参数输入!$B$148+核心参数输入!$B$124))+核心参数输入!$B$53*4),季度投融资!$E$23*(1-核心参数输入!$B$54)/核心参数输入!$B$53/4,0),0)</f>
        <v>207.38024999999999</v>
      </c>
      <c r="BB151" s="9">
        <f>IF(50&lt;=核心参数输入!$B$9*4,IF(AND(50&gt;(核心参数输入!$B$16*4+(核心参数输入!$B$148+核心参数输入!$B$124)),50&lt;=(核心参数输入!$B$16*4+(核心参数输入!$B$148+核心参数输入!$B$124))+核心参数输入!$B$53*4),季度投融资!$E$23*(1-核心参数输入!$B$54)/核心参数输入!$B$53/4,0),0)</f>
        <v>207.38024999999999</v>
      </c>
      <c r="BC151" s="9">
        <f>IF(51&lt;=核心参数输入!$B$9*4,IF(AND(51&gt;(核心参数输入!$B$16*4+(核心参数输入!$B$148+核心参数输入!$B$124)),51&lt;=(核心参数输入!$B$16*4+(核心参数输入!$B$148+核心参数输入!$B$124))+核心参数输入!$B$53*4),季度投融资!$E$23*(1-核心参数输入!$B$54)/核心参数输入!$B$53/4,0),0)</f>
        <v>207.38024999999999</v>
      </c>
      <c r="BD151" s="9">
        <f>IF(52&lt;=核心参数输入!$B$9*4,IF(AND(52&gt;(核心参数输入!$B$16*4+(核心参数输入!$B$148+核心参数输入!$B$124)),52&lt;=(核心参数输入!$B$16*4+(核心参数输入!$B$148+核心参数输入!$B$124))+核心参数输入!$B$53*4),季度投融资!$E$23*(1-核心参数输入!$B$54)/核心参数输入!$B$53/4,0),0)</f>
        <v>207.38024999999999</v>
      </c>
      <c r="BE151" s="9">
        <f>IF(53&lt;=核心参数输入!$B$9*4,IF(AND(53&gt;(核心参数输入!$B$16*4+(核心参数输入!$B$148+核心参数输入!$B$124)),53&lt;=(核心参数输入!$B$16*4+(核心参数输入!$B$148+核心参数输入!$B$124))+核心参数输入!$B$53*4),季度投融资!$E$23*(1-核心参数输入!$B$54)/核心参数输入!$B$53/4,0),0)</f>
        <v>207.38024999999999</v>
      </c>
      <c r="BF151" s="9">
        <f>IF(54&lt;=核心参数输入!$B$9*4,IF(AND(54&gt;(核心参数输入!$B$16*4+(核心参数输入!$B$148+核心参数输入!$B$124)),54&lt;=(核心参数输入!$B$16*4+(核心参数输入!$B$148+核心参数输入!$B$124))+核心参数输入!$B$53*4),季度投融资!$E$23*(1-核心参数输入!$B$54)/核心参数输入!$B$53/4,0),0)</f>
        <v>207.38024999999999</v>
      </c>
      <c r="BG151" s="9">
        <f>IF(55&lt;=核心参数输入!$B$9*4,IF(AND(55&gt;(核心参数输入!$B$16*4+(核心参数输入!$B$148+核心参数输入!$B$124)),55&lt;=(核心参数输入!$B$16*4+(核心参数输入!$B$148+核心参数输入!$B$124))+核心参数输入!$B$53*4),季度投融资!$E$23*(1-核心参数输入!$B$54)/核心参数输入!$B$53/4,0),0)</f>
        <v>207.38024999999999</v>
      </c>
      <c r="BH151" s="9">
        <f>IF(56&lt;=核心参数输入!$B$9*4,IF(AND(56&gt;(核心参数输入!$B$16*4+(核心参数输入!$B$148+核心参数输入!$B$124)),56&lt;=(核心参数输入!$B$16*4+(核心参数输入!$B$148+核心参数输入!$B$124))+核心参数输入!$B$53*4),季度投融资!$E$23*(1-核心参数输入!$B$54)/核心参数输入!$B$53/4,0),0)</f>
        <v>207.38024999999999</v>
      </c>
      <c r="BI151" s="9">
        <f>IF(57&lt;=核心参数输入!$B$9*4,IF(AND(57&gt;(核心参数输入!$B$16*4+(核心参数输入!$B$148+核心参数输入!$B$124)),57&lt;=(核心参数输入!$B$16*4+(核心参数输入!$B$148+核心参数输入!$B$124))+核心参数输入!$B$53*4),季度投融资!$E$23*(1-核心参数输入!$B$54)/核心参数输入!$B$53/4,0),0)</f>
        <v>207.38024999999999</v>
      </c>
      <c r="BJ151" s="9">
        <f>IF(58&lt;=核心参数输入!$B$9*4,IF(AND(58&gt;(核心参数输入!$B$16*4+(核心参数输入!$B$148+核心参数输入!$B$124)),58&lt;=(核心参数输入!$B$16*4+(核心参数输入!$B$148+核心参数输入!$B$124))+核心参数输入!$B$53*4),季度投融资!$E$23*(1-核心参数输入!$B$54)/核心参数输入!$B$53/4,0),0)</f>
        <v>207.38024999999999</v>
      </c>
      <c r="BK151" s="9">
        <f>IF(59&lt;=核心参数输入!$B$9*4,IF(AND(59&gt;(核心参数输入!$B$16*4+(核心参数输入!$B$148+核心参数输入!$B$124)),59&lt;=(核心参数输入!$B$16*4+(核心参数输入!$B$148+核心参数输入!$B$124))+核心参数输入!$B$53*4),季度投融资!$E$23*(1-核心参数输入!$B$54)/核心参数输入!$B$53/4,0),0)</f>
        <v>207.38024999999999</v>
      </c>
      <c r="BL151" s="9">
        <f>IF(60&lt;=核心参数输入!$B$9*4,IF(AND(60&gt;(核心参数输入!$B$16*4+(核心参数输入!$B$148+核心参数输入!$B$124)),60&lt;=(核心参数输入!$B$16*4+(核心参数输入!$B$148+核心参数输入!$B$124))+核心参数输入!$B$53*4),季度投融资!$E$23*(1-核心参数输入!$B$54)/核心参数输入!$B$53/4,0),0)</f>
        <v>207.38024999999999</v>
      </c>
      <c r="BM151" s="9">
        <f>IF(61&lt;=核心参数输入!$B$9*4,IF(AND(61&gt;(核心参数输入!$B$16*4+(核心参数输入!$B$148+核心参数输入!$B$124)),61&lt;=(核心参数输入!$B$16*4+(核心参数输入!$B$148+核心参数输入!$B$124))+核心参数输入!$B$53*4),季度投融资!$E$23*(1-核心参数输入!$B$54)/核心参数输入!$B$53/4,0),0)</f>
        <v>207.38024999999999</v>
      </c>
      <c r="BN151" s="9">
        <f>IF(62&lt;=核心参数输入!$B$9*4,IF(AND(62&gt;(核心参数输入!$B$16*4+(核心参数输入!$B$148+核心参数输入!$B$124)),62&lt;=(核心参数输入!$B$16*4+(核心参数输入!$B$148+核心参数输入!$B$124))+核心参数输入!$B$53*4),季度投融资!$E$23*(1-核心参数输入!$B$54)/核心参数输入!$B$53/4,0),0)</f>
        <v>207.38024999999999</v>
      </c>
      <c r="BO151" s="9">
        <f>IF(63&lt;=核心参数输入!$B$9*4,IF(AND(63&gt;(核心参数输入!$B$16*4+(核心参数输入!$B$148+核心参数输入!$B$124)),63&lt;=(核心参数输入!$B$16*4+(核心参数输入!$B$148+核心参数输入!$B$124))+核心参数输入!$B$53*4),季度投融资!$E$23*(1-核心参数输入!$B$54)/核心参数输入!$B$53/4,0),0)</f>
        <v>207.38024999999999</v>
      </c>
      <c r="BP151" s="9">
        <f>IF(64&lt;=核心参数输入!$B$9*4,IF(AND(64&gt;(核心参数输入!$B$16*4+(核心参数输入!$B$148+核心参数输入!$B$124)),64&lt;=(核心参数输入!$B$16*4+(核心参数输入!$B$148+核心参数输入!$B$124))+核心参数输入!$B$53*4),季度投融资!$E$23*(1-核心参数输入!$B$54)/核心参数输入!$B$53/4,0),0)</f>
        <v>207.38024999999999</v>
      </c>
      <c r="BQ151" s="9">
        <f>IF(65&lt;=核心参数输入!$B$9*4,IF(AND(65&gt;(核心参数输入!$B$16*4+(核心参数输入!$B$148+核心参数输入!$B$124)),65&lt;=(核心参数输入!$B$16*4+(核心参数输入!$B$148+核心参数输入!$B$124))+核心参数输入!$B$53*4),季度投融资!$E$23*(1-核心参数输入!$B$54)/核心参数输入!$B$53/4,0),0)</f>
        <v>207.38024999999999</v>
      </c>
      <c r="BR151" s="9">
        <f>IF(66&lt;=核心参数输入!$B$9*4,IF(AND(66&gt;(核心参数输入!$B$16*4+(核心参数输入!$B$148+核心参数输入!$B$124)),66&lt;=(核心参数输入!$B$16*4+(核心参数输入!$B$148+核心参数输入!$B$124))+核心参数输入!$B$53*4),季度投融资!$E$23*(1-核心参数输入!$B$54)/核心参数输入!$B$53/4,0),0)</f>
        <v>207.38024999999999</v>
      </c>
      <c r="BS151" s="9">
        <f>IF(67&lt;=核心参数输入!$B$9*4,IF(AND(67&gt;(核心参数输入!$B$16*4+(核心参数输入!$B$148+核心参数输入!$B$124)),67&lt;=(核心参数输入!$B$16*4+(核心参数输入!$B$148+核心参数输入!$B$124))+核心参数输入!$B$53*4),季度投融资!$E$23*(1-核心参数输入!$B$54)/核心参数输入!$B$53/4,0),0)</f>
        <v>207.38024999999999</v>
      </c>
      <c r="BT151" s="9">
        <f>IF(68&lt;=核心参数输入!$B$9*4,IF(AND(68&gt;(核心参数输入!$B$16*4+(核心参数输入!$B$148+核心参数输入!$B$124)),68&lt;=(核心参数输入!$B$16*4+(核心参数输入!$B$148+核心参数输入!$B$124))+核心参数输入!$B$53*4),季度投融资!$E$23*(1-核心参数输入!$B$54)/核心参数输入!$B$53/4,0),0)</f>
        <v>207.38024999999999</v>
      </c>
      <c r="BU151" s="9">
        <f>IF(69&lt;=核心参数输入!$B$9*4,IF(AND(69&gt;(核心参数输入!$B$16*4+(核心参数输入!$B$148+核心参数输入!$B$124)),69&lt;=(核心参数输入!$B$16*4+(核心参数输入!$B$148+核心参数输入!$B$124))+核心参数输入!$B$53*4),季度投融资!$E$23*(1-核心参数输入!$B$54)/核心参数输入!$B$53/4,0),0)</f>
        <v>207.38024999999999</v>
      </c>
      <c r="BV151" s="9">
        <f>IF(70&lt;=核心参数输入!$B$9*4,IF(AND(70&gt;(核心参数输入!$B$16*4+(核心参数输入!$B$148+核心参数输入!$B$124)),70&lt;=(核心参数输入!$B$16*4+(核心参数输入!$B$148+核心参数输入!$B$124))+核心参数输入!$B$53*4),季度投融资!$E$23*(1-核心参数输入!$B$54)/核心参数输入!$B$53/4,0),0)</f>
        <v>207.38024999999999</v>
      </c>
      <c r="BW151" s="9">
        <f>IF(71&lt;=核心参数输入!$B$9*4,IF(AND(71&gt;(核心参数输入!$B$16*4+(核心参数输入!$B$148+核心参数输入!$B$124)),71&lt;=(核心参数输入!$B$16*4+(核心参数输入!$B$148+核心参数输入!$B$124))+核心参数输入!$B$53*4),季度投融资!$E$23*(1-核心参数输入!$B$54)/核心参数输入!$B$53/4,0),0)</f>
        <v>207.38024999999999</v>
      </c>
      <c r="BX151" s="9">
        <f>IF(72&lt;=核心参数输入!$B$9*4,IF(AND(72&gt;(核心参数输入!$B$16*4+(核心参数输入!$B$148+核心参数输入!$B$124)),72&lt;=(核心参数输入!$B$16*4+(核心参数输入!$B$148+核心参数输入!$B$124))+核心参数输入!$B$53*4),季度投融资!$E$23*(1-核心参数输入!$B$54)/核心参数输入!$B$53/4,0),0)</f>
        <v>207.38024999999999</v>
      </c>
      <c r="BY151" s="9">
        <f>IF(73&lt;=核心参数输入!$B$9*4,IF(AND(73&gt;(核心参数输入!$B$16*4+(核心参数输入!$B$148+核心参数输入!$B$124)),73&lt;=(核心参数输入!$B$16*4+(核心参数输入!$B$148+核心参数输入!$B$124))+核心参数输入!$B$53*4),季度投融资!$E$23*(1-核心参数输入!$B$54)/核心参数输入!$B$53/4,0),0)</f>
        <v>207.38024999999999</v>
      </c>
      <c r="BZ151" s="9">
        <f>IF(74&lt;=核心参数输入!$B$9*4,IF(AND(74&gt;(核心参数输入!$B$16*4+(核心参数输入!$B$148+核心参数输入!$B$124)),74&lt;=(核心参数输入!$B$16*4+(核心参数输入!$B$148+核心参数输入!$B$124))+核心参数输入!$B$53*4),季度投融资!$E$23*(1-核心参数输入!$B$54)/核心参数输入!$B$53/4,0),0)</f>
        <v>207.38024999999999</v>
      </c>
      <c r="CA151" s="9">
        <f>IF(75&lt;=核心参数输入!$B$9*4,IF(AND(75&gt;(核心参数输入!$B$16*4+(核心参数输入!$B$148+核心参数输入!$B$124)),75&lt;=(核心参数输入!$B$16*4+(核心参数输入!$B$148+核心参数输入!$B$124))+核心参数输入!$B$53*4),季度投融资!$E$23*(1-核心参数输入!$B$54)/核心参数输入!$B$53/4,0),0)</f>
        <v>207.38024999999999</v>
      </c>
      <c r="CB151" s="9">
        <f>IF(76&lt;=核心参数输入!$B$9*4,IF(AND(76&gt;(核心参数输入!$B$16*4+(核心参数输入!$B$148+核心参数输入!$B$124)),76&lt;=(核心参数输入!$B$16*4+(核心参数输入!$B$148+核心参数输入!$B$124))+核心参数输入!$B$53*4),季度投融资!$E$23*(1-核心参数输入!$B$54)/核心参数输入!$B$53/4,0),0)</f>
        <v>207.38024999999999</v>
      </c>
      <c r="CC151" s="9">
        <f>IF(77&lt;=核心参数输入!$B$9*4,IF(AND(77&gt;(核心参数输入!$B$16*4+(核心参数输入!$B$148+核心参数输入!$B$124)),77&lt;=(核心参数输入!$B$16*4+(核心参数输入!$B$148+核心参数输入!$B$124))+核心参数输入!$B$53*4),季度投融资!$E$23*(1-核心参数输入!$B$54)/核心参数输入!$B$53/4,0),0)</f>
        <v>207.38024999999999</v>
      </c>
      <c r="CD151" s="9">
        <f>IF(78&lt;=核心参数输入!$B$9*4,IF(AND(78&gt;(核心参数输入!$B$16*4+(核心参数输入!$B$148+核心参数输入!$B$124)),78&lt;=(核心参数输入!$B$16*4+(核心参数输入!$B$148+核心参数输入!$B$124))+核心参数输入!$B$53*4),季度投融资!$E$23*(1-核心参数输入!$B$54)/核心参数输入!$B$53/4,0),0)</f>
        <v>207.38024999999999</v>
      </c>
      <c r="CE151" s="9">
        <f>IF(79&lt;=核心参数输入!$B$9*4,IF(AND(79&gt;(核心参数输入!$B$16*4+(核心参数输入!$B$148+核心参数输入!$B$124)),79&lt;=(核心参数输入!$B$16*4+(核心参数输入!$B$148+核心参数输入!$B$124))+核心参数输入!$B$53*4),季度投融资!$E$23*(1-核心参数输入!$B$54)/核心参数输入!$B$53/4,0),0)</f>
        <v>207.38024999999999</v>
      </c>
      <c r="CF151" s="9">
        <f>IF(80&lt;=核心参数输入!$B$9*4,IF(AND(80&gt;(核心参数输入!$B$16*4+(核心参数输入!$B$148+核心参数输入!$B$124)),80&lt;=(核心参数输入!$B$16*4+(核心参数输入!$B$148+核心参数输入!$B$124))+核心参数输入!$B$53*4),季度投融资!$E$23*(1-核心参数输入!$B$54)/核心参数输入!$B$53/4,0),0)</f>
        <v>207.38024999999999</v>
      </c>
      <c r="CG151" s="9">
        <f>IF(81&lt;=核心参数输入!$B$9*4,IF(AND(81&gt;(核心参数输入!$B$16*4+(核心参数输入!$B$148+核心参数输入!$B$124)),81&lt;=(核心参数输入!$B$16*4+(核心参数输入!$B$148+核心参数输入!$B$124))+核心参数输入!$B$53*4),季度投融资!$E$23*(1-核心参数输入!$B$54)/核心参数输入!$B$53/4,0),0)</f>
        <v>0</v>
      </c>
      <c r="CH151" s="9">
        <f>IF(82&lt;=核心参数输入!$B$9*4,IF(AND(82&gt;(核心参数输入!$B$16*4+(核心参数输入!$B$148+核心参数输入!$B$124)),82&lt;=(核心参数输入!$B$16*4+(核心参数输入!$B$148+核心参数输入!$B$124))+核心参数输入!$B$53*4),季度投融资!$E$23*(1-核心参数输入!$B$54)/核心参数输入!$B$53/4,0),0)</f>
        <v>0</v>
      </c>
      <c r="CI151" s="9">
        <f>IF(83&lt;=核心参数输入!$B$9*4,IF(AND(83&gt;(核心参数输入!$B$16*4+(核心参数输入!$B$148+核心参数输入!$B$124)),83&lt;=(核心参数输入!$B$16*4+(核心参数输入!$B$148+核心参数输入!$B$124))+核心参数输入!$B$53*4),季度投融资!$E$23*(1-核心参数输入!$B$54)/核心参数输入!$B$53/4,0),0)</f>
        <v>0</v>
      </c>
      <c r="CJ151" s="9">
        <f>IF(84&lt;=核心参数输入!$B$9*4,IF(AND(84&gt;(核心参数输入!$B$16*4+(核心参数输入!$B$148+核心参数输入!$B$124)),84&lt;=(核心参数输入!$B$16*4+(核心参数输入!$B$148+核心参数输入!$B$124))+核心参数输入!$B$53*4),季度投融资!$E$23*(1-核心参数输入!$B$54)/核心参数输入!$B$53/4,0),0)</f>
        <v>0</v>
      </c>
      <c r="CK151" s="9">
        <f>IF(85&lt;=核心参数输入!$B$9*4,IF(AND(85&gt;(核心参数输入!$B$16*4+(核心参数输入!$B$148+核心参数输入!$B$124)),85&lt;=(核心参数输入!$B$16*4+(核心参数输入!$B$148+核心参数输入!$B$124))+核心参数输入!$B$53*4),季度投融资!$E$23*(1-核心参数输入!$B$54)/核心参数输入!$B$53/4,0),0)</f>
        <v>0</v>
      </c>
      <c r="CL151" s="9">
        <f>IF(86&lt;=核心参数输入!$B$9*4,IF(AND(86&gt;(核心参数输入!$B$16*4+(核心参数输入!$B$148+核心参数输入!$B$124)),86&lt;=(核心参数输入!$B$16*4+(核心参数输入!$B$148+核心参数输入!$B$124))+核心参数输入!$B$53*4),季度投融资!$E$23*(1-核心参数输入!$B$54)/核心参数输入!$B$53/4,0),0)</f>
        <v>0</v>
      </c>
      <c r="CM151" s="9">
        <f>IF(87&lt;=核心参数输入!$B$9*4,IF(AND(87&gt;(核心参数输入!$B$16*4+(核心参数输入!$B$148+核心参数输入!$B$124)),87&lt;=(核心参数输入!$B$16*4+(核心参数输入!$B$148+核心参数输入!$B$124))+核心参数输入!$B$53*4),季度投融资!$E$23*(1-核心参数输入!$B$54)/核心参数输入!$B$53/4,0),0)</f>
        <v>0</v>
      </c>
      <c r="CN151" s="9">
        <f>IF(88&lt;=核心参数输入!$B$9*4,IF(AND(88&gt;(核心参数输入!$B$16*4+(核心参数输入!$B$148+核心参数输入!$B$124)),88&lt;=(核心参数输入!$B$16*4+(核心参数输入!$B$148+核心参数输入!$B$124))+核心参数输入!$B$53*4),季度投融资!$E$23*(1-核心参数输入!$B$54)/核心参数输入!$B$53/4,0),0)</f>
        <v>0</v>
      </c>
      <c r="CO151" s="9">
        <f>IF(89&lt;=核心参数输入!$B$9*4,IF(AND(89&gt;(核心参数输入!$B$16*4+(核心参数输入!$B$148+核心参数输入!$B$124)),89&lt;=(核心参数输入!$B$16*4+(核心参数输入!$B$148+核心参数输入!$B$124))+核心参数输入!$B$53*4),季度投融资!$E$23*(1-核心参数输入!$B$54)/核心参数输入!$B$53/4,0),0)</f>
        <v>0</v>
      </c>
      <c r="CP151" s="9">
        <f>IF(90&lt;=核心参数输入!$B$9*4,IF(AND(90&gt;(核心参数输入!$B$16*4+(核心参数输入!$B$148+核心参数输入!$B$124)),90&lt;=(核心参数输入!$B$16*4+(核心参数输入!$B$148+核心参数输入!$B$124))+核心参数输入!$B$53*4),季度投融资!$E$23*(1-核心参数输入!$B$54)/核心参数输入!$B$53/4,0),0)</f>
        <v>0</v>
      </c>
      <c r="CQ151" s="9">
        <f>IF(91&lt;=核心参数输入!$B$9*4,IF(AND(91&gt;(核心参数输入!$B$16*4+(核心参数输入!$B$148+核心参数输入!$B$124)),91&lt;=(核心参数输入!$B$16*4+(核心参数输入!$B$148+核心参数输入!$B$124))+核心参数输入!$B$53*4),季度投融资!$E$23*(1-核心参数输入!$B$54)/核心参数输入!$B$53/4,0),0)</f>
        <v>0</v>
      </c>
      <c r="CR151" s="9">
        <f>IF(92&lt;=核心参数输入!$B$9*4,IF(AND(92&gt;(核心参数输入!$B$16*4+(核心参数输入!$B$148+核心参数输入!$B$124)),92&lt;=(核心参数输入!$B$16*4+(核心参数输入!$B$148+核心参数输入!$B$124))+核心参数输入!$B$53*4),季度投融资!$E$23*(1-核心参数输入!$B$54)/核心参数输入!$B$53/4,0),0)</f>
        <v>0</v>
      </c>
      <c r="CS151" s="9">
        <f>IF(93&lt;=核心参数输入!$B$9*4,IF(AND(93&gt;(核心参数输入!$B$16*4+(核心参数输入!$B$148+核心参数输入!$B$124)),93&lt;=(核心参数输入!$B$16*4+(核心参数输入!$B$148+核心参数输入!$B$124))+核心参数输入!$B$53*4),季度投融资!$E$23*(1-核心参数输入!$B$54)/核心参数输入!$B$53/4,0),0)</f>
        <v>0</v>
      </c>
      <c r="CT151" s="9">
        <f>IF(94&lt;=核心参数输入!$B$9*4,IF(AND(94&gt;(核心参数输入!$B$16*4+(核心参数输入!$B$148+核心参数输入!$B$124)),94&lt;=(核心参数输入!$B$16*4+(核心参数输入!$B$148+核心参数输入!$B$124))+核心参数输入!$B$53*4),季度投融资!$E$23*(1-核心参数输入!$B$54)/核心参数输入!$B$53/4,0),0)</f>
        <v>0</v>
      </c>
      <c r="CU151" s="9">
        <f>IF(95&lt;=核心参数输入!$B$9*4,IF(AND(95&gt;(核心参数输入!$B$16*4+(核心参数输入!$B$148+核心参数输入!$B$124)),95&lt;=(核心参数输入!$B$16*4+(核心参数输入!$B$148+核心参数输入!$B$124))+核心参数输入!$B$53*4),季度投融资!$E$23*(1-核心参数输入!$B$54)/核心参数输入!$B$53/4,0),0)</f>
        <v>0</v>
      </c>
      <c r="CV151" s="9">
        <f>IF(96&lt;=核心参数输入!$B$9*4,IF(AND(96&gt;(核心参数输入!$B$16*4+(核心参数输入!$B$148+核心参数输入!$B$124)),96&lt;=(核心参数输入!$B$16*4+(核心参数输入!$B$148+核心参数输入!$B$124))+核心参数输入!$B$53*4),季度投融资!$E$23*(1-核心参数输入!$B$54)/核心参数输入!$B$53/4,0),0)</f>
        <v>0</v>
      </c>
      <c r="CW151" s="9">
        <f>IF(97&lt;=核心参数输入!$B$9*4,IF(AND(97&gt;(核心参数输入!$B$16*4+(核心参数输入!$B$148+核心参数输入!$B$124)),97&lt;=(核心参数输入!$B$16*4+(核心参数输入!$B$148+核心参数输入!$B$124))+核心参数输入!$B$53*4),季度投融资!$E$23*(1-核心参数输入!$B$54)/核心参数输入!$B$53/4,0),0)</f>
        <v>0</v>
      </c>
      <c r="CX151" s="9">
        <f>IF(98&lt;=核心参数输入!$B$9*4,IF(AND(98&gt;(核心参数输入!$B$16*4+(核心参数输入!$B$148+核心参数输入!$B$124)),98&lt;=(核心参数输入!$B$16*4+(核心参数输入!$B$148+核心参数输入!$B$124))+核心参数输入!$B$53*4),季度投融资!$E$23*(1-核心参数输入!$B$54)/核心参数输入!$B$53/4,0),0)</f>
        <v>0</v>
      </c>
      <c r="CY151" s="9">
        <f>IF(99&lt;=核心参数输入!$B$9*4,IF(AND(99&gt;(核心参数输入!$B$16*4+(核心参数输入!$B$148+核心参数输入!$B$124)),99&lt;=(核心参数输入!$B$16*4+(核心参数输入!$B$148+核心参数输入!$B$124))+核心参数输入!$B$53*4),季度投融资!$E$23*(1-核心参数输入!$B$54)/核心参数输入!$B$53/4,0),0)</f>
        <v>0</v>
      </c>
      <c r="CZ151" s="9">
        <f>IF(100&lt;=核心参数输入!$B$9*4,IF(AND(100&gt;(核心参数输入!$B$16*4+(核心参数输入!$B$148+核心参数输入!$B$124)),100&lt;=(核心参数输入!$B$16*4+(核心参数输入!$B$148+核心参数输入!$B$124))+核心参数输入!$B$53*4),季度投融资!$E$23*(1-核心参数输入!$B$54)/核心参数输入!$B$53/4,0),0)</f>
        <v>0</v>
      </c>
      <c r="DA151" s="9">
        <f>IF(101&lt;=核心参数输入!$B$9*4,IF(AND(101&gt;(核心参数输入!$B$16*4+(核心参数输入!$B$148+核心参数输入!$B$124)),101&lt;=(核心参数输入!$B$16*4+(核心参数输入!$B$148+核心参数输入!$B$124))+核心参数输入!$B$53*4),季度投融资!$E$23*(1-核心参数输入!$B$54)/核心参数输入!$B$53/4,0),0)</f>
        <v>0</v>
      </c>
      <c r="DB151" s="9">
        <f>IF(102&lt;=核心参数输入!$B$9*4,IF(AND(102&gt;(核心参数输入!$B$16*4+(核心参数输入!$B$148+核心参数输入!$B$124)),102&lt;=(核心参数输入!$B$16*4+(核心参数输入!$B$148+核心参数输入!$B$124))+核心参数输入!$B$53*4),季度投融资!$E$23*(1-核心参数输入!$B$54)/核心参数输入!$B$53/4,0),0)</f>
        <v>0</v>
      </c>
      <c r="DC151" s="9">
        <f>IF(103&lt;=核心参数输入!$B$9*4,IF(AND(103&gt;(核心参数输入!$B$16*4+(核心参数输入!$B$148+核心参数输入!$B$124)),103&lt;=(核心参数输入!$B$16*4+(核心参数输入!$B$148+核心参数输入!$B$124))+核心参数输入!$B$53*4),季度投融资!$E$23*(1-核心参数输入!$B$54)/核心参数输入!$B$53/4,0),0)</f>
        <v>0</v>
      </c>
      <c r="DD151" s="9">
        <f>IF(104&lt;=核心参数输入!$B$9*4,IF(AND(104&gt;(核心参数输入!$B$16*4+(核心参数输入!$B$148+核心参数输入!$B$124)),104&lt;=(核心参数输入!$B$16*4+(核心参数输入!$B$148+核心参数输入!$B$124))+核心参数输入!$B$53*4),季度投融资!$E$23*(1-核心参数输入!$B$54)/核心参数输入!$B$53/4,0),0)</f>
        <v>0</v>
      </c>
      <c r="DE151" s="9">
        <f>IF(105&lt;=核心参数输入!$B$9*4,IF(AND(105&gt;(核心参数输入!$B$16*4+(核心参数输入!$B$148+核心参数输入!$B$124)),105&lt;=(核心参数输入!$B$16*4+(核心参数输入!$B$148+核心参数输入!$B$124))+核心参数输入!$B$53*4),季度投融资!$E$23*(1-核心参数输入!$B$54)/核心参数输入!$B$53/4,0),0)</f>
        <v>0</v>
      </c>
      <c r="DF151" s="9">
        <f>IF(106&lt;=核心参数输入!$B$9*4,IF(AND(106&gt;(核心参数输入!$B$16*4+(核心参数输入!$B$148+核心参数输入!$B$124)),106&lt;=(核心参数输入!$B$16*4+(核心参数输入!$B$148+核心参数输入!$B$124))+核心参数输入!$B$53*4),季度投融资!$E$23*(1-核心参数输入!$B$54)/核心参数输入!$B$53/4,0),0)</f>
        <v>0</v>
      </c>
      <c r="DG151" s="9">
        <f>IF(107&lt;=核心参数输入!$B$9*4,IF(AND(107&gt;(核心参数输入!$B$16*4+(核心参数输入!$B$148+核心参数输入!$B$124)),107&lt;=(核心参数输入!$B$16*4+(核心参数输入!$B$148+核心参数输入!$B$124))+核心参数输入!$B$53*4),季度投融资!$E$23*(1-核心参数输入!$B$54)/核心参数输入!$B$53/4,0),0)</f>
        <v>0</v>
      </c>
      <c r="DH151" s="9">
        <f>IF(108&lt;=核心参数输入!$B$9*4,IF(AND(108&gt;(核心参数输入!$B$16*4+(核心参数输入!$B$148+核心参数输入!$B$124)),108&lt;=(核心参数输入!$B$16*4+(核心参数输入!$B$148+核心参数输入!$B$124))+核心参数输入!$B$53*4),季度投融资!$E$23*(1-核心参数输入!$B$54)/核心参数输入!$B$53/4,0),0)</f>
        <v>0</v>
      </c>
      <c r="DI151" s="9">
        <f>IF(109&lt;=核心参数输入!$B$9*4,IF(AND(109&gt;(核心参数输入!$B$16*4+(核心参数输入!$B$148+核心参数输入!$B$124)),109&lt;=(核心参数输入!$B$16*4+(核心参数输入!$B$148+核心参数输入!$B$124))+核心参数输入!$B$53*4),季度投融资!$E$23*(1-核心参数输入!$B$54)/核心参数输入!$B$53/4,0),0)</f>
        <v>0</v>
      </c>
      <c r="DJ151" s="9">
        <f>IF(110&lt;=核心参数输入!$B$9*4,IF(AND(110&gt;(核心参数输入!$B$16*4+(核心参数输入!$B$148+核心参数输入!$B$124)),110&lt;=(核心参数输入!$B$16*4+(核心参数输入!$B$148+核心参数输入!$B$124))+核心参数输入!$B$53*4),季度投融资!$E$23*(1-核心参数输入!$B$54)/核心参数输入!$B$53/4,0),0)</f>
        <v>0</v>
      </c>
      <c r="DK151" s="9">
        <f>IF(111&lt;=核心参数输入!$B$9*4,IF(AND(111&gt;(核心参数输入!$B$16*4+(核心参数输入!$B$148+核心参数输入!$B$124)),111&lt;=(核心参数输入!$B$16*4+(核心参数输入!$B$148+核心参数输入!$B$124))+核心参数输入!$B$53*4),季度投融资!$E$23*(1-核心参数输入!$B$54)/核心参数输入!$B$53/4,0),0)</f>
        <v>0</v>
      </c>
      <c r="DL151" s="9">
        <f>IF(112&lt;=核心参数输入!$B$9*4,IF(AND(112&gt;(核心参数输入!$B$16*4+(核心参数输入!$B$148+核心参数输入!$B$124)),112&lt;=(核心参数输入!$B$16*4+(核心参数输入!$B$148+核心参数输入!$B$124))+核心参数输入!$B$53*4),季度投融资!$E$23*(1-核心参数输入!$B$54)/核心参数输入!$B$53/4,0),0)</f>
        <v>0</v>
      </c>
      <c r="DM151" s="9">
        <f>IF(113&lt;=核心参数输入!$B$9*4,IF(AND(113&gt;(核心参数输入!$B$16*4+(核心参数输入!$B$148+核心参数输入!$B$124)),113&lt;=(核心参数输入!$B$16*4+(核心参数输入!$B$148+核心参数输入!$B$124))+核心参数输入!$B$53*4),季度投融资!$E$23*(1-核心参数输入!$B$54)/核心参数输入!$B$53/4,0),0)</f>
        <v>0</v>
      </c>
      <c r="DN151" s="9">
        <f>IF(114&lt;=核心参数输入!$B$9*4,IF(AND(114&gt;(核心参数输入!$B$16*4+(核心参数输入!$B$148+核心参数输入!$B$124)),114&lt;=(核心参数输入!$B$16*4+(核心参数输入!$B$148+核心参数输入!$B$124))+核心参数输入!$B$53*4),季度投融资!$E$23*(1-核心参数输入!$B$54)/核心参数输入!$B$53/4,0),0)</f>
        <v>0</v>
      </c>
      <c r="DO151" s="9">
        <f>IF(115&lt;=核心参数输入!$B$9*4,IF(AND(115&gt;(核心参数输入!$B$16*4+(核心参数输入!$B$148+核心参数输入!$B$124)),115&lt;=(核心参数输入!$B$16*4+(核心参数输入!$B$148+核心参数输入!$B$124))+核心参数输入!$B$53*4),季度投融资!$E$23*(1-核心参数输入!$B$54)/核心参数输入!$B$53/4,0),0)</f>
        <v>0</v>
      </c>
      <c r="DP151" s="9">
        <f>IF(116&lt;=核心参数输入!$B$9*4,IF(AND(116&gt;(核心参数输入!$B$16*4+(核心参数输入!$B$148+核心参数输入!$B$124)),116&lt;=(核心参数输入!$B$16*4+(核心参数输入!$B$148+核心参数输入!$B$124))+核心参数输入!$B$53*4),季度投融资!$E$23*(1-核心参数输入!$B$54)/核心参数输入!$B$53/4,0),0)</f>
        <v>0</v>
      </c>
      <c r="DQ151" s="9">
        <f>IF(117&lt;=核心参数输入!$B$9*4,IF(AND(117&gt;(核心参数输入!$B$16*4+(核心参数输入!$B$148+核心参数输入!$B$124)),117&lt;=(核心参数输入!$B$16*4+(核心参数输入!$B$148+核心参数输入!$B$124))+核心参数输入!$B$53*4),季度投融资!$E$23*(1-核心参数输入!$B$54)/核心参数输入!$B$53/4,0),0)</f>
        <v>0</v>
      </c>
      <c r="DR151" s="9">
        <f>IF(118&lt;=核心参数输入!$B$9*4,IF(AND(118&gt;(核心参数输入!$B$16*4+(核心参数输入!$B$148+核心参数输入!$B$124)),118&lt;=(核心参数输入!$B$16*4+(核心参数输入!$B$148+核心参数输入!$B$124))+核心参数输入!$B$53*4),季度投融资!$E$23*(1-核心参数输入!$B$54)/核心参数输入!$B$53/4,0),0)</f>
        <v>0</v>
      </c>
      <c r="DS151" s="9">
        <f>IF(119&lt;=核心参数输入!$B$9*4,IF(AND(119&gt;(核心参数输入!$B$16*4+(核心参数输入!$B$148+核心参数输入!$B$124)),119&lt;=(核心参数输入!$B$16*4+(核心参数输入!$B$148+核心参数输入!$B$124))+核心参数输入!$B$53*4),季度投融资!$E$23*(1-核心参数输入!$B$54)/核心参数输入!$B$53/4,0),0)</f>
        <v>0</v>
      </c>
      <c r="DT151" s="9">
        <f>IF(120&lt;=核心参数输入!$B$9*4,IF(AND(120&gt;(核心参数输入!$B$16*4+(核心参数输入!$B$148+核心参数输入!$B$124)),120&lt;=(核心参数输入!$B$16*4+(核心参数输入!$B$148+核心参数输入!$B$124))+核心参数输入!$B$53*4),季度投融资!$E$23*(1-核心参数输入!$B$54)/核心参数输入!$B$53/4,0),0)</f>
        <v>0</v>
      </c>
    </row>
    <row r="152" spans="1:124" ht="21" customHeight="1">
      <c r="A152" s="8" t="s">
        <v>474</v>
      </c>
      <c r="B152" s="8" t="s">
        <v>39</v>
      </c>
      <c r="C152" s="8"/>
      <c r="D152" s="9">
        <f>IF(0&lt;=核心参数输入!$B$9*4,IF(AND(0&gt;(核心参数输入!$B$16*4+(核心参数输入!$B$148+核心参数输入!$B$124)),0&lt;=(核心参数输入!$B$16*4+(核心参数输入!$B$148+核心参数输入!$B$124))+核心参数输入!$B$53*4),季度投融资!$E$26*(1-核心参数输入!$B$54)/核心参数输入!$B$53/4,0),0)</f>
        <v>0</v>
      </c>
      <c r="E152" s="9">
        <f>IF(1&lt;=核心参数输入!$B$9*4,IF(AND(1&gt;(核心参数输入!$B$16*4+(核心参数输入!$B$148+核心参数输入!$B$124)),1&lt;=(核心参数输入!$B$16*4+(核心参数输入!$B$148+核心参数输入!$B$124))+核心参数输入!$B$53*4),季度投融资!$E$26*(1-核心参数输入!$B$54)/核心参数输入!$B$53/4,0),0)</f>
        <v>0</v>
      </c>
      <c r="F152" s="9">
        <f>IF(2&lt;=核心参数输入!$B$9*4,IF(AND(2&gt;(核心参数输入!$B$16*4+(核心参数输入!$B$148+核心参数输入!$B$124)),2&lt;=(核心参数输入!$B$16*4+(核心参数输入!$B$148+核心参数输入!$B$124))+核心参数输入!$B$53*4),季度投融资!$E$26*(1-核心参数输入!$B$54)/核心参数输入!$B$53/4,0),0)</f>
        <v>0</v>
      </c>
      <c r="G152" s="9">
        <f>IF(3&lt;=核心参数输入!$B$9*4,IF(AND(3&gt;(核心参数输入!$B$16*4+(核心参数输入!$B$148+核心参数输入!$B$124)),3&lt;=(核心参数输入!$B$16*4+(核心参数输入!$B$148+核心参数输入!$B$124))+核心参数输入!$B$53*4),季度投融资!$E$26*(1-核心参数输入!$B$54)/核心参数输入!$B$53/4,0),0)</f>
        <v>0</v>
      </c>
      <c r="H152" s="9">
        <f>IF(4&lt;=核心参数输入!$B$9*4,IF(AND(4&gt;(核心参数输入!$B$16*4+(核心参数输入!$B$148+核心参数输入!$B$124)),4&lt;=(核心参数输入!$B$16*4+(核心参数输入!$B$148+核心参数输入!$B$124))+核心参数输入!$B$53*4),季度投融资!$E$26*(1-核心参数输入!$B$54)/核心参数输入!$B$53/4,0),0)</f>
        <v>0</v>
      </c>
      <c r="I152" s="9">
        <f>IF(5&lt;=核心参数输入!$B$9*4,IF(AND(5&gt;(核心参数输入!$B$16*4+(核心参数输入!$B$148+核心参数输入!$B$124)),5&lt;=(核心参数输入!$B$16*4+(核心参数输入!$B$148+核心参数输入!$B$124))+核心参数输入!$B$53*4),季度投融资!$E$26*(1-核心参数输入!$B$54)/核心参数输入!$B$53/4,0),0)</f>
        <v>0</v>
      </c>
      <c r="J152" s="9">
        <f>IF(6&lt;=核心参数输入!$B$9*4,IF(AND(6&gt;(核心参数输入!$B$16*4+(核心参数输入!$B$148+核心参数输入!$B$124)),6&lt;=(核心参数输入!$B$16*4+(核心参数输入!$B$148+核心参数输入!$B$124))+核心参数输入!$B$53*4),季度投融资!$E$26*(1-核心参数输入!$B$54)/核心参数输入!$B$53/4,0),0)</f>
        <v>0</v>
      </c>
      <c r="K152" s="9">
        <f>IF(7&lt;=核心参数输入!$B$9*4,IF(AND(7&gt;(核心参数输入!$B$16*4+(核心参数输入!$B$148+核心参数输入!$B$124)),7&lt;=(核心参数输入!$B$16*4+(核心参数输入!$B$148+核心参数输入!$B$124))+核心参数输入!$B$53*4),季度投融资!$E$26*(1-核心参数输入!$B$54)/核心参数输入!$B$53/4,0),0)</f>
        <v>0</v>
      </c>
      <c r="L152" s="9">
        <f>IF(8&lt;=核心参数输入!$B$9*4,IF(AND(8&gt;(核心参数输入!$B$16*4+(核心参数输入!$B$148+核心参数输入!$B$124)),8&lt;=(核心参数输入!$B$16*4+(核心参数输入!$B$148+核心参数输入!$B$124))+核心参数输入!$B$53*4),季度投融资!$E$26*(1-核心参数输入!$B$54)/核心参数输入!$B$53/4,0),0)</f>
        <v>0</v>
      </c>
      <c r="M152" s="9">
        <f>IF(9&lt;=核心参数输入!$B$9*4,IF(AND(9&gt;(核心参数输入!$B$16*4+(核心参数输入!$B$148+核心参数输入!$B$124)),9&lt;=(核心参数输入!$B$16*4+(核心参数输入!$B$148+核心参数输入!$B$124))+核心参数输入!$B$53*4),季度投融资!$E$26*(1-核心参数输入!$B$54)/核心参数输入!$B$53/4,0),0)</f>
        <v>0</v>
      </c>
      <c r="N152" s="9">
        <f>IF(10&lt;=核心参数输入!$B$9*4,IF(AND(10&gt;(核心参数输入!$B$16*4+(核心参数输入!$B$148+核心参数输入!$B$124)),10&lt;=(核心参数输入!$B$16*4+(核心参数输入!$B$148+核心参数输入!$B$124))+核心参数输入!$B$53*4),季度投融资!$E$26*(1-核心参数输入!$B$54)/核心参数输入!$B$53/4,0),0)</f>
        <v>0</v>
      </c>
      <c r="O152" s="9">
        <f>IF(11&lt;=核心参数输入!$B$9*4,IF(AND(11&gt;(核心参数输入!$B$16*4+(核心参数输入!$B$148+核心参数输入!$B$124)),11&lt;=(核心参数输入!$B$16*4+(核心参数输入!$B$148+核心参数输入!$B$124))+核心参数输入!$B$53*4),季度投融资!$E$26*(1-核心参数输入!$B$54)/核心参数输入!$B$53/4,0),0)</f>
        <v>0</v>
      </c>
      <c r="P152" s="9">
        <f>IF(12&lt;=核心参数输入!$B$9*4,IF(AND(12&gt;(核心参数输入!$B$16*4+(核心参数输入!$B$148+核心参数输入!$B$124)),12&lt;=(核心参数输入!$B$16*4+(核心参数输入!$B$148+核心参数输入!$B$124))+核心参数输入!$B$53*4),季度投融资!$E$26*(1-核心参数输入!$B$54)/核心参数输入!$B$53/4,0),0)</f>
        <v>0</v>
      </c>
      <c r="Q152" s="9">
        <f>IF(13&lt;=核心参数输入!$B$9*4,IF(AND(13&gt;(核心参数输入!$B$16*4+(核心参数输入!$B$148+核心参数输入!$B$124)),13&lt;=(核心参数输入!$B$16*4+(核心参数输入!$B$148+核心参数输入!$B$124))+核心参数输入!$B$53*4),季度投融资!$E$26*(1-核心参数输入!$B$54)/核心参数输入!$B$53/4,0),0)</f>
        <v>214.11337499999996</v>
      </c>
      <c r="R152" s="9">
        <f>IF(14&lt;=核心参数输入!$B$9*4,IF(AND(14&gt;(核心参数输入!$B$16*4+(核心参数输入!$B$148+核心参数输入!$B$124)),14&lt;=(核心参数输入!$B$16*4+(核心参数输入!$B$148+核心参数输入!$B$124))+核心参数输入!$B$53*4),季度投融资!$E$26*(1-核心参数输入!$B$54)/核心参数输入!$B$53/4,0),0)</f>
        <v>214.11337499999996</v>
      </c>
      <c r="S152" s="9">
        <f>IF(15&lt;=核心参数输入!$B$9*4,IF(AND(15&gt;(核心参数输入!$B$16*4+(核心参数输入!$B$148+核心参数输入!$B$124)),15&lt;=(核心参数输入!$B$16*4+(核心参数输入!$B$148+核心参数输入!$B$124))+核心参数输入!$B$53*4),季度投融资!$E$26*(1-核心参数输入!$B$54)/核心参数输入!$B$53/4,0),0)</f>
        <v>214.11337499999996</v>
      </c>
      <c r="T152" s="9">
        <f>IF(16&lt;=核心参数输入!$B$9*4,IF(AND(16&gt;(核心参数输入!$B$16*4+(核心参数输入!$B$148+核心参数输入!$B$124)),16&lt;=(核心参数输入!$B$16*4+(核心参数输入!$B$148+核心参数输入!$B$124))+核心参数输入!$B$53*4),季度投融资!$E$26*(1-核心参数输入!$B$54)/核心参数输入!$B$53/4,0),0)</f>
        <v>214.11337499999996</v>
      </c>
      <c r="U152" s="9">
        <f>IF(17&lt;=核心参数输入!$B$9*4,IF(AND(17&gt;(核心参数输入!$B$16*4+(核心参数输入!$B$148+核心参数输入!$B$124)),17&lt;=(核心参数输入!$B$16*4+(核心参数输入!$B$148+核心参数输入!$B$124))+核心参数输入!$B$53*4),季度投融资!$E$26*(1-核心参数输入!$B$54)/核心参数输入!$B$53/4,0),0)</f>
        <v>214.11337499999996</v>
      </c>
      <c r="V152" s="9">
        <f>IF(18&lt;=核心参数输入!$B$9*4,IF(AND(18&gt;(核心参数输入!$B$16*4+(核心参数输入!$B$148+核心参数输入!$B$124)),18&lt;=(核心参数输入!$B$16*4+(核心参数输入!$B$148+核心参数输入!$B$124))+核心参数输入!$B$53*4),季度投融资!$E$26*(1-核心参数输入!$B$54)/核心参数输入!$B$53/4,0),0)</f>
        <v>214.11337499999996</v>
      </c>
      <c r="W152" s="9">
        <f>IF(19&lt;=核心参数输入!$B$9*4,IF(AND(19&gt;(核心参数输入!$B$16*4+(核心参数输入!$B$148+核心参数输入!$B$124)),19&lt;=(核心参数输入!$B$16*4+(核心参数输入!$B$148+核心参数输入!$B$124))+核心参数输入!$B$53*4),季度投融资!$E$26*(1-核心参数输入!$B$54)/核心参数输入!$B$53/4,0),0)</f>
        <v>214.11337499999996</v>
      </c>
      <c r="X152" s="9">
        <f>IF(20&lt;=核心参数输入!$B$9*4,IF(AND(20&gt;(核心参数输入!$B$16*4+(核心参数输入!$B$148+核心参数输入!$B$124)),20&lt;=(核心参数输入!$B$16*4+(核心参数输入!$B$148+核心参数输入!$B$124))+核心参数输入!$B$53*4),季度投融资!$E$26*(1-核心参数输入!$B$54)/核心参数输入!$B$53/4,0),0)</f>
        <v>214.11337499999996</v>
      </c>
      <c r="Y152" s="9">
        <f>IF(21&lt;=核心参数输入!$B$9*4,IF(AND(21&gt;(核心参数输入!$B$16*4+(核心参数输入!$B$148+核心参数输入!$B$124)),21&lt;=(核心参数输入!$B$16*4+(核心参数输入!$B$148+核心参数输入!$B$124))+核心参数输入!$B$53*4),季度投融资!$E$26*(1-核心参数输入!$B$54)/核心参数输入!$B$53/4,0),0)</f>
        <v>214.11337499999996</v>
      </c>
      <c r="Z152" s="9">
        <f>IF(22&lt;=核心参数输入!$B$9*4,IF(AND(22&gt;(核心参数输入!$B$16*4+(核心参数输入!$B$148+核心参数输入!$B$124)),22&lt;=(核心参数输入!$B$16*4+(核心参数输入!$B$148+核心参数输入!$B$124))+核心参数输入!$B$53*4),季度投融资!$E$26*(1-核心参数输入!$B$54)/核心参数输入!$B$53/4,0),0)</f>
        <v>214.11337499999996</v>
      </c>
      <c r="AA152" s="9">
        <f>IF(23&lt;=核心参数输入!$B$9*4,IF(AND(23&gt;(核心参数输入!$B$16*4+(核心参数输入!$B$148+核心参数输入!$B$124)),23&lt;=(核心参数输入!$B$16*4+(核心参数输入!$B$148+核心参数输入!$B$124))+核心参数输入!$B$53*4),季度投融资!$E$26*(1-核心参数输入!$B$54)/核心参数输入!$B$53/4,0),0)</f>
        <v>214.11337499999996</v>
      </c>
      <c r="AB152" s="9">
        <f>IF(24&lt;=核心参数输入!$B$9*4,IF(AND(24&gt;(核心参数输入!$B$16*4+(核心参数输入!$B$148+核心参数输入!$B$124)),24&lt;=(核心参数输入!$B$16*4+(核心参数输入!$B$148+核心参数输入!$B$124))+核心参数输入!$B$53*4),季度投融资!$E$26*(1-核心参数输入!$B$54)/核心参数输入!$B$53/4,0),0)</f>
        <v>214.11337499999996</v>
      </c>
      <c r="AC152" s="9">
        <f>IF(25&lt;=核心参数输入!$B$9*4,IF(AND(25&gt;(核心参数输入!$B$16*4+(核心参数输入!$B$148+核心参数输入!$B$124)),25&lt;=(核心参数输入!$B$16*4+(核心参数输入!$B$148+核心参数输入!$B$124))+核心参数输入!$B$53*4),季度投融资!$E$26*(1-核心参数输入!$B$54)/核心参数输入!$B$53/4,0),0)</f>
        <v>214.11337499999996</v>
      </c>
      <c r="AD152" s="9">
        <f>IF(26&lt;=核心参数输入!$B$9*4,IF(AND(26&gt;(核心参数输入!$B$16*4+(核心参数输入!$B$148+核心参数输入!$B$124)),26&lt;=(核心参数输入!$B$16*4+(核心参数输入!$B$148+核心参数输入!$B$124))+核心参数输入!$B$53*4),季度投融资!$E$26*(1-核心参数输入!$B$54)/核心参数输入!$B$53/4,0),0)</f>
        <v>214.11337499999996</v>
      </c>
      <c r="AE152" s="9">
        <f>IF(27&lt;=核心参数输入!$B$9*4,IF(AND(27&gt;(核心参数输入!$B$16*4+(核心参数输入!$B$148+核心参数输入!$B$124)),27&lt;=(核心参数输入!$B$16*4+(核心参数输入!$B$148+核心参数输入!$B$124))+核心参数输入!$B$53*4),季度投融资!$E$26*(1-核心参数输入!$B$54)/核心参数输入!$B$53/4,0),0)</f>
        <v>214.11337499999996</v>
      </c>
      <c r="AF152" s="9">
        <f>IF(28&lt;=核心参数输入!$B$9*4,IF(AND(28&gt;(核心参数输入!$B$16*4+(核心参数输入!$B$148+核心参数输入!$B$124)),28&lt;=(核心参数输入!$B$16*4+(核心参数输入!$B$148+核心参数输入!$B$124))+核心参数输入!$B$53*4),季度投融资!$E$26*(1-核心参数输入!$B$54)/核心参数输入!$B$53/4,0),0)</f>
        <v>214.11337499999996</v>
      </c>
      <c r="AG152" s="9">
        <f>IF(29&lt;=核心参数输入!$B$9*4,IF(AND(29&gt;(核心参数输入!$B$16*4+(核心参数输入!$B$148+核心参数输入!$B$124)),29&lt;=(核心参数输入!$B$16*4+(核心参数输入!$B$148+核心参数输入!$B$124))+核心参数输入!$B$53*4),季度投融资!$E$26*(1-核心参数输入!$B$54)/核心参数输入!$B$53/4,0),0)</f>
        <v>214.11337499999996</v>
      </c>
      <c r="AH152" s="9">
        <f>IF(30&lt;=核心参数输入!$B$9*4,IF(AND(30&gt;(核心参数输入!$B$16*4+(核心参数输入!$B$148+核心参数输入!$B$124)),30&lt;=(核心参数输入!$B$16*4+(核心参数输入!$B$148+核心参数输入!$B$124))+核心参数输入!$B$53*4),季度投融资!$E$26*(1-核心参数输入!$B$54)/核心参数输入!$B$53/4,0),0)</f>
        <v>214.11337499999996</v>
      </c>
      <c r="AI152" s="9">
        <f>IF(31&lt;=核心参数输入!$B$9*4,IF(AND(31&gt;(核心参数输入!$B$16*4+(核心参数输入!$B$148+核心参数输入!$B$124)),31&lt;=(核心参数输入!$B$16*4+(核心参数输入!$B$148+核心参数输入!$B$124))+核心参数输入!$B$53*4),季度投融资!$E$26*(1-核心参数输入!$B$54)/核心参数输入!$B$53/4,0),0)</f>
        <v>214.11337499999996</v>
      </c>
      <c r="AJ152" s="9">
        <f>IF(32&lt;=核心参数输入!$B$9*4,IF(AND(32&gt;(核心参数输入!$B$16*4+(核心参数输入!$B$148+核心参数输入!$B$124)),32&lt;=(核心参数输入!$B$16*4+(核心参数输入!$B$148+核心参数输入!$B$124))+核心参数输入!$B$53*4),季度投融资!$E$26*(1-核心参数输入!$B$54)/核心参数输入!$B$53/4,0),0)</f>
        <v>214.11337499999996</v>
      </c>
      <c r="AK152" s="9">
        <f>IF(33&lt;=核心参数输入!$B$9*4,IF(AND(33&gt;(核心参数输入!$B$16*4+(核心参数输入!$B$148+核心参数输入!$B$124)),33&lt;=(核心参数输入!$B$16*4+(核心参数输入!$B$148+核心参数输入!$B$124))+核心参数输入!$B$53*4),季度投融资!$E$26*(1-核心参数输入!$B$54)/核心参数输入!$B$53/4,0),0)</f>
        <v>214.11337499999996</v>
      </c>
      <c r="AL152" s="9">
        <f>IF(34&lt;=核心参数输入!$B$9*4,IF(AND(34&gt;(核心参数输入!$B$16*4+(核心参数输入!$B$148+核心参数输入!$B$124)),34&lt;=(核心参数输入!$B$16*4+(核心参数输入!$B$148+核心参数输入!$B$124))+核心参数输入!$B$53*4),季度投融资!$E$26*(1-核心参数输入!$B$54)/核心参数输入!$B$53/4,0),0)</f>
        <v>214.11337499999996</v>
      </c>
      <c r="AM152" s="9">
        <f>IF(35&lt;=核心参数输入!$B$9*4,IF(AND(35&gt;(核心参数输入!$B$16*4+(核心参数输入!$B$148+核心参数输入!$B$124)),35&lt;=(核心参数输入!$B$16*4+(核心参数输入!$B$148+核心参数输入!$B$124))+核心参数输入!$B$53*4),季度投融资!$E$26*(1-核心参数输入!$B$54)/核心参数输入!$B$53/4,0),0)</f>
        <v>214.11337499999996</v>
      </c>
      <c r="AN152" s="9">
        <f>IF(36&lt;=核心参数输入!$B$9*4,IF(AND(36&gt;(核心参数输入!$B$16*4+(核心参数输入!$B$148+核心参数输入!$B$124)),36&lt;=(核心参数输入!$B$16*4+(核心参数输入!$B$148+核心参数输入!$B$124))+核心参数输入!$B$53*4),季度投融资!$E$26*(1-核心参数输入!$B$54)/核心参数输入!$B$53/4,0),0)</f>
        <v>214.11337499999996</v>
      </c>
      <c r="AO152" s="9">
        <f>IF(37&lt;=核心参数输入!$B$9*4,IF(AND(37&gt;(核心参数输入!$B$16*4+(核心参数输入!$B$148+核心参数输入!$B$124)),37&lt;=(核心参数输入!$B$16*4+(核心参数输入!$B$148+核心参数输入!$B$124))+核心参数输入!$B$53*4),季度投融资!$E$26*(1-核心参数输入!$B$54)/核心参数输入!$B$53/4,0),0)</f>
        <v>214.11337499999996</v>
      </c>
      <c r="AP152" s="9">
        <f>IF(38&lt;=核心参数输入!$B$9*4,IF(AND(38&gt;(核心参数输入!$B$16*4+(核心参数输入!$B$148+核心参数输入!$B$124)),38&lt;=(核心参数输入!$B$16*4+(核心参数输入!$B$148+核心参数输入!$B$124))+核心参数输入!$B$53*4),季度投融资!$E$26*(1-核心参数输入!$B$54)/核心参数输入!$B$53/4,0),0)</f>
        <v>214.11337499999996</v>
      </c>
      <c r="AQ152" s="9">
        <f>IF(39&lt;=核心参数输入!$B$9*4,IF(AND(39&gt;(核心参数输入!$B$16*4+(核心参数输入!$B$148+核心参数输入!$B$124)),39&lt;=(核心参数输入!$B$16*4+(核心参数输入!$B$148+核心参数输入!$B$124))+核心参数输入!$B$53*4),季度投融资!$E$26*(1-核心参数输入!$B$54)/核心参数输入!$B$53/4,0),0)</f>
        <v>214.11337499999996</v>
      </c>
      <c r="AR152" s="9">
        <f>IF(40&lt;=核心参数输入!$B$9*4,IF(AND(40&gt;(核心参数输入!$B$16*4+(核心参数输入!$B$148+核心参数输入!$B$124)),40&lt;=(核心参数输入!$B$16*4+(核心参数输入!$B$148+核心参数输入!$B$124))+核心参数输入!$B$53*4),季度投融资!$E$26*(1-核心参数输入!$B$54)/核心参数输入!$B$53/4,0),0)</f>
        <v>214.11337499999996</v>
      </c>
      <c r="AS152" s="9">
        <f>IF(41&lt;=核心参数输入!$B$9*4,IF(AND(41&gt;(核心参数输入!$B$16*4+(核心参数输入!$B$148+核心参数输入!$B$124)),41&lt;=(核心参数输入!$B$16*4+(核心参数输入!$B$148+核心参数输入!$B$124))+核心参数输入!$B$53*4),季度投融资!$E$26*(1-核心参数输入!$B$54)/核心参数输入!$B$53/4,0),0)</f>
        <v>214.11337499999996</v>
      </c>
      <c r="AT152" s="9">
        <f>IF(42&lt;=核心参数输入!$B$9*4,IF(AND(42&gt;(核心参数输入!$B$16*4+(核心参数输入!$B$148+核心参数输入!$B$124)),42&lt;=(核心参数输入!$B$16*4+(核心参数输入!$B$148+核心参数输入!$B$124))+核心参数输入!$B$53*4),季度投融资!$E$26*(1-核心参数输入!$B$54)/核心参数输入!$B$53/4,0),0)</f>
        <v>214.11337499999996</v>
      </c>
      <c r="AU152" s="9">
        <f>IF(43&lt;=核心参数输入!$B$9*4,IF(AND(43&gt;(核心参数输入!$B$16*4+(核心参数输入!$B$148+核心参数输入!$B$124)),43&lt;=(核心参数输入!$B$16*4+(核心参数输入!$B$148+核心参数输入!$B$124))+核心参数输入!$B$53*4),季度投融资!$E$26*(1-核心参数输入!$B$54)/核心参数输入!$B$53/4,0),0)</f>
        <v>214.11337499999996</v>
      </c>
      <c r="AV152" s="9">
        <f>IF(44&lt;=核心参数输入!$B$9*4,IF(AND(44&gt;(核心参数输入!$B$16*4+(核心参数输入!$B$148+核心参数输入!$B$124)),44&lt;=(核心参数输入!$B$16*4+(核心参数输入!$B$148+核心参数输入!$B$124))+核心参数输入!$B$53*4),季度投融资!$E$26*(1-核心参数输入!$B$54)/核心参数输入!$B$53/4,0),0)</f>
        <v>214.11337499999996</v>
      </c>
      <c r="AW152" s="9">
        <f>IF(45&lt;=核心参数输入!$B$9*4,IF(AND(45&gt;(核心参数输入!$B$16*4+(核心参数输入!$B$148+核心参数输入!$B$124)),45&lt;=(核心参数输入!$B$16*4+(核心参数输入!$B$148+核心参数输入!$B$124))+核心参数输入!$B$53*4),季度投融资!$E$26*(1-核心参数输入!$B$54)/核心参数输入!$B$53/4,0),0)</f>
        <v>214.11337499999996</v>
      </c>
      <c r="AX152" s="9">
        <f>IF(46&lt;=核心参数输入!$B$9*4,IF(AND(46&gt;(核心参数输入!$B$16*4+(核心参数输入!$B$148+核心参数输入!$B$124)),46&lt;=(核心参数输入!$B$16*4+(核心参数输入!$B$148+核心参数输入!$B$124))+核心参数输入!$B$53*4),季度投融资!$E$26*(1-核心参数输入!$B$54)/核心参数输入!$B$53/4,0),0)</f>
        <v>214.11337499999996</v>
      </c>
      <c r="AY152" s="9">
        <f>IF(47&lt;=核心参数输入!$B$9*4,IF(AND(47&gt;(核心参数输入!$B$16*4+(核心参数输入!$B$148+核心参数输入!$B$124)),47&lt;=(核心参数输入!$B$16*4+(核心参数输入!$B$148+核心参数输入!$B$124))+核心参数输入!$B$53*4),季度投融资!$E$26*(1-核心参数输入!$B$54)/核心参数输入!$B$53/4,0),0)</f>
        <v>214.11337499999996</v>
      </c>
      <c r="AZ152" s="9">
        <f>IF(48&lt;=核心参数输入!$B$9*4,IF(AND(48&gt;(核心参数输入!$B$16*4+(核心参数输入!$B$148+核心参数输入!$B$124)),48&lt;=(核心参数输入!$B$16*4+(核心参数输入!$B$148+核心参数输入!$B$124))+核心参数输入!$B$53*4),季度投融资!$E$26*(1-核心参数输入!$B$54)/核心参数输入!$B$53/4,0),0)</f>
        <v>214.11337499999996</v>
      </c>
      <c r="BA152" s="9">
        <f>IF(49&lt;=核心参数输入!$B$9*4,IF(AND(49&gt;(核心参数输入!$B$16*4+(核心参数输入!$B$148+核心参数输入!$B$124)),49&lt;=(核心参数输入!$B$16*4+(核心参数输入!$B$148+核心参数输入!$B$124))+核心参数输入!$B$53*4),季度投融资!$E$26*(1-核心参数输入!$B$54)/核心参数输入!$B$53/4,0),0)</f>
        <v>214.11337499999996</v>
      </c>
      <c r="BB152" s="9">
        <f>IF(50&lt;=核心参数输入!$B$9*4,IF(AND(50&gt;(核心参数输入!$B$16*4+(核心参数输入!$B$148+核心参数输入!$B$124)),50&lt;=(核心参数输入!$B$16*4+(核心参数输入!$B$148+核心参数输入!$B$124))+核心参数输入!$B$53*4),季度投融资!$E$26*(1-核心参数输入!$B$54)/核心参数输入!$B$53/4,0),0)</f>
        <v>214.11337499999996</v>
      </c>
      <c r="BC152" s="9">
        <f>IF(51&lt;=核心参数输入!$B$9*4,IF(AND(51&gt;(核心参数输入!$B$16*4+(核心参数输入!$B$148+核心参数输入!$B$124)),51&lt;=(核心参数输入!$B$16*4+(核心参数输入!$B$148+核心参数输入!$B$124))+核心参数输入!$B$53*4),季度投融资!$E$26*(1-核心参数输入!$B$54)/核心参数输入!$B$53/4,0),0)</f>
        <v>214.11337499999996</v>
      </c>
      <c r="BD152" s="9">
        <f>IF(52&lt;=核心参数输入!$B$9*4,IF(AND(52&gt;(核心参数输入!$B$16*4+(核心参数输入!$B$148+核心参数输入!$B$124)),52&lt;=(核心参数输入!$B$16*4+(核心参数输入!$B$148+核心参数输入!$B$124))+核心参数输入!$B$53*4),季度投融资!$E$26*(1-核心参数输入!$B$54)/核心参数输入!$B$53/4,0),0)</f>
        <v>214.11337499999996</v>
      </c>
      <c r="BE152" s="9">
        <f>IF(53&lt;=核心参数输入!$B$9*4,IF(AND(53&gt;(核心参数输入!$B$16*4+(核心参数输入!$B$148+核心参数输入!$B$124)),53&lt;=(核心参数输入!$B$16*4+(核心参数输入!$B$148+核心参数输入!$B$124))+核心参数输入!$B$53*4),季度投融资!$E$26*(1-核心参数输入!$B$54)/核心参数输入!$B$53/4,0),0)</f>
        <v>214.11337499999996</v>
      </c>
      <c r="BF152" s="9">
        <f>IF(54&lt;=核心参数输入!$B$9*4,IF(AND(54&gt;(核心参数输入!$B$16*4+(核心参数输入!$B$148+核心参数输入!$B$124)),54&lt;=(核心参数输入!$B$16*4+(核心参数输入!$B$148+核心参数输入!$B$124))+核心参数输入!$B$53*4),季度投融资!$E$26*(1-核心参数输入!$B$54)/核心参数输入!$B$53/4,0),0)</f>
        <v>214.11337499999996</v>
      </c>
      <c r="BG152" s="9">
        <f>IF(55&lt;=核心参数输入!$B$9*4,IF(AND(55&gt;(核心参数输入!$B$16*4+(核心参数输入!$B$148+核心参数输入!$B$124)),55&lt;=(核心参数输入!$B$16*4+(核心参数输入!$B$148+核心参数输入!$B$124))+核心参数输入!$B$53*4),季度投融资!$E$26*(1-核心参数输入!$B$54)/核心参数输入!$B$53/4,0),0)</f>
        <v>214.11337499999996</v>
      </c>
      <c r="BH152" s="9">
        <f>IF(56&lt;=核心参数输入!$B$9*4,IF(AND(56&gt;(核心参数输入!$B$16*4+(核心参数输入!$B$148+核心参数输入!$B$124)),56&lt;=(核心参数输入!$B$16*4+(核心参数输入!$B$148+核心参数输入!$B$124))+核心参数输入!$B$53*4),季度投融资!$E$26*(1-核心参数输入!$B$54)/核心参数输入!$B$53/4,0),0)</f>
        <v>214.11337499999996</v>
      </c>
      <c r="BI152" s="9">
        <f>IF(57&lt;=核心参数输入!$B$9*4,IF(AND(57&gt;(核心参数输入!$B$16*4+(核心参数输入!$B$148+核心参数输入!$B$124)),57&lt;=(核心参数输入!$B$16*4+(核心参数输入!$B$148+核心参数输入!$B$124))+核心参数输入!$B$53*4),季度投融资!$E$26*(1-核心参数输入!$B$54)/核心参数输入!$B$53/4,0),0)</f>
        <v>214.11337499999996</v>
      </c>
      <c r="BJ152" s="9">
        <f>IF(58&lt;=核心参数输入!$B$9*4,IF(AND(58&gt;(核心参数输入!$B$16*4+(核心参数输入!$B$148+核心参数输入!$B$124)),58&lt;=(核心参数输入!$B$16*4+(核心参数输入!$B$148+核心参数输入!$B$124))+核心参数输入!$B$53*4),季度投融资!$E$26*(1-核心参数输入!$B$54)/核心参数输入!$B$53/4,0),0)</f>
        <v>214.11337499999996</v>
      </c>
      <c r="BK152" s="9">
        <f>IF(59&lt;=核心参数输入!$B$9*4,IF(AND(59&gt;(核心参数输入!$B$16*4+(核心参数输入!$B$148+核心参数输入!$B$124)),59&lt;=(核心参数输入!$B$16*4+(核心参数输入!$B$148+核心参数输入!$B$124))+核心参数输入!$B$53*4),季度投融资!$E$26*(1-核心参数输入!$B$54)/核心参数输入!$B$53/4,0),0)</f>
        <v>214.11337499999996</v>
      </c>
      <c r="BL152" s="9">
        <f>IF(60&lt;=核心参数输入!$B$9*4,IF(AND(60&gt;(核心参数输入!$B$16*4+(核心参数输入!$B$148+核心参数输入!$B$124)),60&lt;=(核心参数输入!$B$16*4+(核心参数输入!$B$148+核心参数输入!$B$124))+核心参数输入!$B$53*4),季度投融资!$E$26*(1-核心参数输入!$B$54)/核心参数输入!$B$53/4,0),0)</f>
        <v>214.11337499999996</v>
      </c>
      <c r="BM152" s="9">
        <f>IF(61&lt;=核心参数输入!$B$9*4,IF(AND(61&gt;(核心参数输入!$B$16*4+(核心参数输入!$B$148+核心参数输入!$B$124)),61&lt;=(核心参数输入!$B$16*4+(核心参数输入!$B$148+核心参数输入!$B$124))+核心参数输入!$B$53*4),季度投融资!$E$26*(1-核心参数输入!$B$54)/核心参数输入!$B$53/4,0),0)</f>
        <v>214.11337499999996</v>
      </c>
      <c r="BN152" s="9">
        <f>IF(62&lt;=核心参数输入!$B$9*4,IF(AND(62&gt;(核心参数输入!$B$16*4+(核心参数输入!$B$148+核心参数输入!$B$124)),62&lt;=(核心参数输入!$B$16*4+(核心参数输入!$B$148+核心参数输入!$B$124))+核心参数输入!$B$53*4),季度投融资!$E$26*(1-核心参数输入!$B$54)/核心参数输入!$B$53/4,0),0)</f>
        <v>214.11337499999996</v>
      </c>
      <c r="BO152" s="9">
        <f>IF(63&lt;=核心参数输入!$B$9*4,IF(AND(63&gt;(核心参数输入!$B$16*4+(核心参数输入!$B$148+核心参数输入!$B$124)),63&lt;=(核心参数输入!$B$16*4+(核心参数输入!$B$148+核心参数输入!$B$124))+核心参数输入!$B$53*4),季度投融资!$E$26*(1-核心参数输入!$B$54)/核心参数输入!$B$53/4,0),0)</f>
        <v>214.11337499999996</v>
      </c>
      <c r="BP152" s="9">
        <f>IF(64&lt;=核心参数输入!$B$9*4,IF(AND(64&gt;(核心参数输入!$B$16*4+(核心参数输入!$B$148+核心参数输入!$B$124)),64&lt;=(核心参数输入!$B$16*4+(核心参数输入!$B$148+核心参数输入!$B$124))+核心参数输入!$B$53*4),季度投融资!$E$26*(1-核心参数输入!$B$54)/核心参数输入!$B$53/4,0),0)</f>
        <v>214.11337499999996</v>
      </c>
      <c r="BQ152" s="9">
        <f>IF(65&lt;=核心参数输入!$B$9*4,IF(AND(65&gt;(核心参数输入!$B$16*4+(核心参数输入!$B$148+核心参数输入!$B$124)),65&lt;=(核心参数输入!$B$16*4+(核心参数输入!$B$148+核心参数输入!$B$124))+核心参数输入!$B$53*4),季度投融资!$E$26*(1-核心参数输入!$B$54)/核心参数输入!$B$53/4,0),0)</f>
        <v>214.11337499999996</v>
      </c>
      <c r="BR152" s="9">
        <f>IF(66&lt;=核心参数输入!$B$9*4,IF(AND(66&gt;(核心参数输入!$B$16*4+(核心参数输入!$B$148+核心参数输入!$B$124)),66&lt;=(核心参数输入!$B$16*4+(核心参数输入!$B$148+核心参数输入!$B$124))+核心参数输入!$B$53*4),季度投融资!$E$26*(1-核心参数输入!$B$54)/核心参数输入!$B$53/4,0),0)</f>
        <v>214.11337499999996</v>
      </c>
      <c r="BS152" s="9">
        <f>IF(67&lt;=核心参数输入!$B$9*4,IF(AND(67&gt;(核心参数输入!$B$16*4+(核心参数输入!$B$148+核心参数输入!$B$124)),67&lt;=(核心参数输入!$B$16*4+(核心参数输入!$B$148+核心参数输入!$B$124))+核心参数输入!$B$53*4),季度投融资!$E$26*(1-核心参数输入!$B$54)/核心参数输入!$B$53/4,0),0)</f>
        <v>214.11337499999996</v>
      </c>
      <c r="BT152" s="9">
        <f>IF(68&lt;=核心参数输入!$B$9*4,IF(AND(68&gt;(核心参数输入!$B$16*4+(核心参数输入!$B$148+核心参数输入!$B$124)),68&lt;=(核心参数输入!$B$16*4+(核心参数输入!$B$148+核心参数输入!$B$124))+核心参数输入!$B$53*4),季度投融资!$E$26*(1-核心参数输入!$B$54)/核心参数输入!$B$53/4,0),0)</f>
        <v>214.11337499999996</v>
      </c>
      <c r="BU152" s="9">
        <f>IF(69&lt;=核心参数输入!$B$9*4,IF(AND(69&gt;(核心参数输入!$B$16*4+(核心参数输入!$B$148+核心参数输入!$B$124)),69&lt;=(核心参数输入!$B$16*4+(核心参数输入!$B$148+核心参数输入!$B$124))+核心参数输入!$B$53*4),季度投融资!$E$26*(1-核心参数输入!$B$54)/核心参数输入!$B$53/4,0),0)</f>
        <v>214.11337499999996</v>
      </c>
      <c r="BV152" s="9">
        <f>IF(70&lt;=核心参数输入!$B$9*4,IF(AND(70&gt;(核心参数输入!$B$16*4+(核心参数输入!$B$148+核心参数输入!$B$124)),70&lt;=(核心参数输入!$B$16*4+(核心参数输入!$B$148+核心参数输入!$B$124))+核心参数输入!$B$53*4),季度投融资!$E$26*(1-核心参数输入!$B$54)/核心参数输入!$B$53/4,0),0)</f>
        <v>214.11337499999996</v>
      </c>
      <c r="BW152" s="9">
        <f>IF(71&lt;=核心参数输入!$B$9*4,IF(AND(71&gt;(核心参数输入!$B$16*4+(核心参数输入!$B$148+核心参数输入!$B$124)),71&lt;=(核心参数输入!$B$16*4+(核心参数输入!$B$148+核心参数输入!$B$124))+核心参数输入!$B$53*4),季度投融资!$E$26*(1-核心参数输入!$B$54)/核心参数输入!$B$53/4,0),0)</f>
        <v>214.11337499999996</v>
      </c>
      <c r="BX152" s="9">
        <f>IF(72&lt;=核心参数输入!$B$9*4,IF(AND(72&gt;(核心参数输入!$B$16*4+(核心参数输入!$B$148+核心参数输入!$B$124)),72&lt;=(核心参数输入!$B$16*4+(核心参数输入!$B$148+核心参数输入!$B$124))+核心参数输入!$B$53*4),季度投融资!$E$26*(1-核心参数输入!$B$54)/核心参数输入!$B$53/4,0),0)</f>
        <v>214.11337499999996</v>
      </c>
      <c r="BY152" s="9">
        <f>IF(73&lt;=核心参数输入!$B$9*4,IF(AND(73&gt;(核心参数输入!$B$16*4+(核心参数输入!$B$148+核心参数输入!$B$124)),73&lt;=(核心参数输入!$B$16*4+(核心参数输入!$B$148+核心参数输入!$B$124))+核心参数输入!$B$53*4),季度投融资!$E$26*(1-核心参数输入!$B$54)/核心参数输入!$B$53/4,0),0)</f>
        <v>214.11337499999996</v>
      </c>
      <c r="BZ152" s="9">
        <f>IF(74&lt;=核心参数输入!$B$9*4,IF(AND(74&gt;(核心参数输入!$B$16*4+(核心参数输入!$B$148+核心参数输入!$B$124)),74&lt;=(核心参数输入!$B$16*4+(核心参数输入!$B$148+核心参数输入!$B$124))+核心参数输入!$B$53*4),季度投融资!$E$26*(1-核心参数输入!$B$54)/核心参数输入!$B$53/4,0),0)</f>
        <v>214.11337499999996</v>
      </c>
      <c r="CA152" s="9">
        <f>IF(75&lt;=核心参数输入!$B$9*4,IF(AND(75&gt;(核心参数输入!$B$16*4+(核心参数输入!$B$148+核心参数输入!$B$124)),75&lt;=(核心参数输入!$B$16*4+(核心参数输入!$B$148+核心参数输入!$B$124))+核心参数输入!$B$53*4),季度投融资!$E$26*(1-核心参数输入!$B$54)/核心参数输入!$B$53/4,0),0)</f>
        <v>214.11337499999996</v>
      </c>
      <c r="CB152" s="9">
        <f>IF(76&lt;=核心参数输入!$B$9*4,IF(AND(76&gt;(核心参数输入!$B$16*4+(核心参数输入!$B$148+核心参数输入!$B$124)),76&lt;=(核心参数输入!$B$16*4+(核心参数输入!$B$148+核心参数输入!$B$124))+核心参数输入!$B$53*4),季度投融资!$E$26*(1-核心参数输入!$B$54)/核心参数输入!$B$53/4,0),0)</f>
        <v>214.11337499999996</v>
      </c>
      <c r="CC152" s="9">
        <f>IF(77&lt;=核心参数输入!$B$9*4,IF(AND(77&gt;(核心参数输入!$B$16*4+(核心参数输入!$B$148+核心参数输入!$B$124)),77&lt;=(核心参数输入!$B$16*4+(核心参数输入!$B$148+核心参数输入!$B$124))+核心参数输入!$B$53*4),季度投融资!$E$26*(1-核心参数输入!$B$54)/核心参数输入!$B$53/4,0),0)</f>
        <v>214.11337499999996</v>
      </c>
      <c r="CD152" s="9">
        <f>IF(78&lt;=核心参数输入!$B$9*4,IF(AND(78&gt;(核心参数输入!$B$16*4+(核心参数输入!$B$148+核心参数输入!$B$124)),78&lt;=(核心参数输入!$B$16*4+(核心参数输入!$B$148+核心参数输入!$B$124))+核心参数输入!$B$53*4),季度投融资!$E$26*(1-核心参数输入!$B$54)/核心参数输入!$B$53/4,0),0)</f>
        <v>214.11337499999996</v>
      </c>
      <c r="CE152" s="9">
        <f>IF(79&lt;=核心参数输入!$B$9*4,IF(AND(79&gt;(核心参数输入!$B$16*4+(核心参数输入!$B$148+核心参数输入!$B$124)),79&lt;=(核心参数输入!$B$16*4+(核心参数输入!$B$148+核心参数输入!$B$124))+核心参数输入!$B$53*4),季度投融资!$E$26*(1-核心参数输入!$B$54)/核心参数输入!$B$53/4,0),0)</f>
        <v>214.11337499999996</v>
      </c>
      <c r="CF152" s="9">
        <f>IF(80&lt;=核心参数输入!$B$9*4,IF(AND(80&gt;(核心参数输入!$B$16*4+(核心参数输入!$B$148+核心参数输入!$B$124)),80&lt;=(核心参数输入!$B$16*4+(核心参数输入!$B$148+核心参数输入!$B$124))+核心参数输入!$B$53*4),季度投融资!$E$26*(1-核心参数输入!$B$54)/核心参数输入!$B$53/4,0),0)</f>
        <v>214.11337499999996</v>
      </c>
      <c r="CG152" s="9">
        <f>IF(81&lt;=核心参数输入!$B$9*4,IF(AND(81&gt;(核心参数输入!$B$16*4+(核心参数输入!$B$148+核心参数输入!$B$124)),81&lt;=(核心参数输入!$B$16*4+(核心参数输入!$B$148+核心参数输入!$B$124))+核心参数输入!$B$53*4),季度投融资!$E$26*(1-核心参数输入!$B$54)/核心参数输入!$B$53/4,0),0)</f>
        <v>0</v>
      </c>
      <c r="CH152" s="9">
        <f>IF(82&lt;=核心参数输入!$B$9*4,IF(AND(82&gt;(核心参数输入!$B$16*4+(核心参数输入!$B$148+核心参数输入!$B$124)),82&lt;=(核心参数输入!$B$16*4+(核心参数输入!$B$148+核心参数输入!$B$124))+核心参数输入!$B$53*4),季度投融资!$E$26*(1-核心参数输入!$B$54)/核心参数输入!$B$53/4,0),0)</f>
        <v>0</v>
      </c>
      <c r="CI152" s="9">
        <f>IF(83&lt;=核心参数输入!$B$9*4,IF(AND(83&gt;(核心参数输入!$B$16*4+(核心参数输入!$B$148+核心参数输入!$B$124)),83&lt;=(核心参数输入!$B$16*4+(核心参数输入!$B$148+核心参数输入!$B$124))+核心参数输入!$B$53*4),季度投融资!$E$26*(1-核心参数输入!$B$54)/核心参数输入!$B$53/4,0),0)</f>
        <v>0</v>
      </c>
      <c r="CJ152" s="9">
        <f>IF(84&lt;=核心参数输入!$B$9*4,IF(AND(84&gt;(核心参数输入!$B$16*4+(核心参数输入!$B$148+核心参数输入!$B$124)),84&lt;=(核心参数输入!$B$16*4+(核心参数输入!$B$148+核心参数输入!$B$124))+核心参数输入!$B$53*4),季度投融资!$E$26*(1-核心参数输入!$B$54)/核心参数输入!$B$53/4,0),0)</f>
        <v>0</v>
      </c>
      <c r="CK152" s="9">
        <f>IF(85&lt;=核心参数输入!$B$9*4,IF(AND(85&gt;(核心参数输入!$B$16*4+(核心参数输入!$B$148+核心参数输入!$B$124)),85&lt;=(核心参数输入!$B$16*4+(核心参数输入!$B$148+核心参数输入!$B$124))+核心参数输入!$B$53*4),季度投融资!$E$26*(1-核心参数输入!$B$54)/核心参数输入!$B$53/4,0),0)</f>
        <v>0</v>
      </c>
      <c r="CL152" s="9">
        <f>IF(86&lt;=核心参数输入!$B$9*4,IF(AND(86&gt;(核心参数输入!$B$16*4+(核心参数输入!$B$148+核心参数输入!$B$124)),86&lt;=(核心参数输入!$B$16*4+(核心参数输入!$B$148+核心参数输入!$B$124))+核心参数输入!$B$53*4),季度投融资!$E$26*(1-核心参数输入!$B$54)/核心参数输入!$B$53/4,0),0)</f>
        <v>0</v>
      </c>
      <c r="CM152" s="9">
        <f>IF(87&lt;=核心参数输入!$B$9*4,IF(AND(87&gt;(核心参数输入!$B$16*4+(核心参数输入!$B$148+核心参数输入!$B$124)),87&lt;=(核心参数输入!$B$16*4+(核心参数输入!$B$148+核心参数输入!$B$124))+核心参数输入!$B$53*4),季度投融资!$E$26*(1-核心参数输入!$B$54)/核心参数输入!$B$53/4,0),0)</f>
        <v>0</v>
      </c>
      <c r="CN152" s="9">
        <f>IF(88&lt;=核心参数输入!$B$9*4,IF(AND(88&gt;(核心参数输入!$B$16*4+(核心参数输入!$B$148+核心参数输入!$B$124)),88&lt;=(核心参数输入!$B$16*4+(核心参数输入!$B$148+核心参数输入!$B$124))+核心参数输入!$B$53*4),季度投融资!$E$26*(1-核心参数输入!$B$54)/核心参数输入!$B$53/4,0),0)</f>
        <v>0</v>
      </c>
      <c r="CO152" s="9">
        <f>IF(89&lt;=核心参数输入!$B$9*4,IF(AND(89&gt;(核心参数输入!$B$16*4+(核心参数输入!$B$148+核心参数输入!$B$124)),89&lt;=(核心参数输入!$B$16*4+(核心参数输入!$B$148+核心参数输入!$B$124))+核心参数输入!$B$53*4),季度投融资!$E$26*(1-核心参数输入!$B$54)/核心参数输入!$B$53/4,0),0)</f>
        <v>0</v>
      </c>
      <c r="CP152" s="9">
        <f>IF(90&lt;=核心参数输入!$B$9*4,IF(AND(90&gt;(核心参数输入!$B$16*4+(核心参数输入!$B$148+核心参数输入!$B$124)),90&lt;=(核心参数输入!$B$16*4+(核心参数输入!$B$148+核心参数输入!$B$124))+核心参数输入!$B$53*4),季度投融资!$E$26*(1-核心参数输入!$B$54)/核心参数输入!$B$53/4,0),0)</f>
        <v>0</v>
      </c>
      <c r="CQ152" s="9">
        <f>IF(91&lt;=核心参数输入!$B$9*4,IF(AND(91&gt;(核心参数输入!$B$16*4+(核心参数输入!$B$148+核心参数输入!$B$124)),91&lt;=(核心参数输入!$B$16*4+(核心参数输入!$B$148+核心参数输入!$B$124))+核心参数输入!$B$53*4),季度投融资!$E$26*(1-核心参数输入!$B$54)/核心参数输入!$B$53/4,0),0)</f>
        <v>0</v>
      </c>
      <c r="CR152" s="9">
        <f>IF(92&lt;=核心参数输入!$B$9*4,IF(AND(92&gt;(核心参数输入!$B$16*4+(核心参数输入!$B$148+核心参数输入!$B$124)),92&lt;=(核心参数输入!$B$16*4+(核心参数输入!$B$148+核心参数输入!$B$124))+核心参数输入!$B$53*4),季度投融资!$E$26*(1-核心参数输入!$B$54)/核心参数输入!$B$53/4,0),0)</f>
        <v>0</v>
      </c>
      <c r="CS152" s="9">
        <f>IF(93&lt;=核心参数输入!$B$9*4,IF(AND(93&gt;(核心参数输入!$B$16*4+(核心参数输入!$B$148+核心参数输入!$B$124)),93&lt;=(核心参数输入!$B$16*4+(核心参数输入!$B$148+核心参数输入!$B$124))+核心参数输入!$B$53*4),季度投融资!$E$26*(1-核心参数输入!$B$54)/核心参数输入!$B$53/4,0),0)</f>
        <v>0</v>
      </c>
      <c r="CT152" s="9">
        <f>IF(94&lt;=核心参数输入!$B$9*4,IF(AND(94&gt;(核心参数输入!$B$16*4+(核心参数输入!$B$148+核心参数输入!$B$124)),94&lt;=(核心参数输入!$B$16*4+(核心参数输入!$B$148+核心参数输入!$B$124))+核心参数输入!$B$53*4),季度投融资!$E$26*(1-核心参数输入!$B$54)/核心参数输入!$B$53/4,0),0)</f>
        <v>0</v>
      </c>
      <c r="CU152" s="9">
        <f>IF(95&lt;=核心参数输入!$B$9*4,IF(AND(95&gt;(核心参数输入!$B$16*4+(核心参数输入!$B$148+核心参数输入!$B$124)),95&lt;=(核心参数输入!$B$16*4+(核心参数输入!$B$148+核心参数输入!$B$124))+核心参数输入!$B$53*4),季度投融资!$E$26*(1-核心参数输入!$B$54)/核心参数输入!$B$53/4,0),0)</f>
        <v>0</v>
      </c>
      <c r="CV152" s="9">
        <f>IF(96&lt;=核心参数输入!$B$9*4,IF(AND(96&gt;(核心参数输入!$B$16*4+(核心参数输入!$B$148+核心参数输入!$B$124)),96&lt;=(核心参数输入!$B$16*4+(核心参数输入!$B$148+核心参数输入!$B$124))+核心参数输入!$B$53*4),季度投融资!$E$26*(1-核心参数输入!$B$54)/核心参数输入!$B$53/4,0),0)</f>
        <v>0</v>
      </c>
      <c r="CW152" s="9">
        <f>IF(97&lt;=核心参数输入!$B$9*4,IF(AND(97&gt;(核心参数输入!$B$16*4+(核心参数输入!$B$148+核心参数输入!$B$124)),97&lt;=(核心参数输入!$B$16*4+(核心参数输入!$B$148+核心参数输入!$B$124))+核心参数输入!$B$53*4),季度投融资!$E$26*(1-核心参数输入!$B$54)/核心参数输入!$B$53/4,0),0)</f>
        <v>0</v>
      </c>
      <c r="CX152" s="9">
        <f>IF(98&lt;=核心参数输入!$B$9*4,IF(AND(98&gt;(核心参数输入!$B$16*4+(核心参数输入!$B$148+核心参数输入!$B$124)),98&lt;=(核心参数输入!$B$16*4+(核心参数输入!$B$148+核心参数输入!$B$124))+核心参数输入!$B$53*4),季度投融资!$E$26*(1-核心参数输入!$B$54)/核心参数输入!$B$53/4,0),0)</f>
        <v>0</v>
      </c>
      <c r="CY152" s="9">
        <f>IF(99&lt;=核心参数输入!$B$9*4,IF(AND(99&gt;(核心参数输入!$B$16*4+(核心参数输入!$B$148+核心参数输入!$B$124)),99&lt;=(核心参数输入!$B$16*4+(核心参数输入!$B$148+核心参数输入!$B$124))+核心参数输入!$B$53*4),季度投融资!$E$26*(1-核心参数输入!$B$54)/核心参数输入!$B$53/4,0),0)</f>
        <v>0</v>
      </c>
      <c r="CZ152" s="9">
        <f>IF(100&lt;=核心参数输入!$B$9*4,IF(AND(100&gt;(核心参数输入!$B$16*4+(核心参数输入!$B$148+核心参数输入!$B$124)),100&lt;=(核心参数输入!$B$16*4+(核心参数输入!$B$148+核心参数输入!$B$124))+核心参数输入!$B$53*4),季度投融资!$E$26*(1-核心参数输入!$B$54)/核心参数输入!$B$53/4,0),0)</f>
        <v>0</v>
      </c>
      <c r="DA152" s="9">
        <f>IF(101&lt;=核心参数输入!$B$9*4,IF(AND(101&gt;(核心参数输入!$B$16*4+(核心参数输入!$B$148+核心参数输入!$B$124)),101&lt;=(核心参数输入!$B$16*4+(核心参数输入!$B$148+核心参数输入!$B$124))+核心参数输入!$B$53*4),季度投融资!$E$26*(1-核心参数输入!$B$54)/核心参数输入!$B$53/4,0),0)</f>
        <v>0</v>
      </c>
      <c r="DB152" s="9">
        <f>IF(102&lt;=核心参数输入!$B$9*4,IF(AND(102&gt;(核心参数输入!$B$16*4+(核心参数输入!$B$148+核心参数输入!$B$124)),102&lt;=(核心参数输入!$B$16*4+(核心参数输入!$B$148+核心参数输入!$B$124))+核心参数输入!$B$53*4),季度投融资!$E$26*(1-核心参数输入!$B$54)/核心参数输入!$B$53/4,0),0)</f>
        <v>0</v>
      </c>
      <c r="DC152" s="9">
        <f>IF(103&lt;=核心参数输入!$B$9*4,IF(AND(103&gt;(核心参数输入!$B$16*4+(核心参数输入!$B$148+核心参数输入!$B$124)),103&lt;=(核心参数输入!$B$16*4+(核心参数输入!$B$148+核心参数输入!$B$124))+核心参数输入!$B$53*4),季度投融资!$E$26*(1-核心参数输入!$B$54)/核心参数输入!$B$53/4,0),0)</f>
        <v>0</v>
      </c>
      <c r="DD152" s="9">
        <f>IF(104&lt;=核心参数输入!$B$9*4,IF(AND(104&gt;(核心参数输入!$B$16*4+(核心参数输入!$B$148+核心参数输入!$B$124)),104&lt;=(核心参数输入!$B$16*4+(核心参数输入!$B$148+核心参数输入!$B$124))+核心参数输入!$B$53*4),季度投融资!$E$26*(1-核心参数输入!$B$54)/核心参数输入!$B$53/4,0),0)</f>
        <v>0</v>
      </c>
      <c r="DE152" s="9">
        <f>IF(105&lt;=核心参数输入!$B$9*4,IF(AND(105&gt;(核心参数输入!$B$16*4+(核心参数输入!$B$148+核心参数输入!$B$124)),105&lt;=(核心参数输入!$B$16*4+(核心参数输入!$B$148+核心参数输入!$B$124))+核心参数输入!$B$53*4),季度投融资!$E$26*(1-核心参数输入!$B$54)/核心参数输入!$B$53/4,0),0)</f>
        <v>0</v>
      </c>
      <c r="DF152" s="9">
        <f>IF(106&lt;=核心参数输入!$B$9*4,IF(AND(106&gt;(核心参数输入!$B$16*4+(核心参数输入!$B$148+核心参数输入!$B$124)),106&lt;=(核心参数输入!$B$16*4+(核心参数输入!$B$148+核心参数输入!$B$124))+核心参数输入!$B$53*4),季度投融资!$E$26*(1-核心参数输入!$B$54)/核心参数输入!$B$53/4,0),0)</f>
        <v>0</v>
      </c>
      <c r="DG152" s="9">
        <f>IF(107&lt;=核心参数输入!$B$9*4,IF(AND(107&gt;(核心参数输入!$B$16*4+(核心参数输入!$B$148+核心参数输入!$B$124)),107&lt;=(核心参数输入!$B$16*4+(核心参数输入!$B$148+核心参数输入!$B$124))+核心参数输入!$B$53*4),季度投融资!$E$26*(1-核心参数输入!$B$54)/核心参数输入!$B$53/4,0),0)</f>
        <v>0</v>
      </c>
      <c r="DH152" s="9">
        <f>IF(108&lt;=核心参数输入!$B$9*4,IF(AND(108&gt;(核心参数输入!$B$16*4+(核心参数输入!$B$148+核心参数输入!$B$124)),108&lt;=(核心参数输入!$B$16*4+(核心参数输入!$B$148+核心参数输入!$B$124))+核心参数输入!$B$53*4),季度投融资!$E$26*(1-核心参数输入!$B$54)/核心参数输入!$B$53/4,0),0)</f>
        <v>0</v>
      </c>
      <c r="DI152" s="9">
        <f>IF(109&lt;=核心参数输入!$B$9*4,IF(AND(109&gt;(核心参数输入!$B$16*4+(核心参数输入!$B$148+核心参数输入!$B$124)),109&lt;=(核心参数输入!$B$16*4+(核心参数输入!$B$148+核心参数输入!$B$124))+核心参数输入!$B$53*4),季度投融资!$E$26*(1-核心参数输入!$B$54)/核心参数输入!$B$53/4,0),0)</f>
        <v>0</v>
      </c>
      <c r="DJ152" s="9">
        <f>IF(110&lt;=核心参数输入!$B$9*4,IF(AND(110&gt;(核心参数输入!$B$16*4+(核心参数输入!$B$148+核心参数输入!$B$124)),110&lt;=(核心参数输入!$B$16*4+(核心参数输入!$B$148+核心参数输入!$B$124))+核心参数输入!$B$53*4),季度投融资!$E$26*(1-核心参数输入!$B$54)/核心参数输入!$B$53/4,0),0)</f>
        <v>0</v>
      </c>
      <c r="DK152" s="9">
        <f>IF(111&lt;=核心参数输入!$B$9*4,IF(AND(111&gt;(核心参数输入!$B$16*4+(核心参数输入!$B$148+核心参数输入!$B$124)),111&lt;=(核心参数输入!$B$16*4+(核心参数输入!$B$148+核心参数输入!$B$124))+核心参数输入!$B$53*4),季度投融资!$E$26*(1-核心参数输入!$B$54)/核心参数输入!$B$53/4,0),0)</f>
        <v>0</v>
      </c>
      <c r="DL152" s="9">
        <f>IF(112&lt;=核心参数输入!$B$9*4,IF(AND(112&gt;(核心参数输入!$B$16*4+(核心参数输入!$B$148+核心参数输入!$B$124)),112&lt;=(核心参数输入!$B$16*4+(核心参数输入!$B$148+核心参数输入!$B$124))+核心参数输入!$B$53*4),季度投融资!$E$26*(1-核心参数输入!$B$54)/核心参数输入!$B$53/4,0),0)</f>
        <v>0</v>
      </c>
      <c r="DM152" s="9">
        <f>IF(113&lt;=核心参数输入!$B$9*4,IF(AND(113&gt;(核心参数输入!$B$16*4+(核心参数输入!$B$148+核心参数输入!$B$124)),113&lt;=(核心参数输入!$B$16*4+(核心参数输入!$B$148+核心参数输入!$B$124))+核心参数输入!$B$53*4),季度投融资!$E$26*(1-核心参数输入!$B$54)/核心参数输入!$B$53/4,0),0)</f>
        <v>0</v>
      </c>
      <c r="DN152" s="9">
        <f>IF(114&lt;=核心参数输入!$B$9*4,IF(AND(114&gt;(核心参数输入!$B$16*4+(核心参数输入!$B$148+核心参数输入!$B$124)),114&lt;=(核心参数输入!$B$16*4+(核心参数输入!$B$148+核心参数输入!$B$124))+核心参数输入!$B$53*4),季度投融资!$E$26*(1-核心参数输入!$B$54)/核心参数输入!$B$53/4,0),0)</f>
        <v>0</v>
      </c>
      <c r="DO152" s="9">
        <f>IF(115&lt;=核心参数输入!$B$9*4,IF(AND(115&gt;(核心参数输入!$B$16*4+(核心参数输入!$B$148+核心参数输入!$B$124)),115&lt;=(核心参数输入!$B$16*4+(核心参数输入!$B$148+核心参数输入!$B$124))+核心参数输入!$B$53*4),季度投融资!$E$26*(1-核心参数输入!$B$54)/核心参数输入!$B$53/4,0),0)</f>
        <v>0</v>
      </c>
      <c r="DP152" s="9">
        <f>IF(116&lt;=核心参数输入!$B$9*4,IF(AND(116&gt;(核心参数输入!$B$16*4+(核心参数输入!$B$148+核心参数输入!$B$124)),116&lt;=(核心参数输入!$B$16*4+(核心参数输入!$B$148+核心参数输入!$B$124))+核心参数输入!$B$53*4),季度投融资!$E$26*(1-核心参数输入!$B$54)/核心参数输入!$B$53/4,0),0)</f>
        <v>0</v>
      </c>
      <c r="DQ152" s="9">
        <f>IF(117&lt;=核心参数输入!$B$9*4,IF(AND(117&gt;(核心参数输入!$B$16*4+(核心参数输入!$B$148+核心参数输入!$B$124)),117&lt;=(核心参数输入!$B$16*4+(核心参数输入!$B$148+核心参数输入!$B$124))+核心参数输入!$B$53*4),季度投融资!$E$26*(1-核心参数输入!$B$54)/核心参数输入!$B$53/4,0),0)</f>
        <v>0</v>
      </c>
      <c r="DR152" s="9">
        <f>IF(118&lt;=核心参数输入!$B$9*4,IF(AND(118&gt;(核心参数输入!$B$16*4+(核心参数输入!$B$148+核心参数输入!$B$124)),118&lt;=(核心参数输入!$B$16*4+(核心参数输入!$B$148+核心参数输入!$B$124))+核心参数输入!$B$53*4),季度投融资!$E$26*(1-核心参数输入!$B$54)/核心参数输入!$B$53/4,0),0)</f>
        <v>0</v>
      </c>
      <c r="DS152" s="9">
        <f>IF(119&lt;=核心参数输入!$B$9*4,IF(AND(119&gt;(核心参数输入!$B$16*4+(核心参数输入!$B$148+核心参数输入!$B$124)),119&lt;=(核心参数输入!$B$16*4+(核心参数输入!$B$148+核心参数输入!$B$124))+核心参数输入!$B$53*4),季度投融资!$E$26*(1-核心参数输入!$B$54)/核心参数输入!$B$53/4,0),0)</f>
        <v>0</v>
      </c>
      <c r="DT152" s="9">
        <f>IF(120&lt;=核心参数输入!$B$9*4,IF(AND(120&gt;(核心参数输入!$B$16*4+(核心参数输入!$B$148+核心参数输入!$B$124)),120&lt;=(核心参数输入!$B$16*4+(核心参数输入!$B$148+核心参数输入!$B$124))+核心参数输入!$B$53*4),季度投融资!$E$26*(1-核心参数输入!$B$54)/核心参数输入!$B$53/4,0),0)</f>
        <v>0</v>
      </c>
    </row>
    <row r="153" spans="1:124" ht="21" customHeight="1">
      <c r="A153" s="8" t="s">
        <v>475</v>
      </c>
      <c r="B153" s="8" t="s">
        <v>39</v>
      </c>
      <c r="C153" s="8"/>
      <c r="D153" s="9">
        <f>IF(0&lt;=核心参数输入!$B$9*4,IF(AND(核心参数输入!$B$98=1,0&gt;(核心参数输入!$B$16*4+(核心参数输入!$B$148+核心参数输入!$B$124)),0&lt;=(核心参数输入!$B$16*4+(核心参数输入!$B$148+核心参数输入!$B$124))+核心参数输入!$B$99*4),季度投融资!$E$24/MAX(1,核心参数输入!$B$99)/4,0),0)</f>
        <v>0</v>
      </c>
      <c r="E153" s="9">
        <f>IF(1&lt;=核心参数输入!$B$9*4,IF(AND(核心参数输入!$B$98=1,1&gt;(核心参数输入!$B$16*4+(核心参数输入!$B$148+核心参数输入!$B$124)),1&lt;=(核心参数输入!$B$16*4+(核心参数输入!$B$148+核心参数输入!$B$124))+核心参数输入!$B$99*4),季度投融资!$E$24/MAX(1,核心参数输入!$B$99)/4,0),0)</f>
        <v>0</v>
      </c>
      <c r="F153" s="9">
        <f>IF(2&lt;=核心参数输入!$B$9*4,IF(AND(核心参数输入!$B$98=1,2&gt;(核心参数输入!$B$16*4+(核心参数输入!$B$148+核心参数输入!$B$124)),2&lt;=(核心参数输入!$B$16*4+(核心参数输入!$B$148+核心参数输入!$B$124))+核心参数输入!$B$99*4),季度投融资!$E$24/MAX(1,核心参数输入!$B$99)/4,0),0)</f>
        <v>0</v>
      </c>
      <c r="G153" s="9">
        <f>IF(3&lt;=核心参数输入!$B$9*4,IF(AND(核心参数输入!$B$98=1,3&gt;(核心参数输入!$B$16*4+(核心参数输入!$B$148+核心参数输入!$B$124)),3&lt;=(核心参数输入!$B$16*4+(核心参数输入!$B$148+核心参数输入!$B$124))+核心参数输入!$B$99*4),季度投融资!$E$24/MAX(1,核心参数输入!$B$99)/4,0),0)</f>
        <v>0</v>
      </c>
      <c r="H153" s="9">
        <f>IF(4&lt;=核心参数输入!$B$9*4,IF(AND(核心参数输入!$B$98=1,4&gt;(核心参数输入!$B$16*4+(核心参数输入!$B$148+核心参数输入!$B$124)),4&lt;=(核心参数输入!$B$16*4+(核心参数输入!$B$148+核心参数输入!$B$124))+核心参数输入!$B$99*4),季度投融资!$E$24/MAX(1,核心参数输入!$B$99)/4,0),0)</f>
        <v>0</v>
      </c>
      <c r="I153" s="9">
        <f>IF(5&lt;=核心参数输入!$B$9*4,IF(AND(核心参数输入!$B$98=1,5&gt;(核心参数输入!$B$16*4+(核心参数输入!$B$148+核心参数输入!$B$124)),5&lt;=(核心参数输入!$B$16*4+(核心参数输入!$B$148+核心参数输入!$B$124))+核心参数输入!$B$99*4),季度投融资!$E$24/MAX(1,核心参数输入!$B$99)/4,0),0)</f>
        <v>0</v>
      </c>
      <c r="J153" s="9">
        <f>IF(6&lt;=核心参数输入!$B$9*4,IF(AND(核心参数输入!$B$98=1,6&gt;(核心参数输入!$B$16*4+(核心参数输入!$B$148+核心参数输入!$B$124)),6&lt;=(核心参数输入!$B$16*4+(核心参数输入!$B$148+核心参数输入!$B$124))+核心参数输入!$B$99*4),季度投融资!$E$24/MAX(1,核心参数输入!$B$99)/4,0),0)</f>
        <v>0</v>
      </c>
      <c r="K153" s="9">
        <f>IF(7&lt;=核心参数输入!$B$9*4,IF(AND(核心参数输入!$B$98=1,7&gt;(核心参数输入!$B$16*4+(核心参数输入!$B$148+核心参数输入!$B$124)),7&lt;=(核心参数输入!$B$16*4+(核心参数输入!$B$148+核心参数输入!$B$124))+核心参数输入!$B$99*4),季度投融资!$E$24/MAX(1,核心参数输入!$B$99)/4,0),0)</f>
        <v>0</v>
      </c>
      <c r="L153" s="9">
        <f>IF(8&lt;=核心参数输入!$B$9*4,IF(AND(核心参数输入!$B$98=1,8&gt;(核心参数输入!$B$16*4+(核心参数输入!$B$148+核心参数输入!$B$124)),8&lt;=(核心参数输入!$B$16*4+(核心参数输入!$B$148+核心参数输入!$B$124))+核心参数输入!$B$99*4),季度投融资!$E$24/MAX(1,核心参数输入!$B$99)/4,0),0)</f>
        <v>0</v>
      </c>
      <c r="M153" s="9">
        <f>IF(9&lt;=核心参数输入!$B$9*4,IF(AND(核心参数输入!$B$98=1,9&gt;(核心参数输入!$B$16*4+(核心参数输入!$B$148+核心参数输入!$B$124)),9&lt;=(核心参数输入!$B$16*4+(核心参数输入!$B$148+核心参数输入!$B$124))+核心参数输入!$B$99*4),季度投融资!$E$24/MAX(1,核心参数输入!$B$99)/4,0),0)</f>
        <v>0</v>
      </c>
      <c r="N153" s="9">
        <f>IF(10&lt;=核心参数输入!$B$9*4,IF(AND(核心参数输入!$B$98=1,10&gt;(核心参数输入!$B$16*4+(核心参数输入!$B$148+核心参数输入!$B$124)),10&lt;=(核心参数输入!$B$16*4+(核心参数输入!$B$148+核心参数输入!$B$124))+核心参数输入!$B$99*4),季度投融资!$E$24/MAX(1,核心参数输入!$B$99)/4,0),0)</f>
        <v>0</v>
      </c>
      <c r="O153" s="9">
        <f>IF(11&lt;=核心参数输入!$B$9*4,IF(AND(核心参数输入!$B$98=1,11&gt;(核心参数输入!$B$16*4+(核心参数输入!$B$148+核心参数输入!$B$124)),11&lt;=(核心参数输入!$B$16*4+(核心参数输入!$B$148+核心参数输入!$B$124))+核心参数输入!$B$99*4),季度投融资!$E$24/MAX(1,核心参数输入!$B$99)/4,0),0)</f>
        <v>0</v>
      </c>
      <c r="P153" s="9">
        <f>IF(12&lt;=核心参数输入!$B$9*4,IF(AND(核心参数输入!$B$98=1,12&gt;(核心参数输入!$B$16*4+(核心参数输入!$B$148+核心参数输入!$B$124)),12&lt;=(核心参数输入!$B$16*4+(核心参数输入!$B$148+核心参数输入!$B$124))+核心参数输入!$B$99*4),季度投融资!$E$24/MAX(1,核心参数输入!$B$99)/4,0),0)</f>
        <v>0</v>
      </c>
      <c r="Q153" s="9">
        <f>IF(13&lt;=核心参数输入!$B$9*4,IF(AND(核心参数输入!$B$98=1,13&gt;(核心参数输入!$B$16*4+(核心参数输入!$B$148+核心参数输入!$B$124)),13&lt;=(核心参数输入!$B$16*4+(核心参数输入!$B$148+核心参数输入!$B$124))+核心参数输入!$B$99*4),季度投融资!$E$24/MAX(1,核心参数输入!$B$99)/4,0),0)</f>
        <v>17.999999999999996</v>
      </c>
      <c r="R153" s="9">
        <f>IF(14&lt;=核心参数输入!$B$9*4,IF(AND(核心参数输入!$B$98=1,14&gt;(核心参数输入!$B$16*4+(核心参数输入!$B$148+核心参数输入!$B$124)),14&lt;=(核心参数输入!$B$16*4+(核心参数输入!$B$148+核心参数输入!$B$124))+核心参数输入!$B$99*4),季度投融资!$E$24/MAX(1,核心参数输入!$B$99)/4,0),0)</f>
        <v>17.999999999999996</v>
      </c>
      <c r="S153" s="9">
        <f>IF(15&lt;=核心参数输入!$B$9*4,IF(AND(核心参数输入!$B$98=1,15&gt;(核心参数输入!$B$16*4+(核心参数输入!$B$148+核心参数输入!$B$124)),15&lt;=(核心参数输入!$B$16*4+(核心参数输入!$B$148+核心参数输入!$B$124))+核心参数输入!$B$99*4),季度投融资!$E$24/MAX(1,核心参数输入!$B$99)/4,0),0)</f>
        <v>17.999999999999996</v>
      </c>
      <c r="T153" s="9">
        <f>IF(16&lt;=核心参数输入!$B$9*4,IF(AND(核心参数输入!$B$98=1,16&gt;(核心参数输入!$B$16*4+(核心参数输入!$B$148+核心参数输入!$B$124)),16&lt;=(核心参数输入!$B$16*4+(核心参数输入!$B$148+核心参数输入!$B$124))+核心参数输入!$B$99*4),季度投融资!$E$24/MAX(1,核心参数输入!$B$99)/4,0),0)</f>
        <v>17.999999999999996</v>
      </c>
      <c r="U153" s="9">
        <f>IF(17&lt;=核心参数输入!$B$9*4,IF(AND(核心参数输入!$B$98=1,17&gt;(核心参数输入!$B$16*4+(核心参数输入!$B$148+核心参数输入!$B$124)),17&lt;=(核心参数输入!$B$16*4+(核心参数输入!$B$148+核心参数输入!$B$124))+核心参数输入!$B$99*4),季度投融资!$E$24/MAX(1,核心参数输入!$B$99)/4,0),0)</f>
        <v>17.999999999999996</v>
      </c>
      <c r="V153" s="9">
        <f>IF(18&lt;=核心参数输入!$B$9*4,IF(AND(核心参数输入!$B$98=1,18&gt;(核心参数输入!$B$16*4+(核心参数输入!$B$148+核心参数输入!$B$124)),18&lt;=(核心参数输入!$B$16*4+(核心参数输入!$B$148+核心参数输入!$B$124))+核心参数输入!$B$99*4),季度投融资!$E$24/MAX(1,核心参数输入!$B$99)/4,0),0)</f>
        <v>17.999999999999996</v>
      </c>
      <c r="W153" s="9">
        <f>IF(19&lt;=核心参数输入!$B$9*4,IF(AND(核心参数输入!$B$98=1,19&gt;(核心参数输入!$B$16*4+(核心参数输入!$B$148+核心参数输入!$B$124)),19&lt;=(核心参数输入!$B$16*4+(核心参数输入!$B$148+核心参数输入!$B$124))+核心参数输入!$B$99*4),季度投融资!$E$24/MAX(1,核心参数输入!$B$99)/4,0),0)</f>
        <v>17.999999999999996</v>
      </c>
      <c r="X153" s="9">
        <f>IF(20&lt;=核心参数输入!$B$9*4,IF(AND(核心参数输入!$B$98=1,20&gt;(核心参数输入!$B$16*4+(核心参数输入!$B$148+核心参数输入!$B$124)),20&lt;=(核心参数输入!$B$16*4+(核心参数输入!$B$148+核心参数输入!$B$124))+核心参数输入!$B$99*4),季度投融资!$E$24/MAX(1,核心参数输入!$B$99)/4,0),0)</f>
        <v>17.999999999999996</v>
      </c>
      <c r="Y153" s="9">
        <f>IF(21&lt;=核心参数输入!$B$9*4,IF(AND(核心参数输入!$B$98=1,21&gt;(核心参数输入!$B$16*4+(核心参数输入!$B$148+核心参数输入!$B$124)),21&lt;=(核心参数输入!$B$16*4+(核心参数输入!$B$148+核心参数输入!$B$124))+核心参数输入!$B$99*4),季度投融资!$E$24/MAX(1,核心参数输入!$B$99)/4,0),0)</f>
        <v>17.999999999999996</v>
      </c>
      <c r="Z153" s="9">
        <f>IF(22&lt;=核心参数输入!$B$9*4,IF(AND(核心参数输入!$B$98=1,22&gt;(核心参数输入!$B$16*4+(核心参数输入!$B$148+核心参数输入!$B$124)),22&lt;=(核心参数输入!$B$16*4+(核心参数输入!$B$148+核心参数输入!$B$124))+核心参数输入!$B$99*4),季度投融资!$E$24/MAX(1,核心参数输入!$B$99)/4,0),0)</f>
        <v>17.999999999999996</v>
      </c>
      <c r="AA153" s="9">
        <f>IF(23&lt;=核心参数输入!$B$9*4,IF(AND(核心参数输入!$B$98=1,23&gt;(核心参数输入!$B$16*4+(核心参数输入!$B$148+核心参数输入!$B$124)),23&lt;=(核心参数输入!$B$16*4+(核心参数输入!$B$148+核心参数输入!$B$124))+核心参数输入!$B$99*4),季度投融资!$E$24/MAX(1,核心参数输入!$B$99)/4,0),0)</f>
        <v>17.999999999999996</v>
      </c>
      <c r="AB153" s="9">
        <f>IF(24&lt;=核心参数输入!$B$9*4,IF(AND(核心参数输入!$B$98=1,24&gt;(核心参数输入!$B$16*4+(核心参数输入!$B$148+核心参数输入!$B$124)),24&lt;=(核心参数输入!$B$16*4+(核心参数输入!$B$148+核心参数输入!$B$124))+核心参数输入!$B$99*4),季度投融资!$E$24/MAX(1,核心参数输入!$B$99)/4,0),0)</f>
        <v>17.999999999999996</v>
      </c>
      <c r="AC153" s="9">
        <f>IF(25&lt;=核心参数输入!$B$9*4,IF(AND(核心参数输入!$B$98=1,25&gt;(核心参数输入!$B$16*4+(核心参数输入!$B$148+核心参数输入!$B$124)),25&lt;=(核心参数输入!$B$16*4+(核心参数输入!$B$148+核心参数输入!$B$124))+核心参数输入!$B$99*4),季度投融资!$E$24/MAX(1,核心参数输入!$B$99)/4,0),0)</f>
        <v>17.999999999999996</v>
      </c>
      <c r="AD153" s="9">
        <f>IF(26&lt;=核心参数输入!$B$9*4,IF(AND(核心参数输入!$B$98=1,26&gt;(核心参数输入!$B$16*4+(核心参数输入!$B$148+核心参数输入!$B$124)),26&lt;=(核心参数输入!$B$16*4+(核心参数输入!$B$148+核心参数输入!$B$124))+核心参数输入!$B$99*4),季度投融资!$E$24/MAX(1,核心参数输入!$B$99)/4,0),0)</f>
        <v>17.999999999999996</v>
      </c>
      <c r="AE153" s="9">
        <f>IF(27&lt;=核心参数输入!$B$9*4,IF(AND(核心参数输入!$B$98=1,27&gt;(核心参数输入!$B$16*4+(核心参数输入!$B$148+核心参数输入!$B$124)),27&lt;=(核心参数输入!$B$16*4+(核心参数输入!$B$148+核心参数输入!$B$124))+核心参数输入!$B$99*4),季度投融资!$E$24/MAX(1,核心参数输入!$B$99)/4,0),0)</f>
        <v>17.999999999999996</v>
      </c>
      <c r="AF153" s="9">
        <f>IF(28&lt;=核心参数输入!$B$9*4,IF(AND(核心参数输入!$B$98=1,28&gt;(核心参数输入!$B$16*4+(核心参数输入!$B$148+核心参数输入!$B$124)),28&lt;=(核心参数输入!$B$16*4+(核心参数输入!$B$148+核心参数输入!$B$124))+核心参数输入!$B$99*4),季度投融资!$E$24/MAX(1,核心参数输入!$B$99)/4,0),0)</f>
        <v>17.999999999999996</v>
      </c>
      <c r="AG153" s="9">
        <f>IF(29&lt;=核心参数输入!$B$9*4,IF(AND(核心参数输入!$B$98=1,29&gt;(核心参数输入!$B$16*4+(核心参数输入!$B$148+核心参数输入!$B$124)),29&lt;=(核心参数输入!$B$16*4+(核心参数输入!$B$148+核心参数输入!$B$124))+核心参数输入!$B$99*4),季度投融资!$E$24/MAX(1,核心参数输入!$B$99)/4,0),0)</f>
        <v>17.999999999999996</v>
      </c>
      <c r="AH153" s="9">
        <f>IF(30&lt;=核心参数输入!$B$9*4,IF(AND(核心参数输入!$B$98=1,30&gt;(核心参数输入!$B$16*4+(核心参数输入!$B$148+核心参数输入!$B$124)),30&lt;=(核心参数输入!$B$16*4+(核心参数输入!$B$148+核心参数输入!$B$124))+核心参数输入!$B$99*4),季度投融资!$E$24/MAX(1,核心参数输入!$B$99)/4,0),0)</f>
        <v>17.999999999999996</v>
      </c>
      <c r="AI153" s="9">
        <f>IF(31&lt;=核心参数输入!$B$9*4,IF(AND(核心参数输入!$B$98=1,31&gt;(核心参数输入!$B$16*4+(核心参数输入!$B$148+核心参数输入!$B$124)),31&lt;=(核心参数输入!$B$16*4+(核心参数输入!$B$148+核心参数输入!$B$124))+核心参数输入!$B$99*4),季度投融资!$E$24/MAX(1,核心参数输入!$B$99)/4,0),0)</f>
        <v>17.999999999999996</v>
      </c>
      <c r="AJ153" s="9">
        <f>IF(32&lt;=核心参数输入!$B$9*4,IF(AND(核心参数输入!$B$98=1,32&gt;(核心参数输入!$B$16*4+(核心参数输入!$B$148+核心参数输入!$B$124)),32&lt;=(核心参数输入!$B$16*4+(核心参数输入!$B$148+核心参数输入!$B$124))+核心参数输入!$B$99*4),季度投融资!$E$24/MAX(1,核心参数输入!$B$99)/4,0),0)</f>
        <v>17.999999999999996</v>
      </c>
      <c r="AK153" s="9">
        <f>IF(33&lt;=核心参数输入!$B$9*4,IF(AND(核心参数输入!$B$98=1,33&gt;(核心参数输入!$B$16*4+(核心参数输入!$B$148+核心参数输入!$B$124)),33&lt;=(核心参数输入!$B$16*4+(核心参数输入!$B$148+核心参数输入!$B$124))+核心参数输入!$B$99*4),季度投融资!$E$24/MAX(1,核心参数输入!$B$99)/4,0),0)</f>
        <v>17.999999999999996</v>
      </c>
      <c r="AL153" s="9">
        <f>IF(34&lt;=核心参数输入!$B$9*4,IF(AND(核心参数输入!$B$98=1,34&gt;(核心参数输入!$B$16*4+(核心参数输入!$B$148+核心参数输入!$B$124)),34&lt;=(核心参数输入!$B$16*4+(核心参数输入!$B$148+核心参数输入!$B$124))+核心参数输入!$B$99*4),季度投融资!$E$24/MAX(1,核心参数输入!$B$99)/4,0),0)</f>
        <v>17.999999999999996</v>
      </c>
      <c r="AM153" s="9">
        <f>IF(35&lt;=核心参数输入!$B$9*4,IF(AND(核心参数输入!$B$98=1,35&gt;(核心参数输入!$B$16*4+(核心参数输入!$B$148+核心参数输入!$B$124)),35&lt;=(核心参数输入!$B$16*4+(核心参数输入!$B$148+核心参数输入!$B$124))+核心参数输入!$B$99*4),季度投融资!$E$24/MAX(1,核心参数输入!$B$99)/4,0),0)</f>
        <v>17.999999999999996</v>
      </c>
      <c r="AN153" s="9">
        <f>IF(36&lt;=核心参数输入!$B$9*4,IF(AND(核心参数输入!$B$98=1,36&gt;(核心参数输入!$B$16*4+(核心参数输入!$B$148+核心参数输入!$B$124)),36&lt;=(核心参数输入!$B$16*4+(核心参数输入!$B$148+核心参数输入!$B$124))+核心参数输入!$B$99*4),季度投融资!$E$24/MAX(1,核心参数输入!$B$99)/4,0),0)</f>
        <v>17.999999999999996</v>
      </c>
      <c r="AO153" s="9">
        <f>IF(37&lt;=核心参数输入!$B$9*4,IF(AND(核心参数输入!$B$98=1,37&gt;(核心参数输入!$B$16*4+(核心参数输入!$B$148+核心参数输入!$B$124)),37&lt;=(核心参数输入!$B$16*4+(核心参数输入!$B$148+核心参数输入!$B$124))+核心参数输入!$B$99*4),季度投融资!$E$24/MAX(1,核心参数输入!$B$99)/4,0),0)</f>
        <v>17.999999999999996</v>
      </c>
      <c r="AP153" s="9">
        <f>IF(38&lt;=核心参数输入!$B$9*4,IF(AND(核心参数输入!$B$98=1,38&gt;(核心参数输入!$B$16*4+(核心参数输入!$B$148+核心参数输入!$B$124)),38&lt;=(核心参数输入!$B$16*4+(核心参数输入!$B$148+核心参数输入!$B$124))+核心参数输入!$B$99*4),季度投融资!$E$24/MAX(1,核心参数输入!$B$99)/4,0),0)</f>
        <v>17.999999999999996</v>
      </c>
      <c r="AQ153" s="9">
        <f>IF(39&lt;=核心参数输入!$B$9*4,IF(AND(核心参数输入!$B$98=1,39&gt;(核心参数输入!$B$16*4+(核心参数输入!$B$148+核心参数输入!$B$124)),39&lt;=(核心参数输入!$B$16*4+(核心参数输入!$B$148+核心参数输入!$B$124))+核心参数输入!$B$99*4),季度投融资!$E$24/MAX(1,核心参数输入!$B$99)/4,0),0)</f>
        <v>17.999999999999996</v>
      </c>
      <c r="AR153" s="9">
        <f>IF(40&lt;=核心参数输入!$B$9*4,IF(AND(核心参数输入!$B$98=1,40&gt;(核心参数输入!$B$16*4+(核心参数输入!$B$148+核心参数输入!$B$124)),40&lt;=(核心参数输入!$B$16*4+(核心参数输入!$B$148+核心参数输入!$B$124))+核心参数输入!$B$99*4),季度投融资!$E$24/MAX(1,核心参数输入!$B$99)/4,0),0)</f>
        <v>17.999999999999996</v>
      </c>
      <c r="AS153" s="9">
        <f>IF(41&lt;=核心参数输入!$B$9*4,IF(AND(核心参数输入!$B$98=1,41&gt;(核心参数输入!$B$16*4+(核心参数输入!$B$148+核心参数输入!$B$124)),41&lt;=(核心参数输入!$B$16*4+(核心参数输入!$B$148+核心参数输入!$B$124))+核心参数输入!$B$99*4),季度投融资!$E$24/MAX(1,核心参数输入!$B$99)/4,0),0)</f>
        <v>17.999999999999996</v>
      </c>
      <c r="AT153" s="9">
        <f>IF(42&lt;=核心参数输入!$B$9*4,IF(AND(核心参数输入!$B$98=1,42&gt;(核心参数输入!$B$16*4+(核心参数输入!$B$148+核心参数输入!$B$124)),42&lt;=(核心参数输入!$B$16*4+(核心参数输入!$B$148+核心参数输入!$B$124))+核心参数输入!$B$99*4),季度投融资!$E$24/MAX(1,核心参数输入!$B$99)/4,0),0)</f>
        <v>17.999999999999996</v>
      </c>
      <c r="AU153" s="9">
        <f>IF(43&lt;=核心参数输入!$B$9*4,IF(AND(核心参数输入!$B$98=1,43&gt;(核心参数输入!$B$16*4+(核心参数输入!$B$148+核心参数输入!$B$124)),43&lt;=(核心参数输入!$B$16*4+(核心参数输入!$B$148+核心参数输入!$B$124))+核心参数输入!$B$99*4),季度投融资!$E$24/MAX(1,核心参数输入!$B$99)/4,0),0)</f>
        <v>17.999999999999996</v>
      </c>
      <c r="AV153" s="9">
        <f>IF(44&lt;=核心参数输入!$B$9*4,IF(AND(核心参数输入!$B$98=1,44&gt;(核心参数输入!$B$16*4+(核心参数输入!$B$148+核心参数输入!$B$124)),44&lt;=(核心参数输入!$B$16*4+(核心参数输入!$B$148+核心参数输入!$B$124))+核心参数输入!$B$99*4),季度投融资!$E$24/MAX(1,核心参数输入!$B$99)/4,0),0)</f>
        <v>17.999999999999996</v>
      </c>
      <c r="AW153" s="9">
        <f>IF(45&lt;=核心参数输入!$B$9*4,IF(AND(核心参数输入!$B$98=1,45&gt;(核心参数输入!$B$16*4+(核心参数输入!$B$148+核心参数输入!$B$124)),45&lt;=(核心参数输入!$B$16*4+(核心参数输入!$B$148+核心参数输入!$B$124))+核心参数输入!$B$99*4),季度投融资!$E$24/MAX(1,核心参数输入!$B$99)/4,0),0)</f>
        <v>17.999999999999996</v>
      </c>
      <c r="AX153" s="9">
        <f>IF(46&lt;=核心参数输入!$B$9*4,IF(AND(核心参数输入!$B$98=1,46&gt;(核心参数输入!$B$16*4+(核心参数输入!$B$148+核心参数输入!$B$124)),46&lt;=(核心参数输入!$B$16*4+(核心参数输入!$B$148+核心参数输入!$B$124))+核心参数输入!$B$99*4),季度投融资!$E$24/MAX(1,核心参数输入!$B$99)/4,0),0)</f>
        <v>17.999999999999996</v>
      </c>
      <c r="AY153" s="9">
        <f>IF(47&lt;=核心参数输入!$B$9*4,IF(AND(核心参数输入!$B$98=1,47&gt;(核心参数输入!$B$16*4+(核心参数输入!$B$148+核心参数输入!$B$124)),47&lt;=(核心参数输入!$B$16*4+(核心参数输入!$B$148+核心参数输入!$B$124))+核心参数输入!$B$99*4),季度投融资!$E$24/MAX(1,核心参数输入!$B$99)/4,0),0)</f>
        <v>17.999999999999996</v>
      </c>
      <c r="AZ153" s="9">
        <f>IF(48&lt;=核心参数输入!$B$9*4,IF(AND(核心参数输入!$B$98=1,48&gt;(核心参数输入!$B$16*4+(核心参数输入!$B$148+核心参数输入!$B$124)),48&lt;=(核心参数输入!$B$16*4+(核心参数输入!$B$148+核心参数输入!$B$124))+核心参数输入!$B$99*4),季度投融资!$E$24/MAX(1,核心参数输入!$B$99)/4,0),0)</f>
        <v>17.999999999999996</v>
      </c>
      <c r="BA153" s="9">
        <f>IF(49&lt;=核心参数输入!$B$9*4,IF(AND(核心参数输入!$B$98=1,49&gt;(核心参数输入!$B$16*4+(核心参数输入!$B$148+核心参数输入!$B$124)),49&lt;=(核心参数输入!$B$16*4+(核心参数输入!$B$148+核心参数输入!$B$124))+核心参数输入!$B$99*4),季度投融资!$E$24/MAX(1,核心参数输入!$B$99)/4,0),0)</f>
        <v>17.999999999999996</v>
      </c>
      <c r="BB153" s="9">
        <f>IF(50&lt;=核心参数输入!$B$9*4,IF(AND(核心参数输入!$B$98=1,50&gt;(核心参数输入!$B$16*4+(核心参数输入!$B$148+核心参数输入!$B$124)),50&lt;=(核心参数输入!$B$16*4+(核心参数输入!$B$148+核心参数输入!$B$124))+核心参数输入!$B$99*4),季度投融资!$E$24/MAX(1,核心参数输入!$B$99)/4,0),0)</f>
        <v>17.999999999999996</v>
      </c>
      <c r="BC153" s="9">
        <f>IF(51&lt;=核心参数输入!$B$9*4,IF(AND(核心参数输入!$B$98=1,51&gt;(核心参数输入!$B$16*4+(核心参数输入!$B$148+核心参数输入!$B$124)),51&lt;=(核心参数输入!$B$16*4+(核心参数输入!$B$148+核心参数输入!$B$124))+核心参数输入!$B$99*4),季度投融资!$E$24/MAX(1,核心参数输入!$B$99)/4,0),0)</f>
        <v>17.999999999999996</v>
      </c>
      <c r="BD153" s="9">
        <f>IF(52&lt;=核心参数输入!$B$9*4,IF(AND(核心参数输入!$B$98=1,52&gt;(核心参数输入!$B$16*4+(核心参数输入!$B$148+核心参数输入!$B$124)),52&lt;=(核心参数输入!$B$16*4+(核心参数输入!$B$148+核心参数输入!$B$124))+核心参数输入!$B$99*4),季度投融资!$E$24/MAX(1,核心参数输入!$B$99)/4,0),0)</f>
        <v>17.999999999999996</v>
      </c>
      <c r="BE153" s="9">
        <f>IF(53&lt;=核心参数输入!$B$9*4,IF(AND(核心参数输入!$B$98=1,53&gt;(核心参数输入!$B$16*4+(核心参数输入!$B$148+核心参数输入!$B$124)),53&lt;=(核心参数输入!$B$16*4+(核心参数输入!$B$148+核心参数输入!$B$124))+核心参数输入!$B$99*4),季度投融资!$E$24/MAX(1,核心参数输入!$B$99)/4,0),0)</f>
        <v>17.999999999999996</v>
      </c>
      <c r="BF153" s="9">
        <f>IF(54&lt;=核心参数输入!$B$9*4,IF(AND(核心参数输入!$B$98=1,54&gt;(核心参数输入!$B$16*4+(核心参数输入!$B$148+核心参数输入!$B$124)),54&lt;=(核心参数输入!$B$16*4+(核心参数输入!$B$148+核心参数输入!$B$124))+核心参数输入!$B$99*4),季度投融资!$E$24/MAX(1,核心参数输入!$B$99)/4,0),0)</f>
        <v>17.999999999999996</v>
      </c>
      <c r="BG153" s="9">
        <f>IF(55&lt;=核心参数输入!$B$9*4,IF(AND(核心参数输入!$B$98=1,55&gt;(核心参数输入!$B$16*4+(核心参数输入!$B$148+核心参数输入!$B$124)),55&lt;=(核心参数输入!$B$16*4+(核心参数输入!$B$148+核心参数输入!$B$124))+核心参数输入!$B$99*4),季度投融资!$E$24/MAX(1,核心参数输入!$B$99)/4,0),0)</f>
        <v>17.999999999999996</v>
      </c>
      <c r="BH153" s="9">
        <f>IF(56&lt;=核心参数输入!$B$9*4,IF(AND(核心参数输入!$B$98=1,56&gt;(核心参数输入!$B$16*4+(核心参数输入!$B$148+核心参数输入!$B$124)),56&lt;=(核心参数输入!$B$16*4+(核心参数输入!$B$148+核心参数输入!$B$124))+核心参数输入!$B$99*4),季度投融资!$E$24/MAX(1,核心参数输入!$B$99)/4,0),0)</f>
        <v>17.999999999999996</v>
      </c>
      <c r="BI153" s="9">
        <f>IF(57&lt;=核心参数输入!$B$9*4,IF(AND(核心参数输入!$B$98=1,57&gt;(核心参数输入!$B$16*4+(核心参数输入!$B$148+核心参数输入!$B$124)),57&lt;=(核心参数输入!$B$16*4+(核心参数输入!$B$148+核心参数输入!$B$124))+核心参数输入!$B$99*4),季度投融资!$E$24/MAX(1,核心参数输入!$B$99)/4,0),0)</f>
        <v>17.999999999999996</v>
      </c>
      <c r="BJ153" s="9">
        <f>IF(58&lt;=核心参数输入!$B$9*4,IF(AND(核心参数输入!$B$98=1,58&gt;(核心参数输入!$B$16*4+(核心参数输入!$B$148+核心参数输入!$B$124)),58&lt;=(核心参数输入!$B$16*4+(核心参数输入!$B$148+核心参数输入!$B$124))+核心参数输入!$B$99*4),季度投融资!$E$24/MAX(1,核心参数输入!$B$99)/4,0),0)</f>
        <v>17.999999999999996</v>
      </c>
      <c r="BK153" s="9">
        <f>IF(59&lt;=核心参数输入!$B$9*4,IF(AND(核心参数输入!$B$98=1,59&gt;(核心参数输入!$B$16*4+(核心参数输入!$B$148+核心参数输入!$B$124)),59&lt;=(核心参数输入!$B$16*4+(核心参数输入!$B$148+核心参数输入!$B$124))+核心参数输入!$B$99*4),季度投融资!$E$24/MAX(1,核心参数输入!$B$99)/4,0),0)</f>
        <v>17.999999999999996</v>
      </c>
      <c r="BL153" s="9">
        <f>IF(60&lt;=核心参数输入!$B$9*4,IF(AND(核心参数输入!$B$98=1,60&gt;(核心参数输入!$B$16*4+(核心参数输入!$B$148+核心参数输入!$B$124)),60&lt;=(核心参数输入!$B$16*4+(核心参数输入!$B$148+核心参数输入!$B$124))+核心参数输入!$B$99*4),季度投融资!$E$24/MAX(1,核心参数输入!$B$99)/4,0),0)</f>
        <v>17.999999999999996</v>
      </c>
      <c r="BM153" s="9">
        <f>IF(61&lt;=核心参数输入!$B$9*4,IF(AND(核心参数输入!$B$98=1,61&gt;(核心参数输入!$B$16*4+(核心参数输入!$B$148+核心参数输入!$B$124)),61&lt;=(核心参数输入!$B$16*4+(核心参数输入!$B$148+核心参数输入!$B$124))+核心参数输入!$B$99*4),季度投融资!$E$24/MAX(1,核心参数输入!$B$99)/4,0),0)</f>
        <v>17.999999999999996</v>
      </c>
      <c r="BN153" s="9">
        <f>IF(62&lt;=核心参数输入!$B$9*4,IF(AND(核心参数输入!$B$98=1,62&gt;(核心参数输入!$B$16*4+(核心参数输入!$B$148+核心参数输入!$B$124)),62&lt;=(核心参数输入!$B$16*4+(核心参数输入!$B$148+核心参数输入!$B$124))+核心参数输入!$B$99*4),季度投融资!$E$24/MAX(1,核心参数输入!$B$99)/4,0),0)</f>
        <v>17.999999999999996</v>
      </c>
      <c r="BO153" s="9">
        <f>IF(63&lt;=核心参数输入!$B$9*4,IF(AND(核心参数输入!$B$98=1,63&gt;(核心参数输入!$B$16*4+(核心参数输入!$B$148+核心参数输入!$B$124)),63&lt;=(核心参数输入!$B$16*4+(核心参数输入!$B$148+核心参数输入!$B$124))+核心参数输入!$B$99*4),季度投融资!$E$24/MAX(1,核心参数输入!$B$99)/4,0),0)</f>
        <v>17.999999999999996</v>
      </c>
      <c r="BP153" s="9">
        <f>IF(64&lt;=核心参数输入!$B$9*4,IF(AND(核心参数输入!$B$98=1,64&gt;(核心参数输入!$B$16*4+(核心参数输入!$B$148+核心参数输入!$B$124)),64&lt;=(核心参数输入!$B$16*4+(核心参数输入!$B$148+核心参数输入!$B$124))+核心参数输入!$B$99*4),季度投融资!$E$24/MAX(1,核心参数输入!$B$99)/4,0),0)</f>
        <v>17.999999999999996</v>
      </c>
      <c r="BQ153" s="9">
        <f>IF(65&lt;=核心参数输入!$B$9*4,IF(AND(核心参数输入!$B$98=1,65&gt;(核心参数输入!$B$16*4+(核心参数输入!$B$148+核心参数输入!$B$124)),65&lt;=(核心参数输入!$B$16*4+(核心参数输入!$B$148+核心参数输入!$B$124))+核心参数输入!$B$99*4),季度投融资!$E$24/MAX(1,核心参数输入!$B$99)/4,0),0)</f>
        <v>17.999999999999996</v>
      </c>
      <c r="BR153" s="9">
        <f>IF(66&lt;=核心参数输入!$B$9*4,IF(AND(核心参数输入!$B$98=1,66&gt;(核心参数输入!$B$16*4+(核心参数输入!$B$148+核心参数输入!$B$124)),66&lt;=(核心参数输入!$B$16*4+(核心参数输入!$B$148+核心参数输入!$B$124))+核心参数输入!$B$99*4),季度投融资!$E$24/MAX(1,核心参数输入!$B$99)/4,0),0)</f>
        <v>17.999999999999996</v>
      </c>
      <c r="BS153" s="9">
        <f>IF(67&lt;=核心参数输入!$B$9*4,IF(AND(核心参数输入!$B$98=1,67&gt;(核心参数输入!$B$16*4+(核心参数输入!$B$148+核心参数输入!$B$124)),67&lt;=(核心参数输入!$B$16*4+(核心参数输入!$B$148+核心参数输入!$B$124))+核心参数输入!$B$99*4),季度投融资!$E$24/MAX(1,核心参数输入!$B$99)/4,0),0)</f>
        <v>17.999999999999996</v>
      </c>
      <c r="BT153" s="9">
        <f>IF(68&lt;=核心参数输入!$B$9*4,IF(AND(核心参数输入!$B$98=1,68&gt;(核心参数输入!$B$16*4+(核心参数输入!$B$148+核心参数输入!$B$124)),68&lt;=(核心参数输入!$B$16*4+(核心参数输入!$B$148+核心参数输入!$B$124))+核心参数输入!$B$99*4),季度投融资!$E$24/MAX(1,核心参数输入!$B$99)/4,0),0)</f>
        <v>17.999999999999996</v>
      </c>
      <c r="BU153" s="9">
        <f>IF(69&lt;=核心参数输入!$B$9*4,IF(AND(核心参数输入!$B$98=1,69&gt;(核心参数输入!$B$16*4+(核心参数输入!$B$148+核心参数输入!$B$124)),69&lt;=(核心参数输入!$B$16*4+(核心参数输入!$B$148+核心参数输入!$B$124))+核心参数输入!$B$99*4),季度投融资!$E$24/MAX(1,核心参数输入!$B$99)/4,0),0)</f>
        <v>17.999999999999996</v>
      </c>
      <c r="BV153" s="9">
        <f>IF(70&lt;=核心参数输入!$B$9*4,IF(AND(核心参数输入!$B$98=1,70&gt;(核心参数输入!$B$16*4+(核心参数输入!$B$148+核心参数输入!$B$124)),70&lt;=(核心参数输入!$B$16*4+(核心参数输入!$B$148+核心参数输入!$B$124))+核心参数输入!$B$99*4),季度投融资!$E$24/MAX(1,核心参数输入!$B$99)/4,0),0)</f>
        <v>17.999999999999996</v>
      </c>
      <c r="BW153" s="9">
        <f>IF(71&lt;=核心参数输入!$B$9*4,IF(AND(核心参数输入!$B$98=1,71&gt;(核心参数输入!$B$16*4+(核心参数输入!$B$148+核心参数输入!$B$124)),71&lt;=(核心参数输入!$B$16*4+(核心参数输入!$B$148+核心参数输入!$B$124))+核心参数输入!$B$99*4),季度投融资!$E$24/MAX(1,核心参数输入!$B$99)/4,0),0)</f>
        <v>17.999999999999996</v>
      </c>
      <c r="BX153" s="9">
        <f>IF(72&lt;=核心参数输入!$B$9*4,IF(AND(核心参数输入!$B$98=1,72&gt;(核心参数输入!$B$16*4+(核心参数输入!$B$148+核心参数输入!$B$124)),72&lt;=(核心参数输入!$B$16*4+(核心参数输入!$B$148+核心参数输入!$B$124))+核心参数输入!$B$99*4),季度投融资!$E$24/MAX(1,核心参数输入!$B$99)/4,0),0)</f>
        <v>17.999999999999996</v>
      </c>
      <c r="BY153" s="9">
        <f>IF(73&lt;=核心参数输入!$B$9*4,IF(AND(核心参数输入!$B$98=1,73&gt;(核心参数输入!$B$16*4+(核心参数输入!$B$148+核心参数输入!$B$124)),73&lt;=(核心参数输入!$B$16*4+(核心参数输入!$B$148+核心参数输入!$B$124))+核心参数输入!$B$99*4),季度投融资!$E$24/MAX(1,核心参数输入!$B$99)/4,0),0)</f>
        <v>17.999999999999996</v>
      </c>
      <c r="BZ153" s="9">
        <f>IF(74&lt;=核心参数输入!$B$9*4,IF(AND(核心参数输入!$B$98=1,74&gt;(核心参数输入!$B$16*4+(核心参数输入!$B$148+核心参数输入!$B$124)),74&lt;=(核心参数输入!$B$16*4+(核心参数输入!$B$148+核心参数输入!$B$124))+核心参数输入!$B$99*4),季度投融资!$E$24/MAX(1,核心参数输入!$B$99)/4,0),0)</f>
        <v>17.999999999999996</v>
      </c>
      <c r="CA153" s="9">
        <f>IF(75&lt;=核心参数输入!$B$9*4,IF(AND(核心参数输入!$B$98=1,75&gt;(核心参数输入!$B$16*4+(核心参数输入!$B$148+核心参数输入!$B$124)),75&lt;=(核心参数输入!$B$16*4+(核心参数输入!$B$148+核心参数输入!$B$124))+核心参数输入!$B$99*4),季度投融资!$E$24/MAX(1,核心参数输入!$B$99)/4,0),0)</f>
        <v>17.999999999999996</v>
      </c>
      <c r="CB153" s="9">
        <f>IF(76&lt;=核心参数输入!$B$9*4,IF(AND(核心参数输入!$B$98=1,76&gt;(核心参数输入!$B$16*4+(核心参数输入!$B$148+核心参数输入!$B$124)),76&lt;=(核心参数输入!$B$16*4+(核心参数输入!$B$148+核心参数输入!$B$124))+核心参数输入!$B$99*4),季度投融资!$E$24/MAX(1,核心参数输入!$B$99)/4,0),0)</f>
        <v>17.999999999999996</v>
      </c>
      <c r="CC153" s="9">
        <f>IF(77&lt;=核心参数输入!$B$9*4,IF(AND(核心参数输入!$B$98=1,77&gt;(核心参数输入!$B$16*4+(核心参数输入!$B$148+核心参数输入!$B$124)),77&lt;=(核心参数输入!$B$16*4+(核心参数输入!$B$148+核心参数输入!$B$124))+核心参数输入!$B$99*4),季度投融资!$E$24/MAX(1,核心参数输入!$B$99)/4,0),0)</f>
        <v>17.999999999999996</v>
      </c>
      <c r="CD153" s="9">
        <f>IF(78&lt;=核心参数输入!$B$9*4,IF(AND(核心参数输入!$B$98=1,78&gt;(核心参数输入!$B$16*4+(核心参数输入!$B$148+核心参数输入!$B$124)),78&lt;=(核心参数输入!$B$16*4+(核心参数输入!$B$148+核心参数输入!$B$124))+核心参数输入!$B$99*4),季度投融资!$E$24/MAX(1,核心参数输入!$B$99)/4,0),0)</f>
        <v>17.999999999999996</v>
      </c>
      <c r="CE153" s="9">
        <f>IF(79&lt;=核心参数输入!$B$9*4,IF(AND(核心参数输入!$B$98=1,79&gt;(核心参数输入!$B$16*4+(核心参数输入!$B$148+核心参数输入!$B$124)),79&lt;=(核心参数输入!$B$16*4+(核心参数输入!$B$148+核心参数输入!$B$124))+核心参数输入!$B$99*4),季度投融资!$E$24/MAX(1,核心参数输入!$B$99)/4,0),0)</f>
        <v>17.999999999999996</v>
      </c>
      <c r="CF153" s="9">
        <f>IF(80&lt;=核心参数输入!$B$9*4,IF(AND(核心参数输入!$B$98=1,80&gt;(核心参数输入!$B$16*4+(核心参数输入!$B$148+核心参数输入!$B$124)),80&lt;=(核心参数输入!$B$16*4+(核心参数输入!$B$148+核心参数输入!$B$124))+核心参数输入!$B$99*4),季度投融资!$E$24/MAX(1,核心参数输入!$B$99)/4,0),0)</f>
        <v>17.999999999999996</v>
      </c>
      <c r="CG153" s="9">
        <f>IF(81&lt;=核心参数输入!$B$9*4,IF(AND(核心参数输入!$B$98=1,81&gt;(核心参数输入!$B$16*4+(核心参数输入!$B$148+核心参数输入!$B$124)),81&lt;=(核心参数输入!$B$16*4+(核心参数输入!$B$148+核心参数输入!$B$124))+核心参数输入!$B$99*4),季度投融资!$E$24/MAX(1,核心参数输入!$B$99)/4,0),0)</f>
        <v>0</v>
      </c>
      <c r="CH153" s="9">
        <f>IF(82&lt;=核心参数输入!$B$9*4,IF(AND(核心参数输入!$B$98=1,82&gt;(核心参数输入!$B$16*4+(核心参数输入!$B$148+核心参数输入!$B$124)),82&lt;=(核心参数输入!$B$16*4+(核心参数输入!$B$148+核心参数输入!$B$124))+核心参数输入!$B$99*4),季度投融资!$E$24/MAX(1,核心参数输入!$B$99)/4,0),0)</f>
        <v>0</v>
      </c>
      <c r="CI153" s="9">
        <f>IF(83&lt;=核心参数输入!$B$9*4,IF(AND(核心参数输入!$B$98=1,83&gt;(核心参数输入!$B$16*4+(核心参数输入!$B$148+核心参数输入!$B$124)),83&lt;=(核心参数输入!$B$16*4+(核心参数输入!$B$148+核心参数输入!$B$124))+核心参数输入!$B$99*4),季度投融资!$E$24/MAX(1,核心参数输入!$B$99)/4,0),0)</f>
        <v>0</v>
      </c>
      <c r="CJ153" s="9">
        <f>IF(84&lt;=核心参数输入!$B$9*4,IF(AND(核心参数输入!$B$98=1,84&gt;(核心参数输入!$B$16*4+(核心参数输入!$B$148+核心参数输入!$B$124)),84&lt;=(核心参数输入!$B$16*4+(核心参数输入!$B$148+核心参数输入!$B$124))+核心参数输入!$B$99*4),季度投融资!$E$24/MAX(1,核心参数输入!$B$99)/4,0),0)</f>
        <v>0</v>
      </c>
      <c r="CK153" s="9">
        <f>IF(85&lt;=核心参数输入!$B$9*4,IF(AND(核心参数输入!$B$98=1,85&gt;(核心参数输入!$B$16*4+(核心参数输入!$B$148+核心参数输入!$B$124)),85&lt;=(核心参数输入!$B$16*4+(核心参数输入!$B$148+核心参数输入!$B$124))+核心参数输入!$B$99*4),季度投融资!$E$24/MAX(1,核心参数输入!$B$99)/4,0),0)</f>
        <v>0</v>
      </c>
      <c r="CL153" s="9">
        <f>IF(86&lt;=核心参数输入!$B$9*4,IF(AND(核心参数输入!$B$98=1,86&gt;(核心参数输入!$B$16*4+(核心参数输入!$B$148+核心参数输入!$B$124)),86&lt;=(核心参数输入!$B$16*4+(核心参数输入!$B$148+核心参数输入!$B$124))+核心参数输入!$B$99*4),季度投融资!$E$24/MAX(1,核心参数输入!$B$99)/4,0),0)</f>
        <v>0</v>
      </c>
      <c r="CM153" s="9">
        <f>IF(87&lt;=核心参数输入!$B$9*4,IF(AND(核心参数输入!$B$98=1,87&gt;(核心参数输入!$B$16*4+(核心参数输入!$B$148+核心参数输入!$B$124)),87&lt;=(核心参数输入!$B$16*4+(核心参数输入!$B$148+核心参数输入!$B$124))+核心参数输入!$B$99*4),季度投融资!$E$24/MAX(1,核心参数输入!$B$99)/4,0),0)</f>
        <v>0</v>
      </c>
      <c r="CN153" s="9">
        <f>IF(88&lt;=核心参数输入!$B$9*4,IF(AND(核心参数输入!$B$98=1,88&gt;(核心参数输入!$B$16*4+(核心参数输入!$B$148+核心参数输入!$B$124)),88&lt;=(核心参数输入!$B$16*4+(核心参数输入!$B$148+核心参数输入!$B$124))+核心参数输入!$B$99*4),季度投融资!$E$24/MAX(1,核心参数输入!$B$99)/4,0),0)</f>
        <v>0</v>
      </c>
      <c r="CO153" s="9">
        <f>IF(89&lt;=核心参数输入!$B$9*4,IF(AND(核心参数输入!$B$98=1,89&gt;(核心参数输入!$B$16*4+(核心参数输入!$B$148+核心参数输入!$B$124)),89&lt;=(核心参数输入!$B$16*4+(核心参数输入!$B$148+核心参数输入!$B$124))+核心参数输入!$B$99*4),季度投融资!$E$24/MAX(1,核心参数输入!$B$99)/4,0),0)</f>
        <v>0</v>
      </c>
      <c r="CP153" s="9">
        <f>IF(90&lt;=核心参数输入!$B$9*4,IF(AND(核心参数输入!$B$98=1,90&gt;(核心参数输入!$B$16*4+(核心参数输入!$B$148+核心参数输入!$B$124)),90&lt;=(核心参数输入!$B$16*4+(核心参数输入!$B$148+核心参数输入!$B$124))+核心参数输入!$B$99*4),季度投融资!$E$24/MAX(1,核心参数输入!$B$99)/4,0),0)</f>
        <v>0</v>
      </c>
      <c r="CQ153" s="9">
        <f>IF(91&lt;=核心参数输入!$B$9*4,IF(AND(核心参数输入!$B$98=1,91&gt;(核心参数输入!$B$16*4+(核心参数输入!$B$148+核心参数输入!$B$124)),91&lt;=(核心参数输入!$B$16*4+(核心参数输入!$B$148+核心参数输入!$B$124))+核心参数输入!$B$99*4),季度投融资!$E$24/MAX(1,核心参数输入!$B$99)/4,0),0)</f>
        <v>0</v>
      </c>
      <c r="CR153" s="9">
        <f>IF(92&lt;=核心参数输入!$B$9*4,IF(AND(核心参数输入!$B$98=1,92&gt;(核心参数输入!$B$16*4+(核心参数输入!$B$148+核心参数输入!$B$124)),92&lt;=(核心参数输入!$B$16*4+(核心参数输入!$B$148+核心参数输入!$B$124))+核心参数输入!$B$99*4),季度投融资!$E$24/MAX(1,核心参数输入!$B$99)/4,0),0)</f>
        <v>0</v>
      </c>
      <c r="CS153" s="9">
        <f>IF(93&lt;=核心参数输入!$B$9*4,IF(AND(核心参数输入!$B$98=1,93&gt;(核心参数输入!$B$16*4+(核心参数输入!$B$148+核心参数输入!$B$124)),93&lt;=(核心参数输入!$B$16*4+(核心参数输入!$B$148+核心参数输入!$B$124))+核心参数输入!$B$99*4),季度投融资!$E$24/MAX(1,核心参数输入!$B$99)/4,0),0)</f>
        <v>0</v>
      </c>
      <c r="CT153" s="9">
        <f>IF(94&lt;=核心参数输入!$B$9*4,IF(AND(核心参数输入!$B$98=1,94&gt;(核心参数输入!$B$16*4+(核心参数输入!$B$148+核心参数输入!$B$124)),94&lt;=(核心参数输入!$B$16*4+(核心参数输入!$B$148+核心参数输入!$B$124))+核心参数输入!$B$99*4),季度投融资!$E$24/MAX(1,核心参数输入!$B$99)/4,0),0)</f>
        <v>0</v>
      </c>
      <c r="CU153" s="9">
        <f>IF(95&lt;=核心参数输入!$B$9*4,IF(AND(核心参数输入!$B$98=1,95&gt;(核心参数输入!$B$16*4+(核心参数输入!$B$148+核心参数输入!$B$124)),95&lt;=(核心参数输入!$B$16*4+(核心参数输入!$B$148+核心参数输入!$B$124))+核心参数输入!$B$99*4),季度投融资!$E$24/MAX(1,核心参数输入!$B$99)/4,0),0)</f>
        <v>0</v>
      </c>
      <c r="CV153" s="9">
        <f>IF(96&lt;=核心参数输入!$B$9*4,IF(AND(核心参数输入!$B$98=1,96&gt;(核心参数输入!$B$16*4+(核心参数输入!$B$148+核心参数输入!$B$124)),96&lt;=(核心参数输入!$B$16*4+(核心参数输入!$B$148+核心参数输入!$B$124))+核心参数输入!$B$99*4),季度投融资!$E$24/MAX(1,核心参数输入!$B$99)/4,0),0)</f>
        <v>0</v>
      </c>
      <c r="CW153" s="9">
        <f>IF(97&lt;=核心参数输入!$B$9*4,IF(AND(核心参数输入!$B$98=1,97&gt;(核心参数输入!$B$16*4+(核心参数输入!$B$148+核心参数输入!$B$124)),97&lt;=(核心参数输入!$B$16*4+(核心参数输入!$B$148+核心参数输入!$B$124))+核心参数输入!$B$99*4),季度投融资!$E$24/MAX(1,核心参数输入!$B$99)/4,0),0)</f>
        <v>0</v>
      </c>
      <c r="CX153" s="9">
        <f>IF(98&lt;=核心参数输入!$B$9*4,IF(AND(核心参数输入!$B$98=1,98&gt;(核心参数输入!$B$16*4+(核心参数输入!$B$148+核心参数输入!$B$124)),98&lt;=(核心参数输入!$B$16*4+(核心参数输入!$B$148+核心参数输入!$B$124))+核心参数输入!$B$99*4),季度投融资!$E$24/MAX(1,核心参数输入!$B$99)/4,0),0)</f>
        <v>0</v>
      </c>
      <c r="CY153" s="9">
        <f>IF(99&lt;=核心参数输入!$B$9*4,IF(AND(核心参数输入!$B$98=1,99&gt;(核心参数输入!$B$16*4+(核心参数输入!$B$148+核心参数输入!$B$124)),99&lt;=(核心参数输入!$B$16*4+(核心参数输入!$B$148+核心参数输入!$B$124))+核心参数输入!$B$99*4),季度投融资!$E$24/MAX(1,核心参数输入!$B$99)/4,0),0)</f>
        <v>0</v>
      </c>
      <c r="CZ153" s="9">
        <f>IF(100&lt;=核心参数输入!$B$9*4,IF(AND(核心参数输入!$B$98=1,100&gt;(核心参数输入!$B$16*4+(核心参数输入!$B$148+核心参数输入!$B$124)),100&lt;=(核心参数输入!$B$16*4+(核心参数输入!$B$148+核心参数输入!$B$124))+核心参数输入!$B$99*4),季度投融资!$E$24/MAX(1,核心参数输入!$B$99)/4,0),0)</f>
        <v>0</v>
      </c>
      <c r="DA153" s="9">
        <f>IF(101&lt;=核心参数输入!$B$9*4,IF(AND(核心参数输入!$B$98=1,101&gt;(核心参数输入!$B$16*4+(核心参数输入!$B$148+核心参数输入!$B$124)),101&lt;=(核心参数输入!$B$16*4+(核心参数输入!$B$148+核心参数输入!$B$124))+核心参数输入!$B$99*4),季度投融资!$E$24/MAX(1,核心参数输入!$B$99)/4,0),0)</f>
        <v>0</v>
      </c>
      <c r="DB153" s="9">
        <f>IF(102&lt;=核心参数输入!$B$9*4,IF(AND(核心参数输入!$B$98=1,102&gt;(核心参数输入!$B$16*4+(核心参数输入!$B$148+核心参数输入!$B$124)),102&lt;=(核心参数输入!$B$16*4+(核心参数输入!$B$148+核心参数输入!$B$124))+核心参数输入!$B$99*4),季度投融资!$E$24/MAX(1,核心参数输入!$B$99)/4,0),0)</f>
        <v>0</v>
      </c>
      <c r="DC153" s="9">
        <f>IF(103&lt;=核心参数输入!$B$9*4,IF(AND(核心参数输入!$B$98=1,103&gt;(核心参数输入!$B$16*4+(核心参数输入!$B$148+核心参数输入!$B$124)),103&lt;=(核心参数输入!$B$16*4+(核心参数输入!$B$148+核心参数输入!$B$124))+核心参数输入!$B$99*4),季度投融资!$E$24/MAX(1,核心参数输入!$B$99)/4,0),0)</f>
        <v>0</v>
      </c>
      <c r="DD153" s="9">
        <f>IF(104&lt;=核心参数输入!$B$9*4,IF(AND(核心参数输入!$B$98=1,104&gt;(核心参数输入!$B$16*4+(核心参数输入!$B$148+核心参数输入!$B$124)),104&lt;=(核心参数输入!$B$16*4+(核心参数输入!$B$148+核心参数输入!$B$124))+核心参数输入!$B$99*4),季度投融资!$E$24/MAX(1,核心参数输入!$B$99)/4,0),0)</f>
        <v>0</v>
      </c>
      <c r="DE153" s="9">
        <f>IF(105&lt;=核心参数输入!$B$9*4,IF(AND(核心参数输入!$B$98=1,105&gt;(核心参数输入!$B$16*4+(核心参数输入!$B$148+核心参数输入!$B$124)),105&lt;=(核心参数输入!$B$16*4+(核心参数输入!$B$148+核心参数输入!$B$124))+核心参数输入!$B$99*4),季度投融资!$E$24/MAX(1,核心参数输入!$B$99)/4,0),0)</f>
        <v>0</v>
      </c>
      <c r="DF153" s="9">
        <f>IF(106&lt;=核心参数输入!$B$9*4,IF(AND(核心参数输入!$B$98=1,106&gt;(核心参数输入!$B$16*4+(核心参数输入!$B$148+核心参数输入!$B$124)),106&lt;=(核心参数输入!$B$16*4+(核心参数输入!$B$148+核心参数输入!$B$124))+核心参数输入!$B$99*4),季度投融资!$E$24/MAX(1,核心参数输入!$B$99)/4,0),0)</f>
        <v>0</v>
      </c>
      <c r="DG153" s="9">
        <f>IF(107&lt;=核心参数输入!$B$9*4,IF(AND(核心参数输入!$B$98=1,107&gt;(核心参数输入!$B$16*4+(核心参数输入!$B$148+核心参数输入!$B$124)),107&lt;=(核心参数输入!$B$16*4+(核心参数输入!$B$148+核心参数输入!$B$124))+核心参数输入!$B$99*4),季度投融资!$E$24/MAX(1,核心参数输入!$B$99)/4,0),0)</f>
        <v>0</v>
      </c>
      <c r="DH153" s="9">
        <f>IF(108&lt;=核心参数输入!$B$9*4,IF(AND(核心参数输入!$B$98=1,108&gt;(核心参数输入!$B$16*4+(核心参数输入!$B$148+核心参数输入!$B$124)),108&lt;=(核心参数输入!$B$16*4+(核心参数输入!$B$148+核心参数输入!$B$124))+核心参数输入!$B$99*4),季度投融资!$E$24/MAX(1,核心参数输入!$B$99)/4,0),0)</f>
        <v>0</v>
      </c>
      <c r="DI153" s="9">
        <f>IF(109&lt;=核心参数输入!$B$9*4,IF(AND(核心参数输入!$B$98=1,109&gt;(核心参数输入!$B$16*4+(核心参数输入!$B$148+核心参数输入!$B$124)),109&lt;=(核心参数输入!$B$16*4+(核心参数输入!$B$148+核心参数输入!$B$124))+核心参数输入!$B$99*4),季度投融资!$E$24/MAX(1,核心参数输入!$B$99)/4,0),0)</f>
        <v>0</v>
      </c>
      <c r="DJ153" s="9">
        <f>IF(110&lt;=核心参数输入!$B$9*4,IF(AND(核心参数输入!$B$98=1,110&gt;(核心参数输入!$B$16*4+(核心参数输入!$B$148+核心参数输入!$B$124)),110&lt;=(核心参数输入!$B$16*4+(核心参数输入!$B$148+核心参数输入!$B$124))+核心参数输入!$B$99*4),季度投融资!$E$24/MAX(1,核心参数输入!$B$99)/4,0),0)</f>
        <v>0</v>
      </c>
      <c r="DK153" s="9">
        <f>IF(111&lt;=核心参数输入!$B$9*4,IF(AND(核心参数输入!$B$98=1,111&gt;(核心参数输入!$B$16*4+(核心参数输入!$B$148+核心参数输入!$B$124)),111&lt;=(核心参数输入!$B$16*4+(核心参数输入!$B$148+核心参数输入!$B$124))+核心参数输入!$B$99*4),季度投融资!$E$24/MAX(1,核心参数输入!$B$99)/4,0),0)</f>
        <v>0</v>
      </c>
      <c r="DL153" s="9">
        <f>IF(112&lt;=核心参数输入!$B$9*4,IF(AND(核心参数输入!$B$98=1,112&gt;(核心参数输入!$B$16*4+(核心参数输入!$B$148+核心参数输入!$B$124)),112&lt;=(核心参数输入!$B$16*4+(核心参数输入!$B$148+核心参数输入!$B$124))+核心参数输入!$B$99*4),季度投融资!$E$24/MAX(1,核心参数输入!$B$99)/4,0),0)</f>
        <v>0</v>
      </c>
      <c r="DM153" s="9">
        <f>IF(113&lt;=核心参数输入!$B$9*4,IF(AND(核心参数输入!$B$98=1,113&gt;(核心参数输入!$B$16*4+(核心参数输入!$B$148+核心参数输入!$B$124)),113&lt;=(核心参数输入!$B$16*4+(核心参数输入!$B$148+核心参数输入!$B$124))+核心参数输入!$B$99*4),季度投融资!$E$24/MAX(1,核心参数输入!$B$99)/4,0),0)</f>
        <v>0</v>
      </c>
      <c r="DN153" s="9">
        <f>IF(114&lt;=核心参数输入!$B$9*4,IF(AND(核心参数输入!$B$98=1,114&gt;(核心参数输入!$B$16*4+(核心参数输入!$B$148+核心参数输入!$B$124)),114&lt;=(核心参数输入!$B$16*4+(核心参数输入!$B$148+核心参数输入!$B$124))+核心参数输入!$B$99*4),季度投融资!$E$24/MAX(1,核心参数输入!$B$99)/4,0),0)</f>
        <v>0</v>
      </c>
      <c r="DO153" s="9">
        <f>IF(115&lt;=核心参数输入!$B$9*4,IF(AND(核心参数输入!$B$98=1,115&gt;(核心参数输入!$B$16*4+(核心参数输入!$B$148+核心参数输入!$B$124)),115&lt;=(核心参数输入!$B$16*4+(核心参数输入!$B$148+核心参数输入!$B$124))+核心参数输入!$B$99*4),季度投融资!$E$24/MAX(1,核心参数输入!$B$99)/4,0),0)</f>
        <v>0</v>
      </c>
      <c r="DP153" s="9">
        <f>IF(116&lt;=核心参数输入!$B$9*4,IF(AND(核心参数输入!$B$98=1,116&gt;(核心参数输入!$B$16*4+(核心参数输入!$B$148+核心参数输入!$B$124)),116&lt;=(核心参数输入!$B$16*4+(核心参数输入!$B$148+核心参数输入!$B$124))+核心参数输入!$B$99*4),季度投融资!$E$24/MAX(1,核心参数输入!$B$99)/4,0),0)</f>
        <v>0</v>
      </c>
      <c r="DQ153" s="9">
        <f>IF(117&lt;=核心参数输入!$B$9*4,IF(AND(核心参数输入!$B$98=1,117&gt;(核心参数输入!$B$16*4+(核心参数输入!$B$148+核心参数输入!$B$124)),117&lt;=(核心参数输入!$B$16*4+(核心参数输入!$B$148+核心参数输入!$B$124))+核心参数输入!$B$99*4),季度投融资!$E$24/MAX(1,核心参数输入!$B$99)/4,0),0)</f>
        <v>0</v>
      </c>
      <c r="DR153" s="9">
        <f>IF(118&lt;=核心参数输入!$B$9*4,IF(AND(核心参数输入!$B$98=1,118&gt;(核心参数输入!$B$16*4+(核心参数输入!$B$148+核心参数输入!$B$124)),118&lt;=(核心参数输入!$B$16*4+(核心参数输入!$B$148+核心参数输入!$B$124))+核心参数输入!$B$99*4),季度投融资!$E$24/MAX(1,核心参数输入!$B$99)/4,0),0)</f>
        <v>0</v>
      </c>
      <c r="DS153" s="9">
        <f>IF(119&lt;=核心参数输入!$B$9*4,IF(AND(核心参数输入!$B$98=1,119&gt;(核心参数输入!$B$16*4+(核心参数输入!$B$148+核心参数输入!$B$124)),119&lt;=(核心参数输入!$B$16*4+(核心参数输入!$B$148+核心参数输入!$B$124))+核心参数输入!$B$99*4),季度投融资!$E$24/MAX(1,核心参数输入!$B$99)/4,0),0)</f>
        <v>0</v>
      </c>
      <c r="DT153" s="9">
        <f>IF(120&lt;=核心参数输入!$B$9*4,IF(AND(核心参数输入!$B$98=1,120&gt;(核心参数输入!$B$16*4+(核心参数输入!$B$148+核心参数输入!$B$124)),120&lt;=(核心参数输入!$B$16*4+(核心参数输入!$B$148+核心参数输入!$B$124))+核心参数输入!$B$99*4),季度投融资!$E$24/MAX(1,核心参数输入!$B$99)/4,0),0)</f>
        <v>0</v>
      </c>
    </row>
    <row r="154" spans="1:124" ht="21" customHeight="1">
      <c r="A154" s="8" t="s">
        <v>476</v>
      </c>
      <c r="B154" s="8" t="s">
        <v>39</v>
      </c>
      <c r="C154" s="8"/>
      <c r="D154" s="9">
        <f>IF(0&lt;=核心参数输入!$B$9*4,季度投融资!$E$22*季度计划!D125,0)</f>
        <v>0</v>
      </c>
      <c r="E154" s="9">
        <f>IF(1&lt;=核心参数输入!$B$9*4,季度投融资!$E$22*季度计划!E125,0)</f>
        <v>0</v>
      </c>
      <c r="F154" s="9">
        <f>IF(2&lt;=核心参数输入!$B$9*4,季度投融资!$E$22*季度计划!F125,0)</f>
        <v>0</v>
      </c>
      <c r="G154" s="9">
        <f>IF(3&lt;=核心参数输入!$B$9*4,季度投融资!$E$22*季度计划!G125,0)</f>
        <v>0</v>
      </c>
      <c r="H154" s="9">
        <f>IF(4&lt;=核心参数输入!$B$9*4,季度投融资!$E$22*季度计划!H125,0)</f>
        <v>0</v>
      </c>
      <c r="I154" s="9">
        <f>IF(5&lt;=核心参数输入!$B$9*4,季度投融资!$E$22*季度计划!I125,0)</f>
        <v>0</v>
      </c>
      <c r="J154" s="9">
        <f>IF(6&lt;=核心参数输入!$B$9*4,季度投融资!$E$22*季度计划!J125,0)</f>
        <v>0</v>
      </c>
      <c r="K154" s="9">
        <f>IF(7&lt;=核心参数输入!$B$9*4,季度投融资!$E$22*季度计划!K125,0)</f>
        <v>0</v>
      </c>
      <c r="L154" s="9">
        <f>IF(8&lt;=核心参数输入!$B$9*4,季度投融资!$E$22*季度计划!L125,0)</f>
        <v>0</v>
      </c>
      <c r="M154" s="9">
        <f>IF(9&lt;=核心参数输入!$B$9*4,季度投融资!$E$22*季度计划!M125,0)</f>
        <v>0</v>
      </c>
      <c r="N154" s="9">
        <f>IF(10&lt;=核心参数输入!$B$9*4,季度投融资!$E$22*季度计划!N125,0)</f>
        <v>0</v>
      </c>
      <c r="O154" s="9">
        <f>IF(11&lt;=核心参数输入!$B$9*4,季度投融资!$E$22*季度计划!O125,0)</f>
        <v>0</v>
      </c>
      <c r="P154" s="9">
        <f>IF(12&lt;=核心参数输入!$B$9*4,季度投融资!$E$22*季度计划!P125,0)</f>
        <v>0</v>
      </c>
      <c r="Q154" s="9">
        <f>IF(13&lt;=核心参数输入!$B$9*4,季度投融资!$E$22*季度计划!Q125,0)</f>
        <v>2731.2450000000003</v>
      </c>
      <c r="R154" s="9">
        <f>IF(14&lt;=核心参数输入!$B$9*4,季度投融资!$E$22*季度计划!R125,0)</f>
        <v>2731.2450000000003</v>
      </c>
      <c r="S154" s="9">
        <f>IF(15&lt;=核心参数输入!$B$9*4,季度投融资!$E$22*季度计划!S125,0)</f>
        <v>2731.2450000000003</v>
      </c>
      <c r="T154" s="9">
        <f>IF(16&lt;=核心参数输入!$B$9*4,季度投融资!$E$22*季度计划!T125,0)</f>
        <v>2731.2450000000003</v>
      </c>
      <c r="U154" s="9">
        <f>IF(17&lt;=核心参数输入!$B$9*4,季度投融资!$E$22*季度计划!U125,0)</f>
        <v>3641.6600000000008</v>
      </c>
      <c r="V154" s="9">
        <f>IF(18&lt;=核心参数输入!$B$9*4,季度投融资!$E$22*季度计划!V125,0)</f>
        <v>3641.6600000000008</v>
      </c>
      <c r="W154" s="9">
        <f>IF(19&lt;=核心参数输入!$B$9*4,季度投融资!$E$22*季度计划!W125,0)</f>
        <v>3641.6600000000008</v>
      </c>
      <c r="X154" s="9">
        <f>IF(20&lt;=核心参数输入!$B$9*4,季度投融资!$E$22*季度计划!X125,0)</f>
        <v>3641.6600000000008</v>
      </c>
      <c r="Y154" s="9">
        <f>IF(21&lt;=核心参数输入!$B$9*4,季度投融资!$E$22*季度计划!Y125,0)</f>
        <v>2731.2450000000003</v>
      </c>
      <c r="Z154" s="9">
        <f>IF(22&lt;=核心参数输入!$B$9*4,季度投融资!$E$22*季度计划!Z125,0)</f>
        <v>2731.2450000000003</v>
      </c>
      <c r="AA154" s="9">
        <f>IF(23&lt;=核心参数输入!$B$9*4,季度投融资!$E$22*季度计划!AA125,0)</f>
        <v>2731.2450000000003</v>
      </c>
      <c r="AB154" s="9">
        <f>IF(24&lt;=核心参数输入!$B$9*4,季度投融资!$E$22*季度计划!AB125,0)</f>
        <v>2731.2450000000003</v>
      </c>
      <c r="AC154" s="9">
        <f>IF(25&lt;=核心参数输入!$B$9*4,季度投融资!$E$22*季度计划!AC125,0)</f>
        <v>0</v>
      </c>
      <c r="AD154" s="9">
        <f>IF(26&lt;=核心参数输入!$B$9*4,季度投融资!$E$22*季度计划!AD125,0)</f>
        <v>0</v>
      </c>
      <c r="AE154" s="9">
        <f>IF(27&lt;=核心参数输入!$B$9*4,季度投融资!$E$22*季度计划!AE125,0)</f>
        <v>0</v>
      </c>
      <c r="AF154" s="9">
        <f>IF(28&lt;=核心参数输入!$B$9*4,季度投融资!$E$22*季度计划!AF125,0)</f>
        <v>0</v>
      </c>
      <c r="AG154" s="9">
        <f>IF(29&lt;=核心参数输入!$B$9*4,季度投融资!$E$22*季度计划!AG125,0)</f>
        <v>0</v>
      </c>
      <c r="AH154" s="9">
        <f>IF(30&lt;=核心参数输入!$B$9*4,季度投融资!$E$22*季度计划!AH125,0)</f>
        <v>0</v>
      </c>
      <c r="AI154" s="9">
        <f>IF(31&lt;=核心参数输入!$B$9*4,季度投融资!$E$22*季度计划!AI125,0)</f>
        <v>0</v>
      </c>
      <c r="AJ154" s="9">
        <f>IF(32&lt;=核心参数输入!$B$9*4,季度投融资!$E$22*季度计划!AJ125,0)</f>
        <v>0</v>
      </c>
      <c r="AK154" s="9">
        <f>IF(33&lt;=核心参数输入!$B$9*4,季度投融资!$E$22*季度计划!AK125,0)</f>
        <v>0</v>
      </c>
      <c r="AL154" s="9">
        <f>IF(34&lt;=核心参数输入!$B$9*4,季度投融资!$E$22*季度计划!AL125,0)</f>
        <v>0</v>
      </c>
      <c r="AM154" s="9">
        <f>IF(35&lt;=核心参数输入!$B$9*4,季度投融资!$E$22*季度计划!AM125,0)</f>
        <v>0</v>
      </c>
      <c r="AN154" s="9">
        <f>IF(36&lt;=核心参数输入!$B$9*4,季度投融资!$E$22*季度计划!AN125,0)</f>
        <v>0</v>
      </c>
      <c r="AO154" s="9">
        <f>IF(37&lt;=核心参数输入!$B$9*4,季度投融资!$E$22*季度计划!AO125,0)</f>
        <v>0</v>
      </c>
      <c r="AP154" s="9">
        <f>IF(38&lt;=核心参数输入!$B$9*4,季度投融资!$E$22*季度计划!AP125,0)</f>
        <v>0</v>
      </c>
      <c r="AQ154" s="9">
        <f>IF(39&lt;=核心参数输入!$B$9*4,季度投融资!$E$22*季度计划!AQ125,0)</f>
        <v>0</v>
      </c>
      <c r="AR154" s="9">
        <f>IF(40&lt;=核心参数输入!$B$9*4,季度投融资!$E$22*季度计划!AR125,0)</f>
        <v>0</v>
      </c>
      <c r="AS154" s="9">
        <f>IF(41&lt;=核心参数输入!$B$9*4,季度投融资!$E$22*季度计划!AS125,0)</f>
        <v>0</v>
      </c>
      <c r="AT154" s="9">
        <f>IF(42&lt;=核心参数输入!$B$9*4,季度投融资!$E$22*季度计划!AT125,0)</f>
        <v>0</v>
      </c>
      <c r="AU154" s="9">
        <f>IF(43&lt;=核心参数输入!$B$9*4,季度投融资!$E$22*季度计划!AU125,0)</f>
        <v>0</v>
      </c>
      <c r="AV154" s="9">
        <f>IF(44&lt;=核心参数输入!$B$9*4,季度投融资!$E$22*季度计划!AV125,0)</f>
        <v>0</v>
      </c>
      <c r="AW154" s="9">
        <f>IF(45&lt;=核心参数输入!$B$9*4,季度投融资!$E$22*季度计划!AW125,0)</f>
        <v>0</v>
      </c>
      <c r="AX154" s="9">
        <f>IF(46&lt;=核心参数输入!$B$9*4,季度投融资!$E$22*季度计划!AX125,0)</f>
        <v>0</v>
      </c>
      <c r="AY154" s="9">
        <f>IF(47&lt;=核心参数输入!$B$9*4,季度投融资!$E$22*季度计划!AY125,0)</f>
        <v>0</v>
      </c>
      <c r="AZ154" s="9">
        <f>IF(48&lt;=核心参数输入!$B$9*4,季度投融资!$E$22*季度计划!AZ125,0)</f>
        <v>0</v>
      </c>
      <c r="BA154" s="9">
        <f>IF(49&lt;=核心参数输入!$B$9*4,季度投融资!$E$22*季度计划!BA125,0)</f>
        <v>0</v>
      </c>
      <c r="BB154" s="9">
        <f>IF(50&lt;=核心参数输入!$B$9*4,季度投融资!$E$22*季度计划!BB125,0)</f>
        <v>0</v>
      </c>
      <c r="BC154" s="9">
        <f>IF(51&lt;=核心参数输入!$B$9*4,季度投融资!$E$22*季度计划!BC125,0)</f>
        <v>0</v>
      </c>
      <c r="BD154" s="9">
        <f>IF(52&lt;=核心参数输入!$B$9*4,季度投融资!$E$22*季度计划!BD125,0)</f>
        <v>0</v>
      </c>
      <c r="BE154" s="9">
        <f>IF(53&lt;=核心参数输入!$B$9*4,季度投融资!$E$22*季度计划!BE125,0)</f>
        <v>0</v>
      </c>
      <c r="BF154" s="9">
        <f>IF(54&lt;=核心参数输入!$B$9*4,季度投融资!$E$22*季度计划!BF125,0)</f>
        <v>0</v>
      </c>
      <c r="BG154" s="9">
        <f>IF(55&lt;=核心参数输入!$B$9*4,季度投融资!$E$22*季度计划!BG125,0)</f>
        <v>0</v>
      </c>
      <c r="BH154" s="9">
        <f>IF(56&lt;=核心参数输入!$B$9*4,季度投融资!$E$22*季度计划!BH125,0)</f>
        <v>0</v>
      </c>
      <c r="BI154" s="9">
        <f>IF(57&lt;=核心参数输入!$B$9*4,季度投融资!$E$22*季度计划!BI125,0)</f>
        <v>0</v>
      </c>
      <c r="BJ154" s="9">
        <f>IF(58&lt;=核心参数输入!$B$9*4,季度投融资!$E$22*季度计划!BJ125,0)</f>
        <v>0</v>
      </c>
      <c r="BK154" s="9">
        <f>IF(59&lt;=核心参数输入!$B$9*4,季度投融资!$E$22*季度计划!BK125,0)</f>
        <v>0</v>
      </c>
      <c r="BL154" s="9">
        <f>IF(60&lt;=核心参数输入!$B$9*4,季度投融资!$E$22*季度计划!BL125,0)</f>
        <v>0</v>
      </c>
      <c r="BM154" s="9">
        <f>IF(61&lt;=核心参数输入!$B$9*4,季度投融资!$E$22*季度计划!BM125,0)</f>
        <v>0</v>
      </c>
      <c r="BN154" s="9">
        <f>IF(62&lt;=核心参数输入!$B$9*4,季度投融资!$E$22*季度计划!BN125,0)</f>
        <v>0</v>
      </c>
      <c r="BO154" s="9">
        <f>IF(63&lt;=核心参数输入!$B$9*4,季度投融资!$E$22*季度计划!BO125,0)</f>
        <v>0</v>
      </c>
      <c r="BP154" s="9">
        <f>IF(64&lt;=核心参数输入!$B$9*4,季度投融资!$E$22*季度计划!BP125,0)</f>
        <v>0</v>
      </c>
      <c r="BQ154" s="9">
        <f>IF(65&lt;=核心参数输入!$B$9*4,季度投融资!$E$22*季度计划!BQ125,0)</f>
        <v>0</v>
      </c>
      <c r="BR154" s="9">
        <f>IF(66&lt;=核心参数输入!$B$9*4,季度投融资!$E$22*季度计划!BR125,0)</f>
        <v>0</v>
      </c>
      <c r="BS154" s="9">
        <f>IF(67&lt;=核心参数输入!$B$9*4,季度投融资!$E$22*季度计划!BS125,0)</f>
        <v>0</v>
      </c>
      <c r="BT154" s="9">
        <f>IF(68&lt;=核心参数输入!$B$9*4,季度投融资!$E$22*季度计划!BT125,0)</f>
        <v>0</v>
      </c>
      <c r="BU154" s="9">
        <f>IF(69&lt;=核心参数输入!$B$9*4,季度投融资!$E$22*季度计划!BU125,0)</f>
        <v>0</v>
      </c>
      <c r="BV154" s="9">
        <f>IF(70&lt;=核心参数输入!$B$9*4,季度投融资!$E$22*季度计划!BV125,0)</f>
        <v>0</v>
      </c>
      <c r="BW154" s="9">
        <f>IF(71&lt;=核心参数输入!$B$9*4,季度投融资!$E$22*季度计划!BW125,0)</f>
        <v>0</v>
      </c>
      <c r="BX154" s="9">
        <f>IF(72&lt;=核心参数输入!$B$9*4,季度投融资!$E$22*季度计划!BX125,0)</f>
        <v>0</v>
      </c>
      <c r="BY154" s="9">
        <f>IF(73&lt;=核心参数输入!$B$9*4,季度投融资!$E$22*季度计划!BY125,0)</f>
        <v>0</v>
      </c>
      <c r="BZ154" s="9">
        <f>IF(74&lt;=核心参数输入!$B$9*4,季度投融资!$E$22*季度计划!BZ125,0)</f>
        <v>0</v>
      </c>
      <c r="CA154" s="9">
        <f>IF(75&lt;=核心参数输入!$B$9*4,季度投融资!$E$22*季度计划!CA125,0)</f>
        <v>0</v>
      </c>
      <c r="CB154" s="9">
        <f>IF(76&lt;=核心参数输入!$B$9*4,季度投融资!$E$22*季度计划!CB125,0)</f>
        <v>0</v>
      </c>
      <c r="CC154" s="9">
        <f>IF(77&lt;=核心参数输入!$B$9*4,季度投融资!$E$22*季度计划!CC125,0)</f>
        <v>0</v>
      </c>
      <c r="CD154" s="9">
        <f>IF(78&lt;=核心参数输入!$B$9*4,季度投融资!$E$22*季度计划!CD125,0)</f>
        <v>0</v>
      </c>
      <c r="CE154" s="9">
        <f>IF(79&lt;=核心参数输入!$B$9*4,季度投融资!$E$22*季度计划!CE125,0)</f>
        <v>0</v>
      </c>
      <c r="CF154" s="9">
        <f>IF(80&lt;=核心参数输入!$B$9*4,季度投融资!$E$22*季度计划!CF125,0)</f>
        <v>0</v>
      </c>
      <c r="CG154" s="9">
        <f>IF(81&lt;=核心参数输入!$B$9*4,季度投融资!$E$22*季度计划!CG125,0)</f>
        <v>0</v>
      </c>
      <c r="CH154" s="9">
        <f>IF(82&lt;=核心参数输入!$B$9*4,季度投融资!$E$22*季度计划!CH125,0)</f>
        <v>0</v>
      </c>
      <c r="CI154" s="9">
        <f>IF(83&lt;=核心参数输入!$B$9*4,季度投融资!$E$22*季度计划!CI125,0)</f>
        <v>0</v>
      </c>
      <c r="CJ154" s="9">
        <f>IF(84&lt;=核心参数输入!$B$9*4,季度投融资!$E$22*季度计划!CJ125,0)</f>
        <v>0</v>
      </c>
      <c r="CK154" s="9">
        <f>IF(85&lt;=核心参数输入!$B$9*4,季度投融资!$E$22*季度计划!CK125,0)</f>
        <v>0</v>
      </c>
      <c r="CL154" s="9">
        <f>IF(86&lt;=核心参数输入!$B$9*4,季度投融资!$E$22*季度计划!CL125,0)</f>
        <v>0</v>
      </c>
      <c r="CM154" s="9">
        <f>IF(87&lt;=核心参数输入!$B$9*4,季度投融资!$E$22*季度计划!CM125,0)</f>
        <v>0</v>
      </c>
      <c r="CN154" s="9">
        <f>IF(88&lt;=核心参数输入!$B$9*4,季度投融资!$E$22*季度计划!CN125,0)</f>
        <v>0</v>
      </c>
      <c r="CO154" s="9">
        <f>IF(89&lt;=核心参数输入!$B$9*4,季度投融资!$E$22*季度计划!CO125,0)</f>
        <v>0</v>
      </c>
      <c r="CP154" s="9">
        <f>IF(90&lt;=核心参数输入!$B$9*4,季度投融资!$E$22*季度计划!CP125,0)</f>
        <v>0</v>
      </c>
      <c r="CQ154" s="9">
        <f>IF(91&lt;=核心参数输入!$B$9*4,季度投融资!$E$22*季度计划!CQ125,0)</f>
        <v>0</v>
      </c>
      <c r="CR154" s="9">
        <f>IF(92&lt;=核心参数输入!$B$9*4,季度投融资!$E$22*季度计划!CR125,0)</f>
        <v>0</v>
      </c>
      <c r="CS154" s="9">
        <f>IF(93&lt;=核心参数输入!$B$9*4,季度投融资!$E$22*季度计划!CS125,0)</f>
        <v>0</v>
      </c>
      <c r="CT154" s="9">
        <f>IF(94&lt;=核心参数输入!$B$9*4,季度投融资!$E$22*季度计划!CT125,0)</f>
        <v>0</v>
      </c>
      <c r="CU154" s="9">
        <f>IF(95&lt;=核心参数输入!$B$9*4,季度投融资!$E$22*季度计划!CU125,0)</f>
        <v>0</v>
      </c>
      <c r="CV154" s="9">
        <f>IF(96&lt;=核心参数输入!$B$9*4,季度投融资!$E$22*季度计划!CV125,0)</f>
        <v>0</v>
      </c>
      <c r="CW154" s="9">
        <f>IF(97&lt;=核心参数输入!$B$9*4,季度投融资!$E$22*季度计划!CW125,0)</f>
        <v>0</v>
      </c>
      <c r="CX154" s="9">
        <f>IF(98&lt;=核心参数输入!$B$9*4,季度投融资!$E$22*季度计划!CX125,0)</f>
        <v>0</v>
      </c>
      <c r="CY154" s="9">
        <f>IF(99&lt;=核心参数输入!$B$9*4,季度投融资!$E$22*季度计划!CY125,0)</f>
        <v>0</v>
      </c>
      <c r="CZ154" s="9">
        <f>IF(100&lt;=核心参数输入!$B$9*4,季度投融资!$E$22*季度计划!CZ125,0)</f>
        <v>0</v>
      </c>
      <c r="DA154" s="9">
        <f>IF(101&lt;=核心参数输入!$B$9*4,季度投融资!$E$22*季度计划!DA125,0)</f>
        <v>0</v>
      </c>
      <c r="DB154" s="9">
        <f>IF(102&lt;=核心参数输入!$B$9*4,季度投融资!$E$22*季度计划!DB125,0)</f>
        <v>0</v>
      </c>
      <c r="DC154" s="9">
        <f>IF(103&lt;=核心参数输入!$B$9*4,季度投融资!$E$22*季度计划!DC125,0)</f>
        <v>0</v>
      </c>
      <c r="DD154" s="9">
        <f>IF(104&lt;=核心参数输入!$B$9*4,季度投融资!$E$22*季度计划!DD125,0)</f>
        <v>0</v>
      </c>
      <c r="DE154" s="9">
        <f>IF(105&lt;=核心参数输入!$B$9*4,季度投融资!$E$22*季度计划!DE125,0)</f>
        <v>0</v>
      </c>
      <c r="DF154" s="9">
        <f>IF(106&lt;=核心参数输入!$B$9*4,季度投融资!$E$22*季度计划!DF125,0)</f>
        <v>0</v>
      </c>
      <c r="DG154" s="9">
        <f>IF(107&lt;=核心参数输入!$B$9*4,季度投融资!$E$22*季度计划!DG125,0)</f>
        <v>0</v>
      </c>
      <c r="DH154" s="9">
        <f>IF(108&lt;=核心参数输入!$B$9*4,季度投融资!$E$22*季度计划!DH125,0)</f>
        <v>0</v>
      </c>
      <c r="DI154" s="9">
        <f>IF(109&lt;=核心参数输入!$B$9*4,季度投融资!$E$22*季度计划!DI125,0)</f>
        <v>0</v>
      </c>
      <c r="DJ154" s="9">
        <f>IF(110&lt;=核心参数输入!$B$9*4,季度投融资!$E$22*季度计划!DJ125,0)</f>
        <v>0</v>
      </c>
      <c r="DK154" s="9">
        <f>IF(111&lt;=核心参数输入!$B$9*4,季度投融资!$E$22*季度计划!DK125,0)</f>
        <v>0</v>
      </c>
      <c r="DL154" s="9">
        <f>IF(112&lt;=核心参数输入!$B$9*4,季度投融资!$E$22*季度计划!DL125,0)</f>
        <v>0</v>
      </c>
      <c r="DM154" s="9">
        <f>IF(113&lt;=核心参数输入!$B$9*4,季度投融资!$E$22*季度计划!DM125,0)</f>
        <v>0</v>
      </c>
      <c r="DN154" s="9">
        <f>IF(114&lt;=核心参数输入!$B$9*4,季度投融资!$E$22*季度计划!DN125,0)</f>
        <v>0</v>
      </c>
      <c r="DO154" s="9">
        <f>IF(115&lt;=核心参数输入!$B$9*4,季度投融资!$E$22*季度计划!DO125,0)</f>
        <v>0</v>
      </c>
      <c r="DP154" s="9">
        <f>IF(116&lt;=核心参数输入!$B$9*4,季度投融资!$E$22*季度计划!DP125,0)</f>
        <v>0</v>
      </c>
      <c r="DQ154" s="9">
        <f>IF(117&lt;=核心参数输入!$B$9*4,季度投融资!$E$22*季度计划!DQ125,0)</f>
        <v>0</v>
      </c>
      <c r="DR154" s="9">
        <f>IF(118&lt;=核心参数输入!$B$9*4,季度投融资!$E$22*季度计划!DR125,0)</f>
        <v>0</v>
      </c>
      <c r="DS154" s="9">
        <f>IF(119&lt;=核心参数输入!$B$9*4,季度投融资!$E$22*季度计划!DS125,0)</f>
        <v>0</v>
      </c>
      <c r="DT154" s="9">
        <f>IF(120&lt;=核心参数输入!$B$9*4,季度投融资!$E$22*季度计划!DT125,0)</f>
        <v>0</v>
      </c>
    </row>
    <row r="155" spans="1:124" ht="21" customHeight="1">
      <c r="A155" s="8" t="s">
        <v>477</v>
      </c>
      <c r="B155" s="8" t="s">
        <v>39</v>
      </c>
      <c r="C155" s="8"/>
      <c r="D155" s="9">
        <f>IF(0&lt;=核心参数输入!$B$9*4,季度投融资!$E$25*季度计划!D125,0)</f>
        <v>0</v>
      </c>
      <c r="E155" s="9">
        <f>IF(1&lt;=核心参数输入!$B$9*4,季度投融资!$E$25*季度计划!E125,0)</f>
        <v>0</v>
      </c>
      <c r="F155" s="9">
        <f>IF(2&lt;=核心参数输入!$B$9*4,季度投融资!$E$25*季度计划!F125,0)</f>
        <v>0</v>
      </c>
      <c r="G155" s="9">
        <f>IF(3&lt;=核心参数输入!$B$9*4,季度投融资!$E$25*季度计划!G125,0)</f>
        <v>0</v>
      </c>
      <c r="H155" s="9">
        <f>IF(4&lt;=核心参数输入!$B$9*4,季度投融资!$E$25*季度计划!H125,0)</f>
        <v>0</v>
      </c>
      <c r="I155" s="9">
        <f>IF(5&lt;=核心参数输入!$B$9*4,季度投融资!$E$25*季度计划!I125,0)</f>
        <v>0</v>
      </c>
      <c r="J155" s="9">
        <f>IF(6&lt;=核心参数输入!$B$9*4,季度投融资!$E$25*季度计划!J125,0)</f>
        <v>0</v>
      </c>
      <c r="K155" s="9">
        <f>IF(7&lt;=核心参数输入!$B$9*4,季度投融资!$E$25*季度计划!K125,0)</f>
        <v>0</v>
      </c>
      <c r="L155" s="9">
        <f>IF(8&lt;=核心参数输入!$B$9*4,季度投融资!$E$25*季度计划!L125,0)</f>
        <v>0</v>
      </c>
      <c r="M155" s="9">
        <f>IF(9&lt;=核心参数输入!$B$9*4,季度投融资!$E$25*季度计划!M125,0)</f>
        <v>0</v>
      </c>
      <c r="N155" s="9">
        <f>IF(10&lt;=核心参数输入!$B$9*4,季度投融资!$E$25*季度计划!N125,0)</f>
        <v>0</v>
      </c>
      <c r="O155" s="9">
        <f>IF(11&lt;=核心参数输入!$B$9*4,季度投融资!$E$25*季度计划!O125,0)</f>
        <v>0</v>
      </c>
      <c r="P155" s="9">
        <f>IF(12&lt;=核心参数输入!$B$9*4,季度投融资!$E$25*季度计划!P125,0)</f>
        <v>0</v>
      </c>
      <c r="Q155" s="9">
        <f>IF(13&lt;=核心参数输入!$B$9*4,季度投融资!$E$25*季度计划!Q125,0)</f>
        <v>2809.2075000000004</v>
      </c>
      <c r="R155" s="9">
        <f>IF(14&lt;=核心参数输入!$B$9*4,季度投融资!$E$25*季度计划!R125,0)</f>
        <v>2809.2075000000004</v>
      </c>
      <c r="S155" s="9">
        <f>IF(15&lt;=核心参数输入!$B$9*4,季度投融资!$E$25*季度计划!S125,0)</f>
        <v>2809.2075000000004</v>
      </c>
      <c r="T155" s="9">
        <f>IF(16&lt;=核心参数输入!$B$9*4,季度投融资!$E$25*季度计划!T125,0)</f>
        <v>2809.2075000000004</v>
      </c>
      <c r="U155" s="9">
        <f>IF(17&lt;=核心参数输入!$B$9*4,季度投融资!$E$25*季度计划!U125,0)</f>
        <v>3745.6100000000006</v>
      </c>
      <c r="V155" s="9">
        <f>IF(18&lt;=核心参数输入!$B$9*4,季度投融资!$E$25*季度计划!V125,0)</f>
        <v>3745.6100000000006</v>
      </c>
      <c r="W155" s="9">
        <f>IF(19&lt;=核心参数输入!$B$9*4,季度投融资!$E$25*季度计划!W125,0)</f>
        <v>3745.6100000000006</v>
      </c>
      <c r="X155" s="9">
        <f>IF(20&lt;=核心参数输入!$B$9*4,季度投融资!$E$25*季度计划!X125,0)</f>
        <v>3745.6100000000006</v>
      </c>
      <c r="Y155" s="9">
        <f>IF(21&lt;=核心参数输入!$B$9*4,季度投融资!$E$25*季度计划!Y125,0)</f>
        <v>2809.2075000000004</v>
      </c>
      <c r="Z155" s="9">
        <f>IF(22&lt;=核心参数输入!$B$9*4,季度投融资!$E$25*季度计划!Z125,0)</f>
        <v>2809.2075000000004</v>
      </c>
      <c r="AA155" s="9">
        <f>IF(23&lt;=核心参数输入!$B$9*4,季度投融资!$E$25*季度计划!AA125,0)</f>
        <v>2809.2075000000004</v>
      </c>
      <c r="AB155" s="9">
        <f>IF(24&lt;=核心参数输入!$B$9*4,季度投融资!$E$25*季度计划!AB125,0)</f>
        <v>2809.2075000000004</v>
      </c>
      <c r="AC155" s="9">
        <f>IF(25&lt;=核心参数输入!$B$9*4,季度投融资!$E$25*季度计划!AC125,0)</f>
        <v>0</v>
      </c>
      <c r="AD155" s="9">
        <f>IF(26&lt;=核心参数输入!$B$9*4,季度投融资!$E$25*季度计划!AD125,0)</f>
        <v>0</v>
      </c>
      <c r="AE155" s="9">
        <f>IF(27&lt;=核心参数输入!$B$9*4,季度投融资!$E$25*季度计划!AE125,0)</f>
        <v>0</v>
      </c>
      <c r="AF155" s="9">
        <f>IF(28&lt;=核心参数输入!$B$9*4,季度投融资!$E$25*季度计划!AF125,0)</f>
        <v>0</v>
      </c>
      <c r="AG155" s="9">
        <f>IF(29&lt;=核心参数输入!$B$9*4,季度投融资!$E$25*季度计划!AG125,0)</f>
        <v>0</v>
      </c>
      <c r="AH155" s="9">
        <f>IF(30&lt;=核心参数输入!$B$9*4,季度投融资!$E$25*季度计划!AH125,0)</f>
        <v>0</v>
      </c>
      <c r="AI155" s="9">
        <f>IF(31&lt;=核心参数输入!$B$9*4,季度投融资!$E$25*季度计划!AI125,0)</f>
        <v>0</v>
      </c>
      <c r="AJ155" s="9">
        <f>IF(32&lt;=核心参数输入!$B$9*4,季度投融资!$E$25*季度计划!AJ125,0)</f>
        <v>0</v>
      </c>
      <c r="AK155" s="9">
        <f>IF(33&lt;=核心参数输入!$B$9*4,季度投融资!$E$25*季度计划!AK125,0)</f>
        <v>0</v>
      </c>
      <c r="AL155" s="9">
        <f>IF(34&lt;=核心参数输入!$B$9*4,季度投融资!$E$25*季度计划!AL125,0)</f>
        <v>0</v>
      </c>
      <c r="AM155" s="9">
        <f>IF(35&lt;=核心参数输入!$B$9*4,季度投融资!$E$25*季度计划!AM125,0)</f>
        <v>0</v>
      </c>
      <c r="AN155" s="9">
        <f>IF(36&lt;=核心参数输入!$B$9*4,季度投融资!$E$25*季度计划!AN125,0)</f>
        <v>0</v>
      </c>
      <c r="AO155" s="9">
        <f>IF(37&lt;=核心参数输入!$B$9*4,季度投融资!$E$25*季度计划!AO125,0)</f>
        <v>0</v>
      </c>
      <c r="AP155" s="9">
        <f>IF(38&lt;=核心参数输入!$B$9*4,季度投融资!$E$25*季度计划!AP125,0)</f>
        <v>0</v>
      </c>
      <c r="AQ155" s="9">
        <f>IF(39&lt;=核心参数输入!$B$9*4,季度投融资!$E$25*季度计划!AQ125,0)</f>
        <v>0</v>
      </c>
      <c r="AR155" s="9">
        <f>IF(40&lt;=核心参数输入!$B$9*4,季度投融资!$E$25*季度计划!AR125,0)</f>
        <v>0</v>
      </c>
      <c r="AS155" s="9">
        <f>IF(41&lt;=核心参数输入!$B$9*4,季度投融资!$E$25*季度计划!AS125,0)</f>
        <v>0</v>
      </c>
      <c r="AT155" s="9">
        <f>IF(42&lt;=核心参数输入!$B$9*4,季度投融资!$E$25*季度计划!AT125,0)</f>
        <v>0</v>
      </c>
      <c r="AU155" s="9">
        <f>IF(43&lt;=核心参数输入!$B$9*4,季度投融资!$E$25*季度计划!AU125,0)</f>
        <v>0</v>
      </c>
      <c r="AV155" s="9">
        <f>IF(44&lt;=核心参数输入!$B$9*4,季度投融资!$E$25*季度计划!AV125,0)</f>
        <v>0</v>
      </c>
      <c r="AW155" s="9">
        <f>IF(45&lt;=核心参数输入!$B$9*4,季度投融资!$E$25*季度计划!AW125,0)</f>
        <v>0</v>
      </c>
      <c r="AX155" s="9">
        <f>IF(46&lt;=核心参数输入!$B$9*4,季度投融资!$E$25*季度计划!AX125,0)</f>
        <v>0</v>
      </c>
      <c r="AY155" s="9">
        <f>IF(47&lt;=核心参数输入!$B$9*4,季度投融资!$E$25*季度计划!AY125,0)</f>
        <v>0</v>
      </c>
      <c r="AZ155" s="9">
        <f>IF(48&lt;=核心参数输入!$B$9*4,季度投融资!$E$25*季度计划!AZ125,0)</f>
        <v>0</v>
      </c>
      <c r="BA155" s="9">
        <f>IF(49&lt;=核心参数输入!$B$9*4,季度投融资!$E$25*季度计划!BA125,0)</f>
        <v>0</v>
      </c>
      <c r="BB155" s="9">
        <f>IF(50&lt;=核心参数输入!$B$9*4,季度投融资!$E$25*季度计划!BB125,0)</f>
        <v>0</v>
      </c>
      <c r="BC155" s="9">
        <f>IF(51&lt;=核心参数输入!$B$9*4,季度投融资!$E$25*季度计划!BC125,0)</f>
        <v>0</v>
      </c>
      <c r="BD155" s="9">
        <f>IF(52&lt;=核心参数输入!$B$9*4,季度投融资!$E$25*季度计划!BD125,0)</f>
        <v>0</v>
      </c>
      <c r="BE155" s="9">
        <f>IF(53&lt;=核心参数输入!$B$9*4,季度投融资!$E$25*季度计划!BE125,0)</f>
        <v>0</v>
      </c>
      <c r="BF155" s="9">
        <f>IF(54&lt;=核心参数输入!$B$9*4,季度投融资!$E$25*季度计划!BF125,0)</f>
        <v>0</v>
      </c>
      <c r="BG155" s="9">
        <f>IF(55&lt;=核心参数输入!$B$9*4,季度投融资!$E$25*季度计划!BG125,0)</f>
        <v>0</v>
      </c>
      <c r="BH155" s="9">
        <f>IF(56&lt;=核心参数输入!$B$9*4,季度投融资!$E$25*季度计划!BH125,0)</f>
        <v>0</v>
      </c>
      <c r="BI155" s="9">
        <f>IF(57&lt;=核心参数输入!$B$9*4,季度投融资!$E$25*季度计划!BI125,0)</f>
        <v>0</v>
      </c>
      <c r="BJ155" s="9">
        <f>IF(58&lt;=核心参数输入!$B$9*4,季度投融资!$E$25*季度计划!BJ125,0)</f>
        <v>0</v>
      </c>
      <c r="BK155" s="9">
        <f>IF(59&lt;=核心参数输入!$B$9*4,季度投融资!$E$25*季度计划!BK125,0)</f>
        <v>0</v>
      </c>
      <c r="BL155" s="9">
        <f>IF(60&lt;=核心参数输入!$B$9*4,季度投融资!$E$25*季度计划!BL125,0)</f>
        <v>0</v>
      </c>
      <c r="BM155" s="9">
        <f>IF(61&lt;=核心参数输入!$B$9*4,季度投融资!$E$25*季度计划!BM125,0)</f>
        <v>0</v>
      </c>
      <c r="BN155" s="9">
        <f>IF(62&lt;=核心参数输入!$B$9*4,季度投融资!$E$25*季度计划!BN125,0)</f>
        <v>0</v>
      </c>
      <c r="BO155" s="9">
        <f>IF(63&lt;=核心参数输入!$B$9*4,季度投融资!$E$25*季度计划!BO125,0)</f>
        <v>0</v>
      </c>
      <c r="BP155" s="9">
        <f>IF(64&lt;=核心参数输入!$B$9*4,季度投融资!$E$25*季度计划!BP125,0)</f>
        <v>0</v>
      </c>
      <c r="BQ155" s="9">
        <f>IF(65&lt;=核心参数输入!$B$9*4,季度投融资!$E$25*季度计划!BQ125,0)</f>
        <v>0</v>
      </c>
      <c r="BR155" s="9">
        <f>IF(66&lt;=核心参数输入!$B$9*4,季度投融资!$E$25*季度计划!BR125,0)</f>
        <v>0</v>
      </c>
      <c r="BS155" s="9">
        <f>IF(67&lt;=核心参数输入!$B$9*4,季度投融资!$E$25*季度计划!BS125,0)</f>
        <v>0</v>
      </c>
      <c r="BT155" s="9">
        <f>IF(68&lt;=核心参数输入!$B$9*4,季度投融资!$E$25*季度计划!BT125,0)</f>
        <v>0</v>
      </c>
      <c r="BU155" s="9">
        <f>IF(69&lt;=核心参数输入!$B$9*4,季度投融资!$E$25*季度计划!BU125,0)</f>
        <v>0</v>
      </c>
      <c r="BV155" s="9">
        <f>IF(70&lt;=核心参数输入!$B$9*4,季度投融资!$E$25*季度计划!BV125,0)</f>
        <v>0</v>
      </c>
      <c r="BW155" s="9">
        <f>IF(71&lt;=核心参数输入!$B$9*4,季度投融资!$E$25*季度计划!BW125,0)</f>
        <v>0</v>
      </c>
      <c r="BX155" s="9">
        <f>IF(72&lt;=核心参数输入!$B$9*4,季度投融资!$E$25*季度计划!BX125,0)</f>
        <v>0</v>
      </c>
      <c r="BY155" s="9">
        <f>IF(73&lt;=核心参数输入!$B$9*4,季度投融资!$E$25*季度计划!BY125,0)</f>
        <v>0</v>
      </c>
      <c r="BZ155" s="9">
        <f>IF(74&lt;=核心参数输入!$B$9*4,季度投融资!$E$25*季度计划!BZ125,0)</f>
        <v>0</v>
      </c>
      <c r="CA155" s="9">
        <f>IF(75&lt;=核心参数输入!$B$9*4,季度投融资!$E$25*季度计划!CA125,0)</f>
        <v>0</v>
      </c>
      <c r="CB155" s="9">
        <f>IF(76&lt;=核心参数输入!$B$9*4,季度投融资!$E$25*季度计划!CB125,0)</f>
        <v>0</v>
      </c>
      <c r="CC155" s="9">
        <f>IF(77&lt;=核心参数输入!$B$9*4,季度投融资!$E$25*季度计划!CC125,0)</f>
        <v>0</v>
      </c>
      <c r="CD155" s="9">
        <f>IF(78&lt;=核心参数输入!$B$9*4,季度投融资!$E$25*季度计划!CD125,0)</f>
        <v>0</v>
      </c>
      <c r="CE155" s="9">
        <f>IF(79&lt;=核心参数输入!$B$9*4,季度投融资!$E$25*季度计划!CE125,0)</f>
        <v>0</v>
      </c>
      <c r="CF155" s="9">
        <f>IF(80&lt;=核心参数输入!$B$9*4,季度投融资!$E$25*季度计划!CF125,0)</f>
        <v>0</v>
      </c>
      <c r="CG155" s="9">
        <f>IF(81&lt;=核心参数输入!$B$9*4,季度投融资!$E$25*季度计划!CG125,0)</f>
        <v>0</v>
      </c>
      <c r="CH155" s="9">
        <f>IF(82&lt;=核心参数输入!$B$9*4,季度投融资!$E$25*季度计划!CH125,0)</f>
        <v>0</v>
      </c>
      <c r="CI155" s="9">
        <f>IF(83&lt;=核心参数输入!$B$9*4,季度投融资!$E$25*季度计划!CI125,0)</f>
        <v>0</v>
      </c>
      <c r="CJ155" s="9">
        <f>IF(84&lt;=核心参数输入!$B$9*4,季度投融资!$E$25*季度计划!CJ125,0)</f>
        <v>0</v>
      </c>
      <c r="CK155" s="9">
        <f>IF(85&lt;=核心参数输入!$B$9*4,季度投融资!$E$25*季度计划!CK125,0)</f>
        <v>0</v>
      </c>
      <c r="CL155" s="9">
        <f>IF(86&lt;=核心参数输入!$B$9*4,季度投融资!$E$25*季度计划!CL125,0)</f>
        <v>0</v>
      </c>
      <c r="CM155" s="9">
        <f>IF(87&lt;=核心参数输入!$B$9*4,季度投融资!$E$25*季度计划!CM125,0)</f>
        <v>0</v>
      </c>
      <c r="CN155" s="9">
        <f>IF(88&lt;=核心参数输入!$B$9*4,季度投融资!$E$25*季度计划!CN125,0)</f>
        <v>0</v>
      </c>
      <c r="CO155" s="9">
        <f>IF(89&lt;=核心参数输入!$B$9*4,季度投融资!$E$25*季度计划!CO125,0)</f>
        <v>0</v>
      </c>
      <c r="CP155" s="9">
        <f>IF(90&lt;=核心参数输入!$B$9*4,季度投融资!$E$25*季度计划!CP125,0)</f>
        <v>0</v>
      </c>
      <c r="CQ155" s="9">
        <f>IF(91&lt;=核心参数输入!$B$9*4,季度投融资!$E$25*季度计划!CQ125,0)</f>
        <v>0</v>
      </c>
      <c r="CR155" s="9">
        <f>IF(92&lt;=核心参数输入!$B$9*4,季度投融资!$E$25*季度计划!CR125,0)</f>
        <v>0</v>
      </c>
      <c r="CS155" s="9">
        <f>IF(93&lt;=核心参数输入!$B$9*4,季度投融资!$E$25*季度计划!CS125,0)</f>
        <v>0</v>
      </c>
      <c r="CT155" s="9">
        <f>IF(94&lt;=核心参数输入!$B$9*4,季度投融资!$E$25*季度计划!CT125,0)</f>
        <v>0</v>
      </c>
      <c r="CU155" s="9">
        <f>IF(95&lt;=核心参数输入!$B$9*4,季度投融资!$E$25*季度计划!CU125,0)</f>
        <v>0</v>
      </c>
      <c r="CV155" s="9">
        <f>IF(96&lt;=核心参数输入!$B$9*4,季度投融资!$E$25*季度计划!CV125,0)</f>
        <v>0</v>
      </c>
      <c r="CW155" s="9">
        <f>IF(97&lt;=核心参数输入!$B$9*4,季度投融资!$E$25*季度计划!CW125,0)</f>
        <v>0</v>
      </c>
      <c r="CX155" s="9">
        <f>IF(98&lt;=核心参数输入!$B$9*4,季度投融资!$E$25*季度计划!CX125,0)</f>
        <v>0</v>
      </c>
      <c r="CY155" s="9">
        <f>IF(99&lt;=核心参数输入!$B$9*4,季度投融资!$E$25*季度计划!CY125,0)</f>
        <v>0</v>
      </c>
      <c r="CZ155" s="9">
        <f>IF(100&lt;=核心参数输入!$B$9*4,季度投融资!$E$25*季度计划!CZ125,0)</f>
        <v>0</v>
      </c>
      <c r="DA155" s="9">
        <f>IF(101&lt;=核心参数输入!$B$9*4,季度投融资!$E$25*季度计划!DA125,0)</f>
        <v>0</v>
      </c>
      <c r="DB155" s="9">
        <f>IF(102&lt;=核心参数输入!$B$9*4,季度投融资!$E$25*季度计划!DB125,0)</f>
        <v>0</v>
      </c>
      <c r="DC155" s="9">
        <f>IF(103&lt;=核心参数输入!$B$9*4,季度投融资!$E$25*季度计划!DC125,0)</f>
        <v>0</v>
      </c>
      <c r="DD155" s="9">
        <f>IF(104&lt;=核心参数输入!$B$9*4,季度投融资!$E$25*季度计划!DD125,0)</f>
        <v>0</v>
      </c>
      <c r="DE155" s="9">
        <f>IF(105&lt;=核心参数输入!$B$9*4,季度投融资!$E$25*季度计划!DE125,0)</f>
        <v>0</v>
      </c>
      <c r="DF155" s="9">
        <f>IF(106&lt;=核心参数输入!$B$9*4,季度投融资!$E$25*季度计划!DF125,0)</f>
        <v>0</v>
      </c>
      <c r="DG155" s="9">
        <f>IF(107&lt;=核心参数输入!$B$9*4,季度投融资!$E$25*季度计划!DG125,0)</f>
        <v>0</v>
      </c>
      <c r="DH155" s="9">
        <f>IF(108&lt;=核心参数输入!$B$9*4,季度投融资!$E$25*季度计划!DH125,0)</f>
        <v>0</v>
      </c>
      <c r="DI155" s="9">
        <f>IF(109&lt;=核心参数输入!$B$9*4,季度投融资!$E$25*季度计划!DI125,0)</f>
        <v>0</v>
      </c>
      <c r="DJ155" s="9">
        <f>IF(110&lt;=核心参数输入!$B$9*4,季度投融资!$E$25*季度计划!DJ125,0)</f>
        <v>0</v>
      </c>
      <c r="DK155" s="9">
        <f>IF(111&lt;=核心参数输入!$B$9*4,季度投融资!$E$25*季度计划!DK125,0)</f>
        <v>0</v>
      </c>
      <c r="DL155" s="9">
        <f>IF(112&lt;=核心参数输入!$B$9*4,季度投融资!$E$25*季度计划!DL125,0)</f>
        <v>0</v>
      </c>
      <c r="DM155" s="9">
        <f>IF(113&lt;=核心参数输入!$B$9*4,季度投融资!$E$25*季度计划!DM125,0)</f>
        <v>0</v>
      </c>
      <c r="DN155" s="9">
        <f>IF(114&lt;=核心参数输入!$B$9*4,季度投融资!$E$25*季度计划!DN125,0)</f>
        <v>0</v>
      </c>
      <c r="DO155" s="9">
        <f>IF(115&lt;=核心参数输入!$B$9*4,季度投融资!$E$25*季度计划!DO125,0)</f>
        <v>0</v>
      </c>
      <c r="DP155" s="9">
        <f>IF(116&lt;=核心参数输入!$B$9*4,季度投融资!$E$25*季度计划!DP125,0)</f>
        <v>0</v>
      </c>
      <c r="DQ155" s="9">
        <f>IF(117&lt;=核心参数输入!$B$9*4,季度投融资!$E$25*季度计划!DQ125,0)</f>
        <v>0</v>
      </c>
      <c r="DR155" s="9">
        <f>IF(118&lt;=核心参数输入!$B$9*4,季度投融资!$E$25*季度计划!DR125,0)</f>
        <v>0</v>
      </c>
      <c r="DS155" s="9">
        <f>IF(119&lt;=核心参数输入!$B$9*4,季度投融资!$E$25*季度计划!DS125,0)</f>
        <v>0</v>
      </c>
      <c r="DT155" s="9">
        <f>IF(120&lt;=核心参数输入!$B$9*4,季度投融资!$E$25*季度计划!DT125,0)</f>
        <v>0</v>
      </c>
    </row>
    <row r="156" spans="1:124" ht="21" customHeight="1">
      <c r="A156" s="8" t="s">
        <v>478</v>
      </c>
      <c r="B156" s="8" t="s">
        <v>39</v>
      </c>
      <c r="C156" s="8"/>
      <c r="D156" s="9">
        <f>IF(0&lt;=核心参数输入!$B$9*4,D144-SUM(D145:D151)-D153-D154-D134,0)</f>
        <v>0</v>
      </c>
      <c r="E156" s="9">
        <f>IF(1&lt;=核心参数输入!$B$9*4,E144-SUM(E145:E151)-E153-E154-E134,0)</f>
        <v>0</v>
      </c>
      <c r="F156" s="9">
        <f>IF(2&lt;=核心参数输入!$B$9*4,F144-SUM(F145:F151)-F153-F154-F134,0)</f>
        <v>0</v>
      </c>
      <c r="G156" s="9">
        <f>IF(3&lt;=核心参数输入!$B$9*4,G144-SUM(G145:G151)-G153-G154-G134,0)</f>
        <v>0</v>
      </c>
      <c r="H156" s="9">
        <f>IF(4&lt;=核心参数输入!$B$9*4,H144-SUM(H145:H151)-H153-H154-H134,0)</f>
        <v>0</v>
      </c>
      <c r="I156" s="9">
        <f>IF(5&lt;=核心参数输入!$B$9*4,I144-SUM(I145:I151)-I153-I154-I134,0)</f>
        <v>0</v>
      </c>
      <c r="J156" s="9">
        <f>IF(6&lt;=核心参数输入!$B$9*4,J144-SUM(J145:J151)-J153-J154-J134,0)</f>
        <v>0</v>
      </c>
      <c r="K156" s="9">
        <f>IF(7&lt;=核心参数输入!$B$9*4,K144-SUM(K145:K151)-K153-K154-K134,0)</f>
        <v>0</v>
      </c>
      <c r="L156" s="9">
        <f>IF(8&lt;=核心参数输入!$B$9*4,L144-SUM(L145:L151)-L153-L154-L134,0)</f>
        <v>0</v>
      </c>
      <c r="M156" s="9">
        <f>IF(9&lt;=核心参数输入!$B$9*4,M144-SUM(M145:M151)-M153-M154-M134,0)</f>
        <v>0</v>
      </c>
      <c r="N156" s="9">
        <f>IF(10&lt;=核心参数输入!$B$9*4,N144-SUM(N145:N151)-N153-N154-N134,0)</f>
        <v>0</v>
      </c>
      <c r="O156" s="9">
        <f>IF(11&lt;=核心参数输入!$B$9*4,O144-SUM(O145:O151)-O153-O154-O134,0)</f>
        <v>0</v>
      </c>
      <c r="P156" s="9">
        <f>IF(12&lt;=核心参数输入!$B$9*4,P144-SUM(P145:P151)-P153-P154-P134,0)</f>
        <v>0</v>
      </c>
      <c r="Q156" s="9">
        <f>IF(13&lt;=核心参数输入!$B$9*4,Q144-SUM(Q145:Q151)-Q153-Q154-Q134,0)</f>
        <v>-160.96696875000043</v>
      </c>
      <c r="R156" s="9">
        <f>IF(14&lt;=核心参数输入!$B$9*4,R144-SUM(R145:R151)-R153-R154-R134,0)</f>
        <v>-143.00042476500039</v>
      </c>
      <c r="S156" s="9">
        <f>IF(15&lt;=核心参数输入!$B$9*4,S144-SUM(S145:S151)-S153-S154-S134,0)</f>
        <v>-107.06733679500029</v>
      </c>
      <c r="T156" s="9">
        <f>IF(16&lt;=核心参数输入!$B$9*4,T144-SUM(T145:T151)-T153-T154-T134,0)</f>
        <v>-71.134248825000185</v>
      </c>
      <c r="U156" s="9">
        <f>IF(17&lt;=核心参数输入!$B$9*4,U144-SUM(U145:U151)-U153-U154-U134,0)</f>
        <v>26.656420013424764</v>
      </c>
      <c r="V156" s="9">
        <f>IF(18&lt;=核心参数输入!$B$9*4,V144-SUM(V145:V151)-V153-V154-V134,0)</f>
        <v>54.010483230586971</v>
      </c>
      <c r="W156" s="9">
        <f>IF(19&lt;=核心参数输入!$B$9*4,W144-SUM(W145:W151)-W153-W154-W134,0)</f>
        <v>72.246525375362083</v>
      </c>
      <c r="X156" s="9">
        <f>IF(20&lt;=核心参数输入!$B$9*4,X144-SUM(X145:X151)-X153-X154-X134,0)</f>
        <v>90.482567520137181</v>
      </c>
      <c r="Y156" s="9">
        <f>IF(21&lt;=核心参数输入!$B$9*4,Y144-SUM(Y145:Y151)-Y153-Y154-Y134,0)</f>
        <v>48.863233184885814</v>
      </c>
      <c r="Z156" s="9">
        <f>IF(22&lt;=核心参数输入!$B$9*4,Z144-SUM(Z145:Z151)-Z153-Z154-Z134,0)</f>
        <v>65.059118114713698</v>
      </c>
      <c r="AA156" s="9">
        <f>IF(23&lt;=核心参数输入!$B$9*4,AA144-SUM(AA145:AA151)-AA153-AA154-AA134,0)</f>
        <v>78.941305197424484</v>
      </c>
      <c r="AB156" s="9">
        <f>IF(24&lt;=核心参数输入!$B$9*4,AB144-SUM(AB145:AB151)-AB153-AB154-AB134,0)</f>
        <v>92.823492280133451</v>
      </c>
      <c r="AC156" s="9">
        <f>IF(25&lt;=核心参数输入!$B$9*4,AC144-SUM(AC145:AC151)-AC153-AC154-AC134,0)</f>
        <v>-75.207662165463105</v>
      </c>
      <c r="AD156" s="9">
        <f>IF(26&lt;=核心参数输入!$B$9*4,AD144-SUM(AD145:AD151)-AD153-AD154-AD134,0)</f>
        <v>-65.814048906162654</v>
      </c>
      <c r="AE156" s="9">
        <f>IF(27&lt;=核心参数输入!$B$9*4,AE144-SUM(AE145:AE151)-AE153-AE154-AE134,0)</f>
        <v>-61.117242276512428</v>
      </c>
      <c r="AF156" s="9">
        <f>IF(28&lt;=核心参数输入!$B$9*4,AF144-SUM(AF145:AF151)-AF153-AF154-AF134,0)</f>
        <v>-56.420435646862202</v>
      </c>
      <c r="AG156" s="9">
        <f>IF(29&lt;=核心参数输入!$B$9*4,AG144-SUM(AG145:AG151)-AG153-AG154-AG134,0)</f>
        <v>-48.841732702470217</v>
      </c>
      <c r="AH156" s="9">
        <f>IF(30&lt;=核心参数输入!$B$9*4,AH144-SUM(AH145:AH151)-AH153-AH154-AH134,0)</f>
        <v>-46.458103337922722</v>
      </c>
      <c r="AI156" s="9">
        <f>IF(31&lt;=核心参数输入!$B$9*4,AI144-SUM(AI145:AI151)-AI153-AI154-AI134,0)</f>
        <v>-46.458103337922722</v>
      </c>
      <c r="AJ156" s="9">
        <f>IF(32&lt;=核心参数输入!$B$9*4,AJ144-SUM(AJ145:AJ151)-AJ153-AJ154-AJ134,0)</f>
        <v>-46.458103337922722</v>
      </c>
      <c r="AK156" s="9">
        <f>IF(33&lt;=核心参数输入!$B$9*4,AK144-SUM(AK145:AK151)-AK153-AK154-AK134,0)</f>
        <v>-43.505183197991535</v>
      </c>
      <c r="AL156" s="9">
        <f>IF(34&lt;=核心参数输入!$B$9*4,AL144-SUM(AL145:AL151)-AL153-AL154-AL134,0)</f>
        <v>-43.505183197991535</v>
      </c>
      <c r="AM156" s="9">
        <f>IF(35&lt;=核心参数输入!$B$9*4,AM144-SUM(AM145:AM151)-AM153-AM154-AM134,0)</f>
        <v>-43.505183197991535</v>
      </c>
      <c r="AN156" s="9">
        <f>IF(36&lt;=核心参数输入!$B$9*4,AN144-SUM(AN145:AN151)-AN153-AN154-AN134,0)</f>
        <v>-43.505183197991535</v>
      </c>
      <c r="AO156" s="9">
        <f>IF(37&lt;=核心参数输入!$B$9*4,AO144-SUM(AO145:AO151)-AO153-AO154-AO134,0)</f>
        <v>-40.516087497161521</v>
      </c>
      <c r="AP156" s="9">
        <f>IF(38&lt;=核心参数输入!$B$9*4,AP144-SUM(AP145:AP151)-AP153-AP154-AP134,0)</f>
        <v>-40.516087497161521</v>
      </c>
      <c r="AQ156" s="9">
        <f>IF(39&lt;=核心参数输入!$B$9*4,AQ144-SUM(AQ145:AQ151)-AQ153-AQ154-AQ134,0)</f>
        <v>-40.516087497161521</v>
      </c>
      <c r="AR156" s="9">
        <f>IF(40&lt;=核心参数输入!$B$9*4,AR144-SUM(AR145:AR151)-AR153-AR154-AR134,0)</f>
        <v>-40.516087497161521</v>
      </c>
      <c r="AS156" s="9">
        <f>IF(41&lt;=核心参数输入!$B$9*4,AS144-SUM(AS145:AS151)-AS153-AS154-AS134,0)</f>
        <v>-37.490435966842988</v>
      </c>
      <c r="AT156" s="9">
        <f>IF(42&lt;=核心参数输入!$B$9*4,AT144-SUM(AT145:AT151)-AT153-AT154-AT134,0)</f>
        <v>-37.490435966842988</v>
      </c>
      <c r="AU156" s="9">
        <f>IF(43&lt;=核心参数输入!$B$9*4,AU144-SUM(AU145:AU151)-AU153-AU154-AU134,0)</f>
        <v>-37.490435966842988</v>
      </c>
      <c r="AV156" s="9">
        <f>IF(44&lt;=核心参数输入!$B$9*4,AV144-SUM(AV145:AV151)-AV153-AV154-AV134,0)</f>
        <v>-37.490435966842988</v>
      </c>
      <c r="AW156" s="9">
        <f>IF(45&lt;=核心参数输入!$B$9*4,AW144-SUM(AW145:AW151)-AW153-AW154-AW134,0)</f>
        <v>-34.427845881714234</v>
      </c>
      <c r="AX156" s="9">
        <f>IF(46&lt;=核心参数输入!$B$9*4,AX144-SUM(AX145:AX151)-AX153-AX154-AX134,0)</f>
        <v>-34.427845881714234</v>
      </c>
      <c r="AY156" s="9">
        <f>IF(47&lt;=核心参数输入!$B$9*4,AY144-SUM(AY145:AY151)-AY153-AY154-AY134,0)</f>
        <v>-34.427845881714234</v>
      </c>
      <c r="AZ156" s="9">
        <f>IF(48&lt;=核心参数输入!$B$9*4,AZ144-SUM(AZ145:AZ151)-AZ153-AZ154-AZ134,0)</f>
        <v>-34.427845881714234</v>
      </c>
      <c r="BA156" s="9">
        <f>IF(49&lt;=核心参数输入!$B$9*4,BA144-SUM(BA145:BA151)-BA153-BA154-BA134,0)</f>
        <v>-31.327932087815775</v>
      </c>
      <c r="BB156" s="9">
        <f>IF(50&lt;=核心参数输入!$B$9*4,BB144-SUM(BB145:BB151)-BB153-BB154-BB134,0)</f>
        <v>-31.327932087815775</v>
      </c>
      <c r="BC156" s="9">
        <f>IF(51&lt;=核心参数输入!$B$9*4,BC144-SUM(BC145:BC151)-BC153-BC154-BC134,0)</f>
        <v>-31.327932087815775</v>
      </c>
      <c r="BD156" s="9">
        <f>IF(52&lt;=核心参数输入!$B$9*4,BD144-SUM(BD145:BD151)-BD153-BD154-BD134,0)</f>
        <v>-31.327932087815775</v>
      </c>
      <c r="BE156" s="9">
        <f>IF(53&lt;=核心参数输入!$B$9*4,BE144-SUM(BE145:BE151)-BE153-BE154-BE134,0)</f>
        <v>-28.19030703236643</v>
      </c>
      <c r="BF156" s="9">
        <f>IF(54&lt;=核心参数输入!$B$9*4,BF144-SUM(BF145:BF151)-BF153-BF154-BF134,0)</f>
        <v>-28.19030703236643</v>
      </c>
      <c r="BG156" s="9">
        <f>IF(55&lt;=核心参数输入!$B$9*4,BG144-SUM(BG145:BG151)-BG153-BG154-BG134,0)</f>
        <v>-28.19030703236643</v>
      </c>
      <c r="BH156" s="9">
        <f>IF(56&lt;=核心参数输入!$B$9*4,BH144-SUM(BH145:BH151)-BH153-BH154-BH134,0)</f>
        <v>-28.19030703236643</v>
      </c>
      <c r="BI156" s="9">
        <f>IF(57&lt;=核心参数输入!$B$9*4,BI144-SUM(BI145:BI151)-BI153-BI154-BI134,0)</f>
        <v>-25.014580795350035</v>
      </c>
      <c r="BJ156" s="9">
        <f>IF(58&lt;=核心参数输入!$B$9*4,BJ144-SUM(BJ145:BJ151)-BJ153-BJ154-BJ134,0)</f>
        <v>-25.014580795350035</v>
      </c>
      <c r="BK156" s="9">
        <f>IF(59&lt;=核心参数输入!$B$9*4,BK144-SUM(BK145:BK151)-BK153-BK154-BK134,0)</f>
        <v>-25.014580795350035</v>
      </c>
      <c r="BL156" s="9">
        <f>IF(60&lt;=核心参数输入!$B$9*4,BL144-SUM(BL145:BL151)-BL153-BL154-BL134,0)</f>
        <v>-25.014580795350035</v>
      </c>
      <c r="BM156" s="9">
        <f>IF(61&lt;=核心参数输入!$B$9*4,BM144-SUM(BM145:BM151)-BM153-BM154-BM134,0)</f>
        <v>-21.800361122928386</v>
      </c>
      <c r="BN156" s="9">
        <f>IF(62&lt;=核心参数输入!$B$9*4,BN144-SUM(BN145:BN151)-BN153-BN154-BN134,0)</f>
        <v>-21.800361122928386</v>
      </c>
      <c r="BO156" s="9">
        <f>IF(63&lt;=核心参数输入!$B$9*4,BO144-SUM(BO145:BO151)-BO153-BO154-BO134,0)</f>
        <v>-21.800361122928386</v>
      </c>
      <c r="BP156" s="9">
        <f>IF(64&lt;=核心参数输入!$B$9*4,BP144-SUM(BP145:BP151)-BP153-BP154-BP134,0)</f>
        <v>-21.800361122928386</v>
      </c>
      <c r="BQ156" s="9">
        <f>IF(65&lt;=核心参数输入!$B$9*4,BQ144-SUM(BQ145:BQ151)-BQ153-BQ154-BQ134,0)</f>
        <v>-18.547253462733217</v>
      </c>
      <c r="BR156" s="9">
        <f>IF(66&lt;=核心参数输入!$B$9*4,BR144-SUM(BR145:BR151)-BR153-BR154-BR134,0)</f>
        <v>-18.547253462733217</v>
      </c>
      <c r="BS156" s="9">
        <f>IF(67&lt;=核心参数输入!$B$9*4,BS144-SUM(BS145:BS151)-BS153-BS154-BS134,0)</f>
        <v>-18.547253462733217</v>
      </c>
      <c r="BT156" s="9">
        <f>IF(68&lt;=核心参数输入!$B$9*4,BT144-SUM(BT145:BT151)-BT153-BT154-BT134,0)</f>
        <v>-18.547253462733217</v>
      </c>
      <c r="BU156" s="9">
        <f>IF(69&lt;=核心参数输入!$B$9*4,BU144-SUM(BU145:BU151)-BU153-BU154-BU134,0)</f>
        <v>-15.254861001094534</v>
      </c>
      <c r="BV156" s="9">
        <f>IF(70&lt;=核心参数输入!$B$9*4,BV144-SUM(BV145:BV151)-BV153-BV154-BV134,0)</f>
        <v>-15.254861001094534</v>
      </c>
      <c r="BW156" s="9">
        <f>IF(71&lt;=核心参数输入!$B$9*4,BW144-SUM(BW145:BW151)-BW153-BW154-BW134,0)</f>
        <v>-15.254861001094534</v>
      </c>
      <c r="BX156" s="9">
        <f>IF(72&lt;=核心参数输入!$B$9*4,BX144-SUM(BX145:BX151)-BX153-BX154-BX134,0)</f>
        <v>-15.254861001094534</v>
      </c>
      <c r="BY156" s="9">
        <f>IF(73&lt;=核心参数输入!$B$9*4,BY144-SUM(BY145:BY151)-BY153-BY154-BY134,0)</f>
        <v>-11.922784702259483</v>
      </c>
      <c r="BZ156" s="9">
        <f>IF(74&lt;=核心参数输入!$B$9*4,BZ144-SUM(BZ145:BZ151)-BZ153-BZ154-BZ134,0)</f>
        <v>-11.922784702259483</v>
      </c>
      <c r="CA156" s="9">
        <f>IF(75&lt;=核心参数输入!$B$9*4,CA144-SUM(CA145:CA151)-CA153-CA154-CA134,0)</f>
        <v>-11.922784702259483</v>
      </c>
      <c r="CB156" s="9">
        <f>IF(76&lt;=核心参数输入!$B$9*4,CB144-SUM(CB145:CB151)-CB153-CB154-CB134,0)</f>
        <v>-11.922784702259483</v>
      </c>
      <c r="CC156" s="9">
        <f>IF(77&lt;=核心参数输入!$B$9*4,CC144-SUM(CC145:CC151)-CC153-CC154-CC134,0)</f>
        <v>-8.5506233496649724</v>
      </c>
      <c r="CD156" s="9">
        <f>IF(78&lt;=核心参数输入!$B$9*4,CD144-SUM(CD145:CD151)-CD153-CD154-CD134,0)</f>
        <v>-8.5506233496649724</v>
      </c>
      <c r="CE156" s="9">
        <f>IF(79&lt;=核心参数输入!$B$9*4,CE144-SUM(CE145:CE151)-CE153-CE154-CE134,0)</f>
        <v>-8.5506233496649724</v>
      </c>
      <c r="CF156" s="9">
        <f>IF(80&lt;=核心参数输入!$B$9*4,CF144-SUM(CF145:CF151)-CF153-CF154-CF134,0)</f>
        <v>-8.5506233496649724</v>
      </c>
      <c r="CG156" s="9">
        <f>IF(81&lt;=核心参数输入!$B$9*4,CG144-SUM(CG145:CG151)-CG153-CG154-CG134,0)</f>
        <v>0</v>
      </c>
      <c r="CH156" s="9">
        <f>IF(82&lt;=核心参数输入!$B$9*4,CH144-SUM(CH145:CH151)-CH153-CH154-CH134,0)</f>
        <v>0</v>
      </c>
      <c r="CI156" s="9">
        <f>IF(83&lt;=核心参数输入!$B$9*4,CI144-SUM(CI145:CI151)-CI153-CI154-CI134,0)</f>
        <v>0</v>
      </c>
      <c r="CJ156" s="9">
        <f>IF(84&lt;=核心参数输入!$B$9*4,CJ144-SUM(CJ145:CJ151)-CJ153-CJ154-CJ134,0)</f>
        <v>0</v>
      </c>
      <c r="CK156" s="9">
        <f>IF(85&lt;=核心参数输入!$B$9*4,CK144-SUM(CK145:CK151)-CK153-CK154-CK134,0)</f>
        <v>0</v>
      </c>
      <c r="CL156" s="9">
        <f>IF(86&lt;=核心参数输入!$B$9*4,CL144-SUM(CL145:CL151)-CL153-CL154-CL134,0)</f>
        <v>0</v>
      </c>
      <c r="CM156" s="9">
        <f>IF(87&lt;=核心参数输入!$B$9*4,CM144-SUM(CM145:CM151)-CM153-CM154-CM134,0)</f>
        <v>0</v>
      </c>
      <c r="CN156" s="9">
        <f>IF(88&lt;=核心参数输入!$B$9*4,CN144-SUM(CN145:CN151)-CN153-CN154-CN134,0)</f>
        <v>0</v>
      </c>
      <c r="CO156" s="9">
        <f>IF(89&lt;=核心参数输入!$B$9*4,CO144-SUM(CO145:CO151)-CO153-CO154-CO134,0)</f>
        <v>0</v>
      </c>
      <c r="CP156" s="9">
        <f>IF(90&lt;=核心参数输入!$B$9*4,CP144-SUM(CP145:CP151)-CP153-CP154-CP134,0)</f>
        <v>0</v>
      </c>
      <c r="CQ156" s="9">
        <f>IF(91&lt;=核心参数输入!$B$9*4,CQ144-SUM(CQ145:CQ151)-CQ153-CQ154-CQ134,0)</f>
        <v>0</v>
      </c>
      <c r="CR156" s="9">
        <f>IF(92&lt;=核心参数输入!$B$9*4,CR144-SUM(CR145:CR151)-CR153-CR154-CR134,0)</f>
        <v>0</v>
      </c>
      <c r="CS156" s="9">
        <f>IF(93&lt;=核心参数输入!$B$9*4,CS144-SUM(CS145:CS151)-CS153-CS154-CS134,0)</f>
        <v>0</v>
      </c>
      <c r="CT156" s="9">
        <f>IF(94&lt;=核心参数输入!$B$9*4,CT144-SUM(CT145:CT151)-CT153-CT154-CT134,0)</f>
        <v>0</v>
      </c>
      <c r="CU156" s="9">
        <f>IF(95&lt;=核心参数输入!$B$9*4,CU144-SUM(CU145:CU151)-CU153-CU154-CU134,0)</f>
        <v>0</v>
      </c>
      <c r="CV156" s="9">
        <f>IF(96&lt;=核心参数输入!$B$9*4,CV144-SUM(CV145:CV151)-CV153-CV154-CV134,0)</f>
        <v>0</v>
      </c>
      <c r="CW156" s="9">
        <f>IF(97&lt;=核心参数输入!$B$9*4,CW144-SUM(CW145:CW151)-CW153-CW154-CW134,0)</f>
        <v>0</v>
      </c>
      <c r="CX156" s="9">
        <f>IF(98&lt;=核心参数输入!$B$9*4,CX144-SUM(CX145:CX151)-CX153-CX154-CX134,0)</f>
        <v>0</v>
      </c>
      <c r="CY156" s="9">
        <f>IF(99&lt;=核心参数输入!$B$9*4,CY144-SUM(CY145:CY151)-CY153-CY154-CY134,0)</f>
        <v>0</v>
      </c>
      <c r="CZ156" s="9">
        <f>IF(100&lt;=核心参数输入!$B$9*4,CZ144-SUM(CZ145:CZ151)-CZ153-CZ154-CZ134,0)</f>
        <v>0</v>
      </c>
      <c r="DA156" s="9">
        <f>IF(101&lt;=核心参数输入!$B$9*4,DA144-SUM(DA145:DA151)-DA153-DA154-DA134,0)</f>
        <v>0</v>
      </c>
      <c r="DB156" s="9">
        <f>IF(102&lt;=核心参数输入!$B$9*4,DB144-SUM(DB145:DB151)-DB153-DB154-DB134,0)</f>
        <v>0</v>
      </c>
      <c r="DC156" s="9">
        <f>IF(103&lt;=核心参数输入!$B$9*4,DC144-SUM(DC145:DC151)-DC153-DC154-DC134,0)</f>
        <v>0</v>
      </c>
      <c r="DD156" s="9">
        <f>IF(104&lt;=核心参数输入!$B$9*4,DD144-SUM(DD145:DD151)-DD153-DD154-DD134,0)</f>
        <v>0</v>
      </c>
      <c r="DE156" s="9">
        <f>IF(105&lt;=核心参数输入!$B$9*4,DE144-SUM(DE145:DE151)-DE153-DE154-DE134,0)</f>
        <v>0</v>
      </c>
      <c r="DF156" s="9">
        <f>IF(106&lt;=核心参数输入!$B$9*4,DF144-SUM(DF145:DF151)-DF153-DF154-DF134,0)</f>
        <v>0</v>
      </c>
      <c r="DG156" s="9">
        <f>IF(107&lt;=核心参数输入!$B$9*4,DG144-SUM(DG145:DG151)-DG153-DG154-DG134,0)</f>
        <v>0</v>
      </c>
      <c r="DH156" s="9">
        <f>IF(108&lt;=核心参数输入!$B$9*4,DH144-SUM(DH145:DH151)-DH153-DH154-DH134,0)</f>
        <v>0</v>
      </c>
      <c r="DI156" s="9">
        <f>IF(109&lt;=核心参数输入!$B$9*4,DI144-SUM(DI145:DI151)-DI153-DI154-DI134,0)</f>
        <v>0</v>
      </c>
      <c r="DJ156" s="9">
        <f>IF(110&lt;=核心参数输入!$B$9*4,DJ144-SUM(DJ145:DJ151)-DJ153-DJ154-DJ134,0)</f>
        <v>0</v>
      </c>
      <c r="DK156" s="9">
        <f>IF(111&lt;=核心参数输入!$B$9*4,DK144-SUM(DK145:DK151)-DK153-DK154-DK134,0)</f>
        <v>0</v>
      </c>
      <c r="DL156" s="9">
        <f>IF(112&lt;=核心参数输入!$B$9*4,DL144-SUM(DL145:DL151)-DL153-DL154-DL134,0)</f>
        <v>0</v>
      </c>
      <c r="DM156" s="9">
        <f>IF(113&lt;=核心参数输入!$B$9*4,DM144-SUM(DM145:DM151)-DM153-DM154-DM134,0)</f>
        <v>0</v>
      </c>
      <c r="DN156" s="9">
        <f>IF(114&lt;=核心参数输入!$B$9*4,DN144-SUM(DN145:DN151)-DN153-DN154-DN134,0)</f>
        <v>0</v>
      </c>
      <c r="DO156" s="9">
        <f>IF(115&lt;=核心参数输入!$B$9*4,DO144-SUM(DO145:DO151)-DO153-DO154-DO134,0)</f>
        <v>0</v>
      </c>
      <c r="DP156" s="9">
        <f>IF(116&lt;=核心参数输入!$B$9*4,DP144-SUM(DP145:DP151)-DP153-DP154-DP134,0)</f>
        <v>0</v>
      </c>
      <c r="DQ156" s="9">
        <f>IF(117&lt;=核心参数输入!$B$9*4,DQ144-SUM(DQ145:DQ151)-DQ153-DQ154-DQ134,0)</f>
        <v>0</v>
      </c>
      <c r="DR156" s="9">
        <f>IF(118&lt;=核心参数输入!$B$9*4,DR144-SUM(DR145:DR151)-DR153-DR154-DR134,0)</f>
        <v>0</v>
      </c>
      <c r="DS156" s="9">
        <f>IF(119&lt;=核心参数输入!$B$9*4,DS144-SUM(DS145:DS151)-DS153-DS154-DS134,0)</f>
        <v>0</v>
      </c>
      <c r="DT156" s="9">
        <f>IF(120&lt;=核心参数输入!$B$9*4,DT144-SUM(DT145:DT151)-DT153-DT154-DT134,0)</f>
        <v>0</v>
      </c>
    </row>
    <row r="157" spans="1:124" ht="21" customHeight="1">
      <c r="A157" s="8" t="s">
        <v>479</v>
      </c>
      <c r="B157" s="8" t="s">
        <v>39</v>
      </c>
      <c r="C157" s="8"/>
      <c r="D157" s="9">
        <f>IF(0&lt;=核心参数输入!$B$9*4,D144-SUM(D145:D150)-D152-D153-D155-D134-季度投融资!D155,0)</f>
        <v>0</v>
      </c>
      <c r="E157" s="9">
        <f>IF(1&lt;=核心参数输入!$B$9*4,E144-SUM(E145:E150)-E152-E153-E155-E134-季度投融资!E155,0)</f>
        <v>0</v>
      </c>
      <c r="F157" s="9">
        <f>IF(2&lt;=核心参数输入!$B$9*4,F144-SUM(F145:F150)-F152-F153-F155-F134-季度投融资!F155,0)</f>
        <v>0</v>
      </c>
      <c r="G157" s="9">
        <f>IF(3&lt;=核心参数输入!$B$9*4,G144-SUM(G145:G150)-G152-G153-G155-G134-季度投融资!G155,0)</f>
        <v>0</v>
      </c>
      <c r="H157" s="9">
        <f>IF(4&lt;=核心参数输入!$B$9*4,H144-SUM(H145:H150)-H152-H153-H155-H134-季度投融资!H155,0)</f>
        <v>0</v>
      </c>
      <c r="I157" s="9">
        <f>IF(5&lt;=核心参数输入!$B$9*4,I144-SUM(I145:I150)-I152-I153-I155-I134-季度投融资!I155,0)</f>
        <v>0</v>
      </c>
      <c r="J157" s="9">
        <f>IF(6&lt;=核心参数输入!$B$9*4,J144-SUM(J145:J150)-J152-J153-J155-J134-季度投融资!J155,0)</f>
        <v>0</v>
      </c>
      <c r="K157" s="9">
        <f>IF(7&lt;=核心参数输入!$B$9*4,K144-SUM(K145:K150)-K152-K153-K155-K134-季度投融资!K155,0)</f>
        <v>0</v>
      </c>
      <c r="L157" s="9">
        <f>IF(8&lt;=核心参数输入!$B$9*4,L144-SUM(L145:L150)-L152-L153-L155-L134-季度投融资!L155,0)</f>
        <v>0</v>
      </c>
      <c r="M157" s="9">
        <f>IF(9&lt;=核心参数输入!$B$9*4,M144-SUM(M145:M150)-M152-M153-M155-M134-季度投融资!M155,0)</f>
        <v>0</v>
      </c>
      <c r="N157" s="9">
        <f>IF(10&lt;=核心参数输入!$B$9*4,N144-SUM(N145:N150)-N152-N153-N155-N134-季度投融资!N155,0)</f>
        <v>0</v>
      </c>
      <c r="O157" s="9">
        <f>IF(11&lt;=核心参数输入!$B$9*4,O144-SUM(O145:O150)-O152-O153-O155-O134-季度投融资!O155,0)</f>
        <v>0</v>
      </c>
      <c r="P157" s="9">
        <f>IF(12&lt;=核心参数输入!$B$9*4,P144-SUM(P145:P150)-P152-P153-P155-P134-季度投融资!P155,0)</f>
        <v>0</v>
      </c>
      <c r="Q157" s="9">
        <f>IF(13&lt;=核心参数输入!$B$9*4,Q144-SUM(Q145:Q150)-Q152-Q153-Q155-Q134-季度投融资!Q155,0)</f>
        <v>-560.66259375000027</v>
      </c>
      <c r="R157" s="9">
        <f>IF(14&lt;=核心参数输入!$B$9*4,R144-SUM(R145:R150)-R152-R153-R155-R134-季度投融资!R155,0)</f>
        <v>-542.69604976500023</v>
      </c>
      <c r="S157" s="9">
        <f>IF(15&lt;=核心参数输入!$B$9*4,S144-SUM(S145:S150)-S152-S153-S155-S134-季度投融资!S155,0)</f>
        <v>-506.76296179500059</v>
      </c>
      <c r="T157" s="9">
        <f>IF(16&lt;=核心参数输入!$B$9*4,T144-SUM(T145:T150)-T152-T153-T155-T134-季度投融资!T155,0)</f>
        <v>-448.32987382500005</v>
      </c>
      <c r="U157" s="9">
        <f>IF(17&lt;=核心参数输入!$B$9*4,U144-SUM(U145:U150)-U152-U153-U155-U134-季度投融资!U155,0)</f>
        <v>-354.02670498657528</v>
      </c>
      <c r="V157" s="9">
        <f>IF(18&lt;=核心参数输入!$B$9*4,V144-SUM(V145:V150)-V152-V153-V155-V134-季度投融资!V155,0)</f>
        <v>-326.67264176941308</v>
      </c>
      <c r="W157" s="9">
        <f>IF(19&lt;=核心参数输入!$B$9*4,W144-SUM(W145:W150)-W152-W153-W155-W134-季度投融资!W155,0)</f>
        <v>-308.43659962463795</v>
      </c>
      <c r="X157" s="9">
        <f>IF(20&lt;=核心参数输入!$B$9*4,X144-SUM(X145:X150)-X152-X153-X155-X134-季度投融资!X155,0)</f>
        <v>-267.70055747986288</v>
      </c>
      <c r="Y157" s="9">
        <f>IF(21&lt;=核心参数输入!$B$9*4,Y144-SUM(Y145:Y150)-Y152-Y153-Y155-Y134-季度投融资!Y155,0)</f>
        <v>-260.83239181511448</v>
      </c>
      <c r="Z157" s="9">
        <f>IF(22&lt;=核心参数输入!$B$9*4,Z144-SUM(Z145:Z150)-Z152-Z153-Z155-Z134-季度投融资!Z155,0)</f>
        <v>-244.63650688528614</v>
      </c>
      <c r="AA157" s="9">
        <f>IF(23&lt;=核心参数输入!$B$9*4,AA144-SUM(AA145:AA150)-AA152-AA153-AA155-AA134-季度投融资!AA155,0)</f>
        <v>-230.75431980257579</v>
      </c>
      <c r="AB157" s="9">
        <f>IF(24&lt;=核心参数输入!$B$9*4,AB144-SUM(AB145:AB150)-AB152-AB153-AB155-AB134-季度投融资!AB155,0)</f>
        <v>-194.37213271986641</v>
      </c>
      <c r="AC157" s="9">
        <f>IF(25&lt;=核心参数输入!$B$9*4,AC144-SUM(AC145:AC150)-AC152-AC153-AC155-AC134-季度投融资!AC155,0)</f>
        <v>-261.94078716546306</v>
      </c>
      <c r="AD157" s="9">
        <f>IF(26&lt;=核心参数输入!$B$9*4,AD144-SUM(AD145:AD150)-AD152-AD153-AD155-AD134-季度投融资!AD155,0)</f>
        <v>-252.54717390616264</v>
      </c>
      <c r="AE157" s="9">
        <f>IF(27&lt;=核心参数输入!$B$9*4,AE144-SUM(AE145:AE150)-AE152-AE153-AE155-AE134-季度投融资!AE155,0)</f>
        <v>-247.8503672765124</v>
      </c>
      <c r="AF157" s="9">
        <f>IF(28&lt;=核心参数输入!$B$9*4,AF144-SUM(AF145:AF150)-AF152-AF153-AF155-AF134-季度投融资!AF155,0)</f>
        <v>-220.65356064686216</v>
      </c>
      <c r="AG157" s="9">
        <f>IF(29&lt;=核心参数输入!$B$9*4,AG144-SUM(AG145:AG150)-AG152-AG153-AG155-AG134-季度投融资!AG155,0)</f>
        <v>-190.57485770247015</v>
      </c>
      <c r="AH157" s="9">
        <f>IF(30&lt;=核心参数输入!$B$9*4,AH144-SUM(AH145:AH150)-AH152-AH153-AH155-AH134-季度投融资!AH155,0)</f>
        <v>-188.19122833792269</v>
      </c>
      <c r="AI157" s="9">
        <f>IF(31&lt;=核心参数输入!$B$9*4,AI144-SUM(AI145:AI150)-AI152-AI153-AI155-AI134-季度投融资!AI155,0)</f>
        <v>-188.19122833792269</v>
      </c>
      <c r="AJ157" s="9">
        <f>IF(32&lt;=核心参数输入!$B$9*4,AJ144-SUM(AJ145:AJ150)-AJ152-AJ153-AJ155-AJ134-季度投融资!AJ155,0)</f>
        <v>-165.69122833792267</v>
      </c>
      <c r="AK157" s="9">
        <f>IF(33&lt;=核心参数输入!$B$9*4,AK144-SUM(AK145:AK150)-AK152-AK153-AK155-AK134-季度投融资!AK155,0)</f>
        <v>-140.2383081979915</v>
      </c>
      <c r="AL157" s="9">
        <f>IF(34&lt;=核心参数输入!$B$9*4,AL144-SUM(AL145:AL150)-AL152-AL153-AL155-AL134-季度投融资!AL155,0)</f>
        <v>-140.2383081979915</v>
      </c>
      <c r="AM157" s="9">
        <f>IF(35&lt;=核心参数输入!$B$9*4,AM144-SUM(AM145:AM150)-AM152-AM153-AM155-AM134-季度投融资!AM155,0)</f>
        <v>-140.2383081979915</v>
      </c>
      <c r="AN157" s="9">
        <f>IF(36&lt;=核心参数输入!$B$9*4,AN144-SUM(AN145:AN150)-AN152-AN153-AN155-AN134-季度投融资!AN155,0)</f>
        <v>-117.7383081979915</v>
      </c>
      <c r="AO157" s="9">
        <f>IF(37&lt;=核心参数输入!$B$9*4,AO144-SUM(AO145:AO150)-AO152-AO153-AO155-AO134-季度投融资!AO155,0)</f>
        <v>-92.249212497161466</v>
      </c>
      <c r="AP157" s="9">
        <f>IF(38&lt;=核心参数输入!$B$9*4,AP144-SUM(AP145:AP150)-AP152-AP153-AP155-AP134-季度投融资!AP155,0)</f>
        <v>-92.249212497161466</v>
      </c>
      <c r="AQ157" s="9">
        <f>IF(39&lt;=核心参数输入!$B$9*4,AQ144-SUM(AQ145:AQ150)-AQ152-AQ153-AQ155-AQ134-季度投融资!AQ155,0)</f>
        <v>-92.249212497161466</v>
      </c>
      <c r="AR157" s="9">
        <f>IF(40&lt;=核心参数输入!$B$9*4,AR144-SUM(AR145:AR150)-AR152-AR153-AR155-AR134-季度投融资!AR155,0)</f>
        <v>-69.74921249716148</v>
      </c>
      <c r="AS157" s="9">
        <f>IF(41&lt;=核心参数输入!$B$9*4,AS144-SUM(AS145:AS150)-AS152-AS153-AS155-AS134-季度投融资!AS155,0)</f>
        <v>-44.223560966842967</v>
      </c>
      <c r="AT157" s="9">
        <f>IF(42&lt;=核心参数输入!$B$9*4,AT144-SUM(AT145:AT150)-AT152-AT153-AT155-AT134-季度投融资!AT155,0)</f>
        <v>-44.223560966842967</v>
      </c>
      <c r="AU157" s="9">
        <f>IF(43&lt;=核心参数输入!$B$9*4,AU144-SUM(AU145:AU150)-AU152-AU153-AU155-AU134-季度投融资!AU155,0)</f>
        <v>-44.223560966842967</v>
      </c>
      <c r="AV157" s="9">
        <f>IF(44&lt;=核心参数输入!$B$9*4,AV144-SUM(AV145:AV150)-AV152-AV153-AV155-AV134-季度投融资!AV155,0)</f>
        <v>-44.223560966842967</v>
      </c>
      <c r="AW157" s="9">
        <f>IF(45&lt;=核心参数输入!$B$9*4,AW144-SUM(AW145:AW150)-AW152-AW153-AW155-AW134-季度投融资!AW155,0)</f>
        <v>-41.160970881714206</v>
      </c>
      <c r="AX157" s="9">
        <f>IF(46&lt;=核心参数输入!$B$9*4,AX144-SUM(AX145:AX150)-AX152-AX153-AX155-AX134-季度投融资!AX155,0)</f>
        <v>-41.160970881714206</v>
      </c>
      <c r="AY157" s="9">
        <f>IF(47&lt;=核心参数输入!$B$9*4,AY144-SUM(AY145:AY150)-AY152-AY153-AY155-AY134-季度投融资!AY155,0)</f>
        <v>-41.160970881714206</v>
      </c>
      <c r="AZ157" s="9">
        <f>IF(48&lt;=核心参数输入!$B$9*4,AZ144-SUM(AZ145:AZ150)-AZ152-AZ153-AZ155-AZ134-季度投融资!AZ155,0)</f>
        <v>-41.160970881714206</v>
      </c>
      <c r="BA157" s="9">
        <f>IF(49&lt;=核心参数输入!$B$9*4,BA144-SUM(BA145:BA150)-BA152-BA153-BA155-BA134-季度投融资!BA155,0)</f>
        <v>-38.061057087815747</v>
      </c>
      <c r="BB157" s="9">
        <f>IF(50&lt;=核心参数输入!$B$9*4,BB144-SUM(BB145:BB150)-BB152-BB153-BB155-BB134-季度投融资!BB155,0)</f>
        <v>-38.061057087815747</v>
      </c>
      <c r="BC157" s="9">
        <f>IF(51&lt;=核心参数输入!$B$9*4,BC144-SUM(BC145:BC150)-BC152-BC153-BC155-BC134-季度投融资!BC155,0)</f>
        <v>-38.061057087815747</v>
      </c>
      <c r="BD157" s="9">
        <f>IF(52&lt;=核心参数输入!$B$9*4,BD144-SUM(BD145:BD150)-BD152-BD153-BD155-BD134-季度投融资!BD155,0)</f>
        <v>-38.061057087815747</v>
      </c>
      <c r="BE157" s="9">
        <f>IF(53&lt;=核心参数输入!$B$9*4,BE144-SUM(BE145:BE150)-BE152-BE153-BE155-BE134-季度投融资!BE155,0)</f>
        <v>-34.923432032366406</v>
      </c>
      <c r="BF157" s="9">
        <f>IF(54&lt;=核心参数输入!$B$9*4,BF144-SUM(BF145:BF150)-BF152-BF153-BF155-BF134-季度投融资!BF155,0)</f>
        <v>-34.923432032366406</v>
      </c>
      <c r="BG157" s="9">
        <f>IF(55&lt;=核心参数输入!$B$9*4,BG144-SUM(BG145:BG150)-BG152-BG153-BG155-BG134-季度投融资!BG155,0)</f>
        <v>-34.923432032366406</v>
      </c>
      <c r="BH157" s="9">
        <f>IF(56&lt;=核心参数输入!$B$9*4,BH144-SUM(BH145:BH150)-BH152-BH153-BH155-BH134-季度投融资!BH155,0)</f>
        <v>-34.923432032366406</v>
      </c>
      <c r="BI157" s="9">
        <f>IF(57&lt;=核心参数输入!$B$9*4,BI144-SUM(BI145:BI150)-BI152-BI153-BI155-BI134-季度投融资!BI155,0)</f>
        <v>-31.747705795350036</v>
      </c>
      <c r="BJ157" s="9">
        <f>IF(58&lt;=核心参数输入!$B$9*4,BJ144-SUM(BJ145:BJ150)-BJ152-BJ153-BJ155-BJ134-季度投融资!BJ155,0)</f>
        <v>-31.747705795350036</v>
      </c>
      <c r="BK157" s="9">
        <f>IF(59&lt;=核心参数输入!$B$9*4,BK144-SUM(BK145:BK150)-BK152-BK153-BK155-BK134-季度投融资!BK155,0)</f>
        <v>-31.747705795350036</v>
      </c>
      <c r="BL157" s="9">
        <f>IF(60&lt;=核心参数输入!$B$9*4,BL144-SUM(BL145:BL150)-BL152-BL153-BL155-BL134-季度投融资!BL155,0)</f>
        <v>-31.747705795350036</v>
      </c>
      <c r="BM157" s="9">
        <f>IF(61&lt;=核心参数输入!$B$9*4,BM144-SUM(BM145:BM150)-BM152-BM153-BM155-BM134-季度投融资!BM155,0)</f>
        <v>-28.533486122928331</v>
      </c>
      <c r="BN157" s="9">
        <f>IF(62&lt;=核心参数输入!$B$9*4,BN144-SUM(BN145:BN150)-BN152-BN153-BN155-BN134-季度投融资!BN155,0)</f>
        <v>-28.533486122928331</v>
      </c>
      <c r="BO157" s="9">
        <f>IF(63&lt;=核心参数输入!$B$9*4,BO144-SUM(BO145:BO150)-BO152-BO153-BO155-BO134-季度投融资!BO155,0)</f>
        <v>-28.533486122928331</v>
      </c>
      <c r="BP157" s="9">
        <f>IF(64&lt;=核心参数输入!$B$9*4,BP144-SUM(BP145:BP150)-BP152-BP153-BP155-BP134-季度投融资!BP155,0)</f>
        <v>-28.533486122928331</v>
      </c>
      <c r="BQ157" s="9">
        <f>IF(65&lt;=核心参数输入!$B$9*4,BQ144-SUM(BQ145:BQ150)-BQ152-BQ153-BQ155-BQ134-季度投融资!BQ155,0)</f>
        <v>-25.280378462733161</v>
      </c>
      <c r="BR157" s="9">
        <f>IF(66&lt;=核心参数输入!$B$9*4,BR144-SUM(BR145:BR150)-BR152-BR153-BR155-BR134-季度投融资!BR155,0)</f>
        <v>-25.280378462733161</v>
      </c>
      <c r="BS157" s="9">
        <f>IF(67&lt;=核心参数输入!$B$9*4,BS144-SUM(BS145:BS150)-BS152-BS153-BS155-BS134-季度投融资!BS155,0)</f>
        <v>-25.280378462733161</v>
      </c>
      <c r="BT157" s="9">
        <f>IF(68&lt;=核心参数输入!$B$9*4,BT144-SUM(BT145:BT150)-BT152-BT153-BT155-BT134-季度投融资!BT155,0)</f>
        <v>-25.280378462733161</v>
      </c>
      <c r="BU157" s="9">
        <f>IF(69&lt;=核心参数输入!$B$9*4,BU144-SUM(BU145:BU150)-BU152-BU153-BU155-BU134-季度投融资!BU155,0)</f>
        <v>-21.987986001094477</v>
      </c>
      <c r="BV157" s="9">
        <f>IF(70&lt;=核心参数输入!$B$9*4,BV144-SUM(BV145:BV150)-BV152-BV153-BV155-BV134-季度投融资!BV155,0)</f>
        <v>-21.987986001094477</v>
      </c>
      <c r="BW157" s="9">
        <f>IF(71&lt;=核心参数输入!$B$9*4,BW144-SUM(BW145:BW150)-BW152-BW153-BW155-BW134-季度投融资!BW155,0)</f>
        <v>-21.987986001094477</v>
      </c>
      <c r="BX157" s="9">
        <f>IF(72&lt;=核心参数输入!$B$9*4,BX144-SUM(BX145:BX150)-BX152-BX153-BX155-BX134-季度投融资!BX155,0)</f>
        <v>-21.987986001094477</v>
      </c>
      <c r="BY157" s="9">
        <f>IF(73&lt;=核心参数输入!$B$9*4,BY144-SUM(BY145:BY150)-BY152-BY153-BY155-BY134-季度投融资!BY155,0)</f>
        <v>-18.655909702259486</v>
      </c>
      <c r="BZ157" s="9">
        <f>IF(74&lt;=核心参数输入!$B$9*4,BZ144-SUM(BZ145:BZ150)-BZ152-BZ153-BZ155-BZ134-季度投融资!BZ155,0)</f>
        <v>-18.655909702259486</v>
      </c>
      <c r="CA157" s="9">
        <f>IF(75&lt;=核心参数输入!$B$9*4,CA144-SUM(CA145:CA150)-CA152-CA153-CA155-CA134-季度投融资!CA155,0)</f>
        <v>-18.655909702259486</v>
      </c>
      <c r="CB157" s="9">
        <f>IF(76&lt;=核心参数输入!$B$9*4,CB144-SUM(CB145:CB150)-CB152-CB153-CB155-CB134-季度投融资!CB155,0)</f>
        <v>-18.655909702259486</v>
      </c>
      <c r="CC157" s="9">
        <f>IF(77&lt;=核心参数输入!$B$9*4,CC144-SUM(CC145:CC150)-CC152-CC153-CC155-CC134-季度投融资!CC155,0)</f>
        <v>-15.283748349664945</v>
      </c>
      <c r="CD157" s="9">
        <f>IF(78&lt;=核心参数输入!$B$9*4,CD144-SUM(CD145:CD150)-CD152-CD153-CD155-CD134-季度投融资!CD155,0)</f>
        <v>-15.283748349664945</v>
      </c>
      <c r="CE157" s="9">
        <f>IF(79&lt;=核心参数输入!$B$9*4,CE144-SUM(CE145:CE150)-CE152-CE153-CE155-CE134-季度投融资!CE155,0)</f>
        <v>-15.283748349664945</v>
      </c>
      <c r="CF157" s="9">
        <f>IF(80&lt;=核心参数输入!$B$9*4,CF144-SUM(CF145:CF150)-CF152-CF153-CF155-CF134-季度投融资!CF155,0)</f>
        <v>-15.283748349664945</v>
      </c>
      <c r="CG157" s="9">
        <f>IF(81&lt;=核心参数输入!$B$9*4,CG144-SUM(CG145:CG150)-CG152-CG153-CG155-CG134-季度投融资!CG155,0)</f>
        <v>0</v>
      </c>
      <c r="CH157" s="9">
        <f>IF(82&lt;=核心参数输入!$B$9*4,CH144-SUM(CH145:CH150)-CH152-CH153-CH155-CH134-季度投融资!CH155,0)</f>
        <v>0</v>
      </c>
      <c r="CI157" s="9">
        <f>IF(83&lt;=核心参数输入!$B$9*4,CI144-SUM(CI145:CI150)-CI152-CI153-CI155-CI134-季度投融资!CI155,0)</f>
        <v>0</v>
      </c>
      <c r="CJ157" s="9">
        <f>IF(84&lt;=核心参数输入!$B$9*4,CJ144-SUM(CJ145:CJ150)-CJ152-CJ153-CJ155-CJ134-季度投融资!CJ155,0)</f>
        <v>0</v>
      </c>
      <c r="CK157" s="9">
        <f>IF(85&lt;=核心参数输入!$B$9*4,CK144-SUM(CK145:CK150)-CK152-CK153-CK155-CK134-季度投融资!CK155,0)</f>
        <v>0</v>
      </c>
      <c r="CL157" s="9">
        <f>IF(86&lt;=核心参数输入!$B$9*4,CL144-SUM(CL145:CL150)-CL152-CL153-CL155-CL134-季度投融资!CL155,0)</f>
        <v>0</v>
      </c>
      <c r="CM157" s="9">
        <f>IF(87&lt;=核心参数输入!$B$9*4,CM144-SUM(CM145:CM150)-CM152-CM153-CM155-CM134-季度投融资!CM155,0)</f>
        <v>0</v>
      </c>
      <c r="CN157" s="9">
        <f>IF(88&lt;=核心参数输入!$B$9*4,CN144-SUM(CN145:CN150)-CN152-CN153-CN155-CN134-季度投融资!CN155,0)</f>
        <v>0</v>
      </c>
      <c r="CO157" s="9">
        <f>IF(89&lt;=核心参数输入!$B$9*4,CO144-SUM(CO145:CO150)-CO152-CO153-CO155-CO134-季度投融资!CO155,0)</f>
        <v>0</v>
      </c>
      <c r="CP157" s="9">
        <f>IF(90&lt;=核心参数输入!$B$9*4,CP144-SUM(CP145:CP150)-CP152-CP153-CP155-CP134-季度投融资!CP155,0)</f>
        <v>0</v>
      </c>
      <c r="CQ157" s="9">
        <f>IF(91&lt;=核心参数输入!$B$9*4,CQ144-SUM(CQ145:CQ150)-CQ152-CQ153-CQ155-CQ134-季度投融资!CQ155,0)</f>
        <v>0</v>
      </c>
      <c r="CR157" s="9">
        <f>IF(92&lt;=核心参数输入!$B$9*4,CR144-SUM(CR145:CR150)-CR152-CR153-CR155-CR134-季度投融资!CR155,0)</f>
        <v>0</v>
      </c>
      <c r="CS157" s="9">
        <f>IF(93&lt;=核心参数输入!$B$9*4,CS144-SUM(CS145:CS150)-CS152-CS153-CS155-CS134-季度投融资!CS155,0)</f>
        <v>0</v>
      </c>
      <c r="CT157" s="9">
        <f>IF(94&lt;=核心参数输入!$B$9*4,CT144-SUM(CT145:CT150)-CT152-CT153-CT155-CT134-季度投融资!CT155,0)</f>
        <v>0</v>
      </c>
      <c r="CU157" s="9">
        <f>IF(95&lt;=核心参数输入!$B$9*4,CU144-SUM(CU145:CU150)-CU152-CU153-CU155-CU134-季度投融资!CU155,0)</f>
        <v>0</v>
      </c>
      <c r="CV157" s="9">
        <f>IF(96&lt;=核心参数输入!$B$9*4,CV144-SUM(CV145:CV150)-CV152-CV153-CV155-CV134-季度投融资!CV155,0)</f>
        <v>0</v>
      </c>
      <c r="CW157" s="9">
        <f>IF(97&lt;=核心参数输入!$B$9*4,CW144-SUM(CW145:CW150)-CW152-CW153-CW155-CW134-季度投融资!CW155,0)</f>
        <v>0</v>
      </c>
      <c r="CX157" s="9">
        <f>IF(98&lt;=核心参数输入!$B$9*4,CX144-SUM(CX145:CX150)-CX152-CX153-CX155-CX134-季度投融资!CX155,0)</f>
        <v>0</v>
      </c>
      <c r="CY157" s="9">
        <f>IF(99&lt;=核心参数输入!$B$9*4,CY144-SUM(CY145:CY150)-CY152-CY153-CY155-CY134-季度投融资!CY155,0)</f>
        <v>0</v>
      </c>
      <c r="CZ157" s="9">
        <f>IF(100&lt;=核心参数输入!$B$9*4,CZ144-SUM(CZ145:CZ150)-CZ152-CZ153-CZ155-CZ134-季度投融资!CZ155,0)</f>
        <v>0</v>
      </c>
      <c r="DA157" s="9">
        <f>IF(101&lt;=核心参数输入!$B$9*4,DA144-SUM(DA145:DA150)-DA152-DA153-DA155-DA134-季度投融资!DA155,0)</f>
        <v>0</v>
      </c>
      <c r="DB157" s="9">
        <f>IF(102&lt;=核心参数输入!$B$9*4,DB144-SUM(DB145:DB150)-DB152-DB153-DB155-DB134-季度投融资!DB155,0)</f>
        <v>0</v>
      </c>
      <c r="DC157" s="9">
        <f>IF(103&lt;=核心参数输入!$B$9*4,DC144-SUM(DC145:DC150)-DC152-DC153-DC155-DC134-季度投融资!DC155,0)</f>
        <v>0</v>
      </c>
      <c r="DD157" s="9">
        <f>IF(104&lt;=核心参数输入!$B$9*4,DD144-SUM(DD145:DD150)-DD152-DD153-DD155-DD134-季度投融资!DD155,0)</f>
        <v>0</v>
      </c>
      <c r="DE157" s="9">
        <f>IF(105&lt;=核心参数输入!$B$9*4,DE144-SUM(DE145:DE150)-DE152-DE153-DE155-DE134-季度投融资!DE155,0)</f>
        <v>0</v>
      </c>
      <c r="DF157" s="9">
        <f>IF(106&lt;=核心参数输入!$B$9*4,DF144-SUM(DF145:DF150)-DF152-DF153-DF155-DF134-季度投融资!DF155,0)</f>
        <v>0</v>
      </c>
      <c r="DG157" s="9">
        <f>IF(107&lt;=核心参数输入!$B$9*4,DG144-SUM(DG145:DG150)-DG152-DG153-DG155-DG134-季度投融资!DG155,0)</f>
        <v>0</v>
      </c>
      <c r="DH157" s="9">
        <f>IF(108&lt;=核心参数输入!$B$9*4,DH144-SUM(DH145:DH150)-DH152-DH153-DH155-DH134-季度投融资!DH155,0)</f>
        <v>0</v>
      </c>
      <c r="DI157" s="9">
        <f>IF(109&lt;=核心参数输入!$B$9*4,DI144-SUM(DI145:DI150)-DI152-DI153-DI155-DI134-季度投融资!DI155,0)</f>
        <v>0</v>
      </c>
      <c r="DJ157" s="9">
        <f>IF(110&lt;=核心参数输入!$B$9*4,DJ144-SUM(DJ145:DJ150)-DJ152-DJ153-DJ155-DJ134-季度投融资!DJ155,0)</f>
        <v>0</v>
      </c>
      <c r="DK157" s="9">
        <f>IF(111&lt;=核心参数输入!$B$9*4,DK144-SUM(DK145:DK150)-DK152-DK153-DK155-DK134-季度投融资!DK155,0)</f>
        <v>0</v>
      </c>
      <c r="DL157" s="9">
        <f>IF(112&lt;=核心参数输入!$B$9*4,DL144-SUM(DL145:DL150)-DL152-DL153-DL155-DL134-季度投融资!DL155,0)</f>
        <v>0</v>
      </c>
      <c r="DM157" s="9">
        <f>IF(113&lt;=核心参数输入!$B$9*4,DM144-SUM(DM145:DM150)-DM152-DM153-DM155-DM134-季度投融资!DM155,0)</f>
        <v>0</v>
      </c>
      <c r="DN157" s="9">
        <f>IF(114&lt;=核心参数输入!$B$9*4,DN144-SUM(DN145:DN150)-DN152-DN153-DN155-DN134-季度投融资!DN155,0)</f>
        <v>0</v>
      </c>
      <c r="DO157" s="9">
        <f>IF(115&lt;=核心参数输入!$B$9*4,DO144-SUM(DO145:DO150)-DO152-DO153-DO155-DO134-季度投融资!DO155,0)</f>
        <v>0</v>
      </c>
      <c r="DP157" s="9">
        <f>IF(116&lt;=核心参数输入!$B$9*4,DP144-SUM(DP145:DP150)-DP152-DP153-DP155-DP134-季度投融资!DP155,0)</f>
        <v>0</v>
      </c>
      <c r="DQ157" s="9">
        <f>IF(117&lt;=核心参数输入!$B$9*4,DQ144-SUM(DQ145:DQ150)-DQ152-DQ153-DQ155-DQ134-季度投融资!DQ155,0)</f>
        <v>0</v>
      </c>
      <c r="DR157" s="9">
        <f>IF(118&lt;=核心参数输入!$B$9*4,DR144-SUM(DR145:DR150)-DR152-DR153-DR155-DR134-季度投融资!DR155,0)</f>
        <v>0</v>
      </c>
      <c r="DS157" s="9">
        <f>IF(119&lt;=核心参数输入!$B$9*4,DS144-SUM(DS145:DS150)-DS152-DS153-DS155-DS134-季度投融资!DS155,0)</f>
        <v>0</v>
      </c>
      <c r="DT157" s="9">
        <f>IF(120&lt;=核心参数输入!$B$9*4,DT144-SUM(DT145:DT150)-DT152-DT153-DT155-DT134-季度投融资!DT155,0)</f>
        <v>0</v>
      </c>
    </row>
    <row r="158" spans="1:124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</row>
    <row r="159" spans="1:124" ht="21" customHeight="1">
      <c r="A159" s="8" t="s">
        <v>480</v>
      </c>
      <c r="B159" s="8" t="s">
        <v>39</v>
      </c>
      <c r="C159" s="8"/>
      <c r="D159" s="9">
        <f>IF(0&lt;=核心参数输入!$B$9*4,IF(核心参数输入!$B$96=2,季度投融资!D147*核心参数输入!$B$120,0),0)</f>
        <v>0</v>
      </c>
      <c r="E159" s="9">
        <f>IF(1&lt;=核心参数输入!$B$9*4,IF(核心参数输入!$B$96=2,季度投融资!E147*核心参数输入!$B$120,0),0)</f>
        <v>0</v>
      </c>
      <c r="F159" s="9">
        <f>IF(2&lt;=核心参数输入!$B$9*4,IF(核心参数输入!$B$96=2,季度投融资!F147*核心参数输入!$B$120,0),0)</f>
        <v>0</v>
      </c>
      <c r="G159" s="9">
        <f>IF(3&lt;=核心参数输入!$B$9*4,IF(核心参数输入!$B$96=2,季度投融资!G147*核心参数输入!$B$120,0),0)</f>
        <v>0</v>
      </c>
      <c r="H159" s="9">
        <f>IF(4&lt;=核心参数输入!$B$9*4,IF(核心参数输入!$B$96=2,季度投融资!H147*核心参数输入!$B$120,0),0)</f>
        <v>0</v>
      </c>
      <c r="I159" s="9">
        <f>IF(5&lt;=核心参数输入!$B$9*4,IF(核心参数输入!$B$96=2,季度投融资!I147*核心参数输入!$B$120,0),0)</f>
        <v>0</v>
      </c>
      <c r="J159" s="9">
        <f>IF(6&lt;=核心参数输入!$B$9*4,IF(核心参数输入!$B$96=2,季度投融资!J147*核心参数输入!$B$120,0),0)</f>
        <v>0</v>
      </c>
      <c r="K159" s="9">
        <f>IF(7&lt;=核心参数输入!$B$9*4,IF(核心参数输入!$B$96=2,季度投融资!K147*核心参数输入!$B$120,0),0)</f>
        <v>0</v>
      </c>
      <c r="L159" s="9">
        <f>IF(8&lt;=核心参数输入!$B$9*4,IF(核心参数输入!$B$96=2,季度投融资!L147*核心参数输入!$B$120,0),0)</f>
        <v>0</v>
      </c>
      <c r="M159" s="9">
        <f>IF(9&lt;=核心参数输入!$B$9*4,IF(核心参数输入!$B$96=2,季度投融资!M147*核心参数输入!$B$120,0),0)</f>
        <v>0</v>
      </c>
      <c r="N159" s="9">
        <f>IF(10&lt;=核心参数输入!$B$9*4,IF(核心参数输入!$B$96=2,季度投融资!N147*核心参数输入!$B$120,0),0)</f>
        <v>0</v>
      </c>
      <c r="O159" s="9">
        <f>IF(11&lt;=核心参数输入!$B$9*4,IF(核心参数输入!$B$96=2,季度投融资!O147*核心参数输入!$B$120,0),0)</f>
        <v>0</v>
      </c>
      <c r="P159" s="9">
        <f>IF(12&lt;=核心参数输入!$B$9*4,IF(核心参数输入!$B$96=2,季度投融资!P147*核心参数输入!$B$120,0),0)</f>
        <v>0</v>
      </c>
      <c r="Q159" s="9">
        <f>IF(13&lt;=核心参数输入!$B$9*4,IF(核心参数输入!$B$96=2,季度投融资!Q147*核心参数输入!$B$120,0),0)</f>
        <v>0</v>
      </c>
      <c r="R159" s="9">
        <f>IF(14&lt;=核心参数输入!$B$9*4,IF(核心参数输入!$B$96=2,季度投融资!R147*核心参数输入!$B$120,0),0)</f>
        <v>0</v>
      </c>
      <c r="S159" s="9">
        <f>IF(15&lt;=核心参数输入!$B$9*4,IF(核心参数输入!$B$96=2,季度投融资!S147*核心参数输入!$B$120,0),0)</f>
        <v>0</v>
      </c>
      <c r="T159" s="9">
        <f>IF(16&lt;=核心参数输入!$B$9*4,IF(核心参数输入!$B$96=2,季度投融资!T147*核心参数输入!$B$120,0),0)</f>
        <v>0</v>
      </c>
      <c r="U159" s="9">
        <f>IF(17&lt;=核心参数输入!$B$9*4,IF(核心参数输入!$B$96=2,季度投融资!U147*核心参数输入!$B$120,0),0)</f>
        <v>0</v>
      </c>
      <c r="V159" s="9">
        <f>IF(18&lt;=核心参数输入!$B$9*4,IF(核心参数输入!$B$96=2,季度投融资!V147*核心参数输入!$B$120,0),0)</f>
        <v>0</v>
      </c>
      <c r="W159" s="9">
        <f>IF(19&lt;=核心参数输入!$B$9*4,IF(核心参数输入!$B$96=2,季度投融资!W147*核心参数输入!$B$120,0),0)</f>
        <v>0</v>
      </c>
      <c r="X159" s="9">
        <f>IF(20&lt;=核心参数输入!$B$9*4,IF(核心参数输入!$B$96=2,季度投融资!X147*核心参数输入!$B$120,0),0)</f>
        <v>0</v>
      </c>
      <c r="Y159" s="9">
        <f>IF(21&lt;=核心参数输入!$B$9*4,IF(核心参数输入!$B$96=2,季度投融资!Y147*核心参数输入!$B$120,0),0)</f>
        <v>0</v>
      </c>
      <c r="Z159" s="9">
        <f>IF(22&lt;=核心参数输入!$B$9*4,IF(核心参数输入!$B$96=2,季度投融资!Z147*核心参数输入!$B$120,0),0)</f>
        <v>0</v>
      </c>
      <c r="AA159" s="9">
        <f>IF(23&lt;=核心参数输入!$B$9*4,IF(核心参数输入!$B$96=2,季度投融资!AA147*核心参数输入!$B$120,0),0)</f>
        <v>0</v>
      </c>
      <c r="AB159" s="9">
        <f>IF(24&lt;=核心参数输入!$B$9*4,IF(核心参数输入!$B$96=2,季度投融资!AB147*核心参数输入!$B$120,0),0)</f>
        <v>0</v>
      </c>
      <c r="AC159" s="9">
        <f>IF(25&lt;=核心参数输入!$B$9*4,IF(核心参数输入!$B$96=2,季度投融资!AC147*核心参数输入!$B$120,0),0)</f>
        <v>0</v>
      </c>
      <c r="AD159" s="9">
        <f>IF(26&lt;=核心参数输入!$B$9*4,IF(核心参数输入!$B$96=2,季度投融资!AD147*核心参数输入!$B$120,0),0)</f>
        <v>0</v>
      </c>
      <c r="AE159" s="9">
        <f>IF(27&lt;=核心参数输入!$B$9*4,IF(核心参数输入!$B$96=2,季度投融资!AE147*核心参数输入!$B$120,0),0)</f>
        <v>0</v>
      </c>
      <c r="AF159" s="9">
        <f>IF(28&lt;=核心参数输入!$B$9*4,IF(核心参数输入!$B$96=2,季度投融资!AF147*核心参数输入!$B$120,0),0)</f>
        <v>0</v>
      </c>
      <c r="AG159" s="9">
        <f>IF(29&lt;=核心参数输入!$B$9*4,IF(核心参数输入!$B$96=2,季度投融资!AG147*核心参数输入!$B$120,0),0)</f>
        <v>0</v>
      </c>
      <c r="AH159" s="9">
        <f>IF(30&lt;=核心参数输入!$B$9*4,IF(核心参数输入!$B$96=2,季度投融资!AH147*核心参数输入!$B$120,0),0)</f>
        <v>0</v>
      </c>
      <c r="AI159" s="9">
        <f>IF(31&lt;=核心参数输入!$B$9*4,IF(核心参数输入!$B$96=2,季度投融资!AI147*核心参数输入!$B$120,0),0)</f>
        <v>0</v>
      </c>
      <c r="AJ159" s="9">
        <f>IF(32&lt;=核心参数输入!$B$9*4,IF(核心参数输入!$B$96=2,季度投融资!AJ147*核心参数输入!$B$120,0),0)</f>
        <v>0</v>
      </c>
      <c r="AK159" s="9">
        <f>IF(33&lt;=核心参数输入!$B$9*4,IF(核心参数输入!$B$96=2,季度投融资!AK147*核心参数输入!$B$120,0),0)</f>
        <v>0</v>
      </c>
      <c r="AL159" s="9">
        <f>IF(34&lt;=核心参数输入!$B$9*4,IF(核心参数输入!$B$96=2,季度投融资!AL147*核心参数输入!$B$120,0),0)</f>
        <v>0</v>
      </c>
      <c r="AM159" s="9">
        <f>IF(35&lt;=核心参数输入!$B$9*4,IF(核心参数输入!$B$96=2,季度投融资!AM147*核心参数输入!$B$120,0),0)</f>
        <v>0</v>
      </c>
      <c r="AN159" s="9">
        <f>IF(36&lt;=核心参数输入!$B$9*4,IF(核心参数输入!$B$96=2,季度投融资!AN147*核心参数输入!$B$120,0),0)</f>
        <v>0</v>
      </c>
      <c r="AO159" s="9">
        <f>IF(37&lt;=核心参数输入!$B$9*4,IF(核心参数输入!$B$96=2,季度投融资!AO147*核心参数输入!$B$120,0),0)</f>
        <v>0</v>
      </c>
      <c r="AP159" s="9">
        <f>IF(38&lt;=核心参数输入!$B$9*4,IF(核心参数输入!$B$96=2,季度投融资!AP147*核心参数输入!$B$120,0),0)</f>
        <v>0</v>
      </c>
      <c r="AQ159" s="9">
        <f>IF(39&lt;=核心参数输入!$B$9*4,IF(核心参数输入!$B$96=2,季度投融资!AQ147*核心参数输入!$B$120,0),0)</f>
        <v>0</v>
      </c>
      <c r="AR159" s="9">
        <f>IF(40&lt;=核心参数输入!$B$9*4,IF(核心参数输入!$B$96=2,季度投融资!AR147*核心参数输入!$B$120,0),0)</f>
        <v>0</v>
      </c>
      <c r="AS159" s="9">
        <f>IF(41&lt;=核心参数输入!$B$9*4,IF(核心参数输入!$B$96=2,季度投融资!AS147*核心参数输入!$B$120,0),0)</f>
        <v>0</v>
      </c>
      <c r="AT159" s="9">
        <f>IF(42&lt;=核心参数输入!$B$9*4,IF(核心参数输入!$B$96=2,季度投融资!AT147*核心参数输入!$B$120,0),0)</f>
        <v>0</v>
      </c>
      <c r="AU159" s="9">
        <f>IF(43&lt;=核心参数输入!$B$9*4,IF(核心参数输入!$B$96=2,季度投融资!AU147*核心参数输入!$B$120,0),0)</f>
        <v>0</v>
      </c>
      <c r="AV159" s="9">
        <f>IF(44&lt;=核心参数输入!$B$9*4,IF(核心参数输入!$B$96=2,季度投融资!AV147*核心参数输入!$B$120,0),0)</f>
        <v>0</v>
      </c>
      <c r="AW159" s="9">
        <f>IF(45&lt;=核心参数输入!$B$9*4,IF(核心参数输入!$B$96=2,季度投融资!AW147*核心参数输入!$B$120,0),0)</f>
        <v>0</v>
      </c>
      <c r="AX159" s="9">
        <f>IF(46&lt;=核心参数输入!$B$9*4,IF(核心参数输入!$B$96=2,季度投融资!AX147*核心参数输入!$B$120,0),0)</f>
        <v>0</v>
      </c>
      <c r="AY159" s="9">
        <f>IF(47&lt;=核心参数输入!$B$9*4,IF(核心参数输入!$B$96=2,季度投融资!AY147*核心参数输入!$B$120,0),0)</f>
        <v>0</v>
      </c>
      <c r="AZ159" s="9">
        <f>IF(48&lt;=核心参数输入!$B$9*4,IF(核心参数输入!$B$96=2,季度投融资!AZ147*核心参数输入!$B$120,0),0)</f>
        <v>0</v>
      </c>
      <c r="BA159" s="9">
        <f>IF(49&lt;=核心参数输入!$B$9*4,IF(核心参数输入!$B$96=2,季度投融资!BA147*核心参数输入!$B$120,0),0)</f>
        <v>0</v>
      </c>
      <c r="BB159" s="9">
        <f>IF(50&lt;=核心参数输入!$B$9*4,IF(核心参数输入!$B$96=2,季度投融资!BB147*核心参数输入!$B$120,0),0)</f>
        <v>0</v>
      </c>
      <c r="BC159" s="9">
        <f>IF(51&lt;=核心参数输入!$B$9*4,IF(核心参数输入!$B$96=2,季度投融资!BC147*核心参数输入!$B$120,0),0)</f>
        <v>0</v>
      </c>
      <c r="BD159" s="9">
        <f>IF(52&lt;=核心参数输入!$B$9*4,IF(核心参数输入!$B$96=2,季度投融资!BD147*核心参数输入!$B$120,0),0)</f>
        <v>0</v>
      </c>
      <c r="BE159" s="9">
        <f>IF(53&lt;=核心参数输入!$B$9*4,IF(核心参数输入!$B$96=2,季度投融资!BE147*核心参数输入!$B$120,0),0)</f>
        <v>0</v>
      </c>
      <c r="BF159" s="9">
        <f>IF(54&lt;=核心参数输入!$B$9*4,IF(核心参数输入!$B$96=2,季度投融资!BF147*核心参数输入!$B$120,0),0)</f>
        <v>0</v>
      </c>
      <c r="BG159" s="9">
        <f>IF(55&lt;=核心参数输入!$B$9*4,IF(核心参数输入!$B$96=2,季度投融资!BG147*核心参数输入!$B$120,0),0)</f>
        <v>0</v>
      </c>
      <c r="BH159" s="9">
        <f>IF(56&lt;=核心参数输入!$B$9*4,IF(核心参数输入!$B$96=2,季度投融资!BH147*核心参数输入!$B$120,0),0)</f>
        <v>0</v>
      </c>
      <c r="BI159" s="9">
        <f>IF(57&lt;=核心参数输入!$B$9*4,IF(核心参数输入!$B$96=2,季度投融资!BI147*核心参数输入!$B$120,0),0)</f>
        <v>0</v>
      </c>
      <c r="BJ159" s="9">
        <f>IF(58&lt;=核心参数输入!$B$9*4,IF(核心参数输入!$B$96=2,季度投融资!BJ147*核心参数输入!$B$120,0),0)</f>
        <v>0</v>
      </c>
      <c r="BK159" s="9">
        <f>IF(59&lt;=核心参数输入!$B$9*4,IF(核心参数输入!$B$96=2,季度投融资!BK147*核心参数输入!$B$120,0),0)</f>
        <v>0</v>
      </c>
      <c r="BL159" s="9">
        <f>IF(60&lt;=核心参数输入!$B$9*4,IF(核心参数输入!$B$96=2,季度投融资!BL147*核心参数输入!$B$120,0),0)</f>
        <v>0</v>
      </c>
      <c r="BM159" s="9">
        <f>IF(61&lt;=核心参数输入!$B$9*4,IF(核心参数输入!$B$96=2,季度投融资!BM147*核心参数输入!$B$120,0),0)</f>
        <v>0</v>
      </c>
      <c r="BN159" s="9">
        <f>IF(62&lt;=核心参数输入!$B$9*4,IF(核心参数输入!$B$96=2,季度投融资!BN147*核心参数输入!$B$120,0),0)</f>
        <v>0</v>
      </c>
      <c r="BO159" s="9">
        <f>IF(63&lt;=核心参数输入!$B$9*4,IF(核心参数输入!$B$96=2,季度投融资!BO147*核心参数输入!$B$120,0),0)</f>
        <v>0</v>
      </c>
      <c r="BP159" s="9">
        <f>IF(64&lt;=核心参数输入!$B$9*4,IF(核心参数输入!$B$96=2,季度投融资!BP147*核心参数输入!$B$120,0),0)</f>
        <v>0</v>
      </c>
      <c r="BQ159" s="9">
        <f>IF(65&lt;=核心参数输入!$B$9*4,IF(核心参数输入!$B$96=2,季度投融资!BQ147*核心参数输入!$B$120,0),0)</f>
        <v>0</v>
      </c>
      <c r="BR159" s="9">
        <f>IF(66&lt;=核心参数输入!$B$9*4,IF(核心参数输入!$B$96=2,季度投融资!BR147*核心参数输入!$B$120,0),0)</f>
        <v>0</v>
      </c>
      <c r="BS159" s="9">
        <f>IF(67&lt;=核心参数输入!$B$9*4,IF(核心参数输入!$B$96=2,季度投融资!BS147*核心参数输入!$B$120,0),0)</f>
        <v>0</v>
      </c>
      <c r="BT159" s="9">
        <f>IF(68&lt;=核心参数输入!$B$9*4,IF(核心参数输入!$B$96=2,季度投融资!BT147*核心参数输入!$B$120,0),0)</f>
        <v>0</v>
      </c>
      <c r="BU159" s="9">
        <f>IF(69&lt;=核心参数输入!$B$9*4,IF(核心参数输入!$B$96=2,季度投融资!BU147*核心参数输入!$B$120,0),0)</f>
        <v>0</v>
      </c>
      <c r="BV159" s="9">
        <f>IF(70&lt;=核心参数输入!$B$9*4,IF(核心参数输入!$B$96=2,季度投融资!BV147*核心参数输入!$B$120,0),0)</f>
        <v>0</v>
      </c>
      <c r="BW159" s="9">
        <f>IF(71&lt;=核心参数输入!$B$9*4,IF(核心参数输入!$B$96=2,季度投融资!BW147*核心参数输入!$B$120,0),0)</f>
        <v>0</v>
      </c>
      <c r="BX159" s="9">
        <f>IF(72&lt;=核心参数输入!$B$9*4,IF(核心参数输入!$B$96=2,季度投融资!BX147*核心参数输入!$B$120,0),0)</f>
        <v>0</v>
      </c>
      <c r="BY159" s="9">
        <f>IF(73&lt;=核心参数输入!$B$9*4,IF(核心参数输入!$B$96=2,季度投融资!BY147*核心参数输入!$B$120,0),0)</f>
        <v>0</v>
      </c>
      <c r="BZ159" s="9">
        <f>IF(74&lt;=核心参数输入!$B$9*4,IF(核心参数输入!$B$96=2,季度投融资!BZ147*核心参数输入!$B$120,0),0)</f>
        <v>0</v>
      </c>
      <c r="CA159" s="9">
        <f>IF(75&lt;=核心参数输入!$B$9*4,IF(核心参数输入!$B$96=2,季度投融资!CA147*核心参数输入!$B$120,0),0)</f>
        <v>0</v>
      </c>
      <c r="CB159" s="9">
        <f>IF(76&lt;=核心参数输入!$B$9*4,IF(核心参数输入!$B$96=2,季度投融资!CB147*核心参数输入!$B$120,0),0)</f>
        <v>0</v>
      </c>
      <c r="CC159" s="9">
        <f>IF(77&lt;=核心参数输入!$B$9*4,IF(核心参数输入!$B$96=2,季度投融资!CC147*核心参数输入!$B$120,0),0)</f>
        <v>0</v>
      </c>
      <c r="CD159" s="9">
        <f>IF(78&lt;=核心参数输入!$B$9*4,IF(核心参数输入!$B$96=2,季度投融资!CD147*核心参数输入!$B$120,0),0)</f>
        <v>0</v>
      </c>
      <c r="CE159" s="9">
        <f>IF(79&lt;=核心参数输入!$B$9*4,IF(核心参数输入!$B$96=2,季度投融资!CE147*核心参数输入!$B$120,0),0)</f>
        <v>0</v>
      </c>
      <c r="CF159" s="9">
        <f>IF(80&lt;=核心参数输入!$B$9*4,IF(核心参数输入!$B$96=2,季度投融资!CF147*核心参数输入!$B$120,0),0)</f>
        <v>0</v>
      </c>
      <c r="CG159" s="9">
        <f>IF(81&lt;=核心参数输入!$B$9*4,IF(核心参数输入!$B$96=2,季度投融资!CG147*核心参数输入!$B$120,0),0)</f>
        <v>0</v>
      </c>
      <c r="CH159" s="9">
        <f>IF(82&lt;=核心参数输入!$B$9*4,IF(核心参数输入!$B$96=2,季度投融资!CH147*核心参数输入!$B$120,0),0)</f>
        <v>0</v>
      </c>
      <c r="CI159" s="9">
        <f>IF(83&lt;=核心参数输入!$B$9*4,IF(核心参数输入!$B$96=2,季度投融资!CI147*核心参数输入!$B$120,0),0)</f>
        <v>0</v>
      </c>
      <c r="CJ159" s="9">
        <f>IF(84&lt;=核心参数输入!$B$9*4,IF(核心参数输入!$B$96=2,季度投融资!CJ147*核心参数输入!$B$120,0),0)</f>
        <v>0</v>
      </c>
      <c r="CK159" s="9">
        <f>IF(85&lt;=核心参数输入!$B$9*4,IF(核心参数输入!$B$96=2,季度投融资!CK147*核心参数输入!$B$120,0),0)</f>
        <v>0</v>
      </c>
      <c r="CL159" s="9">
        <f>IF(86&lt;=核心参数输入!$B$9*4,IF(核心参数输入!$B$96=2,季度投融资!CL147*核心参数输入!$B$120,0),0)</f>
        <v>0</v>
      </c>
      <c r="CM159" s="9">
        <f>IF(87&lt;=核心参数输入!$B$9*4,IF(核心参数输入!$B$96=2,季度投融资!CM147*核心参数输入!$B$120,0),0)</f>
        <v>0</v>
      </c>
      <c r="CN159" s="9">
        <f>IF(88&lt;=核心参数输入!$B$9*4,IF(核心参数输入!$B$96=2,季度投融资!CN147*核心参数输入!$B$120,0),0)</f>
        <v>0</v>
      </c>
      <c r="CO159" s="9">
        <f>IF(89&lt;=核心参数输入!$B$9*4,IF(核心参数输入!$B$96=2,季度投融资!CO147*核心参数输入!$B$120,0),0)</f>
        <v>0</v>
      </c>
      <c r="CP159" s="9">
        <f>IF(90&lt;=核心参数输入!$B$9*4,IF(核心参数输入!$B$96=2,季度投融资!CP147*核心参数输入!$B$120,0),0)</f>
        <v>0</v>
      </c>
      <c r="CQ159" s="9">
        <f>IF(91&lt;=核心参数输入!$B$9*4,IF(核心参数输入!$B$96=2,季度投融资!CQ147*核心参数输入!$B$120,0),0)</f>
        <v>0</v>
      </c>
      <c r="CR159" s="9">
        <f>IF(92&lt;=核心参数输入!$B$9*4,IF(核心参数输入!$B$96=2,季度投融资!CR147*核心参数输入!$B$120,0),0)</f>
        <v>0</v>
      </c>
      <c r="CS159" s="9">
        <f>IF(93&lt;=核心参数输入!$B$9*4,IF(核心参数输入!$B$96=2,季度投融资!CS147*核心参数输入!$B$120,0),0)</f>
        <v>0</v>
      </c>
      <c r="CT159" s="9">
        <f>IF(94&lt;=核心参数输入!$B$9*4,IF(核心参数输入!$B$96=2,季度投融资!CT147*核心参数输入!$B$120,0),0)</f>
        <v>0</v>
      </c>
      <c r="CU159" s="9">
        <f>IF(95&lt;=核心参数输入!$B$9*4,IF(核心参数输入!$B$96=2,季度投融资!CU147*核心参数输入!$B$120,0),0)</f>
        <v>0</v>
      </c>
      <c r="CV159" s="9">
        <f>IF(96&lt;=核心参数输入!$B$9*4,IF(核心参数输入!$B$96=2,季度投融资!CV147*核心参数输入!$B$120,0),0)</f>
        <v>0</v>
      </c>
      <c r="CW159" s="9">
        <f>IF(97&lt;=核心参数输入!$B$9*4,IF(核心参数输入!$B$96=2,季度投融资!CW147*核心参数输入!$B$120,0),0)</f>
        <v>0</v>
      </c>
      <c r="CX159" s="9">
        <f>IF(98&lt;=核心参数输入!$B$9*4,IF(核心参数输入!$B$96=2,季度投融资!CX147*核心参数输入!$B$120,0),0)</f>
        <v>0</v>
      </c>
      <c r="CY159" s="9">
        <f>IF(99&lt;=核心参数输入!$B$9*4,IF(核心参数输入!$B$96=2,季度投融资!CY147*核心参数输入!$B$120,0),0)</f>
        <v>0</v>
      </c>
      <c r="CZ159" s="9">
        <f>IF(100&lt;=核心参数输入!$B$9*4,IF(核心参数输入!$B$96=2,季度投融资!CZ147*核心参数输入!$B$120,0),0)</f>
        <v>0</v>
      </c>
      <c r="DA159" s="9">
        <f>IF(101&lt;=核心参数输入!$B$9*4,IF(核心参数输入!$B$96=2,季度投融资!DA147*核心参数输入!$B$120,0),0)</f>
        <v>0</v>
      </c>
      <c r="DB159" s="9">
        <f>IF(102&lt;=核心参数输入!$B$9*4,IF(核心参数输入!$B$96=2,季度投融资!DB147*核心参数输入!$B$120,0),0)</f>
        <v>0</v>
      </c>
      <c r="DC159" s="9">
        <f>IF(103&lt;=核心参数输入!$B$9*4,IF(核心参数输入!$B$96=2,季度投融资!DC147*核心参数输入!$B$120,0),0)</f>
        <v>0</v>
      </c>
      <c r="DD159" s="9">
        <f>IF(104&lt;=核心参数输入!$B$9*4,IF(核心参数输入!$B$96=2,季度投融资!DD147*核心参数输入!$B$120,0),0)</f>
        <v>0</v>
      </c>
      <c r="DE159" s="9">
        <f>IF(105&lt;=核心参数输入!$B$9*4,IF(核心参数输入!$B$96=2,季度投融资!DE147*核心参数输入!$B$120,0),0)</f>
        <v>0</v>
      </c>
      <c r="DF159" s="9">
        <f>IF(106&lt;=核心参数输入!$B$9*4,IF(核心参数输入!$B$96=2,季度投融资!DF147*核心参数输入!$B$120,0),0)</f>
        <v>0</v>
      </c>
      <c r="DG159" s="9">
        <f>IF(107&lt;=核心参数输入!$B$9*4,IF(核心参数输入!$B$96=2,季度投融资!DG147*核心参数输入!$B$120,0),0)</f>
        <v>0</v>
      </c>
      <c r="DH159" s="9">
        <f>IF(108&lt;=核心参数输入!$B$9*4,IF(核心参数输入!$B$96=2,季度投融资!DH147*核心参数输入!$B$120,0),0)</f>
        <v>0</v>
      </c>
      <c r="DI159" s="9">
        <f>IF(109&lt;=核心参数输入!$B$9*4,IF(核心参数输入!$B$96=2,季度投融资!DI147*核心参数输入!$B$120,0),0)</f>
        <v>0</v>
      </c>
      <c r="DJ159" s="9">
        <f>IF(110&lt;=核心参数输入!$B$9*4,IF(核心参数输入!$B$96=2,季度投融资!DJ147*核心参数输入!$B$120,0),0)</f>
        <v>0</v>
      </c>
      <c r="DK159" s="9">
        <f>IF(111&lt;=核心参数输入!$B$9*4,IF(核心参数输入!$B$96=2,季度投融资!DK147*核心参数输入!$B$120,0),0)</f>
        <v>0</v>
      </c>
      <c r="DL159" s="9">
        <f>IF(112&lt;=核心参数输入!$B$9*4,IF(核心参数输入!$B$96=2,季度投融资!DL147*核心参数输入!$B$120,0),0)</f>
        <v>0</v>
      </c>
      <c r="DM159" s="9">
        <f>IF(113&lt;=核心参数输入!$B$9*4,IF(核心参数输入!$B$96=2,季度投融资!DM147*核心参数输入!$B$120,0),0)</f>
        <v>0</v>
      </c>
      <c r="DN159" s="9">
        <f>IF(114&lt;=核心参数输入!$B$9*4,IF(核心参数输入!$B$96=2,季度投融资!DN147*核心参数输入!$B$120,0),0)</f>
        <v>0</v>
      </c>
      <c r="DO159" s="9">
        <f>IF(115&lt;=核心参数输入!$B$9*4,IF(核心参数输入!$B$96=2,季度投融资!DO147*核心参数输入!$B$120,0),0)</f>
        <v>0</v>
      </c>
      <c r="DP159" s="9">
        <f>IF(116&lt;=核心参数输入!$B$9*4,IF(核心参数输入!$B$96=2,季度投融资!DP147*核心参数输入!$B$120,0),0)</f>
        <v>0</v>
      </c>
      <c r="DQ159" s="9">
        <f>IF(117&lt;=核心参数输入!$B$9*4,IF(核心参数输入!$B$96=2,季度投融资!DQ147*核心参数输入!$B$120,0),0)</f>
        <v>0</v>
      </c>
      <c r="DR159" s="9">
        <f>IF(118&lt;=核心参数输入!$B$9*4,IF(核心参数输入!$B$96=2,季度投融资!DR147*核心参数输入!$B$120,0),0)</f>
        <v>0</v>
      </c>
      <c r="DS159" s="9">
        <f>IF(119&lt;=核心参数输入!$B$9*4,IF(核心参数输入!$B$96=2,季度投融资!DS147*核心参数输入!$B$120,0),0)</f>
        <v>0</v>
      </c>
      <c r="DT159" s="9">
        <f>IF(120&lt;=核心参数输入!$B$9*4,IF(核心参数输入!$B$96=2,季度投融资!DT147*核心参数输入!$B$120,0),0)</f>
        <v>0</v>
      </c>
    </row>
    <row r="160" spans="1:124" ht="21" customHeight="1">
      <c r="A160" s="8" t="s">
        <v>481</v>
      </c>
      <c r="B160" s="8" t="s">
        <v>39</v>
      </c>
      <c r="C160" s="8"/>
      <c r="D160" s="9">
        <f>IF(0&lt;=核心参数输入!$B$9*4,0,0)</f>
        <v>0</v>
      </c>
      <c r="E160" s="9">
        <f>IF(1&lt;=核心参数输入!$B$9*4,季度经营税费!D162,0)</f>
        <v>0</v>
      </c>
      <c r="F160" s="9">
        <f>IF(2&lt;=核心参数输入!$B$9*4,季度经营税费!E162,0)</f>
        <v>0</v>
      </c>
      <c r="G160" s="9">
        <f>IF(3&lt;=核心参数输入!$B$9*4,季度经营税费!F162,0)</f>
        <v>0</v>
      </c>
      <c r="H160" s="9">
        <f>IF(4&lt;=核心参数输入!$B$9*4,季度经营税费!G162,0)</f>
        <v>0</v>
      </c>
      <c r="I160" s="9">
        <f>IF(5&lt;=核心参数输入!$B$9*4,季度经营税费!H162,0)</f>
        <v>0</v>
      </c>
      <c r="J160" s="9">
        <f>IF(6&lt;=核心参数输入!$B$9*4,季度经营税费!I162,0)</f>
        <v>0</v>
      </c>
      <c r="K160" s="9">
        <f>IF(7&lt;=核心参数输入!$B$9*4,季度经营税费!J162,0)</f>
        <v>0</v>
      </c>
      <c r="L160" s="9">
        <f>IF(8&lt;=核心参数输入!$B$9*4,季度经营税费!K162,0)</f>
        <v>0</v>
      </c>
      <c r="M160" s="9">
        <f>IF(9&lt;=核心参数输入!$B$9*4,季度经营税费!L162,0)</f>
        <v>0</v>
      </c>
      <c r="N160" s="9">
        <f>IF(10&lt;=核心参数输入!$B$9*4,季度经营税费!M162,0)</f>
        <v>0</v>
      </c>
      <c r="O160" s="9">
        <f>IF(11&lt;=核心参数输入!$B$9*4,季度经营税费!N162,0)</f>
        <v>0</v>
      </c>
      <c r="P160" s="9">
        <f>IF(12&lt;=核心参数输入!$B$9*4,季度经营税费!O162,0)</f>
        <v>0</v>
      </c>
      <c r="Q160" s="9">
        <f>IF(13&lt;=核心参数输入!$B$9*4,季度经营税费!P162,0)</f>
        <v>0</v>
      </c>
      <c r="R160" s="9">
        <f>IF(14&lt;=核心参数输入!$B$9*4,季度经营税费!Q162,0)</f>
        <v>0</v>
      </c>
      <c r="S160" s="9">
        <f>IF(15&lt;=核心参数输入!$B$9*4,季度经营税费!R162,0)</f>
        <v>0</v>
      </c>
      <c r="T160" s="9">
        <f>IF(16&lt;=核心参数输入!$B$9*4,季度经营税费!S162,0)</f>
        <v>0</v>
      </c>
      <c r="U160" s="9">
        <f>IF(17&lt;=核心参数输入!$B$9*4,季度经营税费!T162,0)</f>
        <v>0</v>
      </c>
      <c r="V160" s="9">
        <f>IF(18&lt;=核心参数输入!$B$9*4,季度经营税费!U162,0)</f>
        <v>0</v>
      </c>
      <c r="W160" s="9">
        <f>IF(19&lt;=核心参数输入!$B$9*4,季度经营税费!V162,0)</f>
        <v>0</v>
      </c>
      <c r="X160" s="9">
        <f>IF(20&lt;=核心参数输入!$B$9*4,季度经营税费!W162,0)</f>
        <v>0</v>
      </c>
      <c r="Y160" s="9">
        <f>IF(21&lt;=核心参数输入!$B$9*4,季度经营税费!X162,0)</f>
        <v>0</v>
      </c>
      <c r="Z160" s="9">
        <f>IF(22&lt;=核心参数输入!$B$9*4,季度经营税费!Y162,0)</f>
        <v>0</v>
      </c>
      <c r="AA160" s="9">
        <f>IF(23&lt;=核心参数输入!$B$9*4,季度经营税费!Z162,0)</f>
        <v>0</v>
      </c>
      <c r="AB160" s="9">
        <f>IF(24&lt;=核心参数输入!$B$9*4,季度经营税费!AA162,0)</f>
        <v>0</v>
      </c>
      <c r="AC160" s="9">
        <f>IF(25&lt;=核心参数输入!$B$9*4,季度经营税费!AB162,0)</f>
        <v>0</v>
      </c>
      <c r="AD160" s="9">
        <f>IF(26&lt;=核心参数输入!$B$9*4,季度经营税费!AC162,0)</f>
        <v>0</v>
      </c>
      <c r="AE160" s="9">
        <f>IF(27&lt;=核心参数输入!$B$9*4,季度经营税费!AD162,0)</f>
        <v>0</v>
      </c>
      <c r="AF160" s="9">
        <f>IF(28&lt;=核心参数输入!$B$9*4,季度经营税费!AE162,0)</f>
        <v>0</v>
      </c>
      <c r="AG160" s="9">
        <f>IF(29&lt;=核心参数输入!$B$9*4,季度经营税费!AF162,0)</f>
        <v>0</v>
      </c>
      <c r="AH160" s="9">
        <f>IF(30&lt;=核心参数输入!$B$9*4,季度经营税费!AG162,0)</f>
        <v>0</v>
      </c>
      <c r="AI160" s="9">
        <f>IF(31&lt;=核心参数输入!$B$9*4,季度经营税费!AH162,0)</f>
        <v>0</v>
      </c>
      <c r="AJ160" s="9">
        <f>IF(32&lt;=核心参数输入!$B$9*4,季度经营税费!AI162,0)</f>
        <v>0</v>
      </c>
      <c r="AK160" s="9">
        <f>IF(33&lt;=核心参数输入!$B$9*4,季度经营税费!AJ162,0)</f>
        <v>0</v>
      </c>
      <c r="AL160" s="9">
        <f>IF(34&lt;=核心参数输入!$B$9*4,季度经营税费!AK162,0)</f>
        <v>0</v>
      </c>
      <c r="AM160" s="9">
        <f>IF(35&lt;=核心参数输入!$B$9*4,季度经营税费!AL162,0)</f>
        <v>0</v>
      </c>
      <c r="AN160" s="9">
        <f>IF(36&lt;=核心参数输入!$B$9*4,季度经营税费!AM162,0)</f>
        <v>0</v>
      </c>
      <c r="AO160" s="9">
        <f>IF(37&lt;=核心参数输入!$B$9*4,季度经营税费!AN162,0)</f>
        <v>0</v>
      </c>
      <c r="AP160" s="9">
        <f>IF(38&lt;=核心参数输入!$B$9*4,季度经营税费!AO162,0)</f>
        <v>0</v>
      </c>
      <c r="AQ160" s="9">
        <f>IF(39&lt;=核心参数输入!$B$9*4,季度经营税费!AP162,0)</f>
        <v>0</v>
      </c>
      <c r="AR160" s="9">
        <f>IF(40&lt;=核心参数输入!$B$9*4,季度经营税费!AQ162,0)</f>
        <v>0</v>
      </c>
      <c r="AS160" s="9">
        <f>IF(41&lt;=核心参数输入!$B$9*4,季度经营税费!AR162,0)</f>
        <v>0</v>
      </c>
      <c r="AT160" s="9">
        <f>IF(42&lt;=核心参数输入!$B$9*4,季度经营税费!AS162,0)</f>
        <v>0</v>
      </c>
      <c r="AU160" s="9">
        <f>IF(43&lt;=核心参数输入!$B$9*4,季度经营税费!AT162,0)</f>
        <v>0</v>
      </c>
      <c r="AV160" s="9">
        <f>IF(44&lt;=核心参数输入!$B$9*4,季度经营税费!AU162,0)</f>
        <v>0</v>
      </c>
      <c r="AW160" s="9">
        <f>IF(45&lt;=核心参数输入!$B$9*4,季度经营税费!AV162,0)</f>
        <v>0</v>
      </c>
      <c r="AX160" s="9">
        <f>IF(46&lt;=核心参数输入!$B$9*4,季度经营税费!AW162,0)</f>
        <v>0</v>
      </c>
      <c r="AY160" s="9">
        <f>IF(47&lt;=核心参数输入!$B$9*4,季度经营税费!AX162,0)</f>
        <v>0</v>
      </c>
      <c r="AZ160" s="9">
        <f>IF(48&lt;=核心参数输入!$B$9*4,季度经营税费!AY162,0)</f>
        <v>0</v>
      </c>
      <c r="BA160" s="9">
        <f>IF(49&lt;=核心参数输入!$B$9*4,季度经营税费!AZ162,0)</f>
        <v>0</v>
      </c>
      <c r="BB160" s="9">
        <f>IF(50&lt;=核心参数输入!$B$9*4,季度经营税费!BA162,0)</f>
        <v>0</v>
      </c>
      <c r="BC160" s="9">
        <f>IF(51&lt;=核心参数输入!$B$9*4,季度经营税费!BB162,0)</f>
        <v>0</v>
      </c>
      <c r="BD160" s="9">
        <f>IF(52&lt;=核心参数输入!$B$9*4,季度经营税费!BC162,0)</f>
        <v>0</v>
      </c>
      <c r="BE160" s="9">
        <f>IF(53&lt;=核心参数输入!$B$9*4,季度经营税费!BD162,0)</f>
        <v>0</v>
      </c>
      <c r="BF160" s="9">
        <f>IF(54&lt;=核心参数输入!$B$9*4,季度经营税费!BE162,0)</f>
        <v>0</v>
      </c>
      <c r="BG160" s="9">
        <f>IF(55&lt;=核心参数输入!$B$9*4,季度经营税费!BF162,0)</f>
        <v>0</v>
      </c>
      <c r="BH160" s="9">
        <f>IF(56&lt;=核心参数输入!$B$9*4,季度经营税费!BG162,0)</f>
        <v>0</v>
      </c>
      <c r="BI160" s="9">
        <f>IF(57&lt;=核心参数输入!$B$9*4,季度经营税费!BH162,0)</f>
        <v>0</v>
      </c>
      <c r="BJ160" s="9">
        <f>IF(58&lt;=核心参数输入!$B$9*4,季度经营税费!BI162,0)</f>
        <v>0</v>
      </c>
      <c r="BK160" s="9">
        <f>IF(59&lt;=核心参数输入!$B$9*4,季度经营税费!BJ162,0)</f>
        <v>0</v>
      </c>
      <c r="BL160" s="9">
        <f>IF(60&lt;=核心参数输入!$B$9*4,季度经营税费!BK162,0)</f>
        <v>0</v>
      </c>
      <c r="BM160" s="9">
        <f>IF(61&lt;=核心参数输入!$B$9*4,季度经营税费!BL162,0)</f>
        <v>0</v>
      </c>
      <c r="BN160" s="9">
        <f>IF(62&lt;=核心参数输入!$B$9*4,季度经营税费!BM162,0)</f>
        <v>0</v>
      </c>
      <c r="BO160" s="9">
        <f>IF(63&lt;=核心参数输入!$B$9*4,季度经营税费!BN162,0)</f>
        <v>0</v>
      </c>
      <c r="BP160" s="9">
        <f>IF(64&lt;=核心参数输入!$B$9*4,季度经营税费!BO162,0)</f>
        <v>0</v>
      </c>
      <c r="BQ160" s="9">
        <f>IF(65&lt;=核心参数输入!$B$9*4,季度经营税费!BP162,0)</f>
        <v>0</v>
      </c>
      <c r="BR160" s="9">
        <f>IF(66&lt;=核心参数输入!$B$9*4,季度经营税费!BQ162,0)</f>
        <v>0</v>
      </c>
      <c r="BS160" s="9">
        <f>IF(67&lt;=核心参数输入!$B$9*4,季度经营税费!BR162,0)</f>
        <v>0</v>
      </c>
      <c r="BT160" s="9">
        <f>IF(68&lt;=核心参数输入!$B$9*4,季度经营税费!BS162,0)</f>
        <v>0</v>
      </c>
      <c r="BU160" s="9">
        <f>IF(69&lt;=核心参数输入!$B$9*4,季度经营税费!BT162,0)</f>
        <v>0</v>
      </c>
      <c r="BV160" s="9">
        <f>IF(70&lt;=核心参数输入!$B$9*4,季度经营税费!BU162,0)</f>
        <v>0</v>
      </c>
      <c r="BW160" s="9">
        <f>IF(71&lt;=核心参数输入!$B$9*4,季度经营税费!BV162,0)</f>
        <v>0</v>
      </c>
      <c r="BX160" s="9">
        <f>IF(72&lt;=核心参数输入!$B$9*4,季度经营税费!BW162,0)</f>
        <v>0</v>
      </c>
      <c r="BY160" s="9">
        <f>IF(73&lt;=核心参数输入!$B$9*4,季度经营税费!BX162,0)</f>
        <v>0</v>
      </c>
      <c r="BZ160" s="9">
        <f>IF(74&lt;=核心参数输入!$B$9*4,季度经营税费!BY162,0)</f>
        <v>0</v>
      </c>
      <c r="CA160" s="9">
        <f>IF(75&lt;=核心参数输入!$B$9*4,季度经营税费!BZ162,0)</f>
        <v>0</v>
      </c>
      <c r="CB160" s="9">
        <f>IF(76&lt;=核心参数输入!$B$9*4,季度经营税费!CA162,0)</f>
        <v>0</v>
      </c>
      <c r="CC160" s="9">
        <f>IF(77&lt;=核心参数输入!$B$9*4,季度经营税费!CB162,0)</f>
        <v>0</v>
      </c>
      <c r="CD160" s="9">
        <f>IF(78&lt;=核心参数输入!$B$9*4,季度经营税费!CC162,0)</f>
        <v>0</v>
      </c>
      <c r="CE160" s="9">
        <f>IF(79&lt;=核心参数输入!$B$9*4,季度经营税费!CD162,0)</f>
        <v>0</v>
      </c>
      <c r="CF160" s="9">
        <f>IF(80&lt;=核心参数输入!$B$9*4,季度经营税费!CE162,0)</f>
        <v>0</v>
      </c>
      <c r="CG160" s="9">
        <f>IF(81&lt;=核心参数输入!$B$9*4,季度经营税费!CF162,0)</f>
        <v>0</v>
      </c>
      <c r="CH160" s="9">
        <f>IF(82&lt;=核心参数输入!$B$9*4,季度经营税费!CG162,0)</f>
        <v>0</v>
      </c>
      <c r="CI160" s="9">
        <f>IF(83&lt;=核心参数输入!$B$9*4,季度经营税费!CH162,0)</f>
        <v>0</v>
      </c>
      <c r="CJ160" s="9">
        <f>IF(84&lt;=核心参数输入!$B$9*4,季度经营税费!CI162,0)</f>
        <v>0</v>
      </c>
      <c r="CK160" s="9">
        <f>IF(85&lt;=核心参数输入!$B$9*4,季度经营税费!CJ162,0)</f>
        <v>0</v>
      </c>
      <c r="CL160" s="9">
        <f>IF(86&lt;=核心参数输入!$B$9*4,季度经营税费!CK162,0)</f>
        <v>0</v>
      </c>
      <c r="CM160" s="9">
        <f>IF(87&lt;=核心参数输入!$B$9*4,季度经营税费!CL162,0)</f>
        <v>0</v>
      </c>
      <c r="CN160" s="9">
        <f>IF(88&lt;=核心参数输入!$B$9*4,季度经营税费!CM162,0)</f>
        <v>0</v>
      </c>
      <c r="CO160" s="9">
        <f>IF(89&lt;=核心参数输入!$B$9*4,季度经营税费!CN162,0)</f>
        <v>0</v>
      </c>
      <c r="CP160" s="9">
        <f>IF(90&lt;=核心参数输入!$B$9*4,季度经营税费!CO162,0)</f>
        <v>0</v>
      </c>
      <c r="CQ160" s="9">
        <f>IF(91&lt;=核心参数输入!$B$9*4,季度经营税费!CP162,0)</f>
        <v>0</v>
      </c>
      <c r="CR160" s="9">
        <f>IF(92&lt;=核心参数输入!$B$9*4,季度经营税费!CQ162,0)</f>
        <v>0</v>
      </c>
      <c r="CS160" s="9">
        <f>IF(93&lt;=核心参数输入!$B$9*4,季度经营税费!CR162,0)</f>
        <v>0</v>
      </c>
      <c r="CT160" s="9">
        <f>IF(94&lt;=核心参数输入!$B$9*4,季度经营税费!CS162,0)</f>
        <v>0</v>
      </c>
      <c r="CU160" s="9">
        <f>IF(95&lt;=核心参数输入!$B$9*4,季度经营税费!CT162,0)</f>
        <v>0</v>
      </c>
      <c r="CV160" s="9">
        <f>IF(96&lt;=核心参数输入!$B$9*4,季度经营税费!CU162,0)</f>
        <v>0</v>
      </c>
      <c r="CW160" s="9">
        <f>IF(97&lt;=核心参数输入!$B$9*4,季度经营税费!CV162,0)</f>
        <v>0</v>
      </c>
      <c r="CX160" s="9">
        <f>IF(98&lt;=核心参数输入!$B$9*4,季度经营税费!CW162,0)</f>
        <v>0</v>
      </c>
      <c r="CY160" s="9">
        <f>IF(99&lt;=核心参数输入!$B$9*4,季度经营税费!CX162,0)</f>
        <v>0</v>
      </c>
      <c r="CZ160" s="9">
        <f>IF(100&lt;=核心参数输入!$B$9*4,季度经营税费!CY162,0)</f>
        <v>0</v>
      </c>
      <c r="DA160" s="9">
        <f>IF(101&lt;=核心参数输入!$B$9*4,季度经营税费!CZ162,0)</f>
        <v>0</v>
      </c>
      <c r="DB160" s="9">
        <f>IF(102&lt;=核心参数输入!$B$9*4,季度经营税费!DA162,0)</f>
        <v>0</v>
      </c>
      <c r="DC160" s="9">
        <f>IF(103&lt;=核心参数输入!$B$9*4,季度经营税费!DB162,0)</f>
        <v>0</v>
      </c>
      <c r="DD160" s="9">
        <f>IF(104&lt;=核心参数输入!$B$9*4,季度经营税费!DC162,0)</f>
        <v>0</v>
      </c>
      <c r="DE160" s="9">
        <f>IF(105&lt;=核心参数输入!$B$9*4,季度经营税费!DD162,0)</f>
        <v>0</v>
      </c>
      <c r="DF160" s="9">
        <f>IF(106&lt;=核心参数输入!$B$9*4,季度经营税费!DE162,0)</f>
        <v>0</v>
      </c>
      <c r="DG160" s="9">
        <f>IF(107&lt;=核心参数输入!$B$9*4,季度经营税费!DF162,0)</f>
        <v>0</v>
      </c>
      <c r="DH160" s="9">
        <f>IF(108&lt;=核心参数输入!$B$9*4,季度经营税费!DG162,0)</f>
        <v>0</v>
      </c>
      <c r="DI160" s="9">
        <f>IF(109&lt;=核心参数输入!$B$9*4,季度经营税费!DH162,0)</f>
        <v>0</v>
      </c>
      <c r="DJ160" s="9">
        <f>IF(110&lt;=核心参数输入!$B$9*4,季度经营税费!DI162,0)</f>
        <v>0</v>
      </c>
      <c r="DK160" s="9">
        <f>IF(111&lt;=核心参数输入!$B$9*4,季度经营税费!DJ162,0)</f>
        <v>0</v>
      </c>
      <c r="DL160" s="9">
        <f>IF(112&lt;=核心参数输入!$B$9*4,季度经营税费!DK162,0)</f>
        <v>0</v>
      </c>
      <c r="DM160" s="9">
        <f>IF(113&lt;=核心参数输入!$B$9*4,季度经营税费!DL162,0)</f>
        <v>0</v>
      </c>
      <c r="DN160" s="9">
        <f>IF(114&lt;=核心参数输入!$B$9*4,季度经营税费!DM162,0)</f>
        <v>0</v>
      </c>
      <c r="DO160" s="9">
        <f>IF(115&lt;=核心参数输入!$B$9*4,季度经营税费!DN162,0)</f>
        <v>0</v>
      </c>
      <c r="DP160" s="9">
        <f>IF(116&lt;=核心参数输入!$B$9*4,季度经营税费!DO162,0)</f>
        <v>0</v>
      </c>
      <c r="DQ160" s="9">
        <f>IF(117&lt;=核心参数输入!$B$9*4,季度经营税费!DP162,0)</f>
        <v>0</v>
      </c>
      <c r="DR160" s="9">
        <f>IF(118&lt;=核心参数输入!$B$9*4,季度经营税费!DQ162,0)</f>
        <v>0</v>
      </c>
      <c r="DS160" s="9">
        <f>IF(119&lt;=核心参数输入!$B$9*4,季度经营税费!DR162,0)</f>
        <v>0</v>
      </c>
      <c r="DT160" s="9">
        <f>IF(120&lt;=核心参数输入!$B$9*4,季度经营税费!DS162,0)</f>
        <v>0</v>
      </c>
    </row>
    <row r="161" spans="1:124" ht="21" customHeight="1">
      <c r="A161" s="8" t="s">
        <v>482</v>
      </c>
      <c r="B161" s="8" t="s">
        <v>39</v>
      </c>
      <c r="C161" s="8"/>
      <c r="D161" s="9">
        <f>IF(0&lt;=核心参数输入!$B$9*4,MAX(0,SUM(D139:D141)-D159-D160),0)</f>
        <v>0</v>
      </c>
      <c r="E161" s="9">
        <f>IF(1&lt;=核心参数输入!$B$9*4,MAX(0,SUM(E139:E141)-E159-E160),0)</f>
        <v>0</v>
      </c>
      <c r="F161" s="9">
        <f>IF(2&lt;=核心参数输入!$B$9*4,MAX(0,SUM(F139:F141)-F159-F160),0)</f>
        <v>0</v>
      </c>
      <c r="G161" s="9">
        <f>IF(3&lt;=核心参数输入!$B$9*4,MAX(0,SUM(G139:G141)-G159-G160),0)</f>
        <v>0</v>
      </c>
      <c r="H161" s="9">
        <f>IF(4&lt;=核心参数输入!$B$9*4,MAX(0,SUM(H139:H141)-H159-H160),0)</f>
        <v>0</v>
      </c>
      <c r="I161" s="9">
        <f>IF(5&lt;=核心参数输入!$B$9*4,MAX(0,SUM(I139:I141)-I159-I160),0)</f>
        <v>0</v>
      </c>
      <c r="J161" s="9">
        <f>IF(6&lt;=核心参数输入!$B$9*4,MAX(0,SUM(J139:J141)-J159-J160),0)</f>
        <v>0</v>
      </c>
      <c r="K161" s="9">
        <f>IF(7&lt;=核心参数输入!$B$9*4,MAX(0,SUM(K139:K141)-K159-K160),0)</f>
        <v>0</v>
      </c>
      <c r="L161" s="9">
        <f>IF(8&lt;=核心参数输入!$B$9*4,MAX(0,SUM(L139:L141)-L159-L160),0)</f>
        <v>0</v>
      </c>
      <c r="M161" s="9">
        <f>IF(9&lt;=核心参数输入!$B$9*4,MAX(0,SUM(M139:M141)-M159-M160),0)</f>
        <v>0</v>
      </c>
      <c r="N161" s="9">
        <f>IF(10&lt;=核心参数输入!$B$9*4,MAX(0,SUM(N139:N141)-N159-N160),0)</f>
        <v>0</v>
      </c>
      <c r="O161" s="9">
        <f>IF(11&lt;=核心参数输入!$B$9*4,MAX(0,SUM(O139:O141)-O159-O160),0)</f>
        <v>0</v>
      </c>
      <c r="P161" s="9">
        <f>IF(12&lt;=核心参数输入!$B$9*4,MAX(0,SUM(P139:P141)-P159-P160),0)</f>
        <v>0</v>
      </c>
      <c r="Q161" s="9">
        <f>IF(13&lt;=核心参数输入!$B$9*4,MAX(0,SUM(Q139:Q141)-Q159-Q160),0)</f>
        <v>0</v>
      </c>
      <c r="R161" s="9">
        <f>IF(14&lt;=核心参数输入!$B$9*4,MAX(0,SUM(R139:R141)-R159-R160),0)</f>
        <v>0</v>
      </c>
      <c r="S161" s="9">
        <f>IF(15&lt;=核心参数输入!$B$9*4,MAX(0,SUM(S139:S141)-S159-S160),0)</f>
        <v>0</v>
      </c>
      <c r="T161" s="9">
        <f>IF(16&lt;=核心参数输入!$B$9*4,MAX(0,SUM(T139:T141)-T159-T160),0)</f>
        <v>0</v>
      </c>
      <c r="U161" s="9">
        <f>IF(17&lt;=核心参数输入!$B$9*4,MAX(0,SUM(U139:U141)-U159-U160),0)</f>
        <v>0</v>
      </c>
      <c r="V161" s="9">
        <f>IF(18&lt;=核心参数输入!$B$9*4,MAX(0,SUM(V139:V141)-V159-V160),0)</f>
        <v>0</v>
      </c>
      <c r="W161" s="9">
        <f>IF(19&lt;=核心参数输入!$B$9*4,MAX(0,SUM(W139:W141)-W159-W160),0)</f>
        <v>0</v>
      </c>
      <c r="X161" s="9">
        <f>IF(20&lt;=核心参数输入!$B$9*4,MAX(0,SUM(X139:X141)-X159-X160),0)</f>
        <v>0</v>
      </c>
      <c r="Y161" s="9">
        <f>IF(21&lt;=核心参数输入!$B$9*4,MAX(0,SUM(Y139:Y141)-Y159-Y160),0)</f>
        <v>0</v>
      </c>
      <c r="Z161" s="9">
        <f>IF(22&lt;=核心参数输入!$B$9*4,MAX(0,SUM(Z139:Z141)-Z159-Z160),0)</f>
        <v>0</v>
      </c>
      <c r="AA161" s="9">
        <f>IF(23&lt;=核心参数输入!$B$9*4,MAX(0,SUM(AA139:AA141)-AA159-AA160),0)</f>
        <v>0</v>
      </c>
      <c r="AB161" s="9">
        <f>IF(24&lt;=核心参数输入!$B$9*4,MAX(0,SUM(AB139:AB141)-AB159-AB160),0)</f>
        <v>0</v>
      </c>
      <c r="AC161" s="9">
        <f>IF(25&lt;=核心参数输入!$B$9*4,MAX(0,SUM(AC139:AC141)-AC159-AC160),0)</f>
        <v>0</v>
      </c>
      <c r="AD161" s="9">
        <f>IF(26&lt;=核心参数输入!$B$9*4,MAX(0,SUM(AD139:AD141)-AD159-AD160),0)</f>
        <v>0</v>
      </c>
      <c r="AE161" s="9">
        <f>IF(27&lt;=核心参数输入!$B$9*4,MAX(0,SUM(AE139:AE141)-AE159-AE160),0)</f>
        <v>0</v>
      </c>
      <c r="AF161" s="9">
        <f>IF(28&lt;=核心参数输入!$B$9*4,MAX(0,SUM(AF139:AF141)-AF159-AF160),0)</f>
        <v>0</v>
      </c>
      <c r="AG161" s="9">
        <f>IF(29&lt;=核心参数输入!$B$9*4,MAX(0,SUM(AG139:AG141)-AG159-AG160),0)</f>
        <v>0</v>
      </c>
      <c r="AH161" s="9">
        <f>IF(30&lt;=核心参数输入!$B$9*4,MAX(0,SUM(AH139:AH141)-AH159-AH160),0)</f>
        <v>0</v>
      </c>
      <c r="AI161" s="9">
        <f>IF(31&lt;=核心参数输入!$B$9*4,MAX(0,SUM(AI139:AI141)-AI159-AI160),0)</f>
        <v>0</v>
      </c>
      <c r="AJ161" s="9">
        <f>IF(32&lt;=核心参数输入!$B$9*4,MAX(0,SUM(AJ139:AJ141)-AJ159-AJ160),0)</f>
        <v>0</v>
      </c>
      <c r="AK161" s="9">
        <f>IF(33&lt;=核心参数输入!$B$9*4,MAX(0,SUM(AK139:AK141)-AK159-AK160),0)</f>
        <v>0</v>
      </c>
      <c r="AL161" s="9">
        <f>IF(34&lt;=核心参数输入!$B$9*4,MAX(0,SUM(AL139:AL141)-AL159-AL160),0)</f>
        <v>0</v>
      </c>
      <c r="AM161" s="9">
        <f>IF(35&lt;=核心参数输入!$B$9*4,MAX(0,SUM(AM139:AM141)-AM159-AM160),0)</f>
        <v>0</v>
      </c>
      <c r="AN161" s="9">
        <f>IF(36&lt;=核心参数输入!$B$9*4,MAX(0,SUM(AN139:AN141)-AN159-AN160),0)</f>
        <v>0</v>
      </c>
      <c r="AO161" s="9">
        <f>IF(37&lt;=核心参数输入!$B$9*4,MAX(0,SUM(AO139:AO141)-AO159-AO160),0)</f>
        <v>0</v>
      </c>
      <c r="AP161" s="9">
        <f>IF(38&lt;=核心参数输入!$B$9*4,MAX(0,SUM(AP139:AP141)-AP159-AP160),0)</f>
        <v>0</v>
      </c>
      <c r="AQ161" s="9">
        <f>IF(39&lt;=核心参数输入!$B$9*4,MAX(0,SUM(AQ139:AQ141)-AQ159-AQ160),0)</f>
        <v>0</v>
      </c>
      <c r="AR161" s="9">
        <f>IF(40&lt;=核心参数输入!$B$9*4,MAX(0,SUM(AR139:AR141)-AR159-AR160),0)</f>
        <v>0</v>
      </c>
      <c r="AS161" s="9">
        <f>IF(41&lt;=核心参数输入!$B$9*4,MAX(0,SUM(AS139:AS141)-AS159-AS160),0)</f>
        <v>0</v>
      </c>
      <c r="AT161" s="9">
        <f>IF(42&lt;=核心参数输入!$B$9*4,MAX(0,SUM(AT139:AT141)-AT159-AT160),0)</f>
        <v>0</v>
      </c>
      <c r="AU161" s="9">
        <f>IF(43&lt;=核心参数输入!$B$9*4,MAX(0,SUM(AU139:AU141)-AU159-AU160),0)</f>
        <v>0</v>
      </c>
      <c r="AV161" s="9">
        <f>IF(44&lt;=核心参数输入!$B$9*4,MAX(0,SUM(AV139:AV141)-AV159-AV160),0)</f>
        <v>0</v>
      </c>
      <c r="AW161" s="9">
        <f>IF(45&lt;=核心参数输入!$B$9*4,MAX(0,SUM(AW139:AW141)-AW159-AW160),0)</f>
        <v>0</v>
      </c>
      <c r="AX161" s="9">
        <f>IF(46&lt;=核心参数输入!$B$9*4,MAX(0,SUM(AX139:AX141)-AX159-AX160),0)</f>
        <v>0</v>
      </c>
      <c r="AY161" s="9">
        <f>IF(47&lt;=核心参数输入!$B$9*4,MAX(0,SUM(AY139:AY141)-AY159-AY160),0)</f>
        <v>0</v>
      </c>
      <c r="AZ161" s="9">
        <f>IF(48&lt;=核心参数输入!$B$9*4,MAX(0,SUM(AZ139:AZ141)-AZ159-AZ160),0)</f>
        <v>0</v>
      </c>
      <c r="BA161" s="9">
        <f>IF(49&lt;=核心参数输入!$B$9*4,MAX(0,SUM(BA139:BA141)-BA159-BA160),0)</f>
        <v>0</v>
      </c>
      <c r="BB161" s="9">
        <f>IF(50&lt;=核心参数输入!$B$9*4,MAX(0,SUM(BB139:BB141)-BB159-BB160),0)</f>
        <v>0</v>
      </c>
      <c r="BC161" s="9">
        <f>IF(51&lt;=核心参数输入!$B$9*4,MAX(0,SUM(BC139:BC141)-BC159-BC160),0)</f>
        <v>0</v>
      </c>
      <c r="BD161" s="9">
        <f>IF(52&lt;=核心参数输入!$B$9*4,MAX(0,SUM(BD139:BD141)-BD159-BD160),0)</f>
        <v>0</v>
      </c>
      <c r="BE161" s="9">
        <f>IF(53&lt;=核心参数输入!$B$9*4,MAX(0,SUM(BE139:BE141)-BE159-BE160),0)</f>
        <v>0</v>
      </c>
      <c r="BF161" s="9">
        <f>IF(54&lt;=核心参数输入!$B$9*4,MAX(0,SUM(BF139:BF141)-BF159-BF160),0)</f>
        <v>0</v>
      </c>
      <c r="BG161" s="9">
        <f>IF(55&lt;=核心参数输入!$B$9*4,MAX(0,SUM(BG139:BG141)-BG159-BG160),0)</f>
        <v>0</v>
      </c>
      <c r="BH161" s="9">
        <f>IF(56&lt;=核心参数输入!$B$9*4,MAX(0,SUM(BH139:BH141)-BH159-BH160),0)</f>
        <v>0</v>
      </c>
      <c r="BI161" s="9">
        <f>IF(57&lt;=核心参数输入!$B$9*4,MAX(0,SUM(BI139:BI141)-BI159-BI160),0)</f>
        <v>0</v>
      </c>
      <c r="BJ161" s="9">
        <f>IF(58&lt;=核心参数输入!$B$9*4,MAX(0,SUM(BJ139:BJ141)-BJ159-BJ160),0)</f>
        <v>0</v>
      </c>
      <c r="BK161" s="9">
        <f>IF(59&lt;=核心参数输入!$B$9*4,MAX(0,SUM(BK139:BK141)-BK159-BK160),0)</f>
        <v>0</v>
      </c>
      <c r="BL161" s="9">
        <f>IF(60&lt;=核心参数输入!$B$9*4,MAX(0,SUM(BL139:BL141)-BL159-BL160),0)</f>
        <v>0</v>
      </c>
      <c r="BM161" s="9">
        <f>IF(61&lt;=核心参数输入!$B$9*4,MAX(0,SUM(BM139:BM141)-BM159-BM160),0)</f>
        <v>0</v>
      </c>
      <c r="BN161" s="9">
        <f>IF(62&lt;=核心参数输入!$B$9*4,MAX(0,SUM(BN139:BN141)-BN159-BN160),0)</f>
        <v>0</v>
      </c>
      <c r="BO161" s="9">
        <f>IF(63&lt;=核心参数输入!$B$9*4,MAX(0,SUM(BO139:BO141)-BO159-BO160),0)</f>
        <v>0</v>
      </c>
      <c r="BP161" s="9">
        <f>IF(64&lt;=核心参数输入!$B$9*4,MAX(0,SUM(BP139:BP141)-BP159-BP160),0)</f>
        <v>0</v>
      </c>
      <c r="BQ161" s="9">
        <f>IF(65&lt;=核心参数输入!$B$9*4,MAX(0,SUM(BQ139:BQ141)-BQ159-BQ160),0)</f>
        <v>0</v>
      </c>
      <c r="BR161" s="9">
        <f>IF(66&lt;=核心参数输入!$B$9*4,MAX(0,SUM(BR139:BR141)-BR159-BR160),0)</f>
        <v>0</v>
      </c>
      <c r="BS161" s="9">
        <f>IF(67&lt;=核心参数输入!$B$9*4,MAX(0,SUM(BS139:BS141)-BS159-BS160),0)</f>
        <v>0</v>
      </c>
      <c r="BT161" s="9">
        <f>IF(68&lt;=核心参数输入!$B$9*4,MAX(0,SUM(BT139:BT141)-BT159-BT160),0)</f>
        <v>0</v>
      </c>
      <c r="BU161" s="9">
        <f>IF(69&lt;=核心参数输入!$B$9*4,MAX(0,SUM(BU139:BU141)-BU159-BU160),0)</f>
        <v>0</v>
      </c>
      <c r="BV161" s="9">
        <f>IF(70&lt;=核心参数输入!$B$9*4,MAX(0,SUM(BV139:BV141)-BV159-BV160),0)</f>
        <v>0</v>
      </c>
      <c r="BW161" s="9">
        <f>IF(71&lt;=核心参数输入!$B$9*4,MAX(0,SUM(BW139:BW141)-BW159-BW160),0)</f>
        <v>0</v>
      </c>
      <c r="BX161" s="9">
        <f>IF(72&lt;=核心参数输入!$B$9*4,MAX(0,SUM(BX139:BX141)-BX159-BX160),0)</f>
        <v>0</v>
      </c>
      <c r="BY161" s="9">
        <f>IF(73&lt;=核心参数输入!$B$9*4,MAX(0,SUM(BY139:BY141)-BY159-BY160),0)</f>
        <v>0</v>
      </c>
      <c r="BZ161" s="9">
        <f>IF(74&lt;=核心参数输入!$B$9*4,MAX(0,SUM(BZ139:BZ141)-BZ159-BZ160),0)</f>
        <v>0</v>
      </c>
      <c r="CA161" s="9">
        <f>IF(75&lt;=核心参数输入!$B$9*4,MAX(0,SUM(CA139:CA141)-CA159-CA160),0)</f>
        <v>0</v>
      </c>
      <c r="CB161" s="9">
        <f>IF(76&lt;=核心参数输入!$B$9*4,MAX(0,SUM(CB139:CB141)-CB159-CB160),0)</f>
        <v>0</v>
      </c>
      <c r="CC161" s="9">
        <f>IF(77&lt;=核心参数输入!$B$9*4,MAX(0,SUM(CC139:CC141)-CC159-CC160),0)</f>
        <v>0</v>
      </c>
      <c r="CD161" s="9">
        <f>IF(78&lt;=核心参数输入!$B$9*4,MAX(0,SUM(CD139:CD141)-CD159-CD160),0)</f>
        <v>0</v>
      </c>
      <c r="CE161" s="9">
        <f>IF(79&lt;=核心参数输入!$B$9*4,MAX(0,SUM(CE139:CE141)-CE159-CE160),0)</f>
        <v>0</v>
      </c>
      <c r="CF161" s="9">
        <f>IF(80&lt;=核心参数输入!$B$9*4,MAX(0,SUM(CF139:CF141)-CF159-CF160),0)</f>
        <v>0</v>
      </c>
      <c r="CG161" s="9">
        <f>IF(81&lt;=核心参数输入!$B$9*4,MAX(0,SUM(CG139:CG141)-CG159-CG160),0)</f>
        <v>0</v>
      </c>
      <c r="CH161" s="9">
        <f>IF(82&lt;=核心参数输入!$B$9*4,MAX(0,SUM(CH139:CH141)-CH159-CH160),0)</f>
        <v>0</v>
      </c>
      <c r="CI161" s="9">
        <f>IF(83&lt;=核心参数输入!$B$9*4,MAX(0,SUM(CI139:CI141)-CI159-CI160),0)</f>
        <v>0</v>
      </c>
      <c r="CJ161" s="9">
        <f>IF(84&lt;=核心参数输入!$B$9*4,MAX(0,SUM(CJ139:CJ141)-CJ159-CJ160),0)</f>
        <v>0</v>
      </c>
      <c r="CK161" s="9">
        <f>IF(85&lt;=核心参数输入!$B$9*4,MAX(0,SUM(CK139:CK141)-CK159-CK160),0)</f>
        <v>0</v>
      </c>
      <c r="CL161" s="9">
        <f>IF(86&lt;=核心参数输入!$B$9*4,MAX(0,SUM(CL139:CL141)-CL159-CL160),0)</f>
        <v>0</v>
      </c>
      <c r="CM161" s="9">
        <f>IF(87&lt;=核心参数输入!$B$9*4,MAX(0,SUM(CM139:CM141)-CM159-CM160),0)</f>
        <v>0</v>
      </c>
      <c r="CN161" s="9">
        <f>IF(88&lt;=核心参数输入!$B$9*4,MAX(0,SUM(CN139:CN141)-CN159-CN160),0)</f>
        <v>0</v>
      </c>
      <c r="CO161" s="9">
        <f>IF(89&lt;=核心参数输入!$B$9*4,MAX(0,SUM(CO139:CO141)-CO159-CO160),0)</f>
        <v>0</v>
      </c>
      <c r="CP161" s="9">
        <f>IF(90&lt;=核心参数输入!$B$9*4,MAX(0,SUM(CP139:CP141)-CP159-CP160),0)</f>
        <v>0</v>
      </c>
      <c r="CQ161" s="9">
        <f>IF(91&lt;=核心参数输入!$B$9*4,MAX(0,SUM(CQ139:CQ141)-CQ159-CQ160),0)</f>
        <v>0</v>
      </c>
      <c r="CR161" s="9">
        <f>IF(92&lt;=核心参数输入!$B$9*4,MAX(0,SUM(CR139:CR141)-CR159-CR160),0)</f>
        <v>0</v>
      </c>
      <c r="CS161" s="9">
        <f>IF(93&lt;=核心参数输入!$B$9*4,MAX(0,SUM(CS139:CS141)-CS159-CS160),0)</f>
        <v>0</v>
      </c>
      <c r="CT161" s="9">
        <f>IF(94&lt;=核心参数输入!$B$9*4,MAX(0,SUM(CT139:CT141)-CT159-CT160),0)</f>
        <v>0</v>
      </c>
      <c r="CU161" s="9">
        <f>IF(95&lt;=核心参数输入!$B$9*4,MAX(0,SUM(CU139:CU141)-CU159-CU160),0)</f>
        <v>0</v>
      </c>
      <c r="CV161" s="9">
        <f>IF(96&lt;=核心参数输入!$B$9*4,MAX(0,SUM(CV139:CV141)-CV159-CV160),0)</f>
        <v>0</v>
      </c>
      <c r="CW161" s="9">
        <f>IF(97&lt;=核心参数输入!$B$9*4,MAX(0,SUM(CW139:CW141)-CW159-CW160),0)</f>
        <v>0</v>
      </c>
      <c r="CX161" s="9">
        <f>IF(98&lt;=核心参数输入!$B$9*4,MAX(0,SUM(CX139:CX141)-CX159-CX160),0)</f>
        <v>0</v>
      </c>
      <c r="CY161" s="9">
        <f>IF(99&lt;=核心参数输入!$B$9*4,MAX(0,SUM(CY139:CY141)-CY159-CY160),0)</f>
        <v>0</v>
      </c>
      <c r="CZ161" s="9">
        <f>IF(100&lt;=核心参数输入!$B$9*4,MAX(0,SUM(CZ139:CZ141)-CZ159-CZ160),0)</f>
        <v>0</v>
      </c>
      <c r="DA161" s="9">
        <f>IF(101&lt;=核心参数输入!$B$9*4,MAX(0,SUM(DA139:DA141)-DA159-DA160),0)</f>
        <v>0</v>
      </c>
      <c r="DB161" s="9">
        <f>IF(102&lt;=核心参数输入!$B$9*4,MAX(0,SUM(DB139:DB141)-DB159-DB160),0)</f>
        <v>0</v>
      </c>
      <c r="DC161" s="9">
        <f>IF(103&lt;=核心参数输入!$B$9*4,MAX(0,SUM(DC139:DC141)-DC159-DC160),0)</f>
        <v>0</v>
      </c>
      <c r="DD161" s="9">
        <f>IF(104&lt;=核心参数输入!$B$9*4,MAX(0,SUM(DD139:DD141)-DD159-DD160),0)</f>
        <v>0</v>
      </c>
      <c r="DE161" s="9">
        <f>IF(105&lt;=核心参数输入!$B$9*4,MAX(0,SUM(DE139:DE141)-DE159-DE160),0)</f>
        <v>0</v>
      </c>
      <c r="DF161" s="9">
        <f>IF(106&lt;=核心参数输入!$B$9*4,MAX(0,SUM(DF139:DF141)-DF159-DF160),0)</f>
        <v>0</v>
      </c>
      <c r="DG161" s="9">
        <f>IF(107&lt;=核心参数输入!$B$9*4,MAX(0,SUM(DG139:DG141)-DG159-DG160),0)</f>
        <v>0</v>
      </c>
      <c r="DH161" s="9">
        <f>IF(108&lt;=核心参数输入!$B$9*4,MAX(0,SUM(DH139:DH141)-DH159-DH160),0)</f>
        <v>0</v>
      </c>
      <c r="DI161" s="9">
        <f>IF(109&lt;=核心参数输入!$B$9*4,MAX(0,SUM(DI139:DI141)-DI159-DI160),0)</f>
        <v>0</v>
      </c>
      <c r="DJ161" s="9">
        <f>IF(110&lt;=核心参数输入!$B$9*4,MAX(0,SUM(DJ139:DJ141)-DJ159-DJ160),0)</f>
        <v>0</v>
      </c>
      <c r="DK161" s="9">
        <f>IF(111&lt;=核心参数输入!$B$9*4,MAX(0,SUM(DK139:DK141)-DK159-DK160),0)</f>
        <v>0</v>
      </c>
      <c r="DL161" s="9">
        <f>IF(112&lt;=核心参数输入!$B$9*4,MAX(0,SUM(DL139:DL141)-DL159-DL160),0)</f>
        <v>0</v>
      </c>
      <c r="DM161" s="9">
        <f>IF(113&lt;=核心参数输入!$B$9*4,MAX(0,SUM(DM139:DM141)-DM159-DM160),0)</f>
        <v>0</v>
      </c>
      <c r="DN161" s="9">
        <f>IF(114&lt;=核心参数输入!$B$9*4,MAX(0,SUM(DN139:DN141)-DN159-DN160),0)</f>
        <v>0</v>
      </c>
      <c r="DO161" s="9">
        <f>IF(115&lt;=核心参数输入!$B$9*4,MAX(0,SUM(DO139:DO141)-DO159-DO160),0)</f>
        <v>0</v>
      </c>
      <c r="DP161" s="9">
        <f>IF(116&lt;=核心参数输入!$B$9*4,MAX(0,SUM(DP139:DP141)-DP159-DP160),0)</f>
        <v>0</v>
      </c>
      <c r="DQ161" s="9">
        <f>IF(117&lt;=核心参数输入!$B$9*4,MAX(0,SUM(DQ139:DQ141)-DQ159-DQ160),0)</f>
        <v>0</v>
      </c>
      <c r="DR161" s="9">
        <f>IF(118&lt;=核心参数输入!$B$9*4,MAX(0,SUM(DR139:DR141)-DR159-DR160),0)</f>
        <v>0</v>
      </c>
      <c r="DS161" s="9">
        <f>IF(119&lt;=核心参数输入!$B$9*4,MAX(0,SUM(DS139:DS141)-DS159-DS160),0)</f>
        <v>0</v>
      </c>
      <c r="DT161" s="9">
        <f>IF(120&lt;=核心参数输入!$B$9*4,MAX(0,SUM(DT139:DT141)-DT159-DT160),0)</f>
        <v>0</v>
      </c>
    </row>
    <row r="162" spans="1:124" ht="21" customHeight="1">
      <c r="A162" s="8" t="s">
        <v>483</v>
      </c>
      <c r="B162" s="8" t="s">
        <v>39</v>
      </c>
      <c r="C162" s="8"/>
      <c r="D162" s="9">
        <f>IF(0&lt;=核心参数输入!$B$9*4,MAX(0,D159+D160-SUM(D139:D141)),0)</f>
        <v>0</v>
      </c>
      <c r="E162" s="9">
        <f>IF(1&lt;=核心参数输入!$B$9*4,MAX(0,E159+E160-SUM(E139:E141)),0)</f>
        <v>0</v>
      </c>
      <c r="F162" s="9">
        <f>IF(2&lt;=核心参数输入!$B$9*4,MAX(0,F159+F160-SUM(F139:F141)),0)</f>
        <v>0</v>
      </c>
      <c r="G162" s="9">
        <f>IF(3&lt;=核心参数输入!$B$9*4,MAX(0,G159+G160-SUM(G139:G141)),0)</f>
        <v>0</v>
      </c>
      <c r="H162" s="9">
        <f>IF(4&lt;=核心参数输入!$B$9*4,MAX(0,H159+H160-SUM(H139:H141)),0)</f>
        <v>0</v>
      </c>
      <c r="I162" s="9">
        <f>IF(5&lt;=核心参数输入!$B$9*4,MAX(0,I159+I160-SUM(I139:I141)),0)</f>
        <v>0</v>
      </c>
      <c r="J162" s="9">
        <f>IF(6&lt;=核心参数输入!$B$9*4,MAX(0,J159+J160-SUM(J139:J141)),0)</f>
        <v>0</v>
      </c>
      <c r="K162" s="9">
        <f>IF(7&lt;=核心参数输入!$B$9*4,MAX(0,K159+K160-SUM(K139:K141)),0)</f>
        <v>0</v>
      </c>
      <c r="L162" s="9">
        <f>IF(8&lt;=核心参数输入!$B$9*4,MAX(0,L159+L160-SUM(L139:L141)),0)</f>
        <v>0</v>
      </c>
      <c r="M162" s="9">
        <f>IF(9&lt;=核心参数输入!$B$9*4,MAX(0,M159+M160-SUM(M139:M141)),0)</f>
        <v>0</v>
      </c>
      <c r="N162" s="9">
        <f>IF(10&lt;=核心参数输入!$B$9*4,MAX(0,N159+N160-SUM(N139:N141)),0)</f>
        <v>0</v>
      </c>
      <c r="O162" s="9">
        <f>IF(11&lt;=核心参数输入!$B$9*4,MAX(0,O159+O160-SUM(O139:O141)),0)</f>
        <v>0</v>
      </c>
      <c r="P162" s="9">
        <f>IF(12&lt;=核心参数输入!$B$9*4,MAX(0,P159+P160-SUM(P139:P141)),0)</f>
        <v>0</v>
      </c>
      <c r="Q162" s="9">
        <f>IF(13&lt;=核心参数输入!$B$9*4,MAX(0,Q159+Q160-SUM(Q139:Q141)),0)</f>
        <v>0</v>
      </c>
      <c r="R162" s="9">
        <f>IF(14&lt;=核心参数输入!$B$9*4,MAX(0,R159+R160-SUM(R139:R141)),0)</f>
        <v>0</v>
      </c>
      <c r="S162" s="9">
        <f>IF(15&lt;=核心参数输入!$B$9*4,MAX(0,S159+S160-SUM(S139:S141)),0)</f>
        <v>0</v>
      </c>
      <c r="T162" s="9">
        <f>IF(16&lt;=核心参数输入!$B$9*4,MAX(0,T159+T160-SUM(T139:T141)),0)</f>
        <v>0</v>
      </c>
      <c r="U162" s="9">
        <f>IF(17&lt;=核心参数输入!$B$9*4,MAX(0,U159+U160-SUM(U139:U141)),0)</f>
        <v>0</v>
      </c>
      <c r="V162" s="9">
        <f>IF(18&lt;=核心参数输入!$B$9*4,MAX(0,V159+V160-SUM(V139:V141)),0)</f>
        <v>0</v>
      </c>
      <c r="W162" s="9">
        <f>IF(19&lt;=核心参数输入!$B$9*4,MAX(0,W159+W160-SUM(W139:W141)),0)</f>
        <v>0</v>
      </c>
      <c r="X162" s="9">
        <f>IF(20&lt;=核心参数输入!$B$9*4,MAX(0,X159+X160-SUM(X139:X141)),0)</f>
        <v>0</v>
      </c>
      <c r="Y162" s="9">
        <f>IF(21&lt;=核心参数输入!$B$9*4,MAX(0,Y159+Y160-SUM(Y139:Y141)),0)</f>
        <v>0</v>
      </c>
      <c r="Z162" s="9">
        <f>IF(22&lt;=核心参数输入!$B$9*4,MAX(0,Z159+Z160-SUM(Z139:Z141)),0)</f>
        <v>0</v>
      </c>
      <c r="AA162" s="9">
        <f>IF(23&lt;=核心参数输入!$B$9*4,MAX(0,AA159+AA160-SUM(AA139:AA141)),0)</f>
        <v>0</v>
      </c>
      <c r="AB162" s="9">
        <f>IF(24&lt;=核心参数输入!$B$9*4,MAX(0,AB159+AB160-SUM(AB139:AB141)),0)</f>
        <v>0</v>
      </c>
      <c r="AC162" s="9">
        <f>IF(25&lt;=核心参数输入!$B$9*4,MAX(0,AC159+AC160-SUM(AC139:AC141)),0)</f>
        <v>0</v>
      </c>
      <c r="AD162" s="9">
        <f>IF(26&lt;=核心参数输入!$B$9*4,MAX(0,AD159+AD160-SUM(AD139:AD141)),0)</f>
        <v>0</v>
      </c>
      <c r="AE162" s="9">
        <f>IF(27&lt;=核心参数输入!$B$9*4,MAX(0,AE159+AE160-SUM(AE139:AE141)),0)</f>
        <v>0</v>
      </c>
      <c r="AF162" s="9">
        <f>IF(28&lt;=核心参数输入!$B$9*4,MAX(0,AF159+AF160-SUM(AF139:AF141)),0)</f>
        <v>0</v>
      </c>
      <c r="AG162" s="9">
        <f>IF(29&lt;=核心参数输入!$B$9*4,MAX(0,AG159+AG160-SUM(AG139:AG141)),0)</f>
        <v>0</v>
      </c>
      <c r="AH162" s="9">
        <f>IF(30&lt;=核心参数输入!$B$9*4,MAX(0,AH159+AH160-SUM(AH139:AH141)),0)</f>
        <v>0</v>
      </c>
      <c r="AI162" s="9">
        <f>IF(31&lt;=核心参数输入!$B$9*4,MAX(0,AI159+AI160-SUM(AI139:AI141)),0)</f>
        <v>0</v>
      </c>
      <c r="AJ162" s="9">
        <f>IF(32&lt;=核心参数输入!$B$9*4,MAX(0,AJ159+AJ160-SUM(AJ139:AJ141)),0)</f>
        <v>0</v>
      </c>
      <c r="AK162" s="9">
        <f>IF(33&lt;=核心参数输入!$B$9*4,MAX(0,AK159+AK160-SUM(AK139:AK141)),0)</f>
        <v>0</v>
      </c>
      <c r="AL162" s="9">
        <f>IF(34&lt;=核心参数输入!$B$9*4,MAX(0,AL159+AL160-SUM(AL139:AL141)),0)</f>
        <v>0</v>
      </c>
      <c r="AM162" s="9">
        <f>IF(35&lt;=核心参数输入!$B$9*4,MAX(0,AM159+AM160-SUM(AM139:AM141)),0)</f>
        <v>0</v>
      </c>
      <c r="AN162" s="9">
        <f>IF(36&lt;=核心参数输入!$B$9*4,MAX(0,AN159+AN160-SUM(AN139:AN141)),0)</f>
        <v>0</v>
      </c>
      <c r="AO162" s="9">
        <f>IF(37&lt;=核心参数输入!$B$9*4,MAX(0,AO159+AO160-SUM(AO139:AO141)),0)</f>
        <v>0</v>
      </c>
      <c r="AP162" s="9">
        <f>IF(38&lt;=核心参数输入!$B$9*4,MAX(0,AP159+AP160-SUM(AP139:AP141)),0)</f>
        <v>0</v>
      </c>
      <c r="AQ162" s="9">
        <f>IF(39&lt;=核心参数输入!$B$9*4,MAX(0,AQ159+AQ160-SUM(AQ139:AQ141)),0)</f>
        <v>0</v>
      </c>
      <c r="AR162" s="9">
        <f>IF(40&lt;=核心参数输入!$B$9*4,MAX(0,AR159+AR160-SUM(AR139:AR141)),0)</f>
        <v>0</v>
      </c>
      <c r="AS162" s="9">
        <f>IF(41&lt;=核心参数输入!$B$9*4,MAX(0,AS159+AS160-SUM(AS139:AS141)),0)</f>
        <v>0</v>
      </c>
      <c r="AT162" s="9">
        <f>IF(42&lt;=核心参数输入!$B$9*4,MAX(0,AT159+AT160-SUM(AT139:AT141)),0)</f>
        <v>0</v>
      </c>
      <c r="AU162" s="9">
        <f>IF(43&lt;=核心参数输入!$B$9*4,MAX(0,AU159+AU160-SUM(AU139:AU141)),0)</f>
        <v>0</v>
      </c>
      <c r="AV162" s="9">
        <f>IF(44&lt;=核心参数输入!$B$9*4,MAX(0,AV159+AV160-SUM(AV139:AV141)),0)</f>
        <v>0</v>
      </c>
      <c r="AW162" s="9">
        <f>IF(45&lt;=核心参数输入!$B$9*4,MAX(0,AW159+AW160-SUM(AW139:AW141)),0)</f>
        <v>0</v>
      </c>
      <c r="AX162" s="9">
        <f>IF(46&lt;=核心参数输入!$B$9*4,MAX(0,AX159+AX160-SUM(AX139:AX141)),0)</f>
        <v>0</v>
      </c>
      <c r="AY162" s="9">
        <f>IF(47&lt;=核心参数输入!$B$9*4,MAX(0,AY159+AY160-SUM(AY139:AY141)),0)</f>
        <v>0</v>
      </c>
      <c r="AZ162" s="9">
        <f>IF(48&lt;=核心参数输入!$B$9*4,MAX(0,AZ159+AZ160-SUM(AZ139:AZ141)),0)</f>
        <v>0</v>
      </c>
      <c r="BA162" s="9">
        <f>IF(49&lt;=核心参数输入!$B$9*4,MAX(0,BA159+BA160-SUM(BA139:BA141)),0)</f>
        <v>0</v>
      </c>
      <c r="BB162" s="9">
        <f>IF(50&lt;=核心参数输入!$B$9*4,MAX(0,BB159+BB160-SUM(BB139:BB141)),0)</f>
        <v>0</v>
      </c>
      <c r="BC162" s="9">
        <f>IF(51&lt;=核心参数输入!$B$9*4,MAX(0,BC159+BC160-SUM(BC139:BC141)),0)</f>
        <v>0</v>
      </c>
      <c r="BD162" s="9">
        <f>IF(52&lt;=核心参数输入!$B$9*4,MAX(0,BD159+BD160-SUM(BD139:BD141)),0)</f>
        <v>0</v>
      </c>
      <c r="BE162" s="9">
        <f>IF(53&lt;=核心参数输入!$B$9*4,MAX(0,BE159+BE160-SUM(BE139:BE141)),0)</f>
        <v>0</v>
      </c>
      <c r="BF162" s="9">
        <f>IF(54&lt;=核心参数输入!$B$9*4,MAX(0,BF159+BF160-SUM(BF139:BF141)),0)</f>
        <v>0</v>
      </c>
      <c r="BG162" s="9">
        <f>IF(55&lt;=核心参数输入!$B$9*4,MAX(0,BG159+BG160-SUM(BG139:BG141)),0)</f>
        <v>0</v>
      </c>
      <c r="BH162" s="9">
        <f>IF(56&lt;=核心参数输入!$B$9*4,MAX(0,BH159+BH160-SUM(BH139:BH141)),0)</f>
        <v>0</v>
      </c>
      <c r="BI162" s="9">
        <f>IF(57&lt;=核心参数输入!$B$9*4,MAX(0,BI159+BI160-SUM(BI139:BI141)),0)</f>
        <v>0</v>
      </c>
      <c r="BJ162" s="9">
        <f>IF(58&lt;=核心参数输入!$B$9*4,MAX(0,BJ159+BJ160-SUM(BJ139:BJ141)),0)</f>
        <v>0</v>
      </c>
      <c r="BK162" s="9">
        <f>IF(59&lt;=核心参数输入!$B$9*4,MAX(0,BK159+BK160-SUM(BK139:BK141)),0)</f>
        <v>0</v>
      </c>
      <c r="BL162" s="9">
        <f>IF(60&lt;=核心参数输入!$B$9*4,MAX(0,BL159+BL160-SUM(BL139:BL141)),0)</f>
        <v>0</v>
      </c>
      <c r="BM162" s="9">
        <f>IF(61&lt;=核心参数输入!$B$9*4,MAX(0,BM159+BM160-SUM(BM139:BM141)),0)</f>
        <v>0</v>
      </c>
      <c r="BN162" s="9">
        <f>IF(62&lt;=核心参数输入!$B$9*4,MAX(0,BN159+BN160-SUM(BN139:BN141)),0)</f>
        <v>0</v>
      </c>
      <c r="BO162" s="9">
        <f>IF(63&lt;=核心参数输入!$B$9*4,MAX(0,BO159+BO160-SUM(BO139:BO141)),0)</f>
        <v>0</v>
      </c>
      <c r="BP162" s="9">
        <f>IF(64&lt;=核心参数输入!$B$9*4,MAX(0,BP159+BP160-SUM(BP139:BP141)),0)</f>
        <v>0</v>
      </c>
      <c r="BQ162" s="9">
        <f>IF(65&lt;=核心参数输入!$B$9*4,MAX(0,BQ159+BQ160-SUM(BQ139:BQ141)),0)</f>
        <v>0</v>
      </c>
      <c r="BR162" s="9">
        <f>IF(66&lt;=核心参数输入!$B$9*4,MAX(0,BR159+BR160-SUM(BR139:BR141)),0)</f>
        <v>0</v>
      </c>
      <c r="BS162" s="9">
        <f>IF(67&lt;=核心参数输入!$B$9*4,MAX(0,BS159+BS160-SUM(BS139:BS141)),0)</f>
        <v>0</v>
      </c>
      <c r="BT162" s="9">
        <f>IF(68&lt;=核心参数输入!$B$9*4,MAX(0,BT159+BT160-SUM(BT139:BT141)),0)</f>
        <v>0</v>
      </c>
      <c r="BU162" s="9">
        <f>IF(69&lt;=核心参数输入!$B$9*4,MAX(0,BU159+BU160-SUM(BU139:BU141)),0)</f>
        <v>0</v>
      </c>
      <c r="BV162" s="9">
        <f>IF(70&lt;=核心参数输入!$B$9*4,MAX(0,BV159+BV160-SUM(BV139:BV141)),0)</f>
        <v>0</v>
      </c>
      <c r="BW162" s="9">
        <f>IF(71&lt;=核心参数输入!$B$9*4,MAX(0,BW159+BW160-SUM(BW139:BW141)),0)</f>
        <v>0</v>
      </c>
      <c r="BX162" s="9">
        <f>IF(72&lt;=核心参数输入!$B$9*4,MAX(0,BX159+BX160-SUM(BX139:BX141)),0)</f>
        <v>0</v>
      </c>
      <c r="BY162" s="9">
        <f>IF(73&lt;=核心参数输入!$B$9*4,MAX(0,BY159+BY160-SUM(BY139:BY141)),0)</f>
        <v>0</v>
      </c>
      <c r="BZ162" s="9">
        <f>IF(74&lt;=核心参数输入!$B$9*4,MAX(0,BZ159+BZ160-SUM(BZ139:BZ141)),0)</f>
        <v>0</v>
      </c>
      <c r="CA162" s="9">
        <f>IF(75&lt;=核心参数输入!$B$9*4,MAX(0,CA159+CA160-SUM(CA139:CA141)),0)</f>
        <v>0</v>
      </c>
      <c r="CB162" s="9">
        <f>IF(76&lt;=核心参数输入!$B$9*4,MAX(0,CB159+CB160-SUM(CB139:CB141)),0)</f>
        <v>0</v>
      </c>
      <c r="CC162" s="9">
        <f>IF(77&lt;=核心参数输入!$B$9*4,MAX(0,CC159+CC160-SUM(CC139:CC141)),0)</f>
        <v>0</v>
      </c>
      <c r="CD162" s="9">
        <f>IF(78&lt;=核心参数输入!$B$9*4,MAX(0,CD159+CD160-SUM(CD139:CD141)),0)</f>
        <v>0</v>
      </c>
      <c r="CE162" s="9">
        <f>IF(79&lt;=核心参数输入!$B$9*4,MAX(0,CE159+CE160-SUM(CE139:CE141)),0)</f>
        <v>0</v>
      </c>
      <c r="CF162" s="9">
        <f>IF(80&lt;=核心参数输入!$B$9*4,MAX(0,CF159+CF160-SUM(CF139:CF141)),0)</f>
        <v>0</v>
      </c>
      <c r="CG162" s="9">
        <f>IF(81&lt;=核心参数输入!$B$9*4,MAX(0,CG159+CG160-SUM(CG139:CG141)),0)</f>
        <v>0</v>
      </c>
      <c r="CH162" s="9">
        <f>IF(82&lt;=核心参数输入!$B$9*4,MAX(0,CH159+CH160-SUM(CH139:CH141)),0)</f>
        <v>0</v>
      </c>
      <c r="CI162" s="9">
        <f>IF(83&lt;=核心参数输入!$B$9*4,MAX(0,CI159+CI160-SUM(CI139:CI141)),0)</f>
        <v>0</v>
      </c>
      <c r="CJ162" s="9">
        <f>IF(84&lt;=核心参数输入!$B$9*4,MAX(0,CJ159+CJ160-SUM(CJ139:CJ141)),0)</f>
        <v>0</v>
      </c>
      <c r="CK162" s="9">
        <f>IF(85&lt;=核心参数输入!$B$9*4,MAX(0,CK159+CK160-SUM(CK139:CK141)),0)</f>
        <v>0</v>
      </c>
      <c r="CL162" s="9">
        <f>IF(86&lt;=核心参数输入!$B$9*4,MAX(0,CL159+CL160-SUM(CL139:CL141)),0)</f>
        <v>0</v>
      </c>
      <c r="CM162" s="9">
        <f>IF(87&lt;=核心参数输入!$B$9*4,MAX(0,CM159+CM160-SUM(CM139:CM141)),0)</f>
        <v>0</v>
      </c>
      <c r="CN162" s="9">
        <f>IF(88&lt;=核心参数输入!$B$9*4,MAX(0,CN159+CN160-SUM(CN139:CN141)),0)</f>
        <v>0</v>
      </c>
      <c r="CO162" s="9">
        <f>IF(89&lt;=核心参数输入!$B$9*4,MAX(0,CO159+CO160-SUM(CO139:CO141)),0)</f>
        <v>0</v>
      </c>
      <c r="CP162" s="9">
        <f>IF(90&lt;=核心参数输入!$B$9*4,MAX(0,CP159+CP160-SUM(CP139:CP141)),0)</f>
        <v>0</v>
      </c>
      <c r="CQ162" s="9">
        <f>IF(91&lt;=核心参数输入!$B$9*4,MAX(0,CQ159+CQ160-SUM(CQ139:CQ141)),0)</f>
        <v>0</v>
      </c>
      <c r="CR162" s="9">
        <f>IF(92&lt;=核心参数输入!$B$9*4,MAX(0,CR159+CR160-SUM(CR139:CR141)),0)</f>
        <v>0</v>
      </c>
      <c r="CS162" s="9">
        <f>IF(93&lt;=核心参数输入!$B$9*4,MAX(0,CS159+CS160-SUM(CS139:CS141)),0)</f>
        <v>0</v>
      </c>
      <c r="CT162" s="9">
        <f>IF(94&lt;=核心参数输入!$B$9*4,MAX(0,CT159+CT160-SUM(CT139:CT141)),0)</f>
        <v>0</v>
      </c>
      <c r="CU162" s="9">
        <f>IF(95&lt;=核心参数输入!$B$9*4,MAX(0,CU159+CU160-SUM(CU139:CU141)),0)</f>
        <v>0</v>
      </c>
      <c r="CV162" s="9">
        <f>IF(96&lt;=核心参数输入!$B$9*4,MAX(0,CV159+CV160-SUM(CV139:CV141)),0)</f>
        <v>0</v>
      </c>
      <c r="CW162" s="9">
        <f>IF(97&lt;=核心参数输入!$B$9*4,MAX(0,CW159+CW160-SUM(CW139:CW141)),0)</f>
        <v>0</v>
      </c>
      <c r="CX162" s="9">
        <f>IF(98&lt;=核心参数输入!$B$9*4,MAX(0,CX159+CX160-SUM(CX139:CX141)),0)</f>
        <v>0</v>
      </c>
      <c r="CY162" s="9">
        <f>IF(99&lt;=核心参数输入!$B$9*4,MAX(0,CY159+CY160-SUM(CY139:CY141)),0)</f>
        <v>0</v>
      </c>
      <c r="CZ162" s="9">
        <f>IF(100&lt;=核心参数输入!$B$9*4,MAX(0,CZ159+CZ160-SUM(CZ139:CZ141)),0)</f>
        <v>0</v>
      </c>
      <c r="DA162" s="9">
        <f>IF(101&lt;=核心参数输入!$B$9*4,MAX(0,DA159+DA160-SUM(DA139:DA141)),0)</f>
        <v>0</v>
      </c>
      <c r="DB162" s="9">
        <f>IF(102&lt;=核心参数输入!$B$9*4,MAX(0,DB159+DB160-SUM(DB139:DB141)),0)</f>
        <v>0</v>
      </c>
      <c r="DC162" s="9">
        <f>IF(103&lt;=核心参数输入!$B$9*4,MAX(0,DC159+DC160-SUM(DC139:DC141)),0)</f>
        <v>0</v>
      </c>
      <c r="DD162" s="9">
        <f>IF(104&lt;=核心参数输入!$B$9*4,MAX(0,DD159+DD160-SUM(DD139:DD141)),0)</f>
        <v>0</v>
      </c>
      <c r="DE162" s="9">
        <f>IF(105&lt;=核心参数输入!$B$9*4,MAX(0,DE159+DE160-SUM(DE139:DE141)),0)</f>
        <v>0</v>
      </c>
      <c r="DF162" s="9">
        <f>IF(106&lt;=核心参数输入!$B$9*4,MAX(0,DF159+DF160-SUM(DF139:DF141)),0)</f>
        <v>0</v>
      </c>
      <c r="DG162" s="9">
        <f>IF(107&lt;=核心参数输入!$B$9*4,MAX(0,DG159+DG160-SUM(DG139:DG141)),0)</f>
        <v>0</v>
      </c>
      <c r="DH162" s="9">
        <f>IF(108&lt;=核心参数输入!$B$9*4,MAX(0,DH159+DH160-SUM(DH139:DH141)),0)</f>
        <v>0</v>
      </c>
      <c r="DI162" s="9">
        <f>IF(109&lt;=核心参数输入!$B$9*4,MAX(0,DI159+DI160-SUM(DI139:DI141)),0)</f>
        <v>0</v>
      </c>
      <c r="DJ162" s="9">
        <f>IF(110&lt;=核心参数输入!$B$9*4,MAX(0,DJ159+DJ160-SUM(DJ139:DJ141)),0)</f>
        <v>0</v>
      </c>
      <c r="DK162" s="9">
        <f>IF(111&lt;=核心参数输入!$B$9*4,MAX(0,DK159+DK160-SUM(DK139:DK141)),0)</f>
        <v>0</v>
      </c>
      <c r="DL162" s="9">
        <f>IF(112&lt;=核心参数输入!$B$9*4,MAX(0,DL159+DL160-SUM(DL139:DL141)),0)</f>
        <v>0</v>
      </c>
      <c r="DM162" s="9">
        <f>IF(113&lt;=核心参数输入!$B$9*4,MAX(0,DM159+DM160-SUM(DM139:DM141)),0)</f>
        <v>0</v>
      </c>
      <c r="DN162" s="9">
        <f>IF(114&lt;=核心参数输入!$B$9*4,MAX(0,DN159+DN160-SUM(DN139:DN141)),0)</f>
        <v>0</v>
      </c>
      <c r="DO162" s="9">
        <f>IF(115&lt;=核心参数输入!$B$9*4,MAX(0,DO159+DO160-SUM(DO139:DO141)),0)</f>
        <v>0</v>
      </c>
      <c r="DP162" s="9">
        <f>IF(116&lt;=核心参数输入!$B$9*4,MAX(0,DP159+DP160-SUM(DP139:DP141)),0)</f>
        <v>0</v>
      </c>
      <c r="DQ162" s="9">
        <f>IF(117&lt;=核心参数输入!$B$9*4,MAX(0,DQ159+DQ160-SUM(DQ139:DQ141)),0)</f>
        <v>0</v>
      </c>
      <c r="DR162" s="9">
        <f>IF(118&lt;=核心参数输入!$B$9*4,MAX(0,DR159+DR160-SUM(DR139:DR141)),0)</f>
        <v>0</v>
      </c>
      <c r="DS162" s="9">
        <f>IF(119&lt;=核心参数输入!$B$9*4,MAX(0,DS159+DS160-SUM(DS139:DS141)),0)</f>
        <v>0</v>
      </c>
      <c r="DT162" s="9">
        <f>IF(120&lt;=核心参数输入!$B$9*4,MAX(0,DT159+DT160-SUM(DT139:DT141)),0)</f>
        <v>0</v>
      </c>
    </row>
    <row r="163" spans="1:124" ht="21" customHeight="1">
      <c r="A163" s="8" t="s">
        <v>484</v>
      </c>
      <c r="B163" s="8" t="s">
        <v>39</v>
      </c>
      <c r="C163" s="8"/>
      <c r="D163" s="9">
        <f>IF(0&lt;=核心参数输入!$B$9*4,IF(AND(0-核心参数输入!$B$112&gt;=0,0-核心参数输入!$B$112&lt;=120),INDEX(季度经营税费!$D$161:$DT$161,1,MAX(1,MIN(121,0-核心参数输入!$B$112+1))),0)+IF(0=核心参数输入!$B$9*4,SUMPRODUCT(季度经营税费!$D$161:$DT$161,--(季度经营税费!$D$4:$DT$4&gt;核心参数输入!$B$9*4-核心参数输入!$B$112)),0),0)</f>
        <v>0</v>
      </c>
      <c r="E163" s="9">
        <f>IF(1&lt;=核心参数输入!$B$9*4,IF(AND(1-核心参数输入!$B$112&gt;=0,1-核心参数输入!$B$112&lt;=120),INDEX(季度经营税费!$D$161:$DT$161,1,MAX(1,MIN(121,1-核心参数输入!$B$112+1))),0)+IF(1=核心参数输入!$B$9*4,SUMPRODUCT(季度经营税费!$D$161:$DT$161,--(季度经营税费!$D$4:$DT$4&gt;核心参数输入!$B$9*4-核心参数输入!$B$112)),0),0)</f>
        <v>0</v>
      </c>
      <c r="F163" s="9">
        <f>IF(2&lt;=核心参数输入!$B$9*4,IF(AND(2-核心参数输入!$B$112&gt;=0,2-核心参数输入!$B$112&lt;=120),INDEX(季度经营税费!$D$161:$DT$161,1,MAX(1,MIN(121,2-核心参数输入!$B$112+1))),0)+IF(2=核心参数输入!$B$9*4,SUMPRODUCT(季度经营税费!$D$161:$DT$161,--(季度经营税费!$D$4:$DT$4&gt;核心参数输入!$B$9*4-核心参数输入!$B$112)),0),0)</f>
        <v>0</v>
      </c>
      <c r="G163" s="9">
        <f>IF(3&lt;=核心参数输入!$B$9*4,IF(AND(3-核心参数输入!$B$112&gt;=0,3-核心参数输入!$B$112&lt;=120),INDEX(季度经营税费!$D$161:$DT$161,1,MAX(1,MIN(121,3-核心参数输入!$B$112+1))),0)+IF(3=核心参数输入!$B$9*4,SUMPRODUCT(季度经营税费!$D$161:$DT$161,--(季度经营税费!$D$4:$DT$4&gt;核心参数输入!$B$9*4-核心参数输入!$B$112)),0),0)</f>
        <v>0</v>
      </c>
      <c r="H163" s="9">
        <f>IF(4&lt;=核心参数输入!$B$9*4,IF(AND(4-核心参数输入!$B$112&gt;=0,4-核心参数输入!$B$112&lt;=120),INDEX(季度经营税费!$D$161:$DT$161,1,MAX(1,MIN(121,4-核心参数输入!$B$112+1))),0)+IF(4=核心参数输入!$B$9*4,SUMPRODUCT(季度经营税费!$D$161:$DT$161,--(季度经营税费!$D$4:$DT$4&gt;核心参数输入!$B$9*4-核心参数输入!$B$112)),0),0)</f>
        <v>0</v>
      </c>
      <c r="I163" s="9">
        <f>IF(5&lt;=核心参数输入!$B$9*4,IF(AND(5-核心参数输入!$B$112&gt;=0,5-核心参数输入!$B$112&lt;=120),INDEX(季度经营税费!$D$161:$DT$161,1,MAX(1,MIN(121,5-核心参数输入!$B$112+1))),0)+IF(5=核心参数输入!$B$9*4,SUMPRODUCT(季度经营税费!$D$161:$DT$161,--(季度经营税费!$D$4:$DT$4&gt;核心参数输入!$B$9*4-核心参数输入!$B$112)),0),0)</f>
        <v>0</v>
      </c>
      <c r="J163" s="9">
        <f>IF(6&lt;=核心参数输入!$B$9*4,IF(AND(6-核心参数输入!$B$112&gt;=0,6-核心参数输入!$B$112&lt;=120),INDEX(季度经营税费!$D$161:$DT$161,1,MAX(1,MIN(121,6-核心参数输入!$B$112+1))),0)+IF(6=核心参数输入!$B$9*4,SUMPRODUCT(季度经营税费!$D$161:$DT$161,--(季度经营税费!$D$4:$DT$4&gt;核心参数输入!$B$9*4-核心参数输入!$B$112)),0),0)</f>
        <v>0</v>
      </c>
      <c r="K163" s="9">
        <f>IF(7&lt;=核心参数输入!$B$9*4,IF(AND(7-核心参数输入!$B$112&gt;=0,7-核心参数输入!$B$112&lt;=120),INDEX(季度经营税费!$D$161:$DT$161,1,MAX(1,MIN(121,7-核心参数输入!$B$112+1))),0)+IF(7=核心参数输入!$B$9*4,SUMPRODUCT(季度经营税费!$D$161:$DT$161,--(季度经营税费!$D$4:$DT$4&gt;核心参数输入!$B$9*4-核心参数输入!$B$112)),0),0)</f>
        <v>0</v>
      </c>
      <c r="L163" s="9">
        <f>IF(8&lt;=核心参数输入!$B$9*4,IF(AND(8-核心参数输入!$B$112&gt;=0,8-核心参数输入!$B$112&lt;=120),INDEX(季度经营税费!$D$161:$DT$161,1,MAX(1,MIN(121,8-核心参数输入!$B$112+1))),0)+IF(8=核心参数输入!$B$9*4,SUMPRODUCT(季度经营税费!$D$161:$DT$161,--(季度经营税费!$D$4:$DT$4&gt;核心参数输入!$B$9*4-核心参数输入!$B$112)),0),0)</f>
        <v>0</v>
      </c>
      <c r="M163" s="9">
        <f>IF(9&lt;=核心参数输入!$B$9*4,IF(AND(9-核心参数输入!$B$112&gt;=0,9-核心参数输入!$B$112&lt;=120),INDEX(季度经营税费!$D$161:$DT$161,1,MAX(1,MIN(121,9-核心参数输入!$B$112+1))),0)+IF(9=核心参数输入!$B$9*4,SUMPRODUCT(季度经营税费!$D$161:$DT$161,--(季度经营税费!$D$4:$DT$4&gt;核心参数输入!$B$9*4-核心参数输入!$B$112)),0),0)</f>
        <v>0</v>
      </c>
      <c r="N163" s="9">
        <f>IF(10&lt;=核心参数输入!$B$9*4,IF(AND(10-核心参数输入!$B$112&gt;=0,10-核心参数输入!$B$112&lt;=120),INDEX(季度经营税费!$D$161:$DT$161,1,MAX(1,MIN(121,10-核心参数输入!$B$112+1))),0)+IF(10=核心参数输入!$B$9*4,SUMPRODUCT(季度经营税费!$D$161:$DT$161,--(季度经营税费!$D$4:$DT$4&gt;核心参数输入!$B$9*4-核心参数输入!$B$112)),0),0)</f>
        <v>0</v>
      </c>
      <c r="O163" s="9">
        <f>IF(11&lt;=核心参数输入!$B$9*4,IF(AND(11-核心参数输入!$B$112&gt;=0,11-核心参数输入!$B$112&lt;=120),INDEX(季度经营税费!$D$161:$DT$161,1,MAX(1,MIN(121,11-核心参数输入!$B$112+1))),0)+IF(11=核心参数输入!$B$9*4,SUMPRODUCT(季度经营税费!$D$161:$DT$161,--(季度经营税费!$D$4:$DT$4&gt;核心参数输入!$B$9*4-核心参数输入!$B$112)),0),0)</f>
        <v>0</v>
      </c>
      <c r="P163" s="9">
        <f>IF(12&lt;=核心参数输入!$B$9*4,IF(AND(12-核心参数输入!$B$112&gt;=0,12-核心参数输入!$B$112&lt;=120),INDEX(季度经营税费!$D$161:$DT$161,1,MAX(1,MIN(121,12-核心参数输入!$B$112+1))),0)+IF(12=核心参数输入!$B$9*4,SUMPRODUCT(季度经营税费!$D$161:$DT$161,--(季度经营税费!$D$4:$DT$4&gt;核心参数输入!$B$9*4-核心参数输入!$B$112)),0),0)</f>
        <v>0</v>
      </c>
      <c r="Q163" s="9">
        <f>IF(13&lt;=核心参数输入!$B$9*4,IF(AND(13-核心参数输入!$B$112&gt;=0,13-核心参数输入!$B$112&lt;=120),INDEX(季度经营税费!$D$161:$DT$161,1,MAX(1,MIN(121,13-核心参数输入!$B$112+1))),0)+IF(13=核心参数输入!$B$9*4,SUMPRODUCT(季度经营税费!$D$161:$DT$161,--(季度经营税费!$D$4:$DT$4&gt;核心参数输入!$B$9*4-核心参数输入!$B$112)),0),0)</f>
        <v>0</v>
      </c>
      <c r="R163" s="9">
        <f>IF(14&lt;=核心参数输入!$B$9*4,IF(AND(14-核心参数输入!$B$112&gt;=0,14-核心参数输入!$B$112&lt;=120),INDEX(季度经营税费!$D$161:$DT$161,1,MAX(1,MIN(121,14-核心参数输入!$B$112+1))),0)+IF(14=核心参数输入!$B$9*4,SUMPRODUCT(季度经营税费!$D$161:$DT$161,--(季度经营税费!$D$4:$DT$4&gt;核心参数输入!$B$9*4-核心参数输入!$B$112)),0),0)</f>
        <v>0</v>
      </c>
      <c r="S163" s="9">
        <f>IF(15&lt;=核心参数输入!$B$9*4,IF(AND(15-核心参数输入!$B$112&gt;=0,15-核心参数输入!$B$112&lt;=120),INDEX(季度经营税费!$D$161:$DT$161,1,MAX(1,MIN(121,15-核心参数输入!$B$112+1))),0)+IF(15=核心参数输入!$B$9*4,SUMPRODUCT(季度经营税费!$D$161:$DT$161,--(季度经营税费!$D$4:$DT$4&gt;核心参数输入!$B$9*4-核心参数输入!$B$112)),0),0)</f>
        <v>0</v>
      </c>
      <c r="T163" s="9">
        <f>IF(16&lt;=核心参数输入!$B$9*4,IF(AND(16-核心参数输入!$B$112&gt;=0,16-核心参数输入!$B$112&lt;=120),INDEX(季度经营税费!$D$161:$DT$161,1,MAX(1,MIN(121,16-核心参数输入!$B$112+1))),0)+IF(16=核心参数输入!$B$9*4,SUMPRODUCT(季度经营税费!$D$161:$DT$161,--(季度经营税费!$D$4:$DT$4&gt;核心参数输入!$B$9*4-核心参数输入!$B$112)),0),0)</f>
        <v>0</v>
      </c>
      <c r="U163" s="9">
        <f>IF(17&lt;=核心参数输入!$B$9*4,IF(AND(17-核心参数输入!$B$112&gt;=0,17-核心参数输入!$B$112&lt;=120),INDEX(季度经营税费!$D$161:$DT$161,1,MAX(1,MIN(121,17-核心参数输入!$B$112+1))),0)+IF(17=核心参数输入!$B$9*4,SUMPRODUCT(季度经营税费!$D$161:$DT$161,--(季度经营税费!$D$4:$DT$4&gt;核心参数输入!$B$9*4-核心参数输入!$B$112)),0),0)</f>
        <v>0</v>
      </c>
      <c r="V163" s="9">
        <f>IF(18&lt;=核心参数输入!$B$9*4,IF(AND(18-核心参数输入!$B$112&gt;=0,18-核心参数输入!$B$112&lt;=120),INDEX(季度经营税费!$D$161:$DT$161,1,MAX(1,MIN(121,18-核心参数输入!$B$112+1))),0)+IF(18=核心参数输入!$B$9*4,SUMPRODUCT(季度经营税费!$D$161:$DT$161,--(季度经营税费!$D$4:$DT$4&gt;核心参数输入!$B$9*4-核心参数输入!$B$112)),0),0)</f>
        <v>0</v>
      </c>
      <c r="W163" s="9">
        <f>IF(19&lt;=核心参数输入!$B$9*4,IF(AND(19-核心参数输入!$B$112&gt;=0,19-核心参数输入!$B$112&lt;=120),INDEX(季度经营税费!$D$161:$DT$161,1,MAX(1,MIN(121,19-核心参数输入!$B$112+1))),0)+IF(19=核心参数输入!$B$9*4,SUMPRODUCT(季度经营税费!$D$161:$DT$161,--(季度经营税费!$D$4:$DT$4&gt;核心参数输入!$B$9*4-核心参数输入!$B$112)),0),0)</f>
        <v>0</v>
      </c>
      <c r="X163" s="9">
        <f>IF(20&lt;=核心参数输入!$B$9*4,IF(AND(20-核心参数输入!$B$112&gt;=0,20-核心参数输入!$B$112&lt;=120),INDEX(季度经营税费!$D$161:$DT$161,1,MAX(1,MIN(121,20-核心参数输入!$B$112+1))),0)+IF(20=核心参数输入!$B$9*4,SUMPRODUCT(季度经营税费!$D$161:$DT$161,--(季度经营税费!$D$4:$DT$4&gt;核心参数输入!$B$9*4-核心参数输入!$B$112)),0),0)</f>
        <v>0</v>
      </c>
      <c r="Y163" s="9">
        <f>IF(21&lt;=核心参数输入!$B$9*4,IF(AND(21-核心参数输入!$B$112&gt;=0,21-核心参数输入!$B$112&lt;=120),INDEX(季度经营税费!$D$161:$DT$161,1,MAX(1,MIN(121,21-核心参数输入!$B$112+1))),0)+IF(21=核心参数输入!$B$9*4,SUMPRODUCT(季度经营税费!$D$161:$DT$161,--(季度经营税费!$D$4:$DT$4&gt;核心参数输入!$B$9*4-核心参数输入!$B$112)),0),0)</f>
        <v>0</v>
      </c>
      <c r="Z163" s="9">
        <f>IF(22&lt;=核心参数输入!$B$9*4,IF(AND(22-核心参数输入!$B$112&gt;=0,22-核心参数输入!$B$112&lt;=120),INDEX(季度经营税费!$D$161:$DT$161,1,MAX(1,MIN(121,22-核心参数输入!$B$112+1))),0)+IF(22=核心参数输入!$B$9*4,SUMPRODUCT(季度经营税费!$D$161:$DT$161,--(季度经营税费!$D$4:$DT$4&gt;核心参数输入!$B$9*4-核心参数输入!$B$112)),0),0)</f>
        <v>0</v>
      </c>
      <c r="AA163" s="9">
        <f>IF(23&lt;=核心参数输入!$B$9*4,IF(AND(23-核心参数输入!$B$112&gt;=0,23-核心参数输入!$B$112&lt;=120),INDEX(季度经营税费!$D$161:$DT$161,1,MAX(1,MIN(121,23-核心参数输入!$B$112+1))),0)+IF(23=核心参数输入!$B$9*4,SUMPRODUCT(季度经营税费!$D$161:$DT$161,--(季度经营税费!$D$4:$DT$4&gt;核心参数输入!$B$9*4-核心参数输入!$B$112)),0),0)</f>
        <v>0</v>
      </c>
      <c r="AB163" s="9">
        <f>IF(24&lt;=核心参数输入!$B$9*4,IF(AND(24-核心参数输入!$B$112&gt;=0,24-核心参数输入!$B$112&lt;=120),INDEX(季度经营税费!$D$161:$DT$161,1,MAX(1,MIN(121,24-核心参数输入!$B$112+1))),0)+IF(24=核心参数输入!$B$9*4,SUMPRODUCT(季度经营税费!$D$161:$DT$161,--(季度经营税费!$D$4:$DT$4&gt;核心参数输入!$B$9*4-核心参数输入!$B$112)),0),0)</f>
        <v>0</v>
      </c>
      <c r="AC163" s="9">
        <f>IF(25&lt;=核心参数输入!$B$9*4,IF(AND(25-核心参数输入!$B$112&gt;=0,25-核心参数输入!$B$112&lt;=120),INDEX(季度经营税费!$D$161:$DT$161,1,MAX(1,MIN(121,25-核心参数输入!$B$112+1))),0)+IF(25=核心参数输入!$B$9*4,SUMPRODUCT(季度经营税费!$D$161:$DT$161,--(季度经营税费!$D$4:$DT$4&gt;核心参数输入!$B$9*4-核心参数输入!$B$112)),0),0)</f>
        <v>0</v>
      </c>
      <c r="AD163" s="9">
        <f>IF(26&lt;=核心参数输入!$B$9*4,IF(AND(26-核心参数输入!$B$112&gt;=0,26-核心参数输入!$B$112&lt;=120),INDEX(季度经营税费!$D$161:$DT$161,1,MAX(1,MIN(121,26-核心参数输入!$B$112+1))),0)+IF(26=核心参数输入!$B$9*4,SUMPRODUCT(季度经营税费!$D$161:$DT$161,--(季度经营税费!$D$4:$DT$4&gt;核心参数输入!$B$9*4-核心参数输入!$B$112)),0),0)</f>
        <v>0</v>
      </c>
      <c r="AE163" s="9">
        <f>IF(27&lt;=核心参数输入!$B$9*4,IF(AND(27-核心参数输入!$B$112&gt;=0,27-核心参数输入!$B$112&lt;=120),INDEX(季度经营税费!$D$161:$DT$161,1,MAX(1,MIN(121,27-核心参数输入!$B$112+1))),0)+IF(27=核心参数输入!$B$9*4,SUMPRODUCT(季度经营税费!$D$161:$DT$161,--(季度经营税费!$D$4:$DT$4&gt;核心参数输入!$B$9*4-核心参数输入!$B$112)),0),0)</f>
        <v>0</v>
      </c>
      <c r="AF163" s="9">
        <f>IF(28&lt;=核心参数输入!$B$9*4,IF(AND(28-核心参数输入!$B$112&gt;=0,28-核心参数输入!$B$112&lt;=120),INDEX(季度经营税费!$D$161:$DT$161,1,MAX(1,MIN(121,28-核心参数输入!$B$112+1))),0)+IF(28=核心参数输入!$B$9*4,SUMPRODUCT(季度经营税费!$D$161:$DT$161,--(季度经营税费!$D$4:$DT$4&gt;核心参数输入!$B$9*4-核心参数输入!$B$112)),0),0)</f>
        <v>0</v>
      </c>
      <c r="AG163" s="9">
        <f>IF(29&lt;=核心参数输入!$B$9*4,IF(AND(29-核心参数输入!$B$112&gt;=0,29-核心参数输入!$B$112&lt;=120),INDEX(季度经营税费!$D$161:$DT$161,1,MAX(1,MIN(121,29-核心参数输入!$B$112+1))),0)+IF(29=核心参数输入!$B$9*4,SUMPRODUCT(季度经营税费!$D$161:$DT$161,--(季度经营税费!$D$4:$DT$4&gt;核心参数输入!$B$9*4-核心参数输入!$B$112)),0),0)</f>
        <v>0</v>
      </c>
      <c r="AH163" s="9">
        <f>IF(30&lt;=核心参数输入!$B$9*4,IF(AND(30-核心参数输入!$B$112&gt;=0,30-核心参数输入!$B$112&lt;=120),INDEX(季度经营税费!$D$161:$DT$161,1,MAX(1,MIN(121,30-核心参数输入!$B$112+1))),0)+IF(30=核心参数输入!$B$9*4,SUMPRODUCT(季度经营税费!$D$161:$DT$161,--(季度经营税费!$D$4:$DT$4&gt;核心参数输入!$B$9*4-核心参数输入!$B$112)),0),0)</f>
        <v>0</v>
      </c>
      <c r="AI163" s="9">
        <f>IF(31&lt;=核心参数输入!$B$9*4,IF(AND(31-核心参数输入!$B$112&gt;=0,31-核心参数输入!$B$112&lt;=120),INDEX(季度经营税费!$D$161:$DT$161,1,MAX(1,MIN(121,31-核心参数输入!$B$112+1))),0)+IF(31=核心参数输入!$B$9*4,SUMPRODUCT(季度经营税费!$D$161:$DT$161,--(季度经营税费!$D$4:$DT$4&gt;核心参数输入!$B$9*4-核心参数输入!$B$112)),0),0)</f>
        <v>0</v>
      </c>
      <c r="AJ163" s="9">
        <f>IF(32&lt;=核心参数输入!$B$9*4,IF(AND(32-核心参数输入!$B$112&gt;=0,32-核心参数输入!$B$112&lt;=120),INDEX(季度经营税费!$D$161:$DT$161,1,MAX(1,MIN(121,32-核心参数输入!$B$112+1))),0)+IF(32=核心参数输入!$B$9*4,SUMPRODUCT(季度经营税费!$D$161:$DT$161,--(季度经营税费!$D$4:$DT$4&gt;核心参数输入!$B$9*4-核心参数输入!$B$112)),0),0)</f>
        <v>0</v>
      </c>
      <c r="AK163" s="9">
        <f>IF(33&lt;=核心参数输入!$B$9*4,IF(AND(33-核心参数输入!$B$112&gt;=0,33-核心参数输入!$B$112&lt;=120),INDEX(季度经营税费!$D$161:$DT$161,1,MAX(1,MIN(121,33-核心参数输入!$B$112+1))),0)+IF(33=核心参数输入!$B$9*4,SUMPRODUCT(季度经营税费!$D$161:$DT$161,--(季度经营税费!$D$4:$DT$4&gt;核心参数输入!$B$9*4-核心参数输入!$B$112)),0),0)</f>
        <v>0</v>
      </c>
      <c r="AL163" s="9">
        <f>IF(34&lt;=核心参数输入!$B$9*4,IF(AND(34-核心参数输入!$B$112&gt;=0,34-核心参数输入!$B$112&lt;=120),INDEX(季度经营税费!$D$161:$DT$161,1,MAX(1,MIN(121,34-核心参数输入!$B$112+1))),0)+IF(34=核心参数输入!$B$9*4,SUMPRODUCT(季度经营税费!$D$161:$DT$161,--(季度经营税费!$D$4:$DT$4&gt;核心参数输入!$B$9*4-核心参数输入!$B$112)),0),0)</f>
        <v>0</v>
      </c>
      <c r="AM163" s="9">
        <f>IF(35&lt;=核心参数输入!$B$9*4,IF(AND(35-核心参数输入!$B$112&gt;=0,35-核心参数输入!$B$112&lt;=120),INDEX(季度经营税费!$D$161:$DT$161,1,MAX(1,MIN(121,35-核心参数输入!$B$112+1))),0)+IF(35=核心参数输入!$B$9*4,SUMPRODUCT(季度经营税费!$D$161:$DT$161,--(季度经营税费!$D$4:$DT$4&gt;核心参数输入!$B$9*4-核心参数输入!$B$112)),0),0)</f>
        <v>0</v>
      </c>
      <c r="AN163" s="9">
        <f>IF(36&lt;=核心参数输入!$B$9*4,IF(AND(36-核心参数输入!$B$112&gt;=0,36-核心参数输入!$B$112&lt;=120),INDEX(季度经营税费!$D$161:$DT$161,1,MAX(1,MIN(121,36-核心参数输入!$B$112+1))),0)+IF(36=核心参数输入!$B$9*4,SUMPRODUCT(季度经营税费!$D$161:$DT$161,--(季度经营税费!$D$4:$DT$4&gt;核心参数输入!$B$9*4-核心参数输入!$B$112)),0),0)</f>
        <v>0</v>
      </c>
      <c r="AO163" s="9">
        <f>IF(37&lt;=核心参数输入!$B$9*4,IF(AND(37-核心参数输入!$B$112&gt;=0,37-核心参数输入!$B$112&lt;=120),INDEX(季度经营税费!$D$161:$DT$161,1,MAX(1,MIN(121,37-核心参数输入!$B$112+1))),0)+IF(37=核心参数输入!$B$9*4,SUMPRODUCT(季度经营税费!$D$161:$DT$161,--(季度经营税费!$D$4:$DT$4&gt;核心参数输入!$B$9*4-核心参数输入!$B$112)),0),0)</f>
        <v>0</v>
      </c>
      <c r="AP163" s="9">
        <f>IF(38&lt;=核心参数输入!$B$9*4,IF(AND(38-核心参数输入!$B$112&gt;=0,38-核心参数输入!$B$112&lt;=120),INDEX(季度经营税费!$D$161:$DT$161,1,MAX(1,MIN(121,38-核心参数输入!$B$112+1))),0)+IF(38=核心参数输入!$B$9*4,SUMPRODUCT(季度经营税费!$D$161:$DT$161,--(季度经营税费!$D$4:$DT$4&gt;核心参数输入!$B$9*4-核心参数输入!$B$112)),0),0)</f>
        <v>0</v>
      </c>
      <c r="AQ163" s="9">
        <f>IF(39&lt;=核心参数输入!$B$9*4,IF(AND(39-核心参数输入!$B$112&gt;=0,39-核心参数输入!$B$112&lt;=120),INDEX(季度经营税费!$D$161:$DT$161,1,MAX(1,MIN(121,39-核心参数输入!$B$112+1))),0)+IF(39=核心参数输入!$B$9*4,SUMPRODUCT(季度经营税费!$D$161:$DT$161,--(季度经营税费!$D$4:$DT$4&gt;核心参数输入!$B$9*4-核心参数输入!$B$112)),0),0)</f>
        <v>0</v>
      </c>
      <c r="AR163" s="9">
        <f>IF(40&lt;=核心参数输入!$B$9*4,IF(AND(40-核心参数输入!$B$112&gt;=0,40-核心参数输入!$B$112&lt;=120),INDEX(季度经营税费!$D$161:$DT$161,1,MAX(1,MIN(121,40-核心参数输入!$B$112+1))),0)+IF(40=核心参数输入!$B$9*4,SUMPRODUCT(季度经营税费!$D$161:$DT$161,--(季度经营税费!$D$4:$DT$4&gt;核心参数输入!$B$9*4-核心参数输入!$B$112)),0),0)</f>
        <v>0</v>
      </c>
      <c r="AS163" s="9">
        <f>IF(41&lt;=核心参数输入!$B$9*4,IF(AND(41-核心参数输入!$B$112&gt;=0,41-核心参数输入!$B$112&lt;=120),INDEX(季度经营税费!$D$161:$DT$161,1,MAX(1,MIN(121,41-核心参数输入!$B$112+1))),0)+IF(41=核心参数输入!$B$9*4,SUMPRODUCT(季度经营税费!$D$161:$DT$161,--(季度经营税费!$D$4:$DT$4&gt;核心参数输入!$B$9*4-核心参数输入!$B$112)),0),0)</f>
        <v>0</v>
      </c>
      <c r="AT163" s="9">
        <f>IF(42&lt;=核心参数输入!$B$9*4,IF(AND(42-核心参数输入!$B$112&gt;=0,42-核心参数输入!$B$112&lt;=120),INDEX(季度经营税费!$D$161:$DT$161,1,MAX(1,MIN(121,42-核心参数输入!$B$112+1))),0)+IF(42=核心参数输入!$B$9*4,SUMPRODUCT(季度经营税费!$D$161:$DT$161,--(季度经营税费!$D$4:$DT$4&gt;核心参数输入!$B$9*4-核心参数输入!$B$112)),0),0)</f>
        <v>0</v>
      </c>
      <c r="AU163" s="9">
        <f>IF(43&lt;=核心参数输入!$B$9*4,IF(AND(43-核心参数输入!$B$112&gt;=0,43-核心参数输入!$B$112&lt;=120),INDEX(季度经营税费!$D$161:$DT$161,1,MAX(1,MIN(121,43-核心参数输入!$B$112+1))),0)+IF(43=核心参数输入!$B$9*4,SUMPRODUCT(季度经营税费!$D$161:$DT$161,--(季度经营税费!$D$4:$DT$4&gt;核心参数输入!$B$9*4-核心参数输入!$B$112)),0),0)</f>
        <v>0</v>
      </c>
      <c r="AV163" s="9">
        <f>IF(44&lt;=核心参数输入!$B$9*4,IF(AND(44-核心参数输入!$B$112&gt;=0,44-核心参数输入!$B$112&lt;=120),INDEX(季度经营税费!$D$161:$DT$161,1,MAX(1,MIN(121,44-核心参数输入!$B$112+1))),0)+IF(44=核心参数输入!$B$9*4,SUMPRODUCT(季度经营税费!$D$161:$DT$161,--(季度经营税费!$D$4:$DT$4&gt;核心参数输入!$B$9*4-核心参数输入!$B$112)),0),0)</f>
        <v>0</v>
      </c>
      <c r="AW163" s="9">
        <f>IF(45&lt;=核心参数输入!$B$9*4,IF(AND(45-核心参数输入!$B$112&gt;=0,45-核心参数输入!$B$112&lt;=120),INDEX(季度经营税费!$D$161:$DT$161,1,MAX(1,MIN(121,45-核心参数输入!$B$112+1))),0)+IF(45=核心参数输入!$B$9*4,SUMPRODUCT(季度经营税费!$D$161:$DT$161,--(季度经营税费!$D$4:$DT$4&gt;核心参数输入!$B$9*4-核心参数输入!$B$112)),0),0)</f>
        <v>0</v>
      </c>
      <c r="AX163" s="9">
        <f>IF(46&lt;=核心参数输入!$B$9*4,IF(AND(46-核心参数输入!$B$112&gt;=0,46-核心参数输入!$B$112&lt;=120),INDEX(季度经营税费!$D$161:$DT$161,1,MAX(1,MIN(121,46-核心参数输入!$B$112+1))),0)+IF(46=核心参数输入!$B$9*4,SUMPRODUCT(季度经营税费!$D$161:$DT$161,--(季度经营税费!$D$4:$DT$4&gt;核心参数输入!$B$9*4-核心参数输入!$B$112)),0),0)</f>
        <v>0</v>
      </c>
      <c r="AY163" s="9">
        <f>IF(47&lt;=核心参数输入!$B$9*4,IF(AND(47-核心参数输入!$B$112&gt;=0,47-核心参数输入!$B$112&lt;=120),INDEX(季度经营税费!$D$161:$DT$161,1,MAX(1,MIN(121,47-核心参数输入!$B$112+1))),0)+IF(47=核心参数输入!$B$9*4,SUMPRODUCT(季度经营税费!$D$161:$DT$161,--(季度经营税费!$D$4:$DT$4&gt;核心参数输入!$B$9*4-核心参数输入!$B$112)),0),0)</f>
        <v>0</v>
      </c>
      <c r="AZ163" s="9">
        <f>IF(48&lt;=核心参数输入!$B$9*4,IF(AND(48-核心参数输入!$B$112&gt;=0,48-核心参数输入!$B$112&lt;=120),INDEX(季度经营税费!$D$161:$DT$161,1,MAX(1,MIN(121,48-核心参数输入!$B$112+1))),0)+IF(48=核心参数输入!$B$9*4,SUMPRODUCT(季度经营税费!$D$161:$DT$161,--(季度经营税费!$D$4:$DT$4&gt;核心参数输入!$B$9*4-核心参数输入!$B$112)),0),0)</f>
        <v>0</v>
      </c>
      <c r="BA163" s="9">
        <f>IF(49&lt;=核心参数输入!$B$9*4,IF(AND(49-核心参数输入!$B$112&gt;=0,49-核心参数输入!$B$112&lt;=120),INDEX(季度经营税费!$D$161:$DT$161,1,MAX(1,MIN(121,49-核心参数输入!$B$112+1))),0)+IF(49=核心参数输入!$B$9*4,SUMPRODUCT(季度经营税费!$D$161:$DT$161,--(季度经营税费!$D$4:$DT$4&gt;核心参数输入!$B$9*4-核心参数输入!$B$112)),0),0)</f>
        <v>0</v>
      </c>
      <c r="BB163" s="9">
        <f>IF(50&lt;=核心参数输入!$B$9*4,IF(AND(50-核心参数输入!$B$112&gt;=0,50-核心参数输入!$B$112&lt;=120),INDEX(季度经营税费!$D$161:$DT$161,1,MAX(1,MIN(121,50-核心参数输入!$B$112+1))),0)+IF(50=核心参数输入!$B$9*4,SUMPRODUCT(季度经营税费!$D$161:$DT$161,--(季度经营税费!$D$4:$DT$4&gt;核心参数输入!$B$9*4-核心参数输入!$B$112)),0),0)</f>
        <v>0</v>
      </c>
      <c r="BC163" s="9">
        <f>IF(51&lt;=核心参数输入!$B$9*4,IF(AND(51-核心参数输入!$B$112&gt;=0,51-核心参数输入!$B$112&lt;=120),INDEX(季度经营税费!$D$161:$DT$161,1,MAX(1,MIN(121,51-核心参数输入!$B$112+1))),0)+IF(51=核心参数输入!$B$9*4,SUMPRODUCT(季度经营税费!$D$161:$DT$161,--(季度经营税费!$D$4:$DT$4&gt;核心参数输入!$B$9*4-核心参数输入!$B$112)),0),0)</f>
        <v>0</v>
      </c>
      <c r="BD163" s="9">
        <f>IF(52&lt;=核心参数输入!$B$9*4,IF(AND(52-核心参数输入!$B$112&gt;=0,52-核心参数输入!$B$112&lt;=120),INDEX(季度经营税费!$D$161:$DT$161,1,MAX(1,MIN(121,52-核心参数输入!$B$112+1))),0)+IF(52=核心参数输入!$B$9*4,SUMPRODUCT(季度经营税费!$D$161:$DT$161,--(季度经营税费!$D$4:$DT$4&gt;核心参数输入!$B$9*4-核心参数输入!$B$112)),0),0)</f>
        <v>0</v>
      </c>
      <c r="BE163" s="9">
        <f>IF(53&lt;=核心参数输入!$B$9*4,IF(AND(53-核心参数输入!$B$112&gt;=0,53-核心参数输入!$B$112&lt;=120),INDEX(季度经营税费!$D$161:$DT$161,1,MAX(1,MIN(121,53-核心参数输入!$B$112+1))),0)+IF(53=核心参数输入!$B$9*4,SUMPRODUCT(季度经营税费!$D$161:$DT$161,--(季度经营税费!$D$4:$DT$4&gt;核心参数输入!$B$9*4-核心参数输入!$B$112)),0),0)</f>
        <v>0</v>
      </c>
      <c r="BF163" s="9">
        <f>IF(54&lt;=核心参数输入!$B$9*4,IF(AND(54-核心参数输入!$B$112&gt;=0,54-核心参数输入!$B$112&lt;=120),INDEX(季度经营税费!$D$161:$DT$161,1,MAX(1,MIN(121,54-核心参数输入!$B$112+1))),0)+IF(54=核心参数输入!$B$9*4,SUMPRODUCT(季度经营税费!$D$161:$DT$161,--(季度经营税费!$D$4:$DT$4&gt;核心参数输入!$B$9*4-核心参数输入!$B$112)),0),0)</f>
        <v>0</v>
      </c>
      <c r="BG163" s="9">
        <f>IF(55&lt;=核心参数输入!$B$9*4,IF(AND(55-核心参数输入!$B$112&gt;=0,55-核心参数输入!$B$112&lt;=120),INDEX(季度经营税费!$D$161:$DT$161,1,MAX(1,MIN(121,55-核心参数输入!$B$112+1))),0)+IF(55=核心参数输入!$B$9*4,SUMPRODUCT(季度经营税费!$D$161:$DT$161,--(季度经营税费!$D$4:$DT$4&gt;核心参数输入!$B$9*4-核心参数输入!$B$112)),0),0)</f>
        <v>0</v>
      </c>
      <c r="BH163" s="9">
        <f>IF(56&lt;=核心参数输入!$B$9*4,IF(AND(56-核心参数输入!$B$112&gt;=0,56-核心参数输入!$B$112&lt;=120),INDEX(季度经营税费!$D$161:$DT$161,1,MAX(1,MIN(121,56-核心参数输入!$B$112+1))),0)+IF(56=核心参数输入!$B$9*4,SUMPRODUCT(季度经营税费!$D$161:$DT$161,--(季度经营税费!$D$4:$DT$4&gt;核心参数输入!$B$9*4-核心参数输入!$B$112)),0),0)</f>
        <v>0</v>
      </c>
      <c r="BI163" s="9">
        <f>IF(57&lt;=核心参数输入!$B$9*4,IF(AND(57-核心参数输入!$B$112&gt;=0,57-核心参数输入!$B$112&lt;=120),INDEX(季度经营税费!$D$161:$DT$161,1,MAX(1,MIN(121,57-核心参数输入!$B$112+1))),0)+IF(57=核心参数输入!$B$9*4,SUMPRODUCT(季度经营税费!$D$161:$DT$161,--(季度经营税费!$D$4:$DT$4&gt;核心参数输入!$B$9*4-核心参数输入!$B$112)),0),0)</f>
        <v>0</v>
      </c>
      <c r="BJ163" s="9">
        <f>IF(58&lt;=核心参数输入!$B$9*4,IF(AND(58-核心参数输入!$B$112&gt;=0,58-核心参数输入!$B$112&lt;=120),INDEX(季度经营税费!$D$161:$DT$161,1,MAX(1,MIN(121,58-核心参数输入!$B$112+1))),0)+IF(58=核心参数输入!$B$9*4,SUMPRODUCT(季度经营税费!$D$161:$DT$161,--(季度经营税费!$D$4:$DT$4&gt;核心参数输入!$B$9*4-核心参数输入!$B$112)),0),0)</f>
        <v>0</v>
      </c>
      <c r="BK163" s="9">
        <f>IF(59&lt;=核心参数输入!$B$9*4,IF(AND(59-核心参数输入!$B$112&gt;=0,59-核心参数输入!$B$112&lt;=120),INDEX(季度经营税费!$D$161:$DT$161,1,MAX(1,MIN(121,59-核心参数输入!$B$112+1))),0)+IF(59=核心参数输入!$B$9*4,SUMPRODUCT(季度经营税费!$D$161:$DT$161,--(季度经营税费!$D$4:$DT$4&gt;核心参数输入!$B$9*4-核心参数输入!$B$112)),0),0)</f>
        <v>0</v>
      </c>
      <c r="BL163" s="9">
        <f>IF(60&lt;=核心参数输入!$B$9*4,IF(AND(60-核心参数输入!$B$112&gt;=0,60-核心参数输入!$B$112&lt;=120),INDEX(季度经营税费!$D$161:$DT$161,1,MAX(1,MIN(121,60-核心参数输入!$B$112+1))),0)+IF(60=核心参数输入!$B$9*4,SUMPRODUCT(季度经营税费!$D$161:$DT$161,--(季度经营税费!$D$4:$DT$4&gt;核心参数输入!$B$9*4-核心参数输入!$B$112)),0),0)</f>
        <v>0</v>
      </c>
      <c r="BM163" s="9">
        <f>IF(61&lt;=核心参数输入!$B$9*4,IF(AND(61-核心参数输入!$B$112&gt;=0,61-核心参数输入!$B$112&lt;=120),INDEX(季度经营税费!$D$161:$DT$161,1,MAX(1,MIN(121,61-核心参数输入!$B$112+1))),0)+IF(61=核心参数输入!$B$9*4,SUMPRODUCT(季度经营税费!$D$161:$DT$161,--(季度经营税费!$D$4:$DT$4&gt;核心参数输入!$B$9*4-核心参数输入!$B$112)),0),0)</f>
        <v>0</v>
      </c>
      <c r="BN163" s="9">
        <f>IF(62&lt;=核心参数输入!$B$9*4,IF(AND(62-核心参数输入!$B$112&gt;=0,62-核心参数输入!$B$112&lt;=120),INDEX(季度经营税费!$D$161:$DT$161,1,MAX(1,MIN(121,62-核心参数输入!$B$112+1))),0)+IF(62=核心参数输入!$B$9*4,SUMPRODUCT(季度经营税费!$D$161:$DT$161,--(季度经营税费!$D$4:$DT$4&gt;核心参数输入!$B$9*4-核心参数输入!$B$112)),0),0)</f>
        <v>0</v>
      </c>
      <c r="BO163" s="9">
        <f>IF(63&lt;=核心参数输入!$B$9*4,IF(AND(63-核心参数输入!$B$112&gt;=0,63-核心参数输入!$B$112&lt;=120),INDEX(季度经营税费!$D$161:$DT$161,1,MAX(1,MIN(121,63-核心参数输入!$B$112+1))),0)+IF(63=核心参数输入!$B$9*4,SUMPRODUCT(季度经营税费!$D$161:$DT$161,--(季度经营税费!$D$4:$DT$4&gt;核心参数输入!$B$9*4-核心参数输入!$B$112)),0),0)</f>
        <v>0</v>
      </c>
      <c r="BP163" s="9">
        <f>IF(64&lt;=核心参数输入!$B$9*4,IF(AND(64-核心参数输入!$B$112&gt;=0,64-核心参数输入!$B$112&lt;=120),INDEX(季度经营税费!$D$161:$DT$161,1,MAX(1,MIN(121,64-核心参数输入!$B$112+1))),0)+IF(64=核心参数输入!$B$9*4,SUMPRODUCT(季度经营税费!$D$161:$DT$161,--(季度经营税费!$D$4:$DT$4&gt;核心参数输入!$B$9*4-核心参数输入!$B$112)),0),0)</f>
        <v>0</v>
      </c>
      <c r="BQ163" s="9">
        <f>IF(65&lt;=核心参数输入!$B$9*4,IF(AND(65-核心参数输入!$B$112&gt;=0,65-核心参数输入!$B$112&lt;=120),INDEX(季度经营税费!$D$161:$DT$161,1,MAX(1,MIN(121,65-核心参数输入!$B$112+1))),0)+IF(65=核心参数输入!$B$9*4,SUMPRODUCT(季度经营税费!$D$161:$DT$161,--(季度经营税费!$D$4:$DT$4&gt;核心参数输入!$B$9*4-核心参数输入!$B$112)),0),0)</f>
        <v>0</v>
      </c>
      <c r="BR163" s="9">
        <f>IF(66&lt;=核心参数输入!$B$9*4,IF(AND(66-核心参数输入!$B$112&gt;=0,66-核心参数输入!$B$112&lt;=120),INDEX(季度经营税费!$D$161:$DT$161,1,MAX(1,MIN(121,66-核心参数输入!$B$112+1))),0)+IF(66=核心参数输入!$B$9*4,SUMPRODUCT(季度经营税费!$D$161:$DT$161,--(季度经营税费!$D$4:$DT$4&gt;核心参数输入!$B$9*4-核心参数输入!$B$112)),0),0)</f>
        <v>0</v>
      </c>
      <c r="BS163" s="9">
        <f>IF(67&lt;=核心参数输入!$B$9*4,IF(AND(67-核心参数输入!$B$112&gt;=0,67-核心参数输入!$B$112&lt;=120),INDEX(季度经营税费!$D$161:$DT$161,1,MAX(1,MIN(121,67-核心参数输入!$B$112+1))),0)+IF(67=核心参数输入!$B$9*4,SUMPRODUCT(季度经营税费!$D$161:$DT$161,--(季度经营税费!$D$4:$DT$4&gt;核心参数输入!$B$9*4-核心参数输入!$B$112)),0),0)</f>
        <v>0</v>
      </c>
      <c r="BT163" s="9">
        <f>IF(68&lt;=核心参数输入!$B$9*4,IF(AND(68-核心参数输入!$B$112&gt;=0,68-核心参数输入!$B$112&lt;=120),INDEX(季度经营税费!$D$161:$DT$161,1,MAX(1,MIN(121,68-核心参数输入!$B$112+1))),0)+IF(68=核心参数输入!$B$9*4,SUMPRODUCT(季度经营税费!$D$161:$DT$161,--(季度经营税费!$D$4:$DT$4&gt;核心参数输入!$B$9*4-核心参数输入!$B$112)),0),0)</f>
        <v>0</v>
      </c>
      <c r="BU163" s="9">
        <f>IF(69&lt;=核心参数输入!$B$9*4,IF(AND(69-核心参数输入!$B$112&gt;=0,69-核心参数输入!$B$112&lt;=120),INDEX(季度经营税费!$D$161:$DT$161,1,MAX(1,MIN(121,69-核心参数输入!$B$112+1))),0)+IF(69=核心参数输入!$B$9*4,SUMPRODUCT(季度经营税费!$D$161:$DT$161,--(季度经营税费!$D$4:$DT$4&gt;核心参数输入!$B$9*4-核心参数输入!$B$112)),0),0)</f>
        <v>0</v>
      </c>
      <c r="BV163" s="9">
        <f>IF(70&lt;=核心参数输入!$B$9*4,IF(AND(70-核心参数输入!$B$112&gt;=0,70-核心参数输入!$B$112&lt;=120),INDEX(季度经营税费!$D$161:$DT$161,1,MAX(1,MIN(121,70-核心参数输入!$B$112+1))),0)+IF(70=核心参数输入!$B$9*4,SUMPRODUCT(季度经营税费!$D$161:$DT$161,--(季度经营税费!$D$4:$DT$4&gt;核心参数输入!$B$9*4-核心参数输入!$B$112)),0),0)</f>
        <v>0</v>
      </c>
      <c r="BW163" s="9">
        <f>IF(71&lt;=核心参数输入!$B$9*4,IF(AND(71-核心参数输入!$B$112&gt;=0,71-核心参数输入!$B$112&lt;=120),INDEX(季度经营税费!$D$161:$DT$161,1,MAX(1,MIN(121,71-核心参数输入!$B$112+1))),0)+IF(71=核心参数输入!$B$9*4,SUMPRODUCT(季度经营税费!$D$161:$DT$161,--(季度经营税费!$D$4:$DT$4&gt;核心参数输入!$B$9*4-核心参数输入!$B$112)),0),0)</f>
        <v>0</v>
      </c>
      <c r="BX163" s="9">
        <f>IF(72&lt;=核心参数输入!$B$9*4,IF(AND(72-核心参数输入!$B$112&gt;=0,72-核心参数输入!$B$112&lt;=120),INDEX(季度经营税费!$D$161:$DT$161,1,MAX(1,MIN(121,72-核心参数输入!$B$112+1))),0)+IF(72=核心参数输入!$B$9*4,SUMPRODUCT(季度经营税费!$D$161:$DT$161,--(季度经营税费!$D$4:$DT$4&gt;核心参数输入!$B$9*4-核心参数输入!$B$112)),0),0)</f>
        <v>0</v>
      </c>
      <c r="BY163" s="9">
        <f>IF(73&lt;=核心参数输入!$B$9*4,IF(AND(73-核心参数输入!$B$112&gt;=0,73-核心参数输入!$B$112&lt;=120),INDEX(季度经营税费!$D$161:$DT$161,1,MAX(1,MIN(121,73-核心参数输入!$B$112+1))),0)+IF(73=核心参数输入!$B$9*4,SUMPRODUCT(季度经营税费!$D$161:$DT$161,--(季度经营税费!$D$4:$DT$4&gt;核心参数输入!$B$9*4-核心参数输入!$B$112)),0),0)</f>
        <v>0</v>
      </c>
      <c r="BZ163" s="9">
        <f>IF(74&lt;=核心参数输入!$B$9*4,IF(AND(74-核心参数输入!$B$112&gt;=0,74-核心参数输入!$B$112&lt;=120),INDEX(季度经营税费!$D$161:$DT$161,1,MAX(1,MIN(121,74-核心参数输入!$B$112+1))),0)+IF(74=核心参数输入!$B$9*4,SUMPRODUCT(季度经营税费!$D$161:$DT$161,--(季度经营税费!$D$4:$DT$4&gt;核心参数输入!$B$9*4-核心参数输入!$B$112)),0),0)</f>
        <v>0</v>
      </c>
      <c r="CA163" s="9">
        <f>IF(75&lt;=核心参数输入!$B$9*4,IF(AND(75-核心参数输入!$B$112&gt;=0,75-核心参数输入!$B$112&lt;=120),INDEX(季度经营税费!$D$161:$DT$161,1,MAX(1,MIN(121,75-核心参数输入!$B$112+1))),0)+IF(75=核心参数输入!$B$9*4,SUMPRODUCT(季度经营税费!$D$161:$DT$161,--(季度经营税费!$D$4:$DT$4&gt;核心参数输入!$B$9*4-核心参数输入!$B$112)),0),0)</f>
        <v>0</v>
      </c>
      <c r="CB163" s="9">
        <f>IF(76&lt;=核心参数输入!$B$9*4,IF(AND(76-核心参数输入!$B$112&gt;=0,76-核心参数输入!$B$112&lt;=120),INDEX(季度经营税费!$D$161:$DT$161,1,MAX(1,MIN(121,76-核心参数输入!$B$112+1))),0)+IF(76=核心参数输入!$B$9*4,SUMPRODUCT(季度经营税费!$D$161:$DT$161,--(季度经营税费!$D$4:$DT$4&gt;核心参数输入!$B$9*4-核心参数输入!$B$112)),0),0)</f>
        <v>0</v>
      </c>
      <c r="CC163" s="9">
        <f>IF(77&lt;=核心参数输入!$B$9*4,IF(AND(77-核心参数输入!$B$112&gt;=0,77-核心参数输入!$B$112&lt;=120),INDEX(季度经营税费!$D$161:$DT$161,1,MAX(1,MIN(121,77-核心参数输入!$B$112+1))),0)+IF(77=核心参数输入!$B$9*4,SUMPRODUCT(季度经营税费!$D$161:$DT$161,--(季度经营税费!$D$4:$DT$4&gt;核心参数输入!$B$9*4-核心参数输入!$B$112)),0),0)</f>
        <v>0</v>
      </c>
      <c r="CD163" s="9">
        <f>IF(78&lt;=核心参数输入!$B$9*4,IF(AND(78-核心参数输入!$B$112&gt;=0,78-核心参数输入!$B$112&lt;=120),INDEX(季度经营税费!$D$161:$DT$161,1,MAX(1,MIN(121,78-核心参数输入!$B$112+1))),0)+IF(78=核心参数输入!$B$9*4,SUMPRODUCT(季度经营税费!$D$161:$DT$161,--(季度经营税费!$D$4:$DT$4&gt;核心参数输入!$B$9*4-核心参数输入!$B$112)),0),0)</f>
        <v>0</v>
      </c>
      <c r="CE163" s="9">
        <f>IF(79&lt;=核心参数输入!$B$9*4,IF(AND(79-核心参数输入!$B$112&gt;=0,79-核心参数输入!$B$112&lt;=120),INDEX(季度经营税费!$D$161:$DT$161,1,MAX(1,MIN(121,79-核心参数输入!$B$112+1))),0)+IF(79=核心参数输入!$B$9*4,SUMPRODUCT(季度经营税费!$D$161:$DT$161,--(季度经营税费!$D$4:$DT$4&gt;核心参数输入!$B$9*4-核心参数输入!$B$112)),0),0)</f>
        <v>0</v>
      </c>
      <c r="CF163" s="9">
        <f>IF(80&lt;=核心参数输入!$B$9*4,IF(AND(80-核心参数输入!$B$112&gt;=0,80-核心参数输入!$B$112&lt;=120),INDEX(季度经营税费!$D$161:$DT$161,1,MAX(1,MIN(121,80-核心参数输入!$B$112+1))),0)+IF(80=核心参数输入!$B$9*4,SUMPRODUCT(季度经营税费!$D$161:$DT$161,--(季度经营税费!$D$4:$DT$4&gt;核心参数输入!$B$9*4-核心参数输入!$B$112)),0),0)</f>
        <v>0</v>
      </c>
      <c r="CG163" s="9">
        <f>IF(81&lt;=核心参数输入!$B$9*4,IF(AND(81-核心参数输入!$B$112&gt;=0,81-核心参数输入!$B$112&lt;=120),INDEX(季度经营税费!$D$161:$DT$161,1,MAX(1,MIN(121,81-核心参数输入!$B$112+1))),0)+IF(81=核心参数输入!$B$9*4,SUMPRODUCT(季度经营税费!$D$161:$DT$161,--(季度经营税费!$D$4:$DT$4&gt;核心参数输入!$B$9*4-核心参数输入!$B$112)),0),0)</f>
        <v>0</v>
      </c>
      <c r="CH163" s="9">
        <f>IF(82&lt;=核心参数输入!$B$9*4,IF(AND(82-核心参数输入!$B$112&gt;=0,82-核心参数输入!$B$112&lt;=120),INDEX(季度经营税费!$D$161:$DT$161,1,MAX(1,MIN(121,82-核心参数输入!$B$112+1))),0)+IF(82=核心参数输入!$B$9*4,SUMPRODUCT(季度经营税费!$D$161:$DT$161,--(季度经营税费!$D$4:$DT$4&gt;核心参数输入!$B$9*4-核心参数输入!$B$112)),0),0)</f>
        <v>0</v>
      </c>
      <c r="CI163" s="9">
        <f>IF(83&lt;=核心参数输入!$B$9*4,IF(AND(83-核心参数输入!$B$112&gt;=0,83-核心参数输入!$B$112&lt;=120),INDEX(季度经营税费!$D$161:$DT$161,1,MAX(1,MIN(121,83-核心参数输入!$B$112+1))),0)+IF(83=核心参数输入!$B$9*4,SUMPRODUCT(季度经营税费!$D$161:$DT$161,--(季度经营税费!$D$4:$DT$4&gt;核心参数输入!$B$9*4-核心参数输入!$B$112)),0),0)</f>
        <v>0</v>
      </c>
      <c r="CJ163" s="9">
        <f>IF(84&lt;=核心参数输入!$B$9*4,IF(AND(84-核心参数输入!$B$112&gt;=0,84-核心参数输入!$B$112&lt;=120),INDEX(季度经营税费!$D$161:$DT$161,1,MAX(1,MIN(121,84-核心参数输入!$B$112+1))),0)+IF(84=核心参数输入!$B$9*4,SUMPRODUCT(季度经营税费!$D$161:$DT$161,--(季度经营税费!$D$4:$DT$4&gt;核心参数输入!$B$9*4-核心参数输入!$B$112)),0),0)</f>
        <v>0</v>
      </c>
      <c r="CK163" s="9">
        <f>IF(85&lt;=核心参数输入!$B$9*4,IF(AND(85-核心参数输入!$B$112&gt;=0,85-核心参数输入!$B$112&lt;=120),INDEX(季度经营税费!$D$161:$DT$161,1,MAX(1,MIN(121,85-核心参数输入!$B$112+1))),0)+IF(85=核心参数输入!$B$9*4,SUMPRODUCT(季度经营税费!$D$161:$DT$161,--(季度经营税费!$D$4:$DT$4&gt;核心参数输入!$B$9*4-核心参数输入!$B$112)),0),0)</f>
        <v>0</v>
      </c>
      <c r="CL163" s="9">
        <f>IF(86&lt;=核心参数输入!$B$9*4,IF(AND(86-核心参数输入!$B$112&gt;=0,86-核心参数输入!$B$112&lt;=120),INDEX(季度经营税费!$D$161:$DT$161,1,MAX(1,MIN(121,86-核心参数输入!$B$112+1))),0)+IF(86=核心参数输入!$B$9*4,SUMPRODUCT(季度经营税费!$D$161:$DT$161,--(季度经营税费!$D$4:$DT$4&gt;核心参数输入!$B$9*4-核心参数输入!$B$112)),0),0)</f>
        <v>0</v>
      </c>
      <c r="CM163" s="9">
        <f>IF(87&lt;=核心参数输入!$B$9*4,IF(AND(87-核心参数输入!$B$112&gt;=0,87-核心参数输入!$B$112&lt;=120),INDEX(季度经营税费!$D$161:$DT$161,1,MAX(1,MIN(121,87-核心参数输入!$B$112+1))),0)+IF(87=核心参数输入!$B$9*4,SUMPRODUCT(季度经营税费!$D$161:$DT$161,--(季度经营税费!$D$4:$DT$4&gt;核心参数输入!$B$9*4-核心参数输入!$B$112)),0),0)</f>
        <v>0</v>
      </c>
      <c r="CN163" s="9">
        <f>IF(88&lt;=核心参数输入!$B$9*4,IF(AND(88-核心参数输入!$B$112&gt;=0,88-核心参数输入!$B$112&lt;=120),INDEX(季度经营税费!$D$161:$DT$161,1,MAX(1,MIN(121,88-核心参数输入!$B$112+1))),0)+IF(88=核心参数输入!$B$9*4,SUMPRODUCT(季度经营税费!$D$161:$DT$161,--(季度经营税费!$D$4:$DT$4&gt;核心参数输入!$B$9*4-核心参数输入!$B$112)),0),0)</f>
        <v>0</v>
      </c>
      <c r="CO163" s="9">
        <f>IF(89&lt;=核心参数输入!$B$9*4,IF(AND(89-核心参数输入!$B$112&gt;=0,89-核心参数输入!$B$112&lt;=120),INDEX(季度经营税费!$D$161:$DT$161,1,MAX(1,MIN(121,89-核心参数输入!$B$112+1))),0)+IF(89=核心参数输入!$B$9*4,SUMPRODUCT(季度经营税费!$D$161:$DT$161,--(季度经营税费!$D$4:$DT$4&gt;核心参数输入!$B$9*4-核心参数输入!$B$112)),0),0)</f>
        <v>0</v>
      </c>
      <c r="CP163" s="9">
        <f>IF(90&lt;=核心参数输入!$B$9*4,IF(AND(90-核心参数输入!$B$112&gt;=0,90-核心参数输入!$B$112&lt;=120),INDEX(季度经营税费!$D$161:$DT$161,1,MAX(1,MIN(121,90-核心参数输入!$B$112+1))),0)+IF(90=核心参数输入!$B$9*4,SUMPRODUCT(季度经营税费!$D$161:$DT$161,--(季度经营税费!$D$4:$DT$4&gt;核心参数输入!$B$9*4-核心参数输入!$B$112)),0),0)</f>
        <v>0</v>
      </c>
      <c r="CQ163" s="9">
        <f>IF(91&lt;=核心参数输入!$B$9*4,IF(AND(91-核心参数输入!$B$112&gt;=0,91-核心参数输入!$B$112&lt;=120),INDEX(季度经营税费!$D$161:$DT$161,1,MAX(1,MIN(121,91-核心参数输入!$B$112+1))),0)+IF(91=核心参数输入!$B$9*4,SUMPRODUCT(季度经营税费!$D$161:$DT$161,--(季度经营税费!$D$4:$DT$4&gt;核心参数输入!$B$9*4-核心参数输入!$B$112)),0),0)</f>
        <v>0</v>
      </c>
      <c r="CR163" s="9">
        <f>IF(92&lt;=核心参数输入!$B$9*4,IF(AND(92-核心参数输入!$B$112&gt;=0,92-核心参数输入!$B$112&lt;=120),INDEX(季度经营税费!$D$161:$DT$161,1,MAX(1,MIN(121,92-核心参数输入!$B$112+1))),0)+IF(92=核心参数输入!$B$9*4,SUMPRODUCT(季度经营税费!$D$161:$DT$161,--(季度经营税费!$D$4:$DT$4&gt;核心参数输入!$B$9*4-核心参数输入!$B$112)),0),0)</f>
        <v>0</v>
      </c>
      <c r="CS163" s="9">
        <f>IF(93&lt;=核心参数输入!$B$9*4,IF(AND(93-核心参数输入!$B$112&gt;=0,93-核心参数输入!$B$112&lt;=120),INDEX(季度经营税费!$D$161:$DT$161,1,MAX(1,MIN(121,93-核心参数输入!$B$112+1))),0)+IF(93=核心参数输入!$B$9*4,SUMPRODUCT(季度经营税费!$D$161:$DT$161,--(季度经营税费!$D$4:$DT$4&gt;核心参数输入!$B$9*4-核心参数输入!$B$112)),0),0)</f>
        <v>0</v>
      </c>
      <c r="CT163" s="9">
        <f>IF(94&lt;=核心参数输入!$B$9*4,IF(AND(94-核心参数输入!$B$112&gt;=0,94-核心参数输入!$B$112&lt;=120),INDEX(季度经营税费!$D$161:$DT$161,1,MAX(1,MIN(121,94-核心参数输入!$B$112+1))),0)+IF(94=核心参数输入!$B$9*4,SUMPRODUCT(季度经营税费!$D$161:$DT$161,--(季度经营税费!$D$4:$DT$4&gt;核心参数输入!$B$9*4-核心参数输入!$B$112)),0),0)</f>
        <v>0</v>
      </c>
      <c r="CU163" s="9">
        <f>IF(95&lt;=核心参数输入!$B$9*4,IF(AND(95-核心参数输入!$B$112&gt;=0,95-核心参数输入!$B$112&lt;=120),INDEX(季度经营税费!$D$161:$DT$161,1,MAX(1,MIN(121,95-核心参数输入!$B$112+1))),0)+IF(95=核心参数输入!$B$9*4,SUMPRODUCT(季度经营税费!$D$161:$DT$161,--(季度经营税费!$D$4:$DT$4&gt;核心参数输入!$B$9*4-核心参数输入!$B$112)),0),0)</f>
        <v>0</v>
      </c>
      <c r="CV163" s="9">
        <f>IF(96&lt;=核心参数输入!$B$9*4,IF(AND(96-核心参数输入!$B$112&gt;=0,96-核心参数输入!$B$112&lt;=120),INDEX(季度经营税费!$D$161:$DT$161,1,MAX(1,MIN(121,96-核心参数输入!$B$112+1))),0)+IF(96=核心参数输入!$B$9*4,SUMPRODUCT(季度经营税费!$D$161:$DT$161,--(季度经营税费!$D$4:$DT$4&gt;核心参数输入!$B$9*4-核心参数输入!$B$112)),0),0)</f>
        <v>0</v>
      </c>
      <c r="CW163" s="9">
        <f>IF(97&lt;=核心参数输入!$B$9*4,IF(AND(97-核心参数输入!$B$112&gt;=0,97-核心参数输入!$B$112&lt;=120),INDEX(季度经营税费!$D$161:$DT$161,1,MAX(1,MIN(121,97-核心参数输入!$B$112+1))),0)+IF(97=核心参数输入!$B$9*4,SUMPRODUCT(季度经营税费!$D$161:$DT$161,--(季度经营税费!$D$4:$DT$4&gt;核心参数输入!$B$9*4-核心参数输入!$B$112)),0),0)</f>
        <v>0</v>
      </c>
      <c r="CX163" s="9">
        <f>IF(98&lt;=核心参数输入!$B$9*4,IF(AND(98-核心参数输入!$B$112&gt;=0,98-核心参数输入!$B$112&lt;=120),INDEX(季度经营税费!$D$161:$DT$161,1,MAX(1,MIN(121,98-核心参数输入!$B$112+1))),0)+IF(98=核心参数输入!$B$9*4,SUMPRODUCT(季度经营税费!$D$161:$DT$161,--(季度经营税费!$D$4:$DT$4&gt;核心参数输入!$B$9*4-核心参数输入!$B$112)),0),0)</f>
        <v>0</v>
      </c>
      <c r="CY163" s="9">
        <f>IF(99&lt;=核心参数输入!$B$9*4,IF(AND(99-核心参数输入!$B$112&gt;=0,99-核心参数输入!$B$112&lt;=120),INDEX(季度经营税费!$D$161:$DT$161,1,MAX(1,MIN(121,99-核心参数输入!$B$112+1))),0)+IF(99=核心参数输入!$B$9*4,SUMPRODUCT(季度经营税费!$D$161:$DT$161,--(季度经营税费!$D$4:$DT$4&gt;核心参数输入!$B$9*4-核心参数输入!$B$112)),0),0)</f>
        <v>0</v>
      </c>
      <c r="CZ163" s="9">
        <f>IF(100&lt;=核心参数输入!$B$9*4,IF(AND(100-核心参数输入!$B$112&gt;=0,100-核心参数输入!$B$112&lt;=120),INDEX(季度经营税费!$D$161:$DT$161,1,MAX(1,MIN(121,100-核心参数输入!$B$112+1))),0)+IF(100=核心参数输入!$B$9*4,SUMPRODUCT(季度经营税费!$D$161:$DT$161,--(季度经营税费!$D$4:$DT$4&gt;核心参数输入!$B$9*4-核心参数输入!$B$112)),0),0)</f>
        <v>0</v>
      </c>
      <c r="DA163" s="9">
        <f>IF(101&lt;=核心参数输入!$B$9*4,IF(AND(101-核心参数输入!$B$112&gt;=0,101-核心参数输入!$B$112&lt;=120),INDEX(季度经营税费!$D$161:$DT$161,1,MAX(1,MIN(121,101-核心参数输入!$B$112+1))),0)+IF(101=核心参数输入!$B$9*4,SUMPRODUCT(季度经营税费!$D$161:$DT$161,--(季度经营税费!$D$4:$DT$4&gt;核心参数输入!$B$9*4-核心参数输入!$B$112)),0),0)</f>
        <v>0</v>
      </c>
      <c r="DB163" s="9">
        <f>IF(102&lt;=核心参数输入!$B$9*4,IF(AND(102-核心参数输入!$B$112&gt;=0,102-核心参数输入!$B$112&lt;=120),INDEX(季度经营税费!$D$161:$DT$161,1,MAX(1,MIN(121,102-核心参数输入!$B$112+1))),0)+IF(102=核心参数输入!$B$9*4,SUMPRODUCT(季度经营税费!$D$161:$DT$161,--(季度经营税费!$D$4:$DT$4&gt;核心参数输入!$B$9*4-核心参数输入!$B$112)),0),0)</f>
        <v>0</v>
      </c>
      <c r="DC163" s="9">
        <f>IF(103&lt;=核心参数输入!$B$9*4,IF(AND(103-核心参数输入!$B$112&gt;=0,103-核心参数输入!$B$112&lt;=120),INDEX(季度经营税费!$D$161:$DT$161,1,MAX(1,MIN(121,103-核心参数输入!$B$112+1))),0)+IF(103=核心参数输入!$B$9*4,SUMPRODUCT(季度经营税费!$D$161:$DT$161,--(季度经营税费!$D$4:$DT$4&gt;核心参数输入!$B$9*4-核心参数输入!$B$112)),0),0)</f>
        <v>0</v>
      </c>
      <c r="DD163" s="9">
        <f>IF(104&lt;=核心参数输入!$B$9*4,IF(AND(104-核心参数输入!$B$112&gt;=0,104-核心参数输入!$B$112&lt;=120),INDEX(季度经营税费!$D$161:$DT$161,1,MAX(1,MIN(121,104-核心参数输入!$B$112+1))),0)+IF(104=核心参数输入!$B$9*4,SUMPRODUCT(季度经营税费!$D$161:$DT$161,--(季度经营税费!$D$4:$DT$4&gt;核心参数输入!$B$9*4-核心参数输入!$B$112)),0),0)</f>
        <v>0</v>
      </c>
      <c r="DE163" s="9">
        <f>IF(105&lt;=核心参数输入!$B$9*4,IF(AND(105-核心参数输入!$B$112&gt;=0,105-核心参数输入!$B$112&lt;=120),INDEX(季度经营税费!$D$161:$DT$161,1,MAX(1,MIN(121,105-核心参数输入!$B$112+1))),0)+IF(105=核心参数输入!$B$9*4,SUMPRODUCT(季度经营税费!$D$161:$DT$161,--(季度经营税费!$D$4:$DT$4&gt;核心参数输入!$B$9*4-核心参数输入!$B$112)),0),0)</f>
        <v>0</v>
      </c>
      <c r="DF163" s="9">
        <f>IF(106&lt;=核心参数输入!$B$9*4,IF(AND(106-核心参数输入!$B$112&gt;=0,106-核心参数输入!$B$112&lt;=120),INDEX(季度经营税费!$D$161:$DT$161,1,MAX(1,MIN(121,106-核心参数输入!$B$112+1))),0)+IF(106=核心参数输入!$B$9*4,SUMPRODUCT(季度经营税费!$D$161:$DT$161,--(季度经营税费!$D$4:$DT$4&gt;核心参数输入!$B$9*4-核心参数输入!$B$112)),0),0)</f>
        <v>0</v>
      </c>
      <c r="DG163" s="9">
        <f>IF(107&lt;=核心参数输入!$B$9*4,IF(AND(107-核心参数输入!$B$112&gt;=0,107-核心参数输入!$B$112&lt;=120),INDEX(季度经营税费!$D$161:$DT$161,1,MAX(1,MIN(121,107-核心参数输入!$B$112+1))),0)+IF(107=核心参数输入!$B$9*4,SUMPRODUCT(季度经营税费!$D$161:$DT$161,--(季度经营税费!$D$4:$DT$4&gt;核心参数输入!$B$9*4-核心参数输入!$B$112)),0),0)</f>
        <v>0</v>
      </c>
      <c r="DH163" s="9">
        <f>IF(108&lt;=核心参数输入!$B$9*4,IF(AND(108-核心参数输入!$B$112&gt;=0,108-核心参数输入!$B$112&lt;=120),INDEX(季度经营税费!$D$161:$DT$161,1,MAX(1,MIN(121,108-核心参数输入!$B$112+1))),0)+IF(108=核心参数输入!$B$9*4,SUMPRODUCT(季度经营税费!$D$161:$DT$161,--(季度经营税费!$D$4:$DT$4&gt;核心参数输入!$B$9*4-核心参数输入!$B$112)),0),0)</f>
        <v>0</v>
      </c>
      <c r="DI163" s="9">
        <f>IF(109&lt;=核心参数输入!$B$9*4,IF(AND(109-核心参数输入!$B$112&gt;=0,109-核心参数输入!$B$112&lt;=120),INDEX(季度经营税费!$D$161:$DT$161,1,MAX(1,MIN(121,109-核心参数输入!$B$112+1))),0)+IF(109=核心参数输入!$B$9*4,SUMPRODUCT(季度经营税费!$D$161:$DT$161,--(季度经营税费!$D$4:$DT$4&gt;核心参数输入!$B$9*4-核心参数输入!$B$112)),0),0)</f>
        <v>0</v>
      </c>
      <c r="DJ163" s="9">
        <f>IF(110&lt;=核心参数输入!$B$9*4,IF(AND(110-核心参数输入!$B$112&gt;=0,110-核心参数输入!$B$112&lt;=120),INDEX(季度经营税费!$D$161:$DT$161,1,MAX(1,MIN(121,110-核心参数输入!$B$112+1))),0)+IF(110=核心参数输入!$B$9*4,SUMPRODUCT(季度经营税费!$D$161:$DT$161,--(季度经营税费!$D$4:$DT$4&gt;核心参数输入!$B$9*4-核心参数输入!$B$112)),0),0)</f>
        <v>0</v>
      </c>
      <c r="DK163" s="9">
        <f>IF(111&lt;=核心参数输入!$B$9*4,IF(AND(111-核心参数输入!$B$112&gt;=0,111-核心参数输入!$B$112&lt;=120),INDEX(季度经营税费!$D$161:$DT$161,1,MAX(1,MIN(121,111-核心参数输入!$B$112+1))),0)+IF(111=核心参数输入!$B$9*4,SUMPRODUCT(季度经营税费!$D$161:$DT$161,--(季度经营税费!$D$4:$DT$4&gt;核心参数输入!$B$9*4-核心参数输入!$B$112)),0),0)</f>
        <v>0</v>
      </c>
      <c r="DL163" s="9">
        <f>IF(112&lt;=核心参数输入!$B$9*4,IF(AND(112-核心参数输入!$B$112&gt;=0,112-核心参数输入!$B$112&lt;=120),INDEX(季度经营税费!$D$161:$DT$161,1,MAX(1,MIN(121,112-核心参数输入!$B$112+1))),0)+IF(112=核心参数输入!$B$9*4,SUMPRODUCT(季度经营税费!$D$161:$DT$161,--(季度经营税费!$D$4:$DT$4&gt;核心参数输入!$B$9*4-核心参数输入!$B$112)),0),0)</f>
        <v>0</v>
      </c>
      <c r="DM163" s="9">
        <f>IF(113&lt;=核心参数输入!$B$9*4,IF(AND(113-核心参数输入!$B$112&gt;=0,113-核心参数输入!$B$112&lt;=120),INDEX(季度经营税费!$D$161:$DT$161,1,MAX(1,MIN(121,113-核心参数输入!$B$112+1))),0)+IF(113=核心参数输入!$B$9*4,SUMPRODUCT(季度经营税费!$D$161:$DT$161,--(季度经营税费!$D$4:$DT$4&gt;核心参数输入!$B$9*4-核心参数输入!$B$112)),0),0)</f>
        <v>0</v>
      </c>
      <c r="DN163" s="9">
        <f>IF(114&lt;=核心参数输入!$B$9*4,IF(AND(114-核心参数输入!$B$112&gt;=0,114-核心参数输入!$B$112&lt;=120),INDEX(季度经营税费!$D$161:$DT$161,1,MAX(1,MIN(121,114-核心参数输入!$B$112+1))),0)+IF(114=核心参数输入!$B$9*4,SUMPRODUCT(季度经营税费!$D$161:$DT$161,--(季度经营税费!$D$4:$DT$4&gt;核心参数输入!$B$9*4-核心参数输入!$B$112)),0),0)</f>
        <v>0</v>
      </c>
      <c r="DO163" s="9">
        <f>IF(115&lt;=核心参数输入!$B$9*4,IF(AND(115-核心参数输入!$B$112&gt;=0,115-核心参数输入!$B$112&lt;=120),INDEX(季度经营税费!$D$161:$DT$161,1,MAX(1,MIN(121,115-核心参数输入!$B$112+1))),0)+IF(115=核心参数输入!$B$9*4,SUMPRODUCT(季度经营税费!$D$161:$DT$161,--(季度经营税费!$D$4:$DT$4&gt;核心参数输入!$B$9*4-核心参数输入!$B$112)),0),0)</f>
        <v>0</v>
      </c>
      <c r="DP163" s="9">
        <f>IF(116&lt;=核心参数输入!$B$9*4,IF(AND(116-核心参数输入!$B$112&gt;=0,116-核心参数输入!$B$112&lt;=120),INDEX(季度经营税费!$D$161:$DT$161,1,MAX(1,MIN(121,116-核心参数输入!$B$112+1))),0)+IF(116=核心参数输入!$B$9*4,SUMPRODUCT(季度经营税费!$D$161:$DT$161,--(季度经营税费!$D$4:$DT$4&gt;核心参数输入!$B$9*4-核心参数输入!$B$112)),0),0)</f>
        <v>0</v>
      </c>
      <c r="DQ163" s="9">
        <f>IF(117&lt;=核心参数输入!$B$9*4,IF(AND(117-核心参数输入!$B$112&gt;=0,117-核心参数输入!$B$112&lt;=120),INDEX(季度经营税费!$D$161:$DT$161,1,MAX(1,MIN(121,117-核心参数输入!$B$112+1))),0)+IF(117=核心参数输入!$B$9*4,SUMPRODUCT(季度经营税费!$D$161:$DT$161,--(季度经营税费!$D$4:$DT$4&gt;核心参数输入!$B$9*4-核心参数输入!$B$112)),0),0)</f>
        <v>0</v>
      </c>
      <c r="DR163" s="9">
        <f>IF(118&lt;=核心参数输入!$B$9*4,IF(AND(118-核心参数输入!$B$112&gt;=0,118-核心参数输入!$B$112&lt;=120),INDEX(季度经营税费!$D$161:$DT$161,1,MAX(1,MIN(121,118-核心参数输入!$B$112+1))),0)+IF(118=核心参数输入!$B$9*4,SUMPRODUCT(季度经营税费!$D$161:$DT$161,--(季度经营税费!$D$4:$DT$4&gt;核心参数输入!$B$9*4-核心参数输入!$B$112)),0),0)</f>
        <v>0</v>
      </c>
      <c r="DS163" s="9">
        <f>IF(119&lt;=核心参数输入!$B$9*4,IF(AND(119-核心参数输入!$B$112&gt;=0,119-核心参数输入!$B$112&lt;=120),INDEX(季度经营税费!$D$161:$DT$161,1,MAX(1,MIN(121,119-核心参数输入!$B$112+1))),0)+IF(119=核心参数输入!$B$9*4,SUMPRODUCT(季度经营税费!$D$161:$DT$161,--(季度经营税费!$D$4:$DT$4&gt;核心参数输入!$B$9*4-核心参数输入!$B$112)),0),0)</f>
        <v>0</v>
      </c>
      <c r="DT163" s="9">
        <f>IF(120&lt;=核心参数输入!$B$9*4,IF(AND(120-核心参数输入!$B$112&gt;=0,120-核心参数输入!$B$112&lt;=120),INDEX(季度经营税费!$D$161:$DT$161,1,MAX(1,MIN(121,120-核心参数输入!$B$112+1))),0)+IF(120=核心参数输入!$B$9*4,SUMPRODUCT(季度经营税费!$D$161:$DT$161,--(季度经营税费!$D$4:$DT$4&gt;核心参数输入!$B$9*4-核心参数输入!$B$112)),0),0)</f>
        <v>0</v>
      </c>
    </row>
    <row r="164" spans="1:124" ht="21" customHeight="1">
      <c r="A164" s="8" t="s">
        <v>485</v>
      </c>
      <c r="B164" s="8" t="s">
        <v>39</v>
      </c>
      <c r="C164" s="8"/>
      <c r="D164" s="9">
        <f>IF(0&lt;=核心参数输入!$B$9*4,IF(AND(0-核心参数输入!$B$112&gt;=0,0-核心参数输入!$B$112&lt;=120),INDEX(季度经营税费!$D$146:$DT$146,1,MAX(1,MIN(121,0-核心参数输入!$B$112+1))),0)+IF(0=核心参数输入!$B$9*4,SUMPRODUCT(季度经营税费!$D$146:$DT$146,--(季度经营税费!$D$4:$DT$4&gt;核心参数输入!$B$9*4-核心参数输入!$B$112)),0)+IF(AND(0-核心参数输入!$B$112&gt;=0,0-核心参数输入!$B$112&lt;=120),INDEX(季度经营税费!$D$150:$DT$150,1,MAX(1,MIN(121,0-核心参数输入!$B$112+1))),0)+IF(0=核心参数输入!$B$9*4,SUMPRODUCT(季度经营税费!$D$150:$DT$150,--(季度经营税费!$D$4:$DT$4&gt;核心参数输入!$B$9*4-核心参数输入!$B$112)),0),0)</f>
        <v>0</v>
      </c>
      <c r="E164" s="9">
        <f>IF(1&lt;=核心参数输入!$B$9*4,IF(AND(1-核心参数输入!$B$112&gt;=0,1-核心参数输入!$B$112&lt;=120),INDEX(季度经营税费!$D$146:$DT$146,1,MAX(1,MIN(121,1-核心参数输入!$B$112+1))),0)+IF(1=核心参数输入!$B$9*4,SUMPRODUCT(季度经营税费!$D$146:$DT$146,--(季度经营税费!$D$4:$DT$4&gt;核心参数输入!$B$9*4-核心参数输入!$B$112)),0)+IF(AND(1-核心参数输入!$B$112&gt;=0,1-核心参数输入!$B$112&lt;=120),INDEX(季度经营税费!$D$150:$DT$150,1,MAX(1,MIN(121,1-核心参数输入!$B$112+1))),0)+IF(1=核心参数输入!$B$9*4,SUMPRODUCT(季度经营税费!$D$150:$DT$150,--(季度经营税费!$D$4:$DT$4&gt;核心参数输入!$B$9*4-核心参数输入!$B$112)),0),0)</f>
        <v>0</v>
      </c>
      <c r="F164" s="9">
        <f>IF(2&lt;=核心参数输入!$B$9*4,IF(AND(2-核心参数输入!$B$112&gt;=0,2-核心参数输入!$B$112&lt;=120),INDEX(季度经营税费!$D$146:$DT$146,1,MAX(1,MIN(121,2-核心参数输入!$B$112+1))),0)+IF(2=核心参数输入!$B$9*4,SUMPRODUCT(季度经营税费!$D$146:$DT$146,--(季度经营税费!$D$4:$DT$4&gt;核心参数输入!$B$9*4-核心参数输入!$B$112)),0)+IF(AND(2-核心参数输入!$B$112&gt;=0,2-核心参数输入!$B$112&lt;=120),INDEX(季度经营税费!$D$150:$DT$150,1,MAX(1,MIN(121,2-核心参数输入!$B$112+1))),0)+IF(2=核心参数输入!$B$9*4,SUMPRODUCT(季度经营税费!$D$150:$DT$150,--(季度经营税费!$D$4:$DT$4&gt;核心参数输入!$B$9*4-核心参数输入!$B$112)),0),0)</f>
        <v>0</v>
      </c>
      <c r="G164" s="9">
        <f>IF(3&lt;=核心参数输入!$B$9*4,IF(AND(3-核心参数输入!$B$112&gt;=0,3-核心参数输入!$B$112&lt;=120),INDEX(季度经营税费!$D$146:$DT$146,1,MAX(1,MIN(121,3-核心参数输入!$B$112+1))),0)+IF(3=核心参数输入!$B$9*4,SUMPRODUCT(季度经营税费!$D$146:$DT$146,--(季度经营税费!$D$4:$DT$4&gt;核心参数输入!$B$9*4-核心参数输入!$B$112)),0)+IF(AND(3-核心参数输入!$B$112&gt;=0,3-核心参数输入!$B$112&lt;=120),INDEX(季度经营税费!$D$150:$DT$150,1,MAX(1,MIN(121,3-核心参数输入!$B$112+1))),0)+IF(3=核心参数输入!$B$9*4,SUMPRODUCT(季度经营税费!$D$150:$DT$150,--(季度经营税费!$D$4:$DT$4&gt;核心参数输入!$B$9*4-核心参数输入!$B$112)),0),0)</f>
        <v>0</v>
      </c>
      <c r="H164" s="9">
        <f>IF(4&lt;=核心参数输入!$B$9*4,IF(AND(4-核心参数输入!$B$112&gt;=0,4-核心参数输入!$B$112&lt;=120),INDEX(季度经营税费!$D$146:$DT$146,1,MAX(1,MIN(121,4-核心参数输入!$B$112+1))),0)+IF(4=核心参数输入!$B$9*4,SUMPRODUCT(季度经营税费!$D$146:$DT$146,--(季度经营税费!$D$4:$DT$4&gt;核心参数输入!$B$9*4-核心参数输入!$B$112)),0)+IF(AND(4-核心参数输入!$B$112&gt;=0,4-核心参数输入!$B$112&lt;=120),INDEX(季度经营税费!$D$150:$DT$150,1,MAX(1,MIN(121,4-核心参数输入!$B$112+1))),0)+IF(4=核心参数输入!$B$9*4,SUMPRODUCT(季度经营税费!$D$150:$DT$150,--(季度经营税费!$D$4:$DT$4&gt;核心参数输入!$B$9*4-核心参数输入!$B$112)),0),0)</f>
        <v>0</v>
      </c>
      <c r="I164" s="9">
        <f>IF(5&lt;=核心参数输入!$B$9*4,IF(AND(5-核心参数输入!$B$112&gt;=0,5-核心参数输入!$B$112&lt;=120),INDEX(季度经营税费!$D$146:$DT$146,1,MAX(1,MIN(121,5-核心参数输入!$B$112+1))),0)+IF(5=核心参数输入!$B$9*4,SUMPRODUCT(季度经营税费!$D$146:$DT$146,--(季度经营税费!$D$4:$DT$4&gt;核心参数输入!$B$9*4-核心参数输入!$B$112)),0)+IF(AND(5-核心参数输入!$B$112&gt;=0,5-核心参数输入!$B$112&lt;=120),INDEX(季度经营税费!$D$150:$DT$150,1,MAX(1,MIN(121,5-核心参数输入!$B$112+1))),0)+IF(5=核心参数输入!$B$9*4,SUMPRODUCT(季度经营税费!$D$150:$DT$150,--(季度经营税费!$D$4:$DT$4&gt;核心参数输入!$B$9*4-核心参数输入!$B$112)),0),0)</f>
        <v>0</v>
      </c>
      <c r="J164" s="9">
        <f>IF(6&lt;=核心参数输入!$B$9*4,IF(AND(6-核心参数输入!$B$112&gt;=0,6-核心参数输入!$B$112&lt;=120),INDEX(季度经营税费!$D$146:$DT$146,1,MAX(1,MIN(121,6-核心参数输入!$B$112+1))),0)+IF(6=核心参数输入!$B$9*4,SUMPRODUCT(季度经营税费!$D$146:$DT$146,--(季度经营税费!$D$4:$DT$4&gt;核心参数输入!$B$9*4-核心参数输入!$B$112)),0)+IF(AND(6-核心参数输入!$B$112&gt;=0,6-核心参数输入!$B$112&lt;=120),INDEX(季度经营税费!$D$150:$DT$150,1,MAX(1,MIN(121,6-核心参数输入!$B$112+1))),0)+IF(6=核心参数输入!$B$9*4,SUMPRODUCT(季度经营税费!$D$150:$DT$150,--(季度经营税费!$D$4:$DT$4&gt;核心参数输入!$B$9*4-核心参数输入!$B$112)),0),0)</f>
        <v>0</v>
      </c>
      <c r="K164" s="9">
        <f>IF(7&lt;=核心参数输入!$B$9*4,IF(AND(7-核心参数输入!$B$112&gt;=0,7-核心参数输入!$B$112&lt;=120),INDEX(季度经营税费!$D$146:$DT$146,1,MAX(1,MIN(121,7-核心参数输入!$B$112+1))),0)+IF(7=核心参数输入!$B$9*4,SUMPRODUCT(季度经营税费!$D$146:$DT$146,--(季度经营税费!$D$4:$DT$4&gt;核心参数输入!$B$9*4-核心参数输入!$B$112)),0)+IF(AND(7-核心参数输入!$B$112&gt;=0,7-核心参数输入!$B$112&lt;=120),INDEX(季度经营税费!$D$150:$DT$150,1,MAX(1,MIN(121,7-核心参数输入!$B$112+1))),0)+IF(7=核心参数输入!$B$9*4,SUMPRODUCT(季度经营税费!$D$150:$DT$150,--(季度经营税费!$D$4:$DT$4&gt;核心参数输入!$B$9*4-核心参数输入!$B$112)),0),0)</f>
        <v>0</v>
      </c>
      <c r="L164" s="9">
        <f>IF(8&lt;=核心参数输入!$B$9*4,IF(AND(8-核心参数输入!$B$112&gt;=0,8-核心参数输入!$B$112&lt;=120),INDEX(季度经营税费!$D$146:$DT$146,1,MAX(1,MIN(121,8-核心参数输入!$B$112+1))),0)+IF(8=核心参数输入!$B$9*4,SUMPRODUCT(季度经营税费!$D$146:$DT$146,--(季度经营税费!$D$4:$DT$4&gt;核心参数输入!$B$9*4-核心参数输入!$B$112)),0)+IF(AND(8-核心参数输入!$B$112&gt;=0,8-核心参数输入!$B$112&lt;=120),INDEX(季度经营税费!$D$150:$DT$150,1,MAX(1,MIN(121,8-核心参数输入!$B$112+1))),0)+IF(8=核心参数输入!$B$9*4,SUMPRODUCT(季度经营税费!$D$150:$DT$150,--(季度经营税费!$D$4:$DT$4&gt;核心参数输入!$B$9*4-核心参数输入!$B$112)),0),0)</f>
        <v>0</v>
      </c>
      <c r="M164" s="9">
        <f>IF(9&lt;=核心参数输入!$B$9*4,IF(AND(9-核心参数输入!$B$112&gt;=0,9-核心参数输入!$B$112&lt;=120),INDEX(季度经营税费!$D$146:$DT$146,1,MAX(1,MIN(121,9-核心参数输入!$B$112+1))),0)+IF(9=核心参数输入!$B$9*4,SUMPRODUCT(季度经营税费!$D$146:$DT$146,--(季度经营税费!$D$4:$DT$4&gt;核心参数输入!$B$9*4-核心参数输入!$B$112)),0)+IF(AND(9-核心参数输入!$B$112&gt;=0,9-核心参数输入!$B$112&lt;=120),INDEX(季度经营税费!$D$150:$DT$150,1,MAX(1,MIN(121,9-核心参数输入!$B$112+1))),0)+IF(9=核心参数输入!$B$9*4,SUMPRODUCT(季度经营税费!$D$150:$DT$150,--(季度经营税费!$D$4:$DT$4&gt;核心参数输入!$B$9*4-核心参数输入!$B$112)),0),0)</f>
        <v>0</v>
      </c>
      <c r="N164" s="9">
        <f>IF(10&lt;=核心参数输入!$B$9*4,IF(AND(10-核心参数输入!$B$112&gt;=0,10-核心参数输入!$B$112&lt;=120),INDEX(季度经营税费!$D$146:$DT$146,1,MAX(1,MIN(121,10-核心参数输入!$B$112+1))),0)+IF(10=核心参数输入!$B$9*4,SUMPRODUCT(季度经营税费!$D$146:$DT$146,--(季度经营税费!$D$4:$DT$4&gt;核心参数输入!$B$9*4-核心参数输入!$B$112)),0)+IF(AND(10-核心参数输入!$B$112&gt;=0,10-核心参数输入!$B$112&lt;=120),INDEX(季度经营税费!$D$150:$DT$150,1,MAX(1,MIN(121,10-核心参数输入!$B$112+1))),0)+IF(10=核心参数输入!$B$9*4,SUMPRODUCT(季度经营税费!$D$150:$DT$150,--(季度经营税费!$D$4:$DT$4&gt;核心参数输入!$B$9*4-核心参数输入!$B$112)),0),0)</f>
        <v>0</v>
      </c>
      <c r="O164" s="9">
        <f>IF(11&lt;=核心参数输入!$B$9*4,IF(AND(11-核心参数输入!$B$112&gt;=0,11-核心参数输入!$B$112&lt;=120),INDEX(季度经营税费!$D$146:$DT$146,1,MAX(1,MIN(121,11-核心参数输入!$B$112+1))),0)+IF(11=核心参数输入!$B$9*4,SUMPRODUCT(季度经营税费!$D$146:$DT$146,--(季度经营税费!$D$4:$DT$4&gt;核心参数输入!$B$9*4-核心参数输入!$B$112)),0)+IF(AND(11-核心参数输入!$B$112&gt;=0,11-核心参数输入!$B$112&lt;=120),INDEX(季度经营税费!$D$150:$DT$150,1,MAX(1,MIN(121,11-核心参数输入!$B$112+1))),0)+IF(11=核心参数输入!$B$9*4,SUMPRODUCT(季度经营税费!$D$150:$DT$150,--(季度经营税费!$D$4:$DT$4&gt;核心参数输入!$B$9*4-核心参数输入!$B$112)),0),0)</f>
        <v>0</v>
      </c>
      <c r="P164" s="9">
        <f>IF(12&lt;=核心参数输入!$B$9*4,IF(AND(12-核心参数输入!$B$112&gt;=0,12-核心参数输入!$B$112&lt;=120),INDEX(季度经营税费!$D$146:$DT$146,1,MAX(1,MIN(121,12-核心参数输入!$B$112+1))),0)+IF(12=核心参数输入!$B$9*4,SUMPRODUCT(季度经营税费!$D$146:$DT$146,--(季度经营税费!$D$4:$DT$4&gt;核心参数输入!$B$9*4-核心参数输入!$B$112)),0)+IF(AND(12-核心参数输入!$B$112&gt;=0,12-核心参数输入!$B$112&lt;=120),INDEX(季度经营税费!$D$150:$DT$150,1,MAX(1,MIN(121,12-核心参数输入!$B$112+1))),0)+IF(12=核心参数输入!$B$9*4,SUMPRODUCT(季度经营税费!$D$150:$DT$150,--(季度经营税费!$D$4:$DT$4&gt;核心参数输入!$B$9*4-核心参数输入!$B$112)),0),0)</f>
        <v>0</v>
      </c>
      <c r="Q164" s="9">
        <f>IF(13&lt;=核心参数输入!$B$9*4,IF(AND(13-核心参数输入!$B$112&gt;=0,13-核心参数输入!$B$112&lt;=120),INDEX(季度经营税费!$D$146:$DT$146,1,MAX(1,MIN(121,13-核心参数输入!$B$112+1))),0)+IF(13=核心参数输入!$B$9*4,SUMPRODUCT(季度经营税费!$D$146:$DT$146,--(季度经营税费!$D$4:$DT$4&gt;核心参数输入!$B$9*4-核心参数输入!$B$112)),0)+IF(AND(13-核心参数输入!$B$112&gt;=0,13-核心参数输入!$B$112&lt;=120),INDEX(季度经营税费!$D$150:$DT$150,1,MAX(1,MIN(121,13-核心参数输入!$B$112+1))),0)+IF(13=核心参数输入!$B$9*4,SUMPRODUCT(季度经营税费!$D$150:$DT$150,--(季度经营税费!$D$4:$DT$4&gt;核心参数输入!$B$9*4-核心参数输入!$B$112)),0),0)</f>
        <v>260.61750000000001</v>
      </c>
      <c r="R164" s="9">
        <f>IF(14&lt;=核心参数输入!$B$9*4,IF(AND(14-核心参数输入!$B$112&gt;=0,14-核心参数输入!$B$112&lt;=120),INDEX(季度经营税费!$D$146:$DT$146,1,MAX(1,MIN(121,14-核心参数输入!$B$112+1))),0)+IF(14=核心参数输入!$B$9*4,SUMPRODUCT(季度经营税费!$D$146:$DT$146,--(季度经营税费!$D$4:$DT$4&gt;核心参数输入!$B$9*4-核心参数输入!$B$112)),0)+IF(AND(14-核心参数输入!$B$112&gt;=0,14-核心参数输入!$B$112&lt;=120),INDEX(季度经营税费!$D$150:$DT$150,1,MAX(1,MIN(121,14-核心参数输入!$B$112+1))),0)+IF(14=核心参数输入!$B$9*4,SUMPRODUCT(季度经营税费!$D$150:$DT$150,--(季度经营税费!$D$4:$DT$4&gt;核心参数输入!$B$9*4-核心参数输入!$B$112)),0),0)</f>
        <v>261.959585355</v>
      </c>
      <c r="S164" s="9">
        <f>IF(15&lt;=核心参数输入!$B$9*4,IF(AND(15-核心参数输入!$B$112&gt;=0,15-核心参数输入!$B$112&lt;=120),INDEX(季度经营税费!$D$146:$DT$146,1,MAX(1,MIN(121,15-核心参数输入!$B$112+1))),0)+IF(15=核心参数输入!$B$9*4,SUMPRODUCT(季度经营税费!$D$146:$DT$146,--(季度经营税费!$D$4:$DT$4&gt;核心参数输入!$B$9*4-核心参数输入!$B$112)),0)+IF(AND(15-核心参数输入!$B$112&gt;=0,15-核心参数输入!$B$112&lt;=120),INDEX(季度经营税费!$D$150:$DT$150,1,MAX(1,MIN(121,15-核心参数输入!$B$112+1))),0)+IF(15=核心参数输入!$B$9*4,SUMPRODUCT(季度经营税费!$D$150:$DT$150,--(季度经营税费!$D$4:$DT$4&gt;核心参数输入!$B$9*4-核心参数输入!$B$112)),0),0)</f>
        <v>264.64375606499999</v>
      </c>
      <c r="T164" s="9">
        <f>IF(16&lt;=核心参数输入!$B$9*4,IF(AND(16-核心参数输入!$B$112&gt;=0,16-核心参数输入!$B$112&lt;=120),INDEX(季度经营税费!$D$146:$DT$146,1,MAX(1,MIN(121,16-核心参数输入!$B$112+1))),0)+IF(16=核心参数输入!$B$9*4,SUMPRODUCT(季度经营税费!$D$146:$DT$146,--(季度经营税费!$D$4:$DT$4&gt;核心参数输入!$B$9*4-核心参数输入!$B$112)),0)+IF(AND(16-核心参数输入!$B$112&gt;=0,16-核心参数输入!$B$112&lt;=120),INDEX(季度经营税费!$D$150:$DT$150,1,MAX(1,MIN(121,16-核心参数输入!$B$112+1))),0)+IF(16=核心参数输入!$B$9*4,SUMPRODUCT(季度经营税费!$D$150:$DT$150,--(季度经营税费!$D$4:$DT$4&gt;核心参数输入!$B$9*4-核心参数输入!$B$112)),0),0)</f>
        <v>267.32792677499998</v>
      </c>
      <c r="U164" s="9">
        <f>IF(17&lt;=核心参数输入!$B$9*4,IF(AND(17-核心参数输入!$B$112&gt;=0,17-核心参数输入!$B$112&lt;=120),INDEX(季度经营税费!$D$146:$DT$146,1,MAX(1,MIN(121,17-核心参数输入!$B$112+1))),0)+IF(17=核心参数输入!$B$9*4,SUMPRODUCT(季度经营税费!$D$146:$DT$146,--(季度经营税费!$D$4:$DT$4&gt;核心参数输入!$B$9*4-核心参数输入!$B$112)),0)+IF(AND(17-核心参数输入!$B$112&gt;=0,17-核心参数输入!$B$112&lt;=120),INDEX(季度经营税费!$D$150:$DT$150,1,MAX(1,MIN(121,17-核心参数输入!$B$112+1))),0)+IF(17=核心参数输入!$B$9*4,SUMPRODUCT(季度经营税费!$D$150:$DT$150,--(季度经营税费!$D$4:$DT$4&gt;核心参数输入!$B$9*4-核心参数输入!$B$112)),0),0)</f>
        <v>357.02551644727498</v>
      </c>
      <c r="V164" s="9">
        <f>IF(18&lt;=核心参数输入!$B$9*4,IF(AND(18-核心参数输入!$B$112&gt;=0,18-核心参数输入!$B$112&lt;=120),INDEX(季度经营税费!$D$146:$DT$146,1,MAX(1,MIN(121,18-核心参数输入!$B$112+1))),0)+IF(18=核心参数输入!$B$9*4,SUMPRODUCT(季度经营税费!$D$146:$DT$146,--(季度经营税费!$D$4:$DT$4&gt;核心参数输入!$B$9*4-核心参数输入!$B$112)),0)+IF(AND(18-核心参数输入!$B$112&gt;=0,18-核心参数输入!$B$112&lt;=120),INDEX(季度经营税费!$D$150:$DT$150,1,MAX(1,MIN(121,18-核心参数输入!$B$112+1))),0)+IF(18=核心参数输入!$B$9*4,SUMPRODUCT(季度经营税费!$D$150:$DT$150,--(季度经营税费!$D$4:$DT$4&gt;核心参数输入!$B$9*4-核心参数输入!$B$112)),0),0)</f>
        <v>359.0688414002625</v>
      </c>
      <c r="W164" s="9">
        <f>IF(19&lt;=核心参数输入!$B$9*4,IF(AND(19-核心参数输入!$B$112&gt;=0,19-核心参数输入!$B$112&lt;=120),INDEX(季度经营税费!$D$146:$DT$146,1,MAX(1,MIN(121,19-核心参数输入!$B$112+1))),0)+IF(19=核心参数输入!$B$9*4,SUMPRODUCT(季度经营税费!$D$146:$DT$146,--(季度经营税费!$D$4:$DT$4&gt;核心参数输入!$B$9*4-核心参数输入!$B$112)),0)+IF(AND(19-核心参数输入!$B$112&gt;=0,19-核心参数输入!$B$112&lt;=120),INDEX(季度经营税费!$D$150:$DT$150,1,MAX(1,MIN(121,19-核心参数输入!$B$112+1))),0)+IF(19=核心参数输入!$B$9*4,SUMPRODUCT(季度经营税费!$D$150:$DT$150,--(季度经营税费!$D$4:$DT$4&gt;核心参数输入!$B$9*4-核心参数输入!$B$112)),0),0)</f>
        <v>360.43105803558751</v>
      </c>
      <c r="X164" s="9">
        <f>IF(20&lt;=核心参数输入!$B$9*4,IF(AND(20-核心参数输入!$B$112&gt;=0,20-核心参数输入!$B$112&lt;=120),INDEX(季度经营税费!$D$146:$DT$146,1,MAX(1,MIN(121,20-核心参数输入!$B$112+1))),0)+IF(20=核心参数输入!$B$9*4,SUMPRODUCT(季度经营税费!$D$146:$DT$146,--(季度经营税费!$D$4:$DT$4&gt;核心参数输入!$B$9*4-核心参数输入!$B$112)),0)+IF(AND(20-核心参数输入!$B$112&gt;=0,20-核心参数输入!$B$112&lt;=120),INDEX(季度经营税费!$D$150:$DT$150,1,MAX(1,MIN(121,20-核心参数输入!$B$112+1))),0)+IF(20=核心参数输入!$B$9*4,SUMPRODUCT(季度经营税费!$D$150:$DT$150,--(季度经营税费!$D$4:$DT$4&gt;核心参数输入!$B$9*4-核心参数输入!$B$112)),0),0)</f>
        <v>361.79327467091252</v>
      </c>
      <c r="Y164" s="9">
        <f>IF(21&lt;=核心参数输入!$B$9*4,IF(AND(21-核心参数输入!$B$112&gt;=0,21-核心参数输入!$B$112&lt;=120),INDEX(季度经营税费!$D$146:$DT$146,1,MAX(1,MIN(121,21-核心参数输入!$B$112+1))),0)+IF(21=核心参数输入!$B$9*4,SUMPRODUCT(季度经营税费!$D$146:$DT$146,--(季度经营税费!$D$4:$DT$4&gt;核心参数输入!$B$9*4-核心参数输入!$B$112)),0)+IF(AND(21-核心参数输入!$B$112&gt;=0,21-核心参数输入!$B$112&lt;=120),INDEX(季度经营税费!$D$150:$DT$150,1,MAX(1,MIN(121,21-核心参数输入!$B$112+1))),0)+IF(21=核心参数输入!$B$9*4,SUMPRODUCT(季度经营税费!$D$150:$DT$150,--(季度经营税费!$D$4:$DT$4&gt;核心参数输入!$B$9*4-核心参数输入!$B$112)),0),0)</f>
        <v>276.51797367583106</v>
      </c>
      <c r="Z164" s="9">
        <f>IF(22&lt;=核心参数输入!$B$9*4,IF(AND(22-核心参数输入!$B$112&gt;=0,22-核心参数输入!$B$112&lt;=120),INDEX(季度经营税费!$D$146:$DT$146,1,MAX(1,MIN(121,22-核心参数输入!$B$112+1))),0)+IF(22=核心参数输入!$B$9*4,SUMPRODUCT(季度经营税费!$D$146:$DT$146,--(季度经营税费!$D$4:$DT$4&gt;核心参数输入!$B$9*4-核心参数输入!$B$112)),0)+IF(AND(22-核心参数输入!$B$112&gt;=0,22-核心参数输入!$B$112&lt;=120),INDEX(季度经营税费!$D$150:$DT$150,1,MAX(1,MIN(121,22-核心参数输入!$B$112+1))),0)+IF(22=核心参数输入!$B$9*4,SUMPRODUCT(季度经营税费!$D$150:$DT$150,--(季度经营税费!$D$4:$DT$4&gt;核心参数输入!$B$9*4-核心参数输入!$B$112)),0),0)</f>
        <v>277.72779232507906</v>
      </c>
      <c r="AA164" s="9">
        <f>IF(23&lt;=核心参数输入!$B$9*4,IF(AND(23-核心参数输入!$B$112&gt;=0,23-核心参数输入!$B$112&lt;=120),INDEX(季度经营税费!$D$146:$DT$146,1,MAX(1,MIN(121,23-核心参数输入!$B$112+1))),0)+IF(23=核心参数输入!$B$9*4,SUMPRODUCT(季度经营税费!$D$146:$DT$146,--(季度经营税费!$D$4:$DT$4&gt;核心参数输入!$B$9*4-核心参数输入!$B$112)),0)+IF(AND(23-核心参数输入!$B$112&gt;=0,23-核心参数输入!$B$112&lt;=120),INDEX(季度经营税费!$D$150:$DT$150,1,MAX(1,MIN(121,23-核心参数输入!$B$112+1))),0)+IF(23=核心参数输入!$B$9*4,SUMPRODUCT(季度经营税费!$D$150:$DT$150,--(季度经营税费!$D$4:$DT$4&gt;核心参数输入!$B$9*4-核心参数输入!$B$112)),0),0)</f>
        <v>278.76477973872022</v>
      </c>
      <c r="AB164" s="9">
        <f>IF(24&lt;=核心参数输入!$B$9*4,IF(AND(24-核心参数输入!$B$112&gt;=0,24-核心参数输入!$B$112&lt;=120),INDEX(季度经营税费!$D$146:$DT$146,1,MAX(1,MIN(121,24-核心参数输入!$B$112+1))),0)+IF(24=核心参数输入!$B$9*4,SUMPRODUCT(季度经营税费!$D$146:$DT$146,--(季度经营税费!$D$4:$DT$4&gt;核心参数输入!$B$9*4-核心参数输入!$B$112)),0)+IF(AND(24-核心参数输入!$B$112&gt;=0,24-核心参数输入!$B$112&lt;=120),INDEX(季度经营税费!$D$150:$DT$150,1,MAX(1,MIN(121,24-核心参数输入!$B$112+1))),0)+IF(24=核心参数输入!$B$9*4,SUMPRODUCT(季度经营税费!$D$150:$DT$150,--(季度经营税费!$D$4:$DT$4&gt;核心参数输入!$B$9*4-核心参数输入!$B$112)),0),0)</f>
        <v>279.80176715236138</v>
      </c>
      <c r="AC164" s="9">
        <f>IF(25&lt;=核心参数输入!$B$9*4,IF(AND(25-核心参数输入!$B$112&gt;=0,25-核心参数输入!$B$112&lt;=120),INDEX(季度经营税费!$D$146:$DT$146,1,MAX(1,MIN(121,25-核心参数输入!$B$112+1))),0)+IF(25=核心参数输入!$B$9*4,SUMPRODUCT(季度经营税费!$D$146:$DT$146,--(季度经营税费!$D$4:$DT$4&gt;核心参数输入!$B$9*4-核心参数输入!$B$112)),0)+IF(AND(25-核心参数输入!$B$112&gt;=0,25-核心参数输入!$B$112&lt;=120),INDEX(季度经营税费!$D$150:$DT$150,1,MAX(1,MIN(121,25-核心参数输入!$B$112+1))),0)+IF(25=核心参数输入!$B$9*4,SUMPRODUCT(季度经营税费!$D$150:$DT$150,--(季度经营税费!$D$4:$DT$4&gt;核心参数输入!$B$9*4-核心参数输入!$B$112)),0),0)</f>
        <v>20.524573384492573</v>
      </c>
      <c r="AD164" s="9">
        <f>IF(26&lt;=核心参数输入!$B$9*4,IF(AND(26-核心参数输入!$B$112&gt;=0,26-核心参数输入!$B$112&lt;=120),INDEX(季度经营税费!$D$146:$DT$146,1,MAX(1,MIN(121,26-核心参数输入!$B$112+1))),0)+IF(26=核心参数输入!$B$9*4,SUMPRODUCT(季度经营税费!$D$146:$DT$146,--(季度经营税费!$D$4:$DT$4&gt;核心参数输入!$B$9*4-核心参数输入!$B$112)),0)+IF(AND(26-核心参数输入!$B$112&gt;=0,26-核心参数输入!$B$112&lt;=120),INDEX(季度经营税费!$D$150:$DT$150,1,MAX(1,MIN(121,26-核心参数输入!$B$112+1))),0)+IF(26=核心参数输入!$B$9*4,SUMPRODUCT(季度经营税费!$D$150:$DT$150,--(季度经营税费!$D$4:$DT$4&gt;核心参数输入!$B$9*4-核心参数输入!$B$112)),0),0)</f>
        <v>21.226268201056421</v>
      </c>
      <c r="AE164" s="9">
        <f>IF(27&lt;=核心参数输入!$B$9*4,IF(AND(27-核心参数输入!$B$112&gt;=0,27-核心参数输入!$B$112&lt;=120),INDEX(季度经营税费!$D$146:$DT$146,1,MAX(1,MIN(121,27-核心参数输入!$B$112+1))),0)+IF(27=核心参数输入!$B$9*4,SUMPRODUCT(季度经营税费!$D$146:$DT$146,--(季度经营税费!$D$4:$DT$4&gt;核心参数输入!$B$9*4-核心参数输入!$B$112)),0)+IF(AND(27-核心参数输入!$B$112&gt;=0,27-核心参数输入!$B$112&lt;=120),INDEX(季度经营税费!$D$150:$DT$150,1,MAX(1,MIN(121,27-核心参数输入!$B$112+1))),0)+IF(27=核心参数输入!$B$9*4,SUMPRODUCT(季度经营税费!$D$150:$DT$150,--(季度经营税费!$D$4:$DT$4&gt;核心参数输入!$B$9*4-核心参数输入!$B$112)),0),0)</f>
        <v>21.577115609338346</v>
      </c>
      <c r="AF164" s="9">
        <f>IF(28&lt;=核心参数输入!$B$9*4,IF(AND(28-核心参数输入!$B$112&gt;=0,28-核心参数输入!$B$112&lt;=120),INDEX(季度经营税费!$D$146:$DT$146,1,MAX(1,MIN(121,28-核心参数输入!$B$112+1))),0)+IF(28=核心参数输入!$B$9*4,SUMPRODUCT(季度经营税费!$D$146:$DT$146,--(季度经营税费!$D$4:$DT$4&gt;核心参数输入!$B$9*4-核心参数输入!$B$112)),0)+IF(AND(28-核心参数输入!$B$112&gt;=0,28-核心参数输入!$B$112&lt;=120),INDEX(季度经营税费!$D$150:$DT$150,1,MAX(1,MIN(121,28-核心参数输入!$B$112+1))),0)+IF(28=核心参数输入!$B$9*4,SUMPRODUCT(季度经营税费!$D$150:$DT$150,--(季度经营税费!$D$4:$DT$4&gt;核心参数输入!$B$9*4-核心参数输入!$B$112)),0),0)</f>
        <v>21.927963017620272</v>
      </c>
      <c r="AG164" s="9">
        <f>IF(29&lt;=核心参数输入!$B$9*4,IF(AND(29-核心参数输入!$B$112&gt;=0,29-核心参数输入!$B$112&lt;=120),INDEX(季度经营税费!$D$146:$DT$146,1,MAX(1,MIN(121,29-核心参数输入!$B$112+1))),0)+IF(29=核心参数输入!$B$9*4,SUMPRODUCT(季度经营税费!$D$146:$DT$146,--(季度经营税费!$D$4:$DT$4&gt;核心参数输入!$B$9*4-核心参数输入!$B$112)),0)+IF(AND(29-核心参数输入!$B$112&gt;=0,29-核心参数输入!$B$112&lt;=120),INDEX(季度经营税费!$D$150:$DT$150,1,MAX(1,MIN(121,29-核心参数输入!$B$112+1))),0)+IF(29=核心参数输入!$B$9*4,SUMPRODUCT(季度经营税费!$D$150:$DT$150,--(季度经营税费!$D$4:$DT$4&gt;核心参数输入!$B$9*4-核心参数输入!$B$112)),0),0)</f>
        <v>22.61299258229073</v>
      </c>
      <c r="AH164" s="9">
        <f>IF(30&lt;=核心参数输入!$B$9*4,IF(AND(30-核心参数输入!$B$112&gt;=0,30-核心参数输入!$B$112&lt;=120),INDEX(季度经营税费!$D$146:$DT$146,1,MAX(1,MIN(121,30-核心参数输入!$B$112+1))),0)+IF(30=核心参数输入!$B$9*4,SUMPRODUCT(季度经营税费!$D$146:$DT$146,--(季度经营税费!$D$4:$DT$4&gt;核心参数输入!$B$9*4-核心参数输入!$B$112)),0)+IF(AND(30-核心参数输入!$B$112&gt;=0,30-核心参数输入!$B$112&lt;=120),INDEX(季度经营税费!$D$150:$DT$150,1,MAX(1,MIN(121,30-核心参数输入!$B$112+1))),0)+IF(30=核心参数输入!$B$9*4,SUMPRODUCT(季度经营税费!$D$150:$DT$150,--(季度经营税费!$D$4:$DT$4&gt;核心参数输入!$B$9*4-核心参数输入!$B$112)),0),0)</f>
        <v>22.791047641993806</v>
      </c>
      <c r="AI164" s="9">
        <f>IF(31&lt;=核心参数输入!$B$9*4,IF(AND(31-核心参数输入!$B$112&gt;=0,31-核心参数输入!$B$112&lt;=120),INDEX(季度经营税费!$D$146:$DT$146,1,MAX(1,MIN(121,31-核心参数输入!$B$112+1))),0)+IF(31=核心参数输入!$B$9*4,SUMPRODUCT(季度经营税费!$D$146:$DT$146,--(季度经营税费!$D$4:$DT$4&gt;核心参数输入!$B$9*4-核心参数输入!$B$112)),0)+IF(AND(31-核心参数输入!$B$112&gt;=0,31-核心参数输入!$B$112&lt;=120),INDEX(季度经营税费!$D$150:$DT$150,1,MAX(1,MIN(121,31-核心参数输入!$B$112+1))),0)+IF(31=核心参数输入!$B$9*4,SUMPRODUCT(季度经营税费!$D$150:$DT$150,--(季度经营税费!$D$4:$DT$4&gt;核心参数输入!$B$9*4-核心参数输入!$B$112)),0),0)</f>
        <v>22.791047641993806</v>
      </c>
      <c r="AJ164" s="9">
        <f>IF(32&lt;=核心参数输入!$B$9*4,IF(AND(32-核心参数输入!$B$112&gt;=0,32-核心参数输入!$B$112&lt;=120),INDEX(季度经营税费!$D$146:$DT$146,1,MAX(1,MIN(121,32-核心参数输入!$B$112+1))),0)+IF(32=核心参数输入!$B$9*4,SUMPRODUCT(季度经营税费!$D$146:$DT$146,--(季度经营税费!$D$4:$DT$4&gt;核心参数输入!$B$9*4-核心参数输入!$B$112)),0)+IF(AND(32-核心参数输入!$B$112&gt;=0,32-核心参数输入!$B$112&lt;=120),INDEX(季度经营税费!$D$150:$DT$150,1,MAX(1,MIN(121,32-核心参数输入!$B$112+1))),0)+IF(32=核心参数输入!$B$9*4,SUMPRODUCT(季度经营税费!$D$150:$DT$150,--(季度经营税费!$D$4:$DT$4&gt;核心参数输入!$B$9*4-核心参数输入!$B$112)),0),0)</f>
        <v>22.791047641993806</v>
      </c>
      <c r="AK164" s="9">
        <f>IF(33&lt;=核心参数输入!$B$9*4,IF(AND(33-核心参数输入!$B$112&gt;=0,33-核心参数输入!$B$112&lt;=120),INDEX(季度经营税费!$D$146:$DT$146,1,MAX(1,MIN(121,33-核心参数输入!$B$112+1))),0)+IF(33=核心参数输入!$B$9*4,SUMPRODUCT(季度经营税费!$D$146:$DT$146,--(季度经营税费!$D$4:$DT$4&gt;核心参数输入!$B$9*4-核心参数输入!$B$112)),0)+IF(AND(33-核心参数输入!$B$112&gt;=0,33-核心参数输入!$B$112&lt;=120),INDEX(季度经营税费!$D$150:$DT$150,1,MAX(1,MIN(121,33-核心参数输入!$B$112+1))),0)+IF(33=核心参数输入!$B$9*4,SUMPRODUCT(季度经营税费!$D$150:$DT$150,--(季度经营税费!$D$4:$DT$4&gt;核心参数输入!$B$9*4-核心参数输入!$B$112)),0),0)</f>
        <v>23.132913356623714</v>
      </c>
      <c r="AL164" s="9">
        <f>IF(34&lt;=核心参数输入!$B$9*4,IF(AND(34-核心参数输入!$B$112&gt;=0,34-核心参数输入!$B$112&lt;=120),INDEX(季度经营税费!$D$146:$DT$146,1,MAX(1,MIN(121,34-核心参数输入!$B$112+1))),0)+IF(34=核心参数输入!$B$9*4,SUMPRODUCT(季度经营税费!$D$146:$DT$146,--(季度经营税费!$D$4:$DT$4&gt;核心参数输入!$B$9*4-核心参数输入!$B$112)),0)+IF(AND(34-核心参数输入!$B$112&gt;=0,34-核心参数输入!$B$112&lt;=120),INDEX(季度经营税费!$D$150:$DT$150,1,MAX(1,MIN(121,34-核心参数输入!$B$112+1))),0)+IF(34=核心参数输入!$B$9*4,SUMPRODUCT(季度经营税费!$D$150:$DT$150,--(季度经营税费!$D$4:$DT$4&gt;核心参数输入!$B$9*4-核心参数输入!$B$112)),0),0)</f>
        <v>23.132913356623714</v>
      </c>
      <c r="AM164" s="9">
        <f>IF(35&lt;=核心参数输入!$B$9*4,IF(AND(35-核心参数输入!$B$112&gt;=0,35-核心参数输入!$B$112&lt;=120),INDEX(季度经营税费!$D$146:$DT$146,1,MAX(1,MIN(121,35-核心参数输入!$B$112+1))),0)+IF(35=核心参数输入!$B$9*4,SUMPRODUCT(季度经营税费!$D$146:$DT$146,--(季度经营税费!$D$4:$DT$4&gt;核心参数输入!$B$9*4-核心参数输入!$B$112)),0)+IF(AND(35-核心参数输入!$B$112&gt;=0,35-核心参数输入!$B$112&lt;=120),INDEX(季度经营税费!$D$150:$DT$150,1,MAX(1,MIN(121,35-核心参数输入!$B$112+1))),0)+IF(35=核心参数输入!$B$9*4,SUMPRODUCT(季度经营税费!$D$150:$DT$150,--(季度经营税费!$D$4:$DT$4&gt;核心参数输入!$B$9*4-核心参数输入!$B$112)),0),0)</f>
        <v>23.132913356623714</v>
      </c>
      <c r="AN164" s="9">
        <f>IF(36&lt;=核心参数输入!$B$9*4,IF(AND(36-核心参数输入!$B$112&gt;=0,36-核心参数输入!$B$112&lt;=120),INDEX(季度经营税费!$D$146:$DT$146,1,MAX(1,MIN(121,36-核心参数输入!$B$112+1))),0)+IF(36=核心参数输入!$B$9*4,SUMPRODUCT(季度经营税费!$D$146:$DT$146,--(季度经营税费!$D$4:$DT$4&gt;核心参数输入!$B$9*4-核心参数输入!$B$112)),0)+IF(AND(36-核心参数输入!$B$112&gt;=0,36-核心参数输入!$B$112&lt;=120),INDEX(季度经营税费!$D$150:$DT$150,1,MAX(1,MIN(121,36-核心参数输入!$B$112+1))),0)+IF(36=核心参数输入!$B$9*4,SUMPRODUCT(季度经营税费!$D$150:$DT$150,--(季度经营税费!$D$4:$DT$4&gt;核心参数输入!$B$9*4-核心参数输入!$B$112)),0),0)</f>
        <v>23.132913356623714</v>
      </c>
      <c r="AO164" s="9">
        <f>IF(37&lt;=核心参数输入!$B$9*4,IF(AND(37-核心参数输入!$B$112&gt;=0,37-核心参数输入!$B$112&lt;=120),INDEX(季度经营税费!$D$146:$DT$146,1,MAX(1,MIN(121,37-核心参数输入!$B$112+1))),0)+IF(37=核心参数输入!$B$9*4,SUMPRODUCT(季度经营税费!$D$146:$DT$146,--(季度经营税费!$D$4:$DT$4&gt;核心参数输入!$B$9*4-核心参数输入!$B$112)),0)+IF(AND(37-核心参数输入!$B$112&gt;=0,37-核心参数输入!$B$112&lt;=120),INDEX(季度经营税费!$D$150:$DT$150,1,MAX(1,MIN(121,37-核心参数输入!$B$112+1))),0)+IF(37=核心参数输入!$B$9*4,SUMPRODUCT(季度经营税费!$D$150:$DT$150,--(季度经营税费!$D$4:$DT$4&gt;核心参数输入!$B$9*4-核心参数输入!$B$112)),0),0)</f>
        <v>23.479907056973062</v>
      </c>
      <c r="AP164" s="9">
        <f>IF(38&lt;=核心参数输入!$B$9*4,IF(AND(38-核心参数输入!$B$112&gt;=0,38-核心参数输入!$B$112&lt;=120),INDEX(季度经营税费!$D$146:$DT$146,1,MAX(1,MIN(121,38-核心参数输入!$B$112+1))),0)+IF(38=核心参数输入!$B$9*4,SUMPRODUCT(季度经营税费!$D$146:$DT$146,--(季度经营税费!$D$4:$DT$4&gt;核心参数输入!$B$9*4-核心参数输入!$B$112)),0)+IF(AND(38-核心参数输入!$B$112&gt;=0,38-核心参数输入!$B$112&lt;=120),INDEX(季度经营税费!$D$150:$DT$150,1,MAX(1,MIN(121,38-核心参数输入!$B$112+1))),0)+IF(38=核心参数输入!$B$9*4,SUMPRODUCT(季度经营税费!$D$150:$DT$150,--(季度经营税费!$D$4:$DT$4&gt;核心参数输入!$B$9*4-核心参数输入!$B$112)),0),0)</f>
        <v>23.479907056973062</v>
      </c>
      <c r="AQ164" s="9">
        <f>IF(39&lt;=核心参数输入!$B$9*4,IF(AND(39-核心参数输入!$B$112&gt;=0,39-核心参数输入!$B$112&lt;=120),INDEX(季度经营税费!$D$146:$DT$146,1,MAX(1,MIN(121,39-核心参数输入!$B$112+1))),0)+IF(39=核心参数输入!$B$9*4,SUMPRODUCT(季度经营税费!$D$146:$DT$146,--(季度经营税费!$D$4:$DT$4&gt;核心参数输入!$B$9*4-核心参数输入!$B$112)),0)+IF(AND(39-核心参数输入!$B$112&gt;=0,39-核心参数输入!$B$112&lt;=120),INDEX(季度经营税费!$D$150:$DT$150,1,MAX(1,MIN(121,39-核心参数输入!$B$112+1))),0)+IF(39=核心参数输入!$B$9*4,SUMPRODUCT(季度经营税费!$D$150:$DT$150,--(季度经营税费!$D$4:$DT$4&gt;核心参数输入!$B$9*4-核心参数输入!$B$112)),0),0)</f>
        <v>23.479907056973062</v>
      </c>
      <c r="AR164" s="9">
        <f>IF(40&lt;=核心参数输入!$B$9*4,IF(AND(40-核心参数输入!$B$112&gt;=0,40-核心参数输入!$B$112&lt;=120),INDEX(季度经营税费!$D$146:$DT$146,1,MAX(1,MIN(121,40-核心参数输入!$B$112+1))),0)+IF(40=核心参数输入!$B$9*4,SUMPRODUCT(季度经营税费!$D$146:$DT$146,--(季度经营税费!$D$4:$DT$4&gt;核心参数输入!$B$9*4-核心参数输入!$B$112)),0)+IF(AND(40-核心参数输入!$B$112&gt;=0,40-核心参数输入!$B$112&lt;=120),INDEX(季度经营税费!$D$150:$DT$150,1,MAX(1,MIN(121,40-核心参数输入!$B$112+1))),0)+IF(40=核心参数输入!$B$9*4,SUMPRODUCT(季度经营税费!$D$150:$DT$150,--(季度经营税费!$D$4:$DT$4&gt;核心参数输入!$B$9*4-核心参数输入!$B$112)),0),0)</f>
        <v>23.479907056973062</v>
      </c>
      <c r="AS164" s="9">
        <f>IF(41&lt;=核心参数输入!$B$9*4,IF(AND(41-核心参数输入!$B$112&gt;=0,41-核心参数输入!$B$112&lt;=120),INDEX(季度经营税费!$D$146:$DT$146,1,MAX(1,MIN(121,41-核心参数输入!$B$112+1))),0)+IF(41=核心参数输入!$B$9*4,SUMPRODUCT(季度经营税费!$D$146:$DT$146,--(季度经营税费!$D$4:$DT$4&gt;核心参数输入!$B$9*4-核心参数输入!$B$112)),0)+IF(AND(41-核心参数输入!$B$112&gt;=0,41-核心参数输入!$B$112&lt;=120),INDEX(季度经营税费!$D$150:$DT$150,1,MAX(1,MIN(121,41-核心参数输入!$B$112+1))),0)+IF(41=核心参数输入!$B$9*4,SUMPRODUCT(季度经营税费!$D$150:$DT$150,--(季度经营税费!$D$4:$DT$4&gt;核心参数输入!$B$9*4-核心参数输入!$B$112)),0),0)</f>
        <v>23.832105662827654</v>
      </c>
      <c r="AT164" s="9">
        <f>IF(42&lt;=核心参数输入!$B$9*4,IF(AND(42-核心参数输入!$B$112&gt;=0,42-核心参数输入!$B$112&lt;=120),INDEX(季度经营税费!$D$146:$DT$146,1,MAX(1,MIN(121,42-核心参数输入!$B$112+1))),0)+IF(42=核心参数输入!$B$9*4,SUMPRODUCT(季度经营税费!$D$146:$DT$146,--(季度经营税费!$D$4:$DT$4&gt;核心参数输入!$B$9*4-核心参数输入!$B$112)),0)+IF(AND(42-核心参数输入!$B$112&gt;=0,42-核心参数输入!$B$112&lt;=120),INDEX(季度经营税费!$D$150:$DT$150,1,MAX(1,MIN(121,42-核心参数输入!$B$112+1))),0)+IF(42=核心参数输入!$B$9*4,SUMPRODUCT(季度经营税费!$D$150:$DT$150,--(季度经营税费!$D$4:$DT$4&gt;核心参数输入!$B$9*4-核心参数输入!$B$112)),0),0)</f>
        <v>23.832105662827654</v>
      </c>
      <c r="AU164" s="9">
        <f>IF(43&lt;=核心参数输入!$B$9*4,IF(AND(43-核心参数输入!$B$112&gt;=0,43-核心参数输入!$B$112&lt;=120),INDEX(季度经营税费!$D$146:$DT$146,1,MAX(1,MIN(121,43-核心参数输入!$B$112+1))),0)+IF(43=核心参数输入!$B$9*4,SUMPRODUCT(季度经营税费!$D$146:$DT$146,--(季度经营税费!$D$4:$DT$4&gt;核心参数输入!$B$9*4-核心参数输入!$B$112)),0)+IF(AND(43-核心参数输入!$B$112&gt;=0,43-核心参数输入!$B$112&lt;=120),INDEX(季度经营税费!$D$150:$DT$150,1,MAX(1,MIN(121,43-核心参数输入!$B$112+1))),0)+IF(43=核心参数输入!$B$9*4,SUMPRODUCT(季度经营税费!$D$150:$DT$150,--(季度经营税费!$D$4:$DT$4&gt;核心参数输入!$B$9*4-核心参数输入!$B$112)),0),0)</f>
        <v>23.832105662827654</v>
      </c>
      <c r="AV164" s="9">
        <f>IF(44&lt;=核心参数输入!$B$9*4,IF(AND(44-核心参数输入!$B$112&gt;=0,44-核心参数输入!$B$112&lt;=120),INDEX(季度经营税费!$D$146:$DT$146,1,MAX(1,MIN(121,44-核心参数输入!$B$112+1))),0)+IF(44=核心参数输入!$B$9*4,SUMPRODUCT(季度经营税费!$D$146:$DT$146,--(季度经营税费!$D$4:$DT$4&gt;核心参数输入!$B$9*4-核心参数输入!$B$112)),0)+IF(AND(44-核心参数输入!$B$112&gt;=0,44-核心参数输入!$B$112&lt;=120),INDEX(季度经营税费!$D$150:$DT$150,1,MAX(1,MIN(121,44-核心参数输入!$B$112+1))),0)+IF(44=核心参数输入!$B$9*4,SUMPRODUCT(季度经营税费!$D$150:$DT$150,--(季度经营税费!$D$4:$DT$4&gt;核心参数输入!$B$9*4-核心参数输入!$B$112)),0),0)</f>
        <v>23.832105662827654</v>
      </c>
      <c r="AW164" s="9">
        <f>IF(45&lt;=核心参数输入!$B$9*4,IF(AND(45-核心参数输入!$B$112&gt;=0,45-核心参数输入!$B$112&lt;=120),INDEX(季度经营税费!$D$146:$DT$146,1,MAX(1,MIN(121,45-核心参数输入!$B$112+1))),0)+IF(45=核心参数输入!$B$9*4,SUMPRODUCT(季度经营税费!$D$146:$DT$146,--(季度经营税费!$D$4:$DT$4&gt;核心参数输入!$B$9*4-核心参数输入!$B$112)),0)+IF(AND(45-核心参数输入!$B$112&gt;=0,45-核心参数输入!$B$112&lt;=120),INDEX(季度经营税费!$D$150:$DT$150,1,MAX(1,MIN(121,45-核心参数输入!$B$112+1))),0)+IF(45=核心参数输入!$B$9*4,SUMPRODUCT(季度经营税费!$D$150:$DT$150,--(季度经营税费!$D$4:$DT$4&gt;核心参数输入!$B$9*4-核心参数输入!$B$112)),0),0)</f>
        <v>24.189587247770064</v>
      </c>
      <c r="AX164" s="9">
        <f>IF(46&lt;=核心参数输入!$B$9*4,IF(AND(46-核心参数输入!$B$112&gt;=0,46-核心参数输入!$B$112&lt;=120),INDEX(季度经营税费!$D$146:$DT$146,1,MAX(1,MIN(121,46-核心参数输入!$B$112+1))),0)+IF(46=核心参数输入!$B$9*4,SUMPRODUCT(季度经营税费!$D$146:$DT$146,--(季度经营税费!$D$4:$DT$4&gt;核心参数输入!$B$9*4-核心参数输入!$B$112)),0)+IF(AND(46-核心参数输入!$B$112&gt;=0,46-核心参数输入!$B$112&lt;=120),INDEX(季度经营税费!$D$150:$DT$150,1,MAX(1,MIN(121,46-核心参数输入!$B$112+1))),0)+IF(46=核心参数输入!$B$9*4,SUMPRODUCT(季度经营税费!$D$150:$DT$150,--(季度经营税费!$D$4:$DT$4&gt;核心参数输入!$B$9*4-核心参数输入!$B$112)),0),0)</f>
        <v>24.189587247770064</v>
      </c>
      <c r="AY164" s="9">
        <f>IF(47&lt;=核心参数输入!$B$9*4,IF(AND(47-核心参数输入!$B$112&gt;=0,47-核心参数输入!$B$112&lt;=120),INDEX(季度经营税费!$D$146:$DT$146,1,MAX(1,MIN(121,47-核心参数输入!$B$112+1))),0)+IF(47=核心参数输入!$B$9*4,SUMPRODUCT(季度经营税费!$D$146:$DT$146,--(季度经营税费!$D$4:$DT$4&gt;核心参数输入!$B$9*4-核心参数输入!$B$112)),0)+IF(AND(47-核心参数输入!$B$112&gt;=0,47-核心参数输入!$B$112&lt;=120),INDEX(季度经营税费!$D$150:$DT$150,1,MAX(1,MIN(121,47-核心参数输入!$B$112+1))),0)+IF(47=核心参数输入!$B$9*4,SUMPRODUCT(季度经营税费!$D$150:$DT$150,--(季度经营税费!$D$4:$DT$4&gt;核心参数输入!$B$9*4-核心参数输入!$B$112)),0),0)</f>
        <v>24.189587247770064</v>
      </c>
      <c r="AZ164" s="9">
        <f>IF(48&lt;=核心参数输入!$B$9*4,IF(AND(48-核心参数输入!$B$112&gt;=0,48-核心参数输入!$B$112&lt;=120),INDEX(季度经营税费!$D$146:$DT$146,1,MAX(1,MIN(121,48-核心参数输入!$B$112+1))),0)+IF(48=核心参数输入!$B$9*4,SUMPRODUCT(季度经营税费!$D$146:$DT$146,--(季度经营税费!$D$4:$DT$4&gt;核心参数输入!$B$9*4-核心参数输入!$B$112)),0)+IF(AND(48-核心参数输入!$B$112&gt;=0,48-核心参数输入!$B$112&lt;=120),INDEX(季度经营税费!$D$150:$DT$150,1,MAX(1,MIN(121,48-核心参数输入!$B$112+1))),0)+IF(48=核心参数输入!$B$9*4,SUMPRODUCT(季度经营税费!$D$150:$DT$150,--(季度经营税费!$D$4:$DT$4&gt;核心参数输入!$B$9*4-核心参数输入!$B$112)),0),0)</f>
        <v>24.189587247770064</v>
      </c>
      <c r="BA164" s="9">
        <f>IF(49&lt;=核心参数输入!$B$9*4,IF(AND(49-核心参数输入!$B$112&gt;=0,49-核心参数输入!$B$112&lt;=120),INDEX(季度经营税费!$D$146:$DT$146,1,MAX(1,MIN(121,49-核心参数输入!$B$112+1))),0)+IF(49=核心参数输入!$B$9*4,SUMPRODUCT(季度经营税费!$D$146:$DT$146,--(季度经营税费!$D$4:$DT$4&gt;核心参数输入!$B$9*4-核心参数输入!$B$112)),0)+IF(AND(49-核心参数输入!$B$112&gt;=0,49-核心参数输入!$B$112&lt;=120),INDEX(季度经营税费!$D$150:$DT$150,1,MAX(1,MIN(121,49-核心参数输入!$B$112+1))),0)+IF(49=核心参数输入!$B$9*4,SUMPRODUCT(季度经营税费!$D$150:$DT$150,--(季度经营税费!$D$4:$DT$4&gt;核心参数输入!$B$9*4-核心参数输入!$B$112)),0),0)</f>
        <v>24.552431056486615</v>
      </c>
      <c r="BB164" s="9">
        <f>IF(50&lt;=核心参数输入!$B$9*4,IF(AND(50-核心参数输入!$B$112&gt;=0,50-核心参数输入!$B$112&lt;=120),INDEX(季度经营税费!$D$146:$DT$146,1,MAX(1,MIN(121,50-核心参数输入!$B$112+1))),0)+IF(50=核心参数输入!$B$9*4,SUMPRODUCT(季度经营税费!$D$146:$DT$146,--(季度经营税费!$D$4:$DT$4&gt;核心参数输入!$B$9*4-核心参数输入!$B$112)),0)+IF(AND(50-核心参数输入!$B$112&gt;=0,50-核心参数输入!$B$112&lt;=120),INDEX(季度经营税费!$D$150:$DT$150,1,MAX(1,MIN(121,50-核心参数输入!$B$112+1))),0)+IF(50=核心参数输入!$B$9*4,SUMPRODUCT(季度经营税费!$D$150:$DT$150,--(季度经营税费!$D$4:$DT$4&gt;核心参数输入!$B$9*4-核心参数输入!$B$112)),0),0)</f>
        <v>24.552431056486615</v>
      </c>
      <c r="BC164" s="9">
        <f>IF(51&lt;=核心参数输入!$B$9*4,IF(AND(51-核心参数输入!$B$112&gt;=0,51-核心参数输入!$B$112&lt;=120),INDEX(季度经营税费!$D$146:$DT$146,1,MAX(1,MIN(121,51-核心参数输入!$B$112+1))),0)+IF(51=核心参数输入!$B$9*4,SUMPRODUCT(季度经营税费!$D$146:$DT$146,--(季度经营税费!$D$4:$DT$4&gt;核心参数输入!$B$9*4-核心参数输入!$B$112)),0)+IF(AND(51-核心参数输入!$B$112&gt;=0,51-核心参数输入!$B$112&lt;=120),INDEX(季度经营税费!$D$150:$DT$150,1,MAX(1,MIN(121,51-核心参数输入!$B$112+1))),0)+IF(51=核心参数输入!$B$9*4,SUMPRODUCT(季度经营税费!$D$150:$DT$150,--(季度经营税费!$D$4:$DT$4&gt;核心参数输入!$B$9*4-核心参数输入!$B$112)),0),0)</f>
        <v>24.552431056486615</v>
      </c>
      <c r="BD164" s="9">
        <f>IF(52&lt;=核心参数输入!$B$9*4,IF(AND(52-核心参数输入!$B$112&gt;=0,52-核心参数输入!$B$112&lt;=120),INDEX(季度经营税费!$D$146:$DT$146,1,MAX(1,MIN(121,52-核心参数输入!$B$112+1))),0)+IF(52=核心参数输入!$B$9*4,SUMPRODUCT(季度经营税费!$D$146:$DT$146,--(季度经营税费!$D$4:$DT$4&gt;核心参数输入!$B$9*4-核心参数输入!$B$112)),0)+IF(AND(52-核心参数输入!$B$112&gt;=0,52-核心参数输入!$B$112&lt;=120),INDEX(季度经营税费!$D$150:$DT$150,1,MAX(1,MIN(121,52-核心参数输入!$B$112+1))),0)+IF(52=核心参数输入!$B$9*4,SUMPRODUCT(季度经营税费!$D$150:$DT$150,--(季度经营税费!$D$4:$DT$4&gt;核心参数输入!$B$9*4-核心参数输入!$B$112)),0),0)</f>
        <v>24.552431056486615</v>
      </c>
      <c r="BE164" s="9">
        <f>IF(53&lt;=核心参数输入!$B$9*4,IF(AND(53-核心参数输入!$B$112&gt;=0,53-核心参数输入!$B$112&lt;=120),INDEX(季度经营税费!$D$146:$DT$146,1,MAX(1,MIN(121,53-核心参数输入!$B$112+1))),0)+IF(53=核心参数输入!$B$9*4,SUMPRODUCT(季度经营税费!$D$146:$DT$146,--(季度经营税费!$D$4:$DT$4&gt;核心参数输入!$B$9*4-核心参数输入!$B$112)),0)+IF(AND(53-核心参数输入!$B$112&gt;=0,53-核心参数输入!$B$112&lt;=120),INDEX(季度经营税费!$D$150:$DT$150,1,MAX(1,MIN(121,53-核心参数输入!$B$112+1))),0)+IF(53=核心参数输入!$B$9*4,SUMPRODUCT(季度经营税费!$D$150:$DT$150,--(季度经营税费!$D$4:$DT$4&gt;核心参数输入!$B$9*4-核心参数输入!$B$112)),0),0)</f>
        <v>24.920717522333909</v>
      </c>
      <c r="BF164" s="9">
        <f>IF(54&lt;=核心参数输入!$B$9*4,IF(AND(54-核心参数输入!$B$112&gt;=0,54-核心参数输入!$B$112&lt;=120),INDEX(季度经营税费!$D$146:$DT$146,1,MAX(1,MIN(121,54-核心参数输入!$B$112+1))),0)+IF(54=核心参数输入!$B$9*4,SUMPRODUCT(季度经营税费!$D$146:$DT$146,--(季度经营税费!$D$4:$DT$4&gt;核心参数输入!$B$9*4-核心参数输入!$B$112)),0)+IF(AND(54-核心参数输入!$B$112&gt;=0,54-核心参数输入!$B$112&lt;=120),INDEX(季度经营税费!$D$150:$DT$150,1,MAX(1,MIN(121,54-核心参数输入!$B$112+1))),0)+IF(54=核心参数输入!$B$9*4,SUMPRODUCT(季度经营税费!$D$150:$DT$150,--(季度经营税费!$D$4:$DT$4&gt;核心参数输入!$B$9*4-核心参数输入!$B$112)),0),0)</f>
        <v>24.920717522333909</v>
      </c>
      <c r="BG164" s="9">
        <f>IF(55&lt;=核心参数输入!$B$9*4,IF(AND(55-核心参数输入!$B$112&gt;=0,55-核心参数输入!$B$112&lt;=120),INDEX(季度经营税费!$D$146:$DT$146,1,MAX(1,MIN(121,55-核心参数输入!$B$112+1))),0)+IF(55=核心参数输入!$B$9*4,SUMPRODUCT(季度经营税费!$D$146:$DT$146,--(季度经营税费!$D$4:$DT$4&gt;核心参数输入!$B$9*4-核心参数输入!$B$112)),0)+IF(AND(55-核心参数输入!$B$112&gt;=0,55-核心参数输入!$B$112&lt;=120),INDEX(季度经营税费!$D$150:$DT$150,1,MAX(1,MIN(121,55-核心参数输入!$B$112+1))),0)+IF(55=核心参数输入!$B$9*4,SUMPRODUCT(季度经营税费!$D$150:$DT$150,--(季度经营税费!$D$4:$DT$4&gt;核心参数输入!$B$9*4-核心参数输入!$B$112)),0),0)</f>
        <v>24.920717522333909</v>
      </c>
      <c r="BH164" s="9">
        <f>IF(56&lt;=核心参数输入!$B$9*4,IF(AND(56-核心参数输入!$B$112&gt;=0,56-核心参数输入!$B$112&lt;=120),INDEX(季度经营税费!$D$146:$DT$146,1,MAX(1,MIN(121,56-核心参数输入!$B$112+1))),0)+IF(56=核心参数输入!$B$9*4,SUMPRODUCT(季度经营税费!$D$146:$DT$146,--(季度经营税费!$D$4:$DT$4&gt;核心参数输入!$B$9*4-核心参数输入!$B$112)),0)+IF(AND(56-核心参数输入!$B$112&gt;=0,56-核心参数输入!$B$112&lt;=120),INDEX(季度经营税费!$D$150:$DT$150,1,MAX(1,MIN(121,56-核心参数输入!$B$112+1))),0)+IF(56=核心参数输入!$B$9*4,SUMPRODUCT(季度经营税费!$D$150:$DT$150,--(季度经营税费!$D$4:$DT$4&gt;核心参数输入!$B$9*4-核心参数输入!$B$112)),0),0)</f>
        <v>24.920717522333909</v>
      </c>
      <c r="BI164" s="9">
        <f>IF(57&lt;=核心参数输入!$B$9*4,IF(AND(57-核心参数输入!$B$112&gt;=0,57-核心参数输入!$B$112&lt;=120),INDEX(季度经营税费!$D$146:$DT$146,1,MAX(1,MIN(121,57-核心参数输入!$B$112+1))),0)+IF(57=核心参数输入!$B$9*4,SUMPRODUCT(季度经营税费!$D$146:$DT$146,--(季度经营税费!$D$4:$DT$4&gt;核心参数输入!$B$9*4-核心参数输入!$B$112)),0)+IF(AND(57-核心参数输入!$B$112&gt;=0,57-核心参数输入!$B$112&lt;=120),INDEX(季度经营税费!$D$150:$DT$150,1,MAX(1,MIN(121,57-核心参数输入!$B$112+1))),0)+IF(57=核心参数输入!$B$9*4,SUMPRODUCT(季度经营税费!$D$150:$DT$150,--(季度经营税费!$D$4:$DT$4&gt;核心参数输入!$B$9*4-核心参数输入!$B$112)),0),0)</f>
        <v>25.294528285168912</v>
      </c>
      <c r="BJ164" s="9">
        <f>IF(58&lt;=核心参数输入!$B$9*4,IF(AND(58-核心参数输入!$B$112&gt;=0,58-核心参数输入!$B$112&lt;=120),INDEX(季度经营税费!$D$146:$DT$146,1,MAX(1,MIN(121,58-核心参数输入!$B$112+1))),0)+IF(58=核心参数输入!$B$9*4,SUMPRODUCT(季度经营税费!$D$146:$DT$146,--(季度经营税费!$D$4:$DT$4&gt;核心参数输入!$B$9*4-核心参数输入!$B$112)),0)+IF(AND(58-核心参数输入!$B$112&gt;=0,58-核心参数输入!$B$112&lt;=120),INDEX(季度经营税费!$D$150:$DT$150,1,MAX(1,MIN(121,58-核心参数输入!$B$112+1))),0)+IF(58=核心参数输入!$B$9*4,SUMPRODUCT(季度经营税费!$D$150:$DT$150,--(季度经营税费!$D$4:$DT$4&gt;核心参数输入!$B$9*4-核心参数输入!$B$112)),0),0)</f>
        <v>25.294528285168912</v>
      </c>
      <c r="BK164" s="9">
        <f>IF(59&lt;=核心参数输入!$B$9*4,IF(AND(59-核心参数输入!$B$112&gt;=0,59-核心参数输入!$B$112&lt;=120),INDEX(季度经营税费!$D$146:$DT$146,1,MAX(1,MIN(121,59-核心参数输入!$B$112+1))),0)+IF(59=核心参数输入!$B$9*4,SUMPRODUCT(季度经营税费!$D$146:$DT$146,--(季度经营税费!$D$4:$DT$4&gt;核心参数输入!$B$9*4-核心参数输入!$B$112)),0)+IF(AND(59-核心参数输入!$B$112&gt;=0,59-核心参数输入!$B$112&lt;=120),INDEX(季度经营税费!$D$150:$DT$150,1,MAX(1,MIN(121,59-核心参数输入!$B$112+1))),0)+IF(59=核心参数输入!$B$9*4,SUMPRODUCT(季度经营税费!$D$150:$DT$150,--(季度经营税费!$D$4:$DT$4&gt;核心参数输入!$B$9*4-核心参数输入!$B$112)),0),0)</f>
        <v>25.294528285168912</v>
      </c>
      <c r="BL164" s="9">
        <f>IF(60&lt;=核心参数输入!$B$9*4,IF(AND(60-核心参数输入!$B$112&gt;=0,60-核心参数输入!$B$112&lt;=120),INDEX(季度经营税费!$D$146:$DT$146,1,MAX(1,MIN(121,60-核心参数输入!$B$112+1))),0)+IF(60=核心参数输入!$B$9*4,SUMPRODUCT(季度经营税费!$D$146:$DT$146,--(季度经营税费!$D$4:$DT$4&gt;核心参数输入!$B$9*4-核心参数输入!$B$112)),0)+IF(AND(60-核心参数输入!$B$112&gt;=0,60-核心参数输入!$B$112&lt;=120),INDEX(季度经营税费!$D$150:$DT$150,1,MAX(1,MIN(121,60-核心参数输入!$B$112+1))),0)+IF(60=核心参数输入!$B$9*4,SUMPRODUCT(季度经营税费!$D$150:$DT$150,--(季度经营税费!$D$4:$DT$4&gt;核心参数输入!$B$9*4-核心参数输入!$B$112)),0),0)</f>
        <v>25.294528285168912</v>
      </c>
      <c r="BM164" s="9">
        <f>IF(61&lt;=核心参数输入!$B$9*4,IF(AND(61-核心参数输入!$B$112&gt;=0,61-核心参数输入!$B$112&lt;=120),INDEX(季度经营税费!$D$146:$DT$146,1,MAX(1,MIN(121,61-核心参数输入!$B$112+1))),0)+IF(61=核心参数输入!$B$9*4,SUMPRODUCT(季度经营税费!$D$146:$DT$146,--(季度经营税费!$D$4:$DT$4&gt;核心参数输入!$B$9*4-核心参数输入!$B$112)),0)+IF(AND(61-核心参数输入!$B$112&gt;=0,61-核心参数输入!$B$112&lt;=120),INDEX(季度经营税费!$D$150:$DT$150,1,MAX(1,MIN(121,61-核心参数输入!$B$112+1))),0)+IF(61=核心参数输入!$B$9*4,SUMPRODUCT(季度经营税费!$D$150:$DT$150,--(季度经营税费!$D$4:$DT$4&gt;核心参数输入!$B$9*4-核心参数输入!$B$112)),0),0)</f>
        <v>25.673946209446438</v>
      </c>
      <c r="BN164" s="9">
        <f>IF(62&lt;=核心参数输入!$B$9*4,IF(AND(62-核心参数输入!$B$112&gt;=0,62-核心参数输入!$B$112&lt;=120),INDEX(季度经营税费!$D$146:$DT$146,1,MAX(1,MIN(121,62-核心参数输入!$B$112+1))),0)+IF(62=核心参数输入!$B$9*4,SUMPRODUCT(季度经营税费!$D$146:$DT$146,--(季度经营税费!$D$4:$DT$4&gt;核心参数输入!$B$9*4-核心参数输入!$B$112)),0)+IF(AND(62-核心参数输入!$B$112&gt;=0,62-核心参数输入!$B$112&lt;=120),INDEX(季度经营税费!$D$150:$DT$150,1,MAX(1,MIN(121,62-核心参数输入!$B$112+1))),0)+IF(62=核心参数输入!$B$9*4,SUMPRODUCT(季度经营税费!$D$150:$DT$150,--(季度经营税费!$D$4:$DT$4&gt;核心参数输入!$B$9*4-核心参数输入!$B$112)),0),0)</f>
        <v>25.673946209446438</v>
      </c>
      <c r="BO164" s="9">
        <f>IF(63&lt;=核心参数输入!$B$9*4,IF(AND(63-核心参数输入!$B$112&gt;=0,63-核心参数输入!$B$112&lt;=120),INDEX(季度经营税费!$D$146:$DT$146,1,MAX(1,MIN(121,63-核心参数输入!$B$112+1))),0)+IF(63=核心参数输入!$B$9*4,SUMPRODUCT(季度经营税费!$D$146:$DT$146,--(季度经营税费!$D$4:$DT$4&gt;核心参数输入!$B$9*4-核心参数输入!$B$112)),0)+IF(AND(63-核心参数输入!$B$112&gt;=0,63-核心参数输入!$B$112&lt;=120),INDEX(季度经营税费!$D$150:$DT$150,1,MAX(1,MIN(121,63-核心参数输入!$B$112+1))),0)+IF(63=核心参数输入!$B$9*4,SUMPRODUCT(季度经营税费!$D$150:$DT$150,--(季度经营税费!$D$4:$DT$4&gt;核心参数输入!$B$9*4-核心参数输入!$B$112)),0),0)</f>
        <v>25.673946209446438</v>
      </c>
      <c r="BP164" s="9">
        <f>IF(64&lt;=核心参数输入!$B$9*4,IF(AND(64-核心参数输入!$B$112&gt;=0,64-核心参数输入!$B$112&lt;=120),INDEX(季度经营税费!$D$146:$DT$146,1,MAX(1,MIN(121,64-核心参数输入!$B$112+1))),0)+IF(64=核心参数输入!$B$9*4,SUMPRODUCT(季度经营税费!$D$146:$DT$146,--(季度经营税费!$D$4:$DT$4&gt;核心参数输入!$B$9*4-核心参数输入!$B$112)),0)+IF(AND(64-核心参数输入!$B$112&gt;=0,64-核心参数输入!$B$112&lt;=120),INDEX(季度经营税费!$D$150:$DT$150,1,MAX(1,MIN(121,64-核心参数输入!$B$112+1))),0)+IF(64=核心参数输入!$B$9*4,SUMPRODUCT(季度经营税费!$D$150:$DT$150,--(季度经营税费!$D$4:$DT$4&gt;核心参数输入!$B$9*4-核心参数输入!$B$112)),0),0)</f>
        <v>25.673946209446438</v>
      </c>
      <c r="BQ164" s="9">
        <f>IF(65&lt;=核心参数输入!$B$9*4,IF(AND(65-核心参数输入!$B$112&gt;=0,65-核心参数输入!$B$112&lt;=120),INDEX(季度经营税费!$D$146:$DT$146,1,MAX(1,MIN(121,65-核心参数输入!$B$112+1))),0)+IF(65=核心参数输入!$B$9*4,SUMPRODUCT(季度经营税费!$D$146:$DT$146,--(季度经营税费!$D$4:$DT$4&gt;核心参数输入!$B$9*4-核心参数输入!$B$112)),0)+IF(AND(65-核心参数输入!$B$112&gt;=0,65-核心参数输入!$B$112&lt;=120),INDEX(季度经营税费!$D$150:$DT$150,1,MAX(1,MIN(121,65-核心参数输入!$B$112+1))),0)+IF(65=核心参数输入!$B$9*4,SUMPRODUCT(季度经营税费!$D$150:$DT$150,--(季度经营税费!$D$4:$DT$4&gt;核心参数输入!$B$9*4-核心参数输入!$B$112)),0),0)</f>
        <v>26.05905540258814</v>
      </c>
      <c r="BR164" s="9">
        <f>IF(66&lt;=核心参数输入!$B$9*4,IF(AND(66-核心参数输入!$B$112&gt;=0,66-核心参数输入!$B$112&lt;=120),INDEX(季度经营税费!$D$146:$DT$146,1,MAX(1,MIN(121,66-核心参数输入!$B$112+1))),0)+IF(66=核心参数输入!$B$9*4,SUMPRODUCT(季度经营税费!$D$146:$DT$146,--(季度经营税费!$D$4:$DT$4&gt;核心参数输入!$B$9*4-核心参数输入!$B$112)),0)+IF(AND(66-核心参数输入!$B$112&gt;=0,66-核心参数输入!$B$112&lt;=120),INDEX(季度经营税费!$D$150:$DT$150,1,MAX(1,MIN(121,66-核心参数输入!$B$112+1))),0)+IF(66=核心参数输入!$B$9*4,SUMPRODUCT(季度经营税费!$D$150:$DT$150,--(季度经营税费!$D$4:$DT$4&gt;核心参数输入!$B$9*4-核心参数输入!$B$112)),0),0)</f>
        <v>26.05905540258814</v>
      </c>
      <c r="BS164" s="9">
        <f>IF(67&lt;=核心参数输入!$B$9*4,IF(AND(67-核心参数输入!$B$112&gt;=0,67-核心参数输入!$B$112&lt;=120),INDEX(季度经营税费!$D$146:$DT$146,1,MAX(1,MIN(121,67-核心参数输入!$B$112+1))),0)+IF(67=核心参数输入!$B$9*4,SUMPRODUCT(季度经营税费!$D$146:$DT$146,--(季度经营税费!$D$4:$DT$4&gt;核心参数输入!$B$9*4-核心参数输入!$B$112)),0)+IF(AND(67-核心参数输入!$B$112&gt;=0,67-核心参数输入!$B$112&lt;=120),INDEX(季度经营税费!$D$150:$DT$150,1,MAX(1,MIN(121,67-核心参数输入!$B$112+1))),0)+IF(67=核心参数输入!$B$9*4,SUMPRODUCT(季度经营税费!$D$150:$DT$150,--(季度经营税费!$D$4:$DT$4&gt;核心参数输入!$B$9*4-核心参数输入!$B$112)),0),0)</f>
        <v>26.05905540258814</v>
      </c>
      <c r="BT164" s="9">
        <f>IF(68&lt;=核心参数输入!$B$9*4,IF(AND(68-核心参数输入!$B$112&gt;=0,68-核心参数输入!$B$112&lt;=120),INDEX(季度经营税费!$D$146:$DT$146,1,MAX(1,MIN(121,68-核心参数输入!$B$112+1))),0)+IF(68=核心参数输入!$B$9*4,SUMPRODUCT(季度经营税费!$D$146:$DT$146,--(季度经营税费!$D$4:$DT$4&gt;核心参数输入!$B$9*4-核心参数输入!$B$112)),0)+IF(AND(68-核心参数输入!$B$112&gt;=0,68-核心参数输入!$B$112&lt;=120),INDEX(季度经营税费!$D$150:$DT$150,1,MAX(1,MIN(121,68-核心参数输入!$B$112+1))),0)+IF(68=核心参数输入!$B$9*4,SUMPRODUCT(季度经营税费!$D$150:$DT$150,--(季度经营税费!$D$4:$DT$4&gt;核心参数输入!$B$9*4-核心参数输入!$B$112)),0),0)</f>
        <v>26.05905540258814</v>
      </c>
      <c r="BU164" s="9">
        <f>IF(69&lt;=核心参数输入!$B$9*4,IF(AND(69-核心参数输入!$B$112&gt;=0,69-核心参数输入!$B$112&lt;=120),INDEX(季度经营税费!$D$146:$DT$146,1,MAX(1,MIN(121,69-核心参数输入!$B$112+1))),0)+IF(69=核心参数输入!$B$9*4,SUMPRODUCT(季度经营税费!$D$146:$DT$146,--(季度经营税费!$D$4:$DT$4&gt;核心参数输入!$B$9*4-核心参数输入!$B$112)),0)+IF(AND(69-核心参数输入!$B$112&gt;=0,69-核心参数输入!$B$112&lt;=120),INDEX(季度经营税费!$D$150:$DT$150,1,MAX(1,MIN(121,69-核心参数输入!$B$112+1))),0)+IF(69=核心参数输入!$B$9*4,SUMPRODUCT(季度经营税费!$D$150:$DT$150,--(季度经营税费!$D$4:$DT$4&gt;核心参数输入!$B$9*4-核心参数输入!$B$112)),0),0)</f>
        <v>26.449941233626951</v>
      </c>
      <c r="BV164" s="9">
        <f>IF(70&lt;=核心参数输入!$B$9*4,IF(AND(70-核心参数输入!$B$112&gt;=0,70-核心参数输入!$B$112&lt;=120),INDEX(季度经营税费!$D$146:$DT$146,1,MAX(1,MIN(121,70-核心参数输入!$B$112+1))),0)+IF(70=核心参数输入!$B$9*4,SUMPRODUCT(季度经营税费!$D$146:$DT$146,--(季度经营税费!$D$4:$DT$4&gt;核心参数输入!$B$9*4-核心参数输入!$B$112)),0)+IF(AND(70-核心参数输入!$B$112&gt;=0,70-核心参数输入!$B$112&lt;=120),INDEX(季度经营税费!$D$150:$DT$150,1,MAX(1,MIN(121,70-核心参数输入!$B$112+1))),0)+IF(70=核心参数输入!$B$9*4,SUMPRODUCT(季度经营税费!$D$150:$DT$150,--(季度经营税费!$D$4:$DT$4&gt;核心参数输入!$B$9*4-核心参数输入!$B$112)),0),0)</f>
        <v>26.449941233626951</v>
      </c>
      <c r="BW164" s="9">
        <f>IF(71&lt;=核心参数输入!$B$9*4,IF(AND(71-核心参数输入!$B$112&gt;=0,71-核心参数输入!$B$112&lt;=120),INDEX(季度经营税费!$D$146:$DT$146,1,MAX(1,MIN(121,71-核心参数输入!$B$112+1))),0)+IF(71=核心参数输入!$B$9*4,SUMPRODUCT(季度经营税费!$D$146:$DT$146,--(季度经营税费!$D$4:$DT$4&gt;核心参数输入!$B$9*4-核心参数输入!$B$112)),0)+IF(AND(71-核心参数输入!$B$112&gt;=0,71-核心参数输入!$B$112&lt;=120),INDEX(季度经营税费!$D$150:$DT$150,1,MAX(1,MIN(121,71-核心参数输入!$B$112+1))),0)+IF(71=核心参数输入!$B$9*4,SUMPRODUCT(季度经营税费!$D$150:$DT$150,--(季度经营税费!$D$4:$DT$4&gt;核心参数输入!$B$9*4-核心参数输入!$B$112)),0),0)</f>
        <v>26.449941233626951</v>
      </c>
      <c r="BX164" s="9">
        <f>IF(72&lt;=核心参数输入!$B$9*4,IF(AND(72-核心参数输入!$B$112&gt;=0,72-核心参数输入!$B$112&lt;=120),INDEX(季度经营税费!$D$146:$DT$146,1,MAX(1,MIN(121,72-核心参数输入!$B$112+1))),0)+IF(72=核心参数输入!$B$9*4,SUMPRODUCT(季度经营税费!$D$146:$DT$146,--(季度经营税费!$D$4:$DT$4&gt;核心参数输入!$B$9*4-核心参数输入!$B$112)),0)+IF(AND(72-核心参数输入!$B$112&gt;=0,72-核心参数输入!$B$112&lt;=120),INDEX(季度经营税费!$D$150:$DT$150,1,MAX(1,MIN(121,72-核心参数输入!$B$112+1))),0)+IF(72=核心参数输入!$B$9*4,SUMPRODUCT(季度经营税费!$D$150:$DT$150,--(季度经营税费!$D$4:$DT$4&gt;核心参数输入!$B$9*4-核心参数输入!$B$112)),0),0)</f>
        <v>26.449941233626951</v>
      </c>
      <c r="BY164" s="9">
        <f>IF(73&lt;=核心参数输入!$B$9*4,IF(AND(73-核心参数输入!$B$112&gt;=0,73-核心参数输入!$B$112&lt;=120),INDEX(季度经营税费!$D$146:$DT$146,1,MAX(1,MIN(121,73-核心参数输入!$B$112+1))),0)+IF(73=核心参数输入!$B$9*4,SUMPRODUCT(季度经营税费!$D$146:$DT$146,--(季度经营税费!$D$4:$DT$4&gt;核心参数输入!$B$9*4-核心参数输入!$B$112)),0)+IF(AND(73-核心参数输入!$B$112&gt;=0,73-核心参数输入!$B$112&lt;=120),INDEX(季度经营税费!$D$150:$DT$150,1,MAX(1,MIN(121,73-核心参数输入!$B$112+1))),0)+IF(73=核心参数输入!$B$9*4,SUMPRODUCT(季度经营税费!$D$150:$DT$150,--(季度经营税费!$D$4:$DT$4&gt;核心参数输入!$B$9*4-核心参数输入!$B$112)),0),0)</f>
        <v>26.846690352131354</v>
      </c>
      <c r="BZ164" s="9">
        <f>IF(74&lt;=核心参数输入!$B$9*4,IF(AND(74-核心参数输入!$B$112&gt;=0,74-核心参数输入!$B$112&lt;=120),INDEX(季度经营税费!$D$146:$DT$146,1,MAX(1,MIN(121,74-核心参数输入!$B$112+1))),0)+IF(74=核心参数输入!$B$9*4,SUMPRODUCT(季度经营税费!$D$146:$DT$146,--(季度经营税费!$D$4:$DT$4&gt;核心参数输入!$B$9*4-核心参数输入!$B$112)),0)+IF(AND(74-核心参数输入!$B$112&gt;=0,74-核心参数输入!$B$112&lt;=120),INDEX(季度经营税费!$D$150:$DT$150,1,MAX(1,MIN(121,74-核心参数输入!$B$112+1))),0)+IF(74=核心参数输入!$B$9*4,SUMPRODUCT(季度经营税费!$D$150:$DT$150,--(季度经营税费!$D$4:$DT$4&gt;核心参数输入!$B$9*4-核心参数输入!$B$112)),0),0)</f>
        <v>26.846690352131354</v>
      </c>
      <c r="CA164" s="9">
        <f>IF(75&lt;=核心参数输入!$B$9*4,IF(AND(75-核心参数输入!$B$112&gt;=0,75-核心参数输入!$B$112&lt;=120),INDEX(季度经营税费!$D$146:$DT$146,1,MAX(1,MIN(121,75-核心参数输入!$B$112+1))),0)+IF(75=核心参数输入!$B$9*4,SUMPRODUCT(季度经营税费!$D$146:$DT$146,--(季度经营税费!$D$4:$DT$4&gt;核心参数输入!$B$9*4-核心参数输入!$B$112)),0)+IF(AND(75-核心参数输入!$B$112&gt;=0,75-核心参数输入!$B$112&lt;=120),INDEX(季度经营税费!$D$150:$DT$150,1,MAX(1,MIN(121,75-核心参数输入!$B$112+1))),0)+IF(75=核心参数输入!$B$9*4,SUMPRODUCT(季度经营税费!$D$150:$DT$150,--(季度经营税费!$D$4:$DT$4&gt;核心参数输入!$B$9*4-核心参数输入!$B$112)),0),0)</f>
        <v>26.846690352131354</v>
      </c>
      <c r="CB164" s="9">
        <f>IF(76&lt;=核心参数输入!$B$9*4,IF(AND(76-核心参数输入!$B$112&gt;=0,76-核心参数输入!$B$112&lt;=120),INDEX(季度经营税费!$D$146:$DT$146,1,MAX(1,MIN(121,76-核心参数输入!$B$112+1))),0)+IF(76=核心参数输入!$B$9*4,SUMPRODUCT(季度经营税费!$D$146:$DT$146,--(季度经营税费!$D$4:$DT$4&gt;核心参数输入!$B$9*4-核心参数输入!$B$112)),0)+IF(AND(76-核心参数输入!$B$112&gt;=0,76-核心参数输入!$B$112&lt;=120),INDEX(季度经营税费!$D$150:$DT$150,1,MAX(1,MIN(121,76-核心参数输入!$B$112+1))),0)+IF(76=核心参数输入!$B$9*4,SUMPRODUCT(季度经营税费!$D$150:$DT$150,--(季度经营税费!$D$4:$DT$4&gt;核心参数输入!$B$9*4-核心参数输入!$B$112)),0),0)</f>
        <v>26.846690352131354</v>
      </c>
      <c r="CC164" s="9">
        <f>IF(77&lt;=核心参数输入!$B$9*4,IF(AND(77-核心参数输入!$B$112&gt;=0,77-核心参数输入!$B$112&lt;=120),INDEX(季度经营税费!$D$146:$DT$146,1,MAX(1,MIN(121,77-核心参数输入!$B$112+1))),0)+IF(77=核心参数输入!$B$9*4,SUMPRODUCT(季度经营税费!$D$146:$DT$146,--(季度经营税费!$D$4:$DT$4&gt;核心参数输入!$B$9*4-核心参数输入!$B$112)),0)+IF(AND(77-核心参数输入!$B$112&gt;=0,77-核心参数输入!$B$112&lt;=120),INDEX(季度经营税费!$D$150:$DT$150,1,MAX(1,MIN(121,77-核心参数输入!$B$112+1))),0)+IF(77=核心参数输入!$B$9*4,SUMPRODUCT(季度经营税费!$D$150:$DT$150,--(季度经营税费!$D$4:$DT$4&gt;核心参数输入!$B$9*4-核心参数输入!$B$112)),0),0)</f>
        <v>27.249390707413323</v>
      </c>
      <c r="CD164" s="9">
        <f>IF(78&lt;=核心参数输入!$B$9*4,IF(AND(78-核心参数输入!$B$112&gt;=0,78-核心参数输入!$B$112&lt;=120),INDEX(季度经营税费!$D$146:$DT$146,1,MAX(1,MIN(121,78-核心参数输入!$B$112+1))),0)+IF(78=核心参数输入!$B$9*4,SUMPRODUCT(季度经营税费!$D$146:$DT$146,--(季度经营税费!$D$4:$DT$4&gt;核心参数输入!$B$9*4-核心参数输入!$B$112)),0)+IF(AND(78-核心参数输入!$B$112&gt;=0,78-核心参数输入!$B$112&lt;=120),INDEX(季度经营税费!$D$150:$DT$150,1,MAX(1,MIN(121,78-核心参数输入!$B$112+1))),0)+IF(78=核心参数输入!$B$9*4,SUMPRODUCT(季度经营税费!$D$150:$DT$150,--(季度经营税费!$D$4:$DT$4&gt;核心参数输入!$B$9*4-核心参数输入!$B$112)),0),0)</f>
        <v>27.249390707413323</v>
      </c>
      <c r="CE164" s="9">
        <f>IF(79&lt;=核心参数输入!$B$9*4,IF(AND(79-核心参数输入!$B$112&gt;=0,79-核心参数输入!$B$112&lt;=120),INDEX(季度经营税费!$D$146:$DT$146,1,MAX(1,MIN(121,79-核心参数输入!$B$112+1))),0)+IF(79=核心参数输入!$B$9*4,SUMPRODUCT(季度经营税费!$D$146:$DT$146,--(季度经营税费!$D$4:$DT$4&gt;核心参数输入!$B$9*4-核心参数输入!$B$112)),0)+IF(AND(79-核心参数输入!$B$112&gt;=0,79-核心参数输入!$B$112&lt;=120),INDEX(季度经营税费!$D$150:$DT$150,1,MAX(1,MIN(121,79-核心参数输入!$B$112+1))),0)+IF(79=核心参数输入!$B$9*4,SUMPRODUCT(季度经营税费!$D$150:$DT$150,--(季度经营税费!$D$4:$DT$4&gt;核心参数输入!$B$9*4-核心参数输入!$B$112)),0),0)</f>
        <v>27.249390707413323</v>
      </c>
      <c r="CF164" s="9">
        <f>IF(80&lt;=核心参数输入!$B$9*4,IF(AND(80-核心参数输入!$B$112&gt;=0,80-核心参数输入!$B$112&lt;=120),INDEX(季度经营税费!$D$146:$DT$146,1,MAX(1,MIN(121,80-核心参数输入!$B$112+1))),0)+IF(80=核心参数输入!$B$9*4,SUMPRODUCT(季度经营税费!$D$146:$DT$146,--(季度经营税费!$D$4:$DT$4&gt;核心参数输入!$B$9*4-核心参数输入!$B$112)),0)+IF(AND(80-核心参数输入!$B$112&gt;=0,80-核心参数输入!$B$112&lt;=120),INDEX(季度经营税费!$D$150:$DT$150,1,MAX(1,MIN(121,80-核心参数输入!$B$112+1))),0)+IF(80=核心参数输入!$B$9*4,SUMPRODUCT(季度经营税费!$D$150:$DT$150,--(季度经营税费!$D$4:$DT$4&gt;核心参数输入!$B$9*4-核心参数输入!$B$112)),0),0)</f>
        <v>27.249390707413323</v>
      </c>
      <c r="CG164" s="9">
        <f>IF(81&lt;=核心参数输入!$B$9*4,IF(AND(81-核心参数输入!$B$112&gt;=0,81-核心参数输入!$B$112&lt;=120),INDEX(季度经营税费!$D$146:$DT$146,1,MAX(1,MIN(121,81-核心参数输入!$B$112+1))),0)+IF(81=核心参数输入!$B$9*4,SUMPRODUCT(季度经营税费!$D$146:$DT$146,--(季度经营税费!$D$4:$DT$4&gt;核心参数输入!$B$9*4-核心参数输入!$B$112)),0)+IF(AND(81-核心参数输入!$B$112&gt;=0,81-核心参数输入!$B$112&lt;=120),INDEX(季度经营税费!$D$150:$DT$150,1,MAX(1,MIN(121,81-核心参数输入!$B$112+1))),0)+IF(81=核心参数输入!$B$9*4,SUMPRODUCT(季度经营税费!$D$150:$DT$150,--(季度经营税费!$D$4:$DT$4&gt;核心参数输入!$B$9*4-核心参数输入!$B$112)),0),0)</f>
        <v>0</v>
      </c>
      <c r="CH164" s="9">
        <f>IF(82&lt;=核心参数输入!$B$9*4,IF(AND(82-核心参数输入!$B$112&gt;=0,82-核心参数输入!$B$112&lt;=120),INDEX(季度经营税费!$D$146:$DT$146,1,MAX(1,MIN(121,82-核心参数输入!$B$112+1))),0)+IF(82=核心参数输入!$B$9*4,SUMPRODUCT(季度经营税费!$D$146:$DT$146,--(季度经营税费!$D$4:$DT$4&gt;核心参数输入!$B$9*4-核心参数输入!$B$112)),0)+IF(AND(82-核心参数输入!$B$112&gt;=0,82-核心参数输入!$B$112&lt;=120),INDEX(季度经营税费!$D$150:$DT$150,1,MAX(1,MIN(121,82-核心参数输入!$B$112+1))),0)+IF(82=核心参数输入!$B$9*4,SUMPRODUCT(季度经营税费!$D$150:$DT$150,--(季度经营税费!$D$4:$DT$4&gt;核心参数输入!$B$9*4-核心参数输入!$B$112)),0),0)</f>
        <v>0</v>
      </c>
      <c r="CI164" s="9">
        <f>IF(83&lt;=核心参数输入!$B$9*4,IF(AND(83-核心参数输入!$B$112&gt;=0,83-核心参数输入!$B$112&lt;=120),INDEX(季度经营税费!$D$146:$DT$146,1,MAX(1,MIN(121,83-核心参数输入!$B$112+1))),0)+IF(83=核心参数输入!$B$9*4,SUMPRODUCT(季度经营税费!$D$146:$DT$146,--(季度经营税费!$D$4:$DT$4&gt;核心参数输入!$B$9*4-核心参数输入!$B$112)),0)+IF(AND(83-核心参数输入!$B$112&gt;=0,83-核心参数输入!$B$112&lt;=120),INDEX(季度经营税费!$D$150:$DT$150,1,MAX(1,MIN(121,83-核心参数输入!$B$112+1))),0)+IF(83=核心参数输入!$B$9*4,SUMPRODUCT(季度经营税费!$D$150:$DT$150,--(季度经营税费!$D$4:$DT$4&gt;核心参数输入!$B$9*4-核心参数输入!$B$112)),0),0)</f>
        <v>0</v>
      </c>
      <c r="CJ164" s="9">
        <f>IF(84&lt;=核心参数输入!$B$9*4,IF(AND(84-核心参数输入!$B$112&gt;=0,84-核心参数输入!$B$112&lt;=120),INDEX(季度经营税费!$D$146:$DT$146,1,MAX(1,MIN(121,84-核心参数输入!$B$112+1))),0)+IF(84=核心参数输入!$B$9*4,SUMPRODUCT(季度经营税费!$D$146:$DT$146,--(季度经营税费!$D$4:$DT$4&gt;核心参数输入!$B$9*4-核心参数输入!$B$112)),0)+IF(AND(84-核心参数输入!$B$112&gt;=0,84-核心参数输入!$B$112&lt;=120),INDEX(季度经营税费!$D$150:$DT$150,1,MAX(1,MIN(121,84-核心参数输入!$B$112+1))),0)+IF(84=核心参数输入!$B$9*4,SUMPRODUCT(季度经营税费!$D$150:$DT$150,--(季度经营税费!$D$4:$DT$4&gt;核心参数输入!$B$9*4-核心参数输入!$B$112)),0),0)</f>
        <v>0</v>
      </c>
      <c r="CK164" s="9">
        <f>IF(85&lt;=核心参数输入!$B$9*4,IF(AND(85-核心参数输入!$B$112&gt;=0,85-核心参数输入!$B$112&lt;=120),INDEX(季度经营税费!$D$146:$DT$146,1,MAX(1,MIN(121,85-核心参数输入!$B$112+1))),0)+IF(85=核心参数输入!$B$9*4,SUMPRODUCT(季度经营税费!$D$146:$DT$146,--(季度经营税费!$D$4:$DT$4&gt;核心参数输入!$B$9*4-核心参数输入!$B$112)),0)+IF(AND(85-核心参数输入!$B$112&gt;=0,85-核心参数输入!$B$112&lt;=120),INDEX(季度经营税费!$D$150:$DT$150,1,MAX(1,MIN(121,85-核心参数输入!$B$112+1))),0)+IF(85=核心参数输入!$B$9*4,SUMPRODUCT(季度经营税费!$D$150:$DT$150,--(季度经营税费!$D$4:$DT$4&gt;核心参数输入!$B$9*4-核心参数输入!$B$112)),0),0)</f>
        <v>0</v>
      </c>
      <c r="CL164" s="9">
        <f>IF(86&lt;=核心参数输入!$B$9*4,IF(AND(86-核心参数输入!$B$112&gt;=0,86-核心参数输入!$B$112&lt;=120),INDEX(季度经营税费!$D$146:$DT$146,1,MAX(1,MIN(121,86-核心参数输入!$B$112+1))),0)+IF(86=核心参数输入!$B$9*4,SUMPRODUCT(季度经营税费!$D$146:$DT$146,--(季度经营税费!$D$4:$DT$4&gt;核心参数输入!$B$9*4-核心参数输入!$B$112)),0)+IF(AND(86-核心参数输入!$B$112&gt;=0,86-核心参数输入!$B$112&lt;=120),INDEX(季度经营税费!$D$150:$DT$150,1,MAX(1,MIN(121,86-核心参数输入!$B$112+1))),0)+IF(86=核心参数输入!$B$9*4,SUMPRODUCT(季度经营税费!$D$150:$DT$150,--(季度经营税费!$D$4:$DT$4&gt;核心参数输入!$B$9*4-核心参数输入!$B$112)),0),0)</f>
        <v>0</v>
      </c>
      <c r="CM164" s="9">
        <f>IF(87&lt;=核心参数输入!$B$9*4,IF(AND(87-核心参数输入!$B$112&gt;=0,87-核心参数输入!$B$112&lt;=120),INDEX(季度经营税费!$D$146:$DT$146,1,MAX(1,MIN(121,87-核心参数输入!$B$112+1))),0)+IF(87=核心参数输入!$B$9*4,SUMPRODUCT(季度经营税费!$D$146:$DT$146,--(季度经营税费!$D$4:$DT$4&gt;核心参数输入!$B$9*4-核心参数输入!$B$112)),0)+IF(AND(87-核心参数输入!$B$112&gt;=0,87-核心参数输入!$B$112&lt;=120),INDEX(季度经营税费!$D$150:$DT$150,1,MAX(1,MIN(121,87-核心参数输入!$B$112+1))),0)+IF(87=核心参数输入!$B$9*4,SUMPRODUCT(季度经营税费!$D$150:$DT$150,--(季度经营税费!$D$4:$DT$4&gt;核心参数输入!$B$9*4-核心参数输入!$B$112)),0),0)</f>
        <v>0</v>
      </c>
      <c r="CN164" s="9">
        <f>IF(88&lt;=核心参数输入!$B$9*4,IF(AND(88-核心参数输入!$B$112&gt;=0,88-核心参数输入!$B$112&lt;=120),INDEX(季度经营税费!$D$146:$DT$146,1,MAX(1,MIN(121,88-核心参数输入!$B$112+1))),0)+IF(88=核心参数输入!$B$9*4,SUMPRODUCT(季度经营税费!$D$146:$DT$146,--(季度经营税费!$D$4:$DT$4&gt;核心参数输入!$B$9*4-核心参数输入!$B$112)),0)+IF(AND(88-核心参数输入!$B$112&gt;=0,88-核心参数输入!$B$112&lt;=120),INDEX(季度经营税费!$D$150:$DT$150,1,MAX(1,MIN(121,88-核心参数输入!$B$112+1))),0)+IF(88=核心参数输入!$B$9*4,SUMPRODUCT(季度经营税费!$D$150:$DT$150,--(季度经营税费!$D$4:$DT$4&gt;核心参数输入!$B$9*4-核心参数输入!$B$112)),0),0)</f>
        <v>0</v>
      </c>
      <c r="CO164" s="9">
        <f>IF(89&lt;=核心参数输入!$B$9*4,IF(AND(89-核心参数输入!$B$112&gt;=0,89-核心参数输入!$B$112&lt;=120),INDEX(季度经营税费!$D$146:$DT$146,1,MAX(1,MIN(121,89-核心参数输入!$B$112+1))),0)+IF(89=核心参数输入!$B$9*4,SUMPRODUCT(季度经营税费!$D$146:$DT$146,--(季度经营税费!$D$4:$DT$4&gt;核心参数输入!$B$9*4-核心参数输入!$B$112)),0)+IF(AND(89-核心参数输入!$B$112&gt;=0,89-核心参数输入!$B$112&lt;=120),INDEX(季度经营税费!$D$150:$DT$150,1,MAX(1,MIN(121,89-核心参数输入!$B$112+1))),0)+IF(89=核心参数输入!$B$9*4,SUMPRODUCT(季度经营税费!$D$150:$DT$150,--(季度经营税费!$D$4:$DT$4&gt;核心参数输入!$B$9*4-核心参数输入!$B$112)),0),0)</f>
        <v>0</v>
      </c>
      <c r="CP164" s="9">
        <f>IF(90&lt;=核心参数输入!$B$9*4,IF(AND(90-核心参数输入!$B$112&gt;=0,90-核心参数输入!$B$112&lt;=120),INDEX(季度经营税费!$D$146:$DT$146,1,MAX(1,MIN(121,90-核心参数输入!$B$112+1))),0)+IF(90=核心参数输入!$B$9*4,SUMPRODUCT(季度经营税费!$D$146:$DT$146,--(季度经营税费!$D$4:$DT$4&gt;核心参数输入!$B$9*4-核心参数输入!$B$112)),0)+IF(AND(90-核心参数输入!$B$112&gt;=0,90-核心参数输入!$B$112&lt;=120),INDEX(季度经营税费!$D$150:$DT$150,1,MAX(1,MIN(121,90-核心参数输入!$B$112+1))),0)+IF(90=核心参数输入!$B$9*4,SUMPRODUCT(季度经营税费!$D$150:$DT$150,--(季度经营税费!$D$4:$DT$4&gt;核心参数输入!$B$9*4-核心参数输入!$B$112)),0),0)</f>
        <v>0</v>
      </c>
      <c r="CQ164" s="9">
        <f>IF(91&lt;=核心参数输入!$B$9*4,IF(AND(91-核心参数输入!$B$112&gt;=0,91-核心参数输入!$B$112&lt;=120),INDEX(季度经营税费!$D$146:$DT$146,1,MAX(1,MIN(121,91-核心参数输入!$B$112+1))),0)+IF(91=核心参数输入!$B$9*4,SUMPRODUCT(季度经营税费!$D$146:$DT$146,--(季度经营税费!$D$4:$DT$4&gt;核心参数输入!$B$9*4-核心参数输入!$B$112)),0)+IF(AND(91-核心参数输入!$B$112&gt;=0,91-核心参数输入!$B$112&lt;=120),INDEX(季度经营税费!$D$150:$DT$150,1,MAX(1,MIN(121,91-核心参数输入!$B$112+1))),0)+IF(91=核心参数输入!$B$9*4,SUMPRODUCT(季度经营税费!$D$150:$DT$150,--(季度经营税费!$D$4:$DT$4&gt;核心参数输入!$B$9*4-核心参数输入!$B$112)),0),0)</f>
        <v>0</v>
      </c>
      <c r="CR164" s="9">
        <f>IF(92&lt;=核心参数输入!$B$9*4,IF(AND(92-核心参数输入!$B$112&gt;=0,92-核心参数输入!$B$112&lt;=120),INDEX(季度经营税费!$D$146:$DT$146,1,MAX(1,MIN(121,92-核心参数输入!$B$112+1))),0)+IF(92=核心参数输入!$B$9*4,SUMPRODUCT(季度经营税费!$D$146:$DT$146,--(季度经营税费!$D$4:$DT$4&gt;核心参数输入!$B$9*4-核心参数输入!$B$112)),0)+IF(AND(92-核心参数输入!$B$112&gt;=0,92-核心参数输入!$B$112&lt;=120),INDEX(季度经营税费!$D$150:$DT$150,1,MAX(1,MIN(121,92-核心参数输入!$B$112+1))),0)+IF(92=核心参数输入!$B$9*4,SUMPRODUCT(季度经营税费!$D$150:$DT$150,--(季度经营税费!$D$4:$DT$4&gt;核心参数输入!$B$9*4-核心参数输入!$B$112)),0),0)</f>
        <v>0</v>
      </c>
      <c r="CS164" s="9">
        <f>IF(93&lt;=核心参数输入!$B$9*4,IF(AND(93-核心参数输入!$B$112&gt;=0,93-核心参数输入!$B$112&lt;=120),INDEX(季度经营税费!$D$146:$DT$146,1,MAX(1,MIN(121,93-核心参数输入!$B$112+1))),0)+IF(93=核心参数输入!$B$9*4,SUMPRODUCT(季度经营税费!$D$146:$DT$146,--(季度经营税费!$D$4:$DT$4&gt;核心参数输入!$B$9*4-核心参数输入!$B$112)),0)+IF(AND(93-核心参数输入!$B$112&gt;=0,93-核心参数输入!$B$112&lt;=120),INDEX(季度经营税费!$D$150:$DT$150,1,MAX(1,MIN(121,93-核心参数输入!$B$112+1))),0)+IF(93=核心参数输入!$B$9*4,SUMPRODUCT(季度经营税费!$D$150:$DT$150,--(季度经营税费!$D$4:$DT$4&gt;核心参数输入!$B$9*4-核心参数输入!$B$112)),0),0)</f>
        <v>0</v>
      </c>
      <c r="CT164" s="9">
        <f>IF(94&lt;=核心参数输入!$B$9*4,IF(AND(94-核心参数输入!$B$112&gt;=0,94-核心参数输入!$B$112&lt;=120),INDEX(季度经营税费!$D$146:$DT$146,1,MAX(1,MIN(121,94-核心参数输入!$B$112+1))),0)+IF(94=核心参数输入!$B$9*4,SUMPRODUCT(季度经营税费!$D$146:$DT$146,--(季度经营税费!$D$4:$DT$4&gt;核心参数输入!$B$9*4-核心参数输入!$B$112)),0)+IF(AND(94-核心参数输入!$B$112&gt;=0,94-核心参数输入!$B$112&lt;=120),INDEX(季度经营税费!$D$150:$DT$150,1,MAX(1,MIN(121,94-核心参数输入!$B$112+1))),0)+IF(94=核心参数输入!$B$9*4,SUMPRODUCT(季度经营税费!$D$150:$DT$150,--(季度经营税费!$D$4:$DT$4&gt;核心参数输入!$B$9*4-核心参数输入!$B$112)),0),0)</f>
        <v>0</v>
      </c>
      <c r="CU164" s="9">
        <f>IF(95&lt;=核心参数输入!$B$9*4,IF(AND(95-核心参数输入!$B$112&gt;=0,95-核心参数输入!$B$112&lt;=120),INDEX(季度经营税费!$D$146:$DT$146,1,MAX(1,MIN(121,95-核心参数输入!$B$112+1))),0)+IF(95=核心参数输入!$B$9*4,SUMPRODUCT(季度经营税费!$D$146:$DT$146,--(季度经营税费!$D$4:$DT$4&gt;核心参数输入!$B$9*4-核心参数输入!$B$112)),0)+IF(AND(95-核心参数输入!$B$112&gt;=0,95-核心参数输入!$B$112&lt;=120),INDEX(季度经营税费!$D$150:$DT$150,1,MAX(1,MIN(121,95-核心参数输入!$B$112+1))),0)+IF(95=核心参数输入!$B$9*4,SUMPRODUCT(季度经营税费!$D$150:$DT$150,--(季度经营税费!$D$4:$DT$4&gt;核心参数输入!$B$9*4-核心参数输入!$B$112)),0),0)</f>
        <v>0</v>
      </c>
      <c r="CV164" s="9">
        <f>IF(96&lt;=核心参数输入!$B$9*4,IF(AND(96-核心参数输入!$B$112&gt;=0,96-核心参数输入!$B$112&lt;=120),INDEX(季度经营税费!$D$146:$DT$146,1,MAX(1,MIN(121,96-核心参数输入!$B$112+1))),0)+IF(96=核心参数输入!$B$9*4,SUMPRODUCT(季度经营税费!$D$146:$DT$146,--(季度经营税费!$D$4:$DT$4&gt;核心参数输入!$B$9*4-核心参数输入!$B$112)),0)+IF(AND(96-核心参数输入!$B$112&gt;=0,96-核心参数输入!$B$112&lt;=120),INDEX(季度经营税费!$D$150:$DT$150,1,MAX(1,MIN(121,96-核心参数输入!$B$112+1))),0)+IF(96=核心参数输入!$B$9*4,SUMPRODUCT(季度经营税费!$D$150:$DT$150,--(季度经营税费!$D$4:$DT$4&gt;核心参数输入!$B$9*4-核心参数输入!$B$112)),0),0)</f>
        <v>0</v>
      </c>
      <c r="CW164" s="9">
        <f>IF(97&lt;=核心参数输入!$B$9*4,IF(AND(97-核心参数输入!$B$112&gt;=0,97-核心参数输入!$B$112&lt;=120),INDEX(季度经营税费!$D$146:$DT$146,1,MAX(1,MIN(121,97-核心参数输入!$B$112+1))),0)+IF(97=核心参数输入!$B$9*4,SUMPRODUCT(季度经营税费!$D$146:$DT$146,--(季度经营税费!$D$4:$DT$4&gt;核心参数输入!$B$9*4-核心参数输入!$B$112)),0)+IF(AND(97-核心参数输入!$B$112&gt;=0,97-核心参数输入!$B$112&lt;=120),INDEX(季度经营税费!$D$150:$DT$150,1,MAX(1,MIN(121,97-核心参数输入!$B$112+1))),0)+IF(97=核心参数输入!$B$9*4,SUMPRODUCT(季度经营税费!$D$150:$DT$150,--(季度经营税费!$D$4:$DT$4&gt;核心参数输入!$B$9*4-核心参数输入!$B$112)),0),0)</f>
        <v>0</v>
      </c>
      <c r="CX164" s="9">
        <f>IF(98&lt;=核心参数输入!$B$9*4,IF(AND(98-核心参数输入!$B$112&gt;=0,98-核心参数输入!$B$112&lt;=120),INDEX(季度经营税费!$D$146:$DT$146,1,MAX(1,MIN(121,98-核心参数输入!$B$112+1))),0)+IF(98=核心参数输入!$B$9*4,SUMPRODUCT(季度经营税费!$D$146:$DT$146,--(季度经营税费!$D$4:$DT$4&gt;核心参数输入!$B$9*4-核心参数输入!$B$112)),0)+IF(AND(98-核心参数输入!$B$112&gt;=0,98-核心参数输入!$B$112&lt;=120),INDEX(季度经营税费!$D$150:$DT$150,1,MAX(1,MIN(121,98-核心参数输入!$B$112+1))),0)+IF(98=核心参数输入!$B$9*4,SUMPRODUCT(季度经营税费!$D$150:$DT$150,--(季度经营税费!$D$4:$DT$4&gt;核心参数输入!$B$9*4-核心参数输入!$B$112)),0),0)</f>
        <v>0</v>
      </c>
      <c r="CY164" s="9">
        <f>IF(99&lt;=核心参数输入!$B$9*4,IF(AND(99-核心参数输入!$B$112&gt;=0,99-核心参数输入!$B$112&lt;=120),INDEX(季度经营税费!$D$146:$DT$146,1,MAX(1,MIN(121,99-核心参数输入!$B$112+1))),0)+IF(99=核心参数输入!$B$9*4,SUMPRODUCT(季度经营税费!$D$146:$DT$146,--(季度经营税费!$D$4:$DT$4&gt;核心参数输入!$B$9*4-核心参数输入!$B$112)),0)+IF(AND(99-核心参数输入!$B$112&gt;=0,99-核心参数输入!$B$112&lt;=120),INDEX(季度经营税费!$D$150:$DT$150,1,MAX(1,MIN(121,99-核心参数输入!$B$112+1))),0)+IF(99=核心参数输入!$B$9*4,SUMPRODUCT(季度经营税费!$D$150:$DT$150,--(季度经营税费!$D$4:$DT$4&gt;核心参数输入!$B$9*4-核心参数输入!$B$112)),0),0)</f>
        <v>0</v>
      </c>
      <c r="CZ164" s="9">
        <f>IF(100&lt;=核心参数输入!$B$9*4,IF(AND(100-核心参数输入!$B$112&gt;=0,100-核心参数输入!$B$112&lt;=120),INDEX(季度经营税费!$D$146:$DT$146,1,MAX(1,MIN(121,100-核心参数输入!$B$112+1))),0)+IF(100=核心参数输入!$B$9*4,SUMPRODUCT(季度经营税费!$D$146:$DT$146,--(季度经营税费!$D$4:$DT$4&gt;核心参数输入!$B$9*4-核心参数输入!$B$112)),0)+IF(AND(100-核心参数输入!$B$112&gt;=0,100-核心参数输入!$B$112&lt;=120),INDEX(季度经营税费!$D$150:$DT$150,1,MAX(1,MIN(121,100-核心参数输入!$B$112+1))),0)+IF(100=核心参数输入!$B$9*4,SUMPRODUCT(季度经营税费!$D$150:$DT$150,--(季度经营税费!$D$4:$DT$4&gt;核心参数输入!$B$9*4-核心参数输入!$B$112)),0),0)</f>
        <v>0</v>
      </c>
      <c r="DA164" s="9">
        <f>IF(101&lt;=核心参数输入!$B$9*4,IF(AND(101-核心参数输入!$B$112&gt;=0,101-核心参数输入!$B$112&lt;=120),INDEX(季度经营税费!$D$146:$DT$146,1,MAX(1,MIN(121,101-核心参数输入!$B$112+1))),0)+IF(101=核心参数输入!$B$9*4,SUMPRODUCT(季度经营税费!$D$146:$DT$146,--(季度经营税费!$D$4:$DT$4&gt;核心参数输入!$B$9*4-核心参数输入!$B$112)),0)+IF(AND(101-核心参数输入!$B$112&gt;=0,101-核心参数输入!$B$112&lt;=120),INDEX(季度经营税费!$D$150:$DT$150,1,MAX(1,MIN(121,101-核心参数输入!$B$112+1))),0)+IF(101=核心参数输入!$B$9*4,SUMPRODUCT(季度经营税费!$D$150:$DT$150,--(季度经营税费!$D$4:$DT$4&gt;核心参数输入!$B$9*4-核心参数输入!$B$112)),0),0)</f>
        <v>0</v>
      </c>
      <c r="DB164" s="9">
        <f>IF(102&lt;=核心参数输入!$B$9*4,IF(AND(102-核心参数输入!$B$112&gt;=0,102-核心参数输入!$B$112&lt;=120),INDEX(季度经营税费!$D$146:$DT$146,1,MAX(1,MIN(121,102-核心参数输入!$B$112+1))),0)+IF(102=核心参数输入!$B$9*4,SUMPRODUCT(季度经营税费!$D$146:$DT$146,--(季度经营税费!$D$4:$DT$4&gt;核心参数输入!$B$9*4-核心参数输入!$B$112)),0)+IF(AND(102-核心参数输入!$B$112&gt;=0,102-核心参数输入!$B$112&lt;=120),INDEX(季度经营税费!$D$150:$DT$150,1,MAX(1,MIN(121,102-核心参数输入!$B$112+1))),0)+IF(102=核心参数输入!$B$9*4,SUMPRODUCT(季度经营税费!$D$150:$DT$150,--(季度经营税费!$D$4:$DT$4&gt;核心参数输入!$B$9*4-核心参数输入!$B$112)),0),0)</f>
        <v>0</v>
      </c>
      <c r="DC164" s="9">
        <f>IF(103&lt;=核心参数输入!$B$9*4,IF(AND(103-核心参数输入!$B$112&gt;=0,103-核心参数输入!$B$112&lt;=120),INDEX(季度经营税费!$D$146:$DT$146,1,MAX(1,MIN(121,103-核心参数输入!$B$112+1))),0)+IF(103=核心参数输入!$B$9*4,SUMPRODUCT(季度经营税费!$D$146:$DT$146,--(季度经营税费!$D$4:$DT$4&gt;核心参数输入!$B$9*4-核心参数输入!$B$112)),0)+IF(AND(103-核心参数输入!$B$112&gt;=0,103-核心参数输入!$B$112&lt;=120),INDEX(季度经营税费!$D$150:$DT$150,1,MAX(1,MIN(121,103-核心参数输入!$B$112+1))),0)+IF(103=核心参数输入!$B$9*4,SUMPRODUCT(季度经营税费!$D$150:$DT$150,--(季度经营税费!$D$4:$DT$4&gt;核心参数输入!$B$9*4-核心参数输入!$B$112)),0),0)</f>
        <v>0</v>
      </c>
      <c r="DD164" s="9">
        <f>IF(104&lt;=核心参数输入!$B$9*4,IF(AND(104-核心参数输入!$B$112&gt;=0,104-核心参数输入!$B$112&lt;=120),INDEX(季度经营税费!$D$146:$DT$146,1,MAX(1,MIN(121,104-核心参数输入!$B$112+1))),0)+IF(104=核心参数输入!$B$9*4,SUMPRODUCT(季度经营税费!$D$146:$DT$146,--(季度经营税费!$D$4:$DT$4&gt;核心参数输入!$B$9*4-核心参数输入!$B$112)),0)+IF(AND(104-核心参数输入!$B$112&gt;=0,104-核心参数输入!$B$112&lt;=120),INDEX(季度经营税费!$D$150:$DT$150,1,MAX(1,MIN(121,104-核心参数输入!$B$112+1))),0)+IF(104=核心参数输入!$B$9*4,SUMPRODUCT(季度经营税费!$D$150:$DT$150,--(季度经营税费!$D$4:$DT$4&gt;核心参数输入!$B$9*4-核心参数输入!$B$112)),0),0)</f>
        <v>0</v>
      </c>
      <c r="DE164" s="9">
        <f>IF(105&lt;=核心参数输入!$B$9*4,IF(AND(105-核心参数输入!$B$112&gt;=0,105-核心参数输入!$B$112&lt;=120),INDEX(季度经营税费!$D$146:$DT$146,1,MAX(1,MIN(121,105-核心参数输入!$B$112+1))),0)+IF(105=核心参数输入!$B$9*4,SUMPRODUCT(季度经营税费!$D$146:$DT$146,--(季度经营税费!$D$4:$DT$4&gt;核心参数输入!$B$9*4-核心参数输入!$B$112)),0)+IF(AND(105-核心参数输入!$B$112&gt;=0,105-核心参数输入!$B$112&lt;=120),INDEX(季度经营税费!$D$150:$DT$150,1,MAX(1,MIN(121,105-核心参数输入!$B$112+1))),0)+IF(105=核心参数输入!$B$9*4,SUMPRODUCT(季度经营税费!$D$150:$DT$150,--(季度经营税费!$D$4:$DT$4&gt;核心参数输入!$B$9*4-核心参数输入!$B$112)),0),0)</f>
        <v>0</v>
      </c>
      <c r="DF164" s="9">
        <f>IF(106&lt;=核心参数输入!$B$9*4,IF(AND(106-核心参数输入!$B$112&gt;=0,106-核心参数输入!$B$112&lt;=120),INDEX(季度经营税费!$D$146:$DT$146,1,MAX(1,MIN(121,106-核心参数输入!$B$112+1))),0)+IF(106=核心参数输入!$B$9*4,SUMPRODUCT(季度经营税费!$D$146:$DT$146,--(季度经营税费!$D$4:$DT$4&gt;核心参数输入!$B$9*4-核心参数输入!$B$112)),0)+IF(AND(106-核心参数输入!$B$112&gt;=0,106-核心参数输入!$B$112&lt;=120),INDEX(季度经营税费!$D$150:$DT$150,1,MAX(1,MIN(121,106-核心参数输入!$B$112+1))),0)+IF(106=核心参数输入!$B$9*4,SUMPRODUCT(季度经营税费!$D$150:$DT$150,--(季度经营税费!$D$4:$DT$4&gt;核心参数输入!$B$9*4-核心参数输入!$B$112)),0),0)</f>
        <v>0</v>
      </c>
      <c r="DG164" s="9">
        <f>IF(107&lt;=核心参数输入!$B$9*4,IF(AND(107-核心参数输入!$B$112&gt;=0,107-核心参数输入!$B$112&lt;=120),INDEX(季度经营税费!$D$146:$DT$146,1,MAX(1,MIN(121,107-核心参数输入!$B$112+1))),0)+IF(107=核心参数输入!$B$9*4,SUMPRODUCT(季度经营税费!$D$146:$DT$146,--(季度经营税费!$D$4:$DT$4&gt;核心参数输入!$B$9*4-核心参数输入!$B$112)),0)+IF(AND(107-核心参数输入!$B$112&gt;=0,107-核心参数输入!$B$112&lt;=120),INDEX(季度经营税费!$D$150:$DT$150,1,MAX(1,MIN(121,107-核心参数输入!$B$112+1))),0)+IF(107=核心参数输入!$B$9*4,SUMPRODUCT(季度经营税费!$D$150:$DT$150,--(季度经营税费!$D$4:$DT$4&gt;核心参数输入!$B$9*4-核心参数输入!$B$112)),0),0)</f>
        <v>0</v>
      </c>
      <c r="DH164" s="9">
        <f>IF(108&lt;=核心参数输入!$B$9*4,IF(AND(108-核心参数输入!$B$112&gt;=0,108-核心参数输入!$B$112&lt;=120),INDEX(季度经营税费!$D$146:$DT$146,1,MAX(1,MIN(121,108-核心参数输入!$B$112+1))),0)+IF(108=核心参数输入!$B$9*4,SUMPRODUCT(季度经营税费!$D$146:$DT$146,--(季度经营税费!$D$4:$DT$4&gt;核心参数输入!$B$9*4-核心参数输入!$B$112)),0)+IF(AND(108-核心参数输入!$B$112&gt;=0,108-核心参数输入!$B$112&lt;=120),INDEX(季度经营税费!$D$150:$DT$150,1,MAX(1,MIN(121,108-核心参数输入!$B$112+1))),0)+IF(108=核心参数输入!$B$9*4,SUMPRODUCT(季度经营税费!$D$150:$DT$150,--(季度经营税费!$D$4:$DT$4&gt;核心参数输入!$B$9*4-核心参数输入!$B$112)),0),0)</f>
        <v>0</v>
      </c>
      <c r="DI164" s="9">
        <f>IF(109&lt;=核心参数输入!$B$9*4,IF(AND(109-核心参数输入!$B$112&gt;=0,109-核心参数输入!$B$112&lt;=120),INDEX(季度经营税费!$D$146:$DT$146,1,MAX(1,MIN(121,109-核心参数输入!$B$112+1))),0)+IF(109=核心参数输入!$B$9*4,SUMPRODUCT(季度经营税费!$D$146:$DT$146,--(季度经营税费!$D$4:$DT$4&gt;核心参数输入!$B$9*4-核心参数输入!$B$112)),0)+IF(AND(109-核心参数输入!$B$112&gt;=0,109-核心参数输入!$B$112&lt;=120),INDEX(季度经营税费!$D$150:$DT$150,1,MAX(1,MIN(121,109-核心参数输入!$B$112+1))),0)+IF(109=核心参数输入!$B$9*4,SUMPRODUCT(季度经营税费!$D$150:$DT$150,--(季度经营税费!$D$4:$DT$4&gt;核心参数输入!$B$9*4-核心参数输入!$B$112)),0),0)</f>
        <v>0</v>
      </c>
      <c r="DJ164" s="9">
        <f>IF(110&lt;=核心参数输入!$B$9*4,IF(AND(110-核心参数输入!$B$112&gt;=0,110-核心参数输入!$B$112&lt;=120),INDEX(季度经营税费!$D$146:$DT$146,1,MAX(1,MIN(121,110-核心参数输入!$B$112+1))),0)+IF(110=核心参数输入!$B$9*4,SUMPRODUCT(季度经营税费!$D$146:$DT$146,--(季度经营税费!$D$4:$DT$4&gt;核心参数输入!$B$9*4-核心参数输入!$B$112)),0)+IF(AND(110-核心参数输入!$B$112&gt;=0,110-核心参数输入!$B$112&lt;=120),INDEX(季度经营税费!$D$150:$DT$150,1,MAX(1,MIN(121,110-核心参数输入!$B$112+1))),0)+IF(110=核心参数输入!$B$9*4,SUMPRODUCT(季度经营税费!$D$150:$DT$150,--(季度经营税费!$D$4:$DT$4&gt;核心参数输入!$B$9*4-核心参数输入!$B$112)),0),0)</f>
        <v>0</v>
      </c>
      <c r="DK164" s="9">
        <f>IF(111&lt;=核心参数输入!$B$9*4,IF(AND(111-核心参数输入!$B$112&gt;=0,111-核心参数输入!$B$112&lt;=120),INDEX(季度经营税费!$D$146:$DT$146,1,MAX(1,MIN(121,111-核心参数输入!$B$112+1))),0)+IF(111=核心参数输入!$B$9*4,SUMPRODUCT(季度经营税费!$D$146:$DT$146,--(季度经营税费!$D$4:$DT$4&gt;核心参数输入!$B$9*4-核心参数输入!$B$112)),0)+IF(AND(111-核心参数输入!$B$112&gt;=0,111-核心参数输入!$B$112&lt;=120),INDEX(季度经营税费!$D$150:$DT$150,1,MAX(1,MIN(121,111-核心参数输入!$B$112+1))),0)+IF(111=核心参数输入!$B$9*4,SUMPRODUCT(季度经营税费!$D$150:$DT$150,--(季度经营税费!$D$4:$DT$4&gt;核心参数输入!$B$9*4-核心参数输入!$B$112)),0),0)</f>
        <v>0</v>
      </c>
      <c r="DL164" s="9">
        <f>IF(112&lt;=核心参数输入!$B$9*4,IF(AND(112-核心参数输入!$B$112&gt;=0,112-核心参数输入!$B$112&lt;=120),INDEX(季度经营税费!$D$146:$DT$146,1,MAX(1,MIN(121,112-核心参数输入!$B$112+1))),0)+IF(112=核心参数输入!$B$9*4,SUMPRODUCT(季度经营税费!$D$146:$DT$146,--(季度经营税费!$D$4:$DT$4&gt;核心参数输入!$B$9*4-核心参数输入!$B$112)),0)+IF(AND(112-核心参数输入!$B$112&gt;=0,112-核心参数输入!$B$112&lt;=120),INDEX(季度经营税费!$D$150:$DT$150,1,MAX(1,MIN(121,112-核心参数输入!$B$112+1))),0)+IF(112=核心参数输入!$B$9*4,SUMPRODUCT(季度经营税费!$D$150:$DT$150,--(季度经营税费!$D$4:$DT$4&gt;核心参数输入!$B$9*4-核心参数输入!$B$112)),0),0)</f>
        <v>0</v>
      </c>
      <c r="DM164" s="9">
        <f>IF(113&lt;=核心参数输入!$B$9*4,IF(AND(113-核心参数输入!$B$112&gt;=0,113-核心参数输入!$B$112&lt;=120),INDEX(季度经营税费!$D$146:$DT$146,1,MAX(1,MIN(121,113-核心参数输入!$B$112+1))),0)+IF(113=核心参数输入!$B$9*4,SUMPRODUCT(季度经营税费!$D$146:$DT$146,--(季度经营税费!$D$4:$DT$4&gt;核心参数输入!$B$9*4-核心参数输入!$B$112)),0)+IF(AND(113-核心参数输入!$B$112&gt;=0,113-核心参数输入!$B$112&lt;=120),INDEX(季度经营税费!$D$150:$DT$150,1,MAX(1,MIN(121,113-核心参数输入!$B$112+1))),0)+IF(113=核心参数输入!$B$9*4,SUMPRODUCT(季度经营税费!$D$150:$DT$150,--(季度经营税费!$D$4:$DT$4&gt;核心参数输入!$B$9*4-核心参数输入!$B$112)),0),0)</f>
        <v>0</v>
      </c>
      <c r="DN164" s="9">
        <f>IF(114&lt;=核心参数输入!$B$9*4,IF(AND(114-核心参数输入!$B$112&gt;=0,114-核心参数输入!$B$112&lt;=120),INDEX(季度经营税费!$D$146:$DT$146,1,MAX(1,MIN(121,114-核心参数输入!$B$112+1))),0)+IF(114=核心参数输入!$B$9*4,SUMPRODUCT(季度经营税费!$D$146:$DT$146,--(季度经营税费!$D$4:$DT$4&gt;核心参数输入!$B$9*4-核心参数输入!$B$112)),0)+IF(AND(114-核心参数输入!$B$112&gt;=0,114-核心参数输入!$B$112&lt;=120),INDEX(季度经营税费!$D$150:$DT$150,1,MAX(1,MIN(121,114-核心参数输入!$B$112+1))),0)+IF(114=核心参数输入!$B$9*4,SUMPRODUCT(季度经营税费!$D$150:$DT$150,--(季度经营税费!$D$4:$DT$4&gt;核心参数输入!$B$9*4-核心参数输入!$B$112)),0),0)</f>
        <v>0</v>
      </c>
      <c r="DO164" s="9">
        <f>IF(115&lt;=核心参数输入!$B$9*4,IF(AND(115-核心参数输入!$B$112&gt;=0,115-核心参数输入!$B$112&lt;=120),INDEX(季度经营税费!$D$146:$DT$146,1,MAX(1,MIN(121,115-核心参数输入!$B$112+1))),0)+IF(115=核心参数输入!$B$9*4,SUMPRODUCT(季度经营税费!$D$146:$DT$146,--(季度经营税费!$D$4:$DT$4&gt;核心参数输入!$B$9*4-核心参数输入!$B$112)),0)+IF(AND(115-核心参数输入!$B$112&gt;=0,115-核心参数输入!$B$112&lt;=120),INDEX(季度经营税费!$D$150:$DT$150,1,MAX(1,MIN(121,115-核心参数输入!$B$112+1))),0)+IF(115=核心参数输入!$B$9*4,SUMPRODUCT(季度经营税费!$D$150:$DT$150,--(季度经营税费!$D$4:$DT$4&gt;核心参数输入!$B$9*4-核心参数输入!$B$112)),0),0)</f>
        <v>0</v>
      </c>
      <c r="DP164" s="9">
        <f>IF(116&lt;=核心参数输入!$B$9*4,IF(AND(116-核心参数输入!$B$112&gt;=0,116-核心参数输入!$B$112&lt;=120),INDEX(季度经营税费!$D$146:$DT$146,1,MAX(1,MIN(121,116-核心参数输入!$B$112+1))),0)+IF(116=核心参数输入!$B$9*4,SUMPRODUCT(季度经营税费!$D$146:$DT$146,--(季度经营税费!$D$4:$DT$4&gt;核心参数输入!$B$9*4-核心参数输入!$B$112)),0)+IF(AND(116-核心参数输入!$B$112&gt;=0,116-核心参数输入!$B$112&lt;=120),INDEX(季度经营税费!$D$150:$DT$150,1,MAX(1,MIN(121,116-核心参数输入!$B$112+1))),0)+IF(116=核心参数输入!$B$9*4,SUMPRODUCT(季度经营税费!$D$150:$DT$150,--(季度经营税费!$D$4:$DT$4&gt;核心参数输入!$B$9*4-核心参数输入!$B$112)),0),0)</f>
        <v>0</v>
      </c>
      <c r="DQ164" s="9">
        <f>IF(117&lt;=核心参数输入!$B$9*4,IF(AND(117-核心参数输入!$B$112&gt;=0,117-核心参数输入!$B$112&lt;=120),INDEX(季度经营税费!$D$146:$DT$146,1,MAX(1,MIN(121,117-核心参数输入!$B$112+1))),0)+IF(117=核心参数输入!$B$9*4,SUMPRODUCT(季度经营税费!$D$146:$DT$146,--(季度经营税费!$D$4:$DT$4&gt;核心参数输入!$B$9*4-核心参数输入!$B$112)),0)+IF(AND(117-核心参数输入!$B$112&gt;=0,117-核心参数输入!$B$112&lt;=120),INDEX(季度经营税费!$D$150:$DT$150,1,MAX(1,MIN(121,117-核心参数输入!$B$112+1))),0)+IF(117=核心参数输入!$B$9*4,SUMPRODUCT(季度经营税费!$D$150:$DT$150,--(季度经营税费!$D$4:$DT$4&gt;核心参数输入!$B$9*4-核心参数输入!$B$112)),0),0)</f>
        <v>0</v>
      </c>
      <c r="DR164" s="9">
        <f>IF(118&lt;=核心参数输入!$B$9*4,IF(AND(118-核心参数输入!$B$112&gt;=0,118-核心参数输入!$B$112&lt;=120),INDEX(季度经营税费!$D$146:$DT$146,1,MAX(1,MIN(121,118-核心参数输入!$B$112+1))),0)+IF(118=核心参数输入!$B$9*4,SUMPRODUCT(季度经营税费!$D$146:$DT$146,--(季度经营税费!$D$4:$DT$4&gt;核心参数输入!$B$9*4-核心参数输入!$B$112)),0)+IF(AND(118-核心参数输入!$B$112&gt;=0,118-核心参数输入!$B$112&lt;=120),INDEX(季度经营税费!$D$150:$DT$150,1,MAX(1,MIN(121,118-核心参数输入!$B$112+1))),0)+IF(118=核心参数输入!$B$9*4,SUMPRODUCT(季度经营税费!$D$150:$DT$150,--(季度经营税费!$D$4:$DT$4&gt;核心参数输入!$B$9*4-核心参数输入!$B$112)),0),0)</f>
        <v>0</v>
      </c>
      <c r="DS164" s="9">
        <f>IF(119&lt;=核心参数输入!$B$9*4,IF(AND(119-核心参数输入!$B$112&gt;=0,119-核心参数输入!$B$112&lt;=120),INDEX(季度经营税费!$D$146:$DT$146,1,MAX(1,MIN(121,119-核心参数输入!$B$112+1))),0)+IF(119=核心参数输入!$B$9*4,SUMPRODUCT(季度经营税费!$D$146:$DT$146,--(季度经营税费!$D$4:$DT$4&gt;核心参数输入!$B$9*4-核心参数输入!$B$112)),0)+IF(AND(119-核心参数输入!$B$112&gt;=0,119-核心参数输入!$B$112&lt;=120),INDEX(季度经营税费!$D$150:$DT$150,1,MAX(1,MIN(121,119-核心参数输入!$B$112+1))),0)+IF(119=核心参数输入!$B$9*4,SUMPRODUCT(季度经营税费!$D$150:$DT$150,--(季度经营税费!$D$4:$DT$4&gt;核心参数输入!$B$9*4-核心参数输入!$B$112)),0),0)</f>
        <v>0</v>
      </c>
      <c r="DT164" s="9">
        <f>IF(120&lt;=核心参数输入!$B$9*4,IF(AND(120-核心参数输入!$B$112&gt;=0,120-核心参数输入!$B$112&lt;=120),INDEX(季度经营税费!$D$146:$DT$146,1,MAX(1,MIN(121,120-核心参数输入!$B$112+1))),0)+IF(120=核心参数输入!$B$9*4,SUMPRODUCT(季度经营税费!$D$146:$DT$146,--(季度经营税费!$D$4:$DT$4&gt;核心参数输入!$B$9*4-核心参数输入!$B$112)),0)+IF(AND(120-核心参数输入!$B$112&gt;=0,120-核心参数输入!$B$112&lt;=120),INDEX(季度经营税费!$D$150:$DT$150,1,MAX(1,MIN(121,120-核心参数输入!$B$112+1))),0)+IF(120=核心参数输入!$B$9*4,SUMPRODUCT(季度经营税费!$D$150:$DT$150,--(季度经营税费!$D$4:$DT$4&gt;核心参数输入!$B$9*4-核心参数输入!$B$112)),0),0)</f>
        <v>0</v>
      </c>
    </row>
    <row r="165" spans="1:124" ht="21" customHeight="1">
      <c r="A165" s="8" t="s">
        <v>486</v>
      </c>
      <c r="B165" s="8" t="s">
        <v>39</v>
      </c>
      <c r="C165" s="8"/>
      <c r="D165" s="9">
        <f>IF(0&lt;=核心参数输入!$B$9*4,季度投融资!$E$24+季度投融资!$E$23*SUM(季度计划!$D$121:D121)-SUM($D151:D151)-SUM($D153:D153),0)</f>
        <v>3599.9999999999995</v>
      </c>
      <c r="E165" s="9">
        <f>IF(1&lt;=核心参数输入!$B$9*4,季度投融资!$E$24+季度投融资!$E$23*SUM(季度计划!$D$121:E121)-SUM($D151:E151)-SUM($D153:E153),0)</f>
        <v>5564.6549999999988</v>
      </c>
      <c r="F165" s="9">
        <f>IF(2&lt;=核心参数输入!$B$9*4,季度投融资!$E$24+季度投融资!$E$23*SUM(季度计划!$D$121:F121)-SUM($D151:F151)-SUM($D153:F153),0)</f>
        <v>7529.3099999999995</v>
      </c>
      <c r="G165" s="9">
        <f>IF(3&lt;=核心参数输入!$B$9*4,季度投融资!$E$24+季度投融资!$E$23*SUM(季度计划!$D$121:G121)-SUM($D151:G151)-SUM($D153:G153),0)</f>
        <v>9493.9649999999983</v>
      </c>
      <c r="H165" s="9">
        <f>IF(4&lt;=核心参数输入!$B$9*4,季度投融资!$E$24+季度投融资!$E$23*SUM(季度计划!$D$121:H121)-SUM($D151:H151)-SUM($D153:H153),0)</f>
        <v>11458.619999999999</v>
      </c>
      <c r="I165" s="9">
        <f>IF(5&lt;=核心参数输入!$B$9*4,季度投融资!$E$24+季度投融资!$E$23*SUM(季度计划!$D$121:I121)-SUM($D151:I151)-SUM($D153:I153),0)</f>
        <v>14078.16</v>
      </c>
      <c r="J165" s="9">
        <f>IF(6&lt;=核心参数输入!$B$9*4,季度投融资!$E$24+季度投融资!$E$23*SUM(季度计划!$D$121:J121)-SUM($D151:J151)-SUM($D153:J153),0)</f>
        <v>16697.699999999997</v>
      </c>
      <c r="K165" s="9">
        <f>IF(7&lt;=核心参数输入!$B$9*4,季度投融资!$E$24+季度投融资!$E$23*SUM(季度计划!$D$121:K121)-SUM($D151:K151)-SUM($D153:K153),0)</f>
        <v>19317.239999999998</v>
      </c>
      <c r="L165" s="9">
        <f>IF(8&lt;=核心参数输入!$B$9*4,季度投融资!$E$24+季度投融资!$E$23*SUM(季度计划!$D$121:L121)-SUM($D151:L151)-SUM($D153:L153),0)</f>
        <v>21936.78</v>
      </c>
      <c r="M165" s="9">
        <f>IF(9&lt;=核心参数输入!$B$9*4,季度投融资!$E$24+季度投融资!$E$23*SUM(季度计划!$D$121:M121)-SUM($D151:M151)-SUM($D153:M153),0)</f>
        <v>23901.434999999998</v>
      </c>
      <c r="N165" s="9">
        <f>IF(10&lt;=核心参数输入!$B$9*4,季度投融资!$E$24+季度投融资!$E$23*SUM(季度计划!$D$121:N121)-SUM($D151:N151)-SUM($D153:N153),0)</f>
        <v>25866.089999999993</v>
      </c>
      <c r="O165" s="9">
        <f>IF(11&lt;=核心参数输入!$B$9*4,季度投融资!$E$24+季度投融资!$E$23*SUM(季度计划!$D$121:O121)-SUM($D151:O151)-SUM($D153:O153),0)</f>
        <v>27830.744999999992</v>
      </c>
      <c r="P165" s="9">
        <f>IF(12&lt;=核心参数输入!$B$9*4,季度投融资!$E$24+季度投融资!$E$23*SUM(季度计划!$D$121:P121)-SUM($D151:P151)-SUM($D153:P153),0)</f>
        <v>29795.399999999991</v>
      </c>
      <c r="Q165" s="9">
        <f>IF(13&lt;=核心参数输入!$B$9*4,季度投融资!$E$24+季度投融资!$E$23*SUM(季度计划!$D$121:Q121)-SUM($D151:Q151)-SUM($D153:Q153),0)</f>
        <v>29570.019749999992</v>
      </c>
      <c r="R165" s="9">
        <f>IF(14&lt;=核心参数输入!$B$9*4,季度投融资!$E$24+季度投融资!$E$23*SUM(季度计划!$D$121:R121)-SUM($D151:R151)-SUM($D153:R153),0)</f>
        <v>29344.63949999999</v>
      </c>
      <c r="S165" s="9">
        <f>IF(15&lt;=核心参数输入!$B$9*4,季度投融资!$E$24+季度投融资!$E$23*SUM(季度计划!$D$121:S121)-SUM($D151:S151)-SUM($D153:S153),0)</f>
        <v>29119.259249999992</v>
      </c>
      <c r="T165" s="9">
        <f>IF(16&lt;=核心参数输入!$B$9*4,季度投融资!$E$24+季度投融资!$E$23*SUM(季度计划!$D$121:T121)-SUM($D151:T151)-SUM($D153:T153),0)</f>
        <v>28893.87899999999</v>
      </c>
      <c r="U165" s="9">
        <f>IF(17&lt;=核心参数输入!$B$9*4,季度投融资!$E$24+季度投融资!$E$23*SUM(季度计划!$D$121:U121)-SUM($D151:U151)-SUM($D153:U153),0)</f>
        <v>28668.498749999992</v>
      </c>
      <c r="V165" s="9">
        <f>IF(18&lt;=核心参数输入!$B$9*4,季度投融资!$E$24+季度投融资!$E$23*SUM(季度计划!$D$121:V121)-SUM($D151:V151)-SUM($D153:V153),0)</f>
        <v>28443.11849999999</v>
      </c>
      <c r="W165" s="9">
        <f>IF(19&lt;=核心参数输入!$B$9*4,季度投融资!$E$24+季度投融资!$E$23*SUM(季度计划!$D$121:W121)-SUM($D151:W151)-SUM($D153:W153),0)</f>
        <v>28217.738249999991</v>
      </c>
      <c r="X165" s="9">
        <f>IF(20&lt;=核心参数输入!$B$9*4,季度投融资!$E$24+季度投融资!$E$23*SUM(季度计划!$D$121:X121)-SUM($D151:X151)-SUM($D153:X153),0)</f>
        <v>27992.357999999989</v>
      </c>
      <c r="Y165" s="9">
        <f>IF(21&lt;=核心参数输入!$B$9*4,季度投融资!$E$24+季度投融资!$E$23*SUM(季度计划!$D$121:Y121)-SUM($D151:Y151)-SUM($D153:Y153),0)</f>
        <v>27766.977749999991</v>
      </c>
      <c r="Z165" s="9">
        <f>IF(22&lt;=核心参数输入!$B$9*4,季度投融资!$E$24+季度投融资!$E$23*SUM(季度计划!$D$121:Z121)-SUM($D151:Z151)-SUM($D153:Z153),0)</f>
        <v>27541.597499999989</v>
      </c>
      <c r="AA165" s="9">
        <f>IF(23&lt;=核心参数输入!$B$9*4,季度投融资!$E$24+季度投融资!$E$23*SUM(季度计划!$D$121:AA121)-SUM($D151:AA151)-SUM($D153:AA153),0)</f>
        <v>27316.217249999991</v>
      </c>
      <c r="AB165" s="9">
        <f>IF(24&lt;=核心参数输入!$B$9*4,季度投融资!$E$24+季度投融资!$E$23*SUM(季度计划!$D$121:AB121)-SUM($D151:AB151)-SUM($D153:AB153),0)</f>
        <v>27090.836999999992</v>
      </c>
      <c r="AC165" s="9">
        <f>IF(25&lt;=核心参数输入!$B$9*4,季度投融资!$E$24+季度投融资!$E$23*SUM(季度计划!$D$121:AC121)-SUM($D151:AC151)-SUM($D153:AC153),0)</f>
        <v>26865.45674999999</v>
      </c>
      <c r="AD165" s="9">
        <f>IF(26&lt;=核心参数输入!$B$9*4,季度投融资!$E$24+季度投融资!$E$23*SUM(季度计划!$D$121:AD121)-SUM($D151:AD151)-SUM($D153:AD153),0)</f>
        <v>26640.076499999988</v>
      </c>
      <c r="AE165" s="9">
        <f>IF(27&lt;=核心参数输入!$B$9*4,季度投融资!$E$24+季度投融资!$E$23*SUM(季度计划!$D$121:AE121)-SUM($D151:AE151)-SUM($D153:AE153),0)</f>
        <v>26414.69624999999</v>
      </c>
      <c r="AF165" s="9">
        <f>IF(28&lt;=核心参数输入!$B$9*4,季度投融资!$E$24+季度投融资!$E$23*SUM(季度计划!$D$121:AF121)-SUM($D151:AF151)-SUM($D153:AF153),0)</f>
        <v>26189.315999999992</v>
      </c>
      <c r="AG165" s="9">
        <f>IF(29&lt;=核心参数输入!$B$9*4,季度投融资!$E$24+季度投融资!$E$23*SUM(季度计划!$D$121:AG121)-SUM($D151:AG151)-SUM($D153:AG153),0)</f>
        <v>25963.93574999999</v>
      </c>
      <c r="AH165" s="9">
        <f>IF(30&lt;=核心参数输入!$B$9*4,季度投融资!$E$24+季度投融资!$E$23*SUM(季度计划!$D$121:AH121)-SUM($D151:AH151)-SUM($D153:AH153),0)</f>
        <v>25738.555499999988</v>
      </c>
      <c r="AI165" s="9">
        <f>IF(31&lt;=核心参数输入!$B$9*4,季度投融资!$E$24+季度投融资!$E$23*SUM(季度计划!$D$121:AI121)-SUM($D151:AI151)-SUM($D153:AI153),0)</f>
        <v>25513.175249999989</v>
      </c>
      <c r="AJ165" s="9">
        <f>IF(32&lt;=核心参数输入!$B$9*4,季度投融资!$E$24+季度投融资!$E$23*SUM(季度计划!$D$121:AJ121)-SUM($D151:AJ151)-SUM($D153:AJ153),0)</f>
        <v>25287.794999999991</v>
      </c>
      <c r="AK165" s="9">
        <f>IF(33&lt;=核心参数输入!$B$9*4,季度投融资!$E$24+季度投融资!$E$23*SUM(季度计划!$D$121:AK121)-SUM($D151:AK151)-SUM($D153:AK153),0)</f>
        <v>25062.414749999989</v>
      </c>
      <c r="AL165" s="9">
        <f>IF(34&lt;=核心参数输入!$B$9*4,季度投融资!$E$24+季度投融资!$E$23*SUM(季度计划!$D$121:AL121)-SUM($D151:AL151)-SUM($D153:AL153),0)</f>
        <v>24837.034499999987</v>
      </c>
      <c r="AM165" s="9">
        <f>IF(35&lt;=核心参数输入!$B$9*4,季度投融资!$E$24+季度投融资!$E$23*SUM(季度计划!$D$121:AM121)-SUM($D151:AM151)-SUM($D153:AM153),0)</f>
        <v>24611.654249999989</v>
      </c>
      <c r="AN165" s="9">
        <f>IF(36&lt;=核心参数输入!$B$9*4,季度投融资!$E$24+季度投融资!$E$23*SUM(季度计划!$D$121:AN121)-SUM($D151:AN151)-SUM($D153:AN153),0)</f>
        <v>24386.27399999999</v>
      </c>
      <c r="AO165" s="9">
        <f>IF(37&lt;=核心参数输入!$B$9*4,季度投融资!$E$24+季度投融资!$E$23*SUM(季度计划!$D$121:AO121)-SUM($D151:AO151)-SUM($D153:AO153),0)</f>
        <v>24160.893749999988</v>
      </c>
      <c r="AP165" s="9">
        <f>IF(38&lt;=核心参数输入!$B$9*4,季度投融资!$E$24+季度投融资!$E$23*SUM(季度计划!$D$121:AP121)-SUM($D151:AP151)-SUM($D153:AP153),0)</f>
        <v>23935.513499999986</v>
      </c>
      <c r="AQ165" s="9">
        <f>IF(39&lt;=核心参数输入!$B$9*4,季度投融资!$E$24+季度投融资!$E$23*SUM(季度计划!$D$121:AQ121)-SUM($D151:AQ151)-SUM($D153:AQ153),0)</f>
        <v>23710.133249999988</v>
      </c>
      <c r="AR165" s="9">
        <f>IF(40&lt;=核心参数输入!$B$9*4,季度投融资!$E$24+季度投融资!$E$23*SUM(季度计划!$D$121:AR121)-SUM($D151:AR151)-SUM($D153:AR153),0)</f>
        <v>23484.75299999999</v>
      </c>
      <c r="AS165" s="9">
        <f>IF(41&lt;=核心参数输入!$B$9*4,季度投融资!$E$24+季度投融资!$E$23*SUM(季度计划!$D$121:AS121)-SUM($D151:AS151)-SUM($D153:AS153),0)</f>
        <v>23259.372749999988</v>
      </c>
      <c r="AT165" s="9">
        <f>IF(42&lt;=核心参数输入!$B$9*4,季度投融资!$E$24+季度投融资!$E$23*SUM(季度计划!$D$121:AT121)-SUM($D151:AT151)-SUM($D153:AT153),0)</f>
        <v>23033.992499999986</v>
      </c>
      <c r="AU165" s="9">
        <f>IF(43&lt;=核心参数输入!$B$9*4,季度投融资!$E$24+季度投融资!$E$23*SUM(季度计划!$D$121:AU121)-SUM($D151:AU151)-SUM($D153:AU153),0)</f>
        <v>22808.612249999987</v>
      </c>
      <c r="AV165" s="9">
        <f>IF(44&lt;=核心参数输入!$B$9*4,季度投融资!$E$24+季度投融资!$E$23*SUM(季度计划!$D$121:AV121)-SUM($D151:AV151)-SUM($D153:AV153),0)</f>
        <v>22583.231999999989</v>
      </c>
      <c r="AW165" s="9">
        <f>IF(45&lt;=核心参数输入!$B$9*4,季度投融资!$E$24+季度投融资!$E$23*SUM(季度计划!$D$121:AW121)-SUM($D151:AW151)-SUM($D153:AW153),0)</f>
        <v>22357.851749999987</v>
      </c>
      <c r="AX165" s="9">
        <f>IF(46&lt;=核心参数输入!$B$9*4,季度投融资!$E$24+季度投融资!$E$23*SUM(季度计划!$D$121:AX121)-SUM($D151:AX151)-SUM($D153:AX153),0)</f>
        <v>22132.471499999985</v>
      </c>
      <c r="AY165" s="9">
        <f>IF(47&lt;=核心参数输入!$B$9*4,季度投融资!$E$24+季度投融资!$E$23*SUM(季度计划!$D$121:AY121)-SUM($D151:AY151)-SUM($D153:AY153),0)</f>
        <v>21907.091249999987</v>
      </c>
      <c r="AZ165" s="9">
        <f>IF(48&lt;=核心参数输入!$B$9*4,季度投融资!$E$24+季度投融资!$E$23*SUM(季度计划!$D$121:AZ121)-SUM($D151:AZ151)-SUM($D153:AZ153),0)</f>
        <v>21681.710999999988</v>
      </c>
      <c r="BA165" s="9">
        <f>IF(49&lt;=核心参数输入!$B$9*4,季度投融资!$E$24+季度投融资!$E$23*SUM(季度计划!$D$121:BA121)-SUM($D151:BA151)-SUM($D153:BA153),0)</f>
        <v>21456.330749999986</v>
      </c>
      <c r="BB165" s="9">
        <f>IF(50&lt;=核心参数输入!$B$9*4,季度投融资!$E$24+季度投融资!$E$23*SUM(季度计划!$D$121:BB121)-SUM($D151:BB151)-SUM($D153:BB153),0)</f>
        <v>21230.950499999984</v>
      </c>
      <c r="BC165" s="9">
        <f>IF(51&lt;=核心参数输入!$B$9*4,季度投融资!$E$24+季度投融资!$E$23*SUM(季度计划!$D$121:BC121)-SUM($D151:BC151)-SUM($D153:BC153),0)</f>
        <v>21005.570249999986</v>
      </c>
      <c r="BD165" s="9">
        <f>IF(52&lt;=核心参数输入!$B$9*4,季度投融资!$E$24+季度投融资!$E$23*SUM(季度计划!$D$121:BD121)-SUM($D151:BD151)-SUM($D153:BD153),0)</f>
        <v>20780.189999999988</v>
      </c>
      <c r="BE165" s="9">
        <f>IF(53&lt;=核心参数输入!$B$9*4,季度投融资!$E$24+季度投融资!$E$23*SUM(季度计划!$D$121:BE121)-SUM($D151:BE151)-SUM($D153:BE153),0)</f>
        <v>20554.809749999986</v>
      </c>
      <c r="BF165" s="9">
        <f>IF(54&lt;=核心参数输入!$B$9*4,季度投融资!$E$24+季度投融资!$E$23*SUM(季度计划!$D$121:BF121)-SUM($D151:BF151)-SUM($D153:BF153),0)</f>
        <v>20329.429499999984</v>
      </c>
      <c r="BG165" s="9">
        <f>IF(55&lt;=核心参数输入!$B$9*4,季度投融资!$E$24+季度投融资!$E$23*SUM(季度计划!$D$121:BG121)-SUM($D151:BG151)-SUM($D153:BG153),0)</f>
        <v>20104.049249999985</v>
      </c>
      <c r="BH165" s="9">
        <f>IF(56&lt;=核心参数输入!$B$9*4,季度投融资!$E$24+季度投融资!$E$23*SUM(季度计划!$D$121:BH121)-SUM($D151:BH151)-SUM($D153:BH153),0)</f>
        <v>19878.668999999987</v>
      </c>
      <c r="BI165" s="9">
        <f>IF(57&lt;=核心参数输入!$B$9*4,季度投融资!$E$24+季度投融资!$E$23*SUM(季度计划!$D$121:BI121)-SUM($D151:BI151)-SUM($D153:BI153),0)</f>
        <v>19653.288749999985</v>
      </c>
      <c r="BJ165" s="9">
        <f>IF(58&lt;=核心参数输入!$B$9*4,季度投融资!$E$24+季度投融资!$E$23*SUM(季度计划!$D$121:BJ121)-SUM($D151:BJ151)-SUM($D153:BJ153),0)</f>
        <v>19427.908499999983</v>
      </c>
      <c r="BK165" s="9">
        <f>IF(59&lt;=核心参数输入!$B$9*4,季度投融资!$E$24+季度投融资!$E$23*SUM(季度计划!$D$121:BK121)-SUM($D151:BK151)-SUM($D153:BK153),0)</f>
        <v>19202.528249999985</v>
      </c>
      <c r="BL165" s="9">
        <f>IF(60&lt;=核心参数输入!$B$9*4,季度投融资!$E$24+季度投融资!$E$23*SUM(季度计划!$D$121:BL121)-SUM($D151:BL151)-SUM($D153:BL153),0)</f>
        <v>18977.147999999986</v>
      </c>
      <c r="BM165" s="9">
        <f>IF(61&lt;=核心参数输入!$B$9*4,季度投融资!$E$24+季度投融资!$E$23*SUM(季度计划!$D$121:BM121)-SUM($D151:BM151)-SUM($D153:BM153),0)</f>
        <v>18751.767749999985</v>
      </c>
      <c r="BN165" s="9">
        <f>IF(62&lt;=核心参数输入!$B$9*4,季度投融资!$E$24+季度投融资!$E$23*SUM(季度计划!$D$121:BN121)-SUM($D151:BN151)-SUM($D153:BN153),0)</f>
        <v>18526.387499999983</v>
      </c>
      <c r="BO165" s="9">
        <f>IF(63&lt;=核心参数输入!$B$9*4,季度投融资!$E$24+季度投融资!$E$23*SUM(季度计划!$D$121:BO121)-SUM($D151:BO151)-SUM($D153:BO153),0)</f>
        <v>18301.007249999984</v>
      </c>
      <c r="BP165" s="9">
        <f>IF(64&lt;=核心参数输入!$B$9*4,季度投融资!$E$24+季度投融资!$E$23*SUM(季度计划!$D$121:BP121)-SUM($D151:BP151)-SUM($D153:BP153),0)</f>
        <v>18075.626999999986</v>
      </c>
      <c r="BQ165" s="9">
        <f>IF(65&lt;=核心参数输入!$B$9*4,季度投融资!$E$24+季度投融资!$E$23*SUM(季度计划!$D$121:BQ121)-SUM($D151:BQ151)-SUM($D153:BQ153),0)</f>
        <v>17850.246749999984</v>
      </c>
      <c r="BR165" s="9">
        <f>IF(66&lt;=核心参数输入!$B$9*4,季度投融资!$E$24+季度投融资!$E$23*SUM(季度计划!$D$121:BR121)-SUM($D151:BR151)-SUM($D153:BR153),0)</f>
        <v>17624.866499999982</v>
      </c>
      <c r="BS165" s="9">
        <f>IF(67&lt;=核心参数输入!$B$9*4,季度投融资!$E$24+季度投融资!$E$23*SUM(季度计划!$D$121:BS121)-SUM($D151:BS151)-SUM($D153:BS153),0)</f>
        <v>17399.486249999984</v>
      </c>
      <c r="BT165" s="9">
        <f>IF(68&lt;=核心参数输入!$B$9*4,季度投融资!$E$24+季度投融资!$E$23*SUM(季度计划!$D$121:BT121)-SUM($D151:BT151)-SUM($D153:BT153),0)</f>
        <v>17174.105999999985</v>
      </c>
      <c r="BU165" s="9">
        <f>IF(69&lt;=核心参数输入!$B$9*4,季度投融资!$E$24+季度投融资!$E$23*SUM(季度计划!$D$121:BU121)-SUM($D151:BU151)-SUM($D153:BU153),0)</f>
        <v>16948.725749999983</v>
      </c>
      <c r="BV165" s="9">
        <f>IF(70&lt;=核心参数输入!$B$9*4,季度投融资!$E$24+季度投融资!$E$23*SUM(季度计划!$D$121:BV121)-SUM($D151:BV151)-SUM($D153:BV153),0)</f>
        <v>16723.345499999981</v>
      </c>
      <c r="BW165" s="9">
        <f>IF(71&lt;=核心参数输入!$B$9*4,季度投融资!$E$24+季度投融资!$E$23*SUM(季度计划!$D$121:BW121)-SUM($D151:BW151)-SUM($D153:BW153),0)</f>
        <v>16497.965249999983</v>
      </c>
      <c r="BX165" s="9">
        <f>IF(72&lt;=核心参数输入!$B$9*4,季度投融资!$E$24+季度投融资!$E$23*SUM(季度计划!$D$121:BX121)-SUM($D151:BX151)-SUM($D153:BX153),0)</f>
        <v>16272.584999999985</v>
      </c>
      <c r="BY165" s="9">
        <f>IF(73&lt;=核心参数输入!$B$9*4,季度投融资!$E$24+季度投融资!$E$23*SUM(季度计划!$D$121:BY121)-SUM($D151:BY151)-SUM($D153:BY153),0)</f>
        <v>16047.204749999983</v>
      </c>
      <c r="BZ165" s="9">
        <f>IF(74&lt;=核心参数输入!$B$9*4,季度投融资!$E$24+季度投融资!$E$23*SUM(季度计划!$D$121:BZ121)-SUM($D151:BZ151)-SUM($D153:BZ153),0)</f>
        <v>15821.824499999981</v>
      </c>
      <c r="CA165" s="9">
        <f>IF(75&lt;=核心参数输入!$B$9*4,季度投融资!$E$24+季度投融资!$E$23*SUM(季度计划!$D$121:CA121)-SUM($D151:CA151)-SUM($D153:CA153),0)</f>
        <v>15596.444249999982</v>
      </c>
      <c r="CB165" s="9">
        <f>IF(76&lt;=核心参数输入!$B$9*4,季度投融资!$E$24+季度投融资!$E$23*SUM(季度计划!$D$121:CB121)-SUM($D151:CB151)-SUM($D153:CB153),0)</f>
        <v>15371.063999999984</v>
      </c>
      <c r="CC165" s="9">
        <f>IF(77&lt;=核心参数输入!$B$9*4,季度投融资!$E$24+季度投融资!$E$23*SUM(季度计划!$D$121:CC121)-SUM($D151:CC151)-SUM($D153:CC153),0)</f>
        <v>15145.683749999982</v>
      </c>
      <c r="CD165" s="9">
        <f>IF(78&lt;=核心参数输入!$B$9*4,季度投融资!$E$24+季度投融资!$E$23*SUM(季度计划!$D$121:CD121)-SUM($D151:CD151)-SUM($D153:CD153),0)</f>
        <v>14920.303499999982</v>
      </c>
      <c r="CE165" s="9">
        <f>IF(79&lt;=核心参数输入!$B$9*4,季度投融资!$E$24+季度投融资!$E$23*SUM(季度计划!$D$121:CE121)-SUM($D151:CE151)-SUM($D153:CE153),0)</f>
        <v>14694.923249999982</v>
      </c>
      <c r="CF165" s="9">
        <f>IF(80&lt;=核心参数输入!$B$9*4,季度投融资!$E$24+季度投融资!$E$23*SUM(季度计划!$D$121:CF121)-SUM($D151:CF151)-SUM($D153:CF153),0)</f>
        <v>14469.542999999981</v>
      </c>
      <c r="CG165" s="9">
        <f>IF(81&lt;=核心参数输入!$B$9*4,季度投融资!$E$24+季度投融资!$E$23*SUM(季度计划!$D$121:CG121)-SUM($D151:CG151)-SUM($D153:CG153),0)</f>
        <v>0</v>
      </c>
      <c r="CH165" s="9">
        <f>IF(82&lt;=核心参数输入!$B$9*4,季度投融资!$E$24+季度投融资!$E$23*SUM(季度计划!$D$121:CH121)-SUM($D151:CH151)-SUM($D153:CH153),0)</f>
        <v>0</v>
      </c>
      <c r="CI165" s="9">
        <f>IF(83&lt;=核心参数输入!$B$9*4,季度投融资!$E$24+季度投融资!$E$23*SUM(季度计划!$D$121:CI121)-SUM($D151:CI151)-SUM($D153:CI153),0)</f>
        <v>0</v>
      </c>
      <c r="CJ165" s="9">
        <f>IF(84&lt;=核心参数输入!$B$9*4,季度投融资!$E$24+季度投融资!$E$23*SUM(季度计划!$D$121:CJ121)-SUM($D151:CJ151)-SUM($D153:CJ153),0)</f>
        <v>0</v>
      </c>
      <c r="CK165" s="9">
        <f>IF(85&lt;=核心参数输入!$B$9*4,季度投融资!$E$24+季度投融资!$E$23*SUM(季度计划!$D$121:CK121)-SUM($D151:CK151)-SUM($D153:CK153),0)</f>
        <v>0</v>
      </c>
      <c r="CL165" s="9">
        <f>IF(86&lt;=核心参数输入!$B$9*4,季度投融资!$E$24+季度投融资!$E$23*SUM(季度计划!$D$121:CL121)-SUM($D151:CL151)-SUM($D153:CL153),0)</f>
        <v>0</v>
      </c>
      <c r="CM165" s="9">
        <f>IF(87&lt;=核心参数输入!$B$9*4,季度投融资!$E$24+季度投融资!$E$23*SUM(季度计划!$D$121:CM121)-SUM($D151:CM151)-SUM($D153:CM153),0)</f>
        <v>0</v>
      </c>
      <c r="CN165" s="9">
        <f>IF(88&lt;=核心参数输入!$B$9*4,季度投融资!$E$24+季度投融资!$E$23*SUM(季度计划!$D$121:CN121)-SUM($D151:CN151)-SUM($D153:CN153),0)</f>
        <v>0</v>
      </c>
      <c r="CO165" s="9">
        <f>IF(89&lt;=核心参数输入!$B$9*4,季度投融资!$E$24+季度投融资!$E$23*SUM(季度计划!$D$121:CO121)-SUM($D151:CO151)-SUM($D153:CO153),0)</f>
        <v>0</v>
      </c>
      <c r="CP165" s="9">
        <f>IF(90&lt;=核心参数输入!$B$9*4,季度投融资!$E$24+季度投融资!$E$23*SUM(季度计划!$D$121:CP121)-SUM($D151:CP151)-SUM($D153:CP153),0)</f>
        <v>0</v>
      </c>
      <c r="CQ165" s="9">
        <f>IF(91&lt;=核心参数输入!$B$9*4,季度投融资!$E$24+季度投融资!$E$23*SUM(季度计划!$D$121:CQ121)-SUM($D151:CQ151)-SUM($D153:CQ153),0)</f>
        <v>0</v>
      </c>
      <c r="CR165" s="9">
        <f>IF(92&lt;=核心参数输入!$B$9*4,季度投融资!$E$24+季度投融资!$E$23*SUM(季度计划!$D$121:CR121)-SUM($D151:CR151)-SUM($D153:CR153),0)</f>
        <v>0</v>
      </c>
      <c r="CS165" s="9">
        <f>IF(93&lt;=核心参数输入!$B$9*4,季度投融资!$E$24+季度投融资!$E$23*SUM(季度计划!$D$121:CS121)-SUM($D151:CS151)-SUM($D153:CS153),0)</f>
        <v>0</v>
      </c>
      <c r="CT165" s="9">
        <f>IF(94&lt;=核心参数输入!$B$9*4,季度投融资!$E$24+季度投融资!$E$23*SUM(季度计划!$D$121:CT121)-SUM($D151:CT151)-SUM($D153:CT153),0)</f>
        <v>0</v>
      </c>
      <c r="CU165" s="9">
        <f>IF(95&lt;=核心参数输入!$B$9*4,季度投融资!$E$24+季度投融资!$E$23*SUM(季度计划!$D$121:CU121)-SUM($D151:CU151)-SUM($D153:CU153),0)</f>
        <v>0</v>
      </c>
      <c r="CV165" s="9">
        <f>IF(96&lt;=核心参数输入!$B$9*4,季度投融资!$E$24+季度投融资!$E$23*SUM(季度计划!$D$121:CV121)-SUM($D151:CV151)-SUM($D153:CV153),0)</f>
        <v>0</v>
      </c>
      <c r="CW165" s="9">
        <f>IF(97&lt;=核心参数输入!$B$9*4,季度投融资!$E$24+季度投融资!$E$23*SUM(季度计划!$D$121:CW121)-SUM($D151:CW151)-SUM($D153:CW153),0)</f>
        <v>0</v>
      </c>
      <c r="CX165" s="9">
        <f>IF(98&lt;=核心参数输入!$B$9*4,季度投融资!$E$24+季度投融资!$E$23*SUM(季度计划!$D$121:CX121)-SUM($D151:CX151)-SUM($D153:CX153),0)</f>
        <v>0</v>
      </c>
      <c r="CY165" s="9">
        <f>IF(99&lt;=核心参数输入!$B$9*4,季度投融资!$E$24+季度投融资!$E$23*SUM(季度计划!$D$121:CY121)-SUM($D151:CY151)-SUM($D153:CY153),0)</f>
        <v>0</v>
      </c>
      <c r="CZ165" s="9">
        <f>IF(100&lt;=核心参数输入!$B$9*4,季度投融资!$E$24+季度投融资!$E$23*SUM(季度计划!$D$121:CZ121)-SUM($D151:CZ151)-SUM($D153:CZ153),0)</f>
        <v>0</v>
      </c>
      <c r="DA165" s="9">
        <f>IF(101&lt;=核心参数输入!$B$9*4,季度投融资!$E$24+季度投融资!$E$23*SUM(季度计划!$D$121:DA121)-SUM($D151:DA151)-SUM($D153:DA153),0)</f>
        <v>0</v>
      </c>
      <c r="DB165" s="9">
        <f>IF(102&lt;=核心参数输入!$B$9*4,季度投融资!$E$24+季度投融资!$E$23*SUM(季度计划!$D$121:DB121)-SUM($D151:DB151)-SUM($D153:DB153),0)</f>
        <v>0</v>
      </c>
      <c r="DC165" s="9">
        <f>IF(103&lt;=核心参数输入!$B$9*4,季度投融资!$E$24+季度投融资!$E$23*SUM(季度计划!$D$121:DC121)-SUM($D151:DC151)-SUM($D153:DC153),0)</f>
        <v>0</v>
      </c>
      <c r="DD165" s="9">
        <f>IF(104&lt;=核心参数输入!$B$9*4,季度投融资!$E$24+季度投融资!$E$23*SUM(季度计划!$D$121:DD121)-SUM($D151:DD151)-SUM($D153:DD153),0)</f>
        <v>0</v>
      </c>
      <c r="DE165" s="9">
        <f>IF(105&lt;=核心参数输入!$B$9*4,季度投融资!$E$24+季度投融资!$E$23*SUM(季度计划!$D$121:DE121)-SUM($D151:DE151)-SUM($D153:DE153),0)</f>
        <v>0</v>
      </c>
      <c r="DF165" s="9">
        <f>IF(106&lt;=核心参数输入!$B$9*4,季度投融资!$E$24+季度投融资!$E$23*SUM(季度计划!$D$121:DF121)-SUM($D151:DF151)-SUM($D153:DF153),0)</f>
        <v>0</v>
      </c>
      <c r="DG165" s="9">
        <f>IF(107&lt;=核心参数输入!$B$9*4,季度投融资!$E$24+季度投融资!$E$23*SUM(季度计划!$D$121:DG121)-SUM($D151:DG151)-SUM($D153:DG153),0)</f>
        <v>0</v>
      </c>
      <c r="DH165" s="9">
        <f>IF(108&lt;=核心参数输入!$B$9*4,季度投融资!$E$24+季度投融资!$E$23*SUM(季度计划!$D$121:DH121)-SUM($D151:DH151)-SUM($D153:DH153),0)</f>
        <v>0</v>
      </c>
      <c r="DI165" s="9">
        <f>IF(109&lt;=核心参数输入!$B$9*4,季度投融资!$E$24+季度投融资!$E$23*SUM(季度计划!$D$121:DI121)-SUM($D151:DI151)-SUM($D153:DI153),0)</f>
        <v>0</v>
      </c>
      <c r="DJ165" s="9">
        <f>IF(110&lt;=核心参数输入!$B$9*4,季度投融资!$E$24+季度投融资!$E$23*SUM(季度计划!$D$121:DJ121)-SUM($D151:DJ151)-SUM($D153:DJ153),0)</f>
        <v>0</v>
      </c>
      <c r="DK165" s="9">
        <f>IF(111&lt;=核心参数输入!$B$9*4,季度投融资!$E$24+季度投融资!$E$23*SUM(季度计划!$D$121:DK121)-SUM($D151:DK151)-SUM($D153:DK153),0)</f>
        <v>0</v>
      </c>
      <c r="DL165" s="9">
        <f>IF(112&lt;=核心参数输入!$B$9*4,季度投融资!$E$24+季度投融资!$E$23*SUM(季度计划!$D$121:DL121)-SUM($D151:DL151)-SUM($D153:DL153),0)</f>
        <v>0</v>
      </c>
      <c r="DM165" s="9">
        <f>IF(113&lt;=核心参数输入!$B$9*4,季度投融资!$E$24+季度投融资!$E$23*SUM(季度计划!$D$121:DM121)-SUM($D151:DM151)-SUM($D153:DM153),0)</f>
        <v>0</v>
      </c>
      <c r="DN165" s="9">
        <f>IF(114&lt;=核心参数输入!$B$9*4,季度投融资!$E$24+季度投融资!$E$23*SUM(季度计划!$D$121:DN121)-SUM($D151:DN151)-SUM($D153:DN153),0)</f>
        <v>0</v>
      </c>
      <c r="DO165" s="9">
        <f>IF(115&lt;=核心参数输入!$B$9*4,季度投融资!$E$24+季度投融资!$E$23*SUM(季度计划!$D$121:DO121)-SUM($D151:DO151)-SUM($D153:DO153),0)</f>
        <v>0</v>
      </c>
      <c r="DP165" s="9">
        <f>IF(116&lt;=核心参数输入!$B$9*4,季度投融资!$E$24+季度投融资!$E$23*SUM(季度计划!$D$121:DP121)-SUM($D151:DP151)-SUM($D153:DP153),0)</f>
        <v>0</v>
      </c>
      <c r="DQ165" s="9">
        <f>IF(117&lt;=核心参数输入!$B$9*4,季度投融资!$E$24+季度投融资!$E$23*SUM(季度计划!$D$121:DQ121)-SUM($D151:DQ151)-SUM($D153:DQ153),0)</f>
        <v>0</v>
      </c>
      <c r="DR165" s="9">
        <f>IF(118&lt;=核心参数输入!$B$9*4,季度投融资!$E$24+季度投融资!$E$23*SUM(季度计划!$D$121:DR121)-SUM($D151:DR151)-SUM($D153:DR153),0)</f>
        <v>0</v>
      </c>
      <c r="DS165" s="9">
        <f>IF(119&lt;=核心参数输入!$B$9*4,季度投融资!$E$24+季度投融资!$E$23*SUM(季度计划!$D$121:DS121)-SUM($D151:DS151)-SUM($D153:DS153),0)</f>
        <v>0</v>
      </c>
      <c r="DT165" s="9">
        <f>IF(120&lt;=核心参数输入!$B$9*4,季度投融资!$E$24+季度投融资!$E$23*SUM(季度计划!$D$121:DT121)-SUM($D151:DT151)-SUM($D153:DT153),0)</f>
        <v>0</v>
      </c>
    </row>
    <row r="166" spans="1:124" ht="21" customHeight="1">
      <c r="A166" s="8" t="s">
        <v>487</v>
      </c>
      <c r="B166" s="8" t="s">
        <v>39</v>
      </c>
      <c r="C166" s="8"/>
      <c r="D166" s="9">
        <f>IF(0&lt;=核心参数输入!$B$9*4,D165+SUM(季度投融资!$D$154:D154)*核心参数输入!$B$143+SUM(季度投融资!$D$159:D159)*核心参数输入!$B$143-SUM($D152:D152)+SUM($D151:D151),0)</f>
        <v>3599.9999999999995</v>
      </c>
      <c r="E166" s="9">
        <f>IF(1&lt;=核心参数输入!$B$9*4,E165+SUM(季度投融资!$D$154:E154)*核心参数输入!$B$143+SUM(季度投融资!$D$159:E159)*核心参数输入!$B$143-SUM($D152:E152)+SUM($D151:E151),0)</f>
        <v>5569.970624999999</v>
      </c>
      <c r="F166" s="9">
        <f>IF(2&lt;=核心参数输入!$B$9*4,F165+SUM(季度投融资!$D$154:F154)*核心参数输入!$B$143+SUM(季度投融资!$D$159:F159)*核心参数输入!$B$143-SUM($D152:F152)+SUM($D151:F151),0)</f>
        <v>7550.5724999999993</v>
      </c>
      <c r="G166" s="9">
        <f>IF(3&lt;=核心参数输入!$B$9*4,G165+SUM(季度投融资!$D$154:G154)*核心参数输入!$B$143+SUM(季度投融资!$D$159:G159)*核心参数输入!$B$143-SUM($D152:G152)+SUM($D151:G151),0)</f>
        <v>9541.8056249999991</v>
      </c>
      <c r="H166" s="9">
        <f>IF(4&lt;=核心参数输入!$B$9*4,H165+SUM(季度投融资!$D$154:H154)*核心参数输入!$B$143+SUM(季度投融资!$D$159:H159)*核心参数输入!$B$143-SUM($D152:H152)+SUM($D151:H151),0)</f>
        <v>11543.669999999998</v>
      </c>
      <c r="I166" s="9">
        <f>IF(5&lt;=核心参数输入!$B$9*4,I165+SUM(季度投融资!$D$154:I154)*核心参数输入!$B$143+SUM(季度投融资!$D$159:I159)*核心参数输入!$B$143-SUM($D152:I152)+SUM($D151:I151),0)</f>
        <v>14212.8225</v>
      </c>
      <c r="J166" s="9">
        <f>IF(6&lt;=核心参数输入!$B$9*4,J165+SUM(季度投融资!$D$154:J154)*核心参数输入!$B$143+SUM(季度投融资!$D$159:J159)*核心参数输入!$B$143-SUM($D152:J152)+SUM($D151:J151),0)</f>
        <v>16896.149999999998</v>
      </c>
      <c r="K166" s="9">
        <f>IF(7&lt;=核心参数输入!$B$9*4,K165+SUM(季度投融资!$D$154:K154)*核心参数输入!$B$143+SUM(季度投融资!$D$159:K159)*核心参数输入!$B$143-SUM($D152:K152)+SUM($D151:K151),0)</f>
        <v>19593.652499999997</v>
      </c>
      <c r="L166" s="9">
        <f>IF(8&lt;=核心参数输入!$B$9*4,L165+SUM(季度投融资!$D$154:L154)*核心参数输入!$B$143+SUM(季度投融资!$D$159:L159)*核心参数输入!$B$143-SUM($D152:L152)+SUM($D151:L151),0)</f>
        <v>22305.329999999998</v>
      </c>
      <c r="M166" s="9">
        <f>IF(9&lt;=核心参数输入!$B$9*4,M165+SUM(季度投融资!$D$154:M154)*核心参数输入!$B$143+SUM(季度投融资!$D$159:M159)*核心参数输入!$B$143-SUM($D152:M152)+SUM($D151:M151),0)</f>
        <v>24374.525624999998</v>
      </c>
      <c r="N166" s="9">
        <f>IF(10&lt;=核心参数输入!$B$9*4,N165+SUM(季度投融资!$D$154:N154)*核心参数输入!$B$143+SUM(季度投融资!$D$159:N159)*核心参数输入!$B$143-SUM($D152:N152)+SUM($D151:N151),0)</f>
        <v>26454.352499999994</v>
      </c>
      <c r="O166" s="9">
        <f>IF(11&lt;=核心参数输入!$B$9*4,O165+SUM(季度投融资!$D$154:O154)*核心参数输入!$B$143+SUM(季度投融资!$D$159:O159)*核心参数输入!$B$143-SUM($D152:O152)+SUM($D151:O151),0)</f>
        <v>28544.810624999991</v>
      </c>
      <c r="P166" s="9">
        <f>IF(12&lt;=核心参数输入!$B$9*4,P165+SUM(季度投融资!$D$154:P154)*核心参数输入!$B$143+SUM(季度投融资!$D$159:P159)*核心参数输入!$B$143-SUM($D152:P152)+SUM($D151:P151),0)</f>
        <v>30645.899999999991</v>
      </c>
      <c r="Q166" s="9">
        <f>IF(13&lt;=核心参数输入!$B$9*4,Q165+SUM(季度投融资!$D$154:Q154)*核心参数输入!$B$143+SUM(季度投融资!$D$159:Q159)*核心参数输入!$B$143-SUM($D152:Q152)+SUM($D151:Q151),0)</f>
        <v>30413.78662499999</v>
      </c>
      <c r="R166" s="9">
        <f>IF(14&lt;=核心参数输入!$B$9*4,R165+SUM(季度投融资!$D$154:R154)*核心参数输入!$B$143+SUM(季度投融资!$D$159:R159)*核心参数输入!$B$143-SUM($D152:R152)+SUM($D151:R151),0)</f>
        <v>30181.673249999989</v>
      </c>
      <c r="S166" s="9">
        <f>IF(15&lt;=核心参数输入!$B$9*4,S165+SUM(季度投融资!$D$154:S154)*核心参数输入!$B$143+SUM(季度投融资!$D$159:S159)*核心参数输入!$B$143-SUM($D152:S152)+SUM($D151:S151),0)</f>
        <v>29949.559874999992</v>
      </c>
      <c r="T166" s="9">
        <f>IF(16&lt;=核心参数输入!$B$9*4,T165+SUM(季度投融资!$D$154:T154)*核心参数输入!$B$143+SUM(季度投融资!$D$159:T159)*核心参数输入!$B$143-SUM($D152:T152)+SUM($D151:T151),0)</f>
        <v>29717.446499999991</v>
      </c>
      <c r="U166" s="9">
        <f>IF(17&lt;=核心参数输入!$B$9*4,U165+SUM(季度投融资!$D$154:U154)*核心参数输入!$B$143+SUM(季度投融资!$D$159:U159)*核心参数输入!$B$143-SUM($D152:U152)+SUM($D151:U151),0)</f>
        <v>29485.33312499999</v>
      </c>
      <c r="V166" s="9">
        <f>IF(18&lt;=核心参数输入!$B$9*4,V165+SUM(季度投融资!$D$154:V154)*核心参数输入!$B$143+SUM(季度投融资!$D$159:V159)*核心参数输入!$B$143-SUM($D152:V152)+SUM($D151:V151),0)</f>
        <v>29253.219749999989</v>
      </c>
      <c r="W166" s="9">
        <f>IF(19&lt;=核心参数输入!$B$9*4,W165+SUM(季度投融资!$D$154:W154)*核心参数输入!$B$143+SUM(季度投融资!$D$159:W159)*核心参数输入!$B$143-SUM($D152:W152)+SUM($D151:W151),0)</f>
        <v>29021.106374999992</v>
      </c>
      <c r="X166" s="9">
        <f>IF(20&lt;=核心参数输入!$B$9*4,X165+SUM(季度投融资!$D$154:X154)*核心参数输入!$B$143+SUM(季度投融资!$D$159:X159)*核心参数输入!$B$143-SUM($D152:X152)+SUM($D151:X151),0)</f>
        <v>28788.992999999991</v>
      </c>
      <c r="Y166" s="9">
        <f>IF(21&lt;=核心参数输入!$B$9*4,Y165+SUM(季度投融资!$D$154:Y154)*核心参数输入!$B$143+SUM(季度投融资!$D$159:Y159)*核心参数输入!$B$143-SUM($D152:Y152)+SUM($D151:Y151),0)</f>
        <v>28556.87962499999</v>
      </c>
      <c r="Z166" s="9">
        <f>IF(22&lt;=核心参数输入!$B$9*4,Z165+SUM(季度投融资!$D$154:Z154)*核心参数输入!$B$143+SUM(季度投融资!$D$159:Z159)*核心参数输入!$B$143-SUM($D152:Z152)+SUM($D151:Z151),0)</f>
        <v>28324.766249999986</v>
      </c>
      <c r="AA166" s="9">
        <f>IF(23&lt;=核心参数输入!$B$9*4,AA165+SUM(季度投融资!$D$154:AA154)*核心参数输入!$B$143+SUM(季度投融资!$D$159:AA159)*核心参数输入!$B$143-SUM($D152:AA152)+SUM($D151:AA151),0)</f>
        <v>28092.652874999992</v>
      </c>
      <c r="AB166" s="9">
        <f>IF(24&lt;=核心参数输入!$B$9*4,AB165+SUM(季度投融资!$D$154:AB154)*核心参数输入!$B$143+SUM(季度投融资!$D$159:AB159)*核心参数输入!$B$143-SUM($D152:AB152)+SUM($D151:AB151),0)</f>
        <v>27860.539499999992</v>
      </c>
      <c r="AC166" s="9">
        <f>IF(25&lt;=核心参数输入!$B$9*4,AC165+SUM(季度投融资!$D$154:AC154)*核心参数输入!$B$143+SUM(季度投融资!$D$159:AC159)*核心参数输入!$B$143-SUM($D152:AC152)+SUM($D151:AC151),0)</f>
        <v>27628.426124999991</v>
      </c>
      <c r="AD166" s="9">
        <f>IF(26&lt;=核心参数输入!$B$9*4,AD165+SUM(季度投融资!$D$154:AD154)*核心参数输入!$B$143+SUM(季度投融资!$D$159:AD159)*核心参数输入!$B$143-SUM($D152:AD152)+SUM($D151:AD151),0)</f>
        <v>27396.31274999999</v>
      </c>
      <c r="AE166" s="9">
        <f>IF(27&lt;=核心参数输入!$B$9*4,AE165+SUM(季度投融资!$D$154:AE154)*核心参数输入!$B$143+SUM(季度投融资!$D$159:AE159)*核心参数输入!$B$143-SUM($D152:AE152)+SUM($D151:AE151),0)</f>
        <v>27164.199374999993</v>
      </c>
      <c r="AF166" s="9">
        <f>IF(28&lt;=核心参数输入!$B$9*4,AF165+SUM(季度投融资!$D$154:AF154)*核心参数输入!$B$143+SUM(季度投融资!$D$159:AF159)*核心参数输入!$B$143-SUM($D152:AF152)+SUM($D151:AF151),0)</f>
        <v>26932.085999999996</v>
      </c>
      <c r="AG166" s="9">
        <f>IF(29&lt;=核心参数输入!$B$9*4,AG165+SUM(季度投融资!$D$154:AG154)*核心参数输入!$B$143+SUM(季度投融资!$D$159:AG159)*核心参数输入!$B$143-SUM($D152:AG152)+SUM($D151:AG151),0)</f>
        <v>26699.972624999991</v>
      </c>
      <c r="AH166" s="9">
        <f>IF(30&lt;=核心参数输入!$B$9*4,AH165+SUM(季度投融资!$D$154:AH154)*核心参数输入!$B$143+SUM(季度投融资!$D$159:AH159)*核心参数输入!$B$143-SUM($D152:AH152)+SUM($D151:AH151),0)</f>
        <v>26467.859249999987</v>
      </c>
      <c r="AI166" s="9">
        <f>IF(31&lt;=核心参数输入!$B$9*4,AI165+SUM(季度投融资!$D$154:AI154)*核心参数输入!$B$143+SUM(季度投融资!$D$159:AI159)*核心参数输入!$B$143-SUM($D152:AI152)+SUM($D151:AI151),0)</f>
        <v>26235.745874999993</v>
      </c>
      <c r="AJ166" s="9">
        <f>IF(32&lt;=核心参数输入!$B$9*4,AJ165+SUM(季度投融资!$D$154:AJ154)*核心参数输入!$B$143+SUM(季度投融资!$D$159:AJ159)*核心参数输入!$B$143-SUM($D152:AJ152)+SUM($D151:AJ151),0)</f>
        <v>26003.632499999992</v>
      </c>
      <c r="AK166" s="9">
        <f>IF(33&lt;=核心参数输入!$B$9*4,AK165+SUM(季度投融资!$D$154:AK154)*核心参数输入!$B$143+SUM(季度投融资!$D$159:AK159)*核心参数输入!$B$143-SUM($D152:AK152)+SUM($D151:AK151),0)</f>
        <v>25771.519124999992</v>
      </c>
      <c r="AL166" s="9">
        <f>IF(34&lt;=核心参数输入!$B$9*4,AL165+SUM(季度投融资!$D$154:AL154)*核心参数输入!$B$143+SUM(季度投融资!$D$159:AL159)*核心参数输入!$B$143-SUM($D152:AL152)+SUM($D151:AL151),0)</f>
        <v>25539.405749999991</v>
      </c>
      <c r="AM166" s="9">
        <f>IF(35&lt;=核心参数输入!$B$9*4,AM165+SUM(季度投融资!$D$154:AM154)*核心参数输入!$B$143+SUM(季度投融资!$D$159:AM159)*核心参数输入!$B$143-SUM($D152:AM152)+SUM($D151:AM151),0)</f>
        <v>25307.29237499999</v>
      </c>
      <c r="AN166" s="9">
        <f>IF(36&lt;=核心参数输入!$B$9*4,AN165+SUM(季度投融资!$D$154:AN154)*核心参数输入!$B$143+SUM(季度投融资!$D$159:AN159)*核心参数输入!$B$143-SUM($D152:AN152)+SUM($D151:AN151),0)</f>
        <v>25075.178999999996</v>
      </c>
      <c r="AO166" s="9">
        <f>IF(37&lt;=核心参数输入!$B$9*4,AO165+SUM(季度投融资!$D$154:AO154)*核心参数输入!$B$143+SUM(季度投融资!$D$159:AO159)*核心参数输入!$B$143-SUM($D152:AO152)+SUM($D151:AO151),0)</f>
        <v>24843.065624999992</v>
      </c>
      <c r="AP166" s="9">
        <f>IF(38&lt;=核心参数输入!$B$9*4,AP165+SUM(季度投融资!$D$154:AP154)*核心参数输入!$B$143+SUM(季度投融资!$D$159:AP159)*核心参数输入!$B$143-SUM($D152:AP152)+SUM($D151:AP151),0)</f>
        <v>24610.952249999988</v>
      </c>
      <c r="AQ166" s="9">
        <f>IF(39&lt;=核心参数输入!$B$9*4,AQ165+SUM(季度投融资!$D$154:AQ154)*核心参数输入!$B$143+SUM(季度投融资!$D$159:AQ159)*核心参数输入!$B$143-SUM($D152:AQ152)+SUM($D151:AQ151),0)</f>
        <v>24378.838874999994</v>
      </c>
      <c r="AR166" s="9">
        <f>IF(40&lt;=核心参数输入!$B$9*4,AR165+SUM(季度投融资!$D$154:AR154)*核心参数输入!$B$143+SUM(季度投融资!$D$159:AR159)*核心参数输入!$B$143-SUM($D152:AR152)+SUM($D151:AR151),0)</f>
        <v>24146.725499999993</v>
      </c>
      <c r="AS166" s="9">
        <f>IF(41&lt;=核心参数输入!$B$9*4,AS165+SUM(季度投融资!$D$154:AS154)*核心参数输入!$B$143+SUM(季度投融资!$D$159:AS159)*核心参数输入!$B$143-SUM($D152:AS152)+SUM($D151:AS151),0)</f>
        <v>23914.612124999992</v>
      </c>
      <c r="AT166" s="9">
        <f>IF(42&lt;=核心参数输入!$B$9*4,AT165+SUM(季度投融资!$D$154:AT154)*核心参数输入!$B$143+SUM(季度投融资!$D$159:AT159)*核心参数输入!$B$143-SUM($D152:AT152)+SUM($D151:AT151),0)</f>
        <v>23682.498749999992</v>
      </c>
      <c r="AU166" s="9">
        <f>IF(43&lt;=核心参数输入!$B$9*4,AU165+SUM(季度投融资!$D$154:AU154)*核心参数输入!$B$143+SUM(季度投融资!$D$159:AU159)*核心参数输入!$B$143-SUM($D152:AU152)+SUM($D151:AU151),0)</f>
        <v>23450.385374999991</v>
      </c>
      <c r="AV166" s="9">
        <f>IF(44&lt;=核心参数输入!$B$9*4,AV165+SUM(季度投融资!$D$154:AV154)*核心参数输入!$B$143+SUM(季度投融资!$D$159:AV159)*核心参数输入!$B$143-SUM($D152:AV152)+SUM($D151:AV151),0)</f>
        <v>23218.271999999997</v>
      </c>
      <c r="AW166" s="9">
        <f>IF(45&lt;=核心参数输入!$B$9*4,AW165+SUM(季度投融资!$D$154:AW154)*核心参数输入!$B$143+SUM(季度投融资!$D$159:AW159)*核心参数输入!$B$143-SUM($D152:AW152)+SUM($D151:AW151),0)</f>
        <v>22986.158624999993</v>
      </c>
      <c r="AX166" s="9">
        <f>IF(46&lt;=核心参数输入!$B$9*4,AX165+SUM(季度投融资!$D$154:AX154)*核心参数输入!$B$143+SUM(季度投融资!$D$159:AX159)*核心参数输入!$B$143-SUM($D152:AX152)+SUM($D151:AX151),0)</f>
        <v>22754.045249999988</v>
      </c>
      <c r="AY166" s="9">
        <f>IF(47&lt;=核心参数输入!$B$9*4,AY165+SUM(季度投融资!$D$154:AY154)*核心参数输入!$B$143+SUM(季度投融资!$D$159:AY159)*核心参数输入!$B$143-SUM($D152:AY152)+SUM($D151:AY151),0)</f>
        <v>22521.931874999995</v>
      </c>
      <c r="AZ166" s="9">
        <f>IF(48&lt;=核心参数输入!$B$9*4,AZ165+SUM(季度投融资!$D$154:AZ154)*核心参数输入!$B$143+SUM(季度投融资!$D$159:AZ159)*核心参数输入!$B$143-SUM($D152:AZ152)+SUM($D151:AZ151),0)</f>
        <v>22289.818499999994</v>
      </c>
      <c r="BA166" s="9">
        <f>IF(49&lt;=核心参数输入!$B$9*4,BA165+SUM(季度投融资!$D$154:BA154)*核心参数输入!$B$143+SUM(季度投融资!$D$159:BA159)*核心参数输入!$B$143-SUM($D152:BA152)+SUM($D151:BA151),0)</f>
        <v>22057.705124999993</v>
      </c>
      <c r="BB166" s="9">
        <f>IF(50&lt;=核心参数输入!$B$9*4,BB165+SUM(季度投融资!$D$154:BB154)*核心参数输入!$B$143+SUM(季度投融资!$D$159:BB159)*核心参数输入!$B$143-SUM($D152:BB152)+SUM($D151:BB151),0)</f>
        <v>21825.591749999992</v>
      </c>
      <c r="BC166" s="9">
        <f>IF(51&lt;=核心参数输入!$B$9*4,BC165+SUM(季度投融资!$D$154:BC154)*核心参数输入!$B$143+SUM(季度投融资!$D$159:BC159)*核心参数输入!$B$143-SUM($D152:BC152)+SUM($D151:BC151),0)</f>
        <v>21593.478374999992</v>
      </c>
      <c r="BD166" s="9">
        <f>IF(52&lt;=核心参数输入!$B$9*4,BD165+SUM(季度投融资!$D$154:BD154)*核心参数输入!$B$143+SUM(季度投融资!$D$159:BD159)*核心参数输入!$B$143-SUM($D152:BD152)+SUM($D151:BD151),0)</f>
        <v>21361.364999999994</v>
      </c>
      <c r="BE166" s="9">
        <f>IF(53&lt;=核心参数输入!$B$9*4,BE165+SUM(季度投融资!$D$154:BE154)*核心参数输入!$B$143+SUM(季度投融资!$D$159:BE159)*核心参数输入!$B$143-SUM($D152:BE152)+SUM($D151:BE151),0)</f>
        <v>21129.25162499999</v>
      </c>
      <c r="BF166" s="9">
        <f>IF(54&lt;=核心参数输入!$B$9*4,BF165+SUM(季度投融资!$D$154:BF154)*核心参数输入!$B$143+SUM(季度投融资!$D$159:BF159)*核心参数输入!$B$143-SUM($D152:BF152)+SUM($D151:BF151),0)</f>
        <v>20897.138249999989</v>
      </c>
      <c r="BG166" s="9">
        <f>IF(55&lt;=核心参数输入!$B$9*4,BG165+SUM(季度投融资!$D$154:BG154)*核心参数输入!$B$143+SUM(季度投融资!$D$159:BG159)*核心参数输入!$B$143-SUM($D152:BG152)+SUM($D151:BG151),0)</f>
        <v>20665.024874999988</v>
      </c>
      <c r="BH166" s="9">
        <f>IF(56&lt;=核心参数输入!$B$9*4,BH165+SUM(季度投融资!$D$154:BH154)*核心参数输入!$B$143+SUM(季度投融资!$D$159:BH159)*核心参数输入!$B$143-SUM($D152:BH152)+SUM($D151:BH151),0)</f>
        <v>20432.911499999991</v>
      </c>
      <c r="BI166" s="9">
        <f>IF(57&lt;=核心参数输入!$B$9*4,BI165+SUM(季度投融资!$D$154:BI154)*核心参数输入!$B$143+SUM(季度投融资!$D$159:BI159)*核心参数输入!$B$143-SUM($D152:BI152)+SUM($D151:BI151),0)</f>
        <v>20200.798124999987</v>
      </c>
      <c r="BJ166" s="9">
        <f>IF(58&lt;=核心参数输入!$B$9*4,BJ165+SUM(季度投融资!$D$154:BJ154)*核心参数输入!$B$143+SUM(季度投融资!$D$159:BJ159)*核心参数输入!$B$143-SUM($D152:BJ152)+SUM($D151:BJ151),0)</f>
        <v>19968.684749999986</v>
      </c>
      <c r="BK166" s="9">
        <f>IF(59&lt;=核心参数输入!$B$9*4,BK165+SUM(季度投融资!$D$154:BK154)*核心参数输入!$B$143+SUM(季度投融资!$D$159:BK159)*核心参数输入!$B$143-SUM($D152:BK152)+SUM($D151:BK151),0)</f>
        <v>19736.571374999985</v>
      </c>
      <c r="BL166" s="9">
        <f>IF(60&lt;=核心参数输入!$B$9*4,BL165+SUM(季度投融资!$D$154:BL154)*核心参数输入!$B$143+SUM(季度投融资!$D$159:BL159)*核心参数输入!$B$143-SUM($D152:BL152)+SUM($D151:BL151),0)</f>
        <v>19504.457999999988</v>
      </c>
      <c r="BM166" s="9">
        <f>IF(61&lt;=核心参数输入!$B$9*4,BM165+SUM(季度投融资!$D$154:BM154)*核心参数输入!$B$143+SUM(季度投融资!$D$159:BM159)*核心参数输入!$B$143-SUM($D152:BM152)+SUM($D151:BM151),0)</f>
        <v>19272.344624999983</v>
      </c>
      <c r="BN166" s="9">
        <f>IF(62&lt;=核心参数输入!$B$9*4,BN165+SUM(季度投融资!$D$154:BN154)*核心参数输入!$B$143+SUM(季度投融资!$D$159:BN159)*核心参数输入!$B$143-SUM($D152:BN152)+SUM($D151:BN151),0)</f>
        <v>19040.231249999983</v>
      </c>
      <c r="BO166" s="9">
        <f>IF(63&lt;=核心参数输入!$B$9*4,BO165+SUM(季度投融资!$D$154:BO154)*核心参数输入!$B$143+SUM(季度投融资!$D$159:BO159)*核心参数输入!$B$143-SUM($D152:BO152)+SUM($D151:BO151),0)</f>
        <v>18808.117874999982</v>
      </c>
      <c r="BP166" s="9">
        <f>IF(64&lt;=核心参数输入!$B$9*4,BP165+SUM(季度投融资!$D$154:BP154)*核心参数输入!$B$143+SUM(季度投融资!$D$159:BP159)*核心参数输入!$B$143-SUM($D152:BP152)+SUM($D151:BP151),0)</f>
        <v>18576.004499999985</v>
      </c>
      <c r="BQ166" s="9">
        <f>IF(65&lt;=核心参数输入!$B$9*4,BQ165+SUM(季度投融资!$D$154:BQ154)*核心参数输入!$B$143+SUM(季度投融资!$D$159:BQ159)*核心参数输入!$B$143-SUM($D152:BQ152)+SUM($D151:BQ151),0)</f>
        <v>18343.89112499998</v>
      </c>
      <c r="BR166" s="9">
        <f>IF(66&lt;=核心参数输入!$B$9*4,BR165+SUM(季度投融资!$D$154:BR154)*核心参数输入!$B$143+SUM(季度投融资!$D$159:BR159)*核心参数输入!$B$143-SUM($D152:BR152)+SUM($D151:BR151),0)</f>
        <v>18111.777749999979</v>
      </c>
      <c r="BS166" s="9">
        <f>IF(67&lt;=核心参数输入!$B$9*4,BS165+SUM(季度投融资!$D$154:BS154)*核心参数输入!$B$143+SUM(季度投融资!$D$159:BS159)*核心参数输入!$B$143-SUM($D152:BS152)+SUM($D151:BS151),0)</f>
        <v>17879.664374999978</v>
      </c>
      <c r="BT166" s="9">
        <f>IF(68&lt;=核心参数输入!$B$9*4,BT165+SUM(季度投融资!$D$154:BT154)*核心参数输入!$B$143+SUM(季度投融资!$D$159:BT159)*核心参数输入!$B$143-SUM($D152:BT152)+SUM($D151:BT151),0)</f>
        <v>17647.550999999981</v>
      </c>
      <c r="BU166" s="9">
        <f>IF(69&lt;=核心参数输入!$B$9*4,BU165+SUM(季度投融资!$D$154:BU154)*核心参数输入!$B$143+SUM(季度投融资!$D$159:BU159)*核心参数输入!$B$143-SUM($D152:BU152)+SUM($D151:BU151),0)</f>
        <v>17415.437624999977</v>
      </c>
      <c r="BV166" s="9">
        <f>IF(70&lt;=核心参数输入!$B$9*4,BV165+SUM(季度投融资!$D$154:BV154)*核心参数输入!$B$143+SUM(季度投融资!$D$159:BV159)*核心参数输入!$B$143-SUM($D152:BV152)+SUM($D151:BV151),0)</f>
        <v>17183.324249999976</v>
      </c>
      <c r="BW166" s="9">
        <f>IF(71&lt;=核心参数输入!$B$9*4,BW165+SUM(季度投融资!$D$154:BW154)*核心参数输入!$B$143+SUM(季度投融资!$D$159:BW159)*核心参数输入!$B$143-SUM($D152:BW152)+SUM($D151:BW151),0)</f>
        <v>16951.210874999975</v>
      </c>
      <c r="BX166" s="9">
        <f>IF(72&lt;=核心参数输入!$B$9*4,BX165+SUM(季度投融资!$D$154:BX154)*核心参数输入!$B$143+SUM(季度投融资!$D$159:BX159)*核心参数输入!$B$143-SUM($D152:BX152)+SUM($D151:BX151),0)</f>
        <v>16719.097499999978</v>
      </c>
      <c r="BY166" s="9">
        <f>IF(73&lt;=核心参数输入!$B$9*4,BY165+SUM(季度投融资!$D$154:BY154)*核心参数输入!$B$143+SUM(季度投融资!$D$159:BY159)*核心参数输入!$B$143-SUM($D152:BY152)+SUM($D151:BY151),0)</f>
        <v>16486.984124999974</v>
      </c>
      <c r="BZ166" s="9">
        <f>IF(74&lt;=核心参数输入!$B$9*4,BZ165+SUM(季度投融资!$D$154:BZ154)*核心参数输入!$B$143+SUM(季度投融资!$D$159:BZ159)*核心参数输入!$B$143-SUM($D152:BZ152)+SUM($D151:BZ151),0)</f>
        <v>16254.870749999973</v>
      </c>
      <c r="CA166" s="9">
        <f>IF(75&lt;=核心参数输入!$B$9*4,CA165+SUM(季度投融资!$D$154:CA154)*核心参数输入!$B$143+SUM(季度投融资!$D$159:CA159)*核心参数输入!$B$143-SUM($D152:CA152)+SUM($D151:CA151),0)</f>
        <v>16022.757374999974</v>
      </c>
      <c r="CB166" s="9">
        <f>IF(76&lt;=核心参数输入!$B$9*4,CB165+SUM(季度投融资!$D$154:CB154)*核心参数输入!$B$143+SUM(季度投融资!$D$159:CB159)*核心参数输入!$B$143-SUM($D152:CB152)+SUM($D151:CB151),0)</f>
        <v>15790.643999999975</v>
      </c>
      <c r="CC166" s="9">
        <f>IF(77&lt;=核心参数输入!$B$9*4,CC165+SUM(季度投融资!$D$154:CC154)*核心参数输入!$B$143+SUM(季度投融资!$D$159:CC159)*核心参数输入!$B$143-SUM($D152:CC152)+SUM($D151:CC151),0)</f>
        <v>15558.530624999972</v>
      </c>
      <c r="CD166" s="9">
        <f>IF(78&lt;=核心参数输入!$B$9*4,CD165+SUM(季度投融资!$D$154:CD154)*核心参数输入!$B$143+SUM(季度投融资!$D$159:CD159)*核心参数输入!$B$143-SUM($D152:CD152)+SUM($D151:CD151),0)</f>
        <v>15326.417249999971</v>
      </c>
      <c r="CE166" s="9">
        <f>IF(79&lt;=核心参数输入!$B$9*4,CE165+SUM(季度投融资!$D$154:CE154)*核心参数输入!$B$143+SUM(季度投融资!$D$159:CE159)*核心参数输入!$B$143-SUM($D152:CE152)+SUM($D151:CE151),0)</f>
        <v>15094.303874999971</v>
      </c>
      <c r="CF166" s="9">
        <f>IF(80&lt;=核心参数输入!$B$9*4,CF165+SUM(季度投融资!$D$154:CF154)*核心参数输入!$B$143+SUM(季度投融资!$D$159:CF159)*核心参数输入!$B$143-SUM($D152:CF152)+SUM($D151:CF151),0)</f>
        <v>14862.19049999997</v>
      </c>
      <c r="CG166" s="9">
        <f>IF(81&lt;=核心参数输入!$B$9*4,CG165+SUM(季度投融资!$D$154:CG154)*核心参数输入!$B$143+SUM(季度投融资!$D$159:CG159)*核心参数输入!$B$143-SUM($D152:CG152)+SUM($D151:CG151),0)</f>
        <v>0</v>
      </c>
      <c r="CH166" s="9">
        <f>IF(82&lt;=核心参数输入!$B$9*4,CH165+SUM(季度投融资!$D$154:CH154)*核心参数输入!$B$143+SUM(季度投融资!$D$159:CH159)*核心参数输入!$B$143-SUM($D152:CH152)+SUM($D151:CH151),0)</f>
        <v>0</v>
      </c>
      <c r="CI166" s="9">
        <f>IF(83&lt;=核心参数输入!$B$9*4,CI165+SUM(季度投融资!$D$154:CI154)*核心参数输入!$B$143+SUM(季度投融资!$D$159:CI159)*核心参数输入!$B$143-SUM($D152:CI152)+SUM($D151:CI151),0)</f>
        <v>0</v>
      </c>
      <c r="CJ166" s="9">
        <f>IF(84&lt;=核心参数输入!$B$9*4,CJ165+SUM(季度投融资!$D$154:CJ154)*核心参数输入!$B$143+SUM(季度投融资!$D$159:CJ159)*核心参数输入!$B$143-SUM($D152:CJ152)+SUM($D151:CJ151),0)</f>
        <v>0</v>
      </c>
      <c r="CK166" s="9">
        <f>IF(85&lt;=核心参数输入!$B$9*4,CK165+SUM(季度投融资!$D$154:CK154)*核心参数输入!$B$143+SUM(季度投融资!$D$159:CK159)*核心参数输入!$B$143-SUM($D152:CK152)+SUM($D151:CK151),0)</f>
        <v>0</v>
      </c>
      <c r="CL166" s="9">
        <f>IF(86&lt;=核心参数输入!$B$9*4,CL165+SUM(季度投融资!$D$154:CL154)*核心参数输入!$B$143+SUM(季度投融资!$D$159:CL159)*核心参数输入!$B$143-SUM($D152:CL152)+SUM($D151:CL151),0)</f>
        <v>0</v>
      </c>
      <c r="CM166" s="9">
        <f>IF(87&lt;=核心参数输入!$B$9*4,CM165+SUM(季度投融资!$D$154:CM154)*核心参数输入!$B$143+SUM(季度投融资!$D$159:CM159)*核心参数输入!$B$143-SUM($D152:CM152)+SUM($D151:CM151),0)</f>
        <v>0</v>
      </c>
      <c r="CN166" s="9">
        <f>IF(88&lt;=核心参数输入!$B$9*4,CN165+SUM(季度投融资!$D$154:CN154)*核心参数输入!$B$143+SUM(季度投融资!$D$159:CN159)*核心参数输入!$B$143-SUM($D152:CN152)+SUM($D151:CN151),0)</f>
        <v>0</v>
      </c>
      <c r="CO166" s="9">
        <f>IF(89&lt;=核心参数输入!$B$9*4,CO165+SUM(季度投融资!$D$154:CO154)*核心参数输入!$B$143+SUM(季度投融资!$D$159:CO159)*核心参数输入!$B$143-SUM($D152:CO152)+SUM($D151:CO151),0)</f>
        <v>0</v>
      </c>
      <c r="CP166" s="9">
        <f>IF(90&lt;=核心参数输入!$B$9*4,CP165+SUM(季度投融资!$D$154:CP154)*核心参数输入!$B$143+SUM(季度投融资!$D$159:CP159)*核心参数输入!$B$143-SUM($D152:CP152)+SUM($D151:CP151),0)</f>
        <v>0</v>
      </c>
      <c r="CQ166" s="9">
        <f>IF(91&lt;=核心参数输入!$B$9*4,CQ165+SUM(季度投融资!$D$154:CQ154)*核心参数输入!$B$143+SUM(季度投融资!$D$159:CQ159)*核心参数输入!$B$143-SUM($D152:CQ152)+SUM($D151:CQ151),0)</f>
        <v>0</v>
      </c>
      <c r="CR166" s="9">
        <f>IF(92&lt;=核心参数输入!$B$9*4,CR165+SUM(季度投融资!$D$154:CR154)*核心参数输入!$B$143+SUM(季度投融资!$D$159:CR159)*核心参数输入!$B$143-SUM($D152:CR152)+SUM($D151:CR151),0)</f>
        <v>0</v>
      </c>
      <c r="CS166" s="9">
        <f>IF(93&lt;=核心参数输入!$B$9*4,CS165+SUM(季度投融资!$D$154:CS154)*核心参数输入!$B$143+SUM(季度投融资!$D$159:CS159)*核心参数输入!$B$143-SUM($D152:CS152)+SUM($D151:CS151),0)</f>
        <v>0</v>
      </c>
      <c r="CT166" s="9">
        <f>IF(94&lt;=核心参数输入!$B$9*4,CT165+SUM(季度投融资!$D$154:CT154)*核心参数输入!$B$143+SUM(季度投融资!$D$159:CT159)*核心参数输入!$B$143-SUM($D152:CT152)+SUM($D151:CT151),0)</f>
        <v>0</v>
      </c>
      <c r="CU166" s="9">
        <f>IF(95&lt;=核心参数输入!$B$9*4,CU165+SUM(季度投融资!$D$154:CU154)*核心参数输入!$B$143+SUM(季度投融资!$D$159:CU159)*核心参数输入!$B$143-SUM($D152:CU152)+SUM($D151:CU151),0)</f>
        <v>0</v>
      </c>
      <c r="CV166" s="9">
        <f>IF(96&lt;=核心参数输入!$B$9*4,CV165+SUM(季度投融资!$D$154:CV154)*核心参数输入!$B$143+SUM(季度投融资!$D$159:CV159)*核心参数输入!$B$143-SUM($D152:CV152)+SUM($D151:CV151),0)</f>
        <v>0</v>
      </c>
      <c r="CW166" s="9">
        <f>IF(97&lt;=核心参数输入!$B$9*4,CW165+SUM(季度投融资!$D$154:CW154)*核心参数输入!$B$143+SUM(季度投融资!$D$159:CW159)*核心参数输入!$B$143-SUM($D152:CW152)+SUM($D151:CW151),0)</f>
        <v>0</v>
      </c>
      <c r="CX166" s="9">
        <f>IF(98&lt;=核心参数输入!$B$9*4,CX165+SUM(季度投融资!$D$154:CX154)*核心参数输入!$B$143+SUM(季度投融资!$D$159:CX159)*核心参数输入!$B$143-SUM($D152:CX152)+SUM($D151:CX151),0)</f>
        <v>0</v>
      </c>
      <c r="CY166" s="9">
        <f>IF(99&lt;=核心参数输入!$B$9*4,CY165+SUM(季度投融资!$D$154:CY154)*核心参数输入!$B$143+SUM(季度投融资!$D$159:CY159)*核心参数输入!$B$143-SUM($D152:CY152)+SUM($D151:CY151),0)</f>
        <v>0</v>
      </c>
      <c r="CZ166" s="9">
        <f>IF(100&lt;=核心参数输入!$B$9*4,CZ165+SUM(季度投融资!$D$154:CZ154)*核心参数输入!$B$143+SUM(季度投融资!$D$159:CZ159)*核心参数输入!$B$143-SUM($D152:CZ152)+SUM($D151:CZ151),0)</f>
        <v>0</v>
      </c>
      <c r="DA166" s="9">
        <f>IF(101&lt;=核心参数输入!$B$9*4,DA165+SUM(季度投融资!$D$154:DA154)*核心参数输入!$B$143+SUM(季度投融资!$D$159:DA159)*核心参数输入!$B$143-SUM($D152:DA152)+SUM($D151:DA151),0)</f>
        <v>0</v>
      </c>
      <c r="DB166" s="9">
        <f>IF(102&lt;=核心参数输入!$B$9*4,DB165+SUM(季度投融资!$D$154:DB154)*核心参数输入!$B$143+SUM(季度投融资!$D$159:DB159)*核心参数输入!$B$143-SUM($D152:DB152)+SUM($D151:DB151),0)</f>
        <v>0</v>
      </c>
      <c r="DC166" s="9">
        <f>IF(103&lt;=核心参数输入!$B$9*4,DC165+SUM(季度投融资!$D$154:DC154)*核心参数输入!$B$143+SUM(季度投融资!$D$159:DC159)*核心参数输入!$B$143-SUM($D152:DC152)+SUM($D151:DC151),0)</f>
        <v>0</v>
      </c>
      <c r="DD166" s="9">
        <f>IF(104&lt;=核心参数输入!$B$9*4,DD165+SUM(季度投融资!$D$154:DD154)*核心参数输入!$B$143+SUM(季度投融资!$D$159:DD159)*核心参数输入!$B$143-SUM($D152:DD152)+SUM($D151:DD151),0)</f>
        <v>0</v>
      </c>
      <c r="DE166" s="9">
        <f>IF(105&lt;=核心参数输入!$B$9*4,DE165+SUM(季度投融资!$D$154:DE154)*核心参数输入!$B$143+SUM(季度投融资!$D$159:DE159)*核心参数输入!$B$143-SUM($D152:DE152)+SUM($D151:DE151),0)</f>
        <v>0</v>
      </c>
      <c r="DF166" s="9">
        <f>IF(106&lt;=核心参数输入!$B$9*4,DF165+SUM(季度投融资!$D$154:DF154)*核心参数输入!$B$143+SUM(季度投融资!$D$159:DF159)*核心参数输入!$B$143-SUM($D152:DF152)+SUM($D151:DF151),0)</f>
        <v>0</v>
      </c>
      <c r="DG166" s="9">
        <f>IF(107&lt;=核心参数输入!$B$9*4,DG165+SUM(季度投融资!$D$154:DG154)*核心参数输入!$B$143+SUM(季度投融资!$D$159:DG159)*核心参数输入!$B$143-SUM($D152:DG152)+SUM($D151:DG151),0)</f>
        <v>0</v>
      </c>
      <c r="DH166" s="9">
        <f>IF(108&lt;=核心参数输入!$B$9*4,DH165+SUM(季度投融资!$D$154:DH154)*核心参数输入!$B$143+SUM(季度投融资!$D$159:DH159)*核心参数输入!$B$143-SUM($D152:DH152)+SUM($D151:DH151),0)</f>
        <v>0</v>
      </c>
      <c r="DI166" s="9">
        <f>IF(109&lt;=核心参数输入!$B$9*4,DI165+SUM(季度投融资!$D$154:DI154)*核心参数输入!$B$143+SUM(季度投融资!$D$159:DI159)*核心参数输入!$B$143-SUM($D152:DI152)+SUM($D151:DI151),0)</f>
        <v>0</v>
      </c>
      <c r="DJ166" s="9">
        <f>IF(110&lt;=核心参数输入!$B$9*4,DJ165+SUM(季度投融资!$D$154:DJ154)*核心参数输入!$B$143+SUM(季度投融资!$D$159:DJ159)*核心参数输入!$B$143-SUM($D152:DJ152)+SUM($D151:DJ151),0)</f>
        <v>0</v>
      </c>
      <c r="DK166" s="9">
        <f>IF(111&lt;=核心参数输入!$B$9*4,DK165+SUM(季度投融资!$D$154:DK154)*核心参数输入!$B$143+SUM(季度投融资!$D$159:DK159)*核心参数输入!$B$143-SUM($D152:DK152)+SUM($D151:DK151),0)</f>
        <v>0</v>
      </c>
      <c r="DL166" s="9">
        <f>IF(112&lt;=核心参数输入!$B$9*4,DL165+SUM(季度投融资!$D$154:DL154)*核心参数输入!$B$143+SUM(季度投融资!$D$159:DL159)*核心参数输入!$B$143-SUM($D152:DL152)+SUM($D151:DL151),0)</f>
        <v>0</v>
      </c>
      <c r="DM166" s="9">
        <f>IF(113&lt;=核心参数输入!$B$9*4,DM165+SUM(季度投融资!$D$154:DM154)*核心参数输入!$B$143+SUM(季度投融资!$D$159:DM159)*核心参数输入!$B$143-SUM($D152:DM152)+SUM($D151:DM151),0)</f>
        <v>0</v>
      </c>
      <c r="DN166" s="9">
        <f>IF(114&lt;=核心参数输入!$B$9*4,DN165+SUM(季度投融资!$D$154:DN154)*核心参数输入!$B$143+SUM(季度投融资!$D$159:DN159)*核心参数输入!$B$143-SUM($D152:DN152)+SUM($D151:DN151),0)</f>
        <v>0</v>
      </c>
      <c r="DO166" s="9">
        <f>IF(115&lt;=核心参数输入!$B$9*4,DO165+SUM(季度投融资!$D$154:DO154)*核心参数输入!$B$143+SUM(季度投融资!$D$159:DO159)*核心参数输入!$B$143-SUM($D152:DO152)+SUM($D151:DO151),0)</f>
        <v>0</v>
      </c>
      <c r="DP166" s="9">
        <f>IF(116&lt;=核心参数输入!$B$9*4,DP165+SUM(季度投融资!$D$154:DP154)*核心参数输入!$B$143+SUM(季度投融资!$D$159:DP159)*核心参数输入!$B$143-SUM($D152:DP152)+SUM($D151:DP151),0)</f>
        <v>0</v>
      </c>
      <c r="DQ166" s="9">
        <f>IF(117&lt;=核心参数输入!$B$9*4,DQ165+SUM(季度投融资!$D$154:DQ154)*核心参数输入!$B$143+SUM(季度投融资!$D$159:DQ159)*核心参数输入!$B$143-SUM($D152:DQ152)+SUM($D151:DQ151),0)</f>
        <v>0</v>
      </c>
      <c r="DR166" s="9">
        <f>IF(118&lt;=核心参数输入!$B$9*4,DR165+SUM(季度投融资!$D$154:DR154)*核心参数输入!$B$143+SUM(季度投融资!$D$159:DR159)*核心参数输入!$B$143-SUM($D152:DR152)+SUM($D151:DR151),0)</f>
        <v>0</v>
      </c>
      <c r="DS166" s="9">
        <f>IF(119&lt;=核心参数输入!$B$9*4,DS165+SUM(季度投融资!$D$154:DS154)*核心参数输入!$B$143+SUM(季度投融资!$D$159:DS159)*核心参数输入!$B$143-SUM($D152:DS152)+SUM($D151:DS151),0)</f>
        <v>0</v>
      </c>
      <c r="DT166" s="9">
        <f>IF(120&lt;=核心参数输入!$B$9*4,DT165+SUM(季度投融资!$D$154:DT154)*核心参数输入!$B$143+SUM(季度投融资!$D$159:DT159)*核心参数输入!$B$143-SUM($D152:DT152)+SUM($D151:DT151),0)</f>
        <v>0</v>
      </c>
    </row>
    <row r="167" spans="1:124" ht="21" customHeight="1">
      <c r="A167" s="8" t="s">
        <v>488</v>
      </c>
      <c r="B167" s="8" t="s">
        <v>39</v>
      </c>
      <c r="C167" s="8"/>
      <c r="D167" s="9">
        <f>IF(0&lt;=核心参数输入!$B$9*4,(季度投融资!$E$7+季度投融资!$E$15*(1-IF(核心参数输入!$B$96=2,核心参数输入!$B$120,0))*SUM(季度计划!$D$121:D121))*核心参数输入!$B$142+(SUM(季度投融资!$D$154:D154)+SUM(季度投融资!$D$159:D159))*核心参数输入!$B$142-SUM($D155:D155),0)</f>
        <v>4400</v>
      </c>
      <c r="E167" s="9">
        <f>IF(1&lt;=核心参数输入!$B$9*4,(季度投融资!$E$7+季度投融资!$E$15*(1-IF(核心参数输入!$B$96=2,核心参数输入!$B$120,0))*SUM(季度计划!$D$121:E121))*核心参数输入!$B$142+(SUM(季度投融资!$D$154:E154)+SUM(季度投融资!$D$159:E159))*核心参数输入!$B$142-SUM($D155:E155),0)</f>
        <v>6807.7418750000006</v>
      </c>
      <c r="F167" s="9">
        <f>IF(2&lt;=核心参数输入!$B$9*4,(季度投融资!$E$7+季度投融资!$E$15*(1-IF(核心参数输入!$B$96=2,核心参数输入!$B$120,0))*SUM(季度计划!$D$121:F121))*核心参数输入!$B$142+(SUM(季度投融资!$D$154:F154)+SUM(季度投融资!$D$159:F159))*核心参数输入!$B$142-SUM($D155:F155),0)</f>
        <v>9228.4774999999991</v>
      </c>
      <c r="G167" s="9">
        <f>IF(3&lt;=核心参数输入!$B$9*4,(季度投融资!$E$7+季度投融资!$E$15*(1-IF(核心参数输入!$B$96=2,核心参数输入!$B$120,0))*SUM(季度计划!$D$121:G121))*核心参数输入!$B$142+(SUM(季度投融资!$D$154:G154)+SUM(季度投融资!$D$159:G159))*核心参数输入!$B$142-SUM($D155:G155),0)</f>
        <v>11662.206874999998</v>
      </c>
      <c r="H167" s="9">
        <f>IF(4&lt;=核心参数输入!$B$9*4,(季度投融资!$E$7+季度投融资!$E$15*(1-IF(核心参数输入!$B$96=2,核心参数输入!$B$120,0))*SUM(季度计划!$D$121:H121))*核心参数输入!$B$142+(SUM(季度投融资!$D$154:H154)+SUM(季度投融资!$D$159:H159))*核心参数输入!$B$142-SUM($D155:H155),0)</f>
        <v>14108.93</v>
      </c>
      <c r="I167" s="9">
        <f>IF(5&lt;=核心参数输入!$B$9*4,(季度投融资!$E$7+季度投融资!$E$15*(1-IF(核心参数输入!$B$96=2,核心参数输入!$B$120,0))*SUM(季度计划!$D$121:I121))*核心参数输入!$B$142+(SUM(季度投融资!$D$154:I154)+SUM(季度投融资!$D$159:I159))*核心参数输入!$B$142-SUM($D155:I155),0)</f>
        <v>17371.227500000005</v>
      </c>
      <c r="J167" s="9">
        <f>IF(6&lt;=核心参数输入!$B$9*4,(季度投融资!$E$7+季度投融资!$E$15*(1-IF(核心参数输入!$B$96=2,核心参数输入!$B$120,0))*SUM(季度计划!$D$121:J121))*核心参数输入!$B$142+(SUM(季度投融资!$D$154:J154)+SUM(季度投融资!$D$159:J159))*核心参数输入!$B$142-SUM($D155:J155),0)</f>
        <v>20650.850000000002</v>
      </c>
      <c r="K167" s="9">
        <f>IF(7&lt;=核心参数输入!$B$9*4,(季度投融资!$E$7+季度投融资!$E$15*(1-IF(核心参数输入!$B$96=2,核心参数输入!$B$120,0))*SUM(季度计划!$D$121:K121))*核心参数输入!$B$142+(SUM(季度投融资!$D$154:K154)+SUM(季度投融资!$D$159:K159))*核心参数输入!$B$142-SUM($D155:K155),0)</f>
        <v>23947.797500000001</v>
      </c>
      <c r="L167" s="9">
        <f>IF(8&lt;=核心参数输入!$B$9*4,(季度投融资!$E$7+季度投融资!$E$15*(1-IF(核心参数输入!$B$96=2,核心参数输入!$B$120,0))*SUM(季度计划!$D$121:L121))*核心参数输入!$B$142+(SUM(季度投融资!$D$154:L154)+SUM(季度投融资!$D$159:L159))*核心参数输入!$B$142-SUM($D155:L155),0)</f>
        <v>27262.07</v>
      </c>
      <c r="M167" s="9">
        <f>IF(9&lt;=核心参数输入!$B$9*4,(季度投融资!$E$7+季度投融资!$E$15*(1-IF(核心参数输入!$B$96=2,核心参数输入!$B$120,0))*SUM(季度计划!$D$121:M121))*核心参数输入!$B$142+(SUM(季度投融资!$D$154:M154)+SUM(季度投融资!$D$159:M159))*核心参数输入!$B$142-SUM($D155:M155),0)</f>
        <v>29791.086875000001</v>
      </c>
      <c r="N167" s="9">
        <f>IF(10&lt;=核心参数输入!$B$9*4,(季度投融资!$E$7+季度投融资!$E$15*(1-IF(核心参数输入!$B$96=2,核心参数输入!$B$120,0))*SUM(季度计划!$D$121:N121))*核心参数输入!$B$142+(SUM(季度投融资!$D$154:N154)+SUM(季度投融资!$D$159:N159))*核心参数输入!$B$142-SUM($D155:N155),0)</f>
        <v>32333.097499999996</v>
      </c>
      <c r="O167" s="9">
        <f>IF(11&lt;=核心参数输入!$B$9*4,(季度投融资!$E$7+季度投融资!$E$15*(1-IF(核心参数输入!$B$96=2,核心参数输入!$B$120,0))*SUM(季度计划!$D$121:O121))*核心参数输入!$B$142+(SUM(季度投融资!$D$154:O154)+SUM(季度投融资!$D$159:O159))*核心参数输入!$B$142-SUM($D155:O155),0)</f>
        <v>34888.101874999993</v>
      </c>
      <c r="P167" s="9">
        <f>IF(12&lt;=核心参数输入!$B$9*4,(季度投融资!$E$7+季度投融资!$E$15*(1-IF(核心参数输入!$B$96=2,核心参数输入!$B$120,0))*SUM(季度计划!$D$121:P121))*核心参数输入!$B$142+(SUM(季度投融资!$D$154:P154)+SUM(季度投融资!$D$159:P159))*核心参数输入!$B$142-SUM($D155:P155),0)</f>
        <v>37456.1</v>
      </c>
      <c r="Q167" s="9">
        <f>IF(13&lt;=核心参数输入!$B$9*4,(季度投融资!$E$7+季度投融资!$E$15*(1-IF(核心参数输入!$B$96=2,核心参数输入!$B$120,0))*SUM(季度计划!$D$121:Q121))*核心参数输入!$B$142+(SUM(季度投融资!$D$154:Q154)+SUM(季度投融资!$D$159:Q159))*核心参数输入!$B$142-SUM($D155:Q155),0)</f>
        <v>34646.892500000002</v>
      </c>
      <c r="R167" s="9">
        <f>IF(14&lt;=核心参数输入!$B$9*4,(季度投融资!$E$7+季度投融资!$E$15*(1-IF(核心参数输入!$B$96=2,核心参数输入!$B$120,0))*SUM(季度计划!$D$121:R121))*核心参数输入!$B$142+(SUM(季度投融资!$D$154:R154)+SUM(季度投融资!$D$159:R159))*核心参数输入!$B$142-SUM($D155:R155),0)</f>
        <v>31837.684999999998</v>
      </c>
      <c r="S167" s="9">
        <f>IF(15&lt;=核心参数输入!$B$9*4,(季度投融资!$E$7+季度投融资!$E$15*(1-IF(核心参数输入!$B$96=2,核心参数输入!$B$120,0))*SUM(季度计划!$D$121:S121))*核心参数输入!$B$142+(SUM(季度投融资!$D$154:S154)+SUM(季度投融资!$D$159:S159))*核心参数输入!$B$142-SUM($D155:S155),0)</f>
        <v>29028.477499999997</v>
      </c>
      <c r="T167" s="9">
        <f>IF(16&lt;=核心参数输入!$B$9*4,(季度投融资!$E$7+季度投融资!$E$15*(1-IF(核心参数输入!$B$96=2,核心参数输入!$B$120,0))*SUM(季度计划!$D$121:T121))*核心参数输入!$B$142+(SUM(季度投融资!$D$154:T154)+SUM(季度投融资!$D$159:T159))*核心参数输入!$B$142-SUM($D155:T155),0)</f>
        <v>26219.269999999997</v>
      </c>
      <c r="U167" s="9">
        <f>IF(17&lt;=核心参数输入!$B$9*4,(季度投融资!$E$7+季度投融资!$E$15*(1-IF(核心参数输入!$B$96=2,核心参数输入!$B$120,0))*SUM(季度计划!$D$121:U121))*核心参数输入!$B$142+(SUM(季度投融资!$D$154:U154)+SUM(季度投融资!$D$159:U159))*核心参数输入!$B$142-SUM($D155:U155),0)</f>
        <v>22473.659999999996</v>
      </c>
      <c r="V167" s="9">
        <f>IF(18&lt;=核心参数输入!$B$9*4,(季度投融资!$E$7+季度投融资!$E$15*(1-IF(核心参数输入!$B$96=2,核心参数输入!$B$120,0))*SUM(季度计划!$D$121:V121))*核心参数输入!$B$142+(SUM(季度投融资!$D$154:V154)+SUM(季度投融资!$D$159:V159))*核心参数输入!$B$142-SUM($D155:V155),0)</f>
        <v>18728.049999999996</v>
      </c>
      <c r="W167" s="9">
        <f>IF(19&lt;=核心参数输入!$B$9*4,(季度投融资!$E$7+季度投融资!$E$15*(1-IF(核心参数输入!$B$96=2,核心参数输入!$B$120,0))*SUM(季度计划!$D$121:W121))*核心参数输入!$B$142+(SUM(季度投融资!$D$154:W154)+SUM(季度投融资!$D$159:W159))*核心参数输入!$B$142-SUM($D155:W155),0)</f>
        <v>14982.439999999995</v>
      </c>
      <c r="X167" s="9">
        <f>IF(20&lt;=核心参数输入!$B$9*4,(季度投融资!$E$7+季度投融资!$E$15*(1-IF(核心参数输入!$B$96=2,核心参数输入!$B$120,0))*SUM(季度计划!$D$121:X121))*核心参数输入!$B$142+(SUM(季度投融资!$D$154:X154)+SUM(季度投融资!$D$159:X159))*核心参数输入!$B$142-SUM($D155:X155),0)</f>
        <v>11236.829999999994</v>
      </c>
      <c r="Y167" s="9">
        <f>IF(21&lt;=核心参数输入!$B$9*4,(季度投融资!$E$7+季度投融资!$E$15*(1-IF(核心参数输入!$B$96=2,核心参数输入!$B$120,0))*SUM(季度计划!$D$121:Y121))*核心参数输入!$B$142+(SUM(季度投融资!$D$154:Y154)+SUM(季度投融资!$D$159:Y159))*核心参数输入!$B$142-SUM($D155:Y155),0)</f>
        <v>8427.622499999994</v>
      </c>
      <c r="Z167" s="9">
        <f>IF(22&lt;=核心参数输入!$B$9*4,(季度投融资!$E$7+季度投融资!$E$15*(1-IF(核心参数输入!$B$96=2,核心参数输入!$B$120,0))*SUM(季度计划!$D$121:Z121))*核心参数输入!$B$142+(SUM(季度投融资!$D$154:Z154)+SUM(季度投融资!$D$159:Z159))*核心参数输入!$B$142-SUM($D155:Z155),0)</f>
        <v>5618.4149999999936</v>
      </c>
      <c r="AA167" s="9">
        <f>IF(23&lt;=核心参数输入!$B$9*4,(季度投融资!$E$7+季度投融资!$E$15*(1-IF(核心参数输入!$B$96=2,核心参数输入!$B$120,0))*SUM(季度计划!$D$121:AA121))*核心参数输入!$B$142+(SUM(季度投融资!$D$154:AA154)+SUM(季度投融资!$D$159:AA159))*核心参数输入!$B$142-SUM($D155:AA155),0)</f>
        <v>2809.2074999999968</v>
      </c>
      <c r="AB167" s="9">
        <f>IF(24&lt;=核心参数输入!$B$9*4,(季度投融资!$E$7+季度投融资!$E$15*(1-IF(核心参数输入!$B$96=2,核心参数输入!$B$120,0))*SUM(季度计划!$D$121:AB121))*核心参数输入!$B$142+(SUM(季度投融资!$D$154:AB154)+SUM(季度投融资!$D$159:AB159))*核心参数输入!$B$142-SUM($D155:AB155),0)</f>
        <v>-7.2759576141834259E-12</v>
      </c>
      <c r="AC167" s="9">
        <f>IF(25&lt;=核心参数输入!$B$9*4,(季度投融资!$E$7+季度投融资!$E$15*(1-IF(核心参数输入!$B$96=2,核心参数输入!$B$120,0))*SUM(季度计划!$D$121:AC121))*核心参数输入!$B$142+(SUM(季度投融资!$D$154:AC154)+SUM(季度投融资!$D$159:AC159))*核心参数输入!$B$142-SUM($D155:AC155),0)</f>
        <v>-7.2759576141834259E-12</v>
      </c>
      <c r="AD167" s="9">
        <f>IF(26&lt;=核心参数输入!$B$9*4,(季度投融资!$E$7+季度投融资!$E$15*(1-IF(核心参数输入!$B$96=2,核心参数输入!$B$120,0))*SUM(季度计划!$D$121:AD121))*核心参数输入!$B$142+(SUM(季度投融资!$D$154:AD154)+SUM(季度投融资!$D$159:AD159))*核心参数输入!$B$142-SUM($D155:AD155),0)</f>
        <v>-7.2759576141834259E-12</v>
      </c>
      <c r="AE167" s="9">
        <f>IF(27&lt;=核心参数输入!$B$9*4,(季度投融资!$E$7+季度投融资!$E$15*(1-IF(核心参数输入!$B$96=2,核心参数输入!$B$120,0))*SUM(季度计划!$D$121:AE121))*核心参数输入!$B$142+(SUM(季度投融资!$D$154:AE154)+SUM(季度投融资!$D$159:AE159))*核心参数输入!$B$142-SUM($D155:AE155),0)</f>
        <v>-7.2759576141834259E-12</v>
      </c>
      <c r="AF167" s="9">
        <f>IF(28&lt;=核心参数输入!$B$9*4,(季度投融资!$E$7+季度投融资!$E$15*(1-IF(核心参数输入!$B$96=2,核心参数输入!$B$120,0))*SUM(季度计划!$D$121:AF121))*核心参数输入!$B$142+(SUM(季度投融资!$D$154:AF154)+SUM(季度投融资!$D$159:AF159))*核心参数输入!$B$142-SUM($D155:AF155),0)</f>
        <v>-7.2759576141834259E-12</v>
      </c>
      <c r="AG167" s="9">
        <f>IF(29&lt;=核心参数输入!$B$9*4,(季度投融资!$E$7+季度投融资!$E$15*(1-IF(核心参数输入!$B$96=2,核心参数输入!$B$120,0))*SUM(季度计划!$D$121:AG121))*核心参数输入!$B$142+(SUM(季度投融资!$D$154:AG154)+SUM(季度投融资!$D$159:AG159))*核心参数输入!$B$142-SUM($D155:AG155),0)</f>
        <v>-7.2759576141834259E-12</v>
      </c>
      <c r="AH167" s="9">
        <f>IF(30&lt;=核心参数输入!$B$9*4,(季度投融资!$E$7+季度投融资!$E$15*(1-IF(核心参数输入!$B$96=2,核心参数输入!$B$120,0))*SUM(季度计划!$D$121:AH121))*核心参数输入!$B$142+(SUM(季度投融资!$D$154:AH154)+SUM(季度投融资!$D$159:AH159))*核心参数输入!$B$142-SUM($D155:AH155),0)</f>
        <v>-7.2759576141834259E-12</v>
      </c>
      <c r="AI167" s="9">
        <f>IF(31&lt;=核心参数输入!$B$9*4,(季度投融资!$E$7+季度投融资!$E$15*(1-IF(核心参数输入!$B$96=2,核心参数输入!$B$120,0))*SUM(季度计划!$D$121:AI121))*核心参数输入!$B$142+(SUM(季度投融资!$D$154:AI154)+SUM(季度投融资!$D$159:AI159))*核心参数输入!$B$142-SUM($D155:AI155),0)</f>
        <v>-7.2759576141834259E-12</v>
      </c>
      <c r="AJ167" s="9">
        <f>IF(32&lt;=核心参数输入!$B$9*4,(季度投融资!$E$7+季度投融资!$E$15*(1-IF(核心参数输入!$B$96=2,核心参数输入!$B$120,0))*SUM(季度计划!$D$121:AJ121))*核心参数输入!$B$142+(SUM(季度投融资!$D$154:AJ154)+SUM(季度投融资!$D$159:AJ159))*核心参数输入!$B$142-SUM($D155:AJ155),0)</f>
        <v>-7.2759576141834259E-12</v>
      </c>
      <c r="AK167" s="9">
        <f>IF(33&lt;=核心参数输入!$B$9*4,(季度投融资!$E$7+季度投融资!$E$15*(1-IF(核心参数输入!$B$96=2,核心参数输入!$B$120,0))*SUM(季度计划!$D$121:AK121))*核心参数输入!$B$142+(SUM(季度投融资!$D$154:AK154)+SUM(季度投融资!$D$159:AK159))*核心参数输入!$B$142-SUM($D155:AK155),0)</f>
        <v>-7.2759576141834259E-12</v>
      </c>
      <c r="AL167" s="9">
        <f>IF(34&lt;=核心参数输入!$B$9*4,(季度投融资!$E$7+季度投融资!$E$15*(1-IF(核心参数输入!$B$96=2,核心参数输入!$B$120,0))*SUM(季度计划!$D$121:AL121))*核心参数输入!$B$142+(SUM(季度投融资!$D$154:AL154)+SUM(季度投融资!$D$159:AL159))*核心参数输入!$B$142-SUM($D155:AL155),0)</f>
        <v>-7.2759576141834259E-12</v>
      </c>
      <c r="AM167" s="9">
        <f>IF(35&lt;=核心参数输入!$B$9*4,(季度投融资!$E$7+季度投融资!$E$15*(1-IF(核心参数输入!$B$96=2,核心参数输入!$B$120,0))*SUM(季度计划!$D$121:AM121))*核心参数输入!$B$142+(SUM(季度投融资!$D$154:AM154)+SUM(季度投融资!$D$159:AM159))*核心参数输入!$B$142-SUM($D155:AM155),0)</f>
        <v>-7.2759576141834259E-12</v>
      </c>
      <c r="AN167" s="9">
        <f>IF(36&lt;=核心参数输入!$B$9*4,(季度投融资!$E$7+季度投融资!$E$15*(1-IF(核心参数输入!$B$96=2,核心参数输入!$B$120,0))*SUM(季度计划!$D$121:AN121))*核心参数输入!$B$142+(SUM(季度投融资!$D$154:AN154)+SUM(季度投融资!$D$159:AN159))*核心参数输入!$B$142-SUM($D155:AN155),0)</f>
        <v>-7.2759576141834259E-12</v>
      </c>
      <c r="AO167" s="9">
        <f>IF(37&lt;=核心参数输入!$B$9*4,(季度投融资!$E$7+季度投融资!$E$15*(1-IF(核心参数输入!$B$96=2,核心参数输入!$B$120,0))*SUM(季度计划!$D$121:AO121))*核心参数输入!$B$142+(SUM(季度投融资!$D$154:AO154)+SUM(季度投融资!$D$159:AO159))*核心参数输入!$B$142-SUM($D155:AO155),0)</f>
        <v>-7.2759576141834259E-12</v>
      </c>
      <c r="AP167" s="9">
        <f>IF(38&lt;=核心参数输入!$B$9*4,(季度投融资!$E$7+季度投融资!$E$15*(1-IF(核心参数输入!$B$96=2,核心参数输入!$B$120,0))*SUM(季度计划!$D$121:AP121))*核心参数输入!$B$142+(SUM(季度投融资!$D$154:AP154)+SUM(季度投融资!$D$159:AP159))*核心参数输入!$B$142-SUM($D155:AP155),0)</f>
        <v>-7.2759576141834259E-12</v>
      </c>
      <c r="AQ167" s="9">
        <f>IF(39&lt;=核心参数输入!$B$9*4,(季度投融资!$E$7+季度投融资!$E$15*(1-IF(核心参数输入!$B$96=2,核心参数输入!$B$120,0))*SUM(季度计划!$D$121:AQ121))*核心参数输入!$B$142+(SUM(季度投融资!$D$154:AQ154)+SUM(季度投融资!$D$159:AQ159))*核心参数输入!$B$142-SUM($D155:AQ155),0)</f>
        <v>-7.2759576141834259E-12</v>
      </c>
      <c r="AR167" s="9">
        <f>IF(40&lt;=核心参数输入!$B$9*4,(季度投融资!$E$7+季度投融资!$E$15*(1-IF(核心参数输入!$B$96=2,核心参数输入!$B$120,0))*SUM(季度计划!$D$121:AR121))*核心参数输入!$B$142+(SUM(季度投融资!$D$154:AR154)+SUM(季度投融资!$D$159:AR159))*核心参数输入!$B$142-SUM($D155:AR155),0)</f>
        <v>-7.2759576141834259E-12</v>
      </c>
      <c r="AS167" s="9">
        <f>IF(41&lt;=核心参数输入!$B$9*4,(季度投融资!$E$7+季度投融资!$E$15*(1-IF(核心参数输入!$B$96=2,核心参数输入!$B$120,0))*SUM(季度计划!$D$121:AS121))*核心参数输入!$B$142+(SUM(季度投融资!$D$154:AS154)+SUM(季度投融资!$D$159:AS159))*核心参数输入!$B$142-SUM($D155:AS155),0)</f>
        <v>-7.2759576141834259E-12</v>
      </c>
      <c r="AT167" s="9">
        <f>IF(42&lt;=核心参数输入!$B$9*4,(季度投融资!$E$7+季度投融资!$E$15*(1-IF(核心参数输入!$B$96=2,核心参数输入!$B$120,0))*SUM(季度计划!$D$121:AT121))*核心参数输入!$B$142+(SUM(季度投融资!$D$154:AT154)+SUM(季度投融资!$D$159:AT159))*核心参数输入!$B$142-SUM($D155:AT155),0)</f>
        <v>-7.2759576141834259E-12</v>
      </c>
      <c r="AU167" s="9">
        <f>IF(43&lt;=核心参数输入!$B$9*4,(季度投融资!$E$7+季度投融资!$E$15*(1-IF(核心参数输入!$B$96=2,核心参数输入!$B$120,0))*SUM(季度计划!$D$121:AU121))*核心参数输入!$B$142+(SUM(季度投融资!$D$154:AU154)+SUM(季度投融资!$D$159:AU159))*核心参数输入!$B$142-SUM($D155:AU155),0)</f>
        <v>-7.2759576141834259E-12</v>
      </c>
      <c r="AV167" s="9">
        <f>IF(44&lt;=核心参数输入!$B$9*4,(季度投融资!$E$7+季度投融资!$E$15*(1-IF(核心参数输入!$B$96=2,核心参数输入!$B$120,0))*SUM(季度计划!$D$121:AV121))*核心参数输入!$B$142+(SUM(季度投融资!$D$154:AV154)+SUM(季度投融资!$D$159:AV159))*核心参数输入!$B$142-SUM($D155:AV155),0)</f>
        <v>-7.2759576141834259E-12</v>
      </c>
      <c r="AW167" s="9">
        <f>IF(45&lt;=核心参数输入!$B$9*4,(季度投融资!$E$7+季度投融资!$E$15*(1-IF(核心参数输入!$B$96=2,核心参数输入!$B$120,0))*SUM(季度计划!$D$121:AW121))*核心参数输入!$B$142+(SUM(季度投融资!$D$154:AW154)+SUM(季度投融资!$D$159:AW159))*核心参数输入!$B$142-SUM($D155:AW155),0)</f>
        <v>-7.2759576141834259E-12</v>
      </c>
      <c r="AX167" s="9">
        <f>IF(46&lt;=核心参数输入!$B$9*4,(季度投融资!$E$7+季度投融资!$E$15*(1-IF(核心参数输入!$B$96=2,核心参数输入!$B$120,0))*SUM(季度计划!$D$121:AX121))*核心参数输入!$B$142+(SUM(季度投融资!$D$154:AX154)+SUM(季度投融资!$D$159:AX159))*核心参数输入!$B$142-SUM($D155:AX155),0)</f>
        <v>-7.2759576141834259E-12</v>
      </c>
      <c r="AY167" s="9">
        <f>IF(47&lt;=核心参数输入!$B$9*4,(季度投融资!$E$7+季度投融资!$E$15*(1-IF(核心参数输入!$B$96=2,核心参数输入!$B$120,0))*SUM(季度计划!$D$121:AY121))*核心参数输入!$B$142+(SUM(季度投融资!$D$154:AY154)+SUM(季度投融资!$D$159:AY159))*核心参数输入!$B$142-SUM($D155:AY155),0)</f>
        <v>-7.2759576141834259E-12</v>
      </c>
      <c r="AZ167" s="9">
        <f>IF(48&lt;=核心参数输入!$B$9*4,(季度投融资!$E$7+季度投融资!$E$15*(1-IF(核心参数输入!$B$96=2,核心参数输入!$B$120,0))*SUM(季度计划!$D$121:AZ121))*核心参数输入!$B$142+(SUM(季度投融资!$D$154:AZ154)+SUM(季度投融资!$D$159:AZ159))*核心参数输入!$B$142-SUM($D155:AZ155),0)</f>
        <v>-7.2759576141834259E-12</v>
      </c>
      <c r="BA167" s="9">
        <f>IF(49&lt;=核心参数输入!$B$9*4,(季度投融资!$E$7+季度投融资!$E$15*(1-IF(核心参数输入!$B$96=2,核心参数输入!$B$120,0))*SUM(季度计划!$D$121:BA121))*核心参数输入!$B$142+(SUM(季度投融资!$D$154:BA154)+SUM(季度投融资!$D$159:BA159))*核心参数输入!$B$142-SUM($D155:BA155),0)</f>
        <v>-7.2759576141834259E-12</v>
      </c>
      <c r="BB167" s="9">
        <f>IF(50&lt;=核心参数输入!$B$9*4,(季度投融资!$E$7+季度投融资!$E$15*(1-IF(核心参数输入!$B$96=2,核心参数输入!$B$120,0))*SUM(季度计划!$D$121:BB121))*核心参数输入!$B$142+(SUM(季度投融资!$D$154:BB154)+SUM(季度投融资!$D$159:BB159))*核心参数输入!$B$142-SUM($D155:BB155),0)</f>
        <v>-7.2759576141834259E-12</v>
      </c>
      <c r="BC167" s="9">
        <f>IF(51&lt;=核心参数输入!$B$9*4,(季度投融资!$E$7+季度投融资!$E$15*(1-IF(核心参数输入!$B$96=2,核心参数输入!$B$120,0))*SUM(季度计划!$D$121:BC121))*核心参数输入!$B$142+(SUM(季度投融资!$D$154:BC154)+SUM(季度投融资!$D$159:BC159))*核心参数输入!$B$142-SUM($D155:BC155),0)</f>
        <v>-7.2759576141834259E-12</v>
      </c>
      <c r="BD167" s="9">
        <f>IF(52&lt;=核心参数输入!$B$9*4,(季度投融资!$E$7+季度投融资!$E$15*(1-IF(核心参数输入!$B$96=2,核心参数输入!$B$120,0))*SUM(季度计划!$D$121:BD121))*核心参数输入!$B$142+(SUM(季度投融资!$D$154:BD154)+SUM(季度投融资!$D$159:BD159))*核心参数输入!$B$142-SUM($D155:BD155),0)</f>
        <v>-7.2759576141834259E-12</v>
      </c>
      <c r="BE167" s="9">
        <f>IF(53&lt;=核心参数输入!$B$9*4,(季度投融资!$E$7+季度投融资!$E$15*(1-IF(核心参数输入!$B$96=2,核心参数输入!$B$120,0))*SUM(季度计划!$D$121:BE121))*核心参数输入!$B$142+(SUM(季度投融资!$D$154:BE154)+SUM(季度投融资!$D$159:BE159))*核心参数输入!$B$142-SUM($D155:BE155),0)</f>
        <v>-7.2759576141834259E-12</v>
      </c>
      <c r="BF167" s="9">
        <f>IF(54&lt;=核心参数输入!$B$9*4,(季度投融资!$E$7+季度投融资!$E$15*(1-IF(核心参数输入!$B$96=2,核心参数输入!$B$120,0))*SUM(季度计划!$D$121:BF121))*核心参数输入!$B$142+(SUM(季度投融资!$D$154:BF154)+SUM(季度投融资!$D$159:BF159))*核心参数输入!$B$142-SUM($D155:BF155),0)</f>
        <v>-7.2759576141834259E-12</v>
      </c>
      <c r="BG167" s="9">
        <f>IF(55&lt;=核心参数输入!$B$9*4,(季度投融资!$E$7+季度投融资!$E$15*(1-IF(核心参数输入!$B$96=2,核心参数输入!$B$120,0))*SUM(季度计划!$D$121:BG121))*核心参数输入!$B$142+(SUM(季度投融资!$D$154:BG154)+SUM(季度投融资!$D$159:BG159))*核心参数输入!$B$142-SUM($D155:BG155),0)</f>
        <v>-7.2759576141834259E-12</v>
      </c>
      <c r="BH167" s="9">
        <f>IF(56&lt;=核心参数输入!$B$9*4,(季度投融资!$E$7+季度投融资!$E$15*(1-IF(核心参数输入!$B$96=2,核心参数输入!$B$120,0))*SUM(季度计划!$D$121:BH121))*核心参数输入!$B$142+(SUM(季度投融资!$D$154:BH154)+SUM(季度投融资!$D$159:BH159))*核心参数输入!$B$142-SUM($D155:BH155),0)</f>
        <v>-7.2759576141834259E-12</v>
      </c>
      <c r="BI167" s="9">
        <f>IF(57&lt;=核心参数输入!$B$9*4,(季度投融资!$E$7+季度投融资!$E$15*(1-IF(核心参数输入!$B$96=2,核心参数输入!$B$120,0))*SUM(季度计划!$D$121:BI121))*核心参数输入!$B$142+(SUM(季度投融资!$D$154:BI154)+SUM(季度投融资!$D$159:BI159))*核心参数输入!$B$142-SUM($D155:BI155),0)</f>
        <v>-7.2759576141834259E-12</v>
      </c>
      <c r="BJ167" s="9">
        <f>IF(58&lt;=核心参数输入!$B$9*4,(季度投融资!$E$7+季度投融资!$E$15*(1-IF(核心参数输入!$B$96=2,核心参数输入!$B$120,0))*SUM(季度计划!$D$121:BJ121))*核心参数输入!$B$142+(SUM(季度投融资!$D$154:BJ154)+SUM(季度投融资!$D$159:BJ159))*核心参数输入!$B$142-SUM($D155:BJ155),0)</f>
        <v>-7.2759576141834259E-12</v>
      </c>
      <c r="BK167" s="9">
        <f>IF(59&lt;=核心参数输入!$B$9*4,(季度投融资!$E$7+季度投融资!$E$15*(1-IF(核心参数输入!$B$96=2,核心参数输入!$B$120,0))*SUM(季度计划!$D$121:BK121))*核心参数输入!$B$142+(SUM(季度投融资!$D$154:BK154)+SUM(季度投融资!$D$159:BK159))*核心参数输入!$B$142-SUM($D155:BK155),0)</f>
        <v>-7.2759576141834259E-12</v>
      </c>
      <c r="BL167" s="9">
        <f>IF(60&lt;=核心参数输入!$B$9*4,(季度投融资!$E$7+季度投融资!$E$15*(1-IF(核心参数输入!$B$96=2,核心参数输入!$B$120,0))*SUM(季度计划!$D$121:BL121))*核心参数输入!$B$142+(SUM(季度投融资!$D$154:BL154)+SUM(季度投融资!$D$159:BL159))*核心参数输入!$B$142-SUM($D155:BL155),0)</f>
        <v>-7.2759576141834259E-12</v>
      </c>
      <c r="BM167" s="9">
        <f>IF(61&lt;=核心参数输入!$B$9*4,(季度投融资!$E$7+季度投融资!$E$15*(1-IF(核心参数输入!$B$96=2,核心参数输入!$B$120,0))*SUM(季度计划!$D$121:BM121))*核心参数输入!$B$142+(SUM(季度投融资!$D$154:BM154)+SUM(季度投融资!$D$159:BM159))*核心参数输入!$B$142-SUM($D155:BM155),0)</f>
        <v>-7.2759576141834259E-12</v>
      </c>
      <c r="BN167" s="9">
        <f>IF(62&lt;=核心参数输入!$B$9*4,(季度投融资!$E$7+季度投融资!$E$15*(1-IF(核心参数输入!$B$96=2,核心参数输入!$B$120,0))*SUM(季度计划!$D$121:BN121))*核心参数输入!$B$142+(SUM(季度投融资!$D$154:BN154)+SUM(季度投融资!$D$159:BN159))*核心参数输入!$B$142-SUM($D155:BN155),0)</f>
        <v>-7.2759576141834259E-12</v>
      </c>
      <c r="BO167" s="9">
        <f>IF(63&lt;=核心参数输入!$B$9*4,(季度投融资!$E$7+季度投融资!$E$15*(1-IF(核心参数输入!$B$96=2,核心参数输入!$B$120,0))*SUM(季度计划!$D$121:BO121))*核心参数输入!$B$142+(SUM(季度投融资!$D$154:BO154)+SUM(季度投融资!$D$159:BO159))*核心参数输入!$B$142-SUM($D155:BO155),0)</f>
        <v>-7.2759576141834259E-12</v>
      </c>
      <c r="BP167" s="9">
        <f>IF(64&lt;=核心参数输入!$B$9*4,(季度投融资!$E$7+季度投融资!$E$15*(1-IF(核心参数输入!$B$96=2,核心参数输入!$B$120,0))*SUM(季度计划!$D$121:BP121))*核心参数输入!$B$142+(SUM(季度投融资!$D$154:BP154)+SUM(季度投融资!$D$159:BP159))*核心参数输入!$B$142-SUM($D155:BP155),0)</f>
        <v>-7.2759576141834259E-12</v>
      </c>
      <c r="BQ167" s="9">
        <f>IF(65&lt;=核心参数输入!$B$9*4,(季度投融资!$E$7+季度投融资!$E$15*(1-IF(核心参数输入!$B$96=2,核心参数输入!$B$120,0))*SUM(季度计划!$D$121:BQ121))*核心参数输入!$B$142+(SUM(季度投融资!$D$154:BQ154)+SUM(季度投融资!$D$159:BQ159))*核心参数输入!$B$142-SUM($D155:BQ155),0)</f>
        <v>-7.2759576141834259E-12</v>
      </c>
      <c r="BR167" s="9">
        <f>IF(66&lt;=核心参数输入!$B$9*4,(季度投融资!$E$7+季度投融资!$E$15*(1-IF(核心参数输入!$B$96=2,核心参数输入!$B$120,0))*SUM(季度计划!$D$121:BR121))*核心参数输入!$B$142+(SUM(季度投融资!$D$154:BR154)+SUM(季度投融资!$D$159:BR159))*核心参数输入!$B$142-SUM($D155:BR155),0)</f>
        <v>-7.2759576141834259E-12</v>
      </c>
      <c r="BS167" s="9">
        <f>IF(67&lt;=核心参数输入!$B$9*4,(季度投融资!$E$7+季度投融资!$E$15*(1-IF(核心参数输入!$B$96=2,核心参数输入!$B$120,0))*SUM(季度计划!$D$121:BS121))*核心参数输入!$B$142+(SUM(季度投融资!$D$154:BS154)+SUM(季度投融资!$D$159:BS159))*核心参数输入!$B$142-SUM($D155:BS155),0)</f>
        <v>-7.2759576141834259E-12</v>
      </c>
      <c r="BT167" s="9">
        <f>IF(68&lt;=核心参数输入!$B$9*4,(季度投融资!$E$7+季度投融资!$E$15*(1-IF(核心参数输入!$B$96=2,核心参数输入!$B$120,0))*SUM(季度计划!$D$121:BT121))*核心参数输入!$B$142+(SUM(季度投融资!$D$154:BT154)+SUM(季度投融资!$D$159:BT159))*核心参数输入!$B$142-SUM($D155:BT155),0)</f>
        <v>-7.2759576141834259E-12</v>
      </c>
      <c r="BU167" s="9">
        <f>IF(69&lt;=核心参数输入!$B$9*4,(季度投融资!$E$7+季度投融资!$E$15*(1-IF(核心参数输入!$B$96=2,核心参数输入!$B$120,0))*SUM(季度计划!$D$121:BU121))*核心参数输入!$B$142+(SUM(季度投融资!$D$154:BU154)+SUM(季度投融资!$D$159:BU159))*核心参数输入!$B$142-SUM($D155:BU155),0)</f>
        <v>-7.2759576141834259E-12</v>
      </c>
      <c r="BV167" s="9">
        <f>IF(70&lt;=核心参数输入!$B$9*4,(季度投融资!$E$7+季度投融资!$E$15*(1-IF(核心参数输入!$B$96=2,核心参数输入!$B$120,0))*SUM(季度计划!$D$121:BV121))*核心参数输入!$B$142+(SUM(季度投融资!$D$154:BV154)+SUM(季度投融资!$D$159:BV159))*核心参数输入!$B$142-SUM($D155:BV155),0)</f>
        <v>-7.2759576141834259E-12</v>
      </c>
      <c r="BW167" s="9">
        <f>IF(71&lt;=核心参数输入!$B$9*4,(季度投融资!$E$7+季度投融资!$E$15*(1-IF(核心参数输入!$B$96=2,核心参数输入!$B$120,0))*SUM(季度计划!$D$121:BW121))*核心参数输入!$B$142+(SUM(季度投融资!$D$154:BW154)+SUM(季度投融资!$D$159:BW159))*核心参数输入!$B$142-SUM($D155:BW155),0)</f>
        <v>-7.2759576141834259E-12</v>
      </c>
      <c r="BX167" s="9">
        <f>IF(72&lt;=核心参数输入!$B$9*4,(季度投融资!$E$7+季度投融资!$E$15*(1-IF(核心参数输入!$B$96=2,核心参数输入!$B$120,0))*SUM(季度计划!$D$121:BX121))*核心参数输入!$B$142+(SUM(季度投融资!$D$154:BX154)+SUM(季度投融资!$D$159:BX159))*核心参数输入!$B$142-SUM($D155:BX155),0)</f>
        <v>-7.2759576141834259E-12</v>
      </c>
      <c r="BY167" s="9">
        <f>IF(73&lt;=核心参数输入!$B$9*4,(季度投融资!$E$7+季度投融资!$E$15*(1-IF(核心参数输入!$B$96=2,核心参数输入!$B$120,0))*SUM(季度计划!$D$121:BY121))*核心参数输入!$B$142+(SUM(季度投融资!$D$154:BY154)+SUM(季度投融资!$D$159:BY159))*核心参数输入!$B$142-SUM($D155:BY155),0)</f>
        <v>-7.2759576141834259E-12</v>
      </c>
      <c r="BZ167" s="9">
        <f>IF(74&lt;=核心参数输入!$B$9*4,(季度投融资!$E$7+季度投融资!$E$15*(1-IF(核心参数输入!$B$96=2,核心参数输入!$B$120,0))*SUM(季度计划!$D$121:BZ121))*核心参数输入!$B$142+(SUM(季度投融资!$D$154:BZ154)+SUM(季度投融资!$D$159:BZ159))*核心参数输入!$B$142-SUM($D155:BZ155),0)</f>
        <v>-7.2759576141834259E-12</v>
      </c>
      <c r="CA167" s="9">
        <f>IF(75&lt;=核心参数输入!$B$9*4,(季度投融资!$E$7+季度投融资!$E$15*(1-IF(核心参数输入!$B$96=2,核心参数输入!$B$120,0))*SUM(季度计划!$D$121:CA121))*核心参数输入!$B$142+(SUM(季度投融资!$D$154:CA154)+SUM(季度投融资!$D$159:CA159))*核心参数输入!$B$142-SUM($D155:CA155),0)</f>
        <v>-7.2759576141834259E-12</v>
      </c>
      <c r="CB167" s="9">
        <f>IF(76&lt;=核心参数输入!$B$9*4,(季度投融资!$E$7+季度投融资!$E$15*(1-IF(核心参数输入!$B$96=2,核心参数输入!$B$120,0))*SUM(季度计划!$D$121:CB121))*核心参数输入!$B$142+(SUM(季度投融资!$D$154:CB154)+SUM(季度投融资!$D$159:CB159))*核心参数输入!$B$142-SUM($D155:CB155),0)</f>
        <v>-7.2759576141834259E-12</v>
      </c>
      <c r="CC167" s="9">
        <f>IF(77&lt;=核心参数输入!$B$9*4,(季度投融资!$E$7+季度投融资!$E$15*(1-IF(核心参数输入!$B$96=2,核心参数输入!$B$120,0))*SUM(季度计划!$D$121:CC121))*核心参数输入!$B$142+(SUM(季度投融资!$D$154:CC154)+SUM(季度投融资!$D$159:CC159))*核心参数输入!$B$142-SUM($D155:CC155),0)</f>
        <v>-7.2759576141834259E-12</v>
      </c>
      <c r="CD167" s="9">
        <f>IF(78&lt;=核心参数输入!$B$9*4,(季度投融资!$E$7+季度投融资!$E$15*(1-IF(核心参数输入!$B$96=2,核心参数输入!$B$120,0))*SUM(季度计划!$D$121:CD121))*核心参数输入!$B$142+(SUM(季度投融资!$D$154:CD154)+SUM(季度投融资!$D$159:CD159))*核心参数输入!$B$142-SUM($D155:CD155),0)</f>
        <v>-7.2759576141834259E-12</v>
      </c>
      <c r="CE167" s="9">
        <f>IF(79&lt;=核心参数输入!$B$9*4,(季度投融资!$E$7+季度投融资!$E$15*(1-IF(核心参数输入!$B$96=2,核心参数输入!$B$120,0))*SUM(季度计划!$D$121:CE121))*核心参数输入!$B$142+(SUM(季度投融资!$D$154:CE154)+SUM(季度投融资!$D$159:CE159))*核心参数输入!$B$142-SUM($D155:CE155),0)</f>
        <v>-7.2759576141834259E-12</v>
      </c>
      <c r="CF167" s="9">
        <f>IF(80&lt;=核心参数输入!$B$9*4,(季度投融资!$E$7+季度投融资!$E$15*(1-IF(核心参数输入!$B$96=2,核心参数输入!$B$120,0))*SUM(季度计划!$D$121:CF121))*核心参数输入!$B$142+(SUM(季度投融资!$D$154:CF154)+SUM(季度投融资!$D$159:CF159))*核心参数输入!$B$142-SUM($D155:CF155),0)</f>
        <v>-7.2759576141834259E-12</v>
      </c>
      <c r="CG167" s="9">
        <f>IF(81&lt;=核心参数输入!$B$9*4,(季度投融资!$E$7+季度投融资!$E$15*(1-IF(核心参数输入!$B$96=2,核心参数输入!$B$120,0))*SUM(季度计划!$D$121:CG121))*核心参数输入!$B$142+(SUM(季度投融资!$D$154:CG154)+SUM(季度投融资!$D$159:CG159))*核心参数输入!$B$142-SUM($D155:CG155),0)</f>
        <v>0</v>
      </c>
      <c r="CH167" s="9">
        <f>IF(82&lt;=核心参数输入!$B$9*4,(季度投融资!$E$7+季度投融资!$E$15*(1-IF(核心参数输入!$B$96=2,核心参数输入!$B$120,0))*SUM(季度计划!$D$121:CH121))*核心参数输入!$B$142+(SUM(季度投融资!$D$154:CH154)+SUM(季度投融资!$D$159:CH159))*核心参数输入!$B$142-SUM($D155:CH155),0)</f>
        <v>0</v>
      </c>
      <c r="CI167" s="9">
        <f>IF(83&lt;=核心参数输入!$B$9*4,(季度投融资!$E$7+季度投融资!$E$15*(1-IF(核心参数输入!$B$96=2,核心参数输入!$B$120,0))*SUM(季度计划!$D$121:CI121))*核心参数输入!$B$142+(SUM(季度投融资!$D$154:CI154)+SUM(季度投融资!$D$159:CI159))*核心参数输入!$B$142-SUM($D155:CI155),0)</f>
        <v>0</v>
      </c>
      <c r="CJ167" s="9">
        <f>IF(84&lt;=核心参数输入!$B$9*4,(季度投融资!$E$7+季度投融资!$E$15*(1-IF(核心参数输入!$B$96=2,核心参数输入!$B$120,0))*SUM(季度计划!$D$121:CJ121))*核心参数输入!$B$142+(SUM(季度投融资!$D$154:CJ154)+SUM(季度投融资!$D$159:CJ159))*核心参数输入!$B$142-SUM($D155:CJ155),0)</f>
        <v>0</v>
      </c>
      <c r="CK167" s="9">
        <f>IF(85&lt;=核心参数输入!$B$9*4,(季度投融资!$E$7+季度投融资!$E$15*(1-IF(核心参数输入!$B$96=2,核心参数输入!$B$120,0))*SUM(季度计划!$D$121:CK121))*核心参数输入!$B$142+(SUM(季度投融资!$D$154:CK154)+SUM(季度投融资!$D$159:CK159))*核心参数输入!$B$142-SUM($D155:CK155),0)</f>
        <v>0</v>
      </c>
      <c r="CL167" s="9">
        <f>IF(86&lt;=核心参数输入!$B$9*4,(季度投融资!$E$7+季度投融资!$E$15*(1-IF(核心参数输入!$B$96=2,核心参数输入!$B$120,0))*SUM(季度计划!$D$121:CL121))*核心参数输入!$B$142+(SUM(季度投融资!$D$154:CL154)+SUM(季度投融资!$D$159:CL159))*核心参数输入!$B$142-SUM($D155:CL155),0)</f>
        <v>0</v>
      </c>
      <c r="CM167" s="9">
        <f>IF(87&lt;=核心参数输入!$B$9*4,(季度投融资!$E$7+季度投融资!$E$15*(1-IF(核心参数输入!$B$96=2,核心参数输入!$B$120,0))*SUM(季度计划!$D$121:CM121))*核心参数输入!$B$142+(SUM(季度投融资!$D$154:CM154)+SUM(季度投融资!$D$159:CM159))*核心参数输入!$B$142-SUM($D155:CM155),0)</f>
        <v>0</v>
      </c>
      <c r="CN167" s="9">
        <f>IF(88&lt;=核心参数输入!$B$9*4,(季度投融资!$E$7+季度投融资!$E$15*(1-IF(核心参数输入!$B$96=2,核心参数输入!$B$120,0))*SUM(季度计划!$D$121:CN121))*核心参数输入!$B$142+(SUM(季度投融资!$D$154:CN154)+SUM(季度投融资!$D$159:CN159))*核心参数输入!$B$142-SUM($D155:CN155),0)</f>
        <v>0</v>
      </c>
      <c r="CO167" s="9">
        <f>IF(89&lt;=核心参数输入!$B$9*4,(季度投融资!$E$7+季度投融资!$E$15*(1-IF(核心参数输入!$B$96=2,核心参数输入!$B$120,0))*SUM(季度计划!$D$121:CO121))*核心参数输入!$B$142+(SUM(季度投融资!$D$154:CO154)+SUM(季度投融资!$D$159:CO159))*核心参数输入!$B$142-SUM($D155:CO155),0)</f>
        <v>0</v>
      </c>
      <c r="CP167" s="9">
        <f>IF(90&lt;=核心参数输入!$B$9*4,(季度投融资!$E$7+季度投融资!$E$15*(1-IF(核心参数输入!$B$96=2,核心参数输入!$B$120,0))*SUM(季度计划!$D$121:CP121))*核心参数输入!$B$142+(SUM(季度投融资!$D$154:CP154)+SUM(季度投融资!$D$159:CP159))*核心参数输入!$B$142-SUM($D155:CP155),0)</f>
        <v>0</v>
      </c>
      <c r="CQ167" s="9">
        <f>IF(91&lt;=核心参数输入!$B$9*4,(季度投融资!$E$7+季度投融资!$E$15*(1-IF(核心参数输入!$B$96=2,核心参数输入!$B$120,0))*SUM(季度计划!$D$121:CQ121))*核心参数输入!$B$142+(SUM(季度投融资!$D$154:CQ154)+SUM(季度投融资!$D$159:CQ159))*核心参数输入!$B$142-SUM($D155:CQ155),0)</f>
        <v>0</v>
      </c>
      <c r="CR167" s="9">
        <f>IF(92&lt;=核心参数输入!$B$9*4,(季度投融资!$E$7+季度投融资!$E$15*(1-IF(核心参数输入!$B$96=2,核心参数输入!$B$120,0))*SUM(季度计划!$D$121:CR121))*核心参数输入!$B$142+(SUM(季度投融资!$D$154:CR154)+SUM(季度投融资!$D$159:CR159))*核心参数输入!$B$142-SUM($D155:CR155),0)</f>
        <v>0</v>
      </c>
      <c r="CS167" s="9">
        <f>IF(93&lt;=核心参数输入!$B$9*4,(季度投融资!$E$7+季度投融资!$E$15*(1-IF(核心参数输入!$B$96=2,核心参数输入!$B$120,0))*SUM(季度计划!$D$121:CS121))*核心参数输入!$B$142+(SUM(季度投融资!$D$154:CS154)+SUM(季度投融资!$D$159:CS159))*核心参数输入!$B$142-SUM($D155:CS155),0)</f>
        <v>0</v>
      </c>
      <c r="CT167" s="9">
        <f>IF(94&lt;=核心参数输入!$B$9*4,(季度投融资!$E$7+季度投融资!$E$15*(1-IF(核心参数输入!$B$96=2,核心参数输入!$B$120,0))*SUM(季度计划!$D$121:CT121))*核心参数输入!$B$142+(SUM(季度投融资!$D$154:CT154)+SUM(季度投融资!$D$159:CT159))*核心参数输入!$B$142-SUM($D155:CT155),0)</f>
        <v>0</v>
      </c>
      <c r="CU167" s="9">
        <f>IF(95&lt;=核心参数输入!$B$9*4,(季度投融资!$E$7+季度投融资!$E$15*(1-IF(核心参数输入!$B$96=2,核心参数输入!$B$120,0))*SUM(季度计划!$D$121:CU121))*核心参数输入!$B$142+(SUM(季度投融资!$D$154:CU154)+SUM(季度投融资!$D$159:CU159))*核心参数输入!$B$142-SUM($D155:CU155),0)</f>
        <v>0</v>
      </c>
      <c r="CV167" s="9">
        <f>IF(96&lt;=核心参数输入!$B$9*4,(季度投融资!$E$7+季度投融资!$E$15*(1-IF(核心参数输入!$B$96=2,核心参数输入!$B$120,0))*SUM(季度计划!$D$121:CV121))*核心参数输入!$B$142+(SUM(季度投融资!$D$154:CV154)+SUM(季度投融资!$D$159:CV159))*核心参数输入!$B$142-SUM($D155:CV155),0)</f>
        <v>0</v>
      </c>
      <c r="CW167" s="9">
        <f>IF(97&lt;=核心参数输入!$B$9*4,(季度投融资!$E$7+季度投融资!$E$15*(1-IF(核心参数输入!$B$96=2,核心参数输入!$B$120,0))*SUM(季度计划!$D$121:CW121))*核心参数输入!$B$142+(SUM(季度投融资!$D$154:CW154)+SUM(季度投融资!$D$159:CW159))*核心参数输入!$B$142-SUM($D155:CW155),0)</f>
        <v>0</v>
      </c>
      <c r="CX167" s="9">
        <f>IF(98&lt;=核心参数输入!$B$9*4,(季度投融资!$E$7+季度投融资!$E$15*(1-IF(核心参数输入!$B$96=2,核心参数输入!$B$120,0))*SUM(季度计划!$D$121:CX121))*核心参数输入!$B$142+(SUM(季度投融资!$D$154:CX154)+SUM(季度投融资!$D$159:CX159))*核心参数输入!$B$142-SUM($D155:CX155),0)</f>
        <v>0</v>
      </c>
      <c r="CY167" s="9">
        <f>IF(99&lt;=核心参数输入!$B$9*4,(季度投融资!$E$7+季度投融资!$E$15*(1-IF(核心参数输入!$B$96=2,核心参数输入!$B$120,0))*SUM(季度计划!$D$121:CY121))*核心参数输入!$B$142+(SUM(季度投融资!$D$154:CY154)+SUM(季度投融资!$D$159:CY159))*核心参数输入!$B$142-SUM($D155:CY155),0)</f>
        <v>0</v>
      </c>
      <c r="CZ167" s="9">
        <f>IF(100&lt;=核心参数输入!$B$9*4,(季度投融资!$E$7+季度投融资!$E$15*(1-IF(核心参数输入!$B$96=2,核心参数输入!$B$120,0))*SUM(季度计划!$D$121:CZ121))*核心参数输入!$B$142+(SUM(季度投融资!$D$154:CZ154)+SUM(季度投融资!$D$159:CZ159))*核心参数输入!$B$142-SUM($D155:CZ155),0)</f>
        <v>0</v>
      </c>
      <c r="DA167" s="9">
        <f>IF(101&lt;=核心参数输入!$B$9*4,(季度投融资!$E$7+季度投融资!$E$15*(1-IF(核心参数输入!$B$96=2,核心参数输入!$B$120,0))*SUM(季度计划!$D$121:DA121))*核心参数输入!$B$142+(SUM(季度投融资!$D$154:DA154)+SUM(季度投融资!$D$159:DA159))*核心参数输入!$B$142-SUM($D155:DA155),0)</f>
        <v>0</v>
      </c>
      <c r="DB167" s="9">
        <f>IF(102&lt;=核心参数输入!$B$9*4,(季度投融资!$E$7+季度投融资!$E$15*(1-IF(核心参数输入!$B$96=2,核心参数输入!$B$120,0))*SUM(季度计划!$D$121:DB121))*核心参数输入!$B$142+(SUM(季度投融资!$D$154:DB154)+SUM(季度投融资!$D$159:DB159))*核心参数输入!$B$142-SUM($D155:DB155),0)</f>
        <v>0</v>
      </c>
      <c r="DC167" s="9">
        <f>IF(103&lt;=核心参数输入!$B$9*4,(季度投融资!$E$7+季度投融资!$E$15*(1-IF(核心参数输入!$B$96=2,核心参数输入!$B$120,0))*SUM(季度计划!$D$121:DC121))*核心参数输入!$B$142+(SUM(季度投融资!$D$154:DC154)+SUM(季度投融资!$D$159:DC159))*核心参数输入!$B$142-SUM($D155:DC155),0)</f>
        <v>0</v>
      </c>
      <c r="DD167" s="9">
        <f>IF(104&lt;=核心参数输入!$B$9*4,(季度投融资!$E$7+季度投融资!$E$15*(1-IF(核心参数输入!$B$96=2,核心参数输入!$B$120,0))*SUM(季度计划!$D$121:DD121))*核心参数输入!$B$142+(SUM(季度投融资!$D$154:DD154)+SUM(季度投融资!$D$159:DD159))*核心参数输入!$B$142-SUM($D155:DD155),0)</f>
        <v>0</v>
      </c>
      <c r="DE167" s="9">
        <f>IF(105&lt;=核心参数输入!$B$9*4,(季度投融资!$E$7+季度投融资!$E$15*(1-IF(核心参数输入!$B$96=2,核心参数输入!$B$120,0))*SUM(季度计划!$D$121:DE121))*核心参数输入!$B$142+(SUM(季度投融资!$D$154:DE154)+SUM(季度投融资!$D$159:DE159))*核心参数输入!$B$142-SUM($D155:DE155),0)</f>
        <v>0</v>
      </c>
      <c r="DF167" s="9">
        <f>IF(106&lt;=核心参数输入!$B$9*4,(季度投融资!$E$7+季度投融资!$E$15*(1-IF(核心参数输入!$B$96=2,核心参数输入!$B$120,0))*SUM(季度计划!$D$121:DF121))*核心参数输入!$B$142+(SUM(季度投融资!$D$154:DF154)+SUM(季度投融资!$D$159:DF159))*核心参数输入!$B$142-SUM($D155:DF155),0)</f>
        <v>0</v>
      </c>
      <c r="DG167" s="9">
        <f>IF(107&lt;=核心参数输入!$B$9*4,(季度投融资!$E$7+季度投融资!$E$15*(1-IF(核心参数输入!$B$96=2,核心参数输入!$B$120,0))*SUM(季度计划!$D$121:DG121))*核心参数输入!$B$142+(SUM(季度投融资!$D$154:DG154)+SUM(季度投融资!$D$159:DG159))*核心参数输入!$B$142-SUM($D155:DG155),0)</f>
        <v>0</v>
      </c>
      <c r="DH167" s="9">
        <f>IF(108&lt;=核心参数输入!$B$9*4,(季度投融资!$E$7+季度投融资!$E$15*(1-IF(核心参数输入!$B$96=2,核心参数输入!$B$120,0))*SUM(季度计划!$D$121:DH121))*核心参数输入!$B$142+(SUM(季度投融资!$D$154:DH154)+SUM(季度投融资!$D$159:DH159))*核心参数输入!$B$142-SUM($D155:DH155),0)</f>
        <v>0</v>
      </c>
      <c r="DI167" s="9">
        <f>IF(109&lt;=核心参数输入!$B$9*4,(季度投融资!$E$7+季度投融资!$E$15*(1-IF(核心参数输入!$B$96=2,核心参数输入!$B$120,0))*SUM(季度计划!$D$121:DI121))*核心参数输入!$B$142+(SUM(季度投融资!$D$154:DI154)+SUM(季度投融资!$D$159:DI159))*核心参数输入!$B$142-SUM($D155:DI155),0)</f>
        <v>0</v>
      </c>
      <c r="DJ167" s="9">
        <f>IF(110&lt;=核心参数输入!$B$9*4,(季度投融资!$E$7+季度投融资!$E$15*(1-IF(核心参数输入!$B$96=2,核心参数输入!$B$120,0))*SUM(季度计划!$D$121:DJ121))*核心参数输入!$B$142+(SUM(季度投融资!$D$154:DJ154)+SUM(季度投融资!$D$159:DJ159))*核心参数输入!$B$142-SUM($D155:DJ155),0)</f>
        <v>0</v>
      </c>
      <c r="DK167" s="9">
        <f>IF(111&lt;=核心参数输入!$B$9*4,(季度投融资!$E$7+季度投融资!$E$15*(1-IF(核心参数输入!$B$96=2,核心参数输入!$B$120,0))*SUM(季度计划!$D$121:DK121))*核心参数输入!$B$142+(SUM(季度投融资!$D$154:DK154)+SUM(季度投融资!$D$159:DK159))*核心参数输入!$B$142-SUM($D155:DK155),0)</f>
        <v>0</v>
      </c>
      <c r="DL167" s="9">
        <f>IF(112&lt;=核心参数输入!$B$9*4,(季度投融资!$E$7+季度投融资!$E$15*(1-IF(核心参数输入!$B$96=2,核心参数输入!$B$120,0))*SUM(季度计划!$D$121:DL121))*核心参数输入!$B$142+(SUM(季度投融资!$D$154:DL154)+SUM(季度投融资!$D$159:DL159))*核心参数输入!$B$142-SUM($D155:DL155),0)</f>
        <v>0</v>
      </c>
      <c r="DM167" s="9">
        <f>IF(113&lt;=核心参数输入!$B$9*4,(季度投融资!$E$7+季度投融资!$E$15*(1-IF(核心参数输入!$B$96=2,核心参数输入!$B$120,0))*SUM(季度计划!$D$121:DM121))*核心参数输入!$B$142+(SUM(季度投融资!$D$154:DM154)+SUM(季度投融资!$D$159:DM159))*核心参数输入!$B$142-SUM($D155:DM155),0)</f>
        <v>0</v>
      </c>
      <c r="DN167" s="9">
        <f>IF(114&lt;=核心参数输入!$B$9*4,(季度投融资!$E$7+季度投融资!$E$15*(1-IF(核心参数输入!$B$96=2,核心参数输入!$B$120,0))*SUM(季度计划!$D$121:DN121))*核心参数输入!$B$142+(SUM(季度投融资!$D$154:DN154)+SUM(季度投融资!$D$159:DN159))*核心参数输入!$B$142-SUM($D155:DN155),0)</f>
        <v>0</v>
      </c>
      <c r="DO167" s="9">
        <f>IF(115&lt;=核心参数输入!$B$9*4,(季度投融资!$E$7+季度投融资!$E$15*(1-IF(核心参数输入!$B$96=2,核心参数输入!$B$120,0))*SUM(季度计划!$D$121:DO121))*核心参数输入!$B$142+(SUM(季度投融资!$D$154:DO154)+SUM(季度投融资!$D$159:DO159))*核心参数输入!$B$142-SUM($D155:DO155),0)</f>
        <v>0</v>
      </c>
      <c r="DP167" s="9">
        <f>IF(116&lt;=核心参数输入!$B$9*4,(季度投融资!$E$7+季度投融资!$E$15*(1-IF(核心参数输入!$B$96=2,核心参数输入!$B$120,0))*SUM(季度计划!$D$121:DP121))*核心参数输入!$B$142+(SUM(季度投融资!$D$154:DP154)+SUM(季度投融资!$D$159:DP159))*核心参数输入!$B$142-SUM($D155:DP155),0)</f>
        <v>0</v>
      </c>
      <c r="DQ167" s="9">
        <f>IF(117&lt;=核心参数输入!$B$9*4,(季度投融资!$E$7+季度投融资!$E$15*(1-IF(核心参数输入!$B$96=2,核心参数输入!$B$120,0))*SUM(季度计划!$D$121:DQ121))*核心参数输入!$B$142+(SUM(季度投融资!$D$154:DQ154)+SUM(季度投融资!$D$159:DQ159))*核心参数输入!$B$142-SUM($D155:DQ155),0)</f>
        <v>0</v>
      </c>
      <c r="DR167" s="9">
        <f>IF(118&lt;=核心参数输入!$B$9*4,(季度投融资!$E$7+季度投融资!$E$15*(1-IF(核心参数输入!$B$96=2,核心参数输入!$B$120,0))*SUM(季度计划!$D$121:DR121))*核心参数输入!$B$142+(SUM(季度投融资!$D$154:DR154)+SUM(季度投融资!$D$159:DR159))*核心参数输入!$B$142-SUM($D155:DR155),0)</f>
        <v>0</v>
      </c>
      <c r="DS167" s="9">
        <f>IF(119&lt;=核心参数输入!$B$9*4,(季度投融资!$E$7+季度投融资!$E$15*(1-IF(核心参数输入!$B$96=2,核心参数输入!$B$120,0))*SUM(季度计划!$D$121:DS121))*核心参数输入!$B$142+(SUM(季度投融资!$D$154:DS154)+SUM(季度投融资!$D$159:DS159))*核心参数输入!$B$142-SUM($D155:DS155),0)</f>
        <v>0</v>
      </c>
      <c r="DT167" s="9">
        <f>IF(120&lt;=核心参数输入!$B$9*4,(季度投融资!$E$7+季度投融资!$E$15*(1-IF(核心参数输入!$B$96=2,核心参数输入!$B$120,0))*SUM(季度计划!$D$121:DT121))*核心参数输入!$B$142+(SUM(季度投融资!$D$154:DT154)+SUM(季度投融资!$D$159:DT159))*核心参数输入!$B$142-SUM($D155:DT155),0)</f>
        <v>0</v>
      </c>
    </row>
    <row r="168" spans="1:124" ht="21" customHeight="1">
      <c r="A168" s="8" t="s">
        <v>489</v>
      </c>
      <c r="B168" s="8" t="s">
        <v>39</v>
      </c>
      <c r="C168" s="8"/>
      <c r="D168" s="9">
        <f>IF(0&lt;=核心参数输入!$B$9*4,IF(AND((核心参数输入!$B$10*核心参数输入!$B$11*核心参数输入!$B$12*核心参数输入!$B$143)&gt;0,0=核心参数输入!$B$9*4),核心参数输入!$B$65*核心参数输入!$B$139,0),0)</f>
        <v>0</v>
      </c>
      <c r="E168" s="9">
        <f>IF(1&lt;=核心参数输入!$B$9*4,IF(AND((核心参数输入!$B$10*核心参数输入!$B$11*核心参数输入!$B$12*核心参数输入!$B$143)&gt;0,1=核心参数输入!$B$9*4),核心参数输入!$B$65*核心参数输入!$B$139,0),0)</f>
        <v>0</v>
      </c>
      <c r="F168" s="9">
        <f>IF(2&lt;=核心参数输入!$B$9*4,IF(AND((核心参数输入!$B$10*核心参数输入!$B$11*核心参数输入!$B$12*核心参数输入!$B$143)&gt;0,2=核心参数输入!$B$9*4),核心参数输入!$B$65*核心参数输入!$B$139,0),0)</f>
        <v>0</v>
      </c>
      <c r="G168" s="9">
        <f>IF(3&lt;=核心参数输入!$B$9*4,IF(AND((核心参数输入!$B$10*核心参数输入!$B$11*核心参数输入!$B$12*核心参数输入!$B$143)&gt;0,3=核心参数输入!$B$9*4),核心参数输入!$B$65*核心参数输入!$B$139,0),0)</f>
        <v>0</v>
      </c>
      <c r="H168" s="9">
        <f>IF(4&lt;=核心参数输入!$B$9*4,IF(AND((核心参数输入!$B$10*核心参数输入!$B$11*核心参数输入!$B$12*核心参数输入!$B$143)&gt;0,4=核心参数输入!$B$9*4),核心参数输入!$B$65*核心参数输入!$B$139,0),0)</f>
        <v>0</v>
      </c>
      <c r="I168" s="9">
        <f>IF(5&lt;=核心参数输入!$B$9*4,IF(AND((核心参数输入!$B$10*核心参数输入!$B$11*核心参数输入!$B$12*核心参数输入!$B$143)&gt;0,5=核心参数输入!$B$9*4),核心参数输入!$B$65*核心参数输入!$B$139,0),0)</f>
        <v>0</v>
      </c>
      <c r="J168" s="9">
        <f>IF(6&lt;=核心参数输入!$B$9*4,IF(AND((核心参数输入!$B$10*核心参数输入!$B$11*核心参数输入!$B$12*核心参数输入!$B$143)&gt;0,6=核心参数输入!$B$9*4),核心参数输入!$B$65*核心参数输入!$B$139,0),0)</f>
        <v>0</v>
      </c>
      <c r="K168" s="9">
        <f>IF(7&lt;=核心参数输入!$B$9*4,IF(AND((核心参数输入!$B$10*核心参数输入!$B$11*核心参数输入!$B$12*核心参数输入!$B$143)&gt;0,7=核心参数输入!$B$9*4),核心参数输入!$B$65*核心参数输入!$B$139,0),0)</f>
        <v>0</v>
      </c>
      <c r="L168" s="9">
        <f>IF(8&lt;=核心参数输入!$B$9*4,IF(AND((核心参数输入!$B$10*核心参数输入!$B$11*核心参数输入!$B$12*核心参数输入!$B$143)&gt;0,8=核心参数输入!$B$9*4),核心参数输入!$B$65*核心参数输入!$B$139,0),0)</f>
        <v>0</v>
      </c>
      <c r="M168" s="9">
        <f>IF(9&lt;=核心参数输入!$B$9*4,IF(AND((核心参数输入!$B$10*核心参数输入!$B$11*核心参数输入!$B$12*核心参数输入!$B$143)&gt;0,9=核心参数输入!$B$9*4),核心参数输入!$B$65*核心参数输入!$B$139,0),0)</f>
        <v>0</v>
      </c>
      <c r="N168" s="9">
        <f>IF(10&lt;=核心参数输入!$B$9*4,IF(AND((核心参数输入!$B$10*核心参数输入!$B$11*核心参数输入!$B$12*核心参数输入!$B$143)&gt;0,10=核心参数输入!$B$9*4),核心参数输入!$B$65*核心参数输入!$B$139,0),0)</f>
        <v>0</v>
      </c>
      <c r="O168" s="9">
        <f>IF(11&lt;=核心参数输入!$B$9*4,IF(AND((核心参数输入!$B$10*核心参数输入!$B$11*核心参数输入!$B$12*核心参数输入!$B$143)&gt;0,11=核心参数输入!$B$9*4),核心参数输入!$B$65*核心参数输入!$B$139,0),0)</f>
        <v>0</v>
      </c>
      <c r="P168" s="9">
        <f>IF(12&lt;=核心参数输入!$B$9*4,IF(AND((核心参数输入!$B$10*核心参数输入!$B$11*核心参数输入!$B$12*核心参数输入!$B$143)&gt;0,12=核心参数输入!$B$9*4),核心参数输入!$B$65*核心参数输入!$B$139,0),0)</f>
        <v>0</v>
      </c>
      <c r="Q168" s="9">
        <f>IF(13&lt;=核心参数输入!$B$9*4,IF(AND((核心参数输入!$B$10*核心参数输入!$B$11*核心参数输入!$B$12*核心参数输入!$B$143)&gt;0,13=核心参数输入!$B$9*4),核心参数输入!$B$65*核心参数输入!$B$139,0),0)</f>
        <v>0</v>
      </c>
      <c r="R168" s="9">
        <f>IF(14&lt;=核心参数输入!$B$9*4,IF(AND((核心参数输入!$B$10*核心参数输入!$B$11*核心参数输入!$B$12*核心参数输入!$B$143)&gt;0,14=核心参数输入!$B$9*4),核心参数输入!$B$65*核心参数输入!$B$139,0),0)</f>
        <v>0</v>
      </c>
      <c r="S168" s="9">
        <f>IF(15&lt;=核心参数输入!$B$9*4,IF(AND((核心参数输入!$B$10*核心参数输入!$B$11*核心参数输入!$B$12*核心参数输入!$B$143)&gt;0,15=核心参数输入!$B$9*4),核心参数输入!$B$65*核心参数输入!$B$139,0),0)</f>
        <v>0</v>
      </c>
      <c r="T168" s="9">
        <f>IF(16&lt;=核心参数输入!$B$9*4,IF(AND((核心参数输入!$B$10*核心参数输入!$B$11*核心参数输入!$B$12*核心参数输入!$B$143)&gt;0,16=核心参数输入!$B$9*4),核心参数输入!$B$65*核心参数输入!$B$139,0),0)</f>
        <v>0</v>
      </c>
      <c r="U168" s="9">
        <f>IF(17&lt;=核心参数输入!$B$9*4,IF(AND((核心参数输入!$B$10*核心参数输入!$B$11*核心参数输入!$B$12*核心参数输入!$B$143)&gt;0,17=核心参数输入!$B$9*4),核心参数输入!$B$65*核心参数输入!$B$139,0),0)</f>
        <v>0</v>
      </c>
      <c r="V168" s="9">
        <f>IF(18&lt;=核心参数输入!$B$9*4,IF(AND((核心参数输入!$B$10*核心参数输入!$B$11*核心参数输入!$B$12*核心参数输入!$B$143)&gt;0,18=核心参数输入!$B$9*4),核心参数输入!$B$65*核心参数输入!$B$139,0),0)</f>
        <v>0</v>
      </c>
      <c r="W168" s="9">
        <f>IF(19&lt;=核心参数输入!$B$9*4,IF(AND((核心参数输入!$B$10*核心参数输入!$B$11*核心参数输入!$B$12*核心参数输入!$B$143)&gt;0,19=核心参数输入!$B$9*4),核心参数输入!$B$65*核心参数输入!$B$139,0),0)</f>
        <v>0</v>
      </c>
      <c r="X168" s="9">
        <f>IF(20&lt;=核心参数输入!$B$9*4,IF(AND((核心参数输入!$B$10*核心参数输入!$B$11*核心参数输入!$B$12*核心参数输入!$B$143)&gt;0,20=核心参数输入!$B$9*4),核心参数输入!$B$65*核心参数输入!$B$139,0),0)</f>
        <v>0</v>
      </c>
      <c r="Y168" s="9">
        <f>IF(21&lt;=核心参数输入!$B$9*4,IF(AND((核心参数输入!$B$10*核心参数输入!$B$11*核心参数输入!$B$12*核心参数输入!$B$143)&gt;0,21=核心参数输入!$B$9*4),核心参数输入!$B$65*核心参数输入!$B$139,0),0)</f>
        <v>0</v>
      </c>
      <c r="Z168" s="9">
        <f>IF(22&lt;=核心参数输入!$B$9*4,IF(AND((核心参数输入!$B$10*核心参数输入!$B$11*核心参数输入!$B$12*核心参数输入!$B$143)&gt;0,22=核心参数输入!$B$9*4),核心参数输入!$B$65*核心参数输入!$B$139,0),0)</f>
        <v>0</v>
      </c>
      <c r="AA168" s="9">
        <f>IF(23&lt;=核心参数输入!$B$9*4,IF(AND((核心参数输入!$B$10*核心参数输入!$B$11*核心参数输入!$B$12*核心参数输入!$B$143)&gt;0,23=核心参数输入!$B$9*4),核心参数输入!$B$65*核心参数输入!$B$139,0),0)</f>
        <v>0</v>
      </c>
      <c r="AB168" s="9">
        <f>IF(24&lt;=核心参数输入!$B$9*4,IF(AND((核心参数输入!$B$10*核心参数输入!$B$11*核心参数输入!$B$12*核心参数输入!$B$143)&gt;0,24=核心参数输入!$B$9*4),核心参数输入!$B$65*核心参数输入!$B$139,0),0)</f>
        <v>0</v>
      </c>
      <c r="AC168" s="9">
        <f>IF(25&lt;=核心参数输入!$B$9*4,IF(AND((核心参数输入!$B$10*核心参数输入!$B$11*核心参数输入!$B$12*核心参数输入!$B$143)&gt;0,25=核心参数输入!$B$9*4),核心参数输入!$B$65*核心参数输入!$B$139,0),0)</f>
        <v>0</v>
      </c>
      <c r="AD168" s="9">
        <f>IF(26&lt;=核心参数输入!$B$9*4,IF(AND((核心参数输入!$B$10*核心参数输入!$B$11*核心参数输入!$B$12*核心参数输入!$B$143)&gt;0,26=核心参数输入!$B$9*4),核心参数输入!$B$65*核心参数输入!$B$139,0),0)</f>
        <v>0</v>
      </c>
      <c r="AE168" s="9">
        <f>IF(27&lt;=核心参数输入!$B$9*4,IF(AND((核心参数输入!$B$10*核心参数输入!$B$11*核心参数输入!$B$12*核心参数输入!$B$143)&gt;0,27=核心参数输入!$B$9*4),核心参数输入!$B$65*核心参数输入!$B$139,0),0)</f>
        <v>0</v>
      </c>
      <c r="AF168" s="9">
        <f>IF(28&lt;=核心参数输入!$B$9*4,IF(AND((核心参数输入!$B$10*核心参数输入!$B$11*核心参数输入!$B$12*核心参数输入!$B$143)&gt;0,28=核心参数输入!$B$9*4),核心参数输入!$B$65*核心参数输入!$B$139,0),0)</f>
        <v>0</v>
      </c>
      <c r="AG168" s="9">
        <f>IF(29&lt;=核心参数输入!$B$9*4,IF(AND((核心参数输入!$B$10*核心参数输入!$B$11*核心参数输入!$B$12*核心参数输入!$B$143)&gt;0,29=核心参数输入!$B$9*4),核心参数输入!$B$65*核心参数输入!$B$139,0),0)</f>
        <v>0</v>
      </c>
      <c r="AH168" s="9">
        <f>IF(30&lt;=核心参数输入!$B$9*4,IF(AND((核心参数输入!$B$10*核心参数输入!$B$11*核心参数输入!$B$12*核心参数输入!$B$143)&gt;0,30=核心参数输入!$B$9*4),核心参数输入!$B$65*核心参数输入!$B$139,0),0)</f>
        <v>0</v>
      </c>
      <c r="AI168" s="9">
        <f>IF(31&lt;=核心参数输入!$B$9*4,IF(AND((核心参数输入!$B$10*核心参数输入!$B$11*核心参数输入!$B$12*核心参数输入!$B$143)&gt;0,31=核心参数输入!$B$9*4),核心参数输入!$B$65*核心参数输入!$B$139,0),0)</f>
        <v>0</v>
      </c>
      <c r="AJ168" s="9">
        <f>IF(32&lt;=核心参数输入!$B$9*4,IF(AND((核心参数输入!$B$10*核心参数输入!$B$11*核心参数输入!$B$12*核心参数输入!$B$143)&gt;0,32=核心参数输入!$B$9*4),核心参数输入!$B$65*核心参数输入!$B$139,0),0)</f>
        <v>0</v>
      </c>
      <c r="AK168" s="9">
        <f>IF(33&lt;=核心参数输入!$B$9*4,IF(AND((核心参数输入!$B$10*核心参数输入!$B$11*核心参数输入!$B$12*核心参数输入!$B$143)&gt;0,33=核心参数输入!$B$9*4),核心参数输入!$B$65*核心参数输入!$B$139,0),0)</f>
        <v>0</v>
      </c>
      <c r="AL168" s="9">
        <f>IF(34&lt;=核心参数输入!$B$9*4,IF(AND((核心参数输入!$B$10*核心参数输入!$B$11*核心参数输入!$B$12*核心参数输入!$B$143)&gt;0,34=核心参数输入!$B$9*4),核心参数输入!$B$65*核心参数输入!$B$139,0),0)</f>
        <v>0</v>
      </c>
      <c r="AM168" s="9">
        <f>IF(35&lt;=核心参数输入!$B$9*4,IF(AND((核心参数输入!$B$10*核心参数输入!$B$11*核心参数输入!$B$12*核心参数输入!$B$143)&gt;0,35=核心参数输入!$B$9*4),核心参数输入!$B$65*核心参数输入!$B$139,0),0)</f>
        <v>0</v>
      </c>
      <c r="AN168" s="9">
        <f>IF(36&lt;=核心参数输入!$B$9*4,IF(AND((核心参数输入!$B$10*核心参数输入!$B$11*核心参数输入!$B$12*核心参数输入!$B$143)&gt;0,36=核心参数输入!$B$9*4),核心参数输入!$B$65*核心参数输入!$B$139,0),0)</f>
        <v>0</v>
      </c>
      <c r="AO168" s="9">
        <f>IF(37&lt;=核心参数输入!$B$9*4,IF(AND((核心参数输入!$B$10*核心参数输入!$B$11*核心参数输入!$B$12*核心参数输入!$B$143)&gt;0,37=核心参数输入!$B$9*4),核心参数输入!$B$65*核心参数输入!$B$139,0),0)</f>
        <v>0</v>
      </c>
      <c r="AP168" s="9">
        <f>IF(38&lt;=核心参数输入!$B$9*4,IF(AND((核心参数输入!$B$10*核心参数输入!$B$11*核心参数输入!$B$12*核心参数输入!$B$143)&gt;0,38=核心参数输入!$B$9*4),核心参数输入!$B$65*核心参数输入!$B$139,0),0)</f>
        <v>0</v>
      </c>
      <c r="AQ168" s="9">
        <f>IF(39&lt;=核心参数输入!$B$9*4,IF(AND((核心参数输入!$B$10*核心参数输入!$B$11*核心参数输入!$B$12*核心参数输入!$B$143)&gt;0,39=核心参数输入!$B$9*4),核心参数输入!$B$65*核心参数输入!$B$139,0),0)</f>
        <v>0</v>
      </c>
      <c r="AR168" s="9">
        <f>IF(40&lt;=核心参数输入!$B$9*4,IF(AND((核心参数输入!$B$10*核心参数输入!$B$11*核心参数输入!$B$12*核心参数输入!$B$143)&gt;0,40=核心参数输入!$B$9*4),核心参数输入!$B$65*核心参数输入!$B$139,0),0)</f>
        <v>0</v>
      </c>
      <c r="AS168" s="9">
        <f>IF(41&lt;=核心参数输入!$B$9*4,IF(AND((核心参数输入!$B$10*核心参数输入!$B$11*核心参数输入!$B$12*核心参数输入!$B$143)&gt;0,41=核心参数输入!$B$9*4),核心参数输入!$B$65*核心参数输入!$B$139,0),0)</f>
        <v>0</v>
      </c>
      <c r="AT168" s="9">
        <f>IF(42&lt;=核心参数输入!$B$9*4,IF(AND((核心参数输入!$B$10*核心参数输入!$B$11*核心参数输入!$B$12*核心参数输入!$B$143)&gt;0,42=核心参数输入!$B$9*4),核心参数输入!$B$65*核心参数输入!$B$139,0),0)</f>
        <v>0</v>
      </c>
      <c r="AU168" s="9">
        <f>IF(43&lt;=核心参数输入!$B$9*4,IF(AND((核心参数输入!$B$10*核心参数输入!$B$11*核心参数输入!$B$12*核心参数输入!$B$143)&gt;0,43=核心参数输入!$B$9*4),核心参数输入!$B$65*核心参数输入!$B$139,0),0)</f>
        <v>0</v>
      </c>
      <c r="AV168" s="9">
        <f>IF(44&lt;=核心参数输入!$B$9*4,IF(AND((核心参数输入!$B$10*核心参数输入!$B$11*核心参数输入!$B$12*核心参数输入!$B$143)&gt;0,44=核心参数输入!$B$9*4),核心参数输入!$B$65*核心参数输入!$B$139,0),0)</f>
        <v>0</v>
      </c>
      <c r="AW168" s="9">
        <f>IF(45&lt;=核心参数输入!$B$9*4,IF(AND((核心参数输入!$B$10*核心参数输入!$B$11*核心参数输入!$B$12*核心参数输入!$B$143)&gt;0,45=核心参数输入!$B$9*4),核心参数输入!$B$65*核心参数输入!$B$139,0),0)</f>
        <v>0</v>
      </c>
      <c r="AX168" s="9">
        <f>IF(46&lt;=核心参数输入!$B$9*4,IF(AND((核心参数输入!$B$10*核心参数输入!$B$11*核心参数输入!$B$12*核心参数输入!$B$143)&gt;0,46=核心参数输入!$B$9*4),核心参数输入!$B$65*核心参数输入!$B$139,0),0)</f>
        <v>0</v>
      </c>
      <c r="AY168" s="9">
        <f>IF(47&lt;=核心参数输入!$B$9*4,IF(AND((核心参数输入!$B$10*核心参数输入!$B$11*核心参数输入!$B$12*核心参数输入!$B$143)&gt;0,47=核心参数输入!$B$9*4),核心参数输入!$B$65*核心参数输入!$B$139,0),0)</f>
        <v>0</v>
      </c>
      <c r="AZ168" s="9">
        <f>IF(48&lt;=核心参数输入!$B$9*4,IF(AND((核心参数输入!$B$10*核心参数输入!$B$11*核心参数输入!$B$12*核心参数输入!$B$143)&gt;0,48=核心参数输入!$B$9*4),核心参数输入!$B$65*核心参数输入!$B$139,0),0)</f>
        <v>0</v>
      </c>
      <c r="BA168" s="9">
        <f>IF(49&lt;=核心参数输入!$B$9*4,IF(AND((核心参数输入!$B$10*核心参数输入!$B$11*核心参数输入!$B$12*核心参数输入!$B$143)&gt;0,49=核心参数输入!$B$9*4),核心参数输入!$B$65*核心参数输入!$B$139,0),0)</f>
        <v>0</v>
      </c>
      <c r="BB168" s="9">
        <f>IF(50&lt;=核心参数输入!$B$9*4,IF(AND((核心参数输入!$B$10*核心参数输入!$B$11*核心参数输入!$B$12*核心参数输入!$B$143)&gt;0,50=核心参数输入!$B$9*4),核心参数输入!$B$65*核心参数输入!$B$139,0),0)</f>
        <v>0</v>
      </c>
      <c r="BC168" s="9">
        <f>IF(51&lt;=核心参数输入!$B$9*4,IF(AND((核心参数输入!$B$10*核心参数输入!$B$11*核心参数输入!$B$12*核心参数输入!$B$143)&gt;0,51=核心参数输入!$B$9*4),核心参数输入!$B$65*核心参数输入!$B$139,0),0)</f>
        <v>0</v>
      </c>
      <c r="BD168" s="9">
        <f>IF(52&lt;=核心参数输入!$B$9*4,IF(AND((核心参数输入!$B$10*核心参数输入!$B$11*核心参数输入!$B$12*核心参数输入!$B$143)&gt;0,52=核心参数输入!$B$9*4),核心参数输入!$B$65*核心参数输入!$B$139,0),0)</f>
        <v>0</v>
      </c>
      <c r="BE168" s="9">
        <f>IF(53&lt;=核心参数输入!$B$9*4,IF(AND((核心参数输入!$B$10*核心参数输入!$B$11*核心参数输入!$B$12*核心参数输入!$B$143)&gt;0,53=核心参数输入!$B$9*4),核心参数输入!$B$65*核心参数输入!$B$139,0),0)</f>
        <v>0</v>
      </c>
      <c r="BF168" s="9">
        <f>IF(54&lt;=核心参数输入!$B$9*4,IF(AND((核心参数输入!$B$10*核心参数输入!$B$11*核心参数输入!$B$12*核心参数输入!$B$143)&gt;0,54=核心参数输入!$B$9*4),核心参数输入!$B$65*核心参数输入!$B$139,0),0)</f>
        <v>0</v>
      </c>
      <c r="BG168" s="9">
        <f>IF(55&lt;=核心参数输入!$B$9*4,IF(AND((核心参数输入!$B$10*核心参数输入!$B$11*核心参数输入!$B$12*核心参数输入!$B$143)&gt;0,55=核心参数输入!$B$9*4),核心参数输入!$B$65*核心参数输入!$B$139,0),0)</f>
        <v>0</v>
      </c>
      <c r="BH168" s="9">
        <f>IF(56&lt;=核心参数输入!$B$9*4,IF(AND((核心参数输入!$B$10*核心参数输入!$B$11*核心参数输入!$B$12*核心参数输入!$B$143)&gt;0,56=核心参数输入!$B$9*4),核心参数输入!$B$65*核心参数输入!$B$139,0),0)</f>
        <v>0</v>
      </c>
      <c r="BI168" s="9">
        <f>IF(57&lt;=核心参数输入!$B$9*4,IF(AND((核心参数输入!$B$10*核心参数输入!$B$11*核心参数输入!$B$12*核心参数输入!$B$143)&gt;0,57=核心参数输入!$B$9*4),核心参数输入!$B$65*核心参数输入!$B$139,0),0)</f>
        <v>0</v>
      </c>
      <c r="BJ168" s="9">
        <f>IF(58&lt;=核心参数输入!$B$9*4,IF(AND((核心参数输入!$B$10*核心参数输入!$B$11*核心参数输入!$B$12*核心参数输入!$B$143)&gt;0,58=核心参数输入!$B$9*4),核心参数输入!$B$65*核心参数输入!$B$139,0),0)</f>
        <v>0</v>
      </c>
      <c r="BK168" s="9">
        <f>IF(59&lt;=核心参数输入!$B$9*4,IF(AND((核心参数输入!$B$10*核心参数输入!$B$11*核心参数输入!$B$12*核心参数输入!$B$143)&gt;0,59=核心参数输入!$B$9*4),核心参数输入!$B$65*核心参数输入!$B$139,0),0)</f>
        <v>0</v>
      </c>
      <c r="BL168" s="9">
        <f>IF(60&lt;=核心参数输入!$B$9*4,IF(AND((核心参数输入!$B$10*核心参数输入!$B$11*核心参数输入!$B$12*核心参数输入!$B$143)&gt;0,60=核心参数输入!$B$9*4),核心参数输入!$B$65*核心参数输入!$B$139,0),0)</f>
        <v>0</v>
      </c>
      <c r="BM168" s="9">
        <f>IF(61&lt;=核心参数输入!$B$9*4,IF(AND((核心参数输入!$B$10*核心参数输入!$B$11*核心参数输入!$B$12*核心参数输入!$B$143)&gt;0,61=核心参数输入!$B$9*4),核心参数输入!$B$65*核心参数输入!$B$139,0),0)</f>
        <v>0</v>
      </c>
      <c r="BN168" s="9">
        <f>IF(62&lt;=核心参数输入!$B$9*4,IF(AND((核心参数输入!$B$10*核心参数输入!$B$11*核心参数输入!$B$12*核心参数输入!$B$143)&gt;0,62=核心参数输入!$B$9*4),核心参数输入!$B$65*核心参数输入!$B$139,0),0)</f>
        <v>0</v>
      </c>
      <c r="BO168" s="9">
        <f>IF(63&lt;=核心参数输入!$B$9*4,IF(AND((核心参数输入!$B$10*核心参数输入!$B$11*核心参数输入!$B$12*核心参数输入!$B$143)&gt;0,63=核心参数输入!$B$9*4),核心参数输入!$B$65*核心参数输入!$B$139,0),0)</f>
        <v>0</v>
      </c>
      <c r="BP168" s="9">
        <f>IF(64&lt;=核心参数输入!$B$9*4,IF(AND((核心参数输入!$B$10*核心参数输入!$B$11*核心参数输入!$B$12*核心参数输入!$B$143)&gt;0,64=核心参数输入!$B$9*4),核心参数输入!$B$65*核心参数输入!$B$139,0),0)</f>
        <v>0</v>
      </c>
      <c r="BQ168" s="9">
        <f>IF(65&lt;=核心参数输入!$B$9*4,IF(AND((核心参数输入!$B$10*核心参数输入!$B$11*核心参数输入!$B$12*核心参数输入!$B$143)&gt;0,65=核心参数输入!$B$9*4),核心参数输入!$B$65*核心参数输入!$B$139,0),0)</f>
        <v>0</v>
      </c>
      <c r="BR168" s="9">
        <f>IF(66&lt;=核心参数输入!$B$9*4,IF(AND((核心参数输入!$B$10*核心参数输入!$B$11*核心参数输入!$B$12*核心参数输入!$B$143)&gt;0,66=核心参数输入!$B$9*4),核心参数输入!$B$65*核心参数输入!$B$139,0),0)</f>
        <v>0</v>
      </c>
      <c r="BS168" s="9">
        <f>IF(67&lt;=核心参数输入!$B$9*4,IF(AND((核心参数输入!$B$10*核心参数输入!$B$11*核心参数输入!$B$12*核心参数输入!$B$143)&gt;0,67=核心参数输入!$B$9*4),核心参数输入!$B$65*核心参数输入!$B$139,0),0)</f>
        <v>0</v>
      </c>
      <c r="BT168" s="9">
        <f>IF(68&lt;=核心参数输入!$B$9*4,IF(AND((核心参数输入!$B$10*核心参数输入!$B$11*核心参数输入!$B$12*核心参数输入!$B$143)&gt;0,68=核心参数输入!$B$9*4),核心参数输入!$B$65*核心参数输入!$B$139,0),0)</f>
        <v>0</v>
      </c>
      <c r="BU168" s="9">
        <f>IF(69&lt;=核心参数输入!$B$9*4,IF(AND((核心参数输入!$B$10*核心参数输入!$B$11*核心参数输入!$B$12*核心参数输入!$B$143)&gt;0,69=核心参数输入!$B$9*4),核心参数输入!$B$65*核心参数输入!$B$139,0),0)</f>
        <v>0</v>
      </c>
      <c r="BV168" s="9">
        <f>IF(70&lt;=核心参数输入!$B$9*4,IF(AND((核心参数输入!$B$10*核心参数输入!$B$11*核心参数输入!$B$12*核心参数输入!$B$143)&gt;0,70=核心参数输入!$B$9*4),核心参数输入!$B$65*核心参数输入!$B$139,0),0)</f>
        <v>0</v>
      </c>
      <c r="BW168" s="9">
        <f>IF(71&lt;=核心参数输入!$B$9*4,IF(AND((核心参数输入!$B$10*核心参数输入!$B$11*核心参数输入!$B$12*核心参数输入!$B$143)&gt;0,71=核心参数输入!$B$9*4),核心参数输入!$B$65*核心参数输入!$B$139,0),0)</f>
        <v>0</v>
      </c>
      <c r="BX168" s="9">
        <f>IF(72&lt;=核心参数输入!$B$9*4,IF(AND((核心参数输入!$B$10*核心参数输入!$B$11*核心参数输入!$B$12*核心参数输入!$B$143)&gt;0,72=核心参数输入!$B$9*4),核心参数输入!$B$65*核心参数输入!$B$139,0),0)</f>
        <v>0</v>
      </c>
      <c r="BY168" s="9">
        <f>IF(73&lt;=核心参数输入!$B$9*4,IF(AND((核心参数输入!$B$10*核心参数输入!$B$11*核心参数输入!$B$12*核心参数输入!$B$143)&gt;0,73=核心参数输入!$B$9*4),核心参数输入!$B$65*核心参数输入!$B$139,0),0)</f>
        <v>0</v>
      </c>
      <c r="BZ168" s="9">
        <f>IF(74&lt;=核心参数输入!$B$9*4,IF(AND((核心参数输入!$B$10*核心参数输入!$B$11*核心参数输入!$B$12*核心参数输入!$B$143)&gt;0,74=核心参数输入!$B$9*4),核心参数输入!$B$65*核心参数输入!$B$139,0),0)</f>
        <v>0</v>
      </c>
      <c r="CA168" s="9">
        <f>IF(75&lt;=核心参数输入!$B$9*4,IF(AND((核心参数输入!$B$10*核心参数输入!$B$11*核心参数输入!$B$12*核心参数输入!$B$143)&gt;0,75=核心参数输入!$B$9*4),核心参数输入!$B$65*核心参数输入!$B$139,0),0)</f>
        <v>0</v>
      </c>
      <c r="CB168" s="9">
        <f>IF(76&lt;=核心参数输入!$B$9*4,IF(AND((核心参数输入!$B$10*核心参数输入!$B$11*核心参数输入!$B$12*核心参数输入!$B$143)&gt;0,76=核心参数输入!$B$9*4),核心参数输入!$B$65*核心参数输入!$B$139,0),0)</f>
        <v>0</v>
      </c>
      <c r="CC168" s="9">
        <f>IF(77&lt;=核心参数输入!$B$9*4,IF(AND((核心参数输入!$B$10*核心参数输入!$B$11*核心参数输入!$B$12*核心参数输入!$B$143)&gt;0,77=核心参数输入!$B$9*4),核心参数输入!$B$65*核心参数输入!$B$139,0),0)</f>
        <v>0</v>
      </c>
      <c r="CD168" s="9">
        <f>IF(78&lt;=核心参数输入!$B$9*4,IF(AND((核心参数输入!$B$10*核心参数输入!$B$11*核心参数输入!$B$12*核心参数输入!$B$143)&gt;0,78=核心参数输入!$B$9*4),核心参数输入!$B$65*核心参数输入!$B$139,0),0)</f>
        <v>0</v>
      </c>
      <c r="CE168" s="9">
        <f>IF(79&lt;=核心参数输入!$B$9*4,IF(AND((核心参数输入!$B$10*核心参数输入!$B$11*核心参数输入!$B$12*核心参数输入!$B$143)&gt;0,79=核心参数输入!$B$9*4),核心参数输入!$B$65*核心参数输入!$B$139,0),0)</f>
        <v>0</v>
      </c>
      <c r="CF168" s="9">
        <f>IF(80&lt;=核心参数输入!$B$9*4,IF(AND((核心参数输入!$B$10*核心参数输入!$B$11*核心参数输入!$B$12*核心参数输入!$B$143)&gt;0,80=核心参数输入!$B$9*4),核心参数输入!$B$65*核心参数输入!$B$139,0),0)</f>
        <v>30000</v>
      </c>
      <c r="CG168" s="9">
        <f>IF(81&lt;=核心参数输入!$B$9*4,IF(AND((核心参数输入!$B$10*核心参数输入!$B$11*核心参数输入!$B$12*核心参数输入!$B$143)&gt;0,81=核心参数输入!$B$9*4),核心参数输入!$B$65*核心参数输入!$B$139,0),0)</f>
        <v>0</v>
      </c>
      <c r="CH168" s="9">
        <f>IF(82&lt;=核心参数输入!$B$9*4,IF(AND((核心参数输入!$B$10*核心参数输入!$B$11*核心参数输入!$B$12*核心参数输入!$B$143)&gt;0,82=核心参数输入!$B$9*4),核心参数输入!$B$65*核心参数输入!$B$139,0),0)</f>
        <v>0</v>
      </c>
      <c r="CI168" s="9">
        <f>IF(83&lt;=核心参数输入!$B$9*4,IF(AND((核心参数输入!$B$10*核心参数输入!$B$11*核心参数输入!$B$12*核心参数输入!$B$143)&gt;0,83=核心参数输入!$B$9*4),核心参数输入!$B$65*核心参数输入!$B$139,0),0)</f>
        <v>0</v>
      </c>
      <c r="CJ168" s="9">
        <f>IF(84&lt;=核心参数输入!$B$9*4,IF(AND((核心参数输入!$B$10*核心参数输入!$B$11*核心参数输入!$B$12*核心参数输入!$B$143)&gt;0,84=核心参数输入!$B$9*4),核心参数输入!$B$65*核心参数输入!$B$139,0),0)</f>
        <v>0</v>
      </c>
      <c r="CK168" s="9">
        <f>IF(85&lt;=核心参数输入!$B$9*4,IF(AND((核心参数输入!$B$10*核心参数输入!$B$11*核心参数输入!$B$12*核心参数输入!$B$143)&gt;0,85=核心参数输入!$B$9*4),核心参数输入!$B$65*核心参数输入!$B$139,0),0)</f>
        <v>0</v>
      </c>
      <c r="CL168" s="9">
        <f>IF(86&lt;=核心参数输入!$B$9*4,IF(AND((核心参数输入!$B$10*核心参数输入!$B$11*核心参数输入!$B$12*核心参数输入!$B$143)&gt;0,86=核心参数输入!$B$9*4),核心参数输入!$B$65*核心参数输入!$B$139,0),0)</f>
        <v>0</v>
      </c>
      <c r="CM168" s="9">
        <f>IF(87&lt;=核心参数输入!$B$9*4,IF(AND((核心参数输入!$B$10*核心参数输入!$B$11*核心参数输入!$B$12*核心参数输入!$B$143)&gt;0,87=核心参数输入!$B$9*4),核心参数输入!$B$65*核心参数输入!$B$139,0),0)</f>
        <v>0</v>
      </c>
      <c r="CN168" s="9">
        <f>IF(88&lt;=核心参数输入!$B$9*4,IF(AND((核心参数输入!$B$10*核心参数输入!$B$11*核心参数输入!$B$12*核心参数输入!$B$143)&gt;0,88=核心参数输入!$B$9*4),核心参数输入!$B$65*核心参数输入!$B$139,0),0)</f>
        <v>0</v>
      </c>
      <c r="CO168" s="9">
        <f>IF(89&lt;=核心参数输入!$B$9*4,IF(AND((核心参数输入!$B$10*核心参数输入!$B$11*核心参数输入!$B$12*核心参数输入!$B$143)&gt;0,89=核心参数输入!$B$9*4),核心参数输入!$B$65*核心参数输入!$B$139,0),0)</f>
        <v>0</v>
      </c>
      <c r="CP168" s="9">
        <f>IF(90&lt;=核心参数输入!$B$9*4,IF(AND((核心参数输入!$B$10*核心参数输入!$B$11*核心参数输入!$B$12*核心参数输入!$B$143)&gt;0,90=核心参数输入!$B$9*4),核心参数输入!$B$65*核心参数输入!$B$139,0),0)</f>
        <v>0</v>
      </c>
      <c r="CQ168" s="9">
        <f>IF(91&lt;=核心参数输入!$B$9*4,IF(AND((核心参数输入!$B$10*核心参数输入!$B$11*核心参数输入!$B$12*核心参数输入!$B$143)&gt;0,91=核心参数输入!$B$9*4),核心参数输入!$B$65*核心参数输入!$B$139,0),0)</f>
        <v>0</v>
      </c>
      <c r="CR168" s="9">
        <f>IF(92&lt;=核心参数输入!$B$9*4,IF(AND((核心参数输入!$B$10*核心参数输入!$B$11*核心参数输入!$B$12*核心参数输入!$B$143)&gt;0,92=核心参数输入!$B$9*4),核心参数输入!$B$65*核心参数输入!$B$139,0),0)</f>
        <v>0</v>
      </c>
      <c r="CS168" s="9">
        <f>IF(93&lt;=核心参数输入!$B$9*4,IF(AND((核心参数输入!$B$10*核心参数输入!$B$11*核心参数输入!$B$12*核心参数输入!$B$143)&gt;0,93=核心参数输入!$B$9*4),核心参数输入!$B$65*核心参数输入!$B$139,0),0)</f>
        <v>0</v>
      </c>
      <c r="CT168" s="9">
        <f>IF(94&lt;=核心参数输入!$B$9*4,IF(AND((核心参数输入!$B$10*核心参数输入!$B$11*核心参数输入!$B$12*核心参数输入!$B$143)&gt;0,94=核心参数输入!$B$9*4),核心参数输入!$B$65*核心参数输入!$B$139,0),0)</f>
        <v>0</v>
      </c>
      <c r="CU168" s="9">
        <f>IF(95&lt;=核心参数输入!$B$9*4,IF(AND((核心参数输入!$B$10*核心参数输入!$B$11*核心参数输入!$B$12*核心参数输入!$B$143)&gt;0,95=核心参数输入!$B$9*4),核心参数输入!$B$65*核心参数输入!$B$139,0),0)</f>
        <v>0</v>
      </c>
      <c r="CV168" s="9">
        <f>IF(96&lt;=核心参数输入!$B$9*4,IF(AND((核心参数输入!$B$10*核心参数输入!$B$11*核心参数输入!$B$12*核心参数输入!$B$143)&gt;0,96=核心参数输入!$B$9*4),核心参数输入!$B$65*核心参数输入!$B$139,0),0)</f>
        <v>0</v>
      </c>
      <c r="CW168" s="9">
        <f>IF(97&lt;=核心参数输入!$B$9*4,IF(AND((核心参数输入!$B$10*核心参数输入!$B$11*核心参数输入!$B$12*核心参数输入!$B$143)&gt;0,97=核心参数输入!$B$9*4),核心参数输入!$B$65*核心参数输入!$B$139,0),0)</f>
        <v>0</v>
      </c>
      <c r="CX168" s="9">
        <f>IF(98&lt;=核心参数输入!$B$9*4,IF(AND((核心参数输入!$B$10*核心参数输入!$B$11*核心参数输入!$B$12*核心参数输入!$B$143)&gt;0,98=核心参数输入!$B$9*4),核心参数输入!$B$65*核心参数输入!$B$139,0),0)</f>
        <v>0</v>
      </c>
      <c r="CY168" s="9">
        <f>IF(99&lt;=核心参数输入!$B$9*4,IF(AND((核心参数输入!$B$10*核心参数输入!$B$11*核心参数输入!$B$12*核心参数输入!$B$143)&gt;0,99=核心参数输入!$B$9*4),核心参数输入!$B$65*核心参数输入!$B$139,0),0)</f>
        <v>0</v>
      </c>
      <c r="CZ168" s="9">
        <f>IF(100&lt;=核心参数输入!$B$9*4,IF(AND((核心参数输入!$B$10*核心参数输入!$B$11*核心参数输入!$B$12*核心参数输入!$B$143)&gt;0,100=核心参数输入!$B$9*4),核心参数输入!$B$65*核心参数输入!$B$139,0),0)</f>
        <v>0</v>
      </c>
      <c r="DA168" s="9">
        <f>IF(101&lt;=核心参数输入!$B$9*4,IF(AND((核心参数输入!$B$10*核心参数输入!$B$11*核心参数输入!$B$12*核心参数输入!$B$143)&gt;0,101=核心参数输入!$B$9*4),核心参数输入!$B$65*核心参数输入!$B$139,0),0)</f>
        <v>0</v>
      </c>
      <c r="DB168" s="9">
        <f>IF(102&lt;=核心参数输入!$B$9*4,IF(AND((核心参数输入!$B$10*核心参数输入!$B$11*核心参数输入!$B$12*核心参数输入!$B$143)&gt;0,102=核心参数输入!$B$9*4),核心参数输入!$B$65*核心参数输入!$B$139,0),0)</f>
        <v>0</v>
      </c>
      <c r="DC168" s="9">
        <f>IF(103&lt;=核心参数输入!$B$9*4,IF(AND((核心参数输入!$B$10*核心参数输入!$B$11*核心参数输入!$B$12*核心参数输入!$B$143)&gt;0,103=核心参数输入!$B$9*4),核心参数输入!$B$65*核心参数输入!$B$139,0),0)</f>
        <v>0</v>
      </c>
      <c r="DD168" s="9">
        <f>IF(104&lt;=核心参数输入!$B$9*4,IF(AND((核心参数输入!$B$10*核心参数输入!$B$11*核心参数输入!$B$12*核心参数输入!$B$143)&gt;0,104=核心参数输入!$B$9*4),核心参数输入!$B$65*核心参数输入!$B$139,0),0)</f>
        <v>0</v>
      </c>
      <c r="DE168" s="9">
        <f>IF(105&lt;=核心参数输入!$B$9*4,IF(AND((核心参数输入!$B$10*核心参数输入!$B$11*核心参数输入!$B$12*核心参数输入!$B$143)&gt;0,105=核心参数输入!$B$9*4),核心参数输入!$B$65*核心参数输入!$B$139,0),0)</f>
        <v>0</v>
      </c>
      <c r="DF168" s="9">
        <f>IF(106&lt;=核心参数输入!$B$9*4,IF(AND((核心参数输入!$B$10*核心参数输入!$B$11*核心参数输入!$B$12*核心参数输入!$B$143)&gt;0,106=核心参数输入!$B$9*4),核心参数输入!$B$65*核心参数输入!$B$139,0),0)</f>
        <v>0</v>
      </c>
      <c r="DG168" s="9">
        <f>IF(107&lt;=核心参数输入!$B$9*4,IF(AND((核心参数输入!$B$10*核心参数输入!$B$11*核心参数输入!$B$12*核心参数输入!$B$143)&gt;0,107=核心参数输入!$B$9*4),核心参数输入!$B$65*核心参数输入!$B$139,0),0)</f>
        <v>0</v>
      </c>
      <c r="DH168" s="9">
        <f>IF(108&lt;=核心参数输入!$B$9*4,IF(AND((核心参数输入!$B$10*核心参数输入!$B$11*核心参数输入!$B$12*核心参数输入!$B$143)&gt;0,108=核心参数输入!$B$9*4),核心参数输入!$B$65*核心参数输入!$B$139,0),0)</f>
        <v>0</v>
      </c>
      <c r="DI168" s="9">
        <f>IF(109&lt;=核心参数输入!$B$9*4,IF(AND((核心参数输入!$B$10*核心参数输入!$B$11*核心参数输入!$B$12*核心参数输入!$B$143)&gt;0,109=核心参数输入!$B$9*4),核心参数输入!$B$65*核心参数输入!$B$139,0),0)</f>
        <v>0</v>
      </c>
      <c r="DJ168" s="9">
        <f>IF(110&lt;=核心参数输入!$B$9*4,IF(AND((核心参数输入!$B$10*核心参数输入!$B$11*核心参数输入!$B$12*核心参数输入!$B$143)&gt;0,110=核心参数输入!$B$9*4),核心参数输入!$B$65*核心参数输入!$B$139,0),0)</f>
        <v>0</v>
      </c>
      <c r="DK168" s="9">
        <f>IF(111&lt;=核心参数输入!$B$9*4,IF(AND((核心参数输入!$B$10*核心参数输入!$B$11*核心参数输入!$B$12*核心参数输入!$B$143)&gt;0,111=核心参数输入!$B$9*4),核心参数输入!$B$65*核心参数输入!$B$139,0),0)</f>
        <v>0</v>
      </c>
      <c r="DL168" s="9">
        <f>IF(112&lt;=核心参数输入!$B$9*4,IF(AND((核心参数输入!$B$10*核心参数输入!$B$11*核心参数输入!$B$12*核心参数输入!$B$143)&gt;0,112=核心参数输入!$B$9*4),核心参数输入!$B$65*核心参数输入!$B$139,0),0)</f>
        <v>0</v>
      </c>
      <c r="DM168" s="9">
        <f>IF(113&lt;=核心参数输入!$B$9*4,IF(AND((核心参数输入!$B$10*核心参数输入!$B$11*核心参数输入!$B$12*核心参数输入!$B$143)&gt;0,113=核心参数输入!$B$9*4),核心参数输入!$B$65*核心参数输入!$B$139,0),0)</f>
        <v>0</v>
      </c>
      <c r="DN168" s="9">
        <f>IF(114&lt;=核心参数输入!$B$9*4,IF(AND((核心参数输入!$B$10*核心参数输入!$B$11*核心参数输入!$B$12*核心参数输入!$B$143)&gt;0,114=核心参数输入!$B$9*4),核心参数输入!$B$65*核心参数输入!$B$139,0),0)</f>
        <v>0</v>
      </c>
      <c r="DO168" s="9">
        <f>IF(115&lt;=核心参数输入!$B$9*4,IF(AND((核心参数输入!$B$10*核心参数输入!$B$11*核心参数输入!$B$12*核心参数输入!$B$143)&gt;0,115=核心参数输入!$B$9*4),核心参数输入!$B$65*核心参数输入!$B$139,0),0)</f>
        <v>0</v>
      </c>
      <c r="DP168" s="9">
        <f>IF(116&lt;=核心参数输入!$B$9*4,IF(AND((核心参数输入!$B$10*核心参数输入!$B$11*核心参数输入!$B$12*核心参数输入!$B$143)&gt;0,116=核心参数输入!$B$9*4),核心参数输入!$B$65*核心参数输入!$B$139,0),0)</f>
        <v>0</v>
      </c>
      <c r="DQ168" s="9">
        <f>IF(117&lt;=核心参数输入!$B$9*4,IF(AND((核心参数输入!$B$10*核心参数输入!$B$11*核心参数输入!$B$12*核心参数输入!$B$143)&gt;0,117=核心参数输入!$B$9*4),核心参数输入!$B$65*核心参数输入!$B$139,0),0)</f>
        <v>0</v>
      </c>
      <c r="DR168" s="9">
        <f>IF(118&lt;=核心参数输入!$B$9*4,IF(AND((核心参数输入!$B$10*核心参数输入!$B$11*核心参数输入!$B$12*核心参数输入!$B$143)&gt;0,118=核心参数输入!$B$9*4),核心参数输入!$B$65*核心参数输入!$B$139,0),0)</f>
        <v>0</v>
      </c>
      <c r="DS168" s="9">
        <f>IF(119&lt;=核心参数输入!$B$9*4,IF(AND((核心参数输入!$B$10*核心参数输入!$B$11*核心参数输入!$B$12*核心参数输入!$B$143)&gt;0,119=核心参数输入!$B$9*4),核心参数输入!$B$65*核心参数输入!$B$139,0),0)</f>
        <v>0</v>
      </c>
      <c r="DT168" s="9">
        <f>IF(120&lt;=核心参数输入!$B$9*4,IF(AND((核心参数输入!$B$10*核心参数输入!$B$11*核心参数输入!$B$12*核心参数输入!$B$143)&gt;0,120=核心参数输入!$B$9*4),核心参数输入!$B$65*核心参数输入!$B$139,0),0)</f>
        <v>0</v>
      </c>
    </row>
    <row r="169" spans="1:124" ht="21" customHeight="1">
      <c r="A169" s="8" t="s">
        <v>490</v>
      </c>
      <c r="B169" s="8" t="s">
        <v>39</v>
      </c>
      <c r="C169" s="8"/>
      <c r="D169" s="9">
        <f>IF(0&lt;=核心参数输入!$B$9*4,D168*(1-核心参数输入!$B$66),0)</f>
        <v>0</v>
      </c>
      <c r="E169" s="9">
        <f>IF(1&lt;=核心参数输入!$B$9*4,E168*(1-核心参数输入!$B$66),0)</f>
        <v>0</v>
      </c>
      <c r="F169" s="9">
        <f>IF(2&lt;=核心参数输入!$B$9*4,F168*(1-核心参数输入!$B$66),0)</f>
        <v>0</v>
      </c>
      <c r="G169" s="9">
        <f>IF(3&lt;=核心参数输入!$B$9*4,G168*(1-核心参数输入!$B$66),0)</f>
        <v>0</v>
      </c>
      <c r="H169" s="9">
        <f>IF(4&lt;=核心参数输入!$B$9*4,H168*(1-核心参数输入!$B$66),0)</f>
        <v>0</v>
      </c>
      <c r="I169" s="9">
        <f>IF(5&lt;=核心参数输入!$B$9*4,I168*(1-核心参数输入!$B$66),0)</f>
        <v>0</v>
      </c>
      <c r="J169" s="9">
        <f>IF(6&lt;=核心参数输入!$B$9*4,J168*(1-核心参数输入!$B$66),0)</f>
        <v>0</v>
      </c>
      <c r="K169" s="9">
        <f>IF(7&lt;=核心参数输入!$B$9*4,K168*(1-核心参数输入!$B$66),0)</f>
        <v>0</v>
      </c>
      <c r="L169" s="9">
        <f>IF(8&lt;=核心参数输入!$B$9*4,L168*(1-核心参数输入!$B$66),0)</f>
        <v>0</v>
      </c>
      <c r="M169" s="9">
        <f>IF(9&lt;=核心参数输入!$B$9*4,M168*(1-核心参数输入!$B$66),0)</f>
        <v>0</v>
      </c>
      <c r="N169" s="9">
        <f>IF(10&lt;=核心参数输入!$B$9*4,N168*(1-核心参数输入!$B$66),0)</f>
        <v>0</v>
      </c>
      <c r="O169" s="9">
        <f>IF(11&lt;=核心参数输入!$B$9*4,O168*(1-核心参数输入!$B$66),0)</f>
        <v>0</v>
      </c>
      <c r="P169" s="9">
        <f>IF(12&lt;=核心参数输入!$B$9*4,P168*(1-核心参数输入!$B$66),0)</f>
        <v>0</v>
      </c>
      <c r="Q169" s="9">
        <f>IF(13&lt;=核心参数输入!$B$9*4,Q168*(1-核心参数输入!$B$66),0)</f>
        <v>0</v>
      </c>
      <c r="R169" s="9">
        <f>IF(14&lt;=核心参数输入!$B$9*4,R168*(1-核心参数输入!$B$66),0)</f>
        <v>0</v>
      </c>
      <c r="S169" s="9">
        <f>IF(15&lt;=核心参数输入!$B$9*4,S168*(1-核心参数输入!$B$66),0)</f>
        <v>0</v>
      </c>
      <c r="T169" s="9">
        <f>IF(16&lt;=核心参数输入!$B$9*4,T168*(1-核心参数输入!$B$66),0)</f>
        <v>0</v>
      </c>
      <c r="U169" s="9">
        <f>IF(17&lt;=核心参数输入!$B$9*4,U168*(1-核心参数输入!$B$66),0)</f>
        <v>0</v>
      </c>
      <c r="V169" s="9">
        <f>IF(18&lt;=核心参数输入!$B$9*4,V168*(1-核心参数输入!$B$66),0)</f>
        <v>0</v>
      </c>
      <c r="W169" s="9">
        <f>IF(19&lt;=核心参数输入!$B$9*4,W168*(1-核心参数输入!$B$66),0)</f>
        <v>0</v>
      </c>
      <c r="X169" s="9">
        <f>IF(20&lt;=核心参数输入!$B$9*4,X168*(1-核心参数输入!$B$66),0)</f>
        <v>0</v>
      </c>
      <c r="Y169" s="9">
        <f>IF(21&lt;=核心参数输入!$B$9*4,Y168*(1-核心参数输入!$B$66),0)</f>
        <v>0</v>
      </c>
      <c r="Z169" s="9">
        <f>IF(22&lt;=核心参数输入!$B$9*4,Z168*(1-核心参数输入!$B$66),0)</f>
        <v>0</v>
      </c>
      <c r="AA169" s="9">
        <f>IF(23&lt;=核心参数输入!$B$9*4,AA168*(1-核心参数输入!$B$66),0)</f>
        <v>0</v>
      </c>
      <c r="AB169" s="9">
        <f>IF(24&lt;=核心参数输入!$B$9*4,AB168*(1-核心参数输入!$B$66),0)</f>
        <v>0</v>
      </c>
      <c r="AC169" s="9">
        <f>IF(25&lt;=核心参数输入!$B$9*4,AC168*(1-核心参数输入!$B$66),0)</f>
        <v>0</v>
      </c>
      <c r="AD169" s="9">
        <f>IF(26&lt;=核心参数输入!$B$9*4,AD168*(1-核心参数输入!$B$66),0)</f>
        <v>0</v>
      </c>
      <c r="AE169" s="9">
        <f>IF(27&lt;=核心参数输入!$B$9*4,AE168*(1-核心参数输入!$B$66),0)</f>
        <v>0</v>
      </c>
      <c r="AF169" s="9">
        <f>IF(28&lt;=核心参数输入!$B$9*4,AF168*(1-核心参数输入!$B$66),0)</f>
        <v>0</v>
      </c>
      <c r="AG169" s="9">
        <f>IF(29&lt;=核心参数输入!$B$9*4,AG168*(1-核心参数输入!$B$66),0)</f>
        <v>0</v>
      </c>
      <c r="AH169" s="9">
        <f>IF(30&lt;=核心参数输入!$B$9*4,AH168*(1-核心参数输入!$B$66),0)</f>
        <v>0</v>
      </c>
      <c r="AI169" s="9">
        <f>IF(31&lt;=核心参数输入!$B$9*4,AI168*(1-核心参数输入!$B$66),0)</f>
        <v>0</v>
      </c>
      <c r="AJ169" s="9">
        <f>IF(32&lt;=核心参数输入!$B$9*4,AJ168*(1-核心参数输入!$B$66),0)</f>
        <v>0</v>
      </c>
      <c r="AK169" s="9">
        <f>IF(33&lt;=核心参数输入!$B$9*4,AK168*(1-核心参数输入!$B$66),0)</f>
        <v>0</v>
      </c>
      <c r="AL169" s="9">
        <f>IF(34&lt;=核心参数输入!$B$9*4,AL168*(1-核心参数输入!$B$66),0)</f>
        <v>0</v>
      </c>
      <c r="AM169" s="9">
        <f>IF(35&lt;=核心参数输入!$B$9*4,AM168*(1-核心参数输入!$B$66),0)</f>
        <v>0</v>
      </c>
      <c r="AN169" s="9">
        <f>IF(36&lt;=核心参数输入!$B$9*4,AN168*(1-核心参数输入!$B$66),0)</f>
        <v>0</v>
      </c>
      <c r="AO169" s="9">
        <f>IF(37&lt;=核心参数输入!$B$9*4,AO168*(1-核心参数输入!$B$66),0)</f>
        <v>0</v>
      </c>
      <c r="AP169" s="9">
        <f>IF(38&lt;=核心参数输入!$B$9*4,AP168*(1-核心参数输入!$B$66),0)</f>
        <v>0</v>
      </c>
      <c r="AQ169" s="9">
        <f>IF(39&lt;=核心参数输入!$B$9*4,AQ168*(1-核心参数输入!$B$66),0)</f>
        <v>0</v>
      </c>
      <c r="AR169" s="9">
        <f>IF(40&lt;=核心参数输入!$B$9*4,AR168*(1-核心参数输入!$B$66),0)</f>
        <v>0</v>
      </c>
      <c r="AS169" s="9">
        <f>IF(41&lt;=核心参数输入!$B$9*4,AS168*(1-核心参数输入!$B$66),0)</f>
        <v>0</v>
      </c>
      <c r="AT169" s="9">
        <f>IF(42&lt;=核心参数输入!$B$9*4,AT168*(1-核心参数输入!$B$66),0)</f>
        <v>0</v>
      </c>
      <c r="AU169" s="9">
        <f>IF(43&lt;=核心参数输入!$B$9*4,AU168*(1-核心参数输入!$B$66),0)</f>
        <v>0</v>
      </c>
      <c r="AV169" s="9">
        <f>IF(44&lt;=核心参数输入!$B$9*4,AV168*(1-核心参数输入!$B$66),0)</f>
        <v>0</v>
      </c>
      <c r="AW169" s="9">
        <f>IF(45&lt;=核心参数输入!$B$9*4,AW168*(1-核心参数输入!$B$66),0)</f>
        <v>0</v>
      </c>
      <c r="AX169" s="9">
        <f>IF(46&lt;=核心参数输入!$B$9*4,AX168*(1-核心参数输入!$B$66),0)</f>
        <v>0</v>
      </c>
      <c r="AY169" s="9">
        <f>IF(47&lt;=核心参数输入!$B$9*4,AY168*(1-核心参数输入!$B$66),0)</f>
        <v>0</v>
      </c>
      <c r="AZ169" s="9">
        <f>IF(48&lt;=核心参数输入!$B$9*4,AZ168*(1-核心参数输入!$B$66),0)</f>
        <v>0</v>
      </c>
      <c r="BA169" s="9">
        <f>IF(49&lt;=核心参数输入!$B$9*4,BA168*(1-核心参数输入!$B$66),0)</f>
        <v>0</v>
      </c>
      <c r="BB169" s="9">
        <f>IF(50&lt;=核心参数输入!$B$9*4,BB168*(1-核心参数输入!$B$66),0)</f>
        <v>0</v>
      </c>
      <c r="BC169" s="9">
        <f>IF(51&lt;=核心参数输入!$B$9*4,BC168*(1-核心参数输入!$B$66),0)</f>
        <v>0</v>
      </c>
      <c r="BD169" s="9">
        <f>IF(52&lt;=核心参数输入!$B$9*4,BD168*(1-核心参数输入!$B$66),0)</f>
        <v>0</v>
      </c>
      <c r="BE169" s="9">
        <f>IF(53&lt;=核心参数输入!$B$9*4,BE168*(1-核心参数输入!$B$66),0)</f>
        <v>0</v>
      </c>
      <c r="BF169" s="9">
        <f>IF(54&lt;=核心参数输入!$B$9*4,BF168*(1-核心参数输入!$B$66),0)</f>
        <v>0</v>
      </c>
      <c r="BG169" s="9">
        <f>IF(55&lt;=核心参数输入!$B$9*4,BG168*(1-核心参数输入!$B$66),0)</f>
        <v>0</v>
      </c>
      <c r="BH169" s="9">
        <f>IF(56&lt;=核心参数输入!$B$9*4,BH168*(1-核心参数输入!$B$66),0)</f>
        <v>0</v>
      </c>
      <c r="BI169" s="9">
        <f>IF(57&lt;=核心参数输入!$B$9*4,BI168*(1-核心参数输入!$B$66),0)</f>
        <v>0</v>
      </c>
      <c r="BJ169" s="9">
        <f>IF(58&lt;=核心参数输入!$B$9*4,BJ168*(1-核心参数输入!$B$66),0)</f>
        <v>0</v>
      </c>
      <c r="BK169" s="9">
        <f>IF(59&lt;=核心参数输入!$B$9*4,BK168*(1-核心参数输入!$B$66),0)</f>
        <v>0</v>
      </c>
      <c r="BL169" s="9">
        <f>IF(60&lt;=核心参数输入!$B$9*4,BL168*(1-核心参数输入!$B$66),0)</f>
        <v>0</v>
      </c>
      <c r="BM169" s="9">
        <f>IF(61&lt;=核心参数输入!$B$9*4,BM168*(1-核心参数输入!$B$66),0)</f>
        <v>0</v>
      </c>
      <c r="BN169" s="9">
        <f>IF(62&lt;=核心参数输入!$B$9*4,BN168*(1-核心参数输入!$B$66),0)</f>
        <v>0</v>
      </c>
      <c r="BO169" s="9">
        <f>IF(63&lt;=核心参数输入!$B$9*4,BO168*(1-核心参数输入!$B$66),0)</f>
        <v>0</v>
      </c>
      <c r="BP169" s="9">
        <f>IF(64&lt;=核心参数输入!$B$9*4,BP168*(1-核心参数输入!$B$66),0)</f>
        <v>0</v>
      </c>
      <c r="BQ169" s="9">
        <f>IF(65&lt;=核心参数输入!$B$9*4,BQ168*(1-核心参数输入!$B$66),0)</f>
        <v>0</v>
      </c>
      <c r="BR169" s="9">
        <f>IF(66&lt;=核心参数输入!$B$9*4,BR168*(1-核心参数输入!$B$66),0)</f>
        <v>0</v>
      </c>
      <c r="BS169" s="9">
        <f>IF(67&lt;=核心参数输入!$B$9*4,BS168*(1-核心参数输入!$B$66),0)</f>
        <v>0</v>
      </c>
      <c r="BT169" s="9">
        <f>IF(68&lt;=核心参数输入!$B$9*4,BT168*(1-核心参数输入!$B$66),0)</f>
        <v>0</v>
      </c>
      <c r="BU169" s="9">
        <f>IF(69&lt;=核心参数输入!$B$9*4,BU168*(1-核心参数输入!$B$66),0)</f>
        <v>0</v>
      </c>
      <c r="BV169" s="9">
        <f>IF(70&lt;=核心参数输入!$B$9*4,BV168*(1-核心参数输入!$B$66),0)</f>
        <v>0</v>
      </c>
      <c r="BW169" s="9">
        <f>IF(71&lt;=核心参数输入!$B$9*4,BW168*(1-核心参数输入!$B$66),0)</f>
        <v>0</v>
      </c>
      <c r="BX169" s="9">
        <f>IF(72&lt;=核心参数输入!$B$9*4,BX168*(1-核心参数输入!$B$66),0)</f>
        <v>0</v>
      </c>
      <c r="BY169" s="9">
        <f>IF(73&lt;=核心参数输入!$B$9*4,BY168*(1-核心参数输入!$B$66),0)</f>
        <v>0</v>
      </c>
      <c r="BZ169" s="9">
        <f>IF(74&lt;=核心参数输入!$B$9*4,BZ168*(1-核心参数输入!$B$66),0)</f>
        <v>0</v>
      </c>
      <c r="CA169" s="9">
        <f>IF(75&lt;=核心参数输入!$B$9*4,CA168*(1-核心参数输入!$B$66),0)</f>
        <v>0</v>
      </c>
      <c r="CB169" s="9">
        <f>IF(76&lt;=核心参数输入!$B$9*4,CB168*(1-核心参数输入!$B$66),0)</f>
        <v>0</v>
      </c>
      <c r="CC169" s="9">
        <f>IF(77&lt;=核心参数输入!$B$9*4,CC168*(1-核心参数输入!$B$66),0)</f>
        <v>0</v>
      </c>
      <c r="CD169" s="9">
        <f>IF(78&lt;=核心参数输入!$B$9*4,CD168*(1-核心参数输入!$B$66),0)</f>
        <v>0</v>
      </c>
      <c r="CE169" s="9">
        <f>IF(79&lt;=核心参数输入!$B$9*4,CE168*(1-核心参数输入!$B$66),0)</f>
        <v>0</v>
      </c>
      <c r="CF169" s="9">
        <f>IF(80&lt;=核心参数输入!$B$9*4,CF168*(1-核心参数输入!$B$66),0)</f>
        <v>29100</v>
      </c>
      <c r="CG169" s="9">
        <f>IF(81&lt;=核心参数输入!$B$9*4,CG168*(1-核心参数输入!$B$66),0)</f>
        <v>0</v>
      </c>
      <c r="CH169" s="9">
        <f>IF(82&lt;=核心参数输入!$B$9*4,CH168*(1-核心参数输入!$B$66),0)</f>
        <v>0</v>
      </c>
      <c r="CI169" s="9">
        <f>IF(83&lt;=核心参数输入!$B$9*4,CI168*(1-核心参数输入!$B$66),0)</f>
        <v>0</v>
      </c>
      <c r="CJ169" s="9">
        <f>IF(84&lt;=核心参数输入!$B$9*4,CJ168*(1-核心参数输入!$B$66),0)</f>
        <v>0</v>
      </c>
      <c r="CK169" s="9">
        <f>IF(85&lt;=核心参数输入!$B$9*4,CK168*(1-核心参数输入!$B$66),0)</f>
        <v>0</v>
      </c>
      <c r="CL169" s="9">
        <f>IF(86&lt;=核心参数输入!$B$9*4,CL168*(1-核心参数输入!$B$66),0)</f>
        <v>0</v>
      </c>
      <c r="CM169" s="9">
        <f>IF(87&lt;=核心参数输入!$B$9*4,CM168*(1-核心参数输入!$B$66),0)</f>
        <v>0</v>
      </c>
      <c r="CN169" s="9">
        <f>IF(88&lt;=核心参数输入!$B$9*4,CN168*(1-核心参数输入!$B$66),0)</f>
        <v>0</v>
      </c>
      <c r="CO169" s="9">
        <f>IF(89&lt;=核心参数输入!$B$9*4,CO168*(1-核心参数输入!$B$66),0)</f>
        <v>0</v>
      </c>
      <c r="CP169" s="9">
        <f>IF(90&lt;=核心参数输入!$B$9*4,CP168*(1-核心参数输入!$B$66),0)</f>
        <v>0</v>
      </c>
      <c r="CQ169" s="9">
        <f>IF(91&lt;=核心参数输入!$B$9*4,CQ168*(1-核心参数输入!$B$66),0)</f>
        <v>0</v>
      </c>
      <c r="CR169" s="9">
        <f>IF(92&lt;=核心参数输入!$B$9*4,CR168*(1-核心参数输入!$B$66),0)</f>
        <v>0</v>
      </c>
      <c r="CS169" s="9">
        <f>IF(93&lt;=核心参数输入!$B$9*4,CS168*(1-核心参数输入!$B$66),0)</f>
        <v>0</v>
      </c>
      <c r="CT169" s="9">
        <f>IF(94&lt;=核心参数输入!$B$9*4,CT168*(1-核心参数输入!$B$66),0)</f>
        <v>0</v>
      </c>
      <c r="CU169" s="9">
        <f>IF(95&lt;=核心参数输入!$B$9*4,CU168*(1-核心参数输入!$B$66),0)</f>
        <v>0</v>
      </c>
      <c r="CV169" s="9">
        <f>IF(96&lt;=核心参数输入!$B$9*4,CV168*(1-核心参数输入!$B$66),0)</f>
        <v>0</v>
      </c>
      <c r="CW169" s="9">
        <f>IF(97&lt;=核心参数输入!$B$9*4,CW168*(1-核心参数输入!$B$66),0)</f>
        <v>0</v>
      </c>
      <c r="CX169" s="9">
        <f>IF(98&lt;=核心参数输入!$B$9*4,CX168*(1-核心参数输入!$B$66),0)</f>
        <v>0</v>
      </c>
      <c r="CY169" s="9">
        <f>IF(99&lt;=核心参数输入!$B$9*4,CY168*(1-核心参数输入!$B$66),0)</f>
        <v>0</v>
      </c>
      <c r="CZ169" s="9">
        <f>IF(100&lt;=核心参数输入!$B$9*4,CZ168*(1-核心参数输入!$B$66),0)</f>
        <v>0</v>
      </c>
      <c r="DA169" s="9">
        <f>IF(101&lt;=核心参数输入!$B$9*4,DA168*(1-核心参数输入!$B$66),0)</f>
        <v>0</v>
      </c>
      <c r="DB169" s="9">
        <f>IF(102&lt;=核心参数输入!$B$9*4,DB168*(1-核心参数输入!$B$66),0)</f>
        <v>0</v>
      </c>
      <c r="DC169" s="9">
        <f>IF(103&lt;=核心参数输入!$B$9*4,DC168*(1-核心参数输入!$B$66),0)</f>
        <v>0</v>
      </c>
      <c r="DD169" s="9">
        <f>IF(104&lt;=核心参数输入!$B$9*4,DD168*(1-核心参数输入!$B$66),0)</f>
        <v>0</v>
      </c>
      <c r="DE169" s="9">
        <f>IF(105&lt;=核心参数输入!$B$9*4,DE168*(1-核心参数输入!$B$66),0)</f>
        <v>0</v>
      </c>
      <c r="DF169" s="9">
        <f>IF(106&lt;=核心参数输入!$B$9*4,DF168*(1-核心参数输入!$B$66),0)</f>
        <v>0</v>
      </c>
      <c r="DG169" s="9">
        <f>IF(107&lt;=核心参数输入!$B$9*4,DG168*(1-核心参数输入!$B$66),0)</f>
        <v>0</v>
      </c>
      <c r="DH169" s="9">
        <f>IF(108&lt;=核心参数输入!$B$9*4,DH168*(1-核心参数输入!$B$66),0)</f>
        <v>0</v>
      </c>
      <c r="DI169" s="9">
        <f>IF(109&lt;=核心参数输入!$B$9*4,DI168*(1-核心参数输入!$B$66),0)</f>
        <v>0</v>
      </c>
      <c r="DJ169" s="9">
        <f>IF(110&lt;=核心参数输入!$B$9*4,DJ168*(1-核心参数输入!$B$66),0)</f>
        <v>0</v>
      </c>
      <c r="DK169" s="9">
        <f>IF(111&lt;=核心参数输入!$B$9*4,DK168*(1-核心参数输入!$B$66),0)</f>
        <v>0</v>
      </c>
      <c r="DL169" s="9">
        <f>IF(112&lt;=核心参数输入!$B$9*4,DL168*(1-核心参数输入!$B$66),0)</f>
        <v>0</v>
      </c>
      <c r="DM169" s="9">
        <f>IF(113&lt;=核心参数输入!$B$9*4,DM168*(1-核心参数输入!$B$66),0)</f>
        <v>0</v>
      </c>
      <c r="DN169" s="9">
        <f>IF(114&lt;=核心参数输入!$B$9*4,DN168*(1-核心参数输入!$B$66),0)</f>
        <v>0</v>
      </c>
      <c r="DO169" s="9">
        <f>IF(115&lt;=核心参数输入!$B$9*4,DO168*(1-核心参数输入!$B$66),0)</f>
        <v>0</v>
      </c>
      <c r="DP169" s="9">
        <f>IF(116&lt;=核心参数输入!$B$9*4,DP168*(1-核心参数输入!$B$66),0)</f>
        <v>0</v>
      </c>
      <c r="DQ169" s="9">
        <f>IF(117&lt;=核心参数输入!$B$9*4,DQ168*(1-核心参数输入!$B$66),0)</f>
        <v>0</v>
      </c>
      <c r="DR169" s="9">
        <f>IF(118&lt;=核心参数输入!$B$9*4,DR168*(1-核心参数输入!$B$66),0)</f>
        <v>0</v>
      </c>
      <c r="DS169" s="9">
        <f>IF(119&lt;=核心参数输入!$B$9*4,DS168*(1-核心参数输入!$B$66),0)</f>
        <v>0</v>
      </c>
      <c r="DT169" s="9">
        <f>IF(120&lt;=核心参数输入!$B$9*4,DT168*(1-核心参数输入!$B$66),0)</f>
        <v>0</v>
      </c>
    </row>
    <row r="170" spans="1:124" ht="21" customHeight="1">
      <c r="A170" s="8" t="s">
        <v>491</v>
      </c>
      <c r="B170" s="8" t="s">
        <v>39</v>
      </c>
      <c r="C170" s="8"/>
      <c r="D170" s="9">
        <f>IF(0&lt;=核心参数输入!$B$9*4,IF(AND((核心参数输入!$B$10*核心参数输入!$B$11*核心参数输入!$B$12*核心参数输入!$B$143)&gt;0,0=核心参数输入!$B$9*4),D169-D165,0),0)</f>
        <v>0</v>
      </c>
      <c r="E170" s="9">
        <f>IF(1&lt;=核心参数输入!$B$9*4,IF(AND((核心参数输入!$B$10*核心参数输入!$B$11*核心参数输入!$B$12*核心参数输入!$B$143)&gt;0,1=核心参数输入!$B$9*4),E169-E165,0),0)</f>
        <v>0</v>
      </c>
      <c r="F170" s="9">
        <f>IF(2&lt;=核心参数输入!$B$9*4,IF(AND((核心参数输入!$B$10*核心参数输入!$B$11*核心参数输入!$B$12*核心参数输入!$B$143)&gt;0,2=核心参数输入!$B$9*4),F169-F165,0),0)</f>
        <v>0</v>
      </c>
      <c r="G170" s="9">
        <f>IF(3&lt;=核心参数输入!$B$9*4,IF(AND((核心参数输入!$B$10*核心参数输入!$B$11*核心参数输入!$B$12*核心参数输入!$B$143)&gt;0,3=核心参数输入!$B$9*4),G169-G165,0),0)</f>
        <v>0</v>
      </c>
      <c r="H170" s="9">
        <f>IF(4&lt;=核心参数输入!$B$9*4,IF(AND((核心参数输入!$B$10*核心参数输入!$B$11*核心参数输入!$B$12*核心参数输入!$B$143)&gt;0,4=核心参数输入!$B$9*4),H169-H165,0),0)</f>
        <v>0</v>
      </c>
      <c r="I170" s="9">
        <f>IF(5&lt;=核心参数输入!$B$9*4,IF(AND((核心参数输入!$B$10*核心参数输入!$B$11*核心参数输入!$B$12*核心参数输入!$B$143)&gt;0,5=核心参数输入!$B$9*4),I169-I165,0),0)</f>
        <v>0</v>
      </c>
      <c r="J170" s="9">
        <f>IF(6&lt;=核心参数输入!$B$9*4,IF(AND((核心参数输入!$B$10*核心参数输入!$B$11*核心参数输入!$B$12*核心参数输入!$B$143)&gt;0,6=核心参数输入!$B$9*4),J169-J165,0),0)</f>
        <v>0</v>
      </c>
      <c r="K170" s="9">
        <f>IF(7&lt;=核心参数输入!$B$9*4,IF(AND((核心参数输入!$B$10*核心参数输入!$B$11*核心参数输入!$B$12*核心参数输入!$B$143)&gt;0,7=核心参数输入!$B$9*4),K169-K165,0),0)</f>
        <v>0</v>
      </c>
      <c r="L170" s="9">
        <f>IF(8&lt;=核心参数输入!$B$9*4,IF(AND((核心参数输入!$B$10*核心参数输入!$B$11*核心参数输入!$B$12*核心参数输入!$B$143)&gt;0,8=核心参数输入!$B$9*4),L169-L165,0),0)</f>
        <v>0</v>
      </c>
      <c r="M170" s="9">
        <f>IF(9&lt;=核心参数输入!$B$9*4,IF(AND((核心参数输入!$B$10*核心参数输入!$B$11*核心参数输入!$B$12*核心参数输入!$B$143)&gt;0,9=核心参数输入!$B$9*4),M169-M165,0),0)</f>
        <v>0</v>
      </c>
      <c r="N170" s="9">
        <f>IF(10&lt;=核心参数输入!$B$9*4,IF(AND((核心参数输入!$B$10*核心参数输入!$B$11*核心参数输入!$B$12*核心参数输入!$B$143)&gt;0,10=核心参数输入!$B$9*4),N169-N165,0),0)</f>
        <v>0</v>
      </c>
      <c r="O170" s="9">
        <f>IF(11&lt;=核心参数输入!$B$9*4,IF(AND((核心参数输入!$B$10*核心参数输入!$B$11*核心参数输入!$B$12*核心参数输入!$B$143)&gt;0,11=核心参数输入!$B$9*4),O169-O165,0),0)</f>
        <v>0</v>
      </c>
      <c r="P170" s="9">
        <f>IF(12&lt;=核心参数输入!$B$9*4,IF(AND((核心参数输入!$B$10*核心参数输入!$B$11*核心参数输入!$B$12*核心参数输入!$B$143)&gt;0,12=核心参数输入!$B$9*4),P169-P165,0),0)</f>
        <v>0</v>
      </c>
      <c r="Q170" s="9">
        <f>IF(13&lt;=核心参数输入!$B$9*4,IF(AND((核心参数输入!$B$10*核心参数输入!$B$11*核心参数输入!$B$12*核心参数输入!$B$143)&gt;0,13=核心参数输入!$B$9*4),Q169-Q165,0),0)</f>
        <v>0</v>
      </c>
      <c r="R170" s="9">
        <f>IF(14&lt;=核心参数输入!$B$9*4,IF(AND((核心参数输入!$B$10*核心参数输入!$B$11*核心参数输入!$B$12*核心参数输入!$B$143)&gt;0,14=核心参数输入!$B$9*4),R169-R165,0),0)</f>
        <v>0</v>
      </c>
      <c r="S170" s="9">
        <f>IF(15&lt;=核心参数输入!$B$9*4,IF(AND((核心参数输入!$B$10*核心参数输入!$B$11*核心参数输入!$B$12*核心参数输入!$B$143)&gt;0,15=核心参数输入!$B$9*4),S169-S165,0),0)</f>
        <v>0</v>
      </c>
      <c r="T170" s="9">
        <f>IF(16&lt;=核心参数输入!$B$9*4,IF(AND((核心参数输入!$B$10*核心参数输入!$B$11*核心参数输入!$B$12*核心参数输入!$B$143)&gt;0,16=核心参数输入!$B$9*4),T169-T165,0),0)</f>
        <v>0</v>
      </c>
      <c r="U170" s="9">
        <f>IF(17&lt;=核心参数输入!$B$9*4,IF(AND((核心参数输入!$B$10*核心参数输入!$B$11*核心参数输入!$B$12*核心参数输入!$B$143)&gt;0,17=核心参数输入!$B$9*4),U169-U165,0),0)</f>
        <v>0</v>
      </c>
      <c r="V170" s="9">
        <f>IF(18&lt;=核心参数输入!$B$9*4,IF(AND((核心参数输入!$B$10*核心参数输入!$B$11*核心参数输入!$B$12*核心参数输入!$B$143)&gt;0,18=核心参数输入!$B$9*4),V169-V165,0),0)</f>
        <v>0</v>
      </c>
      <c r="W170" s="9">
        <f>IF(19&lt;=核心参数输入!$B$9*4,IF(AND((核心参数输入!$B$10*核心参数输入!$B$11*核心参数输入!$B$12*核心参数输入!$B$143)&gt;0,19=核心参数输入!$B$9*4),W169-W165,0),0)</f>
        <v>0</v>
      </c>
      <c r="X170" s="9">
        <f>IF(20&lt;=核心参数输入!$B$9*4,IF(AND((核心参数输入!$B$10*核心参数输入!$B$11*核心参数输入!$B$12*核心参数输入!$B$143)&gt;0,20=核心参数输入!$B$9*4),X169-X165,0),0)</f>
        <v>0</v>
      </c>
      <c r="Y170" s="9">
        <f>IF(21&lt;=核心参数输入!$B$9*4,IF(AND((核心参数输入!$B$10*核心参数输入!$B$11*核心参数输入!$B$12*核心参数输入!$B$143)&gt;0,21=核心参数输入!$B$9*4),Y169-Y165,0),0)</f>
        <v>0</v>
      </c>
      <c r="Z170" s="9">
        <f>IF(22&lt;=核心参数输入!$B$9*4,IF(AND((核心参数输入!$B$10*核心参数输入!$B$11*核心参数输入!$B$12*核心参数输入!$B$143)&gt;0,22=核心参数输入!$B$9*4),Z169-Z165,0),0)</f>
        <v>0</v>
      </c>
      <c r="AA170" s="9">
        <f>IF(23&lt;=核心参数输入!$B$9*4,IF(AND((核心参数输入!$B$10*核心参数输入!$B$11*核心参数输入!$B$12*核心参数输入!$B$143)&gt;0,23=核心参数输入!$B$9*4),AA169-AA165,0),0)</f>
        <v>0</v>
      </c>
      <c r="AB170" s="9">
        <f>IF(24&lt;=核心参数输入!$B$9*4,IF(AND((核心参数输入!$B$10*核心参数输入!$B$11*核心参数输入!$B$12*核心参数输入!$B$143)&gt;0,24=核心参数输入!$B$9*4),AB169-AB165,0),0)</f>
        <v>0</v>
      </c>
      <c r="AC170" s="9">
        <f>IF(25&lt;=核心参数输入!$B$9*4,IF(AND((核心参数输入!$B$10*核心参数输入!$B$11*核心参数输入!$B$12*核心参数输入!$B$143)&gt;0,25=核心参数输入!$B$9*4),AC169-AC165,0),0)</f>
        <v>0</v>
      </c>
      <c r="AD170" s="9">
        <f>IF(26&lt;=核心参数输入!$B$9*4,IF(AND((核心参数输入!$B$10*核心参数输入!$B$11*核心参数输入!$B$12*核心参数输入!$B$143)&gt;0,26=核心参数输入!$B$9*4),AD169-AD165,0),0)</f>
        <v>0</v>
      </c>
      <c r="AE170" s="9">
        <f>IF(27&lt;=核心参数输入!$B$9*4,IF(AND((核心参数输入!$B$10*核心参数输入!$B$11*核心参数输入!$B$12*核心参数输入!$B$143)&gt;0,27=核心参数输入!$B$9*4),AE169-AE165,0),0)</f>
        <v>0</v>
      </c>
      <c r="AF170" s="9">
        <f>IF(28&lt;=核心参数输入!$B$9*4,IF(AND((核心参数输入!$B$10*核心参数输入!$B$11*核心参数输入!$B$12*核心参数输入!$B$143)&gt;0,28=核心参数输入!$B$9*4),AF169-AF165,0),0)</f>
        <v>0</v>
      </c>
      <c r="AG170" s="9">
        <f>IF(29&lt;=核心参数输入!$B$9*4,IF(AND((核心参数输入!$B$10*核心参数输入!$B$11*核心参数输入!$B$12*核心参数输入!$B$143)&gt;0,29=核心参数输入!$B$9*4),AG169-AG165,0),0)</f>
        <v>0</v>
      </c>
      <c r="AH170" s="9">
        <f>IF(30&lt;=核心参数输入!$B$9*4,IF(AND((核心参数输入!$B$10*核心参数输入!$B$11*核心参数输入!$B$12*核心参数输入!$B$143)&gt;0,30=核心参数输入!$B$9*4),AH169-AH165,0),0)</f>
        <v>0</v>
      </c>
      <c r="AI170" s="9">
        <f>IF(31&lt;=核心参数输入!$B$9*4,IF(AND((核心参数输入!$B$10*核心参数输入!$B$11*核心参数输入!$B$12*核心参数输入!$B$143)&gt;0,31=核心参数输入!$B$9*4),AI169-AI165,0),0)</f>
        <v>0</v>
      </c>
      <c r="AJ170" s="9">
        <f>IF(32&lt;=核心参数输入!$B$9*4,IF(AND((核心参数输入!$B$10*核心参数输入!$B$11*核心参数输入!$B$12*核心参数输入!$B$143)&gt;0,32=核心参数输入!$B$9*4),AJ169-AJ165,0),0)</f>
        <v>0</v>
      </c>
      <c r="AK170" s="9">
        <f>IF(33&lt;=核心参数输入!$B$9*4,IF(AND((核心参数输入!$B$10*核心参数输入!$B$11*核心参数输入!$B$12*核心参数输入!$B$143)&gt;0,33=核心参数输入!$B$9*4),AK169-AK165,0),0)</f>
        <v>0</v>
      </c>
      <c r="AL170" s="9">
        <f>IF(34&lt;=核心参数输入!$B$9*4,IF(AND((核心参数输入!$B$10*核心参数输入!$B$11*核心参数输入!$B$12*核心参数输入!$B$143)&gt;0,34=核心参数输入!$B$9*4),AL169-AL165,0),0)</f>
        <v>0</v>
      </c>
      <c r="AM170" s="9">
        <f>IF(35&lt;=核心参数输入!$B$9*4,IF(AND((核心参数输入!$B$10*核心参数输入!$B$11*核心参数输入!$B$12*核心参数输入!$B$143)&gt;0,35=核心参数输入!$B$9*4),AM169-AM165,0),0)</f>
        <v>0</v>
      </c>
      <c r="AN170" s="9">
        <f>IF(36&lt;=核心参数输入!$B$9*4,IF(AND((核心参数输入!$B$10*核心参数输入!$B$11*核心参数输入!$B$12*核心参数输入!$B$143)&gt;0,36=核心参数输入!$B$9*4),AN169-AN165,0),0)</f>
        <v>0</v>
      </c>
      <c r="AO170" s="9">
        <f>IF(37&lt;=核心参数输入!$B$9*4,IF(AND((核心参数输入!$B$10*核心参数输入!$B$11*核心参数输入!$B$12*核心参数输入!$B$143)&gt;0,37=核心参数输入!$B$9*4),AO169-AO165,0),0)</f>
        <v>0</v>
      </c>
      <c r="AP170" s="9">
        <f>IF(38&lt;=核心参数输入!$B$9*4,IF(AND((核心参数输入!$B$10*核心参数输入!$B$11*核心参数输入!$B$12*核心参数输入!$B$143)&gt;0,38=核心参数输入!$B$9*4),AP169-AP165,0),0)</f>
        <v>0</v>
      </c>
      <c r="AQ170" s="9">
        <f>IF(39&lt;=核心参数输入!$B$9*4,IF(AND((核心参数输入!$B$10*核心参数输入!$B$11*核心参数输入!$B$12*核心参数输入!$B$143)&gt;0,39=核心参数输入!$B$9*4),AQ169-AQ165,0),0)</f>
        <v>0</v>
      </c>
      <c r="AR170" s="9">
        <f>IF(40&lt;=核心参数输入!$B$9*4,IF(AND((核心参数输入!$B$10*核心参数输入!$B$11*核心参数输入!$B$12*核心参数输入!$B$143)&gt;0,40=核心参数输入!$B$9*4),AR169-AR165,0),0)</f>
        <v>0</v>
      </c>
      <c r="AS170" s="9">
        <f>IF(41&lt;=核心参数输入!$B$9*4,IF(AND((核心参数输入!$B$10*核心参数输入!$B$11*核心参数输入!$B$12*核心参数输入!$B$143)&gt;0,41=核心参数输入!$B$9*4),AS169-AS165,0),0)</f>
        <v>0</v>
      </c>
      <c r="AT170" s="9">
        <f>IF(42&lt;=核心参数输入!$B$9*4,IF(AND((核心参数输入!$B$10*核心参数输入!$B$11*核心参数输入!$B$12*核心参数输入!$B$143)&gt;0,42=核心参数输入!$B$9*4),AT169-AT165,0),0)</f>
        <v>0</v>
      </c>
      <c r="AU170" s="9">
        <f>IF(43&lt;=核心参数输入!$B$9*4,IF(AND((核心参数输入!$B$10*核心参数输入!$B$11*核心参数输入!$B$12*核心参数输入!$B$143)&gt;0,43=核心参数输入!$B$9*4),AU169-AU165,0),0)</f>
        <v>0</v>
      </c>
      <c r="AV170" s="9">
        <f>IF(44&lt;=核心参数输入!$B$9*4,IF(AND((核心参数输入!$B$10*核心参数输入!$B$11*核心参数输入!$B$12*核心参数输入!$B$143)&gt;0,44=核心参数输入!$B$9*4),AV169-AV165,0),0)</f>
        <v>0</v>
      </c>
      <c r="AW170" s="9">
        <f>IF(45&lt;=核心参数输入!$B$9*4,IF(AND((核心参数输入!$B$10*核心参数输入!$B$11*核心参数输入!$B$12*核心参数输入!$B$143)&gt;0,45=核心参数输入!$B$9*4),AW169-AW165,0),0)</f>
        <v>0</v>
      </c>
      <c r="AX170" s="9">
        <f>IF(46&lt;=核心参数输入!$B$9*4,IF(AND((核心参数输入!$B$10*核心参数输入!$B$11*核心参数输入!$B$12*核心参数输入!$B$143)&gt;0,46=核心参数输入!$B$9*4),AX169-AX165,0),0)</f>
        <v>0</v>
      </c>
      <c r="AY170" s="9">
        <f>IF(47&lt;=核心参数输入!$B$9*4,IF(AND((核心参数输入!$B$10*核心参数输入!$B$11*核心参数输入!$B$12*核心参数输入!$B$143)&gt;0,47=核心参数输入!$B$9*4),AY169-AY165,0),0)</f>
        <v>0</v>
      </c>
      <c r="AZ170" s="9">
        <f>IF(48&lt;=核心参数输入!$B$9*4,IF(AND((核心参数输入!$B$10*核心参数输入!$B$11*核心参数输入!$B$12*核心参数输入!$B$143)&gt;0,48=核心参数输入!$B$9*4),AZ169-AZ165,0),0)</f>
        <v>0</v>
      </c>
      <c r="BA170" s="9">
        <f>IF(49&lt;=核心参数输入!$B$9*4,IF(AND((核心参数输入!$B$10*核心参数输入!$B$11*核心参数输入!$B$12*核心参数输入!$B$143)&gt;0,49=核心参数输入!$B$9*4),BA169-BA165,0),0)</f>
        <v>0</v>
      </c>
      <c r="BB170" s="9">
        <f>IF(50&lt;=核心参数输入!$B$9*4,IF(AND((核心参数输入!$B$10*核心参数输入!$B$11*核心参数输入!$B$12*核心参数输入!$B$143)&gt;0,50=核心参数输入!$B$9*4),BB169-BB165,0),0)</f>
        <v>0</v>
      </c>
      <c r="BC170" s="9">
        <f>IF(51&lt;=核心参数输入!$B$9*4,IF(AND((核心参数输入!$B$10*核心参数输入!$B$11*核心参数输入!$B$12*核心参数输入!$B$143)&gt;0,51=核心参数输入!$B$9*4),BC169-BC165,0),0)</f>
        <v>0</v>
      </c>
      <c r="BD170" s="9">
        <f>IF(52&lt;=核心参数输入!$B$9*4,IF(AND((核心参数输入!$B$10*核心参数输入!$B$11*核心参数输入!$B$12*核心参数输入!$B$143)&gt;0,52=核心参数输入!$B$9*4),BD169-BD165,0),0)</f>
        <v>0</v>
      </c>
      <c r="BE170" s="9">
        <f>IF(53&lt;=核心参数输入!$B$9*4,IF(AND((核心参数输入!$B$10*核心参数输入!$B$11*核心参数输入!$B$12*核心参数输入!$B$143)&gt;0,53=核心参数输入!$B$9*4),BE169-BE165,0),0)</f>
        <v>0</v>
      </c>
      <c r="BF170" s="9">
        <f>IF(54&lt;=核心参数输入!$B$9*4,IF(AND((核心参数输入!$B$10*核心参数输入!$B$11*核心参数输入!$B$12*核心参数输入!$B$143)&gt;0,54=核心参数输入!$B$9*4),BF169-BF165,0),0)</f>
        <v>0</v>
      </c>
      <c r="BG170" s="9">
        <f>IF(55&lt;=核心参数输入!$B$9*4,IF(AND((核心参数输入!$B$10*核心参数输入!$B$11*核心参数输入!$B$12*核心参数输入!$B$143)&gt;0,55=核心参数输入!$B$9*4),BG169-BG165,0),0)</f>
        <v>0</v>
      </c>
      <c r="BH170" s="9">
        <f>IF(56&lt;=核心参数输入!$B$9*4,IF(AND((核心参数输入!$B$10*核心参数输入!$B$11*核心参数输入!$B$12*核心参数输入!$B$143)&gt;0,56=核心参数输入!$B$9*4),BH169-BH165,0),0)</f>
        <v>0</v>
      </c>
      <c r="BI170" s="9">
        <f>IF(57&lt;=核心参数输入!$B$9*4,IF(AND((核心参数输入!$B$10*核心参数输入!$B$11*核心参数输入!$B$12*核心参数输入!$B$143)&gt;0,57=核心参数输入!$B$9*4),BI169-BI165,0),0)</f>
        <v>0</v>
      </c>
      <c r="BJ170" s="9">
        <f>IF(58&lt;=核心参数输入!$B$9*4,IF(AND((核心参数输入!$B$10*核心参数输入!$B$11*核心参数输入!$B$12*核心参数输入!$B$143)&gt;0,58=核心参数输入!$B$9*4),BJ169-BJ165,0),0)</f>
        <v>0</v>
      </c>
      <c r="BK170" s="9">
        <f>IF(59&lt;=核心参数输入!$B$9*4,IF(AND((核心参数输入!$B$10*核心参数输入!$B$11*核心参数输入!$B$12*核心参数输入!$B$143)&gt;0,59=核心参数输入!$B$9*4),BK169-BK165,0),0)</f>
        <v>0</v>
      </c>
      <c r="BL170" s="9">
        <f>IF(60&lt;=核心参数输入!$B$9*4,IF(AND((核心参数输入!$B$10*核心参数输入!$B$11*核心参数输入!$B$12*核心参数输入!$B$143)&gt;0,60=核心参数输入!$B$9*4),BL169-BL165,0),0)</f>
        <v>0</v>
      </c>
      <c r="BM170" s="9">
        <f>IF(61&lt;=核心参数输入!$B$9*4,IF(AND((核心参数输入!$B$10*核心参数输入!$B$11*核心参数输入!$B$12*核心参数输入!$B$143)&gt;0,61=核心参数输入!$B$9*4),BM169-BM165,0),0)</f>
        <v>0</v>
      </c>
      <c r="BN170" s="9">
        <f>IF(62&lt;=核心参数输入!$B$9*4,IF(AND((核心参数输入!$B$10*核心参数输入!$B$11*核心参数输入!$B$12*核心参数输入!$B$143)&gt;0,62=核心参数输入!$B$9*4),BN169-BN165,0),0)</f>
        <v>0</v>
      </c>
      <c r="BO170" s="9">
        <f>IF(63&lt;=核心参数输入!$B$9*4,IF(AND((核心参数输入!$B$10*核心参数输入!$B$11*核心参数输入!$B$12*核心参数输入!$B$143)&gt;0,63=核心参数输入!$B$9*4),BO169-BO165,0),0)</f>
        <v>0</v>
      </c>
      <c r="BP170" s="9">
        <f>IF(64&lt;=核心参数输入!$B$9*4,IF(AND((核心参数输入!$B$10*核心参数输入!$B$11*核心参数输入!$B$12*核心参数输入!$B$143)&gt;0,64=核心参数输入!$B$9*4),BP169-BP165,0),0)</f>
        <v>0</v>
      </c>
      <c r="BQ170" s="9">
        <f>IF(65&lt;=核心参数输入!$B$9*4,IF(AND((核心参数输入!$B$10*核心参数输入!$B$11*核心参数输入!$B$12*核心参数输入!$B$143)&gt;0,65=核心参数输入!$B$9*4),BQ169-BQ165,0),0)</f>
        <v>0</v>
      </c>
      <c r="BR170" s="9">
        <f>IF(66&lt;=核心参数输入!$B$9*4,IF(AND((核心参数输入!$B$10*核心参数输入!$B$11*核心参数输入!$B$12*核心参数输入!$B$143)&gt;0,66=核心参数输入!$B$9*4),BR169-BR165,0),0)</f>
        <v>0</v>
      </c>
      <c r="BS170" s="9">
        <f>IF(67&lt;=核心参数输入!$B$9*4,IF(AND((核心参数输入!$B$10*核心参数输入!$B$11*核心参数输入!$B$12*核心参数输入!$B$143)&gt;0,67=核心参数输入!$B$9*4),BS169-BS165,0),0)</f>
        <v>0</v>
      </c>
      <c r="BT170" s="9">
        <f>IF(68&lt;=核心参数输入!$B$9*4,IF(AND((核心参数输入!$B$10*核心参数输入!$B$11*核心参数输入!$B$12*核心参数输入!$B$143)&gt;0,68=核心参数输入!$B$9*4),BT169-BT165,0),0)</f>
        <v>0</v>
      </c>
      <c r="BU170" s="9">
        <f>IF(69&lt;=核心参数输入!$B$9*4,IF(AND((核心参数输入!$B$10*核心参数输入!$B$11*核心参数输入!$B$12*核心参数输入!$B$143)&gt;0,69=核心参数输入!$B$9*4),BU169-BU165,0),0)</f>
        <v>0</v>
      </c>
      <c r="BV170" s="9">
        <f>IF(70&lt;=核心参数输入!$B$9*4,IF(AND((核心参数输入!$B$10*核心参数输入!$B$11*核心参数输入!$B$12*核心参数输入!$B$143)&gt;0,70=核心参数输入!$B$9*4),BV169-BV165,0),0)</f>
        <v>0</v>
      </c>
      <c r="BW170" s="9">
        <f>IF(71&lt;=核心参数输入!$B$9*4,IF(AND((核心参数输入!$B$10*核心参数输入!$B$11*核心参数输入!$B$12*核心参数输入!$B$143)&gt;0,71=核心参数输入!$B$9*4),BW169-BW165,0),0)</f>
        <v>0</v>
      </c>
      <c r="BX170" s="9">
        <f>IF(72&lt;=核心参数输入!$B$9*4,IF(AND((核心参数输入!$B$10*核心参数输入!$B$11*核心参数输入!$B$12*核心参数输入!$B$143)&gt;0,72=核心参数输入!$B$9*4),BX169-BX165,0),0)</f>
        <v>0</v>
      </c>
      <c r="BY170" s="9">
        <f>IF(73&lt;=核心参数输入!$B$9*4,IF(AND((核心参数输入!$B$10*核心参数输入!$B$11*核心参数输入!$B$12*核心参数输入!$B$143)&gt;0,73=核心参数输入!$B$9*4),BY169-BY165,0),0)</f>
        <v>0</v>
      </c>
      <c r="BZ170" s="9">
        <f>IF(74&lt;=核心参数输入!$B$9*4,IF(AND((核心参数输入!$B$10*核心参数输入!$B$11*核心参数输入!$B$12*核心参数输入!$B$143)&gt;0,74=核心参数输入!$B$9*4),BZ169-BZ165,0),0)</f>
        <v>0</v>
      </c>
      <c r="CA170" s="9">
        <f>IF(75&lt;=核心参数输入!$B$9*4,IF(AND((核心参数输入!$B$10*核心参数输入!$B$11*核心参数输入!$B$12*核心参数输入!$B$143)&gt;0,75=核心参数输入!$B$9*4),CA169-CA165,0),0)</f>
        <v>0</v>
      </c>
      <c r="CB170" s="9">
        <f>IF(76&lt;=核心参数输入!$B$9*4,IF(AND((核心参数输入!$B$10*核心参数输入!$B$11*核心参数输入!$B$12*核心参数输入!$B$143)&gt;0,76=核心参数输入!$B$9*4),CB169-CB165,0),0)</f>
        <v>0</v>
      </c>
      <c r="CC170" s="9">
        <f>IF(77&lt;=核心参数输入!$B$9*4,IF(AND((核心参数输入!$B$10*核心参数输入!$B$11*核心参数输入!$B$12*核心参数输入!$B$143)&gt;0,77=核心参数输入!$B$9*4),CC169-CC165,0),0)</f>
        <v>0</v>
      </c>
      <c r="CD170" s="9">
        <f>IF(78&lt;=核心参数输入!$B$9*4,IF(AND((核心参数输入!$B$10*核心参数输入!$B$11*核心参数输入!$B$12*核心参数输入!$B$143)&gt;0,78=核心参数输入!$B$9*4),CD169-CD165,0),0)</f>
        <v>0</v>
      </c>
      <c r="CE170" s="9">
        <f>IF(79&lt;=核心参数输入!$B$9*4,IF(AND((核心参数输入!$B$10*核心参数输入!$B$11*核心参数输入!$B$12*核心参数输入!$B$143)&gt;0,79=核心参数输入!$B$9*4),CE169-CE165,0),0)</f>
        <v>0</v>
      </c>
      <c r="CF170" s="9">
        <f>IF(80&lt;=核心参数输入!$B$9*4,IF(AND((核心参数输入!$B$10*核心参数输入!$B$11*核心参数输入!$B$12*核心参数输入!$B$143)&gt;0,80=核心参数输入!$B$9*4),CF169-CF165,0),0)</f>
        <v>14630.457000000019</v>
      </c>
      <c r="CG170" s="9">
        <f>IF(81&lt;=核心参数输入!$B$9*4,IF(AND((核心参数输入!$B$10*核心参数输入!$B$11*核心参数输入!$B$12*核心参数输入!$B$143)&gt;0,81=核心参数输入!$B$9*4),CG169-CG165,0),0)</f>
        <v>0</v>
      </c>
      <c r="CH170" s="9">
        <f>IF(82&lt;=核心参数输入!$B$9*4,IF(AND((核心参数输入!$B$10*核心参数输入!$B$11*核心参数输入!$B$12*核心参数输入!$B$143)&gt;0,82=核心参数输入!$B$9*4),CH169-CH165,0),0)</f>
        <v>0</v>
      </c>
      <c r="CI170" s="9">
        <f>IF(83&lt;=核心参数输入!$B$9*4,IF(AND((核心参数输入!$B$10*核心参数输入!$B$11*核心参数输入!$B$12*核心参数输入!$B$143)&gt;0,83=核心参数输入!$B$9*4),CI169-CI165,0),0)</f>
        <v>0</v>
      </c>
      <c r="CJ170" s="9">
        <f>IF(84&lt;=核心参数输入!$B$9*4,IF(AND((核心参数输入!$B$10*核心参数输入!$B$11*核心参数输入!$B$12*核心参数输入!$B$143)&gt;0,84=核心参数输入!$B$9*4),CJ169-CJ165,0),0)</f>
        <v>0</v>
      </c>
      <c r="CK170" s="9">
        <f>IF(85&lt;=核心参数输入!$B$9*4,IF(AND((核心参数输入!$B$10*核心参数输入!$B$11*核心参数输入!$B$12*核心参数输入!$B$143)&gt;0,85=核心参数输入!$B$9*4),CK169-CK165,0),0)</f>
        <v>0</v>
      </c>
      <c r="CL170" s="9">
        <f>IF(86&lt;=核心参数输入!$B$9*4,IF(AND((核心参数输入!$B$10*核心参数输入!$B$11*核心参数输入!$B$12*核心参数输入!$B$143)&gt;0,86=核心参数输入!$B$9*4),CL169-CL165,0),0)</f>
        <v>0</v>
      </c>
      <c r="CM170" s="9">
        <f>IF(87&lt;=核心参数输入!$B$9*4,IF(AND((核心参数输入!$B$10*核心参数输入!$B$11*核心参数输入!$B$12*核心参数输入!$B$143)&gt;0,87=核心参数输入!$B$9*4),CM169-CM165,0),0)</f>
        <v>0</v>
      </c>
      <c r="CN170" s="9">
        <f>IF(88&lt;=核心参数输入!$B$9*4,IF(AND((核心参数输入!$B$10*核心参数输入!$B$11*核心参数输入!$B$12*核心参数输入!$B$143)&gt;0,88=核心参数输入!$B$9*4),CN169-CN165,0),0)</f>
        <v>0</v>
      </c>
      <c r="CO170" s="9">
        <f>IF(89&lt;=核心参数输入!$B$9*4,IF(AND((核心参数输入!$B$10*核心参数输入!$B$11*核心参数输入!$B$12*核心参数输入!$B$143)&gt;0,89=核心参数输入!$B$9*4),CO169-CO165,0),0)</f>
        <v>0</v>
      </c>
      <c r="CP170" s="9">
        <f>IF(90&lt;=核心参数输入!$B$9*4,IF(AND((核心参数输入!$B$10*核心参数输入!$B$11*核心参数输入!$B$12*核心参数输入!$B$143)&gt;0,90=核心参数输入!$B$9*4),CP169-CP165,0),0)</f>
        <v>0</v>
      </c>
      <c r="CQ170" s="9">
        <f>IF(91&lt;=核心参数输入!$B$9*4,IF(AND((核心参数输入!$B$10*核心参数输入!$B$11*核心参数输入!$B$12*核心参数输入!$B$143)&gt;0,91=核心参数输入!$B$9*4),CQ169-CQ165,0),0)</f>
        <v>0</v>
      </c>
      <c r="CR170" s="9">
        <f>IF(92&lt;=核心参数输入!$B$9*4,IF(AND((核心参数输入!$B$10*核心参数输入!$B$11*核心参数输入!$B$12*核心参数输入!$B$143)&gt;0,92=核心参数输入!$B$9*4),CR169-CR165,0),0)</f>
        <v>0</v>
      </c>
      <c r="CS170" s="9">
        <f>IF(93&lt;=核心参数输入!$B$9*4,IF(AND((核心参数输入!$B$10*核心参数输入!$B$11*核心参数输入!$B$12*核心参数输入!$B$143)&gt;0,93=核心参数输入!$B$9*4),CS169-CS165,0),0)</f>
        <v>0</v>
      </c>
      <c r="CT170" s="9">
        <f>IF(94&lt;=核心参数输入!$B$9*4,IF(AND((核心参数输入!$B$10*核心参数输入!$B$11*核心参数输入!$B$12*核心参数输入!$B$143)&gt;0,94=核心参数输入!$B$9*4),CT169-CT165,0),0)</f>
        <v>0</v>
      </c>
      <c r="CU170" s="9">
        <f>IF(95&lt;=核心参数输入!$B$9*4,IF(AND((核心参数输入!$B$10*核心参数输入!$B$11*核心参数输入!$B$12*核心参数输入!$B$143)&gt;0,95=核心参数输入!$B$9*4),CU169-CU165,0),0)</f>
        <v>0</v>
      </c>
      <c r="CV170" s="9">
        <f>IF(96&lt;=核心参数输入!$B$9*4,IF(AND((核心参数输入!$B$10*核心参数输入!$B$11*核心参数输入!$B$12*核心参数输入!$B$143)&gt;0,96=核心参数输入!$B$9*4),CV169-CV165,0),0)</f>
        <v>0</v>
      </c>
      <c r="CW170" s="9">
        <f>IF(97&lt;=核心参数输入!$B$9*4,IF(AND((核心参数输入!$B$10*核心参数输入!$B$11*核心参数输入!$B$12*核心参数输入!$B$143)&gt;0,97=核心参数输入!$B$9*4),CW169-CW165,0),0)</f>
        <v>0</v>
      </c>
      <c r="CX170" s="9">
        <f>IF(98&lt;=核心参数输入!$B$9*4,IF(AND((核心参数输入!$B$10*核心参数输入!$B$11*核心参数输入!$B$12*核心参数输入!$B$143)&gt;0,98=核心参数输入!$B$9*4),CX169-CX165,0),0)</f>
        <v>0</v>
      </c>
      <c r="CY170" s="9">
        <f>IF(99&lt;=核心参数输入!$B$9*4,IF(AND((核心参数输入!$B$10*核心参数输入!$B$11*核心参数输入!$B$12*核心参数输入!$B$143)&gt;0,99=核心参数输入!$B$9*4),CY169-CY165,0),0)</f>
        <v>0</v>
      </c>
      <c r="CZ170" s="9">
        <f>IF(100&lt;=核心参数输入!$B$9*4,IF(AND((核心参数输入!$B$10*核心参数输入!$B$11*核心参数输入!$B$12*核心参数输入!$B$143)&gt;0,100=核心参数输入!$B$9*4),CZ169-CZ165,0),0)</f>
        <v>0</v>
      </c>
      <c r="DA170" s="9">
        <f>IF(101&lt;=核心参数输入!$B$9*4,IF(AND((核心参数输入!$B$10*核心参数输入!$B$11*核心参数输入!$B$12*核心参数输入!$B$143)&gt;0,101=核心参数输入!$B$9*4),DA169-DA165,0),0)</f>
        <v>0</v>
      </c>
      <c r="DB170" s="9">
        <f>IF(102&lt;=核心参数输入!$B$9*4,IF(AND((核心参数输入!$B$10*核心参数输入!$B$11*核心参数输入!$B$12*核心参数输入!$B$143)&gt;0,102=核心参数输入!$B$9*4),DB169-DB165,0),0)</f>
        <v>0</v>
      </c>
      <c r="DC170" s="9">
        <f>IF(103&lt;=核心参数输入!$B$9*4,IF(AND((核心参数输入!$B$10*核心参数输入!$B$11*核心参数输入!$B$12*核心参数输入!$B$143)&gt;0,103=核心参数输入!$B$9*4),DC169-DC165,0),0)</f>
        <v>0</v>
      </c>
      <c r="DD170" s="9">
        <f>IF(104&lt;=核心参数输入!$B$9*4,IF(AND((核心参数输入!$B$10*核心参数输入!$B$11*核心参数输入!$B$12*核心参数输入!$B$143)&gt;0,104=核心参数输入!$B$9*4),DD169-DD165,0),0)</f>
        <v>0</v>
      </c>
      <c r="DE170" s="9">
        <f>IF(105&lt;=核心参数输入!$B$9*4,IF(AND((核心参数输入!$B$10*核心参数输入!$B$11*核心参数输入!$B$12*核心参数输入!$B$143)&gt;0,105=核心参数输入!$B$9*4),DE169-DE165,0),0)</f>
        <v>0</v>
      </c>
      <c r="DF170" s="9">
        <f>IF(106&lt;=核心参数输入!$B$9*4,IF(AND((核心参数输入!$B$10*核心参数输入!$B$11*核心参数输入!$B$12*核心参数输入!$B$143)&gt;0,106=核心参数输入!$B$9*4),DF169-DF165,0),0)</f>
        <v>0</v>
      </c>
      <c r="DG170" s="9">
        <f>IF(107&lt;=核心参数输入!$B$9*4,IF(AND((核心参数输入!$B$10*核心参数输入!$B$11*核心参数输入!$B$12*核心参数输入!$B$143)&gt;0,107=核心参数输入!$B$9*4),DG169-DG165,0),0)</f>
        <v>0</v>
      </c>
      <c r="DH170" s="9">
        <f>IF(108&lt;=核心参数输入!$B$9*4,IF(AND((核心参数输入!$B$10*核心参数输入!$B$11*核心参数输入!$B$12*核心参数输入!$B$143)&gt;0,108=核心参数输入!$B$9*4),DH169-DH165,0),0)</f>
        <v>0</v>
      </c>
      <c r="DI170" s="9">
        <f>IF(109&lt;=核心参数输入!$B$9*4,IF(AND((核心参数输入!$B$10*核心参数输入!$B$11*核心参数输入!$B$12*核心参数输入!$B$143)&gt;0,109=核心参数输入!$B$9*4),DI169-DI165,0),0)</f>
        <v>0</v>
      </c>
      <c r="DJ170" s="9">
        <f>IF(110&lt;=核心参数输入!$B$9*4,IF(AND((核心参数输入!$B$10*核心参数输入!$B$11*核心参数输入!$B$12*核心参数输入!$B$143)&gt;0,110=核心参数输入!$B$9*4),DJ169-DJ165,0),0)</f>
        <v>0</v>
      </c>
      <c r="DK170" s="9">
        <f>IF(111&lt;=核心参数输入!$B$9*4,IF(AND((核心参数输入!$B$10*核心参数输入!$B$11*核心参数输入!$B$12*核心参数输入!$B$143)&gt;0,111=核心参数输入!$B$9*4),DK169-DK165,0),0)</f>
        <v>0</v>
      </c>
      <c r="DL170" s="9">
        <f>IF(112&lt;=核心参数输入!$B$9*4,IF(AND((核心参数输入!$B$10*核心参数输入!$B$11*核心参数输入!$B$12*核心参数输入!$B$143)&gt;0,112=核心参数输入!$B$9*4),DL169-DL165,0),0)</f>
        <v>0</v>
      </c>
      <c r="DM170" s="9">
        <f>IF(113&lt;=核心参数输入!$B$9*4,IF(AND((核心参数输入!$B$10*核心参数输入!$B$11*核心参数输入!$B$12*核心参数输入!$B$143)&gt;0,113=核心参数输入!$B$9*4),DM169-DM165,0),0)</f>
        <v>0</v>
      </c>
      <c r="DN170" s="9">
        <f>IF(114&lt;=核心参数输入!$B$9*4,IF(AND((核心参数输入!$B$10*核心参数输入!$B$11*核心参数输入!$B$12*核心参数输入!$B$143)&gt;0,114=核心参数输入!$B$9*4),DN169-DN165,0),0)</f>
        <v>0</v>
      </c>
      <c r="DO170" s="9">
        <f>IF(115&lt;=核心参数输入!$B$9*4,IF(AND((核心参数输入!$B$10*核心参数输入!$B$11*核心参数输入!$B$12*核心参数输入!$B$143)&gt;0,115=核心参数输入!$B$9*4),DO169-DO165,0),0)</f>
        <v>0</v>
      </c>
      <c r="DP170" s="9">
        <f>IF(116&lt;=核心参数输入!$B$9*4,IF(AND((核心参数输入!$B$10*核心参数输入!$B$11*核心参数输入!$B$12*核心参数输入!$B$143)&gt;0,116=核心参数输入!$B$9*4),DP169-DP165,0),0)</f>
        <v>0</v>
      </c>
      <c r="DQ170" s="9">
        <f>IF(117&lt;=核心参数输入!$B$9*4,IF(AND((核心参数输入!$B$10*核心参数输入!$B$11*核心参数输入!$B$12*核心参数输入!$B$143)&gt;0,117=核心参数输入!$B$9*4),DQ169-DQ165,0),0)</f>
        <v>0</v>
      </c>
      <c r="DR170" s="9">
        <f>IF(118&lt;=核心参数输入!$B$9*4,IF(AND((核心参数输入!$B$10*核心参数输入!$B$11*核心参数输入!$B$12*核心参数输入!$B$143)&gt;0,118=核心参数输入!$B$9*4),DR169-DR165,0),0)</f>
        <v>0</v>
      </c>
      <c r="DS170" s="9">
        <f>IF(119&lt;=核心参数输入!$B$9*4,IF(AND((核心参数输入!$B$10*核心参数输入!$B$11*核心参数输入!$B$12*核心参数输入!$B$143)&gt;0,119=核心参数输入!$B$9*4),DS169-DS165,0),0)</f>
        <v>0</v>
      </c>
      <c r="DT170" s="9">
        <f>IF(120&lt;=核心参数输入!$B$9*4,IF(AND((核心参数输入!$B$10*核心参数输入!$B$11*核心参数输入!$B$12*核心参数输入!$B$143)&gt;0,120=核心参数输入!$B$9*4),DT169-DT165,0),0)</f>
        <v>0</v>
      </c>
    </row>
    <row r="171" spans="1:124" ht="21" customHeight="1">
      <c r="A171" s="8" t="s">
        <v>492</v>
      </c>
      <c r="B171" s="8" t="s">
        <v>39</v>
      </c>
      <c r="C171" s="8"/>
      <c r="D171" s="9">
        <f>IF(0&lt;=核心参数输入!$B$9*4,IF(AND((核心参数输入!$B$10*核心参数输入!$B$11*核心参数输入!$B$12*核心参数输入!$B$143)&gt;0,0=核心参数输入!$B$9*4),D169-D166,0),0)</f>
        <v>0</v>
      </c>
      <c r="E171" s="9">
        <f>IF(1&lt;=核心参数输入!$B$9*4,IF(AND((核心参数输入!$B$10*核心参数输入!$B$11*核心参数输入!$B$12*核心参数输入!$B$143)&gt;0,1=核心参数输入!$B$9*4),E169-E166,0),0)</f>
        <v>0</v>
      </c>
      <c r="F171" s="9">
        <f>IF(2&lt;=核心参数输入!$B$9*4,IF(AND((核心参数输入!$B$10*核心参数输入!$B$11*核心参数输入!$B$12*核心参数输入!$B$143)&gt;0,2=核心参数输入!$B$9*4),F169-F166,0),0)</f>
        <v>0</v>
      </c>
      <c r="G171" s="9">
        <f>IF(3&lt;=核心参数输入!$B$9*4,IF(AND((核心参数输入!$B$10*核心参数输入!$B$11*核心参数输入!$B$12*核心参数输入!$B$143)&gt;0,3=核心参数输入!$B$9*4),G169-G166,0),0)</f>
        <v>0</v>
      </c>
      <c r="H171" s="9">
        <f>IF(4&lt;=核心参数输入!$B$9*4,IF(AND((核心参数输入!$B$10*核心参数输入!$B$11*核心参数输入!$B$12*核心参数输入!$B$143)&gt;0,4=核心参数输入!$B$9*4),H169-H166,0),0)</f>
        <v>0</v>
      </c>
      <c r="I171" s="9">
        <f>IF(5&lt;=核心参数输入!$B$9*4,IF(AND((核心参数输入!$B$10*核心参数输入!$B$11*核心参数输入!$B$12*核心参数输入!$B$143)&gt;0,5=核心参数输入!$B$9*4),I169-I166,0),0)</f>
        <v>0</v>
      </c>
      <c r="J171" s="9">
        <f>IF(6&lt;=核心参数输入!$B$9*4,IF(AND((核心参数输入!$B$10*核心参数输入!$B$11*核心参数输入!$B$12*核心参数输入!$B$143)&gt;0,6=核心参数输入!$B$9*4),J169-J166,0),0)</f>
        <v>0</v>
      </c>
      <c r="K171" s="9">
        <f>IF(7&lt;=核心参数输入!$B$9*4,IF(AND((核心参数输入!$B$10*核心参数输入!$B$11*核心参数输入!$B$12*核心参数输入!$B$143)&gt;0,7=核心参数输入!$B$9*4),K169-K166,0),0)</f>
        <v>0</v>
      </c>
      <c r="L171" s="9">
        <f>IF(8&lt;=核心参数输入!$B$9*4,IF(AND((核心参数输入!$B$10*核心参数输入!$B$11*核心参数输入!$B$12*核心参数输入!$B$143)&gt;0,8=核心参数输入!$B$9*4),L169-L166,0),0)</f>
        <v>0</v>
      </c>
      <c r="M171" s="9">
        <f>IF(9&lt;=核心参数输入!$B$9*4,IF(AND((核心参数输入!$B$10*核心参数输入!$B$11*核心参数输入!$B$12*核心参数输入!$B$143)&gt;0,9=核心参数输入!$B$9*4),M169-M166,0),0)</f>
        <v>0</v>
      </c>
      <c r="N171" s="9">
        <f>IF(10&lt;=核心参数输入!$B$9*4,IF(AND((核心参数输入!$B$10*核心参数输入!$B$11*核心参数输入!$B$12*核心参数输入!$B$143)&gt;0,10=核心参数输入!$B$9*4),N169-N166,0),0)</f>
        <v>0</v>
      </c>
      <c r="O171" s="9">
        <f>IF(11&lt;=核心参数输入!$B$9*4,IF(AND((核心参数输入!$B$10*核心参数输入!$B$11*核心参数输入!$B$12*核心参数输入!$B$143)&gt;0,11=核心参数输入!$B$9*4),O169-O166,0),0)</f>
        <v>0</v>
      </c>
      <c r="P171" s="9">
        <f>IF(12&lt;=核心参数输入!$B$9*4,IF(AND((核心参数输入!$B$10*核心参数输入!$B$11*核心参数输入!$B$12*核心参数输入!$B$143)&gt;0,12=核心参数输入!$B$9*4),P169-P166,0),0)</f>
        <v>0</v>
      </c>
      <c r="Q171" s="9">
        <f>IF(13&lt;=核心参数输入!$B$9*4,IF(AND((核心参数输入!$B$10*核心参数输入!$B$11*核心参数输入!$B$12*核心参数输入!$B$143)&gt;0,13=核心参数输入!$B$9*4),Q169-Q166,0),0)</f>
        <v>0</v>
      </c>
      <c r="R171" s="9">
        <f>IF(14&lt;=核心参数输入!$B$9*4,IF(AND((核心参数输入!$B$10*核心参数输入!$B$11*核心参数输入!$B$12*核心参数输入!$B$143)&gt;0,14=核心参数输入!$B$9*4),R169-R166,0),0)</f>
        <v>0</v>
      </c>
      <c r="S171" s="9">
        <f>IF(15&lt;=核心参数输入!$B$9*4,IF(AND((核心参数输入!$B$10*核心参数输入!$B$11*核心参数输入!$B$12*核心参数输入!$B$143)&gt;0,15=核心参数输入!$B$9*4),S169-S166,0),0)</f>
        <v>0</v>
      </c>
      <c r="T171" s="9">
        <f>IF(16&lt;=核心参数输入!$B$9*4,IF(AND((核心参数输入!$B$10*核心参数输入!$B$11*核心参数输入!$B$12*核心参数输入!$B$143)&gt;0,16=核心参数输入!$B$9*4),T169-T166,0),0)</f>
        <v>0</v>
      </c>
      <c r="U171" s="9">
        <f>IF(17&lt;=核心参数输入!$B$9*4,IF(AND((核心参数输入!$B$10*核心参数输入!$B$11*核心参数输入!$B$12*核心参数输入!$B$143)&gt;0,17=核心参数输入!$B$9*4),U169-U166,0),0)</f>
        <v>0</v>
      </c>
      <c r="V171" s="9">
        <f>IF(18&lt;=核心参数输入!$B$9*4,IF(AND((核心参数输入!$B$10*核心参数输入!$B$11*核心参数输入!$B$12*核心参数输入!$B$143)&gt;0,18=核心参数输入!$B$9*4),V169-V166,0),0)</f>
        <v>0</v>
      </c>
      <c r="W171" s="9">
        <f>IF(19&lt;=核心参数输入!$B$9*4,IF(AND((核心参数输入!$B$10*核心参数输入!$B$11*核心参数输入!$B$12*核心参数输入!$B$143)&gt;0,19=核心参数输入!$B$9*4),W169-W166,0),0)</f>
        <v>0</v>
      </c>
      <c r="X171" s="9">
        <f>IF(20&lt;=核心参数输入!$B$9*4,IF(AND((核心参数输入!$B$10*核心参数输入!$B$11*核心参数输入!$B$12*核心参数输入!$B$143)&gt;0,20=核心参数输入!$B$9*4),X169-X166,0),0)</f>
        <v>0</v>
      </c>
      <c r="Y171" s="9">
        <f>IF(21&lt;=核心参数输入!$B$9*4,IF(AND((核心参数输入!$B$10*核心参数输入!$B$11*核心参数输入!$B$12*核心参数输入!$B$143)&gt;0,21=核心参数输入!$B$9*4),Y169-Y166,0),0)</f>
        <v>0</v>
      </c>
      <c r="Z171" s="9">
        <f>IF(22&lt;=核心参数输入!$B$9*4,IF(AND((核心参数输入!$B$10*核心参数输入!$B$11*核心参数输入!$B$12*核心参数输入!$B$143)&gt;0,22=核心参数输入!$B$9*4),Z169-Z166,0),0)</f>
        <v>0</v>
      </c>
      <c r="AA171" s="9">
        <f>IF(23&lt;=核心参数输入!$B$9*4,IF(AND((核心参数输入!$B$10*核心参数输入!$B$11*核心参数输入!$B$12*核心参数输入!$B$143)&gt;0,23=核心参数输入!$B$9*4),AA169-AA166,0),0)</f>
        <v>0</v>
      </c>
      <c r="AB171" s="9">
        <f>IF(24&lt;=核心参数输入!$B$9*4,IF(AND((核心参数输入!$B$10*核心参数输入!$B$11*核心参数输入!$B$12*核心参数输入!$B$143)&gt;0,24=核心参数输入!$B$9*4),AB169-AB166,0),0)</f>
        <v>0</v>
      </c>
      <c r="AC171" s="9">
        <f>IF(25&lt;=核心参数输入!$B$9*4,IF(AND((核心参数输入!$B$10*核心参数输入!$B$11*核心参数输入!$B$12*核心参数输入!$B$143)&gt;0,25=核心参数输入!$B$9*4),AC169-AC166,0),0)</f>
        <v>0</v>
      </c>
      <c r="AD171" s="9">
        <f>IF(26&lt;=核心参数输入!$B$9*4,IF(AND((核心参数输入!$B$10*核心参数输入!$B$11*核心参数输入!$B$12*核心参数输入!$B$143)&gt;0,26=核心参数输入!$B$9*4),AD169-AD166,0),0)</f>
        <v>0</v>
      </c>
      <c r="AE171" s="9">
        <f>IF(27&lt;=核心参数输入!$B$9*4,IF(AND((核心参数输入!$B$10*核心参数输入!$B$11*核心参数输入!$B$12*核心参数输入!$B$143)&gt;0,27=核心参数输入!$B$9*4),AE169-AE166,0),0)</f>
        <v>0</v>
      </c>
      <c r="AF171" s="9">
        <f>IF(28&lt;=核心参数输入!$B$9*4,IF(AND((核心参数输入!$B$10*核心参数输入!$B$11*核心参数输入!$B$12*核心参数输入!$B$143)&gt;0,28=核心参数输入!$B$9*4),AF169-AF166,0),0)</f>
        <v>0</v>
      </c>
      <c r="AG171" s="9">
        <f>IF(29&lt;=核心参数输入!$B$9*4,IF(AND((核心参数输入!$B$10*核心参数输入!$B$11*核心参数输入!$B$12*核心参数输入!$B$143)&gt;0,29=核心参数输入!$B$9*4),AG169-AG166,0),0)</f>
        <v>0</v>
      </c>
      <c r="AH171" s="9">
        <f>IF(30&lt;=核心参数输入!$B$9*4,IF(AND((核心参数输入!$B$10*核心参数输入!$B$11*核心参数输入!$B$12*核心参数输入!$B$143)&gt;0,30=核心参数输入!$B$9*4),AH169-AH166,0),0)</f>
        <v>0</v>
      </c>
      <c r="AI171" s="9">
        <f>IF(31&lt;=核心参数输入!$B$9*4,IF(AND((核心参数输入!$B$10*核心参数输入!$B$11*核心参数输入!$B$12*核心参数输入!$B$143)&gt;0,31=核心参数输入!$B$9*4),AI169-AI166,0),0)</f>
        <v>0</v>
      </c>
      <c r="AJ171" s="9">
        <f>IF(32&lt;=核心参数输入!$B$9*4,IF(AND((核心参数输入!$B$10*核心参数输入!$B$11*核心参数输入!$B$12*核心参数输入!$B$143)&gt;0,32=核心参数输入!$B$9*4),AJ169-AJ166,0),0)</f>
        <v>0</v>
      </c>
      <c r="AK171" s="9">
        <f>IF(33&lt;=核心参数输入!$B$9*4,IF(AND((核心参数输入!$B$10*核心参数输入!$B$11*核心参数输入!$B$12*核心参数输入!$B$143)&gt;0,33=核心参数输入!$B$9*4),AK169-AK166,0),0)</f>
        <v>0</v>
      </c>
      <c r="AL171" s="9">
        <f>IF(34&lt;=核心参数输入!$B$9*4,IF(AND((核心参数输入!$B$10*核心参数输入!$B$11*核心参数输入!$B$12*核心参数输入!$B$143)&gt;0,34=核心参数输入!$B$9*4),AL169-AL166,0),0)</f>
        <v>0</v>
      </c>
      <c r="AM171" s="9">
        <f>IF(35&lt;=核心参数输入!$B$9*4,IF(AND((核心参数输入!$B$10*核心参数输入!$B$11*核心参数输入!$B$12*核心参数输入!$B$143)&gt;0,35=核心参数输入!$B$9*4),AM169-AM166,0),0)</f>
        <v>0</v>
      </c>
      <c r="AN171" s="9">
        <f>IF(36&lt;=核心参数输入!$B$9*4,IF(AND((核心参数输入!$B$10*核心参数输入!$B$11*核心参数输入!$B$12*核心参数输入!$B$143)&gt;0,36=核心参数输入!$B$9*4),AN169-AN166,0),0)</f>
        <v>0</v>
      </c>
      <c r="AO171" s="9">
        <f>IF(37&lt;=核心参数输入!$B$9*4,IF(AND((核心参数输入!$B$10*核心参数输入!$B$11*核心参数输入!$B$12*核心参数输入!$B$143)&gt;0,37=核心参数输入!$B$9*4),AO169-AO166,0),0)</f>
        <v>0</v>
      </c>
      <c r="AP171" s="9">
        <f>IF(38&lt;=核心参数输入!$B$9*4,IF(AND((核心参数输入!$B$10*核心参数输入!$B$11*核心参数输入!$B$12*核心参数输入!$B$143)&gt;0,38=核心参数输入!$B$9*4),AP169-AP166,0),0)</f>
        <v>0</v>
      </c>
      <c r="AQ171" s="9">
        <f>IF(39&lt;=核心参数输入!$B$9*4,IF(AND((核心参数输入!$B$10*核心参数输入!$B$11*核心参数输入!$B$12*核心参数输入!$B$143)&gt;0,39=核心参数输入!$B$9*4),AQ169-AQ166,0),0)</f>
        <v>0</v>
      </c>
      <c r="AR171" s="9">
        <f>IF(40&lt;=核心参数输入!$B$9*4,IF(AND((核心参数输入!$B$10*核心参数输入!$B$11*核心参数输入!$B$12*核心参数输入!$B$143)&gt;0,40=核心参数输入!$B$9*4),AR169-AR166,0),0)</f>
        <v>0</v>
      </c>
      <c r="AS171" s="9">
        <f>IF(41&lt;=核心参数输入!$B$9*4,IF(AND((核心参数输入!$B$10*核心参数输入!$B$11*核心参数输入!$B$12*核心参数输入!$B$143)&gt;0,41=核心参数输入!$B$9*4),AS169-AS166,0),0)</f>
        <v>0</v>
      </c>
      <c r="AT171" s="9">
        <f>IF(42&lt;=核心参数输入!$B$9*4,IF(AND((核心参数输入!$B$10*核心参数输入!$B$11*核心参数输入!$B$12*核心参数输入!$B$143)&gt;0,42=核心参数输入!$B$9*4),AT169-AT166,0),0)</f>
        <v>0</v>
      </c>
      <c r="AU171" s="9">
        <f>IF(43&lt;=核心参数输入!$B$9*4,IF(AND((核心参数输入!$B$10*核心参数输入!$B$11*核心参数输入!$B$12*核心参数输入!$B$143)&gt;0,43=核心参数输入!$B$9*4),AU169-AU166,0),0)</f>
        <v>0</v>
      </c>
      <c r="AV171" s="9">
        <f>IF(44&lt;=核心参数输入!$B$9*4,IF(AND((核心参数输入!$B$10*核心参数输入!$B$11*核心参数输入!$B$12*核心参数输入!$B$143)&gt;0,44=核心参数输入!$B$9*4),AV169-AV166,0),0)</f>
        <v>0</v>
      </c>
      <c r="AW171" s="9">
        <f>IF(45&lt;=核心参数输入!$B$9*4,IF(AND((核心参数输入!$B$10*核心参数输入!$B$11*核心参数输入!$B$12*核心参数输入!$B$143)&gt;0,45=核心参数输入!$B$9*4),AW169-AW166,0),0)</f>
        <v>0</v>
      </c>
      <c r="AX171" s="9">
        <f>IF(46&lt;=核心参数输入!$B$9*4,IF(AND((核心参数输入!$B$10*核心参数输入!$B$11*核心参数输入!$B$12*核心参数输入!$B$143)&gt;0,46=核心参数输入!$B$9*4),AX169-AX166,0),0)</f>
        <v>0</v>
      </c>
      <c r="AY171" s="9">
        <f>IF(47&lt;=核心参数输入!$B$9*4,IF(AND((核心参数输入!$B$10*核心参数输入!$B$11*核心参数输入!$B$12*核心参数输入!$B$143)&gt;0,47=核心参数输入!$B$9*4),AY169-AY166,0),0)</f>
        <v>0</v>
      </c>
      <c r="AZ171" s="9">
        <f>IF(48&lt;=核心参数输入!$B$9*4,IF(AND((核心参数输入!$B$10*核心参数输入!$B$11*核心参数输入!$B$12*核心参数输入!$B$143)&gt;0,48=核心参数输入!$B$9*4),AZ169-AZ166,0),0)</f>
        <v>0</v>
      </c>
      <c r="BA171" s="9">
        <f>IF(49&lt;=核心参数输入!$B$9*4,IF(AND((核心参数输入!$B$10*核心参数输入!$B$11*核心参数输入!$B$12*核心参数输入!$B$143)&gt;0,49=核心参数输入!$B$9*4),BA169-BA166,0),0)</f>
        <v>0</v>
      </c>
      <c r="BB171" s="9">
        <f>IF(50&lt;=核心参数输入!$B$9*4,IF(AND((核心参数输入!$B$10*核心参数输入!$B$11*核心参数输入!$B$12*核心参数输入!$B$143)&gt;0,50=核心参数输入!$B$9*4),BB169-BB166,0),0)</f>
        <v>0</v>
      </c>
      <c r="BC171" s="9">
        <f>IF(51&lt;=核心参数输入!$B$9*4,IF(AND((核心参数输入!$B$10*核心参数输入!$B$11*核心参数输入!$B$12*核心参数输入!$B$143)&gt;0,51=核心参数输入!$B$9*4),BC169-BC166,0),0)</f>
        <v>0</v>
      </c>
      <c r="BD171" s="9">
        <f>IF(52&lt;=核心参数输入!$B$9*4,IF(AND((核心参数输入!$B$10*核心参数输入!$B$11*核心参数输入!$B$12*核心参数输入!$B$143)&gt;0,52=核心参数输入!$B$9*4),BD169-BD166,0),0)</f>
        <v>0</v>
      </c>
      <c r="BE171" s="9">
        <f>IF(53&lt;=核心参数输入!$B$9*4,IF(AND((核心参数输入!$B$10*核心参数输入!$B$11*核心参数输入!$B$12*核心参数输入!$B$143)&gt;0,53=核心参数输入!$B$9*4),BE169-BE166,0),0)</f>
        <v>0</v>
      </c>
      <c r="BF171" s="9">
        <f>IF(54&lt;=核心参数输入!$B$9*4,IF(AND((核心参数输入!$B$10*核心参数输入!$B$11*核心参数输入!$B$12*核心参数输入!$B$143)&gt;0,54=核心参数输入!$B$9*4),BF169-BF166,0),0)</f>
        <v>0</v>
      </c>
      <c r="BG171" s="9">
        <f>IF(55&lt;=核心参数输入!$B$9*4,IF(AND((核心参数输入!$B$10*核心参数输入!$B$11*核心参数输入!$B$12*核心参数输入!$B$143)&gt;0,55=核心参数输入!$B$9*4),BG169-BG166,0),0)</f>
        <v>0</v>
      </c>
      <c r="BH171" s="9">
        <f>IF(56&lt;=核心参数输入!$B$9*4,IF(AND((核心参数输入!$B$10*核心参数输入!$B$11*核心参数输入!$B$12*核心参数输入!$B$143)&gt;0,56=核心参数输入!$B$9*4),BH169-BH166,0),0)</f>
        <v>0</v>
      </c>
      <c r="BI171" s="9">
        <f>IF(57&lt;=核心参数输入!$B$9*4,IF(AND((核心参数输入!$B$10*核心参数输入!$B$11*核心参数输入!$B$12*核心参数输入!$B$143)&gt;0,57=核心参数输入!$B$9*4),BI169-BI166,0),0)</f>
        <v>0</v>
      </c>
      <c r="BJ171" s="9">
        <f>IF(58&lt;=核心参数输入!$B$9*4,IF(AND((核心参数输入!$B$10*核心参数输入!$B$11*核心参数输入!$B$12*核心参数输入!$B$143)&gt;0,58=核心参数输入!$B$9*4),BJ169-BJ166,0),0)</f>
        <v>0</v>
      </c>
      <c r="BK171" s="9">
        <f>IF(59&lt;=核心参数输入!$B$9*4,IF(AND((核心参数输入!$B$10*核心参数输入!$B$11*核心参数输入!$B$12*核心参数输入!$B$143)&gt;0,59=核心参数输入!$B$9*4),BK169-BK166,0),0)</f>
        <v>0</v>
      </c>
      <c r="BL171" s="9">
        <f>IF(60&lt;=核心参数输入!$B$9*4,IF(AND((核心参数输入!$B$10*核心参数输入!$B$11*核心参数输入!$B$12*核心参数输入!$B$143)&gt;0,60=核心参数输入!$B$9*4),BL169-BL166,0),0)</f>
        <v>0</v>
      </c>
      <c r="BM171" s="9">
        <f>IF(61&lt;=核心参数输入!$B$9*4,IF(AND((核心参数输入!$B$10*核心参数输入!$B$11*核心参数输入!$B$12*核心参数输入!$B$143)&gt;0,61=核心参数输入!$B$9*4),BM169-BM166,0),0)</f>
        <v>0</v>
      </c>
      <c r="BN171" s="9">
        <f>IF(62&lt;=核心参数输入!$B$9*4,IF(AND((核心参数输入!$B$10*核心参数输入!$B$11*核心参数输入!$B$12*核心参数输入!$B$143)&gt;0,62=核心参数输入!$B$9*4),BN169-BN166,0),0)</f>
        <v>0</v>
      </c>
      <c r="BO171" s="9">
        <f>IF(63&lt;=核心参数输入!$B$9*4,IF(AND((核心参数输入!$B$10*核心参数输入!$B$11*核心参数输入!$B$12*核心参数输入!$B$143)&gt;0,63=核心参数输入!$B$9*4),BO169-BO166,0),0)</f>
        <v>0</v>
      </c>
      <c r="BP171" s="9">
        <f>IF(64&lt;=核心参数输入!$B$9*4,IF(AND((核心参数输入!$B$10*核心参数输入!$B$11*核心参数输入!$B$12*核心参数输入!$B$143)&gt;0,64=核心参数输入!$B$9*4),BP169-BP166,0),0)</f>
        <v>0</v>
      </c>
      <c r="BQ171" s="9">
        <f>IF(65&lt;=核心参数输入!$B$9*4,IF(AND((核心参数输入!$B$10*核心参数输入!$B$11*核心参数输入!$B$12*核心参数输入!$B$143)&gt;0,65=核心参数输入!$B$9*4),BQ169-BQ166,0),0)</f>
        <v>0</v>
      </c>
      <c r="BR171" s="9">
        <f>IF(66&lt;=核心参数输入!$B$9*4,IF(AND((核心参数输入!$B$10*核心参数输入!$B$11*核心参数输入!$B$12*核心参数输入!$B$143)&gt;0,66=核心参数输入!$B$9*4),BR169-BR166,0),0)</f>
        <v>0</v>
      </c>
      <c r="BS171" s="9">
        <f>IF(67&lt;=核心参数输入!$B$9*4,IF(AND((核心参数输入!$B$10*核心参数输入!$B$11*核心参数输入!$B$12*核心参数输入!$B$143)&gt;0,67=核心参数输入!$B$9*4),BS169-BS166,0),0)</f>
        <v>0</v>
      </c>
      <c r="BT171" s="9">
        <f>IF(68&lt;=核心参数输入!$B$9*4,IF(AND((核心参数输入!$B$10*核心参数输入!$B$11*核心参数输入!$B$12*核心参数输入!$B$143)&gt;0,68=核心参数输入!$B$9*4),BT169-BT166,0),0)</f>
        <v>0</v>
      </c>
      <c r="BU171" s="9">
        <f>IF(69&lt;=核心参数输入!$B$9*4,IF(AND((核心参数输入!$B$10*核心参数输入!$B$11*核心参数输入!$B$12*核心参数输入!$B$143)&gt;0,69=核心参数输入!$B$9*4),BU169-BU166,0),0)</f>
        <v>0</v>
      </c>
      <c r="BV171" s="9">
        <f>IF(70&lt;=核心参数输入!$B$9*4,IF(AND((核心参数输入!$B$10*核心参数输入!$B$11*核心参数输入!$B$12*核心参数输入!$B$143)&gt;0,70=核心参数输入!$B$9*4),BV169-BV166,0),0)</f>
        <v>0</v>
      </c>
      <c r="BW171" s="9">
        <f>IF(71&lt;=核心参数输入!$B$9*4,IF(AND((核心参数输入!$B$10*核心参数输入!$B$11*核心参数输入!$B$12*核心参数输入!$B$143)&gt;0,71=核心参数输入!$B$9*4),BW169-BW166,0),0)</f>
        <v>0</v>
      </c>
      <c r="BX171" s="9">
        <f>IF(72&lt;=核心参数输入!$B$9*4,IF(AND((核心参数输入!$B$10*核心参数输入!$B$11*核心参数输入!$B$12*核心参数输入!$B$143)&gt;0,72=核心参数输入!$B$9*4),BX169-BX166,0),0)</f>
        <v>0</v>
      </c>
      <c r="BY171" s="9">
        <f>IF(73&lt;=核心参数输入!$B$9*4,IF(AND((核心参数输入!$B$10*核心参数输入!$B$11*核心参数输入!$B$12*核心参数输入!$B$143)&gt;0,73=核心参数输入!$B$9*4),BY169-BY166,0),0)</f>
        <v>0</v>
      </c>
      <c r="BZ171" s="9">
        <f>IF(74&lt;=核心参数输入!$B$9*4,IF(AND((核心参数输入!$B$10*核心参数输入!$B$11*核心参数输入!$B$12*核心参数输入!$B$143)&gt;0,74=核心参数输入!$B$9*4),BZ169-BZ166,0),0)</f>
        <v>0</v>
      </c>
      <c r="CA171" s="9">
        <f>IF(75&lt;=核心参数输入!$B$9*4,IF(AND((核心参数输入!$B$10*核心参数输入!$B$11*核心参数输入!$B$12*核心参数输入!$B$143)&gt;0,75=核心参数输入!$B$9*4),CA169-CA166,0),0)</f>
        <v>0</v>
      </c>
      <c r="CB171" s="9">
        <f>IF(76&lt;=核心参数输入!$B$9*4,IF(AND((核心参数输入!$B$10*核心参数输入!$B$11*核心参数输入!$B$12*核心参数输入!$B$143)&gt;0,76=核心参数输入!$B$9*4),CB169-CB166,0),0)</f>
        <v>0</v>
      </c>
      <c r="CC171" s="9">
        <f>IF(77&lt;=核心参数输入!$B$9*4,IF(AND((核心参数输入!$B$10*核心参数输入!$B$11*核心参数输入!$B$12*核心参数输入!$B$143)&gt;0,77=核心参数输入!$B$9*4),CC169-CC166,0),0)</f>
        <v>0</v>
      </c>
      <c r="CD171" s="9">
        <f>IF(78&lt;=核心参数输入!$B$9*4,IF(AND((核心参数输入!$B$10*核心参数输入!$B$11*核心参数输入!$B$12*核心参数输入!$B$143)&gt;0,78=核心参数输入!$B$9*4),CD169-CD166,0),0)</f>
        <v>0</v>
      </c>
      <c r="CE171" s="9">
        <f>IF(79&lt;=核心参数输入!$B$9*4,IF(AND((核心参数输入!$B$10*核心参数输入!$B$11*核心参数输入!$B$12*核心参数输入!$B$143)&gt;0,79=核心参数输入!$B$9*4),CE169-CE166,0),0)</f>
        <v>0</v>
      </c>
      <c r="CF171" s="9">
        <f>IF(80&lt;=核心参数输入!$B$9*4,IF(AND((核心参数输入!$B$10*核心参数输入!$B$11*核心参数输入!$B$12*核心参数输入!$B$143)&gt;0,80=核心参数输入!$B$9*4),CF169-CF166,0),0)</f>
        <v>14237.80950000003</v>
      </c>
      <c r="CG171" s="9">
        <f>IF(81&lt;=核心参数输入!$B$9*4,IF(AND((核心参数输入!$B$10*核心参数输入!$B$11*核心参数输入!$B$12*核心参数输入!$B$143)&gt;0,81=核心参数输入!$B$9*4),CG169-CG166,0),0)</f>
        <v>0</v>
      </c>
      <c r="CH171" s="9">
        <f>IF(82&lt;=核心参数输入!$B$9*4,IF(AND((核心参数输入!$B$10*核心参数输入!$B$11*核心参数输入!$B$12*核心参数输入!$B$143)&gt;0,82=核心参数输入!$B$9*4),CH169-CH166,0),0)</f>
        <v>0</v>
      </c>
      <c r="CI171" s="9">
        <f>IF(83&lt;=核心参数输入!$B$9*4,IF(AND((核心参数输入!$B$10*核心参数输入!$B$11*核心参数输入!$B$12*核心参数输入!$B$143)&gt;0,83=核心参数输入!$B$9*4),CI169-CI166,0),0)</f>
        <v>0</v>
      </c>
      <c r="CJ171" s="9">
        <f>IF(84&lt;=核心参数输入!$B$9*4,IF(AND((核心参数输入!$B$10*核心参数输入!$B$11*核心参数输入!$B$12*核心参数输入!$B$143)&gt;0,84=核心参数输入!$B$9*4),CJ169-CJ166,0),0)</f>
        <v>0</v>
      </c>
      <c r="CK171" s="9">
        <f>IF(85&lt;=核心参数输入!$B$9*4,IF(AND((核心参数输入!$B$10*核心参数输入!$B$11*核心参数输入!$B$12*核心参数输入!$B$143)&gt;0,85=核心参数输入!$B$9*4),CK169-CK166,0),0)</f>
        <v>0</v>
      </c>
      <c r="CL171" s="9">
        <f>IF(86&lt;=核心参数输入!$B$9*4,IF(AND((核心参数输入!$B$10*核心参数输入!$B$11*核心参数输入!$B$12*核心参数输入!$B$143)&gt;0,86=核心参数输入!$B$9*4),CL169-CL166,0),0)</f>
        <v>0</v>
      </c>
      <c r="CM171" s="9">
        <f>IF(87&lt;=核心参数输入!$B$9*4,IF(AND((核心参数输入!$B$10*核心参数输入!$B$11*核心参数输入!$B$12*核心参数输入!$B$143)&gt;0,87=核心参数输入!$B$9*4),CM169-CM166,0),0)</f>
        <v>0</v>
      </c>
      <c r="CN171" s="9">
        <f>IF(88&lt;=核心参数输入!$B$9*4,IF(AND((核心参数输入!$B$10*核心参数输入!$B$11*核心参数输入!$B$12*核心参数输入!$B$143)&gt;0,88=核心参数输入!$B$9*4),CN169-CN166,0),0)</f>
        <v>0</v>
      </c>
      <c r="CO171" s="9">
        <f>IF(89&lt;=核心参数输入!$B$9*4,IF(AND((核心参数输入!$B$10*核心参数输入!$B$11*核心参数输入!$B$12*核心参数输入!$B$143)&gt;0,89=核心参数输入!$B$9*4),CO169-CO166,0),0)</f>
        <v>0</v>
      </c>
      <c r="CP171" s="9">
        <f>IF(90&lt;=核心参数输入!$B$9*4,IF(AND((核心参数输入!$B$10*核心参数输入!$B$11*核心参数输入!$B$12*核心参数输入!$B$143)&gt;0,90=核心参数输入!$B$9*4),CP169-CP166,0),0)</f>
        <v>0</v>
      </c>
      <c r="CQ171" s="9">
        <f>IF(91&lt;=核心参数输入!$B$9*4,IF(AND((核心参数输入!$B$10*核心参数输入!$B$11*核心参数输入!$B$12*核心参数输入!$B$143)&gt;0,91=核心参数输入!$B$9*4),CQ169-CQ166,0),0)</f>
        <v>0</v>
      </c>
      <c r="CR171" s="9">
        <f>IF(92&lt;=核心参数输入!$B$9*4,IF(AND((核心参数输入!$B$10*核心参数输入!$B$11*核心参数输入!$B$12*核心参数输入!$B$143)&gt;0,92=核心参数输入!$B$9*4),CR169-CR166,0),0)</f>
        <v>0</v>
      </c>
      <c r="CS171" s="9">
        <f>IF(93&lt;=核心参数输入!$B$9*4,IF(AND((核心参数输入!$B$10*核心参数输入!$B$11*核心参数输入!$B$12*核心参数输入!$B$143)&gt;0,93=核心参数输入!$B$9*4),CS169-CS166,0),0)</f>
        <v>0</v>
      </c>
      <c r="CT171" s="9">
        <f>IF(94&lt;=核心参数输入!$B$9*4,IF(AND((核心参数输入!$B$10*核心参数输入!$B$11*核心参数输入!$B$12*核心参数输入!$B$143)&gt;0,94=核心参数输入!$B$9*4),CT169-CT166,0),0)</f>
        <v>0</v>
      </c>
      <c r="CU171" s="9">
        <f>IF(95&lt;=核心参数输入!$B$9*4,IF(AND((核心参数输入!$B$10*核心参数输入!$B$11*核心参数输入!$B$12*核心参数输入!$B$143)&gt;0,95=核心参数输入!$B$9*4),CU169-CU166,0),0)</f>
        <v>0</v>
      </c>
      <c r="CV171" s="9">
        <f>IF(96&lt;=核心参数输入!$B$9*4,IF(AND((核心参数输入!$B$10*核心参数输入!$B$11*核心参数输入!$B$12*核心参数输入!$B$143)&gt;0,96=核心参数输入!$B$9*4),CV169-CV166,0),0)</f>
        <v>0</v>
      </c>
      <c r="CW171" s="9">
        <f>IF(97&lt;=核心参数输入!$B$9*4,IF(AND((核心参数输入!$B$10*核心参数输入!$B$11*核心参数输入!$B$12*核心参数输入!$B$143)&gt;0,97=核心参数输入!$B$9*4),CW169-CW166,0),0)</f>
        <v>0</v>
      </c>
      <c r="CX171" s="9">
        <f>IF(98&lt;=核心参数输入!$B$9*4,IF(AND((核心参数输入!$B$10*核心参数输入!$B$11*核心参数输入!$B$12*核心参数输入!$B$143)&gt;0,98=核心参数输入!$B$9*4),CX169-CX166,0),0)</f>
        <v>0</v>
      </c>
      <c r="CY171" s="9">
        <f>IF(99&lt;=核心参数输入!$B$9*4,IF(AND((核心参数输入!$B$10*核心参数输入!$B$11*核心参数输入!$B$12*核心参数输入!$B$143)&gt;0,99=核心参数输入!$B$9*4),CY169-CY166,0),0)</f>
        <v>0</v>
      </c>
      <c r="CZ171" s="9">
        <f>IF(100&lt;=核心参数输入!$B$9*4,IF(AND((核心参数输入!$B$10*核心参数输入!$B$11*核心参数输入!$B$12*核心参数输入!$B$143)&gt;0,100=核心参数输入!$B$9*4),CZ169-CZ166,0),0)</f>
        <v>0</v>
      </c>
      <c r="DA171" s="9">
        <f>IF(101&lt;=核心参数输入!$B$9*4,IF(AND((核心参数输入!$B$10*核心参数输入!$B$11*核心参数输入!$B$12*核心参数输入!$B$143)&gt;0,101=核心参数输入!$B$9*4),DA169-DA166,0),0)</f>
        <v>0</v>
      </c>
      <c r="DB171" s="9">
        <f>IF(102&lt;=核心参数输入!$B$9*4,IF(AND((核心参数输入!$B$10*核心参数输入!$B$11*核心参数输入!$B$12*核心参数输入!$B$143)&gt;0,102=核心参数输入!$B$9*4),DB169-DB166,0),0)</f>
        <v>0</v>
      </c>
      <c r="DC171" s="9">
        <f>IF(103&lt;=核心参数输入!$B$9*4,IF(AND((核心参数输入!$B$10*核心参数输入!$B$11*核心参数输入!$B$12*核心参数输入!$B$143)&gt;0,103=核心参数输入!$B$9*4),DC169-DC166,0),0)</f>
        <v>0</v>
      </c>
      <c r="DD171" s="9">
        <f>IF(104&lt;=核心参数输入!$B$9*4,IF(AND((核心参数输入!$B$10*核心参数输入!$B$11*核心参数输入!$B$12*核心参数输入!$B$143)&gt;0,104=核心参数输入!$B$9*4),DD169-DD166,0),0)</f>
        <v>0</v>
      </c>
      <c r="DE171" s="9">
        <f>IF(105&lt;=核心参数输入!$B$9*4,IF(AND((核心参数输入!$B$10*核心参数输入!$B$11*核心参数输入!$B$12*核心参数输入!$B$143)&gt;0,105=核心参数输入!$B$9*4),DE169-DE166,0),0)</f>
        <v>0</v>
      </c>
      <c r="DF171" s="9">
        <f>IF(106&lt;=核心参数输入!$B$9*4,IF(AND((核心参数输入!$B$10*核心参数输入!$B$11*核心参数输入!$B$12*核心参数输入!$B$143)&gt;0,106=核心参数输入!$B$9*4),DF169-DF166,0),0)</f>
        <v>0</v>
      </c>
      <c r="DG171" s="9">
        <f>IF(107&lt;=核心参数输入!$B$9*4,IF(AND((核心参数输入!$B$10*核心参数输入!$B$11*核心参数输入!$B$12*核心参数输入!$B$143)&gt;0,107=核心参数输入!$B$9*4),DG169-DG166,0),0)</f>
        <v>0</v>
      </c>
      <c r="DH171" s="9">
        <f>IF(108&lt;=核心参数输入!$B$9*4,IF(AND((核心参数输入!$B$10*核心参数输入!$B$11*核心参数输入!$B$12*核心参数输入!$B$143)&gt;0,108=核心参数输入!$B$9*4),DH169-DH166,0),0)</f>
        <v>0</v>
      </c>
      <c r="DI171" s="9">
        <f>IF(109&lt;=核心参数输入!$B$9*4,IF(AND((核心参数输入!$B$10*核心参数输入!$B$11*核心参数输入!$B$12*核心参数输入!$B$143)&gt;0,109=核心参数输入!$B$9*4),DI169-DI166,0),0)</f>
        <v>0</v>
      </c>
      <c r="DJ171" s="9">
        <f>IF(110&lt;=核心参数输入!$B$9*4,IF(AND((核心参数输入!$B$10*核心参数输入!$B$11*核心参数输入!$B$12*核心参数输入!$B$143)&gt;0,110=核心参数输入!$B$9*4),DJ169-DJ166,0),0)</f>
        <v>0</v>
      </c>
      <c r="DK171" s="9">
        <f>IF(111&lt;=核心参数输入!$B$9*4,IF(AND((核心参数输入!$B$10*核心参数输入!$B$11*核心参数输入!$B$12*核心参数输入!$B$143)&gt;0,111=核心参数输入!$B$9*4),DK169-DK166,0),0)</f>
        <v>0</v>
      </c>
      <c r="DL171" s="9">
        <f>IF(112&lt;=核心参数输入!$B$9*4,IF(AND((核心参数输入!$B$10*核心参数输入!$B$11*核心参数输入!$B$12*核心参数输入!$B$143)&gt;0,112=核心参数输入!$B$9*4),DL169-DL166,0),0)</f>
        <v>0</v>
      </c>
      <c r="DM171" s="9">
        <f>IF(113&lt;=核心参数输入!$B$9*4,IF(AND((核心参数输入!$B$10*核心参数输入!$B$11*核心参数输入!$B$12*核心参数输入!$B$143)&gt;0,113=核心参数输入!$B$9*4),DM169-DM166,0),0)</f>
        <v>0</v>
      </c>
      <c r="DN171" s="9">
        <f>IF(114&lt;=核心参数输入!$B$9*4,IF(AND((核心参数输入!$B$10*核心参数输入!$B$11*核心参数输入!$B$12*核心参数输入!$B$143)&gt;0,114=核心参数输入!$B$9*4),DN169-DN166,0),0)</f>
        <v>0</v>
      </c>
      <c r="DO171" s="9">
        <f>IF(115&lt;=核心参数输入!$B$9*4,IF(AND((核心参数输入!$B$10*核心参数输入!$B$11*核心参数输入!$B$12*核心参数输入!$B$143)&gt;0,115=核心参数输入!$B$9*4),DO169-DO166,0),0)</f>
        <v>0</v>
      </c>
      <c r="DP171" s="9">
        <f>IF(116&lt;=核心参数输入!$B$9*4,IF(AND((核心参数输入!$B$10*核心参数输入!$B$11*核心参数输入!$B$12*核心参数输入!$B$143)&gt;0,116=核心参数输入!$B$9*4),DP169-DP166,0),0)</f>
        <v>0</v>
      </c>
      <c r="DQ171" s="9">
        <f>IF(117&lt;=核心参数输入!$B$9*4,IF(AND((核心参数输入!$B$10*核心参数输入!$B$11*核心参数输入!$B$12*核心参数输入!$B$143)&gt;0,117=核心参数输入!$B$9*4),DQ169-DQ166,0),0)</f>
        <v>0</v>
      </c>
      <c r="DR171" s="9">
        <f>IF(118&lt;=核心参数输入!$B$9*4,IF(AND((核心参数输入!$B$10*核心参数输入!$B$11*核心参数输入!$B$12*核心参数输入!$B$143)&gt;0,118=核心参数输入!$B$9*4),DR169-DR166,0),0)</f>
        <v>0</v>
      </c>
      <c r="DS171" s="9">
        <f>IF(119&lt;=核心参数输入!$B$9*4,IF(AND((核心参数输入!$B$10*核心参数输入!$B$11*核心参数输入!$B$12*核心参数输入!$B$143)&gt;0,119=核心参数输入!$B$9*4),DS169-DS166,0),0)</f>
        <v>0</v>
      </c>
      <c r="DT171" s="9">
        <f>IF(120&lt;=核心参数输入!$B$9*4,IF(AND((核心参数输入!$B$10*核心参数输入!$B$11*核心参数输入!$B$12*核心参数输入!$B$143)&gt;0,120=核心参数输入!$B$9*4),DT169-DT166,0),0)</f>
        <v>0</v>
      </c>
    </row>
    <row r="172" spans="1:124" ht="21" customHeight="1">
      <c r="A172" s="8" t="s">
        <v>493</v>
      </c>
      <c r="B172" s="8" t="s">
        <v>39</v>
      </c>
      <c r="C172" s="8"/>
      <c r="D172" s="9">
        <f>IF(0&lt;=核心参数输入!$B$9*4,SUMIFS(年度所得税!$D$165:$AH$165,年度所得税!$D$4:$AH$4,(0-核心参数输入!$B$111)/4)+IF(0=核心参数输入!$B$9*4,SUMIFS(年度所得税!$D$165:$AH$165,年度所得税!$D$4:$AH$4,"&gt;"&amp;(核心参数输入!$B$9*4-核心参数输入!$B$111)/4),0),0)</f>
        <v>0</v>
      </c>
      <c r="E172" s="9">
        <f>IF(1&lt;=核心参数输入!$B$9*4,SUMIFS(年度所得税!$D$165:$AH$165,年度所得税!$D$4:$AH$4,(1-核心参数输入!$B$111)/4)+IF(1=核心参数输入!$B$9*4,SUMIFS(年度所得税!$D$165:$AH$165,年度所得税!$D$4:$AH$4,"&gt;"&amp;(核心参数输入!$B$9*4-核心参数输入!$B$111)/4),0),0)</f>
        <v>0</v>
      </c>
      <c r="F172" s="9">
        <f>IF(2&lt;=核心参数输入!$B$9*4,SUMIFS(年度所得税!$D$165:$AH$165,年度所得税!$D$4:$AH$4,(2-核心参数输入!$B$111)/4)+IF(2=核心参数输入!$B$9*4,SUMIFS(年度所得税!$D$165:$AH$165,年度所得税!$D$4:$AH$4,"&gt;"&amp;(核心参数输入!$B$9*4-核心参数输入!$B$111)/4),0),0)</f>
        <v>0</v>
      </c>
      <c r="G172" s="9">
        <f>IF(3&lt;=核心参数输入!$B$9*4,SUMIFS(年度所得税!$D$165:$AH$165,年度所得税!$D$4:$AH$4,(3-核心参数输入!$B$111)/4)+IF(3=核心参数输入!$B$9*4,SUMIFS(年度所得税!$D$165:$AH$165,年度所得税!$D$4:$AH$4,"&gt;"&amp;(核心参数输入!$B$9*4-核心参数输入!$B$111)/4),0),0)</f>
        <v>0</v>
      </c>
      <c r="H172" s="9">
        <f>IF(4&lt;=核心参数输入!$B$9*4,SUMIFS(年度所得税!$D$165:$AH$165,年度所得税!$D$4:$AH$4,(4-核心参数输入!$B$111)/4)+IF(4=核心参数输入!$B$9*4,SUMIFS(年度所得税!$D$165:$AH$165,年度所得税!$D$4:$AH$4,"&gt;"&amp;(核心参数输入!$B$9*4-核心参数输入!$B$111)/4),0),0)</f>
        <v>0</v>
      </c>
      <c r="I172" s="9">
        <f>IF(5&lt;=核心参数输入!$B$9*4,SUMIFS(年度所得税!$D$165:$AH$165,年度所得税!$D$4:$AH$4,(5-核心参数输入!$B$111)/4)+IF(5=核心参数输入!$B$9*4,SUMIFS(年度所得税!$D$165:$AH$165,年度所得税!$D$4:$AH$4,"&gt;"&amp;(核心参数输入!$B$9*4-核心参数输入!$B$111)/4),0),0)</f>
        <v>0</v>
      </c>
      <c r="J172" s="9">
        <f>IF(6&lt;=核心参数输入!$B$9*4,SUMIFS(年度所得税!$D$165:$AH$165,年度所得税!$D$4:$AH$4,(6-核心参数输入!$B$111)/4)+IF(6=核心参数输入!$B$9*4,SUMIFS(年度所得税!$D$165:$AH$165,年度所得税!$D$4:$AH$4,"&gt;"&amp;(核心参数输入!$B$9*4-核心参数输入!$B$111)/4),0),0)</f>
        <v>0</v>
      </c>
      <c r="K172" s="9">
        <f>IF(7&lt;=核心参数输入!$B$9*4,SUMIFS(年度所得税!$D$165:$AH$165,年度所得税!$D$4:$AH$4,(7-核心参数输入!$B$111)/4)+IF(7=核心参数输入!$B$9*4,SUMIFS(年度所得税!$D$165:$AH$165,年度所得税!$D$4:$AH$4,"&gt;"&amp;(核心参数输入!$B$9*4-核心参数输入!$B$111)/4),0),0)</f>
        <v>0</v>
      </c>
      <c r="L172" s="9">
        <f>IF(8&lt;=核心参数输入!$B$9*4,SUMIFS(年度所得税!$D$165:$AH$165,年度所得税!$D$4:$AH$4,(8-核心参数输入!$B$111)/4)+IF(8=核心参数输入!$B$9*4,SUMIFS(年度所得税!$D$165:$AH$165,年度所得税!$D$4:$AH$4,"&gt;"&amp;(核心参数输入!$B$9*4-核心参数输入!$B$111)/4),0),0)</f>
        <v>0</v>
      </c>
      <c r="M172" s="9">
        <f>IF(9&lt;=核心参数输入!$B$9*4,SUMIFS(年度所得税!$D$165:$AH$165,年度所得税!$D$4:$AH$4,(9-核心参数输入!$B$111)/4)+IF(9=核心参数输入!$B$9*4,SUMIFS(年度所得税!$D$165:$AH$165,年度所得税!$D$4:$AH$4,"&gt;"&amp;(核心参数输入!$B$9*4-核心参数输入!$B$111)/4),0),0)</f>
        <v>0</v>
      </c>
      <c r="N172" s="9">
        <f>IF(10&lt;=核心参数输入!$B$9*4,SUMIFS(年度所得税!$D$165:$AH$165,年度所得税!$D$4:$AH$4,(10-核心参数输入!$B$111)/4)+IF(10=核心参数输入!$B$9*4,SUMIFS(年度所得税!$D$165:$AH$165,年度所得税!$D$4:$AH$4,"&gt;"&amp;(核心参数输入!$B$9*4-核心参数输入!$B$111)/4),0),0)</f>
        <v>0</v>
      </c>
      <c r="O172" s="9">
        <f>IF(11&lt;=核心参数输入!$B$9*4,SUMIFS(年度所得税!$D$165:$AH$165,年度所得税!$D$4:$AH$4,(11-核心参数输入!$B$111)/4)+IF(11=核心参数输入!$B$9*4,SUMIFS(年度所得税!$D$165:$AH$165,年度所得税!$D$4:$AH$4,"&gt;"&amp;(核心参数输入!$B$9*4-核心参数输入!$B$111)/4),0),0)</f>
        <v>0</v>
      </c>
      <c r="P172" s="9">
        <f>IF(12&lt;=核心参数输入!$B$9*4,SUMIFS(年度所得税!$D$165:$AH$165,年度所得税!$D$4:$AH$4,(12-核心参数输入!$B$111)/4)+IF(12=核心参数输入!$B$9*4,SUMIFS(年度所得税!$D$165:$AH$165,年度所得税!$D$4:$AH$4,"&gt;"&amp;(核心参数输入!$B$9*4-核心参数输入!$B$111)/4),0),0)</f>
        <v>0</v>
      </c>
      <c r="Q172" s="9">
        <f>IF(13&lt;=核心参数输入!$B$9*4,SUMIFS(年度所得税!$D$165:$AH$165,年度所得税!$D$4:$AH$4,(13-核心参数输入!$B$111)/4)+IF(13=核心参数输入!$B$9*4,SUMIFS(年度所得税!$D$165:$AH$165,年度所得税!$D$4:$AH$4,"&gt;"&amp;(核心参数输入!$B$9*4-核心参数输入!$B$111)/4),0),0)</f>
        <v>0</v>
      </c>
      <c r="R172" s="9">
        <f>IF(14&lt;=核心参数输入!$B$9*4,SUMIFS(年度所得税!$D$165:$AH$165,年度所得税!$D$4:$AH$4,(14-核心参数输入!$B$111)/4)+IF(14=核心参数输入!$B$9*4,SUMIFS(年度所得税!$D$165:$AH$165,年度所得税!$D$4:$AH$4,"&gt;"&amp;(核心参数输入!$B$9*4-核心参数输入!$B$111)/4),0),0)</f>
        <v>0</v>
      </c>
      <c r="S172" s="9">
        <f>IF(15&lt;=核心参数输入!$B$9*4,SUMIFS(年度所得税!$D$165:$AH$165,年度所得税!$D$4:$AH$4,(15-核心参数输入!$B$111)/4)+IF(15=核心参数输入!$B$9*4,SUMIFS(年度所得税!$D$165:$AH$165,年度所得税!$D$4:$AH$4,"&gt;"&amp;(核心参数输入!$B$9*4-核心参数输入!$B$111)/4),0),0)</f>
        <v>0</v>
      </c>
      <c r="T172" s="9">
        <f>IF(16&lt;=核心参数输入!$B$9*4,SUMIFS(年度所得税!$D$165:$AH$165,年度所得税!$D$4:$AH$4,(16-核心参数输入!$B$111)/4)+IF(16=核心参数输入!$B$9*4,SUMIFS(年度所得税!$D$165:$AH$165,年度所得税!$D$4:$AH$4,"&gt;"&amp;(核心参数输入!$B$9*4-核心参数输入!$B$111)/4),0),0)</f>
        <v>0</v>
      </c>
      <c r="U172" s="9">
        <f>IF(17&lt;=核心参数输入!$B$9*4,SUMIFS(年度所得税!$D$165:$AH$165,年度所得税!$D$4:$AH$4,(17-核心参数输入!$B$111)/4)+IF(17=核心参数输入!$B$9*4,SUMIFS(年度所得税!$D$165:$AH$165,年度所得税!$D$4:$AH$4,"&gt;"&amp;(核心参数输入!$B$9*4-核心参数输入!$B$111)/4),0),0)</f>
        <v>0</v>
      </c>
      <c r="V172" s="9">
        <f>IF(18&lt;=核心参数输入!$B$9*4,SUMIFS(年度所得税!$D$165:$AH$165,年度所得税!$D$4:$AH$4,(18-核心参数输入!$B$111)/4)+IF(18=核心参数输入!$B$9*4,SUMIFS(年度所得税!$D$165:$AH$165,年度所得税!$D$4:$AH$4,"&gt;"&amp;(核心参数输入!$B$9*4-核心参数输入!$B$111)/4),0),0)</f>
        <v>0</v>
      </c>
      <c r="W172" s="9">
        <f>IF(19&lt;=核心参数输入!$B$9*4,SUMIFS(年度所得税!$D$165:$AH$165,年度所得税!$D$4:$AH$4,(19-核心参数输入!$B$111)/4)+IF(19=核心参数输入!$B$9*4,SUMIFS(年度所得税!$D$165:$AH$165,年度所得税!$D$4:$AH$4,"&gt;"&amp;(核心参数输入!$B$9*4-核心参数输入!$B$111)/4),0),0)</f>
        <v>0</v>
      </c>
      <c r="X172" s="9">
        <f>IF(20&lt;=核心参数输入!$B$9*4,SUMIFS(年度所得税!$D$165:$AH$165,年度所得税!$D$4:$AH$4,(20-核心参数输入!$B$111)/4)+IF(20=核心参数输入!$B$9*4,SUMIFS(年度所得税!$D$165:$AH$165,年度所得税!$D$4:$AH$4,"&gt;"&amp;(核心参数输入!$B$9*4-核心参数输入!$B$111)/4),0),0)</f>
        <v>0</v>
      </c>
      <c r="Y172" s="9">
        <f>IF(21&lt;=核心参数输入!$B$9*4,SUMIFS(年度所得税!$D$165:$AH$165,年度所得税!$D$4:$AH$4,(21-核心参数输入!$B$111)/4)+IF(21=核心参数输入!$B$9*4,SUMIFS(年度所得税!$D$165:$AH$165,年度所得税!$D$4:$AH$4,"&gt;"&amp;(核心参数输入!$B$9*4-核心参数输入!$B$111)/4),0),0)</f>
        <v>0</v>
      </c>
      <c r="Z172" s="9">
        <f>IF(22&lt;=核心参数输入!$B$9*4,SUMIFS(年度所得税!$D$165:$AH$165,年度所得税!$D$4:$AH$4,(22-核心参数输入!$B$111)/4)+IF(22=核心参数输入!$B$9*4,SUMIFS(年度所得税!$D$165:$AH$165,年度所得税!$D$4:$AH$4,"&gt;"&amp;(核心参数输入!$B$9*4-核心参数输入!$B$111)/4),0),0)</f>
        <v>0</v>
      </c>
      <c r="AA172" s="9">
        <f>IF(23&lt;=核心参数输入!$B$9*4,SUMIFS(年度所得税!$D$165:$AH$165,年度所得税!$D$4:$AH$4,(23-核心参数输入!$B$111)/4)+IF(23=核心参数输入!$B$9*4,SUMIFS(年度所得税!$D$165:$AH$165,年度所得税!$D$4:$AH$4,"&gt;"&amp;(核心参数输入!$B$9*4-核心参数输入!$B$111)/4),0),0)</f>
        <v>0</v>
      </c>
      <c r="AB172" s="9">
        <f>IF(24&lt;=核心参数输入!$B$9*4,SUMIFS(年度所得税!$D$165:$AH$165,年度所得税!$D$4:$AH$4,(24-核心参数输入!$B$111)/4)+IF(24=核心参数输入!$B$9*4,SUMIFS(年度所得税!$D$165:$AH$165,年度所得税!$D$4:$AH$4,"&gt;"&amp;(核心参数输入!$B$9*4-核心参数输入!$B$111)/4),0),0)</f>
        <v>11.728541445416781</v>
      </c>
      <c r="AC172" s="9">
        <f>IF(25&lt;=核心参数输入!$B$9*4,SUMIFS(年度所得税!$D$165:$AH$165,年度所得税!$D$4:$AH$4,(25-核心参数输入!$B$111)/4)+IF(25=核心参数输入!$B$9*4,SUMIFS(年度所得税!$D$165:$AH$165,年度所得税!$D$4:$AH$4,"&gt;"&amp;(核心参数输入!$B$9*4-核心参数输入!$B$111)/4),0),0)</f>
        <v>0</v>
      </c>
      <c r="AD172" s="9">
        <f>IF(26&lt;=核心参数输入!$B$9*4,SUMIFS(年度所得税!$D$165:$AH$165,年度所得税!$D$4:$AH$4,(26-核心参数输入!$B$111)/4)+IF(26=核心参数输入!$B$9*4,SUMIFS(年度所得税!$D$165:$AH$165,年度所得税!$D$4:$AH$4,"&gt;"&amp;(核心参数输入!$B$9*4-核心参数输入!$B$111)/4),0),0)</f>
        <v>0</v>
      </c>
      <c r="AE172" s="9">
        <f>IF(27&lt;=核心参数输入!$B$9*4,SUMIFS(年度所得税!$D$165:$AH$165,年度所得税!$D$4:$AH$4,(27-核心参数输入!$B$111)/4)+IF(27=核心参数输入!$B$9*4,SUMIFS(年度所得税!$D$165:$AH$165,年度所得税!$D$4:$AH$4,"&gt;"&amp;(核心参数输入!$B$9*4-核心参数输入!$B$111)/4),0),0)</f>
        <v>0</v>
      </c>
      <c r="AF172" s="9">
        <f>IF(28&lt;=核心参数输入!$B$9*4,SUMIFS(年度所得税!$D$165:$AH$165,年度所得税!$D$4:$AH$4,(28-核心参数输入!$B$111)/4)+IF(28=核心参数输入!$B$9*4,SUMIFS(年度所得税!$D$165:$AH$165,年度所得税!$D$4:$AH$4,"&gt;"&amp;(核心参数输入!$B$9*4-核心参数输入!$B$111)/4),0),0)</f>
        <v>0</v>
      </c>
      <c r="AG172" s="9">
        <f>IF(29&lt;=核心参数输入!$B$9*4,SUMIFS(年度所得税!$D$165:$AH$165,年度所得税!$D$4:$AH$4,(29-核心参数输入!$B$111)/4)+IF(29=核心参数输入!$B$9*4,SUMIFS(年度所得税!$D$165:$AH$165,年度所得税!$D$4:$AH$4,"&gt;"&amp;(核心参数输入!$B$9*4-核心参数输入!$B$111)/4),0),0)</f>
        <v>0</v>
      </c>
      <c r="AH172" s="9">
        <f>IF(30&lt;=核心参数输入!$B$9*4,SUMIFS(年度所得税!$D$165:$AH$165,年度所得税!$D$4:$AH$4,(30-核心参数输入!$B$111)/4)+IF(30=核心参数输入!$B$9*4,SUMIFS(年度所得税!$D$165:$AH$165,年度所得税!$D$4:$AH$4,"&gt;"&amp;(核心参数输入!$B$9*4-核心参数输入!$B$111)/4),0),0)</f>
        <v>0</v>
      </c>
      <c r="AI172" s="9">
        <f>IF(31&lt;=核心参数输入!$B$9*4,SUMIFS(年度所得税!$D$165:$AH$165,年度所得税!$D$4:$AH$4,(31-核心参数输入!$B$111)/4)+IF(31=核心参数输入!$B$9*4,SUMIFS(年度所得税!$D$165:$AH$165,年度所得税!$D$4:$AH$4,"&gt;"&amp;(核心参数输入!$B$9*4-核心参数输入!$B$111)/4),0),0)</f>
        <v>0</v>
      </c>
      <c r="AJ172" s="9">
        <f>IF(32&lt;=核心参数输入!$B$9*4,SUMIFS(年度所得税!$D$165:$AH$165,年度所得税!$D$4:$AH$4,(32-核心参数输入!$B$111)/4)+IF(32=核心参数输入!$B$9*4,SUMIFS(年度所得税!$D$165:$AH$165,年度所得税!$D$4:$AH$4,"&gt;"&amp;(核心参数输入!$B$9*4-核心参数输入!$B$111)/4),0),0)</f>
        <v>0</v>
      </c>
      <c r="AK172" s="9">
        <f>IF(33&lt;=核心参数输入!$B$9*4,SUMIFS(年度所得税!$D$165:$AH$165,年度所得税!$D$4:$AH$4,(33-核心参数输入!$B$111)/4)+IF(33=核心参数输入!$B$9*4,SUMIFS(年度所得税!$D$165:$AH$165,年度所得税!$D$4:$AH$4,"&gt;"&amp;(核心参数输入!$B$9*4-核心参数输入!$B$111)/4),0),0)</f>
        <v>0</v>
      </c>
      <c r="AL172" s="9">
        <f>IF(34&lt;=核心参数输入!$B$9*4,SUMIFS(年度所得税!$D$165:$AH$165,年度所得税!$D$4:$AH$4,(34-核心参数输入!$B$111)/4)+IF(34=核心参数输入!$B$9*4,SUMIFS(年度所得税!$D$165:$AH$165,年度所得税!$D$4:$AH$4,"&gt;"&amp;(核心参数输入!$B$9*4-核心参数输入!$B$111)/4),0),0)</f>
        <v>0</v>
      </c>
      <c r="AM172" s="9">
        <f>IF(35&lt;=核心参数输入!$B$9*4,SUMIFS(年度所得税!$D$165:$AH$165,年度所得税!$D$4:$AH$4,(35-核心参数输入!$B$111)/4)+IF(35=核心参数输入!$B$9*4,SUMIFS(年度所得税!$D$165:$AH$165,年度所得税!$D$4:$AH$4,"&gt;"&amp;(核心参数输入!$B$9*4-核心参数输入!$B$111)/4),0),0)</f>
        <v>0</v>
      </c>
      <c r="AN172" s="9">
        <f>IF(36&lt;=核心参数输入!$B$9*4,SUMIFS(年度所得税!$D$165:$AH$165,年度所得税!$D$4:$AH$4,(36-核心参数输入!$B$111)/4)+IF(36=核心参数输入!$B$9*4,SUMIFS(年度所得税!$D$165:$AH$165,年度所得税!$D$4:$AH$4,"&gt;"&amp;(核心参数输入!$B$9*4-核心参数输入!$B$111)/4),0),0)</f>
        <v>0</v>
      </c>
      <c r="AO172" s="9">
        <f>IF(37&lt;=核心参数输入!$B$9*4,SUMIFS(年度所得税!$D$165:$AH$165,年度所得税!$D$4:$AH$4,(37-核心参数输入!$B$111)/4)+IF(37=核心参数输入!$B$9*4,SUMIFS(年度所得税!$D$165:$AH$165,年度所得税!$D$4:$AH$4,"&gt;"&amp;(核心参数输入!$B$9*4-核心参数输入!$B$111)/4),0),0)</f>
        <v>0</v>
      </c>
      <c r="AP172" s="9">
        <f>IF(38&lt;=核心参数输入!$B$9*4,SUMIFS(年度所得税!$D$165:$AH$165,年度所得税!$D$4:$AH$4,(38-核心参数输入!$B$111)/4)+IF(38=核心参数输入!$B$9*4,SUMIFS(年度所得税!$D$165:$AH$165,年度所得税!$D$4:$AH$4,"&gt;"&amp;(核心参数输入!$B$9*4-核心参数输入!$B$111)/4),0),0)</f>
        <v>0</v>
      </c>
      <c r="AQ172" s="9">
        <f>IF(39&lt;=核心参数输入!$B$9*4,SUMIFS(年度所得税!$D$165:$AH$165,年度所得税!$D$4:$AH$4,(39-核心参数输入!$B$111)/4)+IF(39=核心参数输入!$B$9*4,SUMIFS(年度所得税!$D$165:$AH$165,年度所得税!$D$4:$AH$4,"&gt;"&amp;(核心参数输入!$B$9*4-核心参数输入!$B$111)/4),0),0)</f>
        <v>0</v>
      </c>
      <c r="AR172" s="9">
        <f>IF(40&lt;=核心参数输入!$B$9*4,SUMIFS(年度所得税!$D$165:$AH$165,年度所得税!$D$4:$AH$4,(40-核心参数输入!$B$111)/4)+IF(40=核心参数输入!$B$9*4,SUMIFS(年度所得税!$D$165:$AH$165,年度所得税!$D$4:$AH$4,"&gt;"&amp;(核心参数输入!$B$9*4-核心参数输入!$B$111)/4),0),0)</f>
        <v>0</v>
      </c>
      <c r="AS172" s="9">
        <f>IF(41&lt;=核心参数输入!$B$9*4,SUMIFS(年度所得税!$D$165:$AH$165,年度所得税!$D$4:$AH$4,(41-核心参数输入!$B$111)/4)+IF(41=核心参数输入!$B$9*4,SUMIFS(年度所得税!$D$165:$AH$165,年度所得税!$D$4:$AH$4,"&gt;"&amp;(核心参数输入!$B$9*4-核心参数输入!$B$111)/4),0),0)</f>
        <v>0</v>
      </c>
      <c r="AT172" s="9">
        <f>IF(42&lt;=核心参数输入!$B$9*4,SUMIFS(年度所得税!$D$165:$AH$165,年度所得税!$D$4:$AH$4,(42-核心参数输入!$B$111)/4)+IF(42=核心参数输入!$B$9*4,SUMIFS(年度所得税!$D$165:$AH$165,年度所得税!$D$4:$AH$4,"&gt;"&amp;(核心参数输入!$B$9*4-核心参数输入!$B$111)/4),0),0)</f>
        <v>0</v>
      </c>
      <c r="AU172" s="9">
        <f>IF(43&lt;=核心参数输入!$B$9*4,SUMIFS(年度所得税!$D$165:$AH$165,年度所得税!$D$4:$AH$4,(43-核心参数输入!$B$111)/4)+IF(43=核心参数输入!$B$9*4,SUMIFS(年度所得税!$D$165:$AH$165,年度所得税!$D$4:$AH$4,"&gt;"&amp;(核心参数输入!$B$9*4-核心参数输入!$B$111)/4),0),0)</f>
        <v>0</v>
      </c>
      <c r="AV172" s="9">
        <f>IF(44&lt;=核心参数输入!$B$9*4,SUMIFS(年度所得税!$D$165:$AH$165,年度所得税!$D$4:$AH$4,(44-核心参数输入!$B$111)/4)+IF(44=核心参数输入!$B$9*4,SUMIFS(年度所得税!$D$165:$AH$165,年度所得税!$D$4:$AH$4,"&gt;"&amp;(核心参数输入!$B$9*4-核心参数输入!$B$111)/4),0),0)</f>
        <v>0</v>
      </c>
      <c r="AW172" s="9">
        <f>IF(45&lt;=核心参数输入!$B$9*4,SUMIFS(年度所得税!$D$165:$AH$165,年度所得税!$D$4:$AH$4,(45-核心参数输入!$B$111)/4)+IF(45=核心参数输入!$B$9*4,SUMIFS(年度所得税!$D$165:$AH$165,年度所得税!$D$4:$AH$4,"&gt;"&amp;(核心参数输入!$B$9*4-核心参数输入!$B$111)/4),0),0)</f>
        <v>0</v>
      </c>
      <c r="AX172" s="9">
        <f>IF(46&lt;=核心参数输入!$B$9*4,SUMIFS(年度所得税!$D$165:$AH$165,年度所得税!$D$4:$AH$4,(46-核心参数输入!$B$111)/4)+IF(46=核心参数输入!$B$9*4,SUMIFS(年度所得税!$D$165:$AH$165,年度所得税!$D$4:$AH$4,"&gt;"&amp;(核心参数输入!$B$9*4-核心参数输入!$B$111)/4),0),0)</f>
        <v>0</v>
      </c>
      <c r="AY172" s="9">
        <f>IF(47&lt;=核心参数输入!$B$9*4,SUMIFS(年度所得税!$D$165:$AH$165,年度所得税!$D$4:$AH$4,(47-核心参数输入!$B$111)/4)+IF(47=核心参数输入!$B$9*4,SUMIFS(年度所得税!$D$165:$AH$165,年度所得税!$D$4:$AH$4,"&gt;"&amp;(核心参数输入!$B$9*4-核心参数输入!$B$111)/4),0),0)</f>
        <v>0</v>
      </c>
      <c r="AZ172" s="9">
        <f>IF(48&lt;=核心参数输入!$B$9*4,SUMIFS(年度所得税!$D$165:$AH$165,年度所得税!$D$4:$AH$4,(48-核心参数输入!$B$111)/4)+IF(48=核心参数输入!$B$9*4,SUMIFS(年度所得税!$D$165:$AH$165,年度所得税!$D$4:$AH$4,"&gt;"&amp;(核心参数输入!$B$9*4-核心参数输入!$B$111)/4),0),0)</f>
        <v>0</v>
      </c>
      <c r="BA172" s="9">
        <f>IF(49&lt;=核心参数输入!$B$9*4,SUMIFS(年度所得税!$D$165:$AH$165,年度所得税!$D$4:$AH$4,(49-核心参数输入!$B$111)/4)+IF(49=核心参数输入!$B$9*4,SUMIFS(年度所得税!$D$165:$AH$165,年度所得税!$D$4:$AH$4,"&gt;"&amp;(核心参数输入!$B$9*4-核心参数输入!$B$111)/4),0),0)</f>
        <v>0</v>
      </c>
      <c r="BB172" s="9">
        <f>IF(50&lt;=核心参数输入!$B$9*4,SUMIFS(年度所得税!$D$165:$AH$165,年度所得税!$D$4:$AH$4,(50-核心参数输入!$B$111)/4)+IF(50=核心参数输入!$B$9*4,SUMIFS(年度所得税!$D$165:$AH$165,年度所得税!$D$4:$AH$4,"&gt;"&amp;(核心参数输入!$B$9*4-核心参数输入!$B$111)/4),0),0)</f>
        <v>0</v>
      </c>
      <c r="BC172" s="9">
        <f>IF(51&lt;=核心参数输入!$B$9*4,SUMIFS(年度所得税!$D$165:$AH$165,年度所得税!$D$4:$AH$4,(51-核心参数输入!$B$111)/4)+IF(51=核心参数输入!$B$9*4,SUMIFS(年度所得税!$D$165:$AH$165,年度所得税!$D$4:$AH$4,"&gt;"&amp;(核心参数输入!$B$9*4-核心参数输入!$B$111)/4),0),0)</f>
        <v>0</v>
      </c>
      <c r="BD172" s="9">
        <f>IF(52&lt;=核心参数输入!$B$9*4,SUMIFS(年度所得税!$D$165:$AH$165,年度所得税!$D$4:$AH$4,(52-核心参数输入!$B$111)/4)+IF(52=核心参数输入!$B$9*4,SUMIFS(年度所得税!$D$165:$AH$165,年度所得税!$D$4:$AH$4,"&gt;"&amp;(核心参数输入!$B$9*4-核心参数输入!$B$111)/4),0),0)</f>
        <v>0</v>
      </c>
      <c r="BE172" s="9">
        <f>IF(53&lt;=核心参数输入!$B$9*4,SUMIFS(年度所得税!$D$165:$AH$165,年度所得税!$D$4:$AH$4,(53-核心参数输入!$B$111)/4)+IF(53=核心参数输入!$B$9*4,SUMIFS(年度所得税!$D$165:$AH$165,年度所得税!$D$4:$AH$4,"&gt;"&amp;(核心参数输入!$B$9*4-核心参数输入!$B$111)/4),0),0)</f>
        <v>0</v>
      </c>
      <c r="BF172" s="9">
        <f>IF(54&lt;=核心参数输入!$B$9*4,SUMIFS(年度所得税!$D$165:$AH$165,年度所得税!$D$4:$AH$4,(54-核心参数输入!$B$111)/4)+IF(54=核心参数输入!$B$9*4,SUMIFS(年度所得税!$D$165:$AH$165,年度所得税!$D$4:$AH$4,"&gt;"&amp;(核心参数输入!$B$9*4-核心参数输入!$B$111)/4),0),0)</f>
        <v>0</v>
      </c>
      <c r="BG172" s="9">
        <f>IF(55&lt;=核心参数输入!$B$9*4,SUMIFS(年度所得税!$D$165:$AH$165,年度所得税!$D$4:$AH$4,(55-核心参数输入!$B$111)/4)+IF(55=核心参数输入!$B$9*4,SUMIFS(年度所得税!$D$165:$AH$165,年度所得税!$D$4:$AH$4,"&gt;"&amp;(核心参数输入!$B$9*4-核心参数输入!$B$111)/4),0),0)</f>
        <v>0</v>
      </c>
      <c r="BH172" s="9">
        <f>IF(56&lt;=核心参数输入!$B$9*4,SUMIFS(年度所得税!$D$165:$AH$165,年度所得税!$D$4:$AH$4,(56-核心参数输入!$B$111)/4)+IF(56=核心参数输入!$B$9*4,SUMIFS(年度所得税!$D$165:$AH$165,年度所得税!$D$4:$AH$4,"&gt;"&amp;(核心参数输入!$B$9*4-核心参数输入!$B$111)/4),0),0)</f>
        <v>0</v>
      </c>
      <c r="BI172" s="9">
        <f>IF(57&lt;=核心参数输入!$B$9*4,SUMIFS(年度所得税!$D$165:$AH$165,年度所得税!$D$4:$AH$4,(57-核心参数输入!$B$111)/4)+IF(57=核心参数输入!$B$9*4,SUMIFS(年度所得税!$D$165:$AH$165,年度所得税!$D$4:$AH$4,"&gt;"&amp;(核心参数输入!$B$9*4-核心参数输入!$B$111)/4),0),0)</f>
        <v>0</v>
      </c>
      <c r="BJ172" s="9">
        <f>IF(58&lt;=核心参数输入!$B$9*4,SUMIFS(年度所得税!$D$165:$AH$165,年度所得税!$D$4:$AH$4,(58-核心参数输入!$B$111)/4)+IF(58=核心参数输入!$B$9*4,SUMIFS(年度所得税!$D$165:$AH$165,年度所得税!$D$4:$AH$4,"&gt;"&amp;(核心参数输入!$B$9*4-核心参数输入!$B$111)/4),0),0)</f>
        <v>0</v>
      </c>
      <c r="BK172" s="9">
        <f>IF(59&lt;=核心参数输入!$B$9*4,SUMIFS(年度所得税!$D$165:$AH$165,年度所得税!$D$4:$AH$4,(59-核心参数输入!$B$111)/4)+IF(59=核心参数输入!$B$9*4,SUMIFS(年度所得税!$D$165:$AH$165,年度所得税!$D$4:$AH$4,"&gt;"&amp;(核心参数输入!$B$9*4-核心参数输入!$B$111)/4),0),0)</f>
        <v>0</v>
      </c>
      <c r="BL172" s="9">
        <f>IF(60&lt;=核心参数输入!$B$9*4,SUMIFS(年度所得税!$D$165:$AH$165,年度所得税!$D$4:$AH$4,(60-核心参数输入!$B$111)/4)+IF(60=核心参数输入!$B$9*4,SUMIFS(年度所得税!$D$165:$AH$165,年度所得税!$D$4:$AH$4,"&gt;"&amp;(核心参数输入!$B$9*4-核心参数输入!$B$111)/4),0),0)</f>
        <v>0</v>
      </c>
      <c r="BM172" s="9">
        <f>IF(61&lt;=核心参数输入!$B$9*4,SUMIFS(年度所得税!$D$165:$AH$165,年度所得税!$D$4:$AH$4,(61-核心参数输入!$B$111)/4)+IF(61=核心参数输入!$B$9*4,SUMIFS(年度所得税!$D$165:$AH$165,年度所得税!$D$4:$AH$4,"&gt;"&amp;(核心参数输入!$B$9*4-核心参数输入!$B$111)/4),0),0)</f>
        <v>0</v>
      </c>
      <c r="BN172" s="9">
        <f>IF(62&lt;=核心参数输入!$B$9*4,SUMIFS(年度所得税!$D$165:$AH$165,年度所得税!$D$4:$AH$4,(62-核心参数输入!$B$111)/4)+IF(62=核心参数输入!$B$9*4,SUMIFS(年度所得税!$D$165:$AH$165,年度所得税!$D$4:$AH$4,"&gt;"&amp;(核心参数输入!$B$9*4-核心参数输入!$B$111)/4),0),0)</f>
        <v>0</v>
      </c>
      <c r="BO172" s="9">
        <f>IF(63&lt;=核心参数输入!$B$9*4,SUMIFS(年度所得税!$D$165:$AH$165,年度所得税!$D$4:$AH$4,(63-核心参数输入!$B$111)/4)+IF(63=核心参数输入!$B$9*4,SUMIFS(年度所得税!$D$165:$AH$165,年度所得税!$D$4:$AH$4,"&gt;"&amp;(核心参数输入!$B$9*4-核心参数输入!$B$111)/4),0),0)</f>
        <v>0</v>
      </c>
      <c r="BP172" s="9">
        <f>IF(64&lt;=核心参数输入!$B$9*4,SUMIFS(年度所得税!$D$165:$AH$165,年度所得税!$D$4:$AH$4,(64-核心参数输入!$B$111)/4)+IF(64=核心参数输入!$B$9*4,SUMIFS(年度所得税!$D$165:$AH$165,年度所得税!$D$4:$AH$4,"&gt;"&amp;(核心参数输入!$B$9*4-核心参数输入!$B$111)/4),0),0)</f>
        <v>0</v>
      </c>
      <c r="BQ172" s="9">
        <f>IF(65&lt;=核心参数输入!$B$9*4,SUMIFS(年度所得税!$D$165:$AH$165,年度所得税!$D$4:$AH$4,(65-核心参数输入!$B$111)/4)+IF(65=核心参数输入!$B$9*4,SUMIFS(年度所得税!$D$165:$AH$165,年度所得税!$D$4:$AH$4,"&gt;"&amp;(核心参数输入!$B$9*4-核心参数输入!$B$111)/4),0),0)</f>
        <v>0</v>
      </c>
      <c r="BR172" s="9">
        <f>IF(66&lt;=核心参数输入!$B$9*4,SUMIFS(年度所得税!$D$165:$AH$165,年度所得税!$D$4:$AH$4,(66-核心参数输入!$B$111)/4)+IF(66=核心参数输入!$B$9*4,SUMIFS(年度所得税!$D$165:$AH$165,年度所得税!$D$4:$AH$4,"&gt;"&amp;(核心参数输入!$B$9*4-核心参数输入!$B$111)/4),0),0)</f>
        <v>0</v>
      </c>
      <c r="BS172" s="9">
        <f>IF(67&lt;=核心参数输入!$B$9*4,SUMIFS(年度所得税!$D$165:$AH$165,年度所得税!$D$4:$AH$4,(67-核心参数输入!$B$111)/4)+IF(67=核心参数输入!$B$9*4,SUMIFS(年度所得税!$D$165:$AH$165,年度所得税!$D$4:$AH$4,"&gt;"&amp;(核心参数输入!$B$9*4-核心参数输入!$B$111)/4),0),0)</f>
        <v>0</v>
      </c>
      <c r="BT172" s="9">
        <f>IF(68&lt;=核心参数输入!$B$9*4,SUMIFS(年度所得税!$D$165:$AH$165,年度所得税!$D$4:$AH$4,(68-核心参数输入!$B$111)/4)+IF(68=核心参数输入!$B$9*4,SUMIFS(年度所得税!$D$165:$AH$165,年度所得税!$D$4:$AH$4,"&gt;"&amp;(核心参数输入!$B$9*4-核心参数输入!$B$111)/4),0),0)</f>
        <v>0</v>
      </c>
      <c r="BU172" s="9">
        <f>IF(69&lt;=核心参数输入!$B$9*4,SUMIFS(年度所得税!$D$165:$AH$165,年度所得税!$D$4:$AH$4,(69-核心参数输入!$B$111)/4)+IF(69=核心参数输入!$B$9*4,SUMIFS(年度所得税!$D$165:$AH$165,年度所得税!$D$4:$AH$4,"&gt;"&amp;(核心参数输入!$B$9*4-核心参数输入!$B$111)/4),0),0)</f>
        <v>0</v>
      </c>
      <c r="BV172" s="9">
        <f>IF(70&lt;=核心参数输入!$B$9*4,SUMIFS(年度所得税!$D$165:$AH$165,年度所得税!$D$4:$AH$4,(70-核心参数输入!$B$111)/4)+IF(70=核心参数输入!$B$9*4,SUMIFS(年度所得税!$D$165:$AH$165,年度所得税!$D$4:$AH$4,"&gt;"&amp;(核心参数输入!$B$9*4-核心参数输入!$B$111)/4),0),0)</f>
        <v>0</v>
      </c>
      <c r="BW172" s="9">
        <f>IF(71&lt;=核心参数输入!$B$9*4,SUMIFS(年度所得税!$D$165:$AH$165,年度所得税!$D$4:$AH$4,(71-核心参数输入!$B$111)/4)+IF(71=核心参数输入!$B$9*4,SUMIFS(年度所得税!$D$165:$AH$165,年度所得税!$D$4:$AH$4,"&gt;"&amp;(核心参数输入!$B$9*4-核心参数输入!$B$111)/4),0),0)</f>
        <v>0</v>
      </c>
      <c r="BX172" s="9">
        <f>IF(72&lt;=核心参数输入!$B$9*4,SUMIFS(年度所得税!$D$165:$AH$165,年度所得税!$D$4:$AH$4,(72-核心参数输入!$B$111)/4)+IF(72=核心参数输入!$B$9*4,SUMIFS(年度所得税!$D$165:$AH$165,年度所得税!$D$4:$AH$4,"&gt;"&amp;(核心参数输入!$B$9*4-核心参数输入!$B$111)/4),0),0)</f>
        <v>0</v>
      </c>
      <c r="BY172" s="9">
        <f>IF(73&lt;=核心参数输入!$B$9*4,SUMIFS(年度所得税!$D$165:$AH$165,年度所得税!$D$4:$AH$4,(73-核心参数输入!$B$111)/4)+IF(73=核心参数输入!$B$9*4,SUMIFS(年度所得税!$D$165:$AH$165,年度所得税!$D$4:$AH$4,"&gt;"&amp;(核心参数输入!$B$9*4-核心参数输入!$B$111)/4),0),0)</f>
        <v>0</v>
      </c>
      <c r="BZ172" s="9">
        <f>IF(74&lt;=核心参数输入!$B$9*4,SUMIFS(年度所得税!$D$165:$AH$165,年度所得税!$D$4:$AH$4,(74-核心参数输入!$B$111)/4)+IF(74=核心参数输入!$B$9*4,SUMIFS(年度所得税!$D$165:$AH$165,年度所得税!$D$4:$AH$4,"&gt;"&amp;(核心参数输入!$B$9*4-核心参数输入!$B$111)/4),0),0)</f>
        <v>0</v>
      </c>
      <c r="CA172" s="9">
        <f>IF(75&lt;=核心参数输入!$B$9*4,SUMIFS(年度所得税!$D$165:$AH$165,年度所得税!$D$4:$AH$4,(75-核心参数输入!$B$111)/4)+IF(75=核心参数输入!$B$9*4,SUMIFS(年度所得税!$D$165:$AH$165,年度所得税!$D$4:$AH$4,"&gt;"&amp;(核心参数输入!$B$9*4-核心参数输入!$B$111)/4),0),0)</f>
        <v>0</v>
      </c>
      <c r="CB172" s="9">
        <f>IF(76&lt;=核心参数输入!$B$9*4,SUMIFS(年度所得税!$D$165:$AH$165,年度所得税!$D$4:$AH$4,(76-核心参数输入!$B$111)/4)+IF(76=核心参数输入!$B$9*4,SUMIFS(年度所得税!$D$165:$AH$165,年度所得税!$D$4:$AH$4,"&gt;"&amp;(核心参数输入!$B$9*4-核心参数输入!$B$111)/4),0),0)</f>
        <v>0</v>
      </c>
      <c r="CC172" s="9">
        <f>IF(77&lt;=核心参数输入!$B$9*4,SUMIFS(年度所得税!$D$165:$AH$165,年度所得税!$D$4:$AH$4,(77-核心参数输入!$B$111)/4)+IF(77=核心参数输入!$B$9*4,SUMIFS(年度所得税!$D$165:$AH$165,年度所得税!$D$4:$AH$4,"&gt;"&amp;(核心参数输入!$B$9*4-核心参数输入!$B$111)/4),0),0)</f>
        <v>0</v>
      </c>
      <c r="CD172" s="9">
        <f>IF(78&lt;=核心参数输入!$B$9*4,SUMIFS(年度所得税!$D$165:$AH$165,年度所得税!$D$4:$AH$4,(78-核心参数输入!$B$111)/4)+IF(78=核心参数输入!$B$9*4,SUMIFS(年度所得税!$D$165:$AH$165,年度所得税!$D$4:$AH$4,"&gt;"&amp;(核心参数输入!$B$9*4-核心参数输入!$B$111)/4),0),0)</f>
        <v>0</v>
      </c>
      <c r="CE172" s="9">
        <f>IF(79&lt;=核心参数输入!$B$9*4,SUMIFS(年度所得税!$D$165:$AH$165,年度所得税!$D$4:$AH$4,(79-核心参数输入!$B$111)/4)+IF(79=核心参数输入!$B$9*4,SUMIFS(年度所得税!$D$165:$AH$165,年度所得税!$D$4:$AH$4,"&gt;"&amp;(核心参数输入!$B$9*4-核心参数输入!$B$111)/4),0),0)</f>
        <v>0</v>
      </c>
      <c r="CF172" s="9">
        <f>IF(80&lt;=核心参数输入!$B$9*4,SUMIFS(年度所得税!$D$165:$AH$165,年度所得税!$D$4:$AH$4,(80-核心参数输入!$B$111)/4)+IF(80=核心参数输入!$B$9*4,SUMIFS(年度所得税!$D$165:$AH$165,年度所得税!$D$4:$AH$4,"&gt;"&amp;(核心参数输入!$B$9*4-核心参数输入!$B$111)/4),0),0)</f>
        <v>0</v>
      </c>
      <c r="CG172" s="9">
        <f>IF(81&lt;=核心参数输入!$B$9*4,SUMIFS(年度所得税!$D$165:$AH$165,年度所得税!$D$4:$AH$4,(81-核心参数输入!$B$111)/4)+IF(81=核心参数输入!$B$9*4,SUMIFS(年度所得税!$D$165:$AH$165,年度所得税!$D$4:$AH$4,"&gt;"&amp;(核心参数输入!$B$9*4-核心参数输入!$B$111)/4),0),0)</f>
        <v>0</v>
      </c>
      <c r="CH172" s="9">
        <f>IF(82&lt;=核心参数输入!$B$9*4,SUMIFS(年度所得税!$D$165:$AH$165,年度所得税!$D$4:$AH$4,(82-核心参数输入!$B$111)/4)+IF(82=核心参数输入!$B$9*4,SUMIFS(年度所得税!$D$165:$AH$165,年度所得税!$D$4:$AH$4,"&gt;"&amp;(核心参数输入!$B$9*4-核心参数输入!$B$111)/4),0),0)</f>
        <v>0</v>
      </c>
      <c r="CI172" s="9">
        <f>IF(83&lt;=核心参数输入!$B$9*4,SUMIFS(年度所得税!$D$165:$AH$165,年度所得税!$D$4:$AH$4,(83-核心参数输入!$B$111)/4)+IF(83=核心参数输入!$B$9*4,SUMIFS(年度所得税!$D$165:$AH$165,年度所得税!$D$4:$AH$4,"&gt;"&amp;(核心参数输入!$B$9*4-核心参数输入!$B$111)/4),0),0)</f>
        <v>0</v>
      </c>
      <c r="CJ172" s="9">
        <f>IF(84&lt;=核心参数输入!$B$9*4,SUMIFS(年度所得税!$D$165:$AH$165,年度所得税!$D$4:$AH$4,(84-核心参数输入!$B$111)/4)+IF(84=核心参数输入!$B$9*4,SUMIFS(年度所得税!$D$165:$AH$165,年度所得税!$D$4:$AH$4,"&gt;"&amp;(核心参数输入!$B$9*4-核心参数输入!$B$111)/4),0),0)</f>
        <v>0</v>
      </c>
      <c r="CK172" s="9">
        <f>IF(85&lt;=核心参数输入!$B$9*4,SUMIFS(年度所得税!$D$165:$AH$165,年度所得税!$D$4:$AH$4,(85-核心参数输入!$B$111)/4)+IF(85=核心参数输入!$B$9*4,SUMIFS(年度所得税!$D$165:$AH$165,年度所得税!$D$4:$AH$4,"&gt;"&amp;(核心参数输入!$B$9*4-核心参数输入!$B$111)/4),0),0)</f>
        <v>0</v>
      </c>
      <c r="CL172" s="9">
        <f>IF(86&lt;=核心参数输入!$B$9*4,SUMIFS(年度所得税!$D$165:$AH$165,年度所得税!$D$4:$AH$4,(86-核心参数输入!$B$111)/4)+IF(86=核心参数输入!$B$9*4,SUMIFS(年度所得税!$D$165:$AH$165,年度所得税!$D$4:$AH$4,"&gt;"&amp;(核心参数输入!$B$9*4-核心参数输入!$B$111)/4),0),0)</f>
        <v>0</v>
      </c>
      <c r="CM172" s="9">
        <f>IF(87&lt;=核心参数输入!$B$9*4,SUMIFS(年度所得税!$D$165:$AH$165,年度所得税!$D$4:$AH$4,(87-核心参数输入!$B$111)/4)+IF(87=核心参数输入!$B$9*4,SUMIFS(年度所得税!$D$165:$AH$165,年度所得税!$D$4:$AH$4,"&gt;"&amp;(核心参数输入!$B$9*4-核心参数输入!$B$111)/4),0),0)</f>
        <v>0</v>
      </c>
      <c r="CN172" s="9">
        <f>IF(88&lt;=核心参数输入!$B$9*4,SUMIFS(年度所得税!$D$165:$AH$165,年度所得税!$D$4:$AH$4,(88-核心参数输入!$B$111)/4)+IF(88=核心参数输入!$B$9*4,SUMIFS(年度所得税!$D$165:$AH$165,年度所得税!$D$4:$AH$4,"&gt;"&amp;(核心参数输入!$B$9*4-核心参数输入!$B$111)/4),0),0)</f>
        <v>0</v>
      </c>
      <c r="CO172" s="9">
        <f>IF(89&lt;=核心参数输入!$B$9*4,SUMIFS(年度所得税!$D$165:$AH$165,年度所得税!$D$4:$AH$4,(89-核心参数输入!$B$111)/4)+IF(89=核心参数输入!$B$9*4,SUMIFS(年度所得税!$D$165:$AH$165,年度所得税!$D$4:$AH$4,"&gt;"&amp;(核心参数输入!$B$9*4-核心参数输入!$B$111)/4),0),0)</f>
        <v>0</v>
      </c>
      <c r="CP172" s="9">
        <f>IF(90&lt;=核心参数输入!$B$9*4,SUMIFS(年度所得税!$D$165:$AH$165,年度所得税!$D$4:$AH$4,(90-核心参数输入!$B$111)/4)+IF(90=核心参数输入!$B$9*4,SUMIFS(年度所得税!$D$165:$AH$165,年度所得税!$D$4:$AH$4,"&gt;"&amp;(核心参数输入!$B$9*4-核心参数输入!$B$111)/4),0),0)</f>
        <v>0</v>
      </c>
      <c r="CQ172" s="9">
        <f>IF(91&lt;=核心参数输入!$B$9*4,SUMIFS(年度所得税!$D$165:$AH$165,年度所得税!$D$4:$AH$4,(91-核心参数输入!$B$111)/4)+IF(91=核心参数输入!$B$9*4,SUMIFS(年度所得税!$D$165:$AH$165,年度所得税!$D$4:$AH$4,"&gt;"&amp;(核心参数输入!$B$9*4-核心参数输入!$B$111)/4),0),0)</f>
        <v>0</v>
      </c>
      <c r="CR172" s="9">
        <f>IF(92&lt;=核心参数输入!$B$9*4,SUMIFS(年度所得税!$D$165:$AH$165,年度所得税!$D$4:$AH$4,(92-核心参数输入!$B$111)/4)+IF(92=核心参数输入!$B$9*4,SUMIFS(年度所得税!$D$165:$AH$165,年度所得税!$D$4:$AH$4,"&gt;"&amp;(核心参数输入!$B$9*4-核心参数输入!$B$111)/4),0),0)</f>
        <v>0</v>
      </c>
      <c r="CS172" s="9">
        <f>IF(93&lt;=核心参数输入!$B$9*4,SUMIFS(年度所得税!$D$165:$AH$165,年度所得税!$D$4:$AH$4,(93-核心参数输入!$B$111)/4)+IF(93=核心参数输入!$B$9*4,SUMIFS(年度所得税!$D$165:$AH$165,年度所得税!$D$4:$AH$4,"&gt;"&amp;(核心参数输入!$B$9*4-核心参数输入!$B$111)/4),0),0)</f>
        <v>0</v>
      </c>
      <c r="CT172" s="9">
        <f>IF(94&lt;=核心参数输入!$B$9*4,SUMIFS(年度所得税!$D$165:$AH$165,年度所得税!$D$4:$AH$4,(94-核心参数输入!$B$111)/4)+IF(94=核心参数输入!$B$9*4,SUMIFS(年度所得税!$D$165:$AH$165,年度所得税!$D$4:$AH$4,"&gt;"&amp;(核心参数输入!$B$9*4-核心参数输入!$B$111)/4),0),0)</f>
        <v>0</v>
      </c>
      <c r="CU172" s="9">
        <f>IF(95&lt;=核心参数输入!$B$9*4,SUMIFS(年度所得税!$D$165:$AH$165,年度所得税!$D$4:$AH$4,(95-核心参数输入!$B$111)/4)+IF(95=核心参数输入!$B$9*4,SUMIFS(年度所得税!$D$165:$AH$165,年度所得税!$D$4:$AH$4,"&gt;"&amp;(核心参数输入!$B$9*4-核心参数输入!$B$111)/4),0),0)</f>
        <v>0</v>
      </c>
      <c r="CV172" s="9">
        <f>IF(96&lt;=核心参数输入!$B$9*4,SUMIFS(年度所得税!$D$165:$AH$165,年度所得税!$D$4:$AH$4,(96-核心参数输入!$B$111)/4)+IF(96=核心参数输入!$B$9*4,SUMIFS(年度所得税!$D$165:$AH$165,年度所得税!$D$4:$AH$4,"&gt;"&amp;(核心参数输入!$B$9*4-核心参数输入!$B$111)/4),0),0)</f>
        <v>0</v>
      </c>
      <c r="CW172" s="9">
        <f>IF(97&lt;=核心参数输入!$B$9*4,SUMIFS(年度所得税!$D$165:$AH$165,年度所得税!$D$4:$AH$4,(97-核心参数输入!$B$111)/4)+IF(97=核心参数输入!$B$9*4,SUMIFS(年度所得税!$D$165:$AH$165,年度所得税!$D$4:$AH$4,"&gt;"&amp;(核心参数输入!$B$9*4-核心参数输入!$B$111)/4),0),0)</f>
        <v>0</v>
      </c>
      <c r="CX172" s="9">
        <f>IF(98&lt;=核心参数输入!$B$9*4,SUMIFS(年度所得税!$D$165:$AH$165,年度所得税!$D$4:$AH$4,(98-核心参数输入!$B$111)/4)+IF(98=核心参数输入!$B$9*4,SUMIFS(年度所得税!$D$165:$AH$165,年度所得税!$D$4:$AH$4,"&gt;"&amp;(核心参数输入!$B$9*4-核心参数输入!$B$111)/4),0),0)</f>
        <v>0</v>
      </c>
      <c r="CY172" s="9">
        <f>IF(99&lt;=核心参数输入!$B$9*4,SUMIFS(年度所得税!$D$165:$AH$165,年度所得税!$D$4:$AH$4,(99-核心参数输入!$B$111)/4)+IF(99=核心参数输入!$B$9*4,SUMIFS(年度所得税!$D$165:$AH$165,年度所得税!$D$4:$AH$4,"&gt;"&amp;(核心参数输入!$B$9*4-核心参数输入!$B$111)/4),0),0)</f>
        <v>0</v>
      </c>
      <c r="CZ172" s="9">
        <f>IF(100&lt;=核心参数输入!$B$9*4,SUMIFS(年度所得税!$D$165:$AH$165,年度所得税!$D$4:$AH$4,(100-核心参数输入!$B$111)/4)+IF(100=核心参数输入!$B$9*4,SUMIFS(年度所得税!$D$165:$AH$165,年度所得税!$D$4:$AH$4,"&gt;"&amp;(核心参数输入!$B$9*4-核心参数输入!$B$111)/4),0),0)</f>
        <v>0</v>
      </c>
      <c r="DA172" s="9">
        <f>IF(101&lt;=核心参数输入!$B$9*4,SUMIFS(年度所得税!$D$165:$AH$165,年度所得税!$D$4:$AH$4,(101-核心参数输入!$B$111)/4)+IF(101=核心参数输入!$B$9*4,SUMIFS(年度所得税!$D$165:$AH$165,年度所得税!$D$4:$AH$4,"&gt;"&amp;(核心参数输入!$B$9*4-核心参数输入!$B$111)/4),0),0)</f>
        <v>0</v>
      </c>
      <c r="DB172" s="9">
        <f>IF(102&lt;=核心参数输入!$B$9*4,SUMIFS(年度所得税!$D$165:$AH$165,年度所得税!$D$4:$AH$4,(102-核心参数输入!$B$111)/4)+IF(102=核心参数输入!$B$9*4,SUMIFS(年度所得税!$D$165:$AH$165,年度所得税!$D$4:$AH$4,"&gt;"&amp;(核心参数输入!$B$9*4-核心参数输入!$B$111)/4),0),0)</f>
        <v>0</v>
      </c>
      <c r="DC172" s="9">
        <f>IF(103&lt;=核心参数输入!$B$9*4,SUMIFS(年度所得税!$D$165:$AH$165,年度所得税!$D$4:$AH$4,(103-核心参数输入!$B$111)/4)+IF(103=核心参数输入!$B$9*4,SUMIFS(年度所得税!$D$165:$AH$165,年度所得税!$D$4:$AH$4,"&gt;"&amp;(核心参数输入!$B$9*4-核心参数输入!$B$111)/4),0),0)</f>
        <v>0</v>
      </c>
      <c r="DD172" s="9">
        <f>IF(104&lt;=核心参数输入!$B$9*4,SUMIFS(年度所得税!$D$165:$AH$165,年度所得税!$D$4:$AH$4,(104-核心参数输入!$B$111)/4)+IF(104=核心参数输入!$B$9*4,SUMIFS(年度所得税!$D$165:$AH$165,年度所得税!$D$4:$AH$4,"&gt;"&amp;(核心参数输入!$B$9*4-核心参数输入!$B$111)/4),0),0)</f>
        <v>0</v>
      </c>
      <c r="DE172" s="9">
        <f>IF(105&lt;=核心参数输入!$B$9*4,SUMIFS(年度所得税!$D$165:$AH$165,年度所得税!$D$4:$AH$4,(105-核心参数输入!$B$111)/4)+IF(105=核心参数输入!$B$9*4,SUMIFS(年度所得税!$D$165:$AH$165,年度所得税!$D$4:$AH$4,"&gt;"&amp;(核心参数输入!$B$9*4-核心参数输入!$B$111)/4),0),0)</f>
        <v>0</v>
      </c>
      <c r="DF172" s="9">
        <f>IF(106&lt;=核心参数输入!$B$9*4,SUMIFS(年度所得税!$D$165:$AH$165,年度所得税!$D$4:$AH$4,(106-核心参数输入!$B$111)/4)+IF(106=核心参数输入!$B$9*4,SUMIFS(年度所得税!$D$165:$AH$165,年度所得税!$D$4:$AH$4,"&gt;"&amp;(核心参数输入!$B$9*4-核心参数输入!$B$111)/4),0),0)</f>
        <v>0</v>
      </c>
      <c r="DG172" s="9">
        <f>IF(107&lt;=核心参数输入!$B$9*4,SUMIFS(年度所得税!$D$165:$AH$165,年度所得税!$D$4:$AH$4,(107-核心参数输入!$B$111)/4)+IF(107=核心参数输入!$B$9*4,SUMIFS(年度所得税!$D$165:$AH$165,年度所得税!$D$4:$AH$4,"&gt;"&amp;(核心参数输入!$B$9*4-核心参数输入!$B$111)/4),0),0)</f>
        <v>0</v>
      </c>
      <c r="DH172" s="9">
        <f>IF(108&lt;=核心参数输入!$B$9*4,SUMIFS(年度所得税!$D$165:$AH$165,年度所得税!$D$4:$AH$4,(108-核心参数输入!$B$111)/4)+IF(108=核心参数输入!$B$9*4,SUMIFS(年度所得税!$D$165:$AH$165,年度所得税!$D$4:$AH$4,"&gt;"&amp;(核心参数输入!$B$9*4-核心参数输入!$B$111)/4),0),0)</f>
        <v>0</v>
      </c>
      <c r="DI172" s="9">
        <f>IF(109&lt;=核心参数输入!$B$9*4,SUMIFS(年度所得税!$D$165:$AH$165,年度所得税!$D$4:$AH$4,(109-核心参数输入!$B$111)/4)+IF(109=核心参数输入!$B$9*4,SUMIFS(年度所得税!$D$165:$AH$165,年度所得税!$D$4:$AH$4,"&gt;"&amp;(核心参数输入!$B$9*4-核心参数输入!$B$111)/4),0),0)</f>
        <v>0</v>
      </c>
      <c r="DJ172" s="9">
        <f>IF(110&lt;=核心参数输入!$B$9*4,SUMIFS(年度所得税!$D$165:$AH$165,年度所得税!$D$4:$AH$4,(110-核心参数输入!$B$111)/4)+IF(110=核心参数输入!$B$9*4,SUMIFS(年度所得税!$D$165:$AH$165,年度所得税!$D$4:$AH$4,"&gt;"&amp;(核心参数输入!$B$9*4-核心参数输入!$B$111)/4),0),0)</f>
        <v>0</v>
      </c>
      <c r="DK172" s="9">
        <f>IF(111&lt;=核心参数输入!$B$9*4,SUMIFS(年度所得税!$D$165:$AH$165,年度所得税!$D$4:$AH$4,(111-核心参数输入!$B$111)/4)+IF(111=核心参数输入!$B$9*4,SUMIFS(年度所得税!$D$165:$AH$165,年度所得税!$D$4:$AH$4,"&gt;"&amp;(核心参数输入!$B$9*4-核心参数输入!$B$111)/4),0),0)</f>
        <v>0</v>
      </c>
      <c r="DL172" s="9">
        <f>IF(112&lt;=核心参数输入!$B$9*4,SUMIFS(年度所得税!$D$165:$AH$165,年度所得税!$D$4:$AH$4,(112-核心参数输入!$B$111)/4)+IF(112=核心参数输入!$B$9*4,SUMIFS(年度所得税!$D$165:$AH$165,年度所得税!$D$4:$AH$4,"&gt;"&amp;(核心参数输入!$B$9*4-核心参数输入!$B$111)/4),0),0)</f>
        <v>0</v>
      </c>
      <c r="DM172" s="9">
        <f>IF(113&lt;=核心参数输入!$B$9*4,SUMIFS(年度所得税!$D$165:$AH$165,年度所得税!$D$4:$AH$4,(113-核心参数输入!$B$111)/4)+IF(113=核心参数输入!$B$9*4,SUMIFS(年度所得税!$D$165:$AH$165,年度所得税!$D$4:$AH$4,"&gt;"&amp;(核心参数输入!$B$9*4-核心参数输入!$B$111)/4),0),0)</f>
        <v>0</v>
      </c>
      <c r="DN172" s="9">
        <f>IF(114&lt;=核心参数输入!$B$9*4,SUMIFS(年度所得税!$D$165:$AH$165,年度所得税!$D$4:$AH$4,(114-核心参数输入!$B$111)/4)+IF(114=核心参数输入!$B$9*4,SUMIFS(年度所得税!$D$165:$AH$165,年度所得税!$D$4:$AH$4,"&gt;"&amp;(核心参数输入!$B$9*4-核心参数输入!$B$111)/4),0),0)</f>
        <v>0</v>
      </c>
      <c r="DO172" s="9">
        <f>IF(115&lt;=核心参数输入!$B$9*4,SUMIFS(年度所得税!$D$165:$AH$165,年度所得税!$D$4:$AH$4,(115-核心参数输入!$B$111)/4)+IF(115=核心参数输入!$B$9*4,SUMIFS(年度所得税!$D$165:$AH$165,年度所得税!$D$4:$AH$4,"&gt;"&amp;(核心参数输入!$B$9*4-核心参数输入!$B$111)/4),0),0)</f>
        <v>0</v>
      </c>
      <c r="DP172" s="9">
        <f>IF(116&lt;=核心参数输入!$B$9*4,SUMIFS(年度所得税!$D$165:$AH$165,年度所得税!$D$4:$AH$4,(116-核心参数输入!$B$111)/4)+IF(116=核心参数输入!$B$9*4,SUMIFS(年度所得税!$D$165:$AH$165,年度所得税!$D$4:$AH$4,"&gt;"&amp;(核心参数输入!$B$9*4-核心参数输入!$B$111)/4),0),0)</f>
        <v>0</v>
      </c>
      <c r="DQ172" s="9">
        <f>IF(117&lt;=核心参数输入!$B$9*4,SUMIFS(年度所得税!$D$165:$AH$165,年度所得税!$D$4:$AH$4,(117-核心参数输入!$B$111)/4)+IF(117=核心参数输入!$B$9*4,SUMIFS(年度所得税!$D$165:$AH$165,年度所得税!$D$4:$AH$4,"&gt;"&amp;(核心参数输入!$B$9*4-核心参数输入!$B$111)/4),0),0)</f>
        <v>0</v>
      </c>
      <c r="DR172" s="9">
        <f>IF(118&lt;=核心参数输入!$B$9*4,SUMIFS(年度所得税!$D$165:$AH$165,年度所得税!$D$4:$AH$4,(118-核心参数输入!$B$111)/4)+IF(118=核心参数输入!$B$9*4,SUMIFS(年度所得税!$D$165:$AH$165,年度所得税!$D$4:$AH$4,"&gt;"&amp;(核心参数输入!$B$9*4-核心参数输入!$B$111)/4),0),0)</f>
        <v>0</v>
      </c>
      <c r="DS172" s="9">
        <f>IF(119&lt;=核心参数输入!$B$9*4,SUMIFS(年度所得税!$D$165:$AH$165,年度所得税!$D$4:$AH$4,(119-核心参数输入!$B$111)/4)+IF(119=核心参数输入!$B$9*4,SUMIFS(年度所得税!$D$165:$AH$165,年度所得税!$D$4:$AH$4,"&gt;"&amp;(核心参数输入!$B$9*4-核心参数输入!$B$111)/4),0),0)</f>
        <v>0</v>
      </c>
      <c r="DT172" s="9">
        <f>IF(120&lt;=核心参数输入!$B$9*4,SUMIFS(年度所得税!$D$165:$AH$165,年度所得税!$D$4:$AH$4,(120-核心参数输入!$B$111)/4)+IF(120=核心参数输入!$B$9*4,SUMIFS(年度所得税!$D$165:$AH$165,年度所得税!$D$4:$AH$4,"&gt;"&amp;(核心参数输入!$B$9*4-核心参数输入!$B$111)/4),0),0)</f>
        <v>0</v>
      </c>
    </row>
    <row r="173" spans="1:124" ht="21" customHeight="1">
      <c r="A173" s="8" t="s">
        <v>494</v>
      </c>
      <c r="B173" s="8" t="s">
        <v>39</v>
      </c>
      <c r="C173" s="8"/>
      <c r="D173" s="9">
        <f>IF(0&lt;=核心参数输入!$B$9*4,SUMIFS(年度所得税!$D$169:$AH$169,年度所得税!$D$4:$AH$4,(0-核心参数输入!$B$111)/4)+IF(0=核心参数输入!$B$9*4,SUMIFS(年度所得税!$D$169:$AH$169,年度所得税!$D$4:$AH$4,"&gt;"&amp;(核心参数输入!$B$9*4-核心参数输入!$B$111)/4),0),0)</f>
        <v>0</v>
      </c>
      <c r="E173" s="9">
        <f>IF(1&lt;=核心参数输入!$B$9*4,SUMIFS(年度所得税!$D$169:$AH$169,年度所得税!$D$4:$AH$4,(1-核心参数输入!$B$111)/4)+IF(1=核心参数输入!$B$9*4,SUMIFS(年度所得税!$D$169:$AH$169,年度所得税!$D$4:$AH$4,"&gt;"&amp;(核心参数输入!$B$9*4-核心参数输入!$B$111)/4),0),0)</f>
        <v>0</v>
      </c>
      <c r="F173" s="9">
        <f>IF(2&lt;=核心参数输入!$B$9*4,SUMIFS(年度所得税!$D$169:$AH$169,年度所得税!$D$4:$AH$4,(2-核心参数输入!$B$111)/4)+IF(2=核心参数输入!$B$9*4,SUMIFS(年度所得税!$D$169:$AH$169,年度所得税!$D$4:$AH$4,"&gt;"&amp;(核心参数输入!$B$9*4-核心参数输入!$B$111)/4),0),0)</f>
        <v>0</v>
      </c>
      <c r="G173" s="9">
        <f>IF(3&lt;=核心参数输入!$B$9*4,SUMIFS(年度所得税!$D$169:$AH$169,年度所得税!$D$4:$AH$4,(3-核心参数输入!$B$111)/4)+IF(3=核心参数输入!$B$9*4,SUMIFS(年度所得税!$D$169:$AH$169,年度所得税!$D$4:$AH$4,"&gt;"&amp;(核心参数输入!$B$9*4-核心参数输入!$B$111)/4),0),0)</f>
        <v>0</v>
      </c>
      <c r="H173" s="9">
        <f>IF(4&lt;=核心参数输入!$B$9*4,SUMIFS(年度所得税!$D$169:$AH$169,年度所得税!$D$4:$AH$4,(4-核心参数输入!$B$111)/4)+IF(4=核心参数输入!$B$9*4,SUMIFS(年度所得税!$D$169:$AH$169,年度所得税!$D$4:$AH$4,"&gt;"&amp;(核心参数输入!$B$9*4-核心参数输入!$B$111)/4),0),0)</f>
        <v>0</v>
      </c>
      <c r="I173" s="9">
        <f>IF(5&lt;=核心参数输入!$B$9*4,SUMIFS(年度所得税!$D$169:$AH$169,年度所得税!$D$4:$AH$4,(5-核心参数输入!$B$111)/4)+IF(5=核心参数输入!$B$9*4,SUMIFS(年度所得税!$D$169:$AH$169,年度所得税!$D$4:$AH$4,"&gt;"&amp;(核心参数输入!$B$9*4-核心参数输入!$B$111)/4),0),0)</f>
        <v>0</v>
      </c>
      <c r="J173" s="9">
        <f>IF(6&lt;=核心参数输入!$B$9*4,SUMIFS(年度所得税!$D$169:$AH$169,年度所得税!$D$4:$AH$4,(6-核心参数输入!$B$111)/4)+IF(6=核心参数输入!$B$9*4,SUMIFS(年度所得税!$D$169:$AH$169,年度所得税!$D$4:$AH$4,"&gt;"&amp;(核心参数输入!$B$9*4-核心参数输入!$B$111)/4),0),0)</f>
        <v>0</v>
      </c>
      <c r="K173" s="9">
        <f>IF(7&lt;=核心参数输入!$B$9*4,SUMIFS(年度所得税!$D$169:$AH$169,年度所得税!$D$4:$AH$4,(7-核心参数输入!$B$111)/4)+IF(7=核心参数输入!$B$9*4,SUMIFS(年度所得税!$D$169:$AH$169,年度所得税!$D$4:$AH$4,"&gt;"&amp;(核心参数输入!$B$9*4-核心参数输入!$B$111)/4),0),0)</f>
        <v>0</v>
      </c>
      <c r="L173" s="9">
        <f>IF(8&lt;=核心参数输入!$B$9*4,SUMIFS(年度所得税!$D$169:$AH$169,年度所得税!$D$4:$AH$4,(8-核心参数输入!$B$111)/4)+IF(8=核心参数输入!$B$9*4,SUMIFS(年度所得税!$D$169:$AH$169,年度所得税!$D$4:$AH$4,"&gt;"&amp;(核心参数输入!$B$9*4-核心参数输入!$B$111)/4),0),0)</f>
        <v>0</v>
      </c>
      <c r="M173" s="9">
        <f>IF(9&lt;=核心参数输入!$B$9*4,SUMIFS(年度所得税!$D$169:$AH$169,年度所得税!$D$4:$AH$4,(9-核心参数输入!$B$111)/4)+IF(9=核心参数输入!$B$9*4,SUMIFS(年度所得税!$D$169:$AH$169,年度所得税!$D$4:$AH$4,"&gt;"&amp;(核心参数输入!$B$9*4-核心参数输入!$B$111)/4),0),0)</f>
        <v>0</v>
      </c>
      <c r="N173" s="9">
        <f>IF(10&lt;=核心参数输入!$B$9*4,SUMIFS(年度所得税!$D$169:$AH$169,年度所得税!$D$4:$AH$4,(10-核心参数输入!$B$111)/4)+IF(10=核心参数输入!$B$9*4,SUMIFS(年度所得税!$D$169:$AH$169,年度所得税!$D$4:$AH$4,"&gt;"&amp;(核心参数输入!$B$9*4-核心参数输入!$B$111)/4),0),0)</f>
        <v>0</v>
      </c>
      <c r="O173" s="9">
        <f>IF(11&lt;=核心参数输入!$B$9*4,SUMIFS(年度所得税!$D$169:$AH$169,年度所得税!$D$4:$AH$4,(11-核心参数输入!$B$111)/4)+IF(11=核心参数输入!$B$9*4,SUMIFS(年度所得税!$D$169:$AH$169,年度所得税!$D$4:$AH$4,"&gt;"&amp;(核心参数输入!$B$9*4-核心参数输入!$B$111)/4),0),0)</f>
        <v>0</v>
      </c>
      <c r="P173" s="9">
        <f>IF(12&lt;=核心参数输入!$B$9*4,SUMIFS(年度所得税!$D$169:$AH$169,年度所得税!$D$4:$AH$4,(12-核心参数输入!$B$111)/4)+IF(12=核心参数输入!$B$9*4,SUMIFS(年度所得税!$D$169:$AH$169,年度所得税!$D$4:$AH$4,"&gt;"&amp;(核心参数输入!$B$9*4-核心参数输入!$B$111)/4),0),0)</f>
        <v>0</v>
      </c>
      <c r="Q173" s="9">
        <f>IF(13&lt;=核心参数输入!$B$9*4,SUMIFS(年度所得税!$D$169:$AH$169,年度所得税!$D$4:$AH$4,(13-核心参数输入!$B$111)/4)+IF(13=核心参数输入!$B$9*4,SUMIFS(年度所得税!$D$169:$AH$169,年度所得税!$D$4:$AH$4,"&gt;"&amp;(核心参数输入!$B$9*4-核心参数输入!$B$111)/4),0),0)</f>
        <v>0</v>
      </c>
      <c r="R173" s="9">
        <f>IF(14&lt;=核心参数输入!$B$9*4,SUMIFS(年度所得税!$D$169:$AH$169,年度所得税!$D$4:$AH$4,(14-核心参数输入!$B$111)/4)+IF(14=核心参数输入!$B$9*4,SUMIFS(年度所得税!$D$169:$AH$169,年度所得税!$D$4:$AH$4,"&gt;"&amp;(核心参数输入!$B$9*4-核心参数输入!$B$111)/4),0),0)</f>
        <v>0</v>
      </c>
      <c r="S173" s="9">
        <f>IF(15&lt;=核心参数输入!$B$9*4,SUMIFS(年度所得税!$D$169:$AH$169,年度所得税!$D$4:$AH$4,(15-核心参数输入!$B$111)/4)+IF(15=核心参数输入!$B$9*4,SUMIFS(年度所得税!$D$169:$AH$169,年度所得税!$D$4:$AH$4,"&gt;"&amp;(核心参数输入!$B$9*4-核心参数输入!$B$111)/4),0),0)</f>
        <v>0</v>
      </c>
      <c r="T173" s="9">
        <f>IF(16&lt;=核心参数输入!$B$9*4,SUMIFS(年度所得税!$D$169:$AH$169,年度所得税!$D$4:$AH$4,(16-核心参数输入!$B$111)/4)+IF(16=核心参数输入!$B$9*4,SUMIFS(年度所得税!$D$169:$AH$169,年度所得税!$D$4:$AH$4,"&gt;"&amp;(核心参数输入!$B$9*4-核心参数输入!$B$111)/4),0),0)</f>
        <v>0</v>
      </c>
      <c r="U173" s="9">
        <f>IF(17&lt;=核心参数输入!$B$9*4,SUMIFS(年度所得税!$D$169:$AH$169,年度所得税!$D$4:$AH$4,(17-核心参数输入!$B$111)/4)+IF(17=核心参数输入!$B$9*4,SUMIFS(年度所得税!$D$169:$AH$169,年度所得税!$D$4:$AH$4,"&gt;"&amp;(核心参数输入!$B$9*4-核心参数输入!$B$111)/4),0),0)</f>
        <v>0</v>
      </c>
      <c r="V173" s="9">
        <f>IF(18&lt;=核心参数输入!$B$9*4,SUMIFS(年度所得税!$D$169:$AH$169,年度所得税!$D$4:$AH$4,(18-核心参数输入!$B$111)/4)+IF(18=核心参数输入!$B$9*4,SUMIFS(年度所得税!$D$169:$AH$169,年度所得税!$D$4:$AH$4,"&gt;"&amp;(核心参数输入!$B$9*4-核心参数输入!$B$111)/4),0),0)</f>
        <v>0</v>
      </c>
      <c r="W173" s="9">
        <f>IF(19&lt;=核心参数输入!$B$9*4,SUMIFS(年度所得税!$D$169:$AH$169,年度所得税!$D$4:$AH$4,(19-核心参数输入!$B$111)/4)+IF(19=核心参数输入!$B$9*4,SUMIFS(年度所得税!$D$169:$AH$169,年度所得税!$D$4:$AH$4,"&gt;"&amp;(核心参数输入!$B$9*4-核心参数输入!$B$111)/4),0),0)</f>
        <v>0</v>
      </c>
      <c r="X173" s="9">
        <f>IF(20&lt;=核心参数输入!$B$9*4,SUMIFS(年度所得税!$D$169:$AH$169,年度所得税!$D$4:$AH$4,(20-核心参数输入!$B$111)/4)+IF(20=核心参数输入!$B$9*4,SUMIFS(年度所得税!$D$169:$AH$169,年度所得税!$D$4:$AH$4,"&gt;"&amp;(核心参数输入!$B$9*4-核心参数输入!$B$111)/4),0),0)</f>
        <v>0</v>
      </c>
      <c r="Y173" s="9">
        <f>IF(21&lt;=核心参数输入!$B$9*4,SUMIFS(年度所得税!$D$169:$AH$169,年度所得税!$D$4:$AH$4,(21-核心参数输入!$B$111)/4)+IF(21=核心参数输入!$B$9*4,SUMIFS(年度所得税!$D$169:$AH$169,年度所得税!$D$4:$AH$4,"&gt;"&amp;(核心参数输入!$B$9*4-核心参数输入!$B$111)/4),0),0)</f>
        <v>0</v>
      </c>
      <c r="Z173" s="9">
        <f>IF(22&lt;=核心参数输入!$B$9*4,SUMIFS(年度所得税!$D$169:$AH$169,年度所得税!$D$4:$AH$4,(22-核心参数输入!$B$111)/4)+IF(22=核心参数输入!$B$9*4,SUMIFS(年度所得税!$D$169:$AH$169,年度所得税!$D$4:$AH$4,"&gt;"&amp;(核心参数输入!$B$9*4-核心参数输入!$B$111)/4),0),0)</f>
        <v>0</v>
      </c>
      <c r="AA173" s="9">
        <f>IF(23&lt;=核心参数输入!$B$9*4,SUMIFS(年度所得税!$D$169:$AH$169,年度所得税!$D$4:$AH$4,(23-核心参数输入!$B$111)/4)+IF(23=核心参数输入!$B$9*4,SUMIFS(年度所得税!$D$169:$AH$169,年度所得税!$D$4:$AH$4,"&gt;"&amp;(核心参数输入!$B$9*4-核心参数输入!$B$111)/4),0),0)</f>
        <v>0</v>
      </c>
      <c r="AB173" s="9">
        <f>IF(24&lt;=核心参数输入!$B$9*4,SUMIFS(年度所得税!$D$169:$AH$169,年度所得税!$D$4:$AH$4,(24-核心参数输入!$B$111)/4)+IF(24=核心参数输入!$B$9*4,SUMIFS(年度所得税!$D$169:$AH$169,年度所得税!$D$4:$AH$4,"&gt;"&amp;(核心参数输入!$B$9*4-核心参数输入!$B$111)/4),0),0)</f>
        <v>11.728541445416781</v>
      </c>
      <c r="AC173" s="9">
        <f>IF(25&lt;=核心参数输入!$B$9*4,SUMIFS(年度所得税!$D$169:$AH$169,年度所得税!$D$4:$AH$4,(25-核心参数输入!$B$111)/4)+IF(25=核心参数输入!$B$9*4,SUMIFS(年度所得税!$D$169:$AH$169,年度所得税!$D$4:$AH$4,"&gt;"&amp;(核心参数输入!$B$9*4-核心参数输入!$B$111)/4),0),0)</f>
        <v>0</v>
      </c>
      <c r="AD173" s="9">
        <f>IF(26&lt;=核心参数输入!$B$9*4,SUMIFS(年度所得税!$D$169:$AH$169,年度所得税!$D$4:$AH$4,(26-核心参数输入!$B$111)/4)+IF(26=核心参数输入!$B$9*4,SUMIFS(年度所得税!$D$169:$AH$169,年度所得税!$D$4:$AH$4,"&gt;"&amp;(核心参数输入!$B$9*4-核心参数输入!$B$111)/4),0),0)</f>
        <v>0</v>
      </c>
      <c r="AE173" s="9">
        <f>IF(27&lt;=核心参数输入!$B$9*4,SUMIFS(年度所得税!$D$169:$AH$169,年度所得税!$D$4:$AH$4,(27-核心参数输入!$B$111)/4)+IF(27=核心参数输入!$B$9*4,SUMIFS(年度所得税!$D$169:$AH$169,年度所得税!$D$4:$AH$4,"&gt;"&amp;(核心参数输入!$B$9*4-核心参数输入!$B$111)/4),0),0)</f>
        <v>0</v>
      </c>
      <c r="AF173" s="9">
        <f>IF(28&lt;=核心参数输入!$B$9*4,SUMIFS(年度所得税!$D$169:$AH$169,年度所得税!$D$4:$AH$4,(28-核心参数输入!$B$111)/4)+IF(28=核心参数输入!$B$9*4,SUMIFS(年度所得税!$D$169:$AH$169,年度所得税!$D$4:$AH$4,"&gt;"&amp;(核心参数输入!$B$9*4-核心参数输入!$B$111)/4),0),0)</f>
        <v>0</v>
      </c>
      <c r="AG173" s="9">
        <f>IF(29&lt;=核心参数输入!$B$9*4,SUMIFS(年度所得税!$D$169:$AH$169,年度所得税!$D$4:$AH$4,(29-核心参数输入!$B$111)/4)+IF(29=核心参数输入!$B$9*4,SUMIFS(年度所得税!$D$169:$AH$169,年度所得税!$D$4:$AH$4,"&gt;"&amp;(核心参数输入!$B$9*4-核心参数输入!$B$111)/4),0),0)</f>
        <v>0</v>
      </c>
      <c r="AH173" s="9">
        <f>IF(30&lt;=核心参数输入!$B$9*4,SUMIFS(年度所得税!$D$169:$AH$169,年度所得税!$D$4:$AH$4,(30-核心参数输入!$B$111)/4)+IF(30=核心参数输入!$B$9*4,SUMIFS(年度所得税!$D$169:$AH$169,年度所得税!$D$4:$AH$4,"&gt;"&amp;(核心参数输入!$B$9*4-核心参数输入!$B$111)/4),0),0)</f>
        <v>0</v>
      </c>
      <c r="AI173" s="9">
        <f>IF(31&lt;=核心参数输入!$B$9*4,SUMIFS(年度所得税!$D$169:$AH$169,年度所得税!$D$4:$AH$4,(31-核心参数输入!$B$111)/4)+IF(31=核心参数输入!$B$9*4,SUMIFS(年度所得税!$D$169:$AH$169,年度所得税!$D$4:$AH$4,"&gt;"&amp;(核心参数输入!$B$9*4-核心参数输入!$B$111)/4),0),0)</f>
        <v>0</v>
      </c>
      <c r="AJ173" s="9">
        <f>IF(32&lt;=核心参数输入!$B$9*4,SUMIFS(年度所得税!$D$169:$AH$169,年度所得税!$D$4:$AH$4,(32-核心参数输入!$B$111)/4)+IF(32=核心参数输入!$B$9*4,SUMIFS(年度所得税!$D$169:$AH$169,年度所得税!$D$4:$AH$4,"&gt;"&amp;(核心参数输入!$B$9*4-核心参数输入!$B$111)/4),0),0)</f>
        <v>0</v>
      </c>
      <c r="AK173" s="9">
        <f>IF(33&lt;=核心参数输入!$B$9*4,SUMIFS(年度所得税!$D$169:$AH$169,年度所得税!$D$4:$AH$4,(33-核心参数输入!$B$111)/4)+IF(33=核心参数输入!$B$9*4,SUMIFS(年度所得税!$D$169:$AH$169,年度所得税!$D$4:$AH$4,"&gt;"&amp;(核心参数输入!$B$9*4-核心参数输入!$B$111)/4),0),0)</f>
        <v>0</v>
      </c>
      <c r="AL173" s="9">
        <f>IF(34&lt;=核心参数输入!$B$9*4,SUMIFS(年度所得税!$D$169:$AH$169,年度所得税!$D$4:$AH$4,(34-核心参数输入!$B$111)/4)+IF(34=核心参数输入!$B$9*4,SUMIFS(年度所得税!$D$169:$AH$169,年度所得税!$D$4:$AH$4,"&gt;"&amp;(核心参数输入!$B$9*4-核心参数输入!$B$111)/4),0),0)</f>
        <v>0</v>
      </c>
      <c r="AM173" s="9">
        <f>IF(35&lt;=核心参数输入!$B$9*4,SUMIFS(年度所得税!$D$169:$AH$169,年度所得税!$D$4:$AH$4,(35-核心参数输入!$B$111)/4)+IF(35=核心参数输入!$B$9*4,SUMIFS(年度所得税!$D$169:$AH$169,年度所得税!$D$4:$AH$4,"&gt;"&amp;(核心参数输入!$B$9*4-核心参数输入!$B$111)/4),0),0)</f>
        <v>0</v>
      </c>
      <c r="AN173" s="9">
        <f>IF(36&lt;=核心参数输入!$B$9*4,SUMIFS(年度所得税!$D$169:$AH$169,年度所得税!$D$4:$AH$4,(36-核心参数输入!$B$111)/4)+IF(36=核心参数输入!$B$9*4,SUMIFS(年度所得税!$D$169:$AH$169,年度所得税!$D$4:$AH$4,"&gt;"&amp;(核心参数输入!$B$9*4-核心参数输入!$B$111)/4),0),0)</f>
        <v>0</v>
      </c>
      <c r="AO173" s="9">
        <f>IF(37&lt;=核心参数输入!$B$9*4,SUMIFS(年度所得税!$D$169:$AH$169,年度所得税!$D$4:$AH$4,(37-核心参数输入!$B$111)/4)+IF(37=核心参数输入!$B$9*4,SUMIFS(年度所得税!$D$169:$AH$169,年度所得税!$D$4:$AH$4,"&gt;"&amp;(核心参数输入!$B$9*4-核心参数输入!$B$111)/4),0),0)</f>
        <v>0</v>
      </c>
      <c r="AP173" s="9">
        <f>IF(38&lt;=核心参数输入!$B$9*4,SUMIFS(年度所得税!$D$169:$AH$169,年度所得税!$D$4:$AH$4,(38-核心参数输入!$B$111)/4)+IF(38=核心参数输入!$B$9*4,SUMIFS(年度所得税!$D$169:$AH$169,年度所得税!$D$4:$AH$4,"&gt;"&amp;(核心参数输入!$B$9*4-核心参数输入!$B$111)/4),0),0)</f>
        <v>0</v>
      </c>
      <c r="AQ173" s="9">
        <f>IF(39&lt;=核心参数输入!$B$9*4,SUMIFS(年度所得税!$D$169:$AH$169,年度所得税!$D$4:$AH$4,(39-核心参数输入!$B$111)/4)+IF(39=核心参数输入!$B$9*4,SUMIFS(年度所得税!$D$169:$AH$169,年度所得税!$D$4:$AH$4,"&gt;"&amp;(核心参数输入!$B$9*4-核心参数输入!$B$111)/4),0),0)</f>
        <v>0</v>
      </c>
      <c r="AR173" s="9">
        <f>IF(40&lt;=核心参数输入!$B$9*4,SUMIFS(年度所得税!$D$169:$AH$169,年度所得税!$D$4:$AH$4,(40-核心参数输入!$B$111)/4)+IF(40=核心参数输入!$B$9*4,SUMIFS(年度所得税!$D$169:$AH$169,年度所得税!$D$4:$AH$4,"&gt;"&amp;(核心参数输入!$B$9*4-核心参数输入!$B$111)/4),0),0)</f>
        <v>0</v>
      </c>
      <c r="AS173" s="9">
        <f>IF(41&lt;=核心参数输入!$B$9*4,SUMIFS(年度所得税!$D$169:$AH$169,年度所得税!$D$4:$AH$4,(41-核心参数输入!$B$111)/4)+IF(41=核心参数输入!$B$9*4,SUMIFS(年度所得税!$D$169:$AH$169,年度所得税!$D$4:$AH$4,"&gt;"&amp;(核心参数输入!$B$9*4-核心参数输入!$B$111)/4),0),0)</f>
        <v>0</v>
      </c>
      <c r="AT173" s="9">
        <f>IF(42&lt;=核心参数输入!$B$9*4,SUMIFS(年度所得税!$D$169:$AH$169,年度所得税!$D$4:$AH$4,(42-核心参数输入!$B$111)/4)+IF(42=核心参数输入!$B$9*4,SUMIFS(年度所得税!$D$169:$AH$169,年度所得税!$D$4:$AH$4,"&gt;"&amp;(核心参数输入!$B$9*4-核心参数输入!$B$111)/4),0),0)</f>
        <v>0</v>
      </c>
      <c r="AU173" s="9">
        <f>IF(43&lt;=核心参数输入!$B$9*4,SUMIFS(年度所得税!$D$169:$AH$169,年度所得税!$D$4:$AH$4,(43-核心参数输入!$B$111)/4)+IF(43=核心参数输入!$B$9*4,SUMIFS(年度所得税!$D$169:$AH$169,年度所得税!$D$4:$AH$4,"&gt;"&amp;(核心参数输入!$B$9*4-核心参数输入!$B$111)/4),0),0)</f>
        <v>0</v>
      </c>
      <c r="AV173" s="9">
        <f>IF(44&lt;=核心参数输入!$B$9*4,SUMIFS(年度所得税!$D$169:$AH$169,年度所得税!$D$4:$AH$4,(44-核心参数输入!$B$111)/4)+IF(44=核心参数输入!$B$9*4,SUMIFS(年度所得税!$D$169:$AH$169,年度所得税!$D$4:$AH$4,"&gt;"&amp;(核心参数输入!$B$9*4-核心参数输入!$B$111)/4),0),0)</f>
        <v>0</v>
      </c>
      <c r="AW173" s="9">
        <f>IF(45&lt;=核心参数输入!$B$9*4,SUMIFS(年度所得税!$D$169:$AH$169,年度所得税!$D$4:$AH$4,(45-核心参数输入!$B$111)/4)+IF(45=核心参数输入!$B$9*4,SUMIFS(年度所得税!$D$169:$AH$169,年度所得税!$D$4:$AH$4,"&gt;"&amp;(核心参数输入!$B$9*4-核心参数输入!$B$111)/4),0),0)</f>
        <v>0</v>
      </c>
      <c r="AX173" s="9">
        <f>IF(46&lt;=核心参数输入!$B$9*4,SUMIFS(年度所得税!$D$169:$AH$169,年度所得税!$D$4:$AH$4,(46-核心参数输入!$B$111)/4)+IF(46=核心参数输入!$B$9*4,SUMIFS(年度所得税!$D$169:$AH$169,年度所得税!$D$4:$AH$4,"&gt;"&amp;(核心参数输入!$B$9*4-核心参数输入!$B$111)/4),0),0)</f>
        <v>0</v>
      </c>
      <c r="AY173" s="9">
        <f>IF(47&lt;=核心参数输入!$B$9*4,SUMIFS(年度所得税!$D$169:$AH$169,年度所得税!$D$4:$AH$4,(47-核心参数输入!$B$111)/4)+IF(47=核心参数输入!$B$9*4,SUMIFS(年度所得税!$D$169:$AH$169,年度所得税!$D$4:$AH$4,"&gt;"&amp;(核心参数输入!$B$9*4-核心参数输入!$B$111)/4),0),0)</f>
        <v>0</v>
      </c>
      <c r="AZ173" s="9">
        <f>IF(48&lt;=核心参数输入!$B$9*4,SUMIFS(年度所得税!$D$169:$AH$169,年度所得税!$D$4:$AH$4,(48-核心参数输入!$B$111)/4)+IF(48=核心参数输入!$B$9*4,SUMIFS(年度所得税!$D$169:$AH$169,年度所得税!$D$4:$AH$4,"&gt;"&amp;(核心参数输入!$B$9*4-核心参数输入!$B$111)/4),0),0)</f>
        <v>0</v>
      </c>
      <c r="BA173" s="9">
        <f>IF(49&lt;=核心参数输入!$B$9*4,SUMIFS(年度所得税!$D$169:$AH$169,年度所得税!$D$4:$AH$4,(49-核心参数输入!$B$111)/4)+IF(49=核心参数输入!$B$9*4,SUMIFS(年度所得税!$D$169:$AH$169,年度所得税!$D$4:$AH$4,"&gt;"&amp;(核心参数输入!$B$9*4-核心参数输入!$B$111)/4),0),0)</f>
        <v>0</v>
      </c>
      <c r="BB173" s="9">
        <f>IF(50&lt;=核心参数输入!$B$9*4,SUMIFS(年度所得税!$D$169:$AH$169,年度所得税!$D$4:$AH$4,(50-核心参数输入!$B$111)/4)+IF(50=核心参数输入!$B$9*4,SUMIFS(年度所得税!$D$169:$AH$169,年度所得税!$D$4:$AH$4,"&gt;"&amp;(核心参数输入!$B$9*4-核心参数输入!$B$111)/4),0),0)</f>
        <v>0</v>
      </c>
      <c r="BC173" s="9">
        <f>IF(51&lt;=核心参数输入!$B$9*4,SUMIFS(年度所得税!$D$169:$AH$169,年度所得税!$D$4:$AH$4,(51-核心参数输入!$B$111)/4)+IF(51=核心参数输入!$B$9*4,SUMIFS(年度所得税!$D$169:$AH$169,年度所得税!$D$4:$AH$4,"&gt;"&amp;(核心参数输入!$B$9*4-核心参数输入!$B$111)/4),0),0)</f>
        <v>0</v>
      </c>
      <c r="BD173" s="9">
        <f>IF(52&lt;=核心参数输入!$B$9*4,SUMIFS(年度所得税!$D$169:$AH$169,年度所得税!$D$4:$AH$4,(52-核心参数输入!$B$111)/4)+IF(52=核心参数输入!$B$9*4,SUMIFS(年度所得税!$D$169:$AH$169,年度所得税!$D$4:$AH$4,"&gt;"&amp;(核心参数输入!$B$9*4-核心参数输入!$B$111)/4),0),0)</f>
        <v>0</v>
      </c>
      <c r="BE173" s="9">
        <f>IF(53&lt;=核心参数输入!$B$9*4,SUMIFS(年度所得税!$D$169:$AH$169,年度所得税!$D$4:$AH$4,(53-核心参数输入!$B$111)/4)+IF(53=核心参数输入!$B$9*4,SUMIFS(年度所得税!$D$169:$AH$169,年度所得税!$D$4:$AH$4,"&gt;"&amp;(核心参数输入!$B$9*4-核心参数输入!$B$111)/4),0),0)</f>
        <v>0</v>
      </c>
      <c r="BF173" s="9">
        <f>IF(54&lt;=核心参数输入!$B$9*4,SUMIFS(年度所得税!$D$169:$AH$169,年度所得税!$D$4:$AH$4,(54-核心参数输入!$B$111)/4)+IF(54=核心参数输入!$B$9*4,SUMIFS(年度所得税!$D$169:$AH$169,年度所得税!$D$4:$AH$4,"&gt;"&amp;(核心参数输入!$B$9*4-核心参数输入!$B$111)/4),0),0)</f>
        <v>0</v>
      </c>
      <c r="BG173" s="9">
        <f>IF(55&lt;=核心参数输入!$B$9*4,SUMIFS(年度所得税!$D$169:$AH$169,年度所得税!$D$4:$AH$4,(55-核心参数输入!$B$111)/4)+IF(55=核心参数输入!$B$9*4,SUMIFS(年度所得税!$D$169:$AH$169,年度所得税!$D$4:$AH$4,"&gt;"&amp;(核心参数输入!$B$9*4-核心参数输入!$B$111)/4),0),0)</f>
        <v>0</v>
      </c>
      <c r="BH173" s="9">
        <f>IF(56&lt;=核心参数输入!$B$9*4,SUMIFS(年度所得税!$D$169:$AH$169,年度所得税!$D$4:$AH$4,(56-核心参数输入!$B$111)/4)+IF(56=核心参数输入!$B$9*4,SUMIFS(年度所得税!$D$169:$AH$169,年度所得税!$D$4:$AH$4,"&gt;"&amp;(核心参数输入!$B$9*4-核心参数输入!$B$111)/4),0),0)</f>
        <v>0</v>
      </c>
      <c r="BI173" s="9">
        <f>IF(57&lt;=核心参数输入!$B$9*4,SUMIFS(年度所得税!$D$169:$AH$169,年度所得税!$D$4:$AH$4,(57-核心参数输入!$B$111)/4)+IF(57=核心参数输入!$B$9*4,SUMIFS(年度所得税!$D$169:$AH$169,年度所得税!$D$4:$AH$4,"&gt;"&amp;(核心参数输入!$B$9*4-核心参数输入!$B$111)/4),0),0)</f>
        <v>0</v>
      </c>
      <c r="BJ173" s="9">
        <f>IF(58&lt;=核心参数输入!$B$9*4,SUMIFS(年度所得税!$D$169:$AH$169,年度所得税!$D$4:$AH$4,(58-核心参数输入!$B$111)/4)+IF(58=核心参数输入!$B$9*4,SUMIFS(年度所得税!$D$169:$AH$169,年度所得税!$D$4:$AH$4,"&gt;"&amp;(核心参数输入!$B$9*4-核心参数输入!$B$111)/4),0),0)</f>
        <v>0</v>
      </c>
      <c r="BK173" s="9">
        <f>IF(59&lt;=核心参数输入!$B$9*4,SUMIFS(年度所得税!$D$169:$AH$169,年度所得税!$D$4:$AH$4,(59-核心参数输入!$B$111)/4)+IF(59=核心参数输入!$B$9*4,SUMIFS(年度所得税!$D$169:$AH$169,年度所得税!$D$4:$AH$4,"&gt;"&amp;(核心参数输入!$B$9*4-核心参数输入!$B$111)/4),0),0)</f>
        <v>0</v>
      </c>
      <c r="BL173" s="9">
        <f>IF(60&lt;=核心参数输入!$B$9*4,SUMIFS(年度所得税!$D$169:$AH$169,年度所得税!$D$4:$AH$4,(60-核心参数输入!$B$111)/4)+IF(60=核心参数输入!$B$9*4,SUMIFS(年度所得税!$D$169:$AH$169,年度所得税!$D$4:$AH$4,"&gt;"&amp;(核心参数输入!$B$9*4-核心参数输入!$B$111)/4),0),0)</f>
        <v>0</v>
      </c>
      <c r="BM173" s="9">
        <f>IF(61&lt;=核心参数输入!$B$9*4,SUMIFS(年度所得税!$D$169:$AH$169,年度所得税!$D$4:$AH$4,(61-核心参数输入!$B$111)/4)+IF(61=核心参数输入!$B$9*4,SUMIFS(年度所得税!$D$169:$AH$169,年度所得税!$D$4:$AH$4,"&gt;"&amp;(核心参数输入!$B$9*4-核心参数输入!$B$111)/4),0),0)</f>
        <v>0</v>
      </c>
      <c r="BN173" s="9">
        <f>IF(62&lt;=核心参数输入!$B$9*4,SUMIFS(年度所得税!$D$169:$AH$169,年度所得税!$D$4:$AH$4,(62-核心参数输入!$B$111)/4)+IF(62=核心参数输入!$B$9*4,SUMIFS(年度所得税!$D$169:$AH$169,年度所得税!$D$4:$AH$4,"&gt;"&amp;(核心参数输入!$B$9*4-核心参数输入!$B$111)/4),0),0)</f>
        <v>0</v>
      </c>
      <c r="BO173" s="9">
        <f>IF(63&lt;=核心参数输入!$B$9*4,SUMIFS(年度所得税!$D$169:$AH$169,年度所得税!$D$4:$AH$4,(63-核心参数输入!$B$111)/4)+IF(63=核心参数输入!$B$9*4,SUMIFS(年度所得税!$D$169:$AH$169,年度所得税!$D$4:$AH$4,"&gt;"&amp;(核心参数输入!$B$9*4-核心参数输入!$B$111)/4),0),0)</f>
        <v>0</v>
      </c>
      <c r="BP173" s="9">
        <f>IF(64&lt;=核心参数输入!$B$9*4,SUMIFS(年度所得税!$D$169:$AH$169,年度所得税!$D$4:$AH$4,(64-核心参数输入!$B$111)/4)+IF(64=核心参数输入!$B$9*4,SUMIFS(年度所得税!$D$169:$AH$169,年度所得税!$D$4:$AH$4,"&gt;"&amp;(核心参数输入!$B$9*4-核心参数输入!$B$111)/4),0),0)</f>
        <v>0</v>
      </c>
      <c r="BQ173" s="9">
        <f>IF(65&lt;=核心参数输入!$B$9*4,SUMIFS(年度所得税!$D$169:$AH$169,年度所得税!$D$4:$AH$4,(65-核心参数输入!$B$111)/4)+IF(65=核心参数输入!$B$9*4,SUMIFS(年度所得税!$D$169:$AH$169,年度所得税!$D$4:$AH$4,"&gt;"&amp;(核心参数输入!$B$9*4-核心参数输入!$B$111)/4),0),0)</f>
        <v>0</v>
      </c>
      <c r="BR173" s="9">
        <f>IF(66&lt;=核心参数输入!$B$9*4,SUMIFS(年度所得税!$D$169:$AH$169,年度所得税!$D$4:$AH$4,(66-核心参数输入!$B$111)/4)+IF(66=核心参数输入!$B$9*4,SUMIFS(年度所得税!$D$169:$AH$169,年度所得税!$D$4:$AH$4,"&gt;"&amp;(核心参数输入!$B$9*4-核心参数输入!$B$111)/4),0),0)</f>
        <v>0</v>
      </c>
      <c r="BS173" s="9">
        <f>IF(67&lt;=核心参数输入!$B$9*4,SUMIFS(年度所得税!$D$169:$AH$169,年度所得税!$D$4:$AH$4,(67-核心参数输入!$B$111)/4)+IF(67=核心参数输入!$B$9*4,SUMIFS(年度所得税!$D$169:$AH$169,年度所得税!$D$4:$AH$4,"&gt;"&amp;(核心参数输入!$B$9*4-核心参数输入!$B$111)/4),0),0)</f>
        <v>0</v>
      </c>
      <c r="BT173" s="9">
        <f>IF(68&lt;=核心参数输入!$B$9*4,SUMIFS(年度所得税!$D$169:$AH$169,年度所得税!$D$4:$AH$4,(68-核心参数输入!$B$111)/4)+IF(68=核心参数输入!$B$9*4,SUMIFS(年度所得税!$D$169:$AH$169,年度所得税!$D$4:$AH$4,"&gt;"&amp;(核心参数输入!$B$9*4-核心参数输入!$B$111)/4),0),0)</f>
        <v>0</v>
      </c>
      <c r="BU173" s="9">
        <f>IF(69&lt;=核心参数输入!$B$9*4,SUMIFS(年度所得税!$D$169:$AH$169,年度所得税!$D$4:$AH$4,(69-核心参数输入!$B$111)/4)+IF(69=核心参数输入!$B$9*4,SUMIFS(年度所得税!$D$169:$AH$169,年度所得税!$D$4:$AH$4,"&gt;"&amp;(核心参数输入!$B$9*4-核心参数输入!$B$111)/4),0),0)</f>
        <v>0</v>
      </c>
      <c r="BV173" s="9">
        <f>IF(70&lt;=核心参数输入!$B$9*4,SUMIFS(年度所得税!$D$169:$AH$169,年度所得税!$D$4:$AH$4,(70-核心参数输入!$B$111)/4)+IF(70=核心参数输入!$B$9*4,SUMIFS(年度所得税!$D$169:$AH$169,年度所得税!$D$4:$AH$4,"&gt;"&amp;(核心参数输入!$B$9*4-核心参数输入!$B$111)/4),0),0)</f>
        <v>0</v>
      </c>
      <c r="BW173" s="9">
        <f>IF(71&lt;=核心参数输入!$B$9*4,SUMIFS(年度所得税!$D$169:$AH$169,年度所得税!$D$4:$AH$4,(71-核心参数输入!$B$111)/4)+IF(71=核心参数输入!$B$9*4,SUMIFS(年度所得税!$D$169:$AH$169,年度所得税!$D$4:$AH$4,"&gt;"&amp;(核心参数输入!$B$9*4-核心参数输入!$B$111)/4),0),0)</f>
        <v>0</v>
      </c>
      <c r="BX173" s="9">
        <f>IF(72&lt;=核心参数输入!$B$9*4,SUMIFS(年度所得税!$D$169:$AH$169,年度所得税!$D$4:$AH$4,(72-核心参数输入!$B$111)/4)+IF(72=核心参数输入!$B$9*4,SUMIFS(年度所得税!$D$169:$AH$169,年度所得税!$D$4:$AH$4,"&gt;"&amp;(核心参数输入!$B$9*4-核心参数输入!$B$111)/4),0),0)</f>
        <v>0</v>
      </c>
      <c r="BY173" s="9">
        <f>IF(73&lt;=核心参数输入!$B$9*4,SUMIFS(年度所得税!$D$169:$AH$169,年度所得税!$D$4:$AH$4,(73-核心参数输入!$B$111)/4)+IF(73=核心参数输入!$B$9*4,SUMIFS(年度所得税!$D$169:$AH$169,年度所得税!$D$4:$AH$4,"&gt;"&amp;(核心参数输入!$B$9*4-核心参数输入!$B$111)/4),0),0)</f>
        <v>0</v>
      </c>
      <c r="BZ173" s="9">
        <f>IF(74&lt;=核心参数输入!$B$9*4,SUMIFS(年度所得税!$D$169:$AH$169,年度所得税!$D$4:$AH$4,(74-核心参数输入!$B$111)/4)+IF(74=核心参数输入!$B$9*4,SUMIFS(年度所得税!$D$169:$AH$169,年度所得税!$D$4:$AH$4,"&gt;"&amp;(核心参数输入!$B$9*4-核心参数输入!$B$111)/4),0),0)</f>
        <v>0</v>
      </c>
      <c r="CA173" s="9">
        <f>IF(75&lt;=核心参数输入!$B$9*4,SUMIFS(年度所得税!$D$169:$AH$169,年度所得税!$D$4:$AH$4,(75-核心参数输入!$B$111)/4)+IF(75=核心参数输入!$B$9*4,SUMIFS(年度所得税!$D$169:$AH$169,年度所得税!$D$4:$AH$4,"&gt;"&amp;(核心参数输入!$B$9*4-核心参数输入!$B$111)/4),0),0)</f>
        <v>0</v>
      </c>
      <c r="CB173" s="9">
        <f>IF(76&lt;=核心参数输入!$B$9*4,SUMIFS(年度所得税!$D$169:$AH$169,年度所得税!$D$4:$AH$4,(76-核心参数输入!$B$111)/4)+IF(76=核心参数输入!$B$9*4,SUMIFS(年度所得税!$D$169:$AH$169,年度所得税!$D$4:$AH$4,"&gt;"&amp;(核心参数输入!$B$9*4-核心参数输入!$B$111)/4),0),0)</f>
        <v>0</v>
      </c>
      <c r="CC173" s="9">
        <f>IF(77&lt;=核心参数输入!$B$9*4,SUMIFS(年度所得税!$D$169:$AH$169,年度所得税!$D$4:$AH$4,(77-核心参数输入!$B$111)/4)+IF(77=核心参数输入!$B$9*4,SUMIFS(年度所得税!$D$169:$AH$169,年度所得税!$D$4:$AH$4,"&gt;"&amp;(核心参数输入!$B$9*4-核心参数输入!$B$111)/4),0),0)</f>
        <v>0</v>
      </c>
      <c r="CD173" s="9">
        <f>IF(78&lt;=核心参数输入!$B$9*4,SUMIFS(年度所得税!$D$169:$AH$169,年度所得税!$D$4:$AH$4,(78-核心参数输入!$B$111)/4)+IF(78=核心参数输入!$B$9*4,SUMIFS(年度所得税!$D$169:$AH$169,年度所得税!$D$4:$AH$4,"&gt;"&amp;(核心参数输入!$B$9*4-核心参数输入!$B$111)/4),0),0)</f>
        <v>0</v>
      </c>
      <c r="CE173" s="9">
        <f>IF(79&lt;=核心参数输入!$B$9*4,SUMIFS(年度所得税!$D$169:$AH$169,年度所得税!$D$4:$AH$4,(79-核心参数输入!$B$111)/4)+IF(79=核心参数输入!$B$9*4,SUMIFS(年度所得税!$D$169:$AH$169,年度所得税!$D$4:$AH$4,"&gt;"&amp;(核心参数输入!$B$9*4-核心参数输入!$B$111)/4),0),0)</f>
        <v>0</v>
      </c>
      <c r="CF173" s="9">
        <f>IF(80&lt;=核心参数输入!$B$9*4,SUMIFS(年度所得税!$D$169:$AH$169,年度所得税!$D$4:$AH$4,(80-核心参数输入!$B$111)/4)+IF(80=核心参数输入!$B$9*4,SUMIFS(年度所得税!$D$169:$AH$169,年度所得税!$D$4:$AH$4,"&gt;"&amp;(核心参数输入!$B$9*4-核心参数输入!$B$111)/4),0),0)</f>
        <v>3556.5237855659743</v>
      </c>
      <c r="CG173" s="9">
        <f>IF(81&lt;=核心参数输入!$B$9*4,SUMIFS(年度所得税!$D$169:$AH$169,年度所得税!$D$4:$AH$4,(81-核心参数输入!$B$111)/4)+IF(81=核心参数输入!$B$9*4,SUMIFS(年度所得税!$D$169:$AH$169,年度所得税!$D$4:$AH$4,"&gt;"&amp;(核心参数输入!$B$9*4-核心参数输入!$B$111)/4),0),0)</f>
        <v>0</v>
      </c>
      <c r="CH173" s="9">
        <f>IF(82&lt;=核心参数输入!$B$9*4,SUMIFS(年度所得税!$D$169:$AH$169,年度所得税!$D$4:$AH$4,(82-核心参数输入!$B$111)/4)+IF(82=核心参数输入!$B$9*4,SUMIFS(年度所得税!$D$169:$AH$169,年度所得税!$D$4:$AH$4,"&gt;"&amp;(核心参数输入!$B$9*4-核心参数输入!$B$111)/4),0),0)</f>
        <v>0</v>
      </c>
      <c r="CI173" s="9">
        <f>IF(83&lt;=核心参数输入!$B$9*4,SUMIFS(年度所得税!$D$169:$AH$169,年度所得税!$D$4:$AH$4,(83-核心参数输入!$B$111)/4)+IF(83=核心参数输入!$B$9*4,SUMIFS(年度所得税!$D$169:$AH$169,年度所得税!$D$4:$AH$4,"&gt;"&amp;(核心参数输入!$B$9*4-核心参数输入!$B$111)/4),0),0)</f>
        <v>0</v>
      </c>
      <c r="CJ173" s="9">
        <f>IF(84&lt;=核心参数输入!$B$9*4,SUMIFS(年度所得税!$D$169:$AH$169,年度所得税!$D$4:$AH$4,(84-核心参数输入!$B$111)/4)+IF(84=核心参数输入!$B$9*4,SUMIFS(年度所得税!$D$169:$AH$169,年度所得税!$D$4:$AH$4,"&gt;"&amp;(核心参数输入!$B$9*4-核心参数输入!$B$111)/4),0),0)</f>
        <v>0</v>
      </c>
      <c r="CK173" s="9">
        <f>IF(85&lt;=核心参数输入!$B$9*4,SUMIFS(年度所得税!$D$169:$AH$169,年度所得税!$D$4:$AH$4,(85-核心参数输入!$B$111)/4)+IF(85=核心参数输入!$B$9*4,SUMIFS(年度所得税!$D$169:$AH$169,年度所得税!$D$4:$AH$4,"&gt;"&amp;(核心参数输入!$B$9*4-核心参数输入!$B$111)/4),0),0)</f>
        <v>0</v>
      </c>
      <c r="CL173" s="9">
        <f>IF(86&lt;=核心参数输入!$B$9*4,SUMIFS(年度所得税!$D$169:$AH$169,年度所得税!$D$4:$AH$4,(86-核心参数输入!$B$111)/4)+IF(86=核心参数输入!$B$9*4,SUMIFS(年度所得税!$D$169:$AH$169,年度所得税!$D$4:$AH$4,"&gt;"&amp;(核心参数输入!$B$9*4-核心参数输入!$B$111)/4),0),0)</f>
        <v>0</v>
      </c>
      <c r="CM173" s="9">
        <f>IF(87&lt;=核心参数输入!$B$9*4,SUMIFS(年度所得税!$D$169:$AH$169,年度所得税!$D$4:$AH$4,(87-核心参数输入!$B$111)/4)+IF(87=核心参数输入!$B$9*4,SUMIFS(年度所得税!$D$169:$AH$169,年度所得税!$D$4:$AH$4,"&gt;"&amp;(核心参数输入!$B$9*4-核心参数输入!$B$111)/4),0),0)</f>
        <v>0</v>
      </c>
      <c r="CN173" s="9">
        <f>IF(88&lt;=核心参数输入!$B$9*4,SUMIFS(年度所得税!$D$169:$AH$169,年度所得税!$D$4:$AH$4,(88-核心参数输入!$B$111)/4)+IF(88=核心参数输入!$B$9*4,SUMIFS(年度所得税!$D$169:$AH$169,年度所得税!$D$4:$AH$4,"&gt;"&amp;(核心参数输入!$B$9*4-核心参数输入!$B$111)/4),0),0)</f>
        <v>0</v>
      </c>
      <c r="CO173" s="9">
        <f>IF(89&lt;=核心参数输入!$B$9*4,SUMIFS(年度所得税!$D$169:$AH$169,年度所得税!$D$4:$AH$4,(89-核心参数输入!$B$111)/4)+IF(89=核心参数输入!$B$9*4,SUMIFS(年度所得税!$D$169:$AH$169,年度所得税!$D$4:$AH$4,"&gt;"&amp;(核心参数输入!$B$9*4-核心参数输入!$B$111)/4),0),0)</f>
        <v>0</v>
      </c>
      <c r="CP173" s="9">
        <f>IF(90&lt;=核心参数输入!$B$9*4,SUMIFS(年度所得税!$D$169:$AH$169,年度所得税!$D$4:$AH$4,(90-核心参数输入!$B$111)/4)+IF(90=核心参数输入!$B$9*4,SUMIFS(年度所得税!$D$169:$AH$169,年度所得税!$D$4:$AH$4,"&gt;"&amp;(核心参数输入!$B$9*4-核心参数输入!$B$111)/4),0),0)</f>
        <v>0</v>
      </c>
      <c r="CQ173" s="9">
        <f>IF(91&lt;=核心参数输入!$B$9*4,SUMIFS(年度所得税!$D$169:$AH$169,年度所得税!$D$4:$AH$4,(91-核心参数输入!$B$111)/4)+IF(91=核心参数输入!$B$9*4,SUMIFS(年度所得税!$D$169:$AH$169,年度所得税!$D$4:$AH$4,"&gt;"&amp;(核心参数输入!$B$9*4-核心参数输入!$B$111)/4),0),0)</f>
        <v>0</v>
      </c>
      <c r="CR173" s="9">
        <f>IF(92&lt;=核心参数输入!$B$9*4,SUMIFS(年度所得税!$D$169:$AH$169,年度所得税!$D$4:$AH$4,(92-核心参数输入!$B$111)/4)+IF(92=核心参数输入!$B$9*4,SUMIFS(年度所得税!$D$169:$AH$169,年度所得税!$D$4:$AH$4,"&gt;"&amp;(核心参数输入!$B$9*4-核心参数输入!$B$111)/4),0),0)</f>
        <v>0</v>
      </c>
      <c r="CS173" s="9">
        <f>IF(93&lt;=核心参数输入!$B$9*4,SUMIFS(年度所得税!$D$169:$AH$169,年度所得税!$D$4:$AH$4,(93-核心参数输入!$B$111)/4)+IF(93=核心参数输入!$B$9*4,SUMIFS(年度所得税!$D$169:$AH$169,年度所得税!$D$4:$AH$4,"&gt;"&amp;(核心参数输入!$B$9*4-核心参数输入!$B$111)/4),0),0)</f>
        <v>0</v>
      </c>
      <c r="CT173" s="9">
        <f>IF(94&lt;=核心参数输入!$B$9*4,SUMIFS(年度所得税!$D$169:$AH$169,年度所得税!$D$4:$AH$4,(94-核心参数输入!$B$111)/4)+IF(94=核心参数输入!$B$9*4,SUMIFS(年度所得税!$D$169:$AH$169,年度所得税!$D$4:$AH$4,"&gt;"&amp;(核心参数输入!$B$9*4-核心参数输入!$B$111)/4),0),0)</f>
        <v>0</v>
      </c>
      <c r="CU173" s="9">
        <f>IF(95&lt;=核心参数输入!$B$9*4,SUMIFS(年度所得税!$D$169:$AH$169,年度所得税!$D$4:$AH$4,(95-核心参数输入!$B$111)/4)+IF(95=核心参数输入!$B$9*4,SUMIFS(年度所得税!$D$169:$AH$169,年度所得税!$D$4:$AH$4,"&gt;"&amp;(核心参数输入!$B$9*4-核心参数输入!$B$111)/4),0),0)</f>
        <v>0</v>
      </c>
      <c r="CV173" s="9">
        <f>IF(96&lt;=核心参数输入!$B$9*4,SUMIFS(年度所得税!$D$169:$AH$169,年度所得税!$D$4:$AH$4,(96-核心参数输入!$B$111)/4)+IF(96=核心参数输入!$B$9*4,SUMIFS(年度所得税!$D$169:$AH$169,年度所得税!$D$4:$AH$4,"&gt;"&amp;(核心参数输入!$B$9*4-核心参数输入!$B$111)/4),0),0)</f>
        <v>0</v>
      </c>
      <c r="CW173" s="9">
        <f>IF(97&lt;=核心参数输入!$B$9*4,SUMIFS(年度所得税!$D$169:$AH$169,年度所得税!$D$4:$AH$4,(97-核心参数输入!$B$111)/4)+IF(97=核心参数输入!$B$9*4,SUMIFS(年度所得税!$D$169:$AH$169,年度所得税!$D$4:$AH$4,"&gt;"&amp;(核心参数输入!$B$9*4-核心参数输入!$B$111)/4),0),0)</f>
        <v>0</v>
      </c>
      <c r="CX173" s="9">
        <f>IF(98&lt;=核心参数输入!$B$9*4,SUMIFS(年度所得税!$D$169:$AH$169,年度所得税!$D$4:$AH$4,(98-核心参数输入!$B$111)/4)+IF(98=核心参数输入!$B$9*4,SUMIFS(年度所得税!$D$169:$AH$169,年度所得税!$D$4:$AH$4,"&gt;"&amp;(核心参数输入!$B$9*4-核心参数输入!$B$111)/4),0),0)</f>
        <v>0</v>
      </c>
      <c r="CY173" s="9">
        <f>IF(99&lt;=核心参数输入!$B$9*4,SUMIFS(年度所得税!$D$169:$AH$169,年度所得税!$D$4:$AH$4,(99-核心参数输入!$B$111)/4)+IF(99=核心参数输入!$B$9*4,SUMIFS(年度所得税!$D$169:$AH$169,年度所得税!$D$4:$AH$4,"&gt;"&amp;(核心参数输入!$B$9*4-核心参数输入!$B$111)/4),0),0)</f>
        <v>0</v>
      </c>
      <c r="CZ173" s="9">
        <f>IF(100&lt;=核心参数输入!$B$9*4,SUMIFS(年度所得税!$D$169:$AH$169,年度所得税!$D$4:$AH$4,(100-核心参数输入!$B$111)/4)+IF(100=核心参数输入!$B$9*4,SUMIFS(年度所得税!$D$169:$AH$169,年度所得税!$D$4:$AH$4,"&gt;"&amp;(核心参数输入!$B$9*4-核心参数输入!$B$111)/4),0),0)</f>
        <v>0</v>
      </c>
      <c r="DA173" s="9">
        <f>IF(101&lt;=核心参数输入!$B$9*4,SUMIFS(年度所得税!$D$169:$AH$169,年度所得税!$D$4:$AH$4,(101-核心参数输入!$B$111)/4)+IF(101=核心参数输入!$B$9*4,SUMIFS(年度所得税!$D$169:$AH$169,年度所得税!$D$4:$AH$4,"&gt;"&amp;(核心参数输入!$B$9*4-核心参数输入!$B$111)/4),0),0)</f>
        <v>0</v>
      </c>
      <c r="DB173" s="9">
        <f>IF(102&lt;=核心参数输入!$B$9*4,SUMIFS(年度所得税!$D$169:$AH$169,年度所得税!$D$4:$AH$4,(102-核心参数输入!$B$111)/4)+IF(102=核心参数输入!$B$9*4,SUMIFS(年度所得税!$D$169:$AH$169,年度所得税!$D$4:$AH$4,"&gt;"&amp;(核心参数输入!$B$9*4-核心参数输入!$B$111)/4),0),0)</f>
        <v>0</v>
      </c>
      <c r="DC173" s="9">
        <f>IF(103&lt;=核心参数输入!$B$9*4,SUMIFS(年度所得税!$D$169:$AH$169,年度所得税!$D$4:$AH$4,(103-核心参数输入!$B$111)/4)+IF(103=核心参数输入!$B$9*4,SUMIFS(年度所得税!$D$169:$AH$169,年度所得税!$D$4:$AH$4,"&gt;"&amp;(核心参数输入!$B$9*4-核心参数输入!$B$111)/4),0),0)</f>
        <v>0</v>
      </c>
      <c r="DD173" s="9">
        <f>IF(104&lt;=核心参数输入!$B$9*4,SUMIFS(年度所得税!$D$169:$AH$169,年度所得税!$D$4:$AH$4,(104-核心参数输入!$B$111)/4)+IF(104=核心参数输入!$B$9*4,SUMIFS(年度所得税!$D$169:$AH$169,年度所得税!$D$4:$AH$4,"&gt;"&amp;(核心参数输入!$B$9*4-核心参数输入!$B$111)/4),0),0)</f>
        <v>0</v>
      </c>
      <c r="DE173" s="9">
        <f>IF(105&lt;=核心参数输入!$B$9*4,SUMIFS(年度所得税!$D$169:$AH$169,年度所得税!$D$4:$AH$4,(105-核心参数输入!$B$111)/4)+IF(105=核心参数输入!$B$9*4,SUMIFS(年度所得税!$D$169:$AH$169,年度所得税!$D$4:$AH$4,"&gt;"&amp;(核心参数输入!$B$9*4-核心参数输入!$B$111)/4),0),0)</f>
        <v>0</v>
      </c>
      <c r="DF173" s="9">
        <f>IF(106&lt;=核心参数输入!$B$9*4,SUMIFS(年度所得税!$D$169:$AH$169,年度所得税!$D$4:$AH$4,(106-核心参数输入!$B$111)/4)+IF(106=核心参数输入!$B$9*4,SUMIFS(年度所得税!$D$169:$AH$169,年度所得税!$D$4:$AH$4,"&gt;"&amp;(核心参数输入!$B$9*4-核心参数输入!$B$111)/4),0),0)</f>
        <v>0</v>
      </c>
      <c r="DG173" s="9">
        <f>IF(107&lt;=核心参数输入!$B$9*4,SUMIFS(年度所得税!$D$169:$AH$169,年度所得税!$D$4:$AH$4,(107-核心参数输入!$B$111)/4)+IF(107=核心参数输入!$B$9*4,SUMIFS(年度所得税!$D$169:$AH$169,年度所得税!$D$4:$AH$4,"&gt;"&amp;(核心参数输入!$B$9*4-核心参数输入!$B$111)/4),0),0)</f>
        <v>0</v>
      </c>
      <c r="DH173" s="9">
        <f>IF(108&lt;=核心参数输入!$B$9*4,SUMIFS(年度所得税!$D$169:$AH$169,年度所得税!$D$4:$AH$4,(108-核心参数输入!$B$111)/4)+IF(108=核心参数输入!$B$9*4,SUMIFS(年度所得税!$D$169:$AH$169,年度所得税!$D$4:$AH$4,"&gt;"&amp;(核心参数输入!$B$9*4-核心参数输入!$B$111)/4),0),0)</f>
        <v>0</v>
      </c>
      <c r="DI173" s="9">
        <f>IF(109&lt;=核心参数输入!$B$9*4,SUMIFS(年度所得税!$D$169:$AH$169,年度所得税!$D$4:$AH$4,(109-核心参数输入!$B$111)/4)+IF(109=核心参数输入!$B$9*4,SUMIFS(年度所得税!$D$169:$AH$169,年度所得税!$D$4:$AH$4,"&gt;"&amp;(核心参数输入!$B$9*4-核心参数输入!$B$111)/4),0),0)</f>
        <v>0</v>
      </c>
      <c r="DJ173" s="9">
        <f>IF(110&lt;=核心参数输入!$B$9*4,SUMIFS(年度所得税!$D$169:$AH$169,年度所得税!$D$4:$AH$4,(110-核心参数输入!$B$111)/4)+IF(110=核心参数输入!$B$9*4,SUMIFS(年度所得税!$D$169:$AH$169,年度所得税!$D$4:$AH$4,"&gt;"&amp;(核心参数输入!$B$9*4-核心参数输入!$B$111)/4),0),0)</f>
        <v>0</v>
      </c>
      <c r="DK173" s="9">
        <f>IF(111&lt;=核心参数输入!$B$9*4,SUMIFS(年度所得税!$D$169:$AH$169,年度所得税!$D$4:$AH$4,(111-核心参数输入!$B$111)/4)+IF(111=核心参数输入!$B$9*4,SUMIFS(年度所得税!$D$169:$AH$169,年度所得税!$D$4:$AH$4,"&gt;"&amp;(核心参数输入!$B$9*4-核心参数输入!$B$111)/4),0),0)</f>
        <v>0</v>
      </c>
      <c r="DL173" s="9">
        <f>IF(112&lt;=核心参数输入!$B$9*4,SUMIFS(年度所得税!$D$169:$AH$169,年度所得税!$D$4:$AH$4,(112-核心参数输入!$B$111)/4)+IF(112=核心参数输入!$B$9*4,SUMIFS(年度所得税!$D$169:$AH$169,年度所得税!$D$4:$AH$4,"&gt;"&amp;(核心参数输入!$B$9*4-核心参数输入!$B$111)/4),0),0)</f>
        <v>0</v>
      </c>
      <c r="DM173" s="9">
        <f>IF(113&lt;=核心参数输入!$B$9*4,SUMIFS(年度所得税!$D$169:$AH$169,年度所得税!$D$4:$AH$4,(113-核心参数输入!$B$111)/4)+IF(113=核心参数输入!$B$9*4,SUMIFS(年度所得税!$D$169:$AH$169,年度所得税!$D$4:$AH$4,"&gt;"&amp;(核心参数输入!$B$9*4-核心参数输入!$B$111)/4),0),0)</f>
        <v>0</v>
      </c>
      <c r="DN173" s="9">
        <f>IF(114&lt;=核心参数输入!$B$9*4,SUMIFS(年度所得税!$D$169:$AH$169,年度所得税!$D$4:$AH$4,(114-核心参数输入!$B$111)/4)+IF(114=核心参数输入!$B$9*4,SUMIFS(年度所得税!$D$169:$AH$169,年度所得税!$D$4:$AH$4,"&gt;"&amp;(核心参数输入!$B$9*4-核心参数输入!$B$111)/4),0),0)</f>
        <v>0</v>
      </c>
      <c r="DO173" s="9">
        <f>IF(115&lt;=核心参数输入!$B$9*4,SUMIFS(年度所得税!$D$169:$AH$169,年度所得税!$D$4:$AH$4,(115-核心参数输入!$B$111)/4)+IF(115=核心参数输入!$B$9*4,SUMIFS(年度所得税!$D$169:$AH$169,年度所得税!$D$4:$AH$4,"&gt;"&amp;(核心参数输入!$B$9*4-核心参数输入!$B$111)/4),0),0)</f>
        <v>0</v>
      </c>
      <c r="DP173" s="9">
        <f>IF(116&lt;=核心参数输入!$B$9*4,SUMIFS(年度所得税!$D$169:$AH$169,年度所得税!$D$4:$AH$4,(116-核心参数输入!$B$111)/4)+IF(116=核心参数输入!$B$9*4,SUMIFS(年度所得税!$D$169:$AH$169,年度所得税!$D$4:$AH$4,"&gt;"&amp;(核心参数输入!$B$9*4-核心参数输入!$B$111)/4),0),0)</f>
        <v>0</v>
      </c>
      <c r="DQ173" s="9">
        <f>IF(117&lt;=核心参数输入!$B$9*4,SUMIFS(年度所得税!$D$169:$AH$169,年度所得税!$D$4:$AH$4,(117-核心参数输入!$B$111)/4)+IF(117=核心参数输入!$B$9*4,SUMIFS(年度所得税!$D$169:$AH$169,年度所得税!$D$4:$AH$4,"&gt;"&amp;(核心参数输入!$B$9*4-核心参数输入!$B$111)/4),0),0)</f>
        <v>0</v>
      </c>
      <c r="DR173" s="9">
        <f>IF(118&lt;=核心参数输入!$B$9*4,SUMIFS(年度所得税!$D$169:$AH$169,年度所得税!$D$4:$AH$4,(118-核心参数输入!$B$111)/4)+IF(118=核心参数输入!$B$9*4,SUMIFS(年度所得税!$D$169:$AH$169,年度所得税!$D$4:$AH$4,"&gt;"&amp;(核心参数输入!$B$9*4-核心参数输入!$B$111)/4),0),0)</f>
        <v>0</v>
      </c>
      <c r="DS173" s="9">
        <f>IF(119&lt;=核心参数输入!$B$9*4,SUMIFS(年度所得税!$D$169:$AH$169,年度所得税!$D$4:$AH$4,(119-核心参数输入!$B$111)/4)+IF(119=核心参数输入!$B$9*4,SUMIFS(年度所得税!$D$169:$AH$169,年度所得税!$D$4:$AH$4,"&gt;"&amp;(核心参数输入!$B$9*4-核心参数输入!$B$111)/4),0),0)</f>
        <v>0</v>
      </c>
      <c r="DT173" s="9">
        <f>IF(120&lt;=核心参数输入!$B$9*4,SUMIFS(年度所得税!$D$169:$AH$169,年度所得税!$D$4:$AH$4,(120-核心参数输入!$B$111)/4)+IF(120=核心参数输入!$B$9*4,SUMIFS(年度所得税!$D$169:$AH$169,年度所得税!$D$4:$AH$4,"&gt;"&amp;(核心参数输入!$B$9*4-核心参数输入!$B$111)/4),0),0)</f>
        <v>0</v>
      </c>
    </row>
    <row r="174" spans="1:124" ht="21" customHeight="1">
      <c r="A174" s="8" t="s">
        <v>495</v>
      </c>
      <c r="B174" s="8" t="s">
        <v>39</v>
      </c>
      <c r="C174" s="8"/>
      <c r="D174" s="9">
        <f>IF(0&lt;=核心参数输入!$B$9*4,SUMIFS(年度所得税!$D$240:$AH$240,年度所得税!$D$4:$AH$4,(0-核心参数输入!$B$111)/4)+IF(0=核心参数输入!$B$9*4,SUMIFS(年度所得税!$D$240:$AH$240,年度所得税!$D$4:$AH$4,"&gt;"&amp;(核心参数输入!$B$9*4-核心参数输入!$B$111)/4),0),0)</f>
        <v>0</v>
      </c>
      <c r="E174" s="9">
        <f>IF(1&lt;=核心参数输入!$B$9*4,SUMIFS(年度所得税!$D$240:$AH$240,年度所得税!$D$4:$AH$4,(1-核心参数输入!$B$111)/4)+IF(1=核心参数输入!$B$9*4,SUMIFS(年度所得税!$D$240:$AH$240,年度所得税!$D$4:$AH$4,"&gt;"&amp;(核心参数输入!$B$9*4-核心参数输入!$B$111)/4),0),0)</f>
        <v>0</v>
      </c>
      <c r="F174" s="9">
        <f>IF(2&lt;=核心参数输入!$B$9*4,SUMIFS(年度所得税!$D$240:$AH$240,年度所得税!$D$4:$AH$4,(2-核心参数输入!$B$111)/4)+IF(2=核心参数输入!$B$9*4,SUMIFS(年度所得税!$D$240:$AH$240,年度所得税!$D$4:$AH$4,"&gt;"&amp;(核心参数输入!$B$9*4-核心参数输入!$B$111)/4),0),0)</f>
        <v>0</v>
      </c>
      <c r="G174" s="9">
        <f>IF(3&lt;=核心参数输入!$B$9*4,SUMIFS(年度所得税!$D$240:$AH$240,年度所得税!$D$4:$AH$4,(3-核心参数输入!$B$111)/4)+IF(3=核心参数输入!$B$9*4,SUMIFS(年度所得税!$D$240:$AH$240,年度所得税!$D$4:$AH$4,"&gt;"&amp;(核心参数输入!$B$9*4-核心参数输入!$B$111)/4),0),0)</f>
        <v>0</v>
      </c>
      <c r="H174" s="9">
        <f>IF(4&lt;=核心参数输入!$B$9*4,SUMIFS(年度所得税!$D$240:$AH$240,年度所得税!$D$4:$AH$4,(4-核心参数输入!$B$111)/4)+IF(4=核心参数输入!$B$9*4,SUMIFS(年度所得税!$D$240:$AH$240,年度所得税!$D$4:$AH$4,"&gt;"&amp;(核心参数输入!$B$9*4-核心参数输入!$B$111)/4),0),0)</f>
        <v>0</v>
      </c>
      <c r="I174" s="9">
        <f>IF(5&lt;=核心参数输入!$B$9*4,SUMIFS(年度所得税!$D$240:$AH$240,年度所得税!$D$4:$AH$4,(5-核心参数输入!$B$111)/4)+IF(5=核心参数输入!$B$9*4,SUMIFS(年度所得税!$D$240:$AH$240,年度所得税!$D$4:$AH$4,"&gt;"&amp;(核心参数输入!$B$9*4-核心参数输入!$B$111)/4),0),0)</f>
        <v>0</v>
      </c>
      <c r="J174" s="9">
        <f>IF(6&lt;=核心参数输入!$B$9*4,SUMIFS(年度所得税!$D$240:$AH$240,年度所得税!$D$4:$AH$4,(6-核心参数输入!$B$111)/4)+IF(6=核心参数输入!$B$9*4,SUMIFS(年度所得税!$D$240:$AH$240,年度所得税!$D$4:$AH$4,"&gt;"&amp;(核心参数输入!$B$9*4-核心参数输入!$B$111)/4),0),0)</f>
        <v>0</v>
      </c>
      <c r="K174" s="9">
        <f>IF(7&lt;=核心参数输入!$B$9*4,SUMIFS(年度所得税!$D$240:$AH$240,年度所得税!$D$4:$AH$4,(7-核心参数输入!$B$111)/4)+IF(7=核心参数输入!$B$9*4,SUMIFS(年度所得税!$D$240:$AH$240,年度所得税!$D$4:$AH$4,"&gt;"&amp;(核心参数输入!$B$9*4-核心参数输入!$B$111)/4),0),0)</f>
        <v>0</v>
      </c>
      <c r="L174" s="9">
        <f>IF(8&lt;=核心参数输入!$B$9*4,SUMIFS(年度所得税!$D$240:$AH$240,年度所得税!$D$4:$AH$4,(8-核心参数输入!$B$111)/4)+IF(8=核心参数输入!$B$9*4,SUMIFS(年度所得税!$D$240:$AH$240,年度所得税!$D$4:$AH$4,"&gt;"&amp;(核心参数输入!$B$9*4-核心参数输入!$B$111)/4),0),0)</f>
        <v>0</v>
      </c>
      <c r="M174" s="9">
        <f>IF(9&lt;=核心参数输入!$B$9*4,SUMIFS(年度所得税!$D$240:$AH$240,年度所得税!$D$4:$AH$4,(9-核心参数输入!$B$111)/4)+IF(9=核心参数输入!$B$9*4,SUMIFS(年度所得税!$D$240:$AH$240,年度所得税!$D$4:$AH$4,"&gt;"&amp;(核心参数输入!$B$9*4-核心参数输入!$B$111)/4),0),0)</f>
        <v>0</v>
      </c>
      <c r="N174" s="9">
        <f>IF(10&lt;=核心参数输入!$B$9*4,SUMIFS(年度所得税!$D$240:$AH$240,年度所得税!$D$4:$AH$4,(10-核心参数输入!$B$111)/4)+IF(10=核心参数输入!$B$9*4,SUMIFS(年度所得税!$D$240:$AH$240,年度所得税!$D$4:$AH$4,"&gt;"&amp;(核心参数输入!$B$9*4-核心参数输入!$B$111)/4),0),0)</f>
        <v>0</v>
      </c>
      <c r="O174" s="9">
        <f>IF(11&lt;=核心参数输入!$B$9*4,SUMIFS(年度所得税!$D$240:$AH$240,年度所得税!$D$4:$AH$4,(11-核心参数输入!$B$111)/4)+IF(11=核心参数输入!$B$9*4,SUMIFS(年度所得税!$D$240:$AH$240,年度所得税!$D$4:$AH$4,"&gt;"&amp;(核心参数输入!$B$9*4-核心参数输入!$B$111)/4),0),0)</f>
        <v>0</v>
      </c>
      <c r="P174" s="9">
        <f>IF(12&lt;=核心参数输入!$B$9*4,SUMIFS(年度所得税!$D$240:$AH$240,年度所得税!$D$4:$AH$4,(12-核心参数输入!$B$111)/4)+IF(12=核心参数输入!$B$9*4,SUMIFS(年度所得税!$D$240:$AH$240,年度所得税!$D$4:$AH$4,"&gt;"&amp;(核心参数输入!$B$9*4-核心参数输入!$B$111)/4),0),0)</f>
        <v>0</v>
      </c>
      <c r="Q174" s="9">
        <f>IF(13&lt;=核心参数输入!$B$9*4,SUMIFS(年度所得税!$D$240:$AH$240,年度所得税!$D$4:$AH$4,(13-核心参数输入!$B$111)/4)+IF(13=核心参数输入!$B$9*4,SUMIFS(年度所得税!$D$240:$AH$240,年度所得税!$D$4:$AH$4,"&gt;"&amp;(核心参数输入!$B$9*4-核心参数输入!$B$111)/4),0),0)</f>
        <v>0</v>
      </c>
      <c r="R174" s="9">
        <f>IF(14&lt;=核心参数输入!$B$9*4,SUMIFS(年度所得税!$D$240:$AH$240,年度所得税!$D$4:$AH$4,(14-核心参数输入!$B$111)/4)+IF(14=核心参数输入!$B$9*4,SUMIFS(年度所得税!$D$240:$AH$240,年度所得税!$D$4:$AH$4,"&gt;"&amp;(核心参数输入!$B$9*4-核心参数输入!$B$111)/4),0),0)</f>
        <v>0</v>
      </c>
      <c r="S174" s="9">
        <f>IF(15&lt;=核心参数输入!$B$9*4,SUMIFS(年度所得税!$D$240:$AH$240,年度所得税!$D$4:$AH$4,(15-核心参数输入!$B$111)/4)+IF(15=核心参数输入!$B$9*4,SUMIFS(年度所得税!$D$240:$AH$240,年度所得税!$D$4:$AH$4,"&gt;"&amp;(核心参数输入!$B$9*4-核心参数输入!$B$111)/4),0),0)</f>
        <v>0</v>
      </c>
      <c r="T174" s="9">
        <f>IF(16&lt;=核心参数输入!$B$9*4,SUMIFS(年度所得税!$D$240:$AH$240,年度所得税!$D$4:$AH$4,(16-核心参数输入!$B$111)/4)+IF(16=核心参数输入!$B$9*4,SUMIFS(年度所得税!$D$240:$AH$240,年度所得税!$D$4:$AH$4,"&gt;"&amp;(核心参数输入!$B$9*4-核心参数输入!$B$111)/4),0),0)</f>
        <v>0</v>
      </c>
      <c r="U174" s="9">
        <f>IF(17&lt;=核心参数输入!$B$9*4,SUMIFS(年度所得税!$D$240:$AH$240,年度所得税!$D$4:$AH$4,(17-核心参数输入!$B$111)/4)+IF(17=核心参数输入!$B$9*4,SUMIFS(年度所得税!$D$240:$AH$240,年度所得税!$D$4:$AH$4,"&gt;"&amp;(核心参数输入!$B$9*4-核心参数输入!$B$111)/4),0),0)</f>
        <v>0</v>
      </c>
      <c r="V174" s="9">
        <f>IF(18&lt;=核心参数输入!$B$9*4,SUMIFS(年度所得税!$D$240:$AH$240,年度所得税!$D$4:$AH$4,(18-核心参数输入!$B$111)/4)+IF(18=核心参数输入!$B$9*4,SUMIFS(年度所得税!$D$240:$AH$240,年度所得税!$D$4:$AH$4,"&gt;"&amp;(核心参数输入!$B$9*4-核心参数输入!$B$111)/4),0),0)</f>
        <v>0</v>
      </c>
      <c r="W174" s="9">
        <f>IF(19&lt;=核心参数输入!$B$9*4,SUMIFS(年度所得税!$D$240:$AH$240,年度所得税!$D$4:$AH$4,(19-核心参数输入!$B$111)/4)+IF(19=核心参数输入!$B$9*4,SUMIFS(年度所得税!$D$240:$AH$240,年度所得税!$D$4:$AH$4,"&gt;"&amp;(核心参数输入!$B$9*4-核心参数输入!$B$111)/4),0),0)</f>
        <v>0</v>
      </c>
      <c r="X174" s="9">
        <f>IF(20&lt;=核心参数输入!$B$9*4,SUMIFS(年度所得税!$D$240:$AH$240,年度所得税!$D$4:$AH$4,(20-核心参数输入!$B$111)/4)+IF(20=核心参数输入!$B$9*4,SUMIFS(年度所得税!$D$240:$AH$240,年度所得税!$D$4:$AH$4,"&gt;"&amp;(核心参数输入!$B$9*4-核心参数输入!$B$111)/4),0),0)</f>
        <v>0</v>
      </c>
      <c r="Y174" s="9">
        <f>IF(21&lt;=核心参数输入!$B$9*4,SUMIFS(年度所得税!$D$240:$AH$240,年度所得税!$D$4:$AH$4,(21-核心参数输入!$B$111)/4)+IF(21=核心参数输入!$B$9*4,SUMIFS(年度所得税!$D$240:$AH$240,年度所得税!$D$4:$AH$4,"&gt;"&amp;(核心参数输入!$B$9*4-核心参数输入!$B$111)/4),0),0)</f>
        <v>0</v>
      </c>
      <c r="Z174" s="9">
        <f>IF(22&lt;=核心参数输入!$B$9*4,SUMIFS(年度所得税!$D$240:$AH$240,年度所得税!$D$4:$AH$4,(22-核心参数输入!$B$111)/4)+IF(22=核心参数输入!$B$9*4,SUMIFS(年度所得税!$D$240:$AH$240,年度所得税!$D$4:$AH$4,"&gt;"&amp;(核心参数输入!$B$9*4-核心参数输入!$B$111)/4),0),0)</f>
        <v>0</v>
      </c>
      <c r="AA174" s="9">
        <f>IF(23&lt;=核心参数输入!$B$9*4,SUMIFS(年度所得税!$D$240:$AH$240,年度所得税!$D$4:$AH$4,(23-核心参数输入!$B$111)/4)+IF(23=核心参数输入!$B$9*4,SUMIFS(年度所得税!$D$240:$AH$240,年度所得税!$D$4:$AH$4,"&gt;"&amp;(核心参数输入!$B$9*4-核心参数输入!$B$111)/4),0),0)</f>
        <v>0</v>
      </c>
      <c r="AB174" s="9">
        <f>IF(24&lt;=核心参数输入!$B$9*4,SUMIFS(年度所得税!$D$240:$AH$240,年度所得税!$D$4:$AH$4,(24-核心参数输入!$B$111)/4)+IF(24=核心参数输入!$B$9*4,SUMIFS(年度所得税!$D$240:$AH$240,年度所得税!$D$4:$AH$4,"&gt;"&amp;(核心参数输入!$B$9*4-核心参数输入!$B$111)/4),0),0)</f>
        <v>0</v>
      </c>
      <c r="AC174" s="9">
        <f>IF(25&lt;=核心参数输入!$B$9*4,SUMIFS(年度所得税!$D$240:$AH$240,年度所得税!$D$4:$AH$4,(25-核心参数输入!$B$111)/4)+IF(25=核心参数输入!$B$9*4,SUMIFS(年度所得税!$D$240:$AH$240,年度所得税!$D$4:$AH$4,"&gt;"&amp;(核心参数输入!$B$9*4-核心参数输入!$B$111)/4),0),0)</f>
        <v>0</v>
      </c>
      <c r="AD174" s="9">
        <f>IF(26&lt;=核心参数输入!$B$9*4,SUMIFS(年度所得税!$D$240:$AH$240,年度所得税!$D$4:$AH$4,(26-核心参数输入!$B$111)/4)+IF(26=核心参数输入!$B$9*4,SUMIFS(年度所得税!$D$240:$AH$240,年度所得税!$D$4:$AH$4,"&gt;"&amp;(核心参数输入!$B$9*4-核心参数输入!$B$111)/4),0),0)</f>
        <v>0</v>
      </c>
      <c r="AE174" s="9">
        <f>IF(27&lt;=核心参数输入!$B$9*4,SUMIFS(年度所得税!$D$240:$AH$240,年度所得税!$D$4:$AH$4,(27-核心参数输入!$B$111)/4)+IF(27=核心参数输入!$B$9*4,SUMIFS(年度所得税!$D$240:$AH$240,年度所得税!$D$4:$AH$4,"&gt;"&amp;(核心参数输入!$B$9*4-核心参数输入!$B$111)/4),0),0)</f>
        <v>0</v>
      </c>
      <c r="AF174" s="9">
        <f>IF(28&lt;=核心参数输入!$B$9*4,SUMIFS(年度所得税!$D$240:$AH$240,年度所得税!$D$4:$AH$4,(28-核心参数输入!$B$111)/4)+IF(28=核心参数输入!$B$9*4,SUMIFS(年度所得税!$D$240:$AH$240,年度所得税!$D$4:$AH$4,"&gt;"&amp;(核心参数输入!$B$9*4-核心参数输入!$B$111)/4),0),0)</f>
        <v>0</v>
      </c>
      <c r="AG174" s="9">
        <f>IF(29&lt;=核心参数输入!$B$9*4,SUMIFS(年度所得税!$D$240:$AH$240,年度所得税!$D$4:$AH$4,(29-核心参数输入!$B$111)/4)+IF(29=核心参数输入!$B$9*4,SUMIFS(年度所得税!$D$240:$AH$240,年度所得税!$D$4:$AH$4,"&gt;"&amp;(核心参数输入!$B$9*4-核心参数输入!$B$111)/4),0),0)</f>
        <v>0</v>
      </c>
      <c r="AH174" s="9">
        <f>IF(30&lt;=核心参数输入!$B$9*4,SUMIFS(年度所得税!$D$240:$AH$240,年度所得税!$D$4:$AH$4,(30-核心参数输入!$B$111)/4)+IF(30=核心参数输入!$B$9*4,SUMIFS(年度所得税!$D$240:$AH$240,年度所得税!$D$4:$AH$4,"&gt;"&amp;(核心参数输入!$B$9*4-核心参数输入!$B$111)/4),0),0)</f>
        <v>0</v>
      </c>
      <c r="AI174" s="9">
        <f>IF(31&lt;=核心参数输入!$B$9*4,SUMIFS(年度所得税!$D$240:$AH$240,年度所得税!$D$4:$AH$4,(31-核心参数输入!$B$111)/4)+IF(31=核心参数输入!$B$9*4,SUMIFS(年度所得税!$D$240:$AH$240,年度所得税!$D$4:$AH$4,"&gt;"&amp;(核心参数输入!$B$9*4-核心参数输入!$B$111)/4),0),0)</f>
        <v>0</v>
      </c>
      <c r="AJ174" s="9">
        <f>IF(32&lt;=核心参数输入!$B$9*4,SUMIFS(年度所得税!$D$240:$AH$240,年度所得税!$D$4:$AH$4,(32-核心参数输入!$B$111)/4)+IF(32=核心参数输入!$B$9*4,SUMIFS(年度所得税!$D$240:$AH$240,年度所得税!$D$4:$AH$4,"&gt;"&amp;(核心参数输入!$B$9*4-核心参数输入!$B$111)/4),0),0)</f>
        <v>0</v>
      </c>
      <c r="AK174" s="9">
        <f>IF(33&lt;=核心参数输入!$B$9*4,SUMIFS(年度所得税!$D$240:$AH$240,年度所得税!$D$4:$AH$4,(33-核心参数输入!$B$111)/4)+IF(33=核心参数输入!$B$9*4,SUMIFS(年度所得税!$D$240:$AH$240,年度所得税!$D$4:$AH$4,"&gt;"&amp;(核心参数输入!$B$9*4-核心参数输入!$B$111)/4),0),0)</f>
        <v>0</v>
      </c>
      <c r="AL174" s="9">
        <f>IF(34&lt;=核心参数输入!$B$9*4,SUMIFS(年度所得税!$D$240:$AH$240,年度所得税!$D$4:$AH$4,(34-核心参数输入!$B$111)/4)+IF(34=核心参数输入!$B$9*4,SUMIFS(年度所得税!$D$240:$AH$240,年度所得税!$D$4:$AH$4,"&gt;"&amp;(核心参数输入!$B$9*4-核心参数输入!$B$111)/4),0),0)</f>
        <v>0</v>
      </c>
      <c r="AM174" s="9">
        <f>IF(35&lt;=核心参数输入!$B$9*4,SUMIFS(年度所得税!$D$240:$AH$240,年度所得税!$D$4:$AH$4,(35-核心参数输入!$B$111)/4)+IF(35=核心参数输入!$B$9*4,SUMIFS(年度所得税!$D$240:$AH$240,年度所得税!$D$4:$AH$4,"&gt;"&amp;(核心参数输入!$B$9*4-核心参数输入!$B$111)/4),0),0)</f>
        <v>0</v>
      </c>
      <c r="AN174" s="9">
        <f>IF(36&lt;=核心参数输入!$B$9*4,SUMIFS(年度所得税!$D$240:$AH$240,年度所得税!$D$4:$AH$4,(36-核心参数输入!$B$111)/4)+IF(36=核心参数输入!$B$9*4,SUMIFS(年度所得税!$D$240:$AH$240,年度所得税!$D$4:$AH$4,"&gt;"&amp;(核心参数输入!$B$9*4-核心参数输入!$B$111)/4),0),0)</f>
        <v>0</v>
      </c>
      <c r="AO174" s="9">
        <f>IF(37&lt;=核心参数输入!$B$9*4,SUMIFS(年度所得税!$D$240:$AH$240,年度所得税!$D$4:$AH$4,(37-核心参数输入!$B$111)/4)+IF(37=核心参数输入!$B$9*4,SUMIFS(年度所得税!$D$240:$AH$240,年度所得税!$D$4:$AH$4,"&gt;"&amp;(核心参数输入!$B$9*4-核心参数输入!$B$111)/4),0),0)</f>
        <v>0</v>
      </c>
      <c r="AP174" s="9">
        <f>IF(38&lt;=核心参数输入!$B$9*4,SUMIFS(年度所得税!$D$240:$AH$240,年度所得税!$D$4:$AH$4,(38-核心参数输入!$B$111)/4)+IF(38=核心参数输入!$B$9*4,SUMIFS(年度所得税!$D$240:$AH$240,年度所得税!$D$4:$AH$4,"&gt;"&amp;(核心参数输入!$B$9*4-核心参数输入!$B$111)/4),0),0)</f>
        <v>0</v>
      </c>
      <c r="AQ174" s="9">
        <f>IF(39&lt;=核心参数输入!$B$9*4,SUMIFS(年度所得税!$D$240:$AH$240,年度所得税!$D$4:$AH$4,(39-核心参数输入!$B$111)/4)+IF(39=核心参数输入!$B$9*4,SUMIFS(年度所得税!$D$240:$AH$240,年度所得税!$D$4:$AH$4,"&gt;"&amp;(核心参数输入!$B$9*4-核心参数输入!$B$111)/4),0),0)</f>
        <v>0</v>
      </c>
      <c r="AR174" s="9">
        <f>IF(40&lt;=核心参数输入!$B$9*4,SUMIFS(年度所得税!$D$240:$AH$240,年度所得税!$D$4:$AH$4,(40-核心参数输入!$B$111)/4)+IF(40=核心参数输入!$B$9*4,SUMIFS(年度所得税!$D$240:$AH$240,年度所得税!$D$4:$AH$4,"&gt;"&amp;(核心参数输入!$B$9*4-核心参数输入!$B$111)/4),0),0)</f>
        <v>0</v>
      </c>
      <c r="AS174" s="9">
        <f>IF(41&lt;=核心参数输入!$B$9*4,SUMIFS(年度所得税!$D$240:$AH$240,年度所得税!$D$4:$AH$4,(41-核心参数输入!$B$111)/4)+IF(41=核心参数输入!$B$9*4,SUMIFS(年度所得税!$D$240:$AH$240,年度所得税!$D$4:$AH$4,"&gt;"&amp;(核心参数输入!$B$9*4-核心参数输入!$B$111)/4),0),0)</f>
        <v>0</v>
      </c>
      <c r="AT174" s="9">
        <f>IF(42&lt;=核心参数输入!$B$9*4,SUMIFS(年度所得税!$D$240:$AH$240,年度所得税!$D$4:$AH$4,(42-核心参数输入!$B$111)/4)+IF(42=核心参数输入!$B$9*4,SUMIFS(年度所得税!$D$240:$AH$240,年度所得税!$D$4:$AH$4,"&gt;"&amp;(核心参数输入!$B$9*4-核心参数输入!$B$111)/4),0),0)</f>
        <v>0</v>
      </c>
      <c r="AU174" s="9">
        <f>IF(43&lt;=核心参数输入!$B$9*4,SUMIFS(年度所得税!$D$240:$AH$240,年度所得税!$D$4:$AH$4,(43-核心参数输入!$B$111)/4)+IF(43=核心参数输入!$B$9*4,SUMIFS(年度所得税!$D$240:$AH$240,年度所得税!$D$4:$AH$4,"&gt;"&amp;(核心参数输入!$B$9*4-核心参数输入!$B$111)/4),0),0)</f>
        <v>0</v>
      </c>
      <c r="AV174" s="9">
        <f>IF(44&lt;=核心参数输入!$B$9*4,SUMIFS(年度所得税!$D$240:$AH$240,年度所得税!$D$4:$AH$4,(44-核心参数输入!$B$111)/4)+IF(44=核心参数输入!$B$9*4,SUMIFS(年度所得税!$D$240:$AH$240,年度所得税!$D$4:$AH$4,"&gt;"&amp;(核心参数输入!$B$9*4-核心参数输入!$B$111)/4),0),0)</f>
        <v>0</v>
      </c>
      <c r="AW174" s="9">
        <f>IF(45&lt;=核心参数输入!$B$9*4,SUMIFS(年度所得税!$D$240:$AH$240,年度所得税!$D$4:$AH$4,(45-核心参数输入!$B$111)/4)+IF(45=核心参数输入!$B$9*4,SUMIFS(年度所得税!$D$240:$AH$240,年度所得税!$D$4:$AH$4,"&gt;"&amp;(核心参数输入!$B$9*4-核心参数输入!$B$111)/4),0),0)</f>
        <v>0</v>
      </c>
      <c r="AX174" s="9">
        <f>IF(46&lt;=核心参数输入!$B$9*4,SUMIFS(年度所得税!$D$240:$AH$240,年度所得税!$D$4:$AH$4,(46-核心参数输入!$B$111)/4)+IF(46=核心参数输入!$B$9*4,SUMIFS(年度所得税!$D$240:$AH$240,年度所得税!$D$4:$AH$4,"&gt;"&amp;(核心参数输入!$B$9*4-核心参数输入!$B$111)/4),0),0)</f>
        <v>0</v>
      </c>
      <c r="AY174" s="9">
        <f>IF(47&lt;=核心参数输入!$B$9*4,SUMIFS(年度所得税!$D$240:$AH$240,年度所得税!$D$4:$AH$4,(47-核心参数输入!$B$111)/4)+IF(47=核心参数输入!$B$9*4,SUMIFS(年度所得税!$D$240:$AH$240,年度所得税!$D$4:$AH$4,"&gt;"&amp;(核心参数输入!$B$9*4-核心参数输入!$B$111)/4),0),0)</f>
        <v>0</v>
      </c>
      <c r="AZ174" s="9">
        <f>IF(48&lt;=核心参数输入!$B$9*4,SUMIFS(年度所得税!$D$240:$AH$240,年度所得税!$D$4:$AH$4,(48-核心参数输入!$B$111)/4)+IF(48=核心参数输入!$B$9*4,SUMIFS(年度所得税!$D$240:$AH$240,年度所得税!$D$4:$AH$4,"&gt;"&amp;(核心参数输入!$B$9*4-核心参数输入!$B$111)/4),0),0)</f>
        <v>0</v>
      </c>
      <c r="BA174" s="9">
        <f>IF(49&lt;=核心参数输入!$B$9*4,SUMIFS(年度所得税!$D$240:$AH$240,年度所得税!$D$4:$AH$4,(49-核心参数输入!$B$111)/4)+IF(49=核心参数输入!$B$9*4,SUMIFS(年度所得税!$D$240:$AH$240,年度所得税!$D$4:$AH$4,"&gt;"&amp;(核心参数输入!$B$9*4-核心参数输入!$B$111)/4),0),0)</f>
        <v>0</v>
      </c>
      <c r="BB174" s="9">
        <f>IF(50&lt;=核心参数输入!$B$9*4,SUMIFS(年度所得税!$D$240:$AH$240,年度所得税!$D$4:$AH$4,(50-核心参数输入!$B$111)/4)+IF(50=核心参数输入!$B$9*4,SUMIFS(年度所得税!$D$240:$AH$240,年度所得税!$D$4:$AH$4,"&gt;"&amp;(核心参数输入!$B$9*4-核心参数输入!$B$111)/4),0),0)</f>
        <v>0</v>
      </c>
      <c r="BC174" s="9">
        <f>IF(51&lt;=核心参数输入!$B$9*4,SUMIFS(年度所得税!$D$240:$AH$240,年度所得税!$D$4:$AH$4,(51-核心参数输入!$B$111)/4)+IF(51=核心参数输入!$B$9*4,SUMIFS(年度所得税!$D$240:$AH$240,年度所得税!$D$4:$AH$4,"&gt;"&amp;(核心参数输入!$B$9*4-核心参数输入!$B$111)/4),0),0)</f>
        <v>0</v>
      </c>
      <c r="BD174" s="9">
        <f>IF(52&lt;=核心参数输入!$B$9*4,SUMIFS(年度所得税!$D$240:$AH$240,年度所得税!$D$4:$AH$4,(52-核心参数输入!$B$111)/4)+IF(52=核心参数输入!$B$9*4,SUMIFS(年度所得税!$D$240:$AH$240,年度所得税!$D$4:$AH$4,"&gt;"&amp;(核心参数输入!$B$9*4-核心参数输入!$B$111)/4),0),0)</f>
        <v>0</v>
      </c>
      <c r="BE174" s="9">
        <f>IF(53&lt;=核心参数输入!$B$9*4,SUMIFS(年度所得税!$D$240:$AH$240,年度所得税!$D$4:$AH$4,(53-核心参数输入!$B$111)/4)+IF(53=核心参数输入!$B$9*4,SUMIFS(年度所得税!$D$240:$AH$240,年度所得税!$D$4:$AH$4,"&gt;"&amp;(核心参数输入!$B$9*4-核心参数输入!$B$111)/4),0),0)</f>
        <v>0</v>
      </c>
      <c r="BF174" s="9">
        <f>IF(54&lt;=核心参数输入!$B$9*4,SUMIFS(年度所得税!$D$240:$AH$240,年度所得税!$D$4:$AH$4,(54-核心参数输入!$B$111)/4)+IF(54=核心参数输入!$B$9*4,SUMIFS(年度所得税!$D$240:$AH$240,年度所得税!$D$4:$AH$4,"&gt;"&amp;(核心参数输入!$B$9*4-核心参数输入!$B$111)/4),0),0)</f>
        <v>0</v>
      </c>
      <c r="BG174" s="9">
        <f>IF(55&lt;=核心参数输入!$B$9*4,SUMIFS(年度所得税!$D$240:$AH$240,年度所得税!$D$4:$AH$4,(55-核心参数输入!$B$111)/4)+IF(55=核心参数输入!$B$9*4,SUMIFS(年度所得税!$D$240:$AH$240,年度所得税!$D$4:$AH$4,"&gt;"&amp;(核心参数输入!$B$9*4-核心参数输入!$B$111)/4),0),0)</f>
        <v>0</v>
      </c>
      <c r="BH174" s="9">
        <f>IF(56&lt;=核心参数输入!$B$9*4,SUMIFS(年度所得税!$D$240:$AH$240,年度所得税!$D$4:$AH$4,(56-核心参数输入!$B$111)/4)+IF(56=核心参数输入!$B$9*4,SUMIFS(年度所得税!$D$240:$AH$240,年度所得税!$D$4:$AH$4,"&gt;"&amp;(核心参数输入!$B$9*4-核心参数输入!$B$111)/4),0),0)</f>
        <v>0</v>
      </c>
      <c r="BI174" s="9">
        <f>IF(57&lt;=核心参数输入!$B$9*4,SUMIFS(年度所得税!$D$240:$AH$240,年度所得税!$D$4:$AH$4,(57-核心参数输入!$B$111)/4)+IF(57=核心参数输入!$B$9*4,SUMIFS(年度所得税!$D$240:$AH$240,年度所得税!$D$4:$AH$4,"&gt;"&amp;(核心参数输入!$B$9*4-核心参数输入!$B$111)/4),0),0)</f>
        <v>0</v>
      </c>
      <c r="BJ174" s="9">
        <f>IF(58&lt;=核心参数输入!$B$9*4,SUMIFS(年度所得税!$D$240:$AH$240,年度所得税!$D$4:$AH$4,(58-核心参数输入!$B$111)/4)+IF(58=核心参数输入!$B$9*4,SUMIFS(年度所得税!$D$240:$AH$240,年度所得税!$D$4:$AH$4,"&gt;"&amp;(核心参数输入!$B$9*4-核心参数输入!$B$111)/4),0),0)</f>
        <v>0</v>
      </c>
      <c r="BK174" s="9">
        <f>IF(59&lt;=核心参数输入!$B$9*4,SUMIFS(年度所得税!$D$240:$AH$240,年度所得税!$D$4:$AH$4,(59-核心参数输入!$B$111)/4)+IF(59=核心参数输入!$B$9*4,SUMIFS(年度所得税!$D$240:$AH$240,年度所得税!$D$4:$AH$4,"&gt;"&amp;(核心参数输入!$B$9*4-核心参数输入!$B$111)/4),0),0)</f>
        <v>0</v>
      </c>
      <c r="BL174" s="9">
        <f>IF(60&lt;=核心参数输入!$B$9*4,SUMIFS(年度所得税!$D$240:$AH$240,年度所得税!$D$4:$AH$4,(60-核心参数输入!$B$111)/4)+IF(60=核心参数输入!$B$9*4,SUMIFS(年度所得税!$D$240:$AH$240,年度所得税!$D$4:$AH$4,"&gt;"&amp;(核心参数输入!$B$9*4-核心参数输入!$B$111)/4),0),0)</f>
        <v>0</v>
      </c>
      <c r="BM174" s="9">
        <f>IF(61&lt;=核心参数输入!$B$9*4,SUMIFS(年度所得税!$D$240:$AH$240,年度所得税!$D$4:$AH$4,(61-核心参数输入!$B$111)/4)+IF(61=核心参数输入!$B$9*4,SUMIFS(年度所得税!$D$240:$AH$240,年度所得税!$D$4:$AH$4,"&gt;"&amp;(核心参数输入!$B$9*4-核心参数输入!$B$111)/4),0),0)</f>
        <v>0</v>
      </c>
      <c r="BN174" s="9">
        <f>IF(62&lt;=核心参数输入!$B$9*4,SUMIFS(年度所得税!$D$240:$AH$240,年度所得税!$D$4:$AH$4,(62-核心参数输入!$B$111)/4)+IF(62=核心参数输入!$B$9*4,SUMIFS(年度所得税!$D$240:$AH$240,年度所得税!$D$4:$AH$4,"&gt;"&amp;(核心参数输入!$B$9*4-核心参数输入!$B$111)/4),0),0)</f>
        <v>0</v>
      </c>
      <c r="BO174" s="9">
        <f>IF(63&lt;=核心参数输入!$B$9*4,SUMIFS(年度所得税!$D$240:$AH$240,年度所得税!$D$4:$AH$4,(63-核心参数输入!$B$111)/4)+IF(63=核心参数输入!$B$9*4,SUMIFS(年度所得税!$D$240:$AH$240,年度所得税!$D$4:$AH$4,"&gt;"&amp;(核心参数输入!$B$9*4-核心参数输入!$B$111)/4),0),0)</f>
        <v>0</v>
      </c>
      <c r="BP174" s="9">
        <f>IF(64&lt;=核心参数输入!$B$9*4,SUMIFS(年度所得税!$D$240:$AH$240,年度所得税!$D$4:$AH$4,(64-核心参数输入!$B$111)/4)+IF(64=核心参数输入!$B$9*4,SUMIFS(年度所得税!$D$240:$AH$240,年度所得税!$D$4:$AH$4,"&gt;"&amp;(核心参数输入!$B$9*4-核心参数输入!$B$111)/4),0),0)</f>
        <v>0</v>
      </c>
      <c r="BQ174" s="9">
        <f>IF(65&lt;=核心参数输入!$B$9*4,SUMIFS(年度所得税!$D$240:$AH$240,年度所得税!$D$4:$AH$4,(65-核心参数输入!$B$111)/4)+IF(65=核心参数输入!$B$9*4,SUMIFS(年度所得税!$D$240:$AH$240,年度所得税!$D$4:$AH$4,"&gt;"&amp;(核心参数输入!$B$9*4-核心参数输入!$B$111)/4),0),0)</f>
        <v>0</v>
      </c>
      <c r="BR174" s="9">
        <f>IF(66&lt;=核心参数输入!$B$9*4,SUMIFS(年度所得税!$D$240:$AH$240,年度所得税!$D$4:$AH$4,(66-核心参数输入!$B$111)/4)+IF(66=核心参数输入!$B$9*4,SUMIFS(年度所得税!$D$240:$AH$240,年度所得税!$D$4:$AH$4,"&gt;"&amp;(核心参数输入!$B$9*4-核心参数输入!$B$111)/4),0),0)</f>
        <v>0</v>
      </c>
      <c r="BS174" s="9">
        <f>IF(67&lt;=核心参数输入!$B$9*4,SUMIFS(年度所得税!$D$240:$AH$240,年度所得税!$D$4:$AH$4,(67-核心参数输入!$B$111)/4)+IF(67=核心参数输入!$B$9*4,SUMIFS(年度所得税!$D$240:$AH$240,年度所得税!$D$4:$AH$4,"&gt;"&amp;(核心参数输入!$B$9*4-核心参数输入!$B$111)/4),0),0)</f>
        <v>0</v>
      </c>
      <c r="BT174" s="9">
        <f>IF(68&lt;=核心参数输入!$B$9*4,SUMIFS(年度所得税!$D$240:$AH$240,年度所得税!$D$4:$AH$4,(68-核心参数输入!$B$111)/4)+IF(68=核心参数输入!$B$9*4,SUMIFS(年度所得税!$D$240:$AH$240,年度所得税!$D$4:$AH$4,"&gt;"&amp;(核心参数输入!$B$9*4-核心参数输入!$B$111)/4),0),0)</f>
        <v>0</v>
      </c>
      <c r="BU174" s="9">
        <f>IF(69&lt;=核心参数输入!$B$9*4,SUMIFS(年度所得税!$D$240:$AH$240,年度所得税!$D$4:$AH$4,(69-核心参数输入!$B$111)/4)+IF(69=核心参数输入!$B$9*4,SUMIFS(年度所得税!$D$240:$AH$240,年度所得税!$D$4:$AH$4,"&gt;"&amp;(核心参数输入!$B$9*4-核心参数输入!$B$111)/4),0),0)</f>
        <v>0</v>
      </c>
      <c r="BV174" s="9">
        <f>IF(70&lt;=核心参数输入!$B$9*4,SUMIFS(年度所得税!$D$240:$AH$240,年度所得税!$D$4:$AH$4,(70-核心参数输入!$B$111)/4)+IF(70=核心参数输入!$B$9*4,SUMIFS(年度所得税!$D$240:$AH$240,年度所得税!$D$4:$AH$4,"&gt;"&amp;(核心参数输入!$B$9*4-核心参数输入!$B$111)/4),0),0)</f>
        <v>0</v>
      </c>
      <c r="BW174" s="9">
        <f>IF(71&lt;=核心参数输入!$B$9*4,SUMIFS(年度所得税!$D$240:$AH$240,年度所得税!$D$4:$AH$4,(71-核心参数输入!$B$111)/4)+IF(71=核心参数输入!$B$9*4,SUMIFS(年度所得税!$D$240:$AH$240,年度所得税!$D$4:$AH$4,"&gt;"&amp;(核心参数输入!$B$9*4-核心参数输入!$B$111)/4),0),0)</f>
        <v>0</v>
      </c>
      <c r="BX174" s="9">
        <f>IF(72&lt;=核心参数输入!$B$9*4,SUMIFS(年度所得税!$D$240:$AH$240,年度所得税!$D$4:$AH$4,(72-核心参数输入!$B$111)/4)+IF(72=核心参数输入!$B$9*4,SUMIFS(年度所得税!$D$240:$AH$240,年度所得税!$D$4:$AH$4,"&gt;"&amp;(核心参数输入!$B$9*4-核心参数输入!$B$111)/4),0),0)</f>
        <v>0</v>
      </c>
      <c r="BY174" s="9">
        <f>IF(73&lt;=核心参数输入!$B$9*4,SUMIFS(年度所得税!$D$240:$AH$240,年度所得税!$D$4:$AH$4,(73-核心参数输入!$B$111)/4)+IF(73=核心参数输入!$B$9*4,SUMIFS(年度所得税!$D$240:$AH$240,年度所得税!$D$4:$AH$4,"&gt;"&amp;(核心参数输入!$B$9*4-核心参数输入!$B$111)/4),0),0)</f>
        <v>0</v>
      </c>
      <c r="BZ174" s="9">
        <f>IF(74&lt;=核心参数输入!$B$9*4,SUMIFS(年度所得税!$D$240:$AH$240,年度所得税!$D$4:$AH$4,(74-核心参数输入!$B$111)/4)+IF(74=核心参数输入!$B$9*4,SUMIFS(年度所得税!$D$240:$AH$240,年度所得税!$D$4:$AH$4,"&gt;"&amp;(核心参数输入!$B$9*4-核心参数输入!$B$111)/4),0),0)</f>
        <v>0</v>
      </c>
      <c r="CA174" s="9">
        <f>IF(75&lt;=核心参数输入!$B$9*4,SUMIFS(年度所得税!$D$240:$AH$240,年度所得税!$D$4:$AH$4,(75-核心参数输入!$B$111)/4)+IF(75=核心参数输入!$B$9*4,SUMIFS(年度所得税!$D$240:$AH$240,年度所得税!$D$4:$AH$4,"&gt;"&amp;(核心参数输入!$B$9*4-核心参数输入!$B$111)/4),0),0)</f>
        <v>0</v>
      </c>
      <c r="CB174" s="9">
        <f>IF(76&lt;=核心参数输入!$B$9*4,SUMIFS(年度所得税!$D$240:$AH$240,年度所得税!$D$4:$AH$4,(76-核心参数输入!$B$111)/4)+IF(76=核心参数输入!$B$9*4,SUMIFS(年度所得税!$D$240:$AH$240,年度所得税!$D$4:$AH$4,"&gt;"&amp;(核心参数输入!$B$9*4-核心参数输入!$B$111)/4),0),0)</f>
        <v>0</v>
      </c>
      <c r="CC174" s="9">
        <f>IF(77&lt;=核心参数输入!$B$9*4,SUMIFS(年度所得税!$D$240:$AH$240,年度所得税!$D$4:$AH$4,(77-核心参数输入!$B$111)/4)+IF(77=核心参数输入!$B$9*4,SUMIFS(年度所得税!$D$240:$AH$240,年度所得税!$D$4:$AH$4,"&gt;"&amp;(核心参数输入!$B$9*4-核心参数输入!$B$111)/4),0),0)</f>
        <v>0</v>
      </c>
      <c r="CD174" s="9">
        <f>IF(78&lt;=核心参数输入!$B$9*4,SUMIFS(年度所得税!$D$240:$AH$240,年度所得税!$D$4:$AH$4,(78-核心参数输入!$B$111)/4)+IF(78=核心参数输入!$B$9*4,SUMIFS(年度所得税!$D$240:$AH$240,年度所得税!$D$4:$AH$4,"&gt;"&amp;(核心参数输入!$B$9*4-核心参数输入!$B$111)/4),0),0)</f>
        <v>0</v>
      </c>
      <c r="CE174" s="9">
        <f>IF(79&lt;=核心参数输入!$B$9*4,SUMIFS(年度所得税!$D$240:$AH$240,年度所得税!$D$4:$AH$4,(79-核心参数输入!$B$111)/4)+IF(79=核心参数输入!$B$9*4,SUMIFS(年度所得税!$D$240:$AH$240,年度所得税!$D$4:$AH$4,"&gt;"&amp;(核心参数输入!$B$9*4-核心参数输入!$B$111)/4),0),0)</f>
        <v>0</v>
      </c>
      <c r="CF174" s="9">
        <f>IF(80&lt;=核心参数输入!$B$9*4,SUMIFS(年度所得税!$D$240:$AH$240,年度所得税!$D$4:$AH$4,(80-核心参数输入!$B$111)/4)+IF(80=核心参数输入!$B$9*4,SUMIFS(年度所得税!$D$240:$AH$240,年度所得税!$D$4:$AH$4,"&gt;"&amp;(核心参数输入!$B$9*4-核心参数输入!$B$111)/4),0),0)</f>
        <v>0</v>
      </c>
      <c r="CG174" s="9">
        <f>IF(81&lt;=核心参数输入!$B$9*4,SUMIFS(年度所得税!$D$240:$AH$240,年度所得税!$D$4:$AH$4,(81-核心参数输入!$B$111)/4)+IF(81=核心参数输入!$B$9*4,SUMIFS(年度所得税!$D$240:$AH$240,年度所得税!$D$4:$AH$4,"&gt;"&amp;(核心参数输入!$B$9*4-核心参数输入!$B$111)/4),0),0)</f>
        <v>0</v>
      </c>
      <c r="CH174" s="9">
        <f>IF(82&lt;=核心参数输入!$B$9*4,SUMIFS(年度所得税!$D$240:$AH$240,年度所得税!$D$4:$AH$4,(82-核心参数输入!$B$111)/4)+IF(82=核心参数输入!$B$9*4,SUMIFS(年度所得税!$D$240:$AH$240,年度所得税!$D$4:$AH$4,"&gt;"&amp;(核心参数输入!$B$9*4-核心参数输入!$B$111)/4),0),0)</f>
        <v>0</v>
      </c>
      <c r="CI174" s="9">
        <f>IF(83&lt;=核心参数输入!$B$9*4,SUMIFS(年度所得税!$D$240:$AH$240,年度所得税!$D$4:$AH$4,(83-核心参数输入!$B$111)/4)+IF(83=核心参数输入!$B$9*4,SUMIFS(年度所得税!$D$240:$AH$240,年度所得税!$D$4:$AH$4,"&gt;"&amp;(核心参数输入!$B$9*4-核心参数输入!$B$111)/4),0),0)</f>
        <v>0</v>
      </c>
      <c r="CJ174" s="9">
        <f>IF(84&lt;=核心参数输入!$B$9*4,SUMIFS(年度所得税!$D$240:$AH$240,年度所得税!$D$4:$AH$4,(84-核心参数输入!$B$111)/4)+IF(84=核心参数输入!$B$9*4,SUMIFS(年度所得税!$D$240:$AH$240,年度所得税!$D$4:$AH$4,"&gt;"&amp;(核心参数输入!$B$9*4-核心参数输入!$B$111)/4),0),0)</f>
        <v>0</v>
      </c>
      <c r="CK174" s="9">
        <f>IF(85&lt;=核心参数输入!$B$9*4,SUMIFS(年度所得税!$D$240:$AH$240,年度所得税!$D$4:$AH$4,(85-核心参数输入!$B$111)/4)+IF(85=核心参数输入!$B$9*4,SUMIFS(年度所得税!$D$240:$AH$240,年度所得税!$D$4:$AH$4,"&gt;"&amp;(核心参数输入!$B$9*4-核心参数输入!$B$111)/4),0),0)</f>
        <v>0</v>
      </c>
      <c r="CL174" s="9">
        <f>IF(86&lt;=核心参数输入!$B$9*4,SUMIFS(年度所得税!$D$240:$AH$240,年度所得税!$D$4:$AH$4,(86-核心参数输入!$B$111)/4)+IF(86=核心参数输入!$B$9*4,SUMIFS(年度所得税!$D$240:$AH$240,年度所得税!$D$4:$AH$4,"&gt;"&amp;(核心参数输入!$B$9*4-核心参数输入!$B$111)/4),0),0)</f>
        <v>0</v>
      </c>
      <c r="CM174" s="9">
        <f>IF(87&lt;=核心参数输入!$B$9*4,SUMIFS(年度所得税!$D$240:$AH$240,年度所得税!$D$4:$AH$4,(87-核心参数输入!$B$111)/4)+IF(87=核心参数输入!$B$9*4,SUMIFS(年度所得税!$D$240:$AH$240,年度所得税!$D$4:$AH$4,"&gt;"&amp;(核心参数输入!$B$9*4-核心参数输入!$B$111)/4),0),0)</f>
        <v>0</v>
      </c>
      <c r="CN174" s="9">
        <f>IF(88&lt;=核心参数输入!$B$9*4,SUMIFS(年度所得税!$D$240:$AH$240,年度所得税!$D$4:$AH$4,(88-核心参数输入!$B$111)/4)+IF(88=核心参数输入!$B$9*4,SUMIFS(年度所得税!$D$240:$AH$240,年度所得税!$D$4:$AH$4,"&gt;"&amp;(核心参数输入!$B$9*4-核心参数输入!$B$111)/4),0),0)</f>
        <v>0</v>
      </c>
      <c r="CO174" s="9">
        <f>IF(89&lt;=核心参数输入!$B$9*4,SUMIFS(年度所得税!$D$240:$AH$240,年度所得税!$D$4:$AH$4,(89-核心参数输入!$B$111)/4)+IF(89=核心参数输入!$B$9*4,SUMIFS(年度所得税!$D$240:$AH$240,年度所得税!$D$4:$AH$4,"&gt;"&amp;(核心参数输入!$B$9*4-核心参数输入!$B$111)/4),0),0)</f>
        <v>0</v>
      </c>
      <c r="CP174" s="9">
        <f>IF(90&lt;=核心参数输入!$B$9*4,SUMIFS(年度所得税!$D$240:$AH$240,年度所得税!$D$4:$AH$4,(90-核心参数输入!$B$111)/4)+IF(90=核心参数输入!$B$9*4,SUMIFS(年度所得税!$D$240:$AH$240,年度所得税!$D$4:$AH$4,"&gt;"&amp;(核心参数输入!$B$9*4-核心参数输入!$B$111)/4),0),0)</f>
        <v>0</v>
      </c>
      <c r="CQ174" s="9">
        <f>IF(91&lt;=核心参数输入!$B$9*4,SUMIFS(年度所得税!$D$240:$AH$240,年度所得税!$D$4:$AH$4,(91-核心参数输入!$B$111)/4)+IF(91=核心参数输入!$B$9*4,SUMIFS(年度所得税!$D$240:$AH$240,年度所得税!$D$4:$AH$4,"&gt;"&amp;(核心参数输入!$B$9*4-核心参数输入!$B$111)/4),0),0)</f>
        <v>0</v>
      </c>
      <c r="CR174" s="9">
        <f>IF(92&lt;=核心参数输入!$B$9*4,SUMIFS(年度所得税!$D$240:$AH$240,年度所得税!$D$4:$AH$4,(92-核心参数输入!$B$111)/4)+IF(92=核心参数输入!$B$9*4,SUMIFS(年度所得税!$D$240:$AH$240,年度所得税!$D$4:$AH$4,"&gt;"&amp;(核心参数输入!$B$9*4-核心参数输入!$B$111)/4),0),0)</f>
        <v>0</v>
      </c>
      <c r="CS174" s="9">
        <f>IF(93&lt;=核心参数输入!$B$9*4,SUMIFS(年度所得税!$D$240:$AH$240,年度所得税!$D$4:$AH$4,(93-核心参数输入!$B$111)/4)+IF(93=核心参数输入!$B$9*4,SUMIFS(年度所得税!$D$240:$AH$240,年度所得税!$D$4:$AH$4,"&gt;"&amp;(核心参数输入!$B$9*4-核心参数输入!$B$111)/4),0),0)</f>
        <v>0</v>
      </c>
      <c r="CT174" s="9">
        <f>IF(94&lt;=核心参数输入!$B$9*4,SUMIFS(年度所得税!$D$240:$AH$240,年度所得税!$D$4:$AH$4,(94-核心参数输入!$B$111)/4)+IF(94=核心参数输入!$B$9*4,SUMIFS(年度所得税!$D$240:$AH$240,年度所得税!$D$4:$AH$4,"&gt;"&amp;(核心参数输入!$B$9*4-核心参数输入!$B$111)/4),0),0)</f>
        <v>0</v>
      </c>
      <c r="CU174" s="9">
        <f>IF(95&lt;=核心参数输入!$B$9*4,SUMIFS(年度所得税!$D$240:$AH$240,年度所得税!$D$4:$AH$4,(95-核心参数输入!$B$111)/4)+IF(95=核心参数输入!$B$9*4,SUMIFS(年度所得税!$D$240:$AH$240,年度所得税!$D$4:$AH$4,"&gt;"&amp;(核心参数输入!$B$9*4-核心参数输入!$B$111)/4),0),0)</f>
        <v>0</v>
      </c>
      <c r="CV174" s="9">
        <f>IF(96&lt;=核心参数输入!$B$9*4,SUMIFS(年度所得税!$D$240:$AH$240,年度所得税!$D$4:$AH$4,(96-核心参数输入!$B$111)/4)+IF(96=核心参数输入!$B$9*4,SUMIFS(年度所得税!$D$240:$AH$240,年度所得税!$D$4:$AH$4,"&gt;"&amp;(核心参数输入!$B$9*4-核心参数输入!$B$111)/4),0),0)</f>
        <v>0</v>
      </c>
      <c r="CW174" s="9">
        <f>IF(97&lt;=核心参数输入!$B$9*4,SUMIFS(年度所得税!$D$240:$AH$240,年度所得税!$D$4:$AH$4,(97-核心参数输入!$B$111)/4)+IF(97=核心参数输入!$B$9*4,SUMIFS(年度所得税!$D$240:$AH$240,年度所得税!$D$4:$AH$4,"&gt;"&amp;(核心参数输入!$B$9*4-核心参数输入!$B$111)/4),0),0)</f>
        <v>0</v>
      </c>
      <c r="CX174" s="9">
        <f>IF(98&lt;=核心参数输入!$B$9*4,SUMIFS(年度所得税!$D$240:$AH$240,年度所得税!$D$4:$AH$4,(98-核心参数输入!$B$111)/4)+IF(98=核心参数输入!$B$9*4,SUMIFS(年度所得税!$D$240:$AH$240,年度所得税!$D$4:$AH$4,"&gt;"&amp;(核心参数输入!$B$9*4-核心参数输入!$B$111)/4),0),0)</f>
        <v>0</v>
      </c>
      <c r="CY174" s="9">
        <f>IF(99&lt;=核心参数输入!$B$9*4,SUMIFS(年度所得税!$D$240:$AH$240,年度所得税!$D$4:$AH$4,(99-核心参数输入!$B$111)/4)+IF(99=核心参数输入!$B$9*4,SUMIFS(年度所得税!$D$240:$AH$240,年度所得税!$D$4:$AH$4,"&gt;"&amp;(核心参数输入!$B$9*4-核心参数输入!$B$111)/4),0),0)</f>
        <v>0</v>
      </c>
      <c r="CZ174" s="9">
        <f>IF(100&lt;=核心参数输入!$B$9*4,SUMIFS(年度所得税!$D$240:$AH$240,年度所得税!$D$4:$AH$4,(100-核心参数输入!$B$111)/4)+IF(100=核心参数输入!$B$9*4,SUMIFS(年度所得税!$D$240:$AH$240,年度所得税!$D$4:$AH$4,"&gt;"&amp;(核心参数输入!$B$9*4-核心参数输入!$B$111)/4),0),0)</f>
        <v>0</v>
      </c>
      <c r="DA174" s="9">
        <f>IF(101&lt;=核心参数输入!$B$9*4,SUMIFS(年度所得税!$D$240:$AH$240,年度所得税!$D$4:$AH$4,(101-核心参数输入!$B$111)/4)+IF(101=核心参数输入!$B$9*4,SUMIFS(年度所得税!$D$240:$AH$240,年度所得税!$D$4:$AH$4,"&gt;"&amp;(核心参数输入!$B$9*4-核心参数输入!$B$111)/4),0),0)</f>
        <v>0</v>
      </c>
      <c r="DB174" s="9">
        <f>IF(102&lt;=核心参数输入!$B$9*4,SUMIFS(年度所得税!$D$240:$AH$240,年度所得税!$D$4:$AH$4,(102-核心参数输入!$B$111)/4)+IF(102=核心参数输入!$B$9*4,SUMIFS(年度所得税!$D$240:$AH$240,年度所得税!$D$4:$AH$4,"&gt;"&amp;(核心参数输入!$B$9*4-核心参数输入!$B$111)/4),0),0)</f>
        <v>0</v>
      </c>
      <c r="DC174" s="9">
        <f>IF(103&lt;=核心参数输入!$B$9*4,SUMIFS(年度所得税!$D$240:$AH$240,年度所得税!$D$4:$AH$4,(103-核心参数输入!$B$111)/4)+IF(103=核心参数输入!$B$9*4,SUMIFS(年度所得税!$D$240:$AH$240,年度所得税!$D$4:$AH$4,"&gt;"&amp;(核心参数输入!$B$9*4-核心参数输入!$B$111)/4),0),0)</f>
        <v>0</v>
      </c>
      <c r="DD174" s="9">
        <f>IF(104&lt;=核心参数输入!$B$9*4,SUMIFS(年度所得税!$D$240:$AH$240,年度所得税!$D$4:$AH$4,(104-核心参数输入!$B$111)/4)+IF(104=核心参数输入!$B$9*4,SUMIFS(年度所得税!$D$240:$AH$240,年度所得税!$D$4:$AH$4,"&gt;"&amp;(核心参数输入!$B$9*4-核心参数输入!$B$111)/4),0),0)</f>
        <v>0</v>
      </c>
      <c r="DE174" s="9">
        <f>IF(105&lt;=核心参数输入!$B$9*4,SUMIFS(年度所得税!$D$240:$AH$240,年度所得税!$D$4:$AH$4,(105-核心参数输入!$B$111)/4)+IF(105=核心参数输入!$B$9*4,SUMIFS(年度所得税!$D$240:$AH$240,年度所得税!$D$4:$AH$4,"&gt;"&amp;(核心参数输入!$B$9*4-核心参数输入!$B$111)/4),0),0)</f>
        <v>0</v>
      </c>
      <c r="DF174" s="9">
        <f>IF(106&lt;=核心参数输入!$B$9*4,SUMIFS(年度所得税!$D$240:$AH$240,年度所得税!$D$4:$AH$4,(106-核心参数输入!$B$111)/4)+IF(106=核心参数输入!$B$9*4,SUMIFS(年度所得税!$D$240:$AH$240,年度所得税!$D$4:$AH$4,"&gt;"&amp;(核心参数输入!$B$9*4-核心参数输入!$B$111)/4),0),0)</f>
        <v>0</v>
      </c>
      <c r="DG174" s="9">
        <f>IF(107&lt;=核心参数输入!$B$9*4,SUMIFS(年度所得税!$D$240:$AH$240,年度所得税!$D$4:$AH$4,(107-核心参数输入!$B$111)/4)+IF(107=核心参数输入!$B$9*4,SUMIFS(年度所得税!$D$240:$AH$240,年度所得税!$D$4:$AH$4,"&gt;"&amp;(核心参数输入!$B$9*4-核心参数输入!$B$111)/4),0),0)</f>
        <v>0</v>
      </c>
      <c r="DH174" s="9">
        <f>IF(108&lt;=核心参数输入!$B$9*4,SUMIFS(年度所得税!$D$240:$AH$240,年度所得税!$D$4:$AH$4,(108-核心参数输入!$B$111)/4)+IF(108=核心参数输入!$B$9*4,SUMIFS(年度所得税!$D$240:$AH$240,年度所得税!$D$4:$AH$4,"&gt;"&amp;(核心参数输入!$B$9*4-核心参数输入!$B$111)/4),0),0)</f>
        <v>0</v>
      </c>
      <c r="DI174" s="9">
        <f>IF(109&lt;=核心参数输入!$B$9*4,SUMIFS(年度所得税!$D$240:$AH$240,年度所得税!$D$4:$AH$4,(109-核心参数输入!$B$111)/4)+IF(109=核心参数输入!$B$9*4,SUMIFS(年度所得税!$D$240:$AH$240,年度所得税!$D$4:$AH$4,"&gt;"&amp;(核心参数输入!$B$9*4-核心参数输入!$B$111)/4),0),0)</f>
        <v>0</v>
      </c>
      <c r="DJ174" s="9">
        <f>IF(110&lt;=核心参数输入!$B$9*4,SUMIFS(年度所得税!$D$240:$AH$240,年度所得税!$D$4:$AH$4,(110-核心参数输入!$B$111)/4)+IF(110=核心参数输入!$B$9*4,SUMIFS(年度所得税!$D$240:$AH$240,年度所得税!$D$4:$AH$4,"&gt;"&amp;(核心参数输入!$B$9*4-核心参数输入!$B$111)/4),0),0)</f>
        <v>0</v>
      </c>
      <c r="DK174" s="9">
        <f>IF(111&lt;=核心参数输入!$B$9*4,SUMIFS(年度所得税!$D$240:$AH$240,年度所得税!$D$4:$AH$4,(111-核心参数输入!$B$111)/4)+IF(111=核心参数输入!$B$9*4,SUMIFS(年度所得税!$D$240:$AH$240,年度所得税!$D$4:$AH$4,"&gt;"&amp;(核心参数输入!$B$9*4-核心参数输入!$B$111)/4),0),0)</f>
        <v>0</v>
      </c>
      <c r="DL174" s="9">
        <f>IF(112&lt;=核心参数输入!$B$9*4,SUMIFS(年度所得税!$D$240:$AH$240,年度所得税!$D$4:$AH$4,(112-核心参数输入!$B$111)/4)+IF(112=核心参数输入!$B$9*4,SUMIFS(年度所得税!$D$240:$AH$240,年度所得税!$D$4:$AH$4,"&gt;"&amp;(核心参数输入!$B$9*4-核心参数输入!$B$111)/4),0),0)</f>
        <v>0</v>
      </c>
      <c r="DM174" s="9">
        <f>IF(113&lt;=核心参数输入!$B$9*4,SUMIFS(年度所得税!$D$240:$AH$240,年度所得税!$D$4:$AH$4,(113-核心参数输入!$B$111)/4)+IF(113=核心参数输入!$B$9*4,SUMIFS(年度所得税!$D$240:$AH$240,年度所得税!$D$4:$AH$4,"&gt;"&amp;(核心参数输入!$B$9*4-核心参数输入!$B$111)/4),0),0)</f>
        <v>0</v>
      </c>
      <c r="DN174" s="9">
        <f>IF(114&lt;=核心参数输入!$B$9*4,SUMIFS(年度所得税!$D$240:$AH$240,年度所得税!$D$4:$AH$4,(114-核心参数输入!$B$111)/4)+IF(114=核心参数输入!$B$9*4,SUMIFS(年度所得税!$D$240:$AH$240,年度所得税!$D$4:$AH$4,"&gt;"&amp;(核心参数输入!$B$9*4-核心参数输入!$B$111)/4),0),0)</f>
        <v>0</v>
      </c>
      <c r="DO174" s="9">
        <f>IF(115&lt;=核心参数输入!$B$9*4,SUMIFS(年度所得税!$D$240:$AH$240,年度所得税!$D$4:$AH$4,(115-核心参数输入!$B$111)/4)+IF(115=核心参数输入!$B$9*4,SUMIFS(年度所得税!$D$240:$AH$240,年度所得税!$D$4:$AH$4,"&gt;"&amp;(核心参数输入!$B$9*4-核心参数输入!$B$111)/4),0),0)</f>
        <v>0</v>
      </c>
      <c r="DP174" s="9">
        <f>IF(116&lt;=核心参数输入!$B$9*4,SUMIFS(年度所得税!$D$240:$AH$240,年度所得税!$D$4:$AH$4,(116-核心参数输入!$B$111)/4)+IF(116=核心参数输入!$B$9*4,SUMIFS(年度所得税!$D$240:$AH$240,年度所得税!$D$4:$AH$4,"&gt;"&amp;(核心参数输入!$B$9*4-核心参数输入!$B$111)/4),0),0)</f>
        <v>0</v>
      </c>
      <c r="DQ174" s="9">
        <f>IF(117&lt;=核心参数输入!$B$9*4,SUMIFS(年度所得税!$D$240:$AH$240,年度所得税!$D$4:$AH$4,(117-核心参数输入!$B$111)/4)+IF(117=核心参数输入!$B$9*4,SUMIFS(年度所得税!$D$240:$AH$240,年度所得税!$D$4:$AH$4,"&gt;"&amp;(核心参数输入!$B$9*4-核心参数输入!$B$111)/4),0),0)</f>
        <v>0</v>
      </c>
      <c r="DR174" s="9">
        <f>IF(118&lt;=核心参数输入!$B$9*4,SUMIFS(年度所得税!$D$240:$AH$240,年度所得税!$D$4:$AH$4,(118-核心参数输入!$B$111)/4)+IF(118=核心参数输入!$B$9*4,SUMIFS(年度所得税!$D$240:$AH$240,年度所得税!$D$4:$AH$4,"&gt;"&amp;(核心参数输入!$B$9*4-核心参数输入!$B$111)/4),0),0)</f>
        <v>0</v>
      </c>
      <c r="DS174" s="9">
        <f>IF(119&lt;=核心参数输入!$B$9*4,SUMIFS(年度所得税!$D$240:$AH$240,年度所得税!$D$4:$AH$4,(119-核心参数输入!$B$111)/4)+IF(119=核心参数输入!$B$9*4,SUMIFS(年度所得税!$D$240:$AH$240,年度所得税!$D$4:$AH$4,"&gt;"&amp;(核心参数输入!$B$9*4-核心参数输入!$B$111)/4),0),0)</f>
        <v>0</v>
      </c>
      <c r="DT174" s="9">
        <f>IF(120&lt;=核心参数输入!$B$9*4,SUMIFS(年度所得税!$D$240:$AH$240,年度所得税!$D$4:$AH$4,(120-核心参数输入!$B$111)/4)+IF(120=核心参数输入!$B$9*4,SUMIFS(年度所得税!$D$240:$AH$240,年度所得税!$D$4:$AH$4,"&gt;"&amp;(核心参数输入!$B$9*4-核心参数输入!$B$111)/4),0),0)</f>
        <v>0</v>
      </c>
    </row>
    <row r="175" spans="1:124" ht="21" customHeight="1">
      <c r="A175" s="8" t="s">
        <v>496</v>
      </c>
      <c r="B175" s="8" t="s">
        <v>39</v>
      </c>
      <c r="C175" s="8"/>
      <c r="D175" s="9">
        <f>IF(0&lt;=核心参数输入!$B$9*4,SUMIFS(年度所得税!$D$244:$AH$244,年度所得税!$D$4:$AH$4,(0-核心参数输入!$B$111)/4)+IF(0=核心参数输入!$B$9*4,SUMIFS(年度所得税!$D$244:$AH$244,年度所得税!$D$4:$AH$4,"&gt;"&amp;(核心参数输入!$B$9*4-核心参数输入!$B$111)/4),0),0)</f>
        <v>0</v>
      </c>
      <c r="E175" s="9">
        <f>IF(1&lt;=核心参数输入!$B$9*4,SUMIFS(年度所得税!$D$244:$AH$244,年度所得税!$D$4:$AH$4,(1-核心参数输入!$B$111)/4)+IF(1=核心参数输入!$B$9*4,SUMIFS(年度所得税!$D$244:$AH$244,年度所得税!$D$4:$AH$4,"&gt;"&amp;(核心参数输入!$B$9*4-核心参数输入!$B$111)/4),0),0)</f>
        <v>0</v>
      </c>
      <c r="F175" s="9">
        <f>IF(2&lt;=核心参数输入!$B$9*4,SUMIFS(年度所得税!$D$244:$AH$244,年度所得税!$D$4:$AH$4,(2-核心参数输入!$B$111)/4)+IF(2=核心参数输入!$B$9*4,SUMIFS(年度所得税!$D$244:$AH$244,年度所得税!$D$4:$AH$4,"&gt;"&amp;(核心参数输入!$B$9*4-核心参数输入!$B$111)/4),0),0)</f>
        <v>0</v>
      </c>
      <c r="G175" s="9">
        <f>IF(3&lt;=核心参数输入!$B$9*4,SUMIFS(年度所得税!$D$244:$AH$244,年度所得税!$D$4:$AH$4,(3-核心参数输入!$B$111)/4)+IF(3=核心参数输入!$B$9*4,SUMIFS(年度所得税!$D$244:$AH$244,年度所得税!$D$4:$AH$4,"&gt;"&amp;(核心参数输入!$B$9*4-核心参数输入!$B$111)/4),0),0)</f>
        <v>0</v>
      </c>
      <c r="H175" s="9">
        <f>IF(4&lt;=核心参数输入!$B$9*4,SUMIFS(年度所得税!$D$244:$AH$244,年度所得税!$D$4:$AH$4,(4-核心参数输入!$B$111)/4)+IF(4=核心参数输入!$B$9*4,SUMIFS(年度所得税!$D$244:$AH$244,年度所得税!$D$4:$AH$4,"&gt;"&amp;(核心参数输入!$B$9*4-核心参数输入!$B$111)/4),0),0)</f>
        <v>0</v>
      </c>
      <c r="I175" s="9">
        <f>IF(5&lt;=核心参数输入!$B$9*4,SUMIFS(年度所得税!$D$244:$AH$244,年度所得税!$D$4:$AH$4,(5-核心参数输入!$B$111)/4)+IF(5=核心参数输入!$B$9*4,SUMIFS(年度所得税!$D$244:$AH$244,年度所得税!$D$4:$AH$4,"&gt;"&amp;(核心参数输入!$B$9*4-核心参数输入!$B$111)/4),0),0)</f>
        <v>0</v>
      </c>
      <c r="J175" s="9">
        <f>IF(6&lt;=核心参数输入!$B$9*4,SUMIFS(年度所得税!$D$244:$AH$244,年度所得税!$D$4:$AH$4,(6-核心参数输入!$B$111)/4)+IF(6=核心参数输入!$B$9*4,SUMIFS(年度所得税!$D$244:$AH$244,年度所得税!$D$4:$AH$4,"&gt;"&amp;(核心参数输入!$B$9*4-核心参数输入!$B$111)/4),0),0)</f>
        <v>0</v>
      </c>
      <c r="K175" s="9">
        <f>IF(7&lt;=核心参数输入!$B$9*4,SUMIFS(年度所得税!$D$244:$AH$244,年度所得税!$D$4:$AH$4,(7-核心参数输入!$B$111)/4)+IF(7=核心参数输入!$B$9*4,SUMIFS(年度所得税!$D$244:$AH$244,年度所得税!$D$4:$AH$4,"&gt;"&amp;(核心参数输入!$B$9*4-核心参数输入!$B$111)/4),0),0)</f>
        <v>0</v>
      </c>
      <c r="L175" s="9">
        <f>IF(8&lt;=核心参数输入!$B$9*4,SUMIFS(年度所得税!$D$244:$AH$244,年度所得税!$D$4:$AH$4,(8-核心参数输入!$B$111)/4)+IF(8=核心参数输入!$B$9*4,SUMIFS(年度所得税!$D$244:$AH$244,年度所得税!$D$4:$AH$4,"&gt;"&amp;(核心参数输入!$B$9*4-核心参数输入!$B$111)/4),0),0)</f>
        <v>0</v>
      </c>
      <c r="M175" s="9">
        <f>IF(9&lt;=核心参数输入!$B$9*4,SUMIFS(年度所得税!$D$244:$AH$244,年度所得税!$D$4:$AH$4,(9-核心参数输入!$B$111)/4)+IF(9=核心参数输入!$B$9*4,SUMIFS(年度所得税!$D$244:$AH$244,年度所得税!$D$4:$AH$4,"&gt;"&amp;(核心参数输入!$B$9*4-核心参数输入!$B$111)/4),0),0)</f>
        <v>0</v>
      </c>
      <c r="N175" s="9">
        <f>IF(10&lt;=核心参数输入!$B$9*4,SUMIFS(年度所得税!$D$244:$AH$244,年度所得税!$D$4:$AH$4,(10-核心参数输入!$B$111)/4)+IF(10=核心参数输入!$B$9*4,SUMIFS(年度所得税!$D$244:$AH$244,年度所得税!$D$4:$AH$4,"&gt;"&amp;(核心参数输入!$B$9*4-核心参数输入!$B$111)/4),0),0)</f>
        <v>0</v>
      </c>
      <c r="O175" s="9">
        <f>IF(11&lt;=核心参数输入!$B$9*4,SUMIFS(年度所得税!$D$244:$AH$244,年度所得税!$D$4:$AH$4,(11-核心参数输入!$B$111)/4)+IF(11=核心参数输入!$B$9*4,SUMIFS(年度所得税!$D$244:$AH$244,年度所得税!$D$4:$AH$4,"&gt;"&amp;(核心参数输入!$B$9*4-核心参数输入!$B$111)/4),0),0)</f>
        <v>0</v>
      </c>
      <c r="P175" s="9">
        <f>IF(12&lt;=核心参数输入!$B$9*4,SUMIFS(年度所得税!$D$244:$AH$244,年度所得税!$D$4:$AH$4,(12-核心参数输入!$B$111)/4)+IF(12=核心参数输入!$B$9*4,SUMIFS(年度所得税!$D$244:$AH$244,年度所得税!$D$4:$AH$4,"&gt;"&amp;(核心参数输入!$B$9*4-核心参数输入!$B$111)/4),0),0)</f>
        <v>0</v>
      </c>
      <c r="Q175" s="9">
        <f>IF(13&lt;=核心参数输入!$B$9*4,SUMIFS(年度所得税!$D$244:$AH$244,年度所得税!$D$4:$AH$4,(13-核心参数输入!$B$111)/4)+IF(13=核心参数输入!$B$9*4,SUMIFS(年度所得税!$D$244:$AH$244,年度所得税!$D$4:$AH$4,"&gt;"&amp;(核心参数输入!$B$9*4-核心参数输入!$B$111)/4),0),0)</f>
        <v>0</v>
      </c>
      <c r="R175" s="9">
        <f>IF(14&lt;=核心参数输入!$B$9*4,SUMIFS(年度所得税!$D$244:$AH$244,年度所得税!$D$4:$AH$4,(14-核心参数输入!$B$111)/4)+IF(14=核心参数输入!$B$9*4,SUMIFS(年度所得税!$D$244:$AH$244,年度所得税!$D$4:$AH$4,"&gt;"&amp;(核心参数输入!$B$9*4-核心参数输入!$B$111)/4),0),0)</f>
        <v>0</v>
      </c>
      <c r="S175" s="9">
        <f>IF(15&lt;=核心参数输入!$B$9*4,SUMIFS(年度所得税!$D$244:$AH$244,年度所得税!$D$4:$AH$4,(15-核心参数输入!$B$111)/4)+IF(15=核心参数输入!$B$9*4,SUMIFS(年度所得税!$D$244:$AH$244,年度所得税!$D$4:$AH$4,"&gt;"&amp;(核心参数输入!$B$9*4-核心参数输入!$B$111)/4),0),0)</f>
        <v>0</v>
      </c>
      <c r="T175" s="9">
        <f>IF(16&lt;=核心参数输入!$B$9*4,SUMIFS(年度所得税!$D$244:$AH$244,年度所得税!$D$4:$AH$4,(16-核心参数输入!$B$111)/4)+IF(16=核心参数输入!$B$9*4,SUMIFS(年度所得税!$D$244:$AH$244,年度所得税!$D$4:$AH$4,"&gt;"&amp;(核心参数输入!$B$9*4-核心参数输入!$B$111)/4),0),0)</f>
        <v>0</v>
      </c>
      <c r="U175" s="9">
        <f>IF(17&lt;=核心参数输入!$B$9*4,SUMIFS(年度所得税!$D$244:$AH$244,年度所得税!$D$4:$AH$4,(17-核心参数输入!$B$111)/4)+IF(17=核心参数输入!$B$9*4,SUMIFS(年度所得税!$D$244:$AH$244,年度所得税!$D$4:$AH$4,"&gt;"&amp;(核心参数输入!$B$9*4-核心参数输入!$B$111)/4),0),0)</f>
        <v>0</v>
      </c>
      <c r="V175" s="9">
        <f>IF(18&lt;=核心参数输入!$B$9*4,SUMIFS(年度所得税!$D$244:$AH$244,年度所得税!$D$4:$AH$4,(18-核心参数输入!$B$111)/4)+IF(18=核心参数输入!$B$9*4,SUMIFS(年度所得税!$D$244:$AH$244,年度所得税!$D$4:$AH$4,"&gt;"&amp;(核心参数输入!$B$9*4-核心参数输入!$B$111)/4),0),0)</f>
        <v>0</v>
      </c>
      <c r="W175" s="9">
        <f>IF(19&lt;=核心参数输入!$B$9*4,SUMIFS(年度所得税!$D$244:$AH$244,年度所得税!$D$4:$AH$4,(19-核心参数输入!$B$111)/4)+IF(19=核心参数输入!$B$9*4,SUMIFS(年度所得税!$D$244:$AH$244,年度所得税!$D$4:$AH$4,"&gt;"&amp;(核心参数输入!$B$9*4-核心参数输入!$B$111)/4),0),0)</f>
        <v>0</v>
      </c>
      <c r="X175" s="9">
        <f>IF(20&lt;=核心参数输入!$B$9*4,SUMIFS(年度所得税!$D$244:$AH$244,年度所得税!$D$4:$AH$4,(20-核心参数输入!$B$111)/4)+IF(20=核心参数输入!$B$9*4,SUMIFS(年度所得税!$D$244:$AH$244,年度所得税!$D$4:$AH$4,"&gt;"&amp;(核心参数输入!$B$9*4-核心参数输入!$B$111)/4),0),0)</f>
        <v>0</v>
      </c>
      <c r="Y175" s="9">
        <f>IF(21&lt;=核心参数输入!$B$9*4,SUMIFS(年度所得税!$D$244:$AH$244,年度所得税!$D$4:$AH$4,(21-核心参数输入!$B$111)/4)+IF(21=核心参数输入!$B$9*4,SUMIFS(年度所得税!$D$244:$AH$244,年度所得税!$D$4:$AH$4,"&gt;"&amp;(核心参数输入!$B$9*4-核心参数输入!$B$111)/4),0),0)</f>
        <v>0</v>
      </c>
      <c r="Z175" s="9">
        <f>IF(22&lt;=核心参数输入!$B$9*4,SUMIFS(年度所得税!$D$244:$AH$244,年度所得税!$D$4:$AH$4,(22-核心参数输入!$B$111)/4)+IF(22=核心参数输入!$B$9*4,SUMIFS(年度所得税!$D$244:$AH$244,年度所得税!$D$4:$AH$4,"&gt;"&amp;(核心参数输入!$B$9*4-核心参数输入!$B$111)/4),0),0)</f>
        <v>0</v>
      </c>
      <c r="AA175" s="9">
        <f>IF(23&lt;=核心参数输入!$B$9*4,SUMIFS(年度所得税!$D$244:$AH$244,年度所得税!$D$4:$AH$4,(23-核心参数输入!$B$111)/4)+IF(23=核心参数输入!$B$9*4,SUMIFS(年度所得税!$D$244:$AH$244,年度所得税!$D$4:$AH$4,"&gt;"&amp;(核心参数输入!$B$9*4-核心参数输入!$B$111)/4),0),0)</f>
        <v>0</v>
      </c>
      <c r="AB175" s="9">
        <f>IF(24&lt;=核心参数输入!$B$9*4,SUMIFS(年度所得税!$D$244:$AH$244,年度所得税!$D$4:$AH$4,(24-核心参数输入!$B$111)/4)+IF(24=核心参数输入!$B$9*4,SUMIFS(年度所得税!$D$244:$AH$244,年度所得税!$D$4:$AH$4,"&gt;"&amp;(核心参数输入!$B$9*4-核心参数输入!$B$111)/4),0),0)</f>
        <v>0</v>
      </c>
      <c r="AC175" s="9">
        <f>IF(25&lt;=核心参数输入!$B$9*4,SUMIFS(年度所得税!$D$244:$AH$244,年度所得税!$D$4:$AH$4,(25-核心参数输入!$B$111)/4)+IF(25=核心参数输入!$B$9*4,SUMIFS(年度所得税!$D$244:$AH$244,年度所得税!$D$4:$AH$4,"&gt;"&amp;(核心参数输入!$B$9*4-核心参数输入!$B$111)/4),0),0)</f>
        <v>0</v>
      </c>
      <c r="AD175" s="9">
        <f>IF(26&lt;=核心参数输入!$B$9*4,SUMIFS(年度所得税!$D$244:$AH$244,年度所得税!$D$4:$AH$4,(26-核心参数输入!$B$111)/4)+IF(26=核心参数输入!$B$9*4,SUMIFS(年度所得税!$D$244:$AH$244,年度所得税!$D$4:$AH$4,"&gt;"&amp;(核心参数输入!$B$9*4-核心参数输入!$B$111)/4),0),0)</f>
        <v>0</v>
      </c>
      <c r="AE175" s="9">
        <f>IF(27&lt;=核心参数输入!$B$9*4,SUMIFS(年度所得税!$D$244:$AH$244,年度所得税!$D$4:$AH$4,(27-核心参数输入!$B$111)/4)+IF(27=核心参数输入!$B$9*4,SUMIFS(年度所得税!$D$244:$AH$244,年度所得税!$D$4:$AH$4,"&gt;"&amp;(核心参数输入!$B$9*4-核心参数输入!$B$111)/4),0),0)</f>
        <v>0</v>
      </c>
      <c r="AF175" s="9">
        <f>IF(28&lt;=核心参数输入!$B$9*4,SUMIFS(年度所得税!$D$244:$AH$244,年度所得税!$D$4:$AH$4,(28-核心参数输入!$B$111)/4)+IF(28=核心参数输入!$B$9*4,SUMIFS(年度所得税!$D$244:$AH$244,年度所得税!$D$4:$AH$4,"&gt;"&amp;(核心参数输入!$B$9*4-核心参数输入!$B$111)/4),0),0)</f>
        <v>0</v>
      </c>
      <c r="AG175" s="9">
        <f>IF(29&lt;=核心参数输入!$B$9*4,SUMIFS(年度所得税!$D$244:$AH$244,年度所得税!$D$4:$AH$4,(29-核心参数输入!$B$111)/4)+IF(29=核心参数输入!$B$9*4,SUMIFS(年度所得税!$D$244:$AH$244,年度所得税!$D$4:$AH$4,"&gt;"&amp;(核心参数输入!$B$9*4-核心参数输入!$B$111)/4),0),0)</f>
        <v>0</v>
      </c>
      <c r="AH175" s="9">
        <f>IF(30&lt;=核心参数输入!$B$9*4,SUMIFS(年度所得税!$D$244:$AH$244,年度所得税!$D$4:$AH$4,(30-核心参数输入!$B$111)/4)+IF(30=核心参数输入!$B$9*4,SUMIFS(年度所得税!$D$244:$AH$244,年度所得税!$D$4:$AH$4,"&gt;"&amp;(核心参数输入!$B$9*4-核心参数输入!$B$111)/4),0),0)</f>
        <v>0</v>
      </c>
      <c r="AI175" s="9">
        <f>IF(31&lt;=核心参数输入!$B$9*4,SUMIFS(年度所得税!$D$244:$AH$244,年度所得税!$D$4:$AH$4,(31-核心参数输入!$B$111)/4)+IF(31=核心参数输入!$B$9*4,SUMIFS(年度所得税!$D$244:$AH$244,年度所得税!$D$4:$AH$4,"&gt;"&amp;(核心参数输入!$B$9*4-核心参数输入!$B$111)/4),0),0)</f>
        <v>0</v>
      </c>
      <c r="AJ175" s="9">
        <f>IF(32&lt;=核心参数输入!$B$9*4,SUMIFS(年度所得税!$D$244:$AH$244,年度所得税!$D$4:$AH$4,(32-核心参数输入!$B$111)/4)+IF(32=核心参数输入!$B$9*4,SUMIFS(年度所得税!$D$244:$AH$244,年度所得税!$D$4:$AH$4,"&gt;"&amp;(核心参数输入!$B$9*4-核心参数输入!$B$111)/4),0),0)</f>
        <v>0</v>
      </c>
      <c r="AK175" s="9">
        <f>IF(33&lt;=核心参数输入!$B$9*4,SUMIFS(年度所得税!$D$244:$AH$244,年度所得税!$D$4:$AH$4,(33-核心参数输入!$B$111)/4)+IF(33=核心参数输入!$B$9*4,SUMIFS(年度所得税!$D$244:$AH$244,年度所得税!$D$4:$AH$4,"&gt;"&amp;(核心参数输入!$B$9*4-核心参数输入!$B$111)/4),0),0)</f>
        <v>0</v>
      </c>
      <c r="AL175" s="9">
        <f>IF(34&lt;=核心参数输入!$B$9*4,SUMIFS(年度所得税!$D$244:$AH$244,年度所得税!$D$4:$AH$4,(34-核心参数输入!$B$111)/4)+IF(34=核心参数输入!$B$9*4,SUMIFS(年度所得税!$D$244:$AH$244,年度所得税!$D$4:$AH$4,"&gt;"&amp;(核心参数输入!$B$9*4-核心参数输入!$B$111)/4),0),0)</f>
        <v>0</v>
      </c>
      <c r="AM175" s="9">
        <f>IF(35&lt;=核心参数输入!$B$9*4,SUMIFS(年度所得税!$D$244:$AH$244,年度所得税!$D$4:$AH$4,(35-核心参数输入!$B$111)/4)+IF(35=核心参数输入!$B$9*4,SUMIFS(年度所得税!$D$244:$AH$244,年度所得税!$D$4:$AH$4,"&gt;"&amp;(核心参数输入!$B$9*4-核心参数输入!$B$111)/4),0),0)</f>
        <v>0</v>
      </c>
      <c r="AN175" s="9">
        <f>IF(36&lt;=核心参数输入!$B$9*4,SUMIFS(年度所得税!$D$244:$AH$244,年度所得税!$D$4:$AH$4,(36-核心参数输入!$B$111)/4)+IF(36=核心参数输入!$B$9*4,SUMIFS(年度所得税!$D$244:$AH$244,年度所得税!$D$4:$AH$4,"&gt;"&amp;(核心参数输入!$B$9*4-核心参数输入!$B$111)/4),0),0)</f>
        <v>0</v>
      </c>
      <c r="AO175" s="9">
        <f>IF(37&lt;=核心参数输入!$B$9*4,SUMIFS(年度所得税!$D$244:$AH$244,年度所得税!$D$4:$AH$4,(37-核心参数输入!$B$111)/4)+IF(37=核心参数输入!$B$9*4,SUMIFS(年度所得税!$D$244:$AH$244,年度所得税!$D$4:$AH$4,"&gt;"&amp;(核心参数输入!$B$9*4-核心参数输入!$B$111)/4),0),0)</f>
        <v>0</v>
      </c>
      <c r="AP175" s="9">
        <f>IF(38&lt;=核心参数输入!$B$9*4,SUMIFS(年度所得税!$D$244:$AH$244,年度所得税!$D$4:$AH$4,(38-核心参数输入!$B$111)/4)+IF(38=核心参数输入!$B$9*4,SUMIFS(年度所得税!$D$244:$AH$244,年度所得税!$D$4:$AH$4,"&gt;"&amp;(核心参数输入!$B$9*4-核心参数输入!$B$111)/4),0),0)</f>
        <v>0</v>
      </c>
      <c r="AQ175" s="9">
        <f>IF(39&lt;=核心参数输入!$B$9*4,SUMIFS(年度所得税!$D$244:$AH$244,年度所得税!$D$4:$AH$4,(39-核心参数输入!$B$111)/4)+IF(39=核心参数输入!$B$9*4,SUMIFS(年度所得税!$D$244:$AH$244,年度所得税!$D$4:$AH$4,"&gt;"&amp;(核心参数输入!$B$9*4-核心参数输入!$B$111)/4),0),0)</f>
        <v>0</v>
      </c>
      <c r="AR175" s="9">
        <f>IF(40&lt;=核心参数输入!$B$9*4,SUMIFS(年度所得税!$D$244:$AH$244,年度所得税!$D$4:$AH$4,(40-核心参数输入!$B$111)/4)+IF(40=核心参数输入!$B$9*4,SUMIFS(年度所得税!$D$244:$AH$244,年度所得税!$D$4:$AH$4,"&gt;"&amp;(核心参数输入!$B$9*4-核心参数输入!$B$111)/4),0),0)</f>
        <v>0</v>
      </c>
      <c r="AS175" s="9">
        <f>IF(41&lt;=核心参数输入!$B$9*4,SUMIFS(年度所得税!$D$244:$AH$244,年度所得税!$D$4:$AH$4,(41-核心参数输入!$B$111)/4)+IF(41=核心参数输入!$B$9*4,SUMIFS(年度所得税!$D$244:$AH$244,年度所得税!$D$4:$AH$4,"&gt;"&amp;(核心参数输入!$B$9*4-核心参数输入!$B$111)/4),0),0)</f>
        <v>0</v>
      </c>
      <c r="AT175" s="9">
        <f>IF(42&lt;=核心参数输入!$B$9*4,SUMIFS(年度所得税!$D$244:$AH$244,年度所得税!$D$4:$AH$4,(42-核心参数输入!$B$111)/4)+IF(42=核心参数输入!$B$9*4,SUMIFS(年度所得税!$D$244:$AH$244,年度所得税!$D$4:$AH$4,"&gt;"&amp;(核心参数输入!$B$9*4-核心参数输入!$B$111)/4),0),0)</f>
        <v>0</v>
      </c>
      <c r="AU175" s="9">
        <f>IF(43&lt;=核心参数输入!$B$9*4,SUMIFS(年度所得税!$D$244:$AH$244,年度所得税!$D$4:$AH$4,(43-核心参数输入!$B$111)/4)+IF(43=核心参数输入!$B$9*4,SUMIFS(年度所得税!$D$244:$AH$244,年度所得税!$D$4:$AH$4,"&gt;"&amp;(核心参数输入!$B$9*4-核心参数输入!$B$111)/4),0),0)</f>
        <v>0</v>
      </c>
      <c r="AV175" s="9">
        <f>IF(44&lt;=核心参数输入!$B$9*4,SUMIFS(年度所得税!$D$244:$AH$244,年度所得税!$D$4:$AH$4,(44-核心参数输入!$B$111)/4)+IF(44=核心参数输入!$B$9*4,SUMIFS(年度所得税!$D$244:$AH$244,年度所得税!$D$4:$AH$4,"&gt;"&amp;(核心参数输入!$B$9*4-核心参数输入!$B$111)/4),0),0)</f>
        <v>0</v>
      </c>
      <c r="AW175" s="9">
        <f>IF(45&lt;=核心参数输入!$B$9*4,SUMIFS(年度所得税!$D$244:$AH$244,年度所得税!$D$4:$AH$4,(45-核心参数输入!$B$111)/4)+IF(45=核心参数输入!$B$9*4,SUMIFS(年度所得税!$D$244:$AH$244,年度所得税!$D$4:$AH$4,"&gt;"&amp;(核心参数输入!$B$9*4-核心参数输入!$B$111)/4),0),0)</f>
        <v>0</v>
      </c>
      <c r="AX175" s="9">
        <f>IF(46&lt;=核心参数输入!$B$9*4,SUMIFS(年度所得税!$D$244:$AH$244,年度所得税!$D$4:$AH$4,(46-核心参数输入!$B$111)/4)+IF(46=核心参数输入!$B$9*4,SUMIFS(年度所得税!$D$244:$AH$244,年度所得税!$D$4:$AH$4,"&gt;"&amp;(核心参数输入!$B$9*4-核心参数输入!$B$111)/4),0),0)</f>
        <v>0</v>
      </c>
      <c r="AY175" s="9">
        <f>IF(47&lt;=核心参数输入!$B$9*4,SUMIFS(年度所得税!$D$244:$AH$244,年度所得税!$D$4:$AH$4,(47-核心参数输入!$B$111)/4)+IF(47=核心参数输入!$B$9*4,SUMIFS(年度所得税!$D$244:$AH$244,年度所得税!$D$4:$AH$4,"&gt;"&amp;(核心参数输入!$B$9*4-核心参数输入!$B$111)/4),0),0)</f>
        <v>0</v>
      </c>
      <c r="AZ175" s="9">
        <f>IF(48&lt;=核心参数输入!$B$9*4,SUMIFS(年度所得税!$D$244:$AH$244,年度所得税!$D$4:$AH$4,(48-核心参数输入!$B$111)/4)+IF(48=核心参数输入!$B$9*4,SUMIFS(年度所得税!$D$244:$AH$244,年度所得税!$D$4:$AH$4,"&gt;"&amp;(核心参数输入!$B$9*4-核心参数输入!$B$111)/4),0),0)</f>
        <v>0</v>
      </c>
      <c r="BA175" s="9">
        <f>IF(49&lt;=核心参数输入!$B$9*4,SUMIFS(年度所得税!$D$244:$AH$244,年度所得税!$D$4:$AH$4,(49-核心参数输入!$B$111)/4)+IF(49=核心参数输入!$B$9*4,SUMIFS(年度所得税!$D$244:$AH$244,年度所得税!$D$4:$AH$4,"&gt;"&amp;(核心参数输入!$B$9*4-核心参数输入!$B$111)/4),0),0)</f>
        <v>0</v>
      </c>
      <c r="BB175" s="9">
        <f>IF(50&lt;=核心参数输入!$B$9*4,SUMIFS(年度所得税!$D$244:$AH$244,年度所得税!$D$4:$AH$4,(50-核心参数输入!$B$111)/4)+IF(50=核心参数输入!$B$9*4,SUMIFS(年度所得税!$D$244:$AH$244,年度所得税!$D$4:$AH$4,"&gt;"&amp;(核心参数输入!$B$9*4-核心参数输入!$B$111)/4),0),0)</f>
        <v>0</v>
      </c>
      <c r="BC175" s="9">
        <f>IF(51&lt;=核心参数输入!$B$9*4,SUMIFS(年度所得税!$D$244:$AH$244,年度所得税!$D$4:$AH$4,(51-核心参数输入!$B$111)/4)+IF(51=核心参数输入!$B$9*4,SUMIFS(年度所得税!$D$244:$AH$244,年度所得税!$D$4:$AH$4,"&gt;"&amp;(核心参数输入!$B$9*4-核心参数输入!$B$111)/4),0),0)</f>
        <v>0</v>
      </c>
      <c r="BD175" s="9">
        <f>IF(52&lt;=核心参数输入!$B$9*4,SUMIFS(年度所得税!$D$244:$AH$244,年度所得税!$D$4:$AH$4,(52-核心参数输入!$B$111)/4)+IF(52=核心参数输入!$B$9*4,SUMIFS(年度所得税!$D$244:$AH$244,年度所得税!$D$4:$AH$4,"&gt;"&amp;(核心参数输入!$B$9*4-核心参数输入!$B$111)/4),0),0)</f>
        <v>0</v>
      </c>
      <c r="BE175" s="9">
        <f>IF(53&lt;=核心参数输入!$B$9*4,SUMIFS(年度所得税!$D$244:$AH$244,年度所得税!$D$4:$AH$4,(53-核心参数输入!$B$111)/4)+IF(53=核心参数输入!$B$9*4,SUMIFS(年度所得税!$D$244:$AH$244,年度所得税!$D$4:$AH$4,"&gt;"&amp;(核心参数输入!$B$9*4-核心参数输入!$B$111)/4),0),0)</f>
        <v>0</v>
      </c>
      <c r="BF175" s="9">
        <f>IF(54&lt;=核心参数输入!$B$9*4,SUMIFS(年度所得税!$D$244:$AH$244,年度所得税!$D$4:$AH$4,(54-核心参数输入!$B$111)/4)+IF(54=核心参数输入!$B$9*4,SUMIFS(年度所得税!$D$244:$AH$244,年度所得税!$D$4:$AH$4,"&gt;"&amp;(核心参数输入!$B$9*4-核心参数输入!$B$111)/4),0),0)</f>
        <v>0</v>
      </c>
      <c r="BG175" s="9">
        <f>IF(55&lt;=核心参数输入!$B$9*4,SUMIFS(年度所得税!$D$244:$AH$244,年度所得税!$D$4:$AH$4,(55-核心参数输入!$B$111)/4)+IF(55=核心参数输入!$B$9*4,SUMIFS(年度所得税!$D$244:$AH$244,年度所得税!$D$4:$AH$4,"&gt;"&amp;(核心参数输入!$B$9*4-核心参数输入!$B$111)/4),0),0)</f>
        <v>0</v>
      </c>
      <c r="BH175" s="9">
        <f>IF(56&lt;=核心参数输入!$B$9*4,SUMIFS(年度所得税!$D$244:$AH$244,年度所得税!$D$4:$AH$4,(56-核心参数输入!$B$111)/4)+IF(56=核心参数输入!$B$9*4,SUMIFS(年度所得税!$D$244:$AH$244,年度所得税!$D$4:$AH$4,"&gt;"&amp;(核心参数输入!$B$9*4-核心参数输入!$B$111)/4),0),0)</f>
        <v>0</v>
      </c>
      <c r="BI175" s="9">
        <f>IF(57&lt;=核心参数输入!$B$9*4,SUMIFS(年度所得税!$D$244:$AH$244,年度所得税!$D$4:$AH$4,(57-核心参数输入!$B$111)/4)+IF(57=核心参数输入!$B$9*4,SUMIFS(年度所得税!$D$244:$AH$244,年度所得税!$D$4:$AH$4,"&gt;"&amp;(核心参数输入!$B$9*4-核心参数输入!$B$111)/4),0),0)</f>
        <v>0</v>
      </c>
      <c r="BJ175" s="9">
        <f>IF(58&lt;=核心参数输入!$B$9*4,SUMIFS(年度所得税!$D$244:$AH$244,年度所得税!$D$4:$AH$4,(58-核心参数输入!$B$111)/4)+IF(58=核心参数输入!$B$9*4,SUMIFS(年度所得税!$D$244:$AH$244,年度所得税!$D$4:$AH$4,"&gt;"&amp;(核心参数输入!$B$9*4-核心参数输入!$B$111)/4),0),0)</f>
        <v>0</v>
      </c>
      <c r="BK175" s="9">
        <f>IF(59&lt;=核心参数输入!$B$9*4,SUMIFS(年度所得税!$D$244:$AH$244,年度所得税!$D$4:$AH$4,(59-核心参数输入!$B$111)/4)+IF(59=核心参数输入!$B$9*4,SUMIFS(年度所得税!$D$244:$AH$244,年度所得税!$D$4:$AH$4,"&gt;"&amp;(核心参数输入!$B$9*4-核心参数输入!$B$111)/4),0),0)</f>
        <v>0</v>
      </c>
      <c r="BL175" s="9">
        <f>IF(60&lt;=核心参数输入!$B$9*4,SUMIFS(年度所得税!$D$244:$AH$244,年度所得税!$D$4:$AH$4,(60-核心参数输入!$B$111)/4)+IF(60=核心参数输入!$B$9*4,SUMIFS(年度所得税!$D$244:$AH$244,年度所得税!$D$4:$AH$4,"&gt;"&amp;(核心参数输入!$B$9*4-核心参数输入!$B$111)/4),0),0)</f>
        <v>0</v>
      </c>
      <c r="BM175" s="9">
        <f>IF(61&lt;=核心参数输入!$B$9*4,SUMIFS(年度所得税!$D$244:$AH$244,年度所得税!$D$4:$AH$4,(61-核心参数输入!$B$111)/4)+IF(61=核心参数输入!$B$9*4,SUMIFS(年度所得税!$D$244:$AH$244,年度所得税!$D$4:$AH$4,"&gt;"&amp;(核心参数输入!$B$9*4-核心参数输入!$B$111)/4),0),0)</f>
        <v>0</v>
      </c>
      <c r="BN175" s="9">
        <f>IF(62&lt;=核心参数输入!$B$9*4,SUMIFS(年度所得税!$D$244:$AH$244,年度所得税!$D$4:$AH$4,(62-核心参数输入!$B$111)/4)+IF(62=核心参数输入!$B$9*4,SUMIFS(年度所得税!$D$244:$AH$244,年度所得税!$D$4:$AH$4,"&gt;"&amp;(核心参数输入!$B$9*4-核心参数输入!$B$111)/4),0),0)</f>
        <v>0</v>
      </c>
      <c r="BO175" s="9">
        <f>IF(63&lt;=核心参数输入!$B$9*4,SUMIFS(年度所得税!$D$244:$AH$244,年度所得税!$D$4:$AH$4,(63-核心参数输入!$B$111)/4)+IF(63=核心参数输入!$B$9*4,SUMIFS(年度所得税!$D$244:$AH$244,年度所得税!$D$4:$AH$4,"&gt;"&amp;(核心参数输入!$B$9*4-核心参数输入!$B$111)/4),0),0)</f>
        <v>0</v>
      </c>
      <c r="BP175" s="9">
        <f>IF(64&lt;=核心参数输入!$B$9*4,SUMIFS(年度所得税!$D$244:$AH$244,年度所得税!$D$4:$AH$4,(64-核心参数输入!$B$111)/4)+IF(64=核心参数输入!$B$9*4,SUMIFS(年度所得税!$D$244:$AH$244,年度所得税!$D$4:$AH$4,"&gt;"&amp;(核心参数输入!$B$9*4-核心参数输入!$B$111)/4),0),0)</f>
        <v>0</v>
      </c>
      <c r="BQ175" s="9">
        <f>IF(65&lt;=核心参数输入!$B$9*4,SUMIFS(年度所得税!$D$244:$AH$244,年度所得税!$D$4:$AH$4,(65-核心参数输入!$B$111)/4)+IF(65=核心参数输入!$B$9*4,SUMIFS(年度所得税!$D$244:$AH$244,年度所得税!$D$4:$AH$4,"&gt;"&amp;(核心参数输入!$B$9*4-核心参数输入!$B$111)/4),0),0)</f>
        <v>0</v>
      </c>
      <c r="BR175" s="9">
        <f>IF(66&lt;=核心参数输入!$B$9*4,SUMIFS(年度所得税!$D$244:$AH$244,年度所得税!$D$4:$AH$4,(66-核心参数输入!$B$111)/4)+IF(66=核心参数输入!$B$9*4,SUMIFS(年度所得税!$D$244:$AH$244,年度所得税!$D$4:$AH$4,"&gt;"&amp;(核心参数输入!$B$9*4-核心参数输入!$B$111)/4),0),0)</f>
        <v>0</v>
      </c>
      <c r="BS175" s="9">
        <f>IF(67&lt;=核心参数输入!$B$9*4,SUMIFS(年度所得税!$D$244:$AH$244,年度所得税!$D$4:$AH$4,(67-核心参数输入!$B$111)/4)+IF(67=核心参数输入!$B$9*4,SUMIFS(年度所得税!$D$244:$AH$244,年度所得税!$D$4:$AH$4,"&gt;"&amp;(核心参数输入!$B$9*4-核心参数输入!$B$111)/4),0),0)</f>
        <v>0</v>
      </c>
      <c r="BT175" s="9">
        <f>IF(68&lt;=核心参数输入!$B$9*4,SUMIFS(年度所得税!$D$244:$AH$244,年度所得税!$D$4:$AH$4,(68-核心参数输入!$B$111)/4)+IF(68=核心参数输入!$B$9*4,SUMIFS(年度所得税!$D$244:$AH$244,年度所得税!$D$4:$AH$4,"&gt;"&amp;(核心参数输入!$B$9*4-核心参数输入!$B$111)/4),0),0)</f>
        <v>0</v>
      </c>
      <c r="BU175" s="9">
        <f>IF(69&lt;=核心参数输入!$B$9*4,SUMIFS(年度所得税!$D$244:$AH$244,年度所得税!$D$4:$AH$4,(69-核心参数输入!$B$111)/4)+IF(69=核心参数输入!$B$9*4,SUMIFS(年度所得税!$D$244:$AH$244,年度所得税!$D$4:$AH$4,"&gt;"&amp;(核心参数输入!$B$9*4-核心参数输入!$B$111)/4),0),0)</f>
        <v>0</v>
      </c>
      <c r="BV175" s="9">
        <f>IF(70&lt;=核心参数输入!$B$9*4,SUMIFS(年度所得税!$D$244:$AH$244,年度所得税!$D$4:$AH$4,(70-核心参数输入!$B$111)/4)+IF(70=核心参数输入!$B$9*4,SUMIFS(年度所得税!$D$244:$AH$244,年度所得税!$D$4:$AH$4,"&gt;"&amp;(核心参数输入!$B$9*4-核心参数输入!$B$111)/4),0),0)</f>
        <v>0</v>
      </c>
      <c r="BW175" s="9">
        <f>IF(71&lt;=核心参数输入!$B$9*4,SUMIFS(年度所得税!$D$244:$AH$244,年度所得税!$D$4:$AH$4,(71-核心参数输入!$B$111)/4)+IF(71=核心参数输入!$B$9*4,SUMIFS(年度所得税!$D$244:$AH$244,年度所得税!$D$4:$AH$4,"&gt;"&amp;(核心参数输入!$B$9*4-核心参数输入!$B$111)/4),0),0)</f>
        <v>0</v>
      </c>
      <c r="BX175" s="9">
        <f>IF(72&lt;=核心参数输入!$B$9*4,SUMIFS(年度所得税!$D$244:$AH$244,年度所得税!$D$4:$AH$4,(72-核心参数输入!$B$111)/4)+IF(72=核心参数输入!$B$9*4,SUMIFS(年度所得税!$D$244:$AH$244,年度所得税!$D$4:$AH$4,"&gt;"&amp;(核心参数输入!$B$9*4-核心参数输入!$B$111)/4),0),0)</f>
        <v>0</v>
      </c>
      <c r="BY175" s="9">
        <f>IF(73&lt;=核心参数输入!$B$9*4,SUMIFS(年度所得税!$D$244:$AH$244,年度所得税!$D$4:$AH$4,(73-核心参数输入!$B$111)/4)+IF(73=核心参数输入!$B$9*4,SUMIFS(年度所得税!$D$244:$AH$244,年度所得税!$D$4:$AH$4,"&gt;"&amp;(核心参数输入!$B$9*4-核心参数输入!$B$111)/4),0),0)</f>
        <v>0</v>
      </c>
      <c r="BZ175" s="9">
        <f>IF(74&lt;=核心参数输入!$B$9*4,SUMIFS(年度所得税!$D$244:$AH$244,年度所得税!$D$4:$AH$4,(74-核心参数输入!$B$111)/4)+IF(74=核心参数输入!$B$9*4,SUMIFS(年度所得税!$D$244:$AH$244,年度所得税!$D$4:$AH$4,"&gt;"&amp;(核心参数输入!$B$9*4-核心参数输入!$B$111)/4),0),0)</f>
        <v>0</v>
      </c>
      <c r="CA175" s="9">
        <f>IF(75&lt;=核心参数输入!$B$9*4,SUMIFS(年度所得税!$D$244:$AH$244,年度所得税!$D$4:$AH$4,(75-核心参数输入!$B$111)/4)+IF(75=核心参数输入!$B$9*4,SUMIFS(年度所得税!$D$244:$AH$244,年度所得税!$D$4:$AH$4,"&gt;"&amp;(核心参数输入!$B$9*4-核心参数输入!$B$111)/4),0),0)</f>
        <v>0</v>
      </c>
      <c r="CB175" s="9">
        <f>IF(76&lt;=核心参数输入!$B$9*4,SUMIFS(年度所得税!$D$244:$AH$244,年度所得税!$D$4:$AH$4,(76-核心参数输入!$B$111)/4)+IF(76=核心参数输入!$B$9*4,SUMIFS(年度所得税!$D$244:$AH$244,年度所得税!$D$4:$AH$4,"&gt;"&amp;(核心参数输入!$B$9*4-核心参数输入!$B$111)/4),0),0)</f>
        <v>0</v>
      </c>
      <c r="CC175" s="9">
        <f>IF(77&lt;=核心参数输入!$B$9*4,SUMIFS(年度所得税!$D$244:$AH$244,年度所得税!$D$4:$AH$4,(77-核心参数输入!$B$111)/4)+IF(77=核心参数输入!$B$9*4,SUMIFS(年度所得税!$D$244:$AH$244,年度所得税!$D$4:$AH$4,"&gt;"&amp;(核心参数输入!$B$9*4-核心参数输入!$B$111)/4),0),0)</f>
        <v>0</v>
      </c>
      <c r="CD175" s="9">
        <f>IF(78&lt;=核心参数输入!$B$9*4,SUMIFS(年度所得税!$D$244:$AH$244,年度所得税!$D$4:$AH$4,(78-核心参数输入!$B$111)/4)+IF(78=核心参数输入!$B$9*4,SUMIFS(年度所得税!$D$244:$AH$244,年度所得税!$D$4:$AH$4,"&gt;"&amp;(核心参数输入!$B$9*4-核心参数输入!$B$111)/4),0),0)</f>
        <v>0</v>
      </c>
      <c r="CE175" s="9">
        <f>IF(79&lt;=核心参数输入!$B$9*4,SUMIFS(年度所得税!$D$244:$AH$244,年度所得税!$D$4:$AH$4,(79-核心参数输入!$B$111)/4)+IF(79=核心参数输入!$B$9*4,SUMIFS(年度所得税!$D$244:$AH$244,年度所得税!$D$4:$AH$4,"&gt;"&amp;(核心参数输入!$B$9*4-核心参数输入!$B$111)/4),0),0)</f>
        <v>0</v>
      </c>
      <c r="CF175" s="9">
        <f>IF(80&lt;=核心参数输入!$B$9*4,SUMIFS(年度所得税!$D$244:$AH$244,年度所得税!$D$4:$AH$4,(80-核心参数输入!$B$111)/4)+IF(80=核心参数输入!$B$9*4,SUMIFS(年度所得税!$D$244:$AH$244,年度所得税!$D$4:$AH$4,"&gt;"&amp;(核心参数输入!$B$9*4-核心参数输入!$B$111)/4),0),0)</f>
        <v>3417.963160565977</v>
      </c>
      <c r="CG175" s="9">
        <f>IF(81&lt;=核心参数输入!$B$9*4,SUMIFS(年度所得税!$D$244:$AH$244,年度所得税!$D$4:$AH$4,(81-核心参数输入!$B$111)/4)+IF(81=核心参数输入!$B$9*4,SUMIFS(年度所得税!$D$244:$AH$244,年度所得税!$D$4:$AH$4,"&gt;"&amp;(核心参数输入!$B$9*4-核心参数输入!$B$111)/4),0),0)</f>
        <v>0</v>
      </c>
      <c r="CH175" s="9">
        <f>IF(82&lt;=核心参数输入!$B$9*4,SUMIFS(年度所得税!$D$244:$AH$244,年度所得税!$D$4:$AH$4,(82-核心参数输入!$B$111)/4)+IF(82=核心参数输入!$B$9*4,SUMIFS(年度所得税!$D$244:$AH$244,年度所得税!$D$4:$AH$4,"&gt;"&amp;(核心参数输入!$B$9*4-核心参数输入!$B$111)/4),0),0)</f>
        <v>0</v>
      </c>
      <c r="CI175" s="9">
        <f>IF(83&lt;=核心参数输入!$B$9*4,SUMIFS(年度所得税!$D$244:$AH$244,年度所得税!$D$4:$AH$4,(83-核心参数输入!$B$111)/4)+IF(83=核心参数输入!$B$9*4,SUMIFS(年度所得税!$D$244:$AH$244,年度所得税!$D$4:$AH$4,"&gt;"&amp;(核心参数输入!$B$9*4-核心参数输入!$B$111)/4),0),0)</f>
        <v>0</v>
      </c>
      <c r="CJ175" s="9">
        <f>IF(84&lt;=核心参数输入!$B$9*4,SUMIFS(年度所得税!$D$244:$AH$244,年度所得税!$D$4:$AH$4,(84-核心参数输入!$B$111)/4)+IF(84=核心参数输入!$B$9*4,SUMIFS(年度所得税!$D$244:$AH$244,年度所得税!$D$4:$AH$4,"&gt;"&amp;(核心参数输入!$B$9*4-核心参数输入!$B$111)/4),0),0)</f>
        <v>0</v>
      </c>
      <c r="CK175" s="9">
        <f>IF(85&lt;=核心参数输入!$B$9*4,SUMIFS(年度所得税!$D$244:$AH$244,年度所得税!$D$4:$AH$4,(85-核心参数输入!$B$111)/4)+IF(85=核心参数输入!$B$9*4,SUMIFS(年度所得税!$D$244:$AH$244,年度所得税!$D$4:$AH$4,"&gt;"&amp;(核心参数输入!$B$9*4-核心参数输入!$B$111)/4),0),0)</f>
        <v>0</v>
      </c>
      <c r="CL175" s="9">
        <f>IF(86&lt;=核心参数输入!$B$9*4,SUMIFS(年度所得税!$D$244:$AH$244,年度所得税!$D$4:$AH$4,(86-核心参数输入!$B$111)/4)+IF(86=核心参数输入!$B$9*4,SUMIFS(年度所得税!$D$244:$AH$244,年度所得税!$D$4:$AH$4,"&gt;"&amp;(核心参数输入!$B$9*4-核心参数输入!$B$111)/4),0),0)</f>
        <v>0</v>
      </c>
      <c r="CM175" s="9">
        <f>IF(87&lt;=核心参数输入!$B$9*4,SUMIFS(年度所得税!$D$244:$AH$244,年度所得税!$D$4:$AH$4,(87-核心参数输入!$B$111)/4)+IF(87=核心参数输入!$B$9*4,SUMIFS(年度所得税!$D$244:$AH$244,年度所得税!$D$4:$AH$4,"&gt;"&amp;(核心参数输入!$B$9*4-核心参数输入!$B$111)/4),0),0)</f>
        <v>0</v>
      </c>
      <c r="CN175" s="9">
        <f>IF(88&lt;=核心参数输入!$B$9*4,SUMIFS(年度所得税!$D$244:$AH$244,年度所得税!$D$4:$AH$4,(88-核心参数输入!$B$111)/4)+IF(88=核心参数输入!$B$9*4,SUMIFS(年度所得税!$D$244:$AH$244,年度所得税!$D$4:$AH$4,"&gt;"&amp;(核心参数输入!$B$9*4-核心参数输入!$B$111)/4),0),0)</f>
        <v>0</v>
      </c>
      <c r="CO175" s="9">
        <f>IF(89&lt;=核心参数输入!$B$9*4,SUMIFS(年度所得税!$D$244:$AH$244,年度所得税!$D$4:$AH$4,(89-核心参数输入!$B$111)/4)+IF(89=核心参数输入!$B$9*4,SUMIFS(年度所得税!$D$244:$AH$244,年度所得税!$D$4:$AH$4,"&gt;"&amp;(核心参数输入!$B$9*4-核心参数输入!$B$111)/4),0),0)</f>
        <v>0</v>
      </c>
      <c r="CP175" s="9">
        <f>IF(90&lt;=核心参数输入!$B$9*4,SUMIFS(年度所得税!$D$244:$AH$244,年度所得税!$D$4:$AH$4,(90-核心参数输入!$B$111)/4)+IF(90=核心参数输入!$B$9*4,SUMIFS(年度所得税!$D$244:$AH$244,年度所得税!$D$4:$AH$4,"&gt;"&amp;(核心参数输入!$B$9*4-核心参数输入!$B$111)/4),0),0)</f>
        <v>0</v>
      </c>
      <c r="CQ175" s="9">
        <f>IF(91&lt;=核心参数输入!$B$9*4,SUMIFS(年度所得税!$D$244:$AH$244,年度所得税!$D$4:$AH$4,(91-核心参数输入!$B$111)/4)+IF(91=核心参数输入!$B$9*4,SUMIFS(年度所得税!$D$244:$AH$244,年度所得税!$D$4:$AH$4,"&gt;"&amp;(核心参数输入!$B$9*4-核心参数输入!$B$111)/4),0),0)</f>
        <v>0</v>
      </c>
      <c r="CR175" s="9">
        <f>IF(92&lt;=核心参数输入!$B$9*4,SUMIFS(年度所得税!$D$244:$AH$244,年度所得税!$D$4:$AH$4,(92-核心参数输入!$B$111)/4)+IF(92=核心参数输入!$B$9*4,SUMIFS(年度所得税!$D$244:$AH$244,年度所得税!$D$4:$AH$4,"&gt;"&amp;(核心参数输入!$B$9*4-核心参数输入!$B$111)/4),0),0)</f>
        <v>0</v>
      </c>
      <c r="CS175" s="9">
        <f>IF(93&lt;=核心参数输入!$B$9*4,SUMIFS(年度所得税!$D$244:$AH$244,年度所得税!$D$4:$AH$4,(93-核心参数输入!$B$111)/4)+IF(93=核心参数输入!$B$9*4,SUMIFS(年度所得税!$D$244:$AH$244,年度所得税!$D$4:$AH$4,"&gt;"&amp;(核心参数输入!$B$9*4-核心参数输入!$B$111)/4),0),0)</f>
        <v>0</v>
      </c>
      <c r="CT175" s="9">
        <f>IF(94&lt;=核心参数输入!$B$9*4,SUMIFS(年度所得税!$D$244:$AH$244,年度所得税!$D$4:$AH$4,(94-核心参数输入!$B$111)/4)+IF(94=核心参数输入!$B$9*4,SUMIFS(年度所得税!$D$244:$AH$244,年度所得税!$D$4:$AH$4,"&gt;"&amp;(核心参数输入!$B$9*4-核心参数输入!$B$111)/4),0),0)</f>
        <v>0</v>
      </c>
      <c r="CU175" s="9">
        <f>IF(95&lt;=核心参数输入!$B$9*4,SUMIFS(年度所得税!$D$244:$AH$244,年度所得税!$D$4:$AH$4,(95-核心参数输入!$B$111)/4)+IF(95=核心参数输入!$B$9*4,SUMIFS(年度所得税!$D$244:$AH$244,年度所得税!$D$4:$AH$4,"&gt;"&amp;(核心参数输入!$B$9*4-核心参数输入!$B$111)/4),0),0)</f>
        <v>0</v>
      </c>
      <c r="CV175" s="9">
        <f>IF(96&lt;=核心参数输入!$B$9*4,SUMIFS(年度所得税!$D$244:$AH$244,年度所得税!$D$4:$AH$4,(96-核心参数输入!$B$111)/4)+IF(96=核心参数输入!$B$9*4,SUMIFS(年度所得税!$D$244:$AH$244,年度所得税!$D$4:$AH$4,"&gt;"&amp;(核心参数输入!$B$9*4-核心参数输入!$B$111)/4),0),0)</f>
        <v>0</v>
      </c>
      <c r="CW175" s="9">
        <f>IF(97&lt;=核心参数输入!$B$9*4,SUMIFS(年度所得税!$D$244:$AH$244,年度所得税!$D$4:$AH$4,(97-核心参数输入!$B$111)/4)+IF(97=核心参数输入!$B$9*4,SUMIFS(年度所得税!$D$244:$AH$244,年度所得税!$D$4:$AH$4,"&gt;"&amp;(核心参数输入!$B$9*4-核心参数输入!$B$111)/4),0),0)</f>
        <v>0</v>
      </c>
      <c r="CX175" s="9">
        <f>IF(98&lt;=核心参数输入!$B$9*4,SUMIFS(年度所得税!$D$244:$AH$244,年度所得税!$D$4:$AH$4,(98-核心参数输入!$B$111)/4)+IF(98=核心参数输入!$B$9*4,SUMIFS(年度所得税!$D$244:$AH$244,年度所得税!$D$4:$AH$4,"&gt;"&amp;(核心参数输入!$B$9*4-核心参数输入!$B$111)/4),0),0)</f>
        <v>0</v>
      </c>
      <c r="CY175" s="9">
        <f>IF(99&lt;=核心参数输入!$B$9*4,SUMIFS(年度所得税!$D$244:$AH$244,年度所得税!$D$4:$AH$4,(99-核心参数输入!$B$111)/4)+IF(99=核心参数输入!$B$9*4,SUMIFS(年度所得税!$D$244:$AH$244,年度所得税!$D$4:$AH$4,"&gt;"&amp;(核心参数输入!$B$9*4-核心参数输入!$B$111)/4),0),0)</f>
        <v>0</v>
      </c>
      <c r="CZ175" s="9">
        <f>IF(100&lt;=核心参数输入!$B$9*4,SUMIFS(年度所得税!$D$244:$AH$244,年度所得税!$D$4:$AH$4,(100-核心参数输入!$B$111)/4)+IF(100=核心参数输入!$B$9*4,SUMIFS(年度所得税!$D$244:$AH$244,年度所得税!$D$4:$AH$4,"&gt;"&amp;(核心参数输入!$B$9*4-核心参数输入!$B$111)/4),0),0)</f>
        <v>0</v>
      </c>
      <c r="DA175" s="9">
        <f>IF(101&lt;=核心参数输入!$B$9*4,SUMIFS(年度所得税!$D$244:$AH$244,年度所得税!$D$4:$AH$4,(101-核心参数输入!$B$111)/4)+IF(101=核心参数输入!$B$9*4,SUMIFS(年度所得税!$D$244:$AH$244,年度所得税!$D$4:$AH$4,"&gt;"&amp;(核心参数输入!$B$9*4-核心参数输入!$B$111)/4),0),0)</f>
        <v>0</v>
      </c>
      <c r="DB175" s="9">
        <f>IF(102&lt;=核心参数输入!$B$9*4,SUMIFS(年度所得税!$D$244:$AH$244,年度所得税!$D$4:$AH$4,(102-核心参数输入!$B$111)/4)+IF(102=核心参数输入!$B$9*4,SUMIFS(年度所得税!$D$244:$AH$244,年度所得税!$D$4:$AH$4,"&gt;"&amp;(核心参数输入!$B$9*4-核心参数输入!$B$111)/4),0),0)</f>
        <v>0</v>
      </c>
      <c r="DC175" s="9">
        <f>IF(103&lt;=核心参数输入!$B$9*4,SUMIFS(年度所得税!$D$244:$AH$244,年度所得税!$D$4:$AH$4,(103-核心参数输入!$B$111)/4)+IF(103=核心参数输入!$B$9*4,SUMIFS(年度所得税!$D$244:$AH$244,年度所得税!$D$4:$AH$4,"&gt;"&amp;(核心参数输入!$B$9*4-核心参数输入!$B$111)/4),0),0)</f>
        <v>0</v>
      </c>
      <c r="DD175" s="9">
        <f>IF(104&lt;=核心参数输入!$B$9*4,SUMIFS(年度所得税!$D$244:$AH$244,年度所得税!$D$4:$AH$4,(104-核心参数输入!$B$111)/4)+IF(104=核心参数输入!$B$9*4,SUMIFS(年度所得税!$D$244:$AH$244,年度所得税!$D$4:$AH$4,"&gt;"&amp;(核心参数输入!$B$9*4-核心参数输入!$B$111)/4),0),0)</f>
        <v>0</v>
      </c>
      <c r="DE175" s="9">
        <f>IF(105&lt;=核心参数输入!$B$9*4,SUMIFS(年度所得税!$D$244:$AH$244,年度所得税!$D$4:$AH$4,(105-核心参数输入!$B$111)/4)+IF(105=核心参数输入!$B$9*4,SUMIFS(年度所得税!$D$244:$AH$244,年度所得税!$D$4:$AH$4,"&gt;"&amp;(核心参数输入!$B$9*4-核心参数输入!$B$111)/4),0),0)</f>
        <v>0</v>
      </c>
      <c r="DF175" s="9">
        <f>IF(106&lt;=核心参数输入!$B$9*4,SUMIFS(年度所得税!$D$244:$AH$244,年度所得税!$D$4:$AH$4,(106-核心参数输入!$B$111)/4)+IF(106=核心参数输入!$B$9*4,SUMIFS(年度所得税!$D$244:$AH$244,年度所得税!$D$4:$AH$4,"&gt;"&amp;(核心参数输入!$B$9*4-核心参数输入!$B$111)/4),0),0)</f>
        <v>0</v>
      </c>
      <c r="DG175" s="9">
        <f>IF(107&lt;=核心参数输入!$B$9*4,SUMIFS(年度所得税!$D$244:$AH$244,年度所得税!$D$4:$AH$4,(107-核心参数输入!$B$111)/4)+IF(107=核心参数输入!$B$9*4,SUMIFS(年度所得税!$D$244:$AH$244,年度所得税!$D$4:$AH$4,"&gt;"&amp;(核心参数输入!$B$9*4-核心参数输入!$B$111)/4),0),0)</f>
        <v>0</v>
      </c>
      <c r="DH175" s="9">
        <f>IF(108&lt;=核心参数输入!$B$9*4,SUMIFS(年度所得税!$D$244:$AH$244,年度所得税!$D$4:$AH$4,(108-核心参数输入!$B$111)/4)+IF(108=核心参数输入!$B$9*4,SUMIFS(年度所得税!$D$244:$AH$244,年度所得税!$D$4:$AH$4,"&gt;"&amp;(核心参数输入!$B$9*4-核心参数输入!$B$111)/4),0),0)</f>
        <v>0</v>
      </c>
      <c r="DI175" s="9">
        <f>IF(109&lt;=核心参数输入!$B$9*4,SUMIFS(年度所得税!$D$244:$AH$244,年度所得税!$D$4:$AH$4,(109-核心参数输入!$B$111)/4)+IF(109=核心参数输入!$B$9*4,SUMIFS(年度所得税!$D$244:$AH$244,年度所得税!$D$4:$AH$4,"&gt;"&amp;(核心参数输入!$B$9*4-核心参数输入!$B$111)/4),0),0)</f>
        <v>0</v>
      </c>
      <c r="DJ175" s="9">
        <f>IF(110&lt;=核心参数输入!$B$9*4,SUMIFS(年度所得税!$D$244:$AH$244,年度所得税!$D$4:$AH$4,(110-核心参数输入!$B$111)/4)+IF(110=核心参数输入!$B$9*4,SUMIFS(年度所得税!$D$244:$AH$244,年度所得税!$D$4:$AH$4,"&gt;"&amp;(核心参数输入!$B$9*4-核心参数输入!$B$111)/4),0),0)</f>
        <v>0</v>
      </c>
      <c r="DK175" s="9">
        <f>IF(111&lt;=核心参数输入!$B$9*4,SUMIFS(年度所得税!$D$244:$AH$244,年度所得税!$D$4:$AH$4,(111-核心参数输入!$B$111)/4)+IF(111=核心参数输入!$B$9*4,SUMIFS(年度所得税!$D$244:$AH$244,年度所得税!$D$4:$AH$4,"&gt;"&amp;(核心参数输入!$B$9*4-核心参数输入!$B$111)/4),0),0)</f>
        <v>0</v>
      </c>
      <c r="DL175" s="9">
        <f>IF(112&lt;=核心参数输入!$B$9*4,SUMIFS(年度所得税!$D$244:$AH$244,年度所得税!$D$4:$AH$4,(112-核心参数输入!$B$111)/4)+IF(112=核心参数输入!$B$9*4,SUMIFS(年度所得税!$D$244:$AH$244,年度所得税!$D$4:$AH$4,"&gt;"&amp;(核心参数输入!$B$9*4-核心参数输入!$B$111)/4),0),0)</f>
        <v>0</v>
      </c>
      <c r="DM175" s="9">
        <f>IF(113&lt;=核心参数输入!$B$9*4,SUMIFS(年度所得税!$D$244:$AH$244,年度所得税!$D$4:$AH$4,(113-核心参数输入!$B$111)/4)+IF(113=核心参数输入!$B$9*4,SUMIFS(年度所得税!$D$244:$AH$244,年度所得税!$D$4:$AH$4,"&gt;"&amp;(核心参数输入!$B$9*4-核心参数输入!$B$111)/4),0),0)</f>
        <v>0</v>
      </c>
      <c r="DN175" s="9">
        <f>IF(114&lt;=核心参数输入!$B$9*4,SUMIFS(年度所得税!$D$244:$AH$244,年度所得税!$D$4:$AH$4,(114-核心参数输入!$B$111)/4)+IF(114=核心参数输入!$B$9*4,SUMIFS(年度所得税!$D$244:$AH$244,年度所得税!$D$4:$AH$4,"&gt;"&amp;(核心参数输入!$B$9*4-核心参数输入!$B$111)/4),0),0)</f>
        <v>0</v>
      </c>
      <c r="DO175" s="9">
        <f>IF(115&lt;=核心参数输入!$B$9*4,SUMIFS(年度所得税!$D$244:$AH$244,年度所得税!$D$4:$AH$4,(115-核心参数输入!$B$111)/4)+IF(115=核心参数输入!$B$9*4,SUMIFS(年度所得税!$D$244:$AH$244,年度所得税!$D$4:$AH$4,"&gt;"&amp;(核心参数输入!$B$9*4-核心参数输入!$B$111)/4),0),0)</f>
        <v>0</v>
      </c>
      <c r="DP175" s="9">
        <f>IF(116&lt;=核心参数输入!$B$9*4,SUMIFS(年度所得税!$D$244:$AH$244,年度所得税!$D$4:$AH$4,(116-核心参数输入!$B$111)/4)+IF(116=核心参数输入!$B$9*4,SUMIFS(年度所得税!$D$244:$AH$244,年度所得税!$D$4:$AH$4,"&gt;"&amp;(核心参数输入!$B$9*4-核心参数输入!$B$111)/4),0),0)</f>
        <v>0</v>
      </c>
      <c r="DQ175" s="9">
        <f>IF(117&lt;=核心参数输入!$B$9*4,SUMIFS(年度所得税!$D$244:$AH$244,年度所得税!$D$4:$AH$4,(117-核心参数输入!$B$111)/4)+IF(117=核心参数输入!$B$9*4,SUMIFS(年度所得税!$D$244:$AH$244,年度所得税!$D$4:$AH$4,"&gt;"&amp;(核心参数输入!$B$9*4-核心参数输入!$B$111)/4),0),0)</f>
        <v>0</v>
      </c>
      <c r="DR175" s="9">
        <f>IF(118&lt;=核心参数输入!$B$9*4,SUMIFS(年度所得税!$D$244:$AH$244,年度所得税!$D$4:$AH$4,(118-核心参数输入!$B$111)/4)+IF(118=核心参数输入!$B$9*4,SUMIFS(年度所得税!$D$244:$AH$244,年度所得税!$D$4:$AH$4,"&gt;"&amp;(核心参数输入!$B$9*4-核心参数输入!$B$111)/4),0),0)</f>
        <v>0</v>
      </c>
      <c r="DS175" s="9">
        <f>IF(119&lt;=核心参数输入!$B$9*4,SUMIFS(年度所得税!$D$244:$AH$244,年度所得税!$D$4:$AH$4,(119-核心参数输入!$B$111)/4)+IF(119=核心参数输入!$B$9*4,SUMIFS(年度所得税!$D$244:$AH$244,年度所得税!$D$4:$AH$4,"&gt;"&amp;(核心参数输入!$B$9*4-核心参数输入!$B$111)/4),0),0)</f>
        <v>0</v>
      </c>
      <c r="DT175" s="9">
        <f>IF(120&lt;=核心参数输入!$B$9*4,SUMIFS(年度所得税!$D$244:$AH$244,年度所得税!$D$4:$AH$4,(120-核心参数输入!$B$111)/4)+IF(120=核心参数输入!$B$9*4,SUMIFS(年度所得税!$D$244:$AH$244,年度所得税!$D$4:$AH$4,"&gt;"&amp;(核心参数输入!$B$9*4-核心参数输入!$B$111)/4),0),0)</f>
        <v>0</v>
      </c>
    </row>
    <row r="176" spans="1:124" ht="21" customHeight="1">
      <c r="A176" s="8" t="s">
        <v>497</v>
      </c>
      <c r="B176" s="8" t="s">
        <v>39</v>
      </c>
      <c r="C176" s="8"/>
      <c r="D176" s="9">
        <f>IF(0&lt;=核心参数输入!$B$9*4,D157-IF(AND(0&gt;0,MOD(0,4)=0),INDEX(年度所得税!$D$240:$AH$240,1,0/4+1),0),0)</f>
        <v>0</v>
      </c>
      <c r="E176" s="9">
        <f>IF(1&lt;=核心参数输入!$B$9*4,E157-IF(AND(1&gt;0,MOD(1,4)=0),INDEX(年度所得税!$D$240:$AH$240,1,1/4+1),0),0)</f>
        <v>0</v>
      </c>
      <c r="F176" s="9">
        <f>IF(2&lt;=核心参数输入!$B$9*4,F157-IF(AND(2&gt;0,MOD(2,4)=0),INDEX(年度所得税!$D$240:$AH$240,1,2/4+1),0),0)</f>
        <v>0</v>
      </c>
      <c r="G176" s="9">
        <f>IF(3&lt;=核心参数输入!$B$9*4,G157-IF(AND(3&gt;0,MOD(3,4)=0),INDEX(年度所得税!$D$240:$AH$240,1,3/4+1),0),0)</f>
        <v>0</v>
      </c>
      <c r="H176" s="9">
        <f>IF(4&lt;=核心参数输入!$B$9*4,H157-IF(AND(4&gt;0,MOD(4,4)=0),INDEX(年度所得税!$D$240:$AH$240,1,4/4+1),0),0)</f>
        <v>0</v>
      </c>
      <c r="I176" s="9">
        <f>IF(5&lt;=核心参数输入!$B$9*4,I157-IF(AND(5&gt;0,MOD(5,4)=0),INDEX(年度所得税!$D$240:$AH$240,1,5/4+1),0),0)</f>
        <v>0</v>
      </c>
      <c r="J176" s="9">
        <f>IF(6&lt;=核心参数输入!$B$9*4,J157-IF(AND(6&gt;0,MOD(6,4)=0),INDEX(年度所得税!$D$240:$AH$240,1,6/4+1),0),0)</f>
        <v>0</v>
      </c>
      <c r="K176" s="9">
        <f>IF(7&lt;=核心参数输入!$B$9*4,K157-IF(AND(7&gt;0,MOD(7,4)=0),INDEX(年度所得税!$D$240:$AH$240,1,7/4+1),0),0)</f>
        <v>0</v>
      </c>
      <c r="L176" s="9">
        <f>IF(8&lt;=核心参数输入!$B$9*4,L157-IF(AND(8&gt;0,MOD(8,4)=0),INDEX(年度所得税!$D$240:$AH$240,1,8/4+1),0),0)</f>
        <v>0</v>
      </c>
      <c r="M176" s="9">
        <f>IF(9&lt;=核心参数输入!$B$9*4,M157-IF(AND(9&gt;0,MOD(9,4)=0),INDEX(年度所得税!$D$240:$AH$240,1,9/4+1),0),0)</f>
        <v>0</v>
      </c>
      <c r="N176" s="9">
        <f>IF(10&lt;=核心参数输入!$B$9*4,N157-IF(AND(10&gt;0,MOD(10,4)=0),INDEX(年度所得税!$D$240:$AH$240,1,10/4+1),0),0)</f>
        <v>0</v>
      </c>
      <c r="O176" s="9">
        <f>IF(11&lt;=核心参数输入!$B$9*4,O157-IF(AND(11&gt;0,MOD(11,4)=0),INDEX(年度所得税!$D$240:$AH$240,1,11/4+1),0),0)</f>
        <v>0</v>
      </c>
      <c r="P176" s="9">
        <f>IF(12&lt;=核心参数输入!$B$9*4,P157-IF(AND(12&gt;0,MOD(12,4)=0),INDEX(年度所得税!$D$240:$AH$240,1,12/4+1),0),0)</f>
        <v>0</v>
      </c>
      <c r="Q176" s="9">
        <f>IF(13&lt;=核心参数输入!$B$9*4,Q157-IF(AND(13&gt;0,MOD(13,4)=0),INDEX(年度所得税!$D$240:$AH$240,1,13/4+1),0),0)</f>
        <v>-560.66259375000027</v>
      </c>
      <c r="R176" s="9">
        <f>IF(14&lt;=核心参数输入!$B$9*4,R157-IF(AND(14&gt;0,MOD(14,4)=0),INDEX(年度所得税!$D$240:$AH$240,1,14/4+1),0),0)</f>
        <v>-542.69604976500023</v>
      </c>
      <c r="S176" s="9">
        <f>IF(15&lt;=核心参数输入!$B$9*4,S157-IF(AND(15&gt;0,MOD(15,4)=0),INDEX(年度所得税!$D$240:$AH$240,1,15/4+1),0),0)</f>
        <v>-506.76296179500059</v>
      </c>
      <c r="T176" s="9">
        <f>IF(16&lt;=核心参数输入!$B$9*4,T157-IF(AND(16&gt;0,MOD(16,4)=0),INDEX(年度所得税!$D$240:$AH$240,1,16/4+1),0),0)</f>
        <v>-448.32987382500005</v>
      </c>
      <c r="U176" s="9">
        <f>IF(17&lt;=核心参数输入!$B$9*4,U157-IF(AND(17&gt;0,MOD(17,4)=0),INDEX(年度所得税!$D$240:$AH$240,1,17/4+1),0),0)</f>
        <v>-354.02670498657528</v>
      </c>
      <c r="V176" s="9">
        <f>IF(18&lt;=核心参数输入!$B$9*4,V157-IF(AND(18&gt;0,MOD(18,4)=0),INDEX(年度所得税!$D$240:$AH$240,1,18/4+1),0),0)</f>
        <v>-326.67264176941308</v>
      </c>
      <c r="W176" s="9">
        <f>IF(19&lt;=核心参数输入!$B$9*4,W157-IF(AND(19&gt;0,MOD(19,4)=0),INDEX(年度所得税!$D$240:$AH$240,1,19/4+1),0),0)</f>
        <v>-308.43659962463795</v>
      </c>
      <c r="X176" s="9">
        <f>IF(20&lt;=核心参数输入!$B$9*4,X157-IF(AND(20&gt;0,MOD(20,4)=0),INDEX(年度所得税!$D$240:$AH$240,1,20/4+1),0),0)</f>
        <v>-267.70055747986288</v>
      </c>
      <c r="Y176" s="9">
        <f>IF(21&lt;=核心参数输入!$B$9*4,Y157-IF(AND(21&gt;0,MOD(21,4)=0),INDEX(年度所得税!$D$240:$AH$240,1,21/4+1),0),0)</f>
        <v>-260.83239181511448</v>
      </c>
      <c r="Z176" s="9">
        <f>IF(22&lt;=核心参数输入!$B$9*4,Z157-IF(AND(22&gt;0,MOD(22,4)=0),INDEX(年度所得税!$D$240:$AH$240,1,22/4+1),0),0)</f>
        <v>-244.63650688528614</v>
      </c>
      <c r="AA176" s="9">
        <f>IF(23&lt;=核心参数输入!$B$9*4,AA157-IF(AND(23&gt;0,MOD(23,4)=0),INDEX(年度所得税!$D$240:$AH$240,1,23/4+1),0),0)</f>
        <v>-230.75431980257579</v>
      </c>
      <c r="AB176" s="9">
        <f>IF(24&lt;=核心参数输入!$B$9*4,AB157-IF(AND(24&gt;0,MOD(24,4)=0),INDEX(年度所得税!$D$240:$AH$240,1,24/4+1),0),0)</f>
        <v>-194.37213271986641</v>
      </c>
      <c r="AC176" s="9">
        <f>IF(25&lt;=核心参数输入!$B$9*4,AC157-IF(AND(25&gt;0,MOD(25,4)=0),INDEX(年度所得税!$D$240:$AH$240,1,25/4+1),0),0)</f>
        <v>-261.94078716546306</v>
      </c>
      <c r="AD176" s="9">
        <f>IF(26&lt;=核心参数输入!$B$9*4,AD157-IF(AND(26&gt;0,MOD(26,4)=0),INDEX(年度所得税!$D$240:$AH$240,1,26/4+1),0),0)</f>
        <v>-252.54717390616264</v>
      </c>
      <c r="AE176" s="9">
        <f>IF(27&lt;=核心参数输入!$B$9*4,AE157-IF(AND(27&gt;0,MOD(27,4)=0),INDEX(年度所得税!$D$240:$AH$240,1,27/4+1),0),0)</f>
        <v>-247.8503672765124</v>
      </c>
      <c r="AF176" s="9">
        <f>IF(28&lt;=核心参数输入!$B$9*4,AF157-IF(AND(28&gt;0,MOD(28,4)=0),INDEX(年度所得税!$D$240:$AH$240,1,28/4+1),0),0)</f>
        <v>-220.65356064686216</v>
      </c>
      <c r="AG176" s="9">
        <f>IF(29&lt;=核心参数输入!$B$9*4,AG157-IF(AND(29&gt;0,MOD(29,4)=0),INDEX(年度所得税!$D$240:$AH$240,1,29/4+1),0),0)</f>
        <v>-190.57485770247015</v>
      </c>
      <c r="AH176" s="9">
        <f>IF(30&lt;=核心参数输入!$B$9*4,AH157-IF(AND(30&gt;0,MOD(30,4)=0),INDEX(年度所得税!$D$240:$AH$240,1,30/4+1),0),0)</f>
        <v>-188.19122833792269</v>
      </c>
      <c r="AI176" s="9">
        <f>IF(31&lt;=核心参数输入!$B$9*4,AI157-IF(AND(31&gt;0,MOD(31,4)=0),INDEX(年度所得税!$D$240:$AH$240,1,31/4+1),0),0)</f>
        <v>-188.19122833792269</v>
      </c>
      <c r="AJ176" s="9">
        <f>IF(32&lt;=核心参数输入!$B$9*4,AJ157-IF(AND(32&gt;0,MOD(32,4)=0),INDEX(年度所得税!$D$240:$AH$240,1,32/4+1),0),0)</f>
        <v>-165.69122833792267</v>
      </c>
      <c r="AK176" s="9">
        <f>IF(33&lt;=核心参数输入!$B$9*4,AK157-IF(AND(33&gt;0,MOD(33,4)=0),INDEX(年度所得税!$D$240:$AH$240,1,33/4+1),0),0)</f>
        <v>-140.2383081979915</v>
      </c>
      <c r="AL176" s="9">
        <f>IF(34&lt;=核心参数输入!$B$9*4,AL157-IF(AND(34&gt;0,MOD(34,4)=0),INDEX(年度所得税!$D$240:$AH$240,1,34/4+1),0),0)</f>
        <v>-140.2383081979915</v>
      </c>
      <c r="AM176" s="9">
        <f>IF(35&lt;=核心参数输入!$B$9*4,AM157-IF(AND(35&gt;0,MOD(35,4)=0),INDEX(年度所得税!$D$240:$AH$240,1,35/4+1),0),0)</f>
        <v>-140.2383081979915</v>
      </c>
      <c r="AN176" s="9">
        <f>IF(36&lt;=核心参数输入!$B$9*4,AN157-IF(AND(36&gt;0,MOD(36,4)=0),INDEX(年度所得税!$D$240:$AH$240,1,36/4+1),0),0)</f>
        <v>-117.7383081979915</v>
      </c>
      <c r="AO176" s="9">
        <f>IF(37&lt;=核心参数输入!$B$9*4,AO157-IF(AND(37&gt;0,MOD(37,4)=0),INDEX(年度所得税!$D$240:$AH$240,1,37/4+1),0),0)</f>
        <v>-92.249212497161466</v>
      </c>
      <c r="AP176" s="9">
        <f>IF(38&lt;=核心参数输入!$B$9*4,AP157-IF(AND(38&gt;0,MOD(38,4)=0),INDEX(年度所得税!$D$240:$AH$240,1,38/4+1),0),0)</f>
        <v>-92.249212497161466</v>
      </c>
      <c r="AQ176" s="9">
        <f>IF(39&lt;=核心参数输入!$B$9*4,AQ157-IF(AND(39&gt;0,MOD(39,4)=0),INDEX(年度所得税!$D$240:$AH$240,1,39/4+1),0),0)</f>
        <v>-92.249212497161466</v>
      </c>
      <c r="AR176" s="9">
        <f>IF(40&lt;=核心参数输入!$B$9*4,AR157-IF(AND(40&gt;0,MOD(40,4)=0),INDEX(年度所得税!$D$240:$AH$240,1,40/4+1),0),0)</f>
        <v>-69.74921249716148</v>
      </c>
      <c r="AS176" s="9">
        <f>IF(41&lt;=核心参数输入!$B$9*4,AS157-IF(AND(41&gt;0,MOD(41,4)=0),INDEX(年度所得税!$D$240:$AH$240,1,41/4+1),0),0)</f>
        <v>-44.223560966842967</v>
      </c>
      <c r="AT176" s="9">
        <f>IF(42&lt;=核心参数输入!$B$9*4,AT157-IF(AND(42&gt;0,MOD(42,4)=0),INDEX(年度所得税!$D$240:$AH$240,1,42/4+1),0),0)</f>
        <v>-44.223560966842967</v>
      </c>
      <c r="AU176" s="9">
        <f>IF(43&lt;=核心参数输入!$B$9*4,AU157-IF(AND(43&gt;0,MOD(43,4)=0),INDEX(年度所得税!$D$240:$AH$240,1,43/4+1),0),0)</f>
        <v>-44.223560966842967</v>
      </c>
      <c r="AV176" s="9">
        <f>IF(44&lt;=核心参数输入!$B$9*4,AV157-IF(AND(44&gt;0,MOD(44,4)=0),INDEX(年度所得税!$D$240:$AH$240,1,44/4+1),0),0)</f>
        <v>-44.223560966842967</v>
      </c>
      <c r="AW176" s="9">
        <f>IF(45&lt;=核心参数输入!$B$9*4,AW157-IF(AND(45&gt;0,MOD(45,4)=0),INDEX(年度所得税!$D$240:$AH$240,1,45/4+1),0),0)</f>
        <v>-41.160970881714206</v>
      </c>
      <c r="AX176" s="9">
        <f>IF(46&lt;=核心参数输入!$B$9*4,AX157-IF(AND(46&gt;0,MOD(46,4)=0),INDEX(年度所得税!$D$240:$AH$240,1,46/4+1),0),0)</f>
        <v>-41.160970881714206</v>
      </c>
      <c r="AY176" s="9">
        <f>IF(47&lt;=核心参数输入!$B$9*4,AY157-IF(AND(47&gt;0,MOD(47,4)=0),INDEX(年度所得税!$D$240:$AH$240,1,47/4+1),0),0)</f>
        <v>-41.160970881714206</v>
      </c>
      <c r="AZ176" s="9">
        <f>IF(48&lt;=核心参数输入!$B$9*4,AZ157-IF(AND(48&gt;0,MOD(48,4)=0),INDEX(年度所得税!$D$240:$AH$240,1,48/4+1),0),0)</f>
        <v>-41.160970881714206</v>
      </c>
      <c r="BA176" s="9">
        <f>IF(49&lt;=核心参数输入!$B$9*4,BA157-IF(AND(49&gt;0,MOD(49,4)=0),INDEX(年度所得税!$D$240:$AH$240,1,49/4+1),0),0)</f>
        <v>-38.061057087815747</v>
      </c>
      <c r="BB176" s="9">
        <f>IF(50&lt;=核心参数输入!$B$9*4,BB157-IF(AND(50&gt;0,MOD(50,4)=0),INDEX(年度所得税!$D$240:$AH$240,1,50/4+1),0),0)</f>
        <v>-38.061057087815747</v>
      </c>
      <c r="BC176" s="9">
        <f>IF(51&lt;=核心参数输入!$B$9*4,BC157-IF(AND(51&gt;0,MOD(51,4)=0),INDEX(年度所得税!$D$240:$AH$240,1,51/4+1),0),0)</f>
        <v>-38.061057087815747</v>
      </c>
      <c r="BD176" s="9">
        <f>IF(52&lt;=核心参数输入!$B$9*4,BD157-IF(AND(52&gt;0,MOD(52,4)=0),INDEX(年度所得税!$D$240:$AH$240,1,52/4+1),0),0)</f>
        <v>-38.061057087815747</v>
      </c>
      <c r="BE176" s="9">
        <f>IF(53&lt;=核心参数输入!$B$9*4,BE157-IF(AND(53&gt;0,MOD(53,4)=0),INDEX(年度所得税!$D$240:$AH$240,1,53/4+1),0),0)</f>
        <v>-34.923432032366406</v>
      </c>
      <c r="BF176" s="9">
        <f>IF(54&lt;=核心参数输入!$B$9*4,BF157-IF(AND(54&gt;0,MOD(54,4)=0),INDEX(年度所得税!$D$240:$AH$240,1,54/4+1),0),0)</f>
        <v>-34.923432032366406</v>
      </c>
      <c r="BG176" s="9">
        <f>IF(55&lt;=核心参数输入!$B$9*4,BG157-IF(AND(55&gt;0,MOD(55,4)=0),INDEX(年度所得税!$D$240:$AH$240,1,55/4+1),0),0)</f>
        <v>-34.923432032366406</v>
      </c>
      <c r="BH176" s="9">
        <f>IF(56&lt;=核心参数输入!$B$9*4,BH157-IF(AND(56&gt;0,MOD(56,4)=0),INDEX(年度所得税!$D$240:$AH$240,1,56/4+1),0),0)</f>
        <v>-34.923432032366406</v>
      </c>
      <c r="BI176" s="9">
        <f>IF(57&lt;=核心参数输入!$B$9*4,BI157-IF(AND(57&gt;0,MOD(57,4)=0),INDEX(年度所得税!$D$240:$AH$240,1,57/4+1),0),0)</f>
        <v>-31.747705795350036</v>
      </c>
      <c r="BJ176" s="9">
        <f>IF(58&lt;=核心参数输入!$B$9*4,BJ157-IF(AND(58&gt;0,MOD(58,4)=0),INDEX(年度所得税!$D$240:$AH$240,1,58/4+1),0),0)</f>
        <v>-31.747705795350036</v>
      </c>
      <c r="BK176" s="9">
        <f>IF(59&lt;=核心参数输入!$B$9*4,BK157-IF(AND(59&gt;0,MOD(59,4)=0),INDEX(年度所得税!$D$240:$AH$240,1,59/4+1),0),0)</f>
        <v>-31.747705795350036</v>
      </c>
      <c r="BL176" s="9">
        <f>IF(60&lt;=核心参数输入!$B$9*4,BL157-IF(AND(60&gt;0,MOD(60,4)=0),INDEX(年度所得税!$D$240:$AH$240,1,60/4+1),0),0)</f>
        <v>-31.747705795350036</v>
      </c>
      <c r="BM176" s="9">
        <f>IF(61&lt;=核心参数输入!$B$9*4,BM157-IF(AND(61&gt;0,MOD(61,4)=0),INDEX(年度所得税!$D$240:$AH$240,1,61/4+1),0),0)</f>
        <v>-28.533486122928331</v>
      </c>
      <c r="BN176" s="9">
        <f>IF(62&lt;=核心参数输入!$B$9*4,BN157-IF(AND(62&gt;0,MOD(62,4)=0),INDEX(年度所得税!$D$240:$AH$240,1,62/4+1),0),0)</f>
        <v>-28.533486122928331</v>
      </c>
      <c r="BO176" s="9">
        <f>IF(63&lt;=核心参数输入!$B$9*4,BO157-IF(AND(63&gt;0,MOD(63,4)=0),INDEX(年度所得税!$D$240:$AH$240,1,63/4+1),0),0)</f>
        <v>-28.533486122928331</v>
      </c>
      <c r="BP176" s="9">
        <f>IF(64&lt;=核心参数输入!$B$9*4,BP157-IF(AND(64&gt;0,MOD(64,4)=0),INDEX(年度所得税!$D$240:$AH$240,1,64/4+1),0),0)</f>
        <v>-28.533486122928331</v>
      </c>
      <c r="BQ176" s="9">
        <f>IF(65&lt;=核心参数输入!$B$9*4,BQ157-IF(AND(65&gt;0,MOD(65,4)=0),INDEX(年度所得税!$D$240:$AH$240,1,65/4+1),0),0)</f>
        <v>-25.280378462733161</v>
      </c>
      <c r="BR176" s="9">
        <f>IF(66&lt;=核心参数输入!$B$9*4,BR157-IF(AND(66&gt;0,MOD(66,4)=0),INDEX(年度所得税!$D$240:$AH$240,1,66/4+1),0),0)</f>
        <v>-25.280378462733161</v>
      </c>
      <c r="BS176" s="9">
        <f>IF(67&lt;=核心参数输入!$B$9*4,BS157-IF(AND(67&gt;0,MOD(67,4)=0),INDEX(年度所得税!$D$240:$AH$240,1,67/4+1),0),0)</f>
        <v>-25.280378462733161</v>
      </c>
      <c r="BT176" s="9">
        <f>IF(68&lt;=核心参数输入!$B$9*4,BT157-IF(AND(68&gt;0,MOD(68,4)=0),INDEX(年度所得税!$D$240:$AH$240,1,68/4+1),0),0)</f>
        <v>-25.280378462733161</v>
      </c>
      <c r="BU176" s="9">
        <f>IF(69&lt;=核心参数输入!$B$9*4,BU157-IF(AND(69&gt;0,MOD(69,4)=0),INDEX(年度所得税!$D$240:$AH$240,1,69/4+1),0),0)</f>
        <v>-21.987986001094477</v>
      </c>
      <c r="BV176" s="9">
        <f>IF(70&lt;=核心参数输入!$B$9*4,BV157-IF(AND(70&gt;0,MOD(70,4)=0),INDEX(年度所得税!$D$240:$AH$240,1,70/4+1),0),0)</f>
        <v>-21.987986001094477</v>
      </c>
      <c r="BW176" s="9">
        <f>IF(71&lt;=核心参数输入!$B$9*4,BW157-IF(AND(71&gt;0,MOD(71,4)=0),INDEX(年度所得税!$D$240:$AH$240,1,71/4+1),0),0)</f>
        <v>-21.987986001094477</v>
      </c>
      <c r="BX176" s="9">
        <f>IF(72&lt;=核心参数输入!$B$9*4,BX157-IF(AND(72&gt;0,MOD(72,4)=0),INDEX(年度所得税!$D$240:$AH$240,1,72/4+1),0),0)</f>
        <v>-21.987986001094477</v>
      </c>
      <c r="BY176" s="9">
        <f>IF(73&lt;=核心参数输入!$B$9*4,BY157-IF(AND(73&gt;0,MOD(73,4)=0),INDEX(年度所得税!$D$240:$AH$240,1,73/4+1),0),0)</f>
        <v>-18.655909702259486</v>
      </c>
      <c r="BZ176" s="9">
        <f>IF(74&lt;=核心参数输入!$B$9*4,BZ157-IF(AND(74&gt;0,MOD(74,4)=0),INDEX(年度所得税!$D$240:$AH$240,1,74/4+1),0),0)</f>
        <v>-18.655909702259486</v>
      </c>
      <c r="CA176" s="9">
        <f>IF(75&lt;=核心参数输入!$B$9*4,CA157-IF(AND(75&gt;0,MOD(75,4)=0),INDEX(年度所得税!$D$240:$AH$240,1,75/4+1),0),0)</f>
        <v>-18.655909702259486</v>
      </c>
      <c r="CB176" s="9">
        <f>IF(76&lt;=核心参数输入!$B$9*4,CB157-IF(AND(76&gt;0,MOD(76,4)=0),INDEX(年度所得税!$D$240:$AH$240,1,76/4+1),0),0)</f>
        <v>-18.655909702259486</v>
      </c>
      <c r="CC176" s="9">
        <f>IF(77&lt;=核心参数输入!$B$9*4,CC157-IF(AND(77&gt;0,MOD(77,4)=0),INDEX(年度所得税!$D$240:$AH$240,1,77/4+1),0),0)</f>
        <v>-15.283748349664945</v>
      </c>
      <c r="CD176" s="9">
        <f>IF(78&lt;=核心参数输入!$B$9*4,CD157-IF(AND(78&gt;0,MOD(78,4)=0),INDEX(年度所得税!$D$240:$AH$240,1,78/4+1),0),0)</f>
        <v>-15.283748349664945</v>
      </c>
      <c r="CE176" s="9">
        <f>IF(79&lt;=核心参数输入!$B$9*4,CE157-IF(AND(79&gt;0,MOD(79,4)=0),INDEX(年度所得税!$D$240:$AH$240,1,79/4+1),0),0)</f>
        <v>-15.283748349664945</v>
      </c>
      <c r="CF176" s="9">
        <f>IF(80&lt;=核心参数输入!$B$9*4,CF157-IF(AND(80&gt;0,MOD(80,4)=0),INDEX(年度所得税!$D$240:$AH$240,1,80/4+1),0),0)</f>
        <v>-15.283748349664945</v>
      </c>
      <c r="CG176" s="9">
        <f>IF(81&lt;=核心参数输入!$B$9*4,CG157-IF(AND(81&gt;0,MOD(81,4)=0),INDEX(年度所得税!$D$240:$AH$240,1,81/4+1),0),0)</f>
        <v>0</v>
      </c>
      <c r="CH176" s="9">
        <f>IF(82&lt;=核心参数输入!$B$9*4,CH157-IF(AND(82&gt;0,MOD(82,4)=0),INDEX(年度所得税!$D$240:$AH$240,1,82/4+1),0),0)</f>
        <v>0</v>
      </c>
      <c r="CI176" s="9">
        <f>IF(83&lt;=核心参数输入!$B$9*4,CI157-IF(AND(83&gt;0,MOD(83,4)=0),INDEX(年度所得税!$D$240:$AH$240,1,83/4+1),0),0)</f>
        <v>0</v>
      </c>
      <c r="CJ176" s="9">
        <f>IF(84&lt;=核心参数输入!$B$9*4,CJ157-IF(AND(84&gt;0,MOD(84,4)=0),INDEX(年度所得税!$D$240:$AH$240,1,84/4+1),0),0)</f>
        <v>0</v>
      </c>
      <c r="CK176" s="9">
        <f>IF(85&lt;=核心参数输入!$B$9*4,CK157-IF(AND(85&gt;0,MOD(85,4)=0),INDEX(年度所得税!$D$240:$AH$240,1,85/4+1),0),0)</f>
        <v>0</v>
      </c>
      <c r="CL176" s="9">
        <f>IF(86&lt;=核心参数输入!$B$9*4,CL157-IF(AND(86&gt;0,MOD(86,4)=0),INDEX(年度所得税!$D$240:$AH$240,1,86/4+1),0),0)</f>
        <v>0</v>
      </c>
      <c r="CM176" s="9">
        <f>IF(87&lt;=核心参数输入!$B$9*4,CM157-IF(AND(87&gt;0,MOD(87,4)=0),INDEX(年度所得税!$D$240:$AH$240,1,87/4+1),0),0)</f>
        <v>0</v>
      </c>
      <c r="CN176" s="9">
        <f>IF(88&lt;=核心参数输入!$B$9*4,CN157-IF(AND(88&gt;0,MOD(88,4)=0),INDEX(年度所得税!$D$240:$AH$240,1,88/4+1),0),0)</f>
        <v>0</v>
      </c>
      <c r="CO176" s="9">
        <f>IF(89&lt;=核心参数输入!$B$9*4,CO157-IF(AND(89&gt;0,MOD(89,4)=0),INDEX(年度所得税!$D$240:$AH$240,1,89/4+1),0),0)</f>
        <v>0</v>
      </c>
      <c r="CP176" s="9">
        <f>IF(90&lt;=核心参数输入!$B$9*4,CP157-IF(AND(90&gt;0,MOD(90,4)=0),INDEX(年度所得税!$D$240:$AH$240,1,90/4+1),0),0)</f>
        <v>0</v>
      </c>
      <c r="CQ176" s="9">
        <f>IF(91&lt;=核心参数输入!$B$9*4,CQ157-IF(AND(91&gt;0,MOD(91,4)=0),INDEX(年度所得税!$D$240:$AH$240,1,91/4+1),0),0)</f>
        <v>0</v>
      </c>
      <c r="CR176" s="9">
        <f>IF(92&lt;=核心参数输入!$B$9*4,CR157-IF(AND(92&gt;0,MOD(92,4)=0),INDEX(年度所得税!$D$240:$AH$240,1,92/4+1),0),0)</f>
        <v>0</v>
      </c>
      <c r="CS176" s="9">
        <f>IF(93&lt;=核心参数输入!$B$9*4,CS157-IF(AND(93&gt;0,MOD(93,4)=0),INDEX(年度所得税!$D$240:$AH$240,1,93/4+1),0),0)</f>
        <v>0</v>
      </c>
      <c r="CT176" s="9">
        <f>IF(94&lt;=核心参数输入!$B$9*4,CT157-IF(AND(94&gt;0,MOD(94,4)=0),INDEX(年度所得税!$D$240:$AH$240,1,94/4+1),0),0)</f>
        <v>0</v>
      </c>
      <c r="CU176" s="9">
        <f>IF(95&lt;=核心参数输入!$B$9*4,CU157-IF(AND(95&gt;0,MOD(95,4)=0),INDEX(年度所得税!$D$240:$AH$240,1,95/4+1),0),0)</f>
        <v>0</v>
      </c>
      <c r="CV176" s="9">
        <f>IF(96&lt;=核心参数输入!$B$9*4,CV157-IF(AND(96&gt;0,MOD(96,4)=0),INDEX(年度所得税!$D$240:$AH$240,1,96/4+1),0),0)</f>
        <v>0</v>
      </c>
      <c r="CW176" s="9">
        <f>IF(97&lt;=核心参数输入!$B$9*4,CW157-IF(AND(97&gt;0,MOD(97,4)=0),INDEX(年度所得税!$D$240:$AH$240,1,97/4+1),0),0)</f>
        <v>0</v>
      </c>
      <c r="CX176" s="9">
        <f>IF(98&lt;=核心参数输入!$B$9*4,CX157-IF(AND(98&gt;0,MOD(98,4)=0),INDEX(年度所得税!$D$240:$AH$240,1,98/4+1),0),0)</f>
        <v>0</v>
      </c>
      <c r="CY176" s="9">
        <f>IF(99&lt;=核心参数输入!$B$9*4,CY157-IF(AND(99&gt;0,MOD(99,4)=0),INDEX(年度所得税!$D$240:$AH$240,1,99/4+1),0),0)</f>
        <v>0</v>
      </c>
      <c r="CZ176" s="9">
        <f>IF(100&lt;=核心参数输入!$B$9*4,CZ157-IF(AND(100&gt;0,MOD(100,4)=0),INDEX(年度所得税!$D$240:$AH$240,1,100/4+1),0),0)</f>
        <v>0</v>
      </c>
      <c r="DA176" s="9">
        <f>IF(101&lt;=核心参数输入!$B$9*4,DA157-IF(AND(101&gt;0,MOD(101,4)=0),INDEX(年度所得税!$D$240:$AH$240,1,101/4+1),0),0)</f>
        <v>0</v>
      </c>
      <c r="DB176" s="9">
        <f>IF(102&lt;=核心参数输入!$B$9*4,DB157-IF(AND(102&gt;0,MOD(102,4)=0),INDEX(年度所得税!$D$240:$AH$240,1,102/4+1),0),0)</f>
        <v>0</v>
      </c>
      <c r="DC176" s="9">
        <f>IF(103&lt;=核心参数输入!$B$9*4,DC157-IF(AND(103&gt;0,MOD(103,4)=0),INDEX(年度所得税!$D$240:$AH$240,1,103/4+1),0),0)</f>
        <v>0</v>
      </c>
      <c r="DD176" s="9">
        <f>IF(104&lt;=核心参数输入!$B$9*4,DD157-IF(AND(104&gt;0,MOD(104,4)=0),INDEX(年度所得税!$D$240:$AH$240,1,104/4+1),0),0)</f>
        <v>0</v>
      </c>
      <c r="DE176" s="9">
        <f>IF(105&lt;=核心参数输入!$B$9*4,DE157-IF(AND(105&gt;0,MOD(105,4)=0),INDEX(年度所得税!$D$240:$AH$240,1,105/4+1),0),0)</f>
        <v>0</v>
      </c>
      <c r="DF176" s="9">
        <f>IF(106&lt;=核心参数输入!$B$9*4,DF157-IF(AND(106&gt;0,MOD(106,4)=0),INDEX(年度所得税!$D$240:$AH$240,1,106/4+1),0),0)</f>
        <v>0</v>
      </c>
      <c r="DG176" s="9">
        <f>IF(107&lt;=核心参数输入!$B$9*4,DG157-IF(AND(107&gt;0,MOD(107,4)=0),INDEX(年度所得税!$D$240:$AH$240,1,107/4+1),0),0)</f>
        <v>0</v>
      </c>
      <c r="DH176" s="9">
        <f>IF(108&lt;=核心参数输入!$B$9*4,DH157-IF(AND(108&gt;0,MOD(108,4)=0),INDEX(年度所得税!$D$240:$AH$240,1,108/4+1),0),0)</f>
        <v>0</v>
      </c>
      <c r="DI176" s="9">
        <f>IF(109&lt;=核心参数输入!$B$9*4,DI157-IF(AND(109&gt;0,MOD(109,4)=0),INDEX(年度所得税!$D$240:$AH$240,1,109/4+1),0),0)</f>
        <v>0</v>
      </c>
      <c r="DJ176" s="9">
        <f>IF(110&lt;=核心参数输入!$B$9*4,DJ157-IF(AND(110&gt;0,MOD(110,4)=0),INDEX(年度所得税!$D$240:$AH$240,1,110/4+1),0),0)</f>
        <v>0</v>
      </c>
      <c r="DK176" s="9">
        <f>IF(111&lt;=核心参数输入!$B$9*4,DK157-IF(AND(111&gt;0,MOD(111,4)=0),INDEX(年度所得税!$D$240:$AH$240,1,111/4+1),0),0)</f>
        <v>0</v>
      </c>
      <c r="DL176" s="9">
        <f>IF(112&lt;=核心参数输入!$B$9*4,DL157-IF(AND(112&gt;0,MOD(112,4)=0),INDEX(年度所得税!$D$240:$AH$240,1,112/4+1),0),0)</f>
        <v>0</v>
      </c>
      <c r="DM176" s="9">
        <f>IF(113&lt;=核心参数输入!$B$9*4,DM157-IF(AND(113&gt;0,MOD(113,4)=0),INDEX(年度所得税!$D$240:$AH$240,1,113/4+1),0),0)</f>
        <v>0</v>
      </c>
      <c r="DN176" s="9">
        <f>IF(114&lt;=核心参数输入!$B$9*4,DN157-IF(AND(114&gt;0,MOD(114,4)=0),INDEX(年度所得税!$D$240:$AH$240,1,114/4+1),0),0)</f>
        <v>0</v>
      </c>
      <c r="DO176" s="9">
        <f>IF(115&lt;=核心参数输入!$B$9*4,DO157-IF(AND(115&gt;0,MOD(115,4)=0),INDEX(年度所得税!$D$240:$AH$240,1,115/4+1),0),0)</f>
        <v>0</v>
      </c>
      <c r="DP176" s="9">
        <f>IF(116&lt;=核心参数输入!$B$9*4,DP157-IF(AND(116&gt;0,MOD(116,4)=0),INDEX(年度所得税!$D$240:$AH$240,1,116/4+1),0),0)</f>
        <v>0</v>
      </c>
      <c r="DQ176" s="9">
        <f>IF(117&lt;=核心参数输入!$B$9*4,DQ157-IF(AND(117&gt;0,MOD(117,4)=0),INDEX(年度所得税!$D$240:$AH$240,1,117/4+1),0),0)</f>
        <v>0</v>
      </c>
      <c r="DR176" s="9">
        <f>IF(118&lt;=核心参数输入!$B$9*4,DR157-IF(AND(118&gt;0,MOD(118,4)=0),INDEX(年度所得税!$D$240:$AH$240,1,118/4+1),0),0)</f>
        <v>0</v>
      </c>
      <c r="DS176" s="9">
        <f>IF(119&lt;=核心参数输入!$B$9*4,DS157-IF(AND(119&gt;0,MOD(119,4)=0),INDEX(年度所得税!$D$240:$AH$240,1,119/4+1),0),0)</f>
        <v>0</v>
      </c>
      <c r="DT176" s="9">
        <f>IF(120&lt;=核心参数输入!$B$9*4,DT157-IF(AND(120&gt;0,MOD(120,4)=0),INDEX(年度所得税!$D$240:$AH$240,1,120/4+1),0),0)</f>
        <v>0</v>
      </c>
    </row>
    <row r="177" spans="1:124" ht="21" customHeight="1">
      <c r="A177" s="8" t="s">
        <v>498</v>
      </c>
      <c r="B177" s="8" t="s">
        <v>39</v>
      </c>
      <c r="C177" s="8"/>
      <c r="D177" s="9">
        <f>IF(0&lt;=核心参数输入!$B$9*4,D157+D171-IF(AND(0&gt;0,MOD(0,4)=0),INDEX(年度所得税!$D$244:$AH$244,1,0/4+1),0),0)</f>
        <v>0</v>
      </c>
      <c r="E177" s="9">
        <f>IF(1&lt;=核心参数输入!$B$9*4,E157+E171-IF(AND(1&gt;0,MOD(1,4)=0),INDEX(年度所得税!$D$244:$AH$244,1,1/4+1),0),0)</f>
        <v>0</v>
      </c>
      <c r="F177" s="9">
        <f>IF(2&lt;=核心参数输入!$B$9*4,F157+F171-IF(AND(2&gt;0,MOD(2,4)=0),INDEX(年度所得税!$D$244:$AH$244,1,2/4+1),0),0)</f>
        <v>0</v>
      </c>
      <c r="G177" s="9">
        <f>IF(3&lt;=核心参数输入!$B$9*4,G157+G171-IF(AND(3&gt;0,MOD(3,4)=0),INDEX(年度所得税!$D$244:$AH$244,1,3/4+1),0),0)</f>
        <v>0</v>
      </c>
      <c r="H177" s="9">
        <f>IF(4&lt;=核心参数输入!$B$9*4,H157+H171-IF(AND(4&gt;0,MOD(4,4)=0),INDEX(年度所得税!$D$244:$AH$244,1,4/4+1),0),0)</f>
        <v>0</v>
      </c>
      <c r="I177" s="9">
        <f>IF(5&lt;=核心参数输入!$B$9*4,I157+I171-IF(AND(5&gt;0,MOD(5,4)=0),INDEX(年度所得税!$D$244:$AH$244,1,5/4+1),0),0)</f>
        <v>0</v>
      </c>
      <c r="J177" s="9">
        <f>IF(6&lt;=核心参数输入!$B$9*4,J157+J171-IF(AND(6&gt;0,MOD(6,4)=0),INDEX(年度所得税!$D$244:$AH$244,1,6/4+1),0),0)</f>
        <v>0</v>
      </c>
      <c r="K177" s="9">
        <f>IF(7&lt;=核心参数输入!$B$9*4,K157+K171-IF(AND(7&gt;0,MOD(7,4)=0),INDEX(年度所得税!$D$244:$AH$244,1,7/4+1),0),0)</f>
        <v>0</v>
      </c>
      <c r="L177" s="9">
        <f>IF(8&lt;=核心参数输入!$B$9*4,L157+L171-IF(AND(8&gt;0,MOD(8,4)=0),INDEX(年度所得税!$D$244:$AH$244,1,8/4+1),0),0)</f>
        <v>0</v>
      </c>
      <c r="M177" s="9">
        <f>IF(9&lt;=核心参数输入!$B$9*4,M157+M171-IF(AND(9&gt;0,MOD(9,4)=0),INDEX(年度所得税!$D$244:$AH$244,1,9/4+1),0),0)</f>
        <v>0</v>
      </c>
      <c r="N177" s="9">
        <f>IF(10&lt;=核心参数输入!$B$9*4,N157+N171-IF(AND(10&gt;0,MOD(10,4)=0),INDEX(年度所得税!$D$244:$AH$244,1,10/4+1),0),0)</f>
        <v>0</v>
      </c>
      <c r="O177" s="9">
        <f>IF(11&lt;=核心参数输入!$B$9*4,O157+O171-IF(AND(11&gt;0,MOD(11,4)=0),INDEX(年度所得税!$D$244:$AH$244,1,11/4+1),0),0)</f>
        <v>0</v>
      </c>
      <c r="P177" s="9">
        <f>IF(12&lt;=核心参数输入!$B$9*4,P157+P171-IF(AND(12&gt;0,MOD(12,4)=0),INDEX(年度所得税!$D$244:$AH$244,1,12/4+1),0),0)</f>
        <v>0</v>
      </c>
      <c r="Q177" s="9">
        <f>IF(13&lt;=核心参数输入!$B$9*4,Q157+Q171-IF(AND(13&gt;0,MOD(13,4)=0),INDEX(年度所得税!$D$244:$AH$244,1,13/4+1),0),0)</f>
        <v>-560.66259375000027</v>
      </c>
      <c r="R177" s="9">
        <f>IF(14&lt;=核心参数输入!$B$9*4,R157+R171-IF(AND(14&gt;0,MOD(14,4)=0),INDEX(年度所得税!$D$244:$AH$244,1,14/4+1),0),0)</f>
        <v>-542.69604976500023</v>
      </c>
      <c r="S177" s="9">
        <f>IF(15&lt;=核心参数输入!$B$9*4,S157+S171-IF(AND(15&gt;0,MOD(15,4)=0),INDEX(年度所得税!$D$244:$AH$244,1,15/4+1),0),0)</f>
        <v>-506.76296179500059</v>
      </c>
      <c r="T177" s="9">
        <f>IF(16&lt;=核心参数输入!$B$9*4,T157+T171-IF(AND(16&gt;0,MOD(16,4)=0),INDEX(年度所得税!$D$244:$AH$244,1,16/4+1),0),0)</f>
        <v>-448.32987382500005</v>
      </c>
      <c r="U177" s="9">
        <f>IF(17&lt;=核心参数输入!$B$9*4,U157+U171-IF(AND(17&gt;0,MOD(17,4)=0),INDEX(年度所得税!$D$244:$AH$244,1,17/4+1),0),0)</f>
        <v>-354.02670498657528</v>
      </c>
      <c r="V177" s="9">
        <f>IF(18&lt;=核心参数输入!$B$9*4,V157+V171-IF(AND(18&gt;0,MOD(18,4)=0),INDEX(年度所得税!$D$244:$AH$244,1,18/4+1),0),0)</f>
        <v>-326.67264176941308</v>
      </c>
      <c r="W177" s="9">
        <f>IF(19&lt;=核心参数输入!$B$9*4,W157+W171-IF(AND(19&gt;0,MOD(19,4)=0),INDEX(年度所得税!$D$244:$AH$244,1,19/4+1),0),0)</f>
        <v>-308.43659962463795</v>
      </c>
      <c r="X177" s="9">
        <f>IF(20&lt;=核心参数输入!$B$9*4,X157+X171-IF(AND(20&gt;0,MOD(20,4)=0),INDEX(年度所得税!$D$244:$AH$244,1,20/4+1),0),0)</f>
        <v>-267.70055747986288</v>
      </c>
      <c r="Y177" s="9">
        <f>IF(21&lt;=核心参数输入!$B$9*4,Y157+Y171-IF(AND(21&gt;0,MOD(21,4)=0),INDEX(年度所得税!$D$244:$AH$244,1,21/4+1),0),0)</f>
        <v>-260.83239181511448</v>
      </c>
      <c r="Z177" s="9">
        <f>IF(22&lt;=核心参数输入!$B$9*4,Z157+Z171-IF(AND(22&gt;0,MOD(22,4)=0),INDEX(年度所得税!$D$244:$AH$244,1,22/4+1),0),0)</f>
        <v>-244.63650688528614</v>
      </c>
      <c r="AA177" s="9">
        <f>IF(23&lt;=核心参数输入!$B$9*4,AA157+AA171-IF(AND(23&gt;0,MOD(23,4)=0),INDEX(年度所得税!$D$244:$AH$244,1,23/4+1),0),0)</f>
        <v>-230.75431980257579</v>
      </c>
      <c r="AB177" s="9">
        <f>IF(24&lt;=核心参数输入!$B$9*4,AB157+AB171-IF(AND(24&gt;0,MOD(24,4)=0),INDEX(年度所得税!$D$244:$AH$244,1,24/4+1),0),0)</f>
        <v>-194.37213271986641</v>
      </c>
      <c r="AC177" s="9">
        <f>IF(25&lt;=核心参数输入!$B$9*4,AC157+AC171-IF(AND(25&gt;0,MOD(25,4)=0),INDEX(年度所得税!$D$244:$AH$244,1,25/4+1),0),0)</f>
        <v>-261.94078716546306</v>
      </c>
      <c r="AD177" s="9">
        <f>IF(26&lt;=核心参数输入!$B$9*4,AD157+AD171-IF(AND(26&gt;0,MOD(26,4)=0),INDEX(年度所得税!$D$244:$AH$244,1,26/4+1),0),0)</f>
        <v>-252.54717390616264</v>
      </c>
      <c r="AE177" s="9">
        <f>IF(27&lt;=核心参数输入!$B$9*4,AE157+AE171-IF(AND(27&gt;0,MOD(27,4)=0),INDEX(年度所得税!$D$244:$AH$244,1,27/4+1),0),0)</f>
        <v>-247.8503672765124</v>
      </c>
      <c r="AF177" s="9">
        <f>IF(28&lt;=核心参数输入!$B$9*4,AF157+AF171-IF(AND(28&gt;0,MOD(28,4)=0),INDEX(年度所得税!$D$244:$AH$244,1,28/4+1),0),0)</f>
        <v>-220.65356064686216</v>
      </c>
      <c r="AG177" s="9">
        <f>IF(29&lt;=核心参数输入!$B$9*4,AG157+AG171-IF(AND(29&gt;0,MOD(29,4)=0),INDEX(年度所得税!$D$244:$AH$244,1,29/4+1),0),0)</f>
        <v>-190.57485770247015</v>
      </c>
      <c r="AH177" s="9">
        <f>IF(30&lt;=核心参数输入!$B$9*4,AH157+AH171-IF(AND(30&gt;0,MOD(30,4)=0),INDEX(年度所得税!$D$244:$AH$244,1,30/4+1),0),0)</f>
        <v>-188.19122833792269</v>
      </c>
      <c r="AI177" s="9">
        <f>IF(31&lt;=核心参数输入!$B$9*4,AI157+AI171-IF(AND(31&gt;0,MOD(31,4)=0),INDEX(年度所得税!$D$244:$AH$244,1,31/4+1),0),0)</f>
        <v>-188.19122833792269</v>
      </c>
      <c r="AJ177" s="9">
        <f>IF(32&lt;=核心参数输入!$B$9*4,AJ157+AJ171-IF(AND(32&gt;0,MOD(32,4)=0),INDEX(年度所得税!$D$244:$AH$244,1,32/4+1),0),0)</f>
        <v>-165.69122833792267</v>
      </c>
      <c r="AK177" s="9">
        <f>IF(33&lt;=核心参数输入!$B$9*4,AK157+AK171-IF(AND(33&gt;0,MOD(33,4)=0),INDEX(年度所得税!$D$244:$AH$244,1,33/4+1),0),0)</f>
        <v>-140.2383081979915</v>
      </c>
      <c r="AL177" s="9">
        <f>IF(34&lt;=核心参数输入!$B$9*4,AL157+AL171-IF(AND(34&gt;0,MOD(34,4)=0),INDEX(年度所得税!$D$244:$AH$244,1,34/4+1),0),0)</f>
        <v>-140.2383081979915</v>
      </c>
      <c r="AM177" s="9">
        <f>IF(35&lt;=核心参数输入!$B$9*4,AM157+AM171-IF(AND(35&gt;0,MOD(35,4)=0),INDEX(年度所得税!$D$244:$AH$244,1,35/4+1),0),0)</f>
        <v>-140.2383081979915</v>
      </c>
      <c r="AN177" s="9">
        <f>IF(36&lt;=核心参数输入!$B$9*4,AN157+AN171-IF(AND(36&gt;0,MOD(36,4)=0),INDEX(年度所得税!$D$244:$AH$244,1,36/4+1),0),0)</f>
        <v>-117.7383081979915</v>
      </c>
      <c r="AO177" s="9">
        <f>IF(37&lt;=核心参数输入!$B$9*4,AO157+AO171-IF(AND(37&gt;0,MOD(37,4)=0),INDEX(年度所得税!$D$244:$AH$244,1,37/4+1),0),0)</f>
        <v>-92.249212497161466</v>
      </c>
      <c r="AP177" s="9">
        <f>IF(38&lt;=核心参数输入!$B$9*4,AP157+AP171-IF(AND(38&gt;0,MOD(38,4)=0),INDEX(年度所得税!$D$244:$AH$244,1,38/4+1),0),0)</f>
        <v>-92.249212497161466</v>
      </c>
      <c r="AQ177" s="9">
        <f>IF(39&lt;=核心参数输入!$B$9*4,AQ157+AQ171-IF(AND(39&gt;0,MOD(39,4)=0),INDEX(年度所得税!$D$244:$AH$244,1,39/4+1),0),0)</f>
        <v>-92.249212497161466</v>
      </c>
      <c r="AR177" s="9">
        <f>IF(40&lt;=核心参数输入!$B$9*4,AR157+AR171-IF(AND(40&gt;0,MOD(40,4)=0),INDEX(年度所得税!$D$244:$AH$244,1,40/4+1),0),0)</f>
        <v>-69.74921249716148</v>
      </c>
      <c r="AS177" s="9">
        <f>IF(41&lt;=核心参数输入!$B$9*4,AS157+AS171-IF(AND(41&gt;0,MOD(41,4)=0),INDEX(年度所得税!$D$244:$AH$244,1,41/4+1),0),0)</f>
        <v>-44.223560966842967</v>
      </c>
      <c r="AT177" s="9">
        <f>IF(42&lt;=核心参数输入!$B$9*4,AT157+AT171-IF(AND(42&gt;0,MOD(42,4)=0),INDEX(年度所得税!$D$244:$AH$244,1,42/4+1),0),0)</f>
        <v>-44.223560966842967</v>
      </c>
      <c r="AU177" s="9">
        <f>IF(43&lt;=核心参数输入!$B$9*4,AU157+AU171-IF(AND(43&gt;0,MOD(43,4)=0),INDEX(年度所得税!$D$244:$AH$244,1,43/4+1),0),0)</f>
        <v>-44.223560966842967</v>
      </c>
      <c r="AV177" s="9">
        <f>IF(44&lt;=核心参数输入!$B$9*4,AV157+AV171-IF(AND(44&gt;0,MOD(44,4)=0),INDEX(年度所得税!$D$244:$AH$244,1,44/4+1),0),0)</f>
        <v>-44.223560966842967</v>
      </c>
      <c r="AW177" s="9">
        <f>IF(45&lt;=核心参数输入!$B$9*4,AW157+AW171-IF(AND(45&gt;0,MOD(45,4)=0),INDEX(年度所得税!$D$244:$AH$244,1,45/4+1),0),0)</f>
        <v>-41.160970881714206</v>
      </c>
      <c r="AX177" s="9">
        <f>IF(46&lt;=核心参数输入!$B$9*4,AX157+AX171-IF(AND(46&gt;0,MOD(46,4)=0),INDEX(年度所得税!$D$244:$AH$244,1,46/4+1),0),0)</f>
        <v>-41.160970881714206</v>
      </c>
      <c r="AY177" s="9">
        <f>IF(47&lt;=核心参数输入!$B$9*4,AY157+AY171-IF(AND(47&gt;0,MOD(47,4)=0),INDEX(年度所得税!$D$244:$AH$244,1,47/4+1),0),0)</f>
        <v>-41.160970881714206</v>
      </c>
      <c r="AZ177" s="9">
        <f>IF(48&lt;=核心参数输入!$B$9*4,AZ157+AZ171-IF(AND(48&gt;0,MOD(48,4)=0),INDEX(年度所得税!$D$244:$AH$244,1,48/4+1),0),0)</f>
        <v>-41.160970881714206</v>
      </c>
      <c r="BA177" s="9">
        <f>IF(49&lt;=核心参数输入!$B$9*4,BA157+BA171-IF(AND(49&gt;0,MOD(49,4)=0),INDEX(年度所得税!$D$244:$AH$244,1,49/4+1),0),0)</f>
        <v>-38.061057087815747</v>
      </c>
      <c r="BB177" s="9">
        <f>IF(50&lt;=核心参数输入!$B$9*4,BB157+BB171-IF(AND(50&gt;0,MOD(50,4)=0),INDEX(年度所得税!$D$244:$AH$244,1,50/4+1),0),0)</f>
        <v>-38.061057087815747</v>
      </c>
      <c r="BC177" s="9">
        <f>IF(51&lt;=核心参数输入!$B$9*4,BC157+BC171-IF(AND(51&gt;0,MOD(51,4)=0),INDEX(年度所得税!$D$244:$AH$244,1,51/4+1),0),0)</f>
        <v>-38.061057087815747</v>
      </c>
      <c r="BD177" s="9">
        <f>IF(52&lt;=核心参数输入!$B$9*4,BD157+BD171-IF(AND(52&gt;0,MOD(52,4)=0),INDEX(年度所得税!$D$244:$AH$244,1,52/4+1),0),0)</f>
        <v>-38.061057087815747</v>
      </c>
      <c r="BE177" s="9">
        <f>IF(53&lt;=核心参数输入!$B$9*4,BE157+BE171-IF(AND(53&gt;0,MOD(53,4)=0),INDEX(年度所得税!$D$244:$AH$244,1,53/4+1),0),0)</f>
        <v>-34.923432032366406</v>
      </c>
      <c r="BF177" s="9">
        <f>IF(54&lt;=核心参数输入!$B$9*4,BF157+BF171-IF(AND(54&gt;0,MOD(54,4)=0),INDEX(年度所得税!$D$244:$AH$244,1,54/4+1),0),0)</f>
        <v>-34.923432032366406</v>
      </c>
      <c r="BG177" s="9">
        <f>IF(55&lt;=核心参数输入!$B$9*4,BG157+BG171-IF(AND(55&gt;0,MOD(55,4)=0),INDEX(年度所得税!$D$244:$AH$244,1,55/4+1),0),0)</f>
        <v>-34.923432032366406</v>
      </c>
      <c r="BH177" s="9">
        <f>IF(56&lt;=核心参数输入!$B$9*4,BH157+BH171-IF(AND(56&gt;0,MOD(56,4)=0),INDEX(年度所得税!$D$244:$AH$244,1,56/4+1),0),0)</f>
        <v>-34.923432032366406</v>
      </c>
      <c r="BI177" s="9">
        <f>IF(57&lt;=核心参数输入!$B$9*4,BI157+BI171-IF(AND(57&gt;0,MOD(57,4)=0),INDEX(年度所得税!$D$244:$AH$244,1,57/4+1),0),0)</f>
        <v>-31.747705795350036</v>
      </c>
      <c r="BJ177" s="9">
        <f>IF(58&lt;=核心参数输入!$B$9*4,BJ157+BJ171-IF(AND(58&gt;0,MOD(58,4)=0),INDEX(年度所得税!$D$244:$AH$244,1,58/4+1),0),0)</f>
        <v>-31.747705795350036</v>
      </c>
      <c r="BK177" s="9">
        <f>IF(59&lt;=核心参数输入!$B$9*4,BK157+BK171-IF(AND(59&gt;0,MOD(59,4)=0),INDEX(年度所得税!$D$244:$AH$244,1,59/4+1),0),0)</f>
        <v>-31.747705795350036</v>
      </c>
      <c r="BL177" s="9">
        <f>IF(60&lt;=核心参数输入!$B$9*4,BL157+BL171-IF(AND(60&gt;0,MOD(60,4)=0),INDEX(年度所得税!$D$244:$AH$244,1,60/4+1),0),0)</f>
        <v>-31.747705795350036</v>
      </c>
      <c r="BM177" s="9">
        <f>IF(61&lt;=核心参数输入!$B$9*4,BM157+BM171-IF(AND(61&gt;0,MOD(61,4)=0),INDEX(年度所得税!$D$244:$AH$244,1,61/4+1),0),0)</f>
        <v>-28.533486122928331</v>
      </c>
      <c r="BN177" s="9">
        <f>IF(62&lt;=核心参数输入!$B$9*4,BN157+BN171-IF(AND(62&gt;0,MOD(62,4)=0),INDEX(年度所得税!$D$244:$AH$244,1,62/4+1),0),0)</f>
        <v>-28.533486122928331</v>
      </c>
      <c r="BO177" s="9">
        <f>IF(63&lt;=核心参数输入!$B$9*4,BO157+BO171-IF(AND(63&gt;0,MOD(63,4)=0),INDEX(年度所得税!$D$244:$AH$244,1,63/4+1),0),0)</f>
        <v>-28.533486122928331</v>
      </c>
      <c r="BP177" s="9">
        <f>IF(64&lt;=核心参数输入!$B$9*4,BP157+BP171-IF(AND(64&gt;0,MOD(64,4)=0),INDEX(年度所得税!$D$244:$AH$244,1,64/4+1),0),0)</f>
        <v>-28.533486122928331</v>
      </c>
      <c r="BQ177" s="9">
        <f>IF(65&lt;=核心参数输入!$B$9*4,BQ157+BQ171-IF(AND(65&gt;0,MOD(65,4)=0),INDEX(年度所得税!$D$244:$AH$244,1,65/4+1),0),0)</f>
        <v>-25.280378462733161</v>
      </c>
      <c r="BR177" s="9">
        <f>IF(66&lt;=核心参数输入!$B$9*4,BR157+BR171-IF(AND(66&gt;0,MOD(66,4)=0),INDEX(年度所得税!$D$244:$AH$244,1,66/4+1),0),0)</f>
        <v>-25.280378462733161</v>
      </c>
      <c r="BS177" s="9">
        <f>IF(67&lt;=核心参数输入!$B$9*4,BS157+BS171-IF(AND(67&gt;0,MOD(67,4)=0),INDEX(年度所得税!$D$244:$AH$244,1,67/4+1),0),0)</f>
        <v>-25.280378462733161</v>
      </c>
      <c r="BT177" s="9">
        <f>IF(68&lt;=核心参数输入!$B$9*4,BT157+BT171-IF(AND(68&gt;0,MOD(68,4)=0),INDEX(年度所得税!$D$244:$AH$244,1,68/4+1),0),0)</f>
        <v>-25.280378462733161</v>
      </c>
      <c r="BU177" s="9">
        <f>IF(69&lt;=核心参数输入!$B$9*4,BU157+BU171-IF(AND(69&gt;0,MOD(69,4)=0),INDEX(年度所得税!$D$244:$AH$244,1,69/4+1),0),0)</f>
        <v>-21.987986001094477</v>
      </c>
      <c r="BV177" s="9">
        <f>IF(70&lt;=核心参数输入!$B$9*4,BV157+BV171-IF(AND(70&gt;0,MOD(70,4)=0),INDEX(年度所得税!$D$244:$AH$244,1,70/4+1),0),0)</f>
        <v>-21.987986001094477</v>
      </c>
      <c r="BW177" s="9">
        <f>IF(71&lt;=核心参数输入!$B$9*4,BW157+BW171-IF(AND(71&gt;0,MOD(71,4)=0),INDEX(年度所得税!$D$244:$AH$244,1,71/4+1),0),0)</f>
        <v>-21.987986001094477</v>
      </c>
      <c r="BX177" s="9">
        <f>IF(72&lt;=核心参数输入!$B$9*4,BX157+BX171-IF(AND(72&gt;0,MOD(72,4)=0),INDEX(年度所得税!$D$244:$AH$244,1,72/4+1),0),0)</f>
        <v>-21.987986001094477</v>
      </c>
      <c r="BY177" s="9">
        <f>IF(73&lt;=核心参数输入!$B$9*4,BY157+BY171-IF(AND(73&gt;0,MOD(73,4)=0),INDEX(年度所得税!$D$244:$AH$244,1,73/4+1),0),0)</f>
        <v>-18.655909702259486</v>
      </c>
      <c r="BZ177" s="9">
        <f>IF(74&lt;=核心参数输入!$B$9*4,BZ157+BZ171-IF(AND(74&gt;0,MOD(74,4)=0),INDEX(年度所得税!$D$244:$AH$244,1,74/4+1),0),0)</f>
        <v>-18.655909702259486</v>
      </c>
      <c r="CA177" s="9">
        <f>IF(75&lt;=核心参数输入!$B$9*4,CA157+CA171-IF(AND(75&gt;0,MOD(75,4)=0),INDEX(年度所得税!$D$244:$AH$244,1,75/4+1),0),0)</f>
        <v>-18.655909702259486</v>
      </c>
      <c r="CB177" s="9">
        <f>IF(76&lt;=核心参数输入!$B$9*4,CB157+CB171-IF(AND(76&gt;0,MOD(76,4)=0),INDEX(年度所得税!$D$244:$AH$244,1,76/4+1),0),0)</f>
        <v>-18.655909702259486</v>
      </c>
      <c r="CC177" s="9">
        <f>IF(77&lt;=核心参数输入!$B$9*4,CC157+CC171-IF(AND(77&gt;0,MOD(77,4)=0),INDEX(年度所得税!$D$244:$AH$244,1,77/4+1),0),0)</f>
        <v>-15.283748349664945</v>
      </c>
      <c r="CD177" s="9">
        <f>IF(78&lt;=核心参数输入!$B$9*4,CD157+CD171-IF(AND(78&gt;0,MOD(78,4)=0),INDEX(年度所得税!$D$244:$AH$244,1,78/4+1),0),0)</f>
        <v>-15.283748349664945</v>
      </c>
      <c r="CE177" s="9">
        <f>IF(79&lt;=核心参数输入!$B$9*4,CE157+CE171-IF(AND(79&gt;0,MOD(79,4)=0),INDEX(年度所得税!$D$244:$AH$244,1,79/4+1),0),0)</f>
        <v>-15.283748349664945</v>
      </c>
      <c r="CF177" s="9">
        <f>IF(80&lt;=核心参数输入!$B$9*4,CF157+CF171-IF(AND(80&gt;0,MOD(80,4)=0),INDEX(年度所得税!$D$244:$AH$244,1,80/4+1),0),0)</f>
        <v>10804.562591084388</v>
      </c>
      <c r="CG177" s="9">
        <f>IF(81&lt;=核心参数输入!$B$9*4,CG157+CG171-IF(AND(81&gt;0,MOD(81,4)=0),INDEX(年度所得税!$D$244:$AH$244,1,81/4+1),0),0)</f>
        <v>0</v>
      </c>
      <c r="CH177" s="9">
        <f>IF(82&lt;=核心参数输入!$B$9*4,CH157+CH171-IF(AND(82&gt;0,MOD(82,4)=0),INDEX(年度所得税!$D$244:$AH$244,1,82/4+1),0),0)</f>
        <v>0</v>
      </c>
      <c r="CI177" s="9">
        <f>IF(83&lt;=核心参数输入!$B$9*4,CI157+CI171-IF(AND(83&gt;0,MOD(83,4)=0),INDEX(年度所得税!$D$244:$AH$244,1,83/4+1),0),0)</f>
        <v>0</v>
      </c>
      <c r="CJ177" s="9">
        <f>IF(84&lt;=核心参数输入!$B$9*4,CJ157+CJ171-IF(AND(84&gt;0,MOD(84,4)=0),INDEX(年度所得税!$D$244:$AH$244,1,84/4+1),0),0)</f>
        <v>0</v>
      </c>
      <c r="CK177" s="9">
        <f>IF(85&lt;=核心参数输入!$B$9*4,CK157+CK171-IF(AND(85&gt;0,MOD(85,4)=0),INDEX(年度所得税!$D$244:$AH$244,1,85/4+1),0),0)</f>
        <v>0</v>
      </c>
      <c r="CL177" s="9">
        <f>IF(86&lt;=核心参数输入!$B$9*4,CL157+CL171-IF(AND(86&gt;0,MOD(86,4)=0),INDEX(年度所得税!$D$244:$AH$244,1,86/4+1),0),0)</f>
        <v>0</v>
      </c>
      <c r="CM177" s="9">
        <f>IF(87&lt;=核心参数输入!$B$9*4,CM157+CM171-IF(AND(87&gt;0,MOD(87,4)=0),INDEX(年度所得税!$D$244:$AH$244,1,87/4+1),0),0)</f>
        <v>0</v>
      </c>
      <c r="CN177" s="9">
        <f>IF(88&lt;=核心参数输入!$B$9*4,CN157+CN171-IF(AND(88&gt;0,MOD(88,4)=0),INDEX(年度所得税!$D$244:$AH$244,1,88/4+1),0),0)</f>
        <v>0</v>
      </c>
      <c r="CO177" s="9">
        <f>IF(89&lt;=核心参数输入!$B$9*4,CO157+CO171-IF(AND(89&gt;0,MOD(89,4)=0),INDEX(年度所得税!$D$244:$AH$244,1,89/4+1),0),0)</f>
        <v>0</v>
      </c>
      <c r="CP177" s="9">
        <f>IF(90&lt;=核心参数输入!$B$9*4,CP157+CP171-IF(AND(90&gt;0,MOD(90,4)=0),INDEX(年度所得税!$D$244:$AH$244,1,90/4+1),0),0)</f>
        <v>0</v>
      </c>
      <c r="CQ177" s="9">
        <f>IF(91&lt;=核心参数输入!$B$9*4,CQ157+CQ171-IF(AND(91&gt;0,MOD(91,4)=0),INDEX(年度所得税!$D$244:$AH$244,1,91/4+1),0),0)</f>
        <v>0</v>
      </c>
      <c r="CR177" s="9">
        <f>IF(92&lt;=核心参数输入!$B$9*4,CR157+CR171-IF(AND(92&gt;0,MOD(92,4)=0),INDEX(年度所得税!$D$244:$AH$244,1,92/4+1),0),0)</f>
        <v>0</v>
      </c>
      <c r="CS177" s="9">
        <f>IF(93&lt;=核心参数输入!$B$9*4,CS157+CS171-IF(AND(93&gt;0,MOD(93,4)=0),INDEX(年度所得税!$D$244:$AH$244,1,93/4+1),0),0)</f>
        <v>0</v>
      </c>
      <c r="CT177" s="9">
        <f>IF(94&lt;=核心参数输入!$B$9*4,CT157+CT171-IF(AND(94&gt;0,MOD(94,4)=0),INDEX(年度所得税!$D$244:$AH$244,1,94/4+1),0),0)</f>
        <v>0</v>
      </c>
      <c r="CU177" s="9">
        <f>IF(95&lt;=核心参数输入!$B$9*4,CU157+CU171-IF(AND(95&gt;0,MOD(95,4)=0),INDEX(年度所得税!$D$244:$AH$244,1,95/4+1),0),0)</f>
        <v>0</v>
      </c>
      <c r="CV177" s="9">
        <f>IF(96&lt;=核心参数输入!$B$9*4,CV157+CV171-IF(AND(96&gt;0,MOD(96,4)=0),INDEX(年度所得税!$D$244:$AH$244,1,96/4+1),0),0)</f>
        <v>0</v>
      </c>
      <c r="CW177" s="9">
        <f>IF(97&lt;=核心参数输入!$B$9*4,CW157+CW171-IF(AND(97&gt;0,MOD(97,4)=0),INDEX(年度所得税!$D$244:$AH$244,1,97/4+1),0),0)</f>
        <v>0</v>
      </c>
      <c r="CX177" s="9">
        <f>IF(98&lt;=核心参数输入!$B$9*4,CX157+CX171-IF(AND(98&gt;0,MOD(98,4)=0),INDEX(年度所得税!$D$244:$AH$244,1,98/4+1),0),0)</f>
        <v>0</v>
      </c>
      <c r="CY177" s="9">
        <f>IF(99&lt;=核心参数输入!$B$9*4,CY157+CY171-IF(AND(99&gt;0,MOD(99,4)=0),INDEX(年度所得税!$D$244:$AH$244,1,99/4+1),0),0)</f>
        <v>0</v>
      </c>
      <c r="CZ177" s="9">
        <f>IF(100&lt;=核心参数输入!$B$9*4,CZ157+CZ171-IF(AND(100&gt;0,MOD(100,4)=0),INDEX(年度所得税!$D$244:$AH$244,1,100/4+1),0),0)</f>
        <v>0</v>
      </c>
      <c r="DA177" s="9">
        <f>IF(101&lt;=核心参数输入!$B$9*4,DA157+DA171-IF(AND(101&gt;0,MOD(101,4)=0),INDEX(年度所得税!$D$244:$AH$244,1,101/4+1),0),0)</f>
        <v>0</v>
      </c>
      <c r="DB177" s="9">
        <f>IF(102&lt;=核心参数输入!$B$9*4,DB157+DB171-IF(AND(102&gt;0,MOD(102,4)=0),INDEX(年度所得税!$D$244:$AH$244,1,102/4+1),0),0)</f>
        <v>0</v>
      </c>
      <c r="DC177" s="9">
        <f>IF(103&lt;=核心参数输入!$B$9*4,DC157+DC171-IF(AND(103&gt;0,MOD(103,4)=0),INDEX(年度所得税!$D$244:$AH$244,1,103/4+1),0),0)</f>
        <v>0</v>
      </c>
      <c r="DD177" s="9">
        <f>IF(104&lt;=核心参数输入!$B$9*4,DD157+DD171-IF(AND(104&gt;0,MOD(104,4)=0),INDEX(年度所得税!$D$244:$AH$244,1,104/4+1),0),0)</f>
        <v>0</v>
      </c>
      <c r="DE177" s="9">
        <f>IF(105&lt;=核心参数输入!$B$9*4,DE157+DE171-IF(AND(105&gt;0,MOD(105,4)=0),INDEX(年度所得税!$D$244:$AH$244,1,105/4+1),0),0)</f>
        <v>0</v>
      </c>
      <c r="DF177" s="9">
        <f>IF(106&lt;=核心参数输入!$B$9*4,DF157+DF171-IF(AND(106&gt;0,MOD(106,4)=0),INDEX(年度所得税!$D$244:$AH$244,1,106/4+1),0),0)</f>
        <v>0</v>
      </c>
      <c r="DG177" s="9">
        <f>IF(107&lt;=核心参数输入!$B$9*4,DG157+DG171-IF(AND(107&gt;0,MOD(107,4)=0),INDEX(年度所得税!$D$244:$AH$244,1,107/4+1),0),0)</f>
        <v>0</v>
      </c>
      <c r="DH177" s="9">
        <f>IF(108&lt;=核心参数输入!$B$9*4,DH157+DH171-IF(AND(108&gt;0,MOD(108,4)=0),INDEX(年度所得税!$D$244:$AH$244,1,108/4+1),0),0)</f>
        <v>0</v>
      </c>
      <c r="DI177" s="9">
        <f>IF(109&lt;=核心参数输入!$B$9*4,DI157+DI171-IF(AND(109&gt;0,MOD(109,4)=0),INDEX(年度所得税!$D$244:$AH$244,1,109/4+1),0),0)</f>
        <v>0</v>
      </c>
      <c r="DJ177" s="9">
        <f>IF(110&lt;=核心参数输入!$B$9*4,DJ157+DJ171-IF(AND(110&gt;0,MOD(110,4)=0),INDEX(年度所得税!$D$244:$AH$244,1,110/4+1),0),0)</f>
        <v>0</v>
      </c>
      <c r="DK177" s="9">
        <f>IF(111&lt;=核心参数输入!$B$9*4,DK157+DK171-IF(AND(111&gt;0,MOD(111,4)=0),INDEX(年度所得税!$D$244:$AH$244,1,111/4+1),0),0)</f>
        <v>0</v>
      </c>
      <c r="DL177" s="9">
        <f>IF(112&lt;=核心参数输入!$B$9*4,DL157+DL171-IF(AND(112&gt;0,MOD(112,4)=0),INDEX(年度所得税!$D$244:$AH$244,1,112/4+1),0),0)</f>
        <v>0</v>
      </c>
      <c r="DM177" s="9">
        <f>IF(113&lt;=核心参数输入!$B$9*4,DM157+DM171-IF(AND(113&gt;0,MOD(113,4)=0),INDEX(年度所得税!$D$244:$AH$244,1,113/4+1),0),0)</f>
        <v>0</v>
      </c>
      <c r="DN177" s="9">
        <f>IF(114&lt;=核心参数输入!$B$9*4,DN157+DN171-IF(AND(114&gt;0,MOD(114,4)=0),INDEX(年度所得税!$D$244:$AH$244,1,114/4+1),0),0)</f>
        <v>0</v>
      </c>
      <c r="DO177" s="9">
        <f>IF(115&lt;=核心参数输入!$B$9*4,DO157+DO171-IF(AND(115&gt;0,MOD(115,4)=0),INDEX(年度所得税!$D$244:$AH$244,1,115/4+1),0),0)</f>
        <v>0</v>
      </c>
      <c r="DP177" s="9">
        <f>IF(116&lt;=核心参数输入!$B$9*4,DP157+DP171-IF(AND(116&gt;0,MOD(116,4)=0),INDEX(年度所得税!$D$244:$AH$244,1,116/4+1),0),0)</f>
        <v>0</v>
      </c>
      <c r="DQ177" s="9">
        <f>IF(117&lt;=核心参数输入!$B$9*4,DQ157+DQ171-IF(AND(117&gt;0,MOD(117,4)=0),INDEX(年度所得税!$D$244:$AH$244,1,117/4+1),0),0)</f>
        <v>0</v>
      </c>
      <c r="DR177" s="9">
        <f>IF(118&lt;=核心参数输入!$B$9*4,DR157+DR171-IF(AND(118&gt;0,MOD(118,4)=0),INDEX(年度所得税!$D$244:$AH$244,1,118/4+1),0),0)</f>
        <v>0</v>
      </c>
      <c r="DS177" s="9">
        <f>IF(119&lt;=核心参数输入!$B$9*4,DS157+DS171-IF(AND(119&gt;0,MOD(119,4)=0),INDEX(年度所得税!$D$244:$AH$244,1,119/4+1),0),0)</f>
        <v>0</v>
      </c>
      <c r="DT177" s="9">
        <f>IF(120&lt;=核心参数输入!$B$9*4,DT157+DT171-IF(AND(120&gt;0,MOD(120,4)=0),INDEX(年度所得税!$D$244:$AH$244,1,120/4+1),0),0)</f>
        <v>0</v>
      </c>
    </row>
    <row r="178" spans="1:124" ht="21" customHeight="1">
      <c r="A178" s="8" t="s">
        <v>499</v>
      </c>
      <c r="B178" s="8" t="s">
        <v>39</v>
      </c>
      <c r="C178" s="8"/>
      <c r="D178" s="9">
        <f>IF(0&lt;=核心参数输入!$B$9*4,D122+D136+D138,0)</f>
        <v>0</v>
      </c>
      <c r="E178" s="9">
        <f>IF(1&lt;=核心参数输入!$B$9*4,E122+E136+E138,0)</f>
        <v>0</v>
      </c>
      <c r="F178" s="9">
        <f>IF(2&lt;=核心参数输入!$B$9*4,F122+F136+F138,0)</f>
        <v>0</v>
      </c>
      <c r="G178" s="9">
        <f>IF(3&lt;=核心参数输入!$B$9*4,G122+G136+G138,0)</f>
        <v>0</v>
      </c>
      <c r="H178" s="9">
        <f>IF(4&lt;=核心参数输入!$B$9*4,H122+H136+H138,0)</f>
        <v>0</v>
      </c>
      <c r="I178" s="9">
        <f>IF(5&lt;=核心参数输入!$B$9*4,I122+I136+I138,0)</f>
        <v>0</v>
      </c>
      <c r="J178" s="9">
        <f>IF(6&lt;=核心参数输入!$B$9*4,J122+J136+J138,0)</f>
        <v>0</v>
      </c>
      <c r="K178" s="9">
        <f>IF(7&lt;=核心参数输入!$B$9*4,K122+K136+K138,0)</f>
        <v>0</v>
      </c>
      <c r="L178" s="9">
        <f>IF(8&lt;=核心参数输入!$B$9*4,L122+L136+L138,0)</f>
        <v>0</v>
      </c>
      <c r="M178" s="9">
        <f>IF(9&lt;=核心参数输入!$B$9*4,M122+M136+M138,0)</f>
        <v>0</v>
      </c>
      <c r="N178" s="9">
        <f>IF(10&lt;=核心参数输入!$B$9*4,N122+N136+N138,0)</f>
        <v>0</v>
      </c>
      <c r="O178" s="9">
        <f>IF(11&lt;=核心参数输入!$B$9*4,O122+O136+O138,0)</f>
        <v>0</v>
      </c>
      <c r="P178" s="9">
        <f>IF(12&lt;=核心参数输入!$B$9*4,P122+P136+P138,0)</f>
        <v>0</v>
      </c>
      <c r="Q178" s="9">
        <f>IF(13&lt;=核心参数输入!$B$9*4,Q122+Q136+Q138,0)</f>
        <v>2280.4031249999998</v>
      </c>
      <c r="R178" s="9">
        <f>IF(14&lt;=核心参数输入!$B$9*4,R122+R136+R138,0)</f>
        <v>3279.6603742500001</v>
      </c>
      <c r="S178" s="9">
        <f>IF(15&lt;=核心参数输入!$B$9*4,S122+S136+S138,0)</f>
        <v>3323.5436227500004</v>
      </c>
      <c r="T178" s="9">
        <f>IF(16&lt;=核心参数输入!$B$9*4,T122+T136+T138,0)</f>
        <v>3367.4268712500002</v>
      </c>
      <c r="U178" s="9">
        <f>IF(17&lt;=核心参数输入!$B$9*4,U122+U136+U138,0)</f>
        <v>4173.7483652962501</v>
      </c>
      <c r="V178" s="9">
        <f>IF(18&lt;=核心参数输入!$B$9*4,V122+V136+V138,0)</f>
        <v>4532.926363216875</v>
      </c>
      <c r="W178" s="9">
        <f>IF(19&lt;=核心参数输入!$B$9*4,W122+W136+W138,0)</f>
        <v>4555.1971118306246</v>
      </c>
      <c r="X178" s="9">
        <f>IF(20&lt;=核心参数输入!$B$9*4,X122+X136+X138,0)</f>
        <v>4577.4678604443752</v>
      </c>
      <c r="Y178" s="9">
        <f>IF(21&lt;=核心参数输入!$B$9*4,Y122+Y136+Y138,0)</f>
        <v>3843.4459381939964</v>
      </c>
      <c r="Z178" s="9">
        <f>IF(22&lt;=核心参数输入!$B$9*4,Z122+Z136+Z138,0)</f>
        <v>3537.4532718065834</v>
      </c>
      <c r="AA178" s="9">
        <f>IF(23&lt;=核心参数输入!$B$9*4,AA122+AA136+AA138,0)</f>
        <v>3554.4068791888008</v>
      </c>
      <c r="AB178" s="9">
        <f>IF(24&lt;=核心参数输入!$B$9*4,AB122+AB136+AB138,0)</f>
        <v>3571.3604865710181</v>
      </c>
      <c r="AC178" s="9">
        <f>IF(25&lt;=核心参数输入!$B$9*4,AC122+AC136+AC138,0)</f>
        <v>1312.8698991125336</v>
      </c>
      <c r="AD178" s="9">
        <f>IF(26&lt;=核心参数输入!$B$9*4,AD122+AD136+AD138,0)</f>
        <v>347.02621510783376</v>
      </c>
      <c r="AE178" s="9">
        <f>IF(27&lt;=核心参数输入!$B$9*4,AE122+AE136+AE138,0)</f>
        <v>352.76218560548392</v>
      </c>
      <c r="AF178" s="9">
        <f>IF(28&lt;=核心参数输入!$B$9*4,AF122+AF136+AF138,0)</f>
        <v>358.49815610313414</v>
      </c>
      <c r="AG178" s="9">
        <f>IF(29&lt;=核心参数输入!$B$9*4,AG122+AG136+AG138,0)</f>
        <v>369.69763849979603</v>
      </c>
      <c r="AH178" s="9">
        <f>IF(30&lt;=核心参数输入!$B$9*4,AH122+AH136+AH138,0)</f>
        <v>372.60864352735342</v>
      </c>
      <c r="AI178" s="9">
        <f>IF(31&lt;=核心参数输入!$B$9*4,AI122+AI136+AI138,0)</f>
        <v>372.60864352735342</v>
      </c>
      <c r="AJ178" s="9">
        <f>IF(32&lt;=核心参数输入!$B$9*4,AJ122+AJ136+AJ138,0)</f>
        <v>372.60864352735342</v>
      </c>
      <c r="AK178" s="9">
        <f>IF(33&lt;=核心参数输入!$B$9*4,AK122+AK136+AK138,0)</f>
        <v>378.19777318026377</v>
      </c>
      <c r="AL178" s="9">
        <f>IF(34&lt;=核心参数输入!$B$9*4,AL122+AL136+AL138,0)</f>
        <v>378.19777318026377</v>
      </c>
      <c r="AM178" s="9">
        <f>IF(35&lt;=核心参数输入!$B$9*4,AM122+AM136+AM138,0)</f>
        <v>378.19777318026377</v>
      </c>
      <c r="AN178" s="9">
        <f>IF(36&lt;=核心参数输入!$B$9*4,AN122+AN136+AN138,0)</f>
        <v>378.19777318026377</v>
      </c>
      <c r="AO178" s="9">
        <f>IF(37&lt;=核心参数输入!$B$9*4,AO122+AO136+AO138,0)</f>
        <v>383.87073977796757</v>
      </c>
      <c r="AP178" s="9">
        <f>IF(38&lt;=核心参数输入!$B$9*4,AP122+AP136+AP138,0)</f>
        <v>383.87073977796757</v>
      </c>
      <c r="AQ178" s="9">
        <f>IF(39&lt;=核心参数输入!$B$9*4,AQ122+AQ136+AQ138,0)</f>
        <v>383.87073977796757</v>
      </c>
      <c r="AR178" s="9">
        <f>IF(40&lt;=核心参数输入!$B$9*4,AR122+AR136+AR138,0)</f>
        <v>383.87073977796757</v>
      </c>
      <c r="AS178" s="9">
        <f>IF(41&lt;=核心参数输入!$B$9*4,AS122+AS136+AS138,0)</f>
        <v>389.62880087463708</v>
      </c>
      <c r="AT178" s="9">
        <f>IF(42&lt;=核心参数输入!$B$9*4,AT122+AT136+AT138,0)</f>
        <v>389.62880087463708</v>
      </c>
      <c r="AU178" s="9">
        <f>IF(43&lt;=核心参数输入!$B$9*4,AU122+AU136+AU138,0)</f>
        <v>389.62880087463708</v>
      </c>
      <c r="AV178" s="9">
        <f>IF(44&lt;=核心参数输入!$B$9*4,AV122+AV136+AV138,0)</f>
        <v>389.62880087463708</v>
      </c>
      <c r="AW178" s="9">
        <f>IF(45&lt;=核心参数输入!$B$9*4,AW122+AW136+AW138,0)</f>
        <v>395.47323288775652</v>
      </c>
      <c r="AX178" s="9">
        <f>IF(46&lt;=核心参数输入!$B$9*4,AX122+AX136+AX138,0)</f>
        <v>395.47323288775652</v>
      </c>
      <c r="AY178" s="9">
        <f>IF(47&lt;=核心参数输入!$B$9*4,AY122+AY136+AY138,0)</f>
        <v>395.47323288775652</v>
      </c>
      <c r="AZ178" s="9">
        <f>IF(48&lt;=核心参数输入!$B$9*4,AZ122+AZ136+AZ138,0)</f>
        <v>395.47323288775652</v>
      </c>
      <c r="BA178" s="9">
        <f>IF(49&lt;=核心参数输入!$B$9*4,BA122+BA136+BA138,0)</f>
        <v>401.40533138107287</v>
      </c>
      <c r="BB178" s="9">
        <f>IF(50&lt;=核心参数输入!$B$9*4,BB122+BB136+BB138,0)</f>
        <v>401.40533138107287</v>
      </c>
      <c r="BC178" s="9">
        <f>IF(51&lt;=核心参数输入!$B$9*4,BC122+BC136+BC138,0)</f>
        <v>401.40533138107287</v>
      </c>
      <c r="BD178" s="9">
        <f>IF(52&lt;=核心参数输入!$B$9*4,BD122+BD136+BD138,0)</f>
        <v>401.40533138107287</v>
      </c>
      <c r="BE178" s="9">
        <f>IF(53&lt;=核心参数输入!$B$9*4,BE122+BE136+BE138,0)</f>
        <v>407.42641135178889</v>
      </c>
      <c r="BF178" s="9">
        <f>IF(54&lt;=核心参数输入!$B$9*4,BF122+BF136+BF138,0)</f>
        <v>407.42641135178889</v>
      </c>
      <c r="BG178" s="9">
        <f>IF(55&lt;=核心参数输入!$B$9*4,BG122+BG136+BG138,0)</f>
        <v>407.42641135178889</v>
      </c>
      <c r="BH178" s="9">
        <f>IF(56&lt;=核心参数输入!$B$9*4,BH122+BH136+BH138,0)</f>
        <v>407.42641135178889</v>
      </c>
      <c r="BI178" s="9">
        <f>IF(57&lt;=核心参数输入!$B$9*4,BI122+BI136+BI138,0)</f>
        <v>413.53780752206563</v>
      </c>
      <c r="BJ178" s="9">
        <f>IF(58&lt;=核心参数输入!$B$9*4,BJ122+BJ136+BJ138,0)</f>
        <v>413.53780752206563</v>
      </c>
      <c r="BK178" s="9">
        <f>IF(59&lt;=核心参数输入!$B$9*4,BK122+BK136+BK138,0)</f>
        <v>413.53780752206563</v>
      </c>
      <c r="BL178" s="9">
        <f>IF(60&lt;=核心参数输入!$B$9*4,BL122+BL136+BL138,0)</f>
        <v>413.53780752206563</v>
      </c>
      <c r="BM178" s="9">
        <f>IF(61&lt;=核心参数输入!$B$9*4,BM122+BM136+BM138,0)</f>
        <v>419.7408746348965</v>
      </c>
      <c r="BN178" s="9">
        <f>IF(62&lt;=核心参数输入!$B$9*4,BN122+BN136+BN138,0)</f>
        <v>419.7408746348965</v>
      </c>
      <c r="BO178" s="9">
        <f>IF(63&lt;=核心参数输入!$B$9*4,BO122+BO136+BO138,0)</f>
        <v>419.7408746348965</v>
      </c>
      <c r="BP178" s="9">
        <f>IF(64&lt;=核心参数输入!$B$9*4,BP122+BP136+BP138,0)</f>
        <v>419.7408746348965</v>
      </c>
      <c r="BQ178" s="9">
        <f>IF(65&lt;=核心参数输入!$B$9*4,BQ122+BQ136+BQ138,0)</f>
        <v>426.03698775442001</v>
      </c>
      <c r="BR178" s="9">
        <f>IF(66&lt;=核心参数输入!$B$9*4,BR122+BR136+BR138,0)</f>
        <v>426.03698775442001</v>
      </c>
      <c r="BS178" s="9">
        <f>IF(67&lt;=核心参数输入!$B$9*4,BS122+BS136+BS138,0)</f>
        <v>426.03698775442001</v>
      </c>
      <c r="BT178" s="9">
        <f>IF(68&lt;=核心参数输入!$B$9*4,BT122+BT136+BT138,0)</f>
        <v>426.03698775442001</v>
      </c>
      <c r="BU178" s="9">
        <f>IF(69&lt;=核心参数输入!$B$9*4,BU122+BU136+BU138,0)</f>
        <v>432.42754257073619</v>
      </c>
      <c r="BV178" s="9">
        <f>IF(70&lt;=核心参数输入!$B$9*4,BV122+BV136+BV138,0)</f>
        <v>432.42754257073619</v>
      </c>
      <c r="BW178" s="9">
        <f>IF(71&lt;=核心参数输入!$B$9*4,BW122+BW136+BW138,0)</f>
        <v>432.42754257073619</v>
      </c>
      <c r="BX178" s="9">
        <f>IF(72&lt;=核心参数输入!$B$9*4,BX122+BX136+BX138,0)</f>
        <v>432.42754257073619</v>
      </c>
      <c r="BY178" s="9">
        <f>IF(73&lt;=核心参数输入!$B$9*4,BY122+BY136+BY138,0)</f>
        <v>438.91395570929717</v>
      </c>
      <c r="BZ178" s="9">
        <f>IF(74&lt;=核心参数输入!$B$9*4,BZ122+BZ136+BZ138,0)</f>
        <v>438.91395570929717</v>
      </c>
      <c r="CA178" s="9">
        <f>IF(75&lt;=核心参数输入!$B$9*4,CA122+CA136+CA138,0)</f>
        <v>438.91395570929717</v>
      </c>
      <c r="CB178" s="9">
        <f>IF(76&lt;=核心参数输入!$B$9*4,CB122+CB136+CB138,0)</f>
        <v>438.91395570929717</v>
      </c>
      <c r="CC178" s="9">
        <f>IF(77&lt;=核心参数输入!$B$9*4,CC122+CC136+CC138,0)</f>
        <v>445.49766504493658</v>
      </c>
      <c r="CD178" s="9">
        <f>IF(78&lt;=核心参数输入!$B$9*4,CD122+CD136+CD138,0)</f>
        <v>445.49766504493658</v>
      </c>
      <c r="CE178" s="9">
        <f>IF(79&lt;=核心参数输入!$B$9*4,CE122+CE136+CE138,0)</f>
        <v>445.49766504493658</v>
      </c>
      <c r="CF178" s="9">
        <f>IF(80&lt;=核心参数输入!$B$9*4,CF122+CF136+CF138,0)</f>
        <v>445.49766504493658</v>
      </c>
      <c r="CG178" s="9">
        <f>IF(81&lt;=核心参数输入!$B$9*4,CG122+CG136+CG138,0)</f>
        <v>0</v>
      </c>
      <c r="CH178" s="9">
        <f>IF(82&lt;=核心参数输入!$B$9*4,CH122+CH136+CH138,0)</f>
        <v>0</v>
      </c>
      <c r="CI178" s="9">
        <f>IF(83&lt;=核心参数输入!$B$9*4,CI122+CI136+CI138,0)</f>
        <v>0</v>
      </c>
      <c r="CJ178" s="9">
        <f>IF(84&lt;=核心参数输入!$B$9*4,CJ122+CJ136+CJ138,0)</f>
        <v>0</v>
      </c>
      <c r="CK178" s="9">
        <f>IF(85&lt;=核心参数输入!$B$9*4,CK122+CK136+CK138,0)</f>
        <v>0</v>
      </c>
      <c r="CL178" s="9">
        <f>IF(86&lt;=核心参数输入!$B$9*4,CL122+CL136+CL138,0)</f>
        <v>0</v>
      </c>
      <c r="CM178" s="9">
        <f>IF(87&lt;=核心参数输入!$B$9*4,CM122+CM136+CM138,0)</f>
        <v>0</v>
      </c>
      <c r="CN178" s="9">
        <f>IF(88&lt;=核心参数输入!$B$9*4,CN122+CN136+CN138,0)</f>
        <v>0</v>
      </c>
      <c r="CO178" s="9">
        <f>IF(89&lt;=核心参数输入!$B$9*4,CO122+CO136+CO138,0)</f>
        <v>0</v>
      </c>
      <c r="CP178" s="9">
        <f>IF(90&lt;=核心参数输入!$B$9*4,CP122+CP136+CP138,0)</f>
        <v>0</v>
      </c>
      <c r="CQ178" s="9">
        <f>IF(91&lt;=核心参数输入!$B$9*4,CQ122+CQ136+CQ138,0)</f>
        <v>0</v>
      </c>
      <c r="CR178" s="9">
        <f>IF(92&lt;=核心参数输入!$B$9*4,CR122+CR136+CR138,0)</f>
        <v>0</v>
      </c>
      <c r="CS178" s="9">
        <f>IF(93&lt;=核心参数输入!$B$9*4,CS122+CS136+CS138,0)</f>
        <v>0</v>
      </c>
      <c r="CT178" s="9">
        <f>IF(94&lt;=核心参数输入!$B$9*4,CT122+CT136+CT138,0)</f>
        <v>0</v>
      </c>
      <c r="CU178" s="9">
        <f>IF(95&lt;=核心参数输入!$B$9*4,CU122+CU136+CU138,0)</f>
        <v>0</v>
      </c>
      <c r="CV178" s="9">
        <f>IF(96&lt;=核心参数输入!$B$9*4,CV122+CV136+CV138,0)</f>
        <v>0</v>
      </c>
      <c r="CW178" s="9">
        <f>IF(97&lt;=核心参数输入!$B$9*4,CW122+CW136+CW138,0)</f>
        <v>0</v>
      </c>
      <c r="CX178" s="9">
        <f>IF(98&lt;=核心参数输入!$B$9*4,CX122+CX136+CX138,0)</f>
        <v>0</v>
      </c>
      <c r="CY178" s="9">
        <f>IF(99&lt;=核心参数输入!$B$9*4,CY122+CY136+CY138,0)</f>
        <v>0</v>
      </c>
      <c r="CZ178" s="9">
        <f>IF(100&lt;=核心参数输入!$B$9*4,CZ122+CZ136+CZ138,0)</f>
        <v>0</v>
      </c>
      <c r="DA178" s="9">
        <f>IF(101&lt;=核心参数输入!$B$9*4,DA122+DA136+DA138,0)</f>
        <v>0</v>
      </c>
      <c r="DB178" s="9">
        <f>IF(102&lt;=核心参数输入!$B$9*4,DB122+DB136+DB138,0)</f>
        <v>0</v>
      </c>
      <c r="DC178" s="9">
        <f>IF(103&lt;=核心参数输入!$B$9*4,DC122+DC136+DC138,0)</f>
        <v>0</v>
      </c>
      <c r="DD178" s="9">
        <f>IF(104&lt;=核心参数输入!$B$9*4,DD122+DD136+DD138,0)</f>
        <v>0</v>
      </c>
      <c r="DE178" s="9">
        <f>IF(105&lt;=核心参数输入!$B$9*4,DE122+DE136+DE138,0)</f>
        <v>0</v>
      </c>
      <c r="DF178" s="9">
        <f>IF(106&lt;=核心参数输入!$B$9*4,DF122+DF136+DF138,0)</f>
        <v>0</v>
      </c>
      <c r="DG178" s="9">
        <f>IF(107&lt;=核心参数输入!$B$9*4,DG122+DG136+DG138,0)</f>
        <v>0</v>
      </c>
      <c r="DH178" s="9">
        <f>IF(108&lt;=核心参数输入!$B$9*4,DH122+DH136+DH138,0)</f>
        <v>0</v>
      </c>
      <c r="DI178" s="9">
        <f>IF(109&lt;=核心参数输入!$B$9*4,DI122+DI136+DI138,0)</f>
        <v>0</v>
      </c>
      <c r="DJ178" s="9">
        <f>IF(110&lt;=核心参数输入!$B$9*4,DJ122+DJ136+DJ138,0)</f>
        <v>0</v>
      </c>
      <c r="DK178" s="9">
        <f>IF(111&lt;=核心参数输入!$B$9*4,DK122+DK136+DK138,0)</f>
        <v>0</v>
      </c>
      <c r="DL178" s="9">
        <f>IF(112&lt;=核心参数输入!$B$9*4,DL122+DL136+DL138,0)</f>
        <v>0</v>
      </c>
      <c r="DM178" s="9">
        <f>IF(113&lt;=核心参数输入!$B$9*4,DM122+DM136+DM138,0)</f>
        <v>0</v>
      </c>
      <c r="DN178" s="9">
        <f>IF(114&lt;=核心参数输入!$B$9*4,DN122+DN136+DN138,0)</f>
        <v>0</v>
      </c>
      <c r="DO178" s="9">
        <f>IF(115&lt;=核心参数输入!$B$9*4,DO122+DO136+DO138,0)</f>
        <v>0</v>
      </c>
      <c r="DP178" s="9">
        <f>IF(116&lt;=核心参数输入!$B$9*4,DP122+DP136+DP138,0)</f>
        <v>0</v>
      </c>
      <c r="DQ178" s="9">
        <f>IF(117&lt;=核心参数输入!$B$9*4,DQ122+DQ136+DQ138,0)</f>
        <v>0</v>
      </c>
      <c r="DR178" s="9">
        <f>IF(118&lt;=核心参数输入!$B$9*4,DR122+DR136+DR138,0)</f>
        <v>0</v>
      </c>
      <c r="DS178" s="9">
        <f>IF(119&lt;=核心参数输入!$B$9*4,DS122+DS136+DS138,0)</f>
        <v>0</v>
      </c>
      <c r="DT178" s="9">
        <f>IF(120&lt;=核心参数输入!$B$9*4,DT122+DT136+DT138,0)</f>
        <v>0</v>
      </c>
    </row>
    <row r="179" spans="1:124" ht="21" customHeight="1">
      <c r="A179" s="8" t="s">
        <v>500</v>
      </c>
      <c r="B179" s="8" t="s">
        <v>39</v>
      </c>
      <c r="C179" s="8"/>
      <c r="D179" s="9">
        <f>IF(0&lt;=核心参数输入!$B$9*4,D145+SUM(D147:D149)+D163+D164,0)</f>
        <v>0</v>
      </c>
      <c r="E179" s="9">
        <f>IF(1&lt;=核心参数输入!$B$9*4,E145+SUM(E147:E149)+E163+E164,0)</f>
        <v>0</v>
      </c>
      <c r="F179" s="9">
        <f>IF(2&lt;=核心参数输入!$B$9*4,F145+SUM(F147:F149)+F163+F164,0)</f>
        <v>0</v>
      </c>
      <c r="G179" s="9">
        <f>IF(3&lt;=核心参数输入!$B$9*4,G145+SUM(G147:G149)+G163+G164,0)</f>
        <v>0</v>
      </c>
      <c r="H179" s="9">
        <f>IF(4&lt;=核心参数输入!$B$9*4,H145+SUM(H147:H149)+H163+H164,0)</f>
        <v>0</v>
      </c>
      <c r="I179" s="9">
        <f>IF(5&lt;=核心参数输入!$B$9*4,I145+SUM(I147:I149)+I163+I164,0)</f>
        <v>0</v>
      </c>
      <c r="J179" s="9">
        <f>IF(6&lt;=核心参数输入!$B$9*4,J145+SUM(J147:J149)+J163+J164,0)</f>
        <v>0</v>
      </c>
      <c r="K179" s="9">
        <f>IF(7&lt;=核心参数输入!$B$9*4,K145+SUM(K147:K149)+K163+K164,0)</f>
        <v>0</v>
      </c>
      <c r="L179" s="9">
        <f>IF(8&lt;=核心参数输入!$B$9*4,L145+SUM(L147:L149)+L163+L164,0)</f>
        <v>0</v>
      </c>
      <c r="M179" s="9">
        <f>IF(9&lt;=核心参数输入!$B$9*4,M145+SUM(M147:M149)+M163+M164,0)</f>
        <v>0</v>
      </c>
      <c r="N179" s="9">
        <f>IF(10&lt;=核心参数输入!$B$9*4,N145+SUM(N147:N149)+N163+N164,0)</f>
        <v>0</v>
      </c>
      <c r="O179" s="9">
        <f>IF(11&lt;=核心参数输入!$B$9*4,O145+SUM(O147:O149)+O163+O164,0)</f>
        <v>0</v>
      </c>
      <c r="P179" s="9">
        <f>IF(12&lt;=核心参数输入!$B$9*4,P145+SUM(P147:P149)+P163+P164,0)</f>
        <v>0</v>
      </c>
      <c r="Q179" s="9">
        <f>IF(13&lt;=核心参数输入!$B$9*4,Q145+SUM(Q147:Q149)+Q163+Q164,0)</f>
        <v>462.06046874999998</v>
      </c>
      <c r="R179" s="9">
        <f>IF(14&lt;=核心参数输入!$B$9*4,R145+SUM(R147:R149)+R163+R164,0)</f>
        <v>466.03554901500002</v>
      </c>
      <c r="S179" s="9">
        <f>IF(15&lt;=核心参数输入!$B$9*4,S145+SUM(S147:S149)+S163+S164,0)</f>
        <v>473.98570954499996</v>
      </c>
      <c r="T179" s="9">
        <f>IF(16&lt;=核心参数输入!$B$9*4,T145+SUM(T147:T149)+T163+T164,0)</f>
        <v>481.93587007499997</v>
      </c>
      <c r="U179" s="9">
        <f>IF(17&lt;=核心参数输入!$B$9*4,U145+SUM(U147:U149)+U163+U164,0)</f>
        <v>605.8235702828249</v>
      </c>
      <c r="V179" s="9">
        <f>IF(18&lt;=核心参数输入!$B$9*4,V145+SUM(V147:V149)+V163+V164,0)</f>
        <v>611.87562998628755</v>
      </c>
      <c r="W179" s="9">
        <f>IF(19&lt;=核心参数输入!$B$9*4,W145+SUM(W147:W149)+W163+W164,0)</f>
        <v>615.9103364552625</v>
      </c>
      <c r="X179" s="9">
        <f>IF(20&lt;=核心参数输入!$B$9*4,X145+SUM(X147:X149)+X163+X164,0)</f>
        <v>619.94504292423744</v>
      </c>
      <c r="Y179" s="9">
        <f>IF(21&lt;=核心参数输入!$B$9*4,Y145+SUM(Y147:Y149)+Y163+Y164,0)</f>
        <v>512.18558000911071</v>
      </c>
      <c r="Z179" s="9">
        <f>IF(22&lt;=核心参数输入!$B$9*4,Z145+SUM(Z147:Z149)+Z163+Z164,0)</f>
        <v>515.76890369186913</v>
      </c>
      <c r="AA179" s="9">
        <f>IF(23&lt;=核心参数输入!$B$9*4,AA145+SUM(AA147:AA149)+AA163+AA164,0)</f>
        <v>518.84032399137629</v>
      </c>
      <c r="AB179" s="9">
        <f>IF(24&lt;=核心参数输入!$B$9*4,AB145+SUM(AB147:AB149)+AB163+AB164,0)</f>
        <v>521.91174429088346</v>
      </c>
      <c r="AC179" s="9">
        <f>IF(25&lt;=核心参数输入!$B$9*4,AC145+SUM(AC147:AC149)+AC163+AC164,0)</f>
        <v>185.38168627799658</v>
      </c>
      <c r="AD179" s="9">
        <f>IF(26&lt;=核心参数输入!$B$9*4,AD145+SUM(AD147:AD149)+AD163+AD164,0)</f>
        <v>187.46001401399644</v>
      </c>
      <c r="AE179" s="9">
        <f>IF(27&lt;=核心参数输入!$B$9*4,AE145+SUM(AE147:AE149)+AE163+AE164,0)</f>
        <v>188.49917788199639</v>
      </c>
      <c r="AF179" s="9">
        <f>IF(28&lt;=核心参数输入!$B$9*4,AF145+SUM(AF147:AF149)+AF163+AF164,0)</f>
        <v>189.53834174999633</v>
      </c>
      <c r="AG179" s="9">
        <f>IF(29&lt;=核心参数输入!$B$9*4,AG145+SUM(AG147:AG149)+AG163+AG164,0)</f>
        <v>193.15912120226622</v>
      </c>
      <c r="AH179" s="9">
        <f>IF(30&lt;=核心参数输入!$B$9*4,AH145+SUM(AH147:AH149)+AH163+AH164,0)</f>
        <v>193.68649686527618</v>
      </c>
      <c r="AI179" s="9">
        <f>IF(31&lt;=核心参数输入!$B$9*4,AI145+SUM(AI147:AI149)+AI163+AI164,0)</f>
        <v>193.68649686527618</v>
      </c>
      <c r="AJ179" s="9">
        <f>IF(32&lt;=核心参数输入!$B$9*4,AJ145+SUM(AJ147:AJ149)+AJ163+AJ164,0)</f>
        <v>193.68649686527618</v>
      </c>
      <c r="AK179" s="9">
        <f>IF(33&lt;=核心参数输入!$B$9*4,AK145+SUM(AK147:AK149)+AK163+AK164,0)</f>
        <v>196.32270637825533</v>
      </c>
      <c r="AL179" s="9">
        <f>IF(34&lt;=核心参数输入!$B$9*4,AL145+SUM(AL147:AL149)+AL163+AL164,0)</f>
        <v>196.32270637825533</v>
      </c>
      <c r="AM179" s="9">
        <f>IF(35&lt;=核心参数输入!$B$9*4,AM145+SUM(AM147:AM149)+AM163+AM164,0)</f>
        <v>196.32270637825533</v>
      </c>
      <c r="AN179" s="9">
        <f>IF(36&lt;=核心参数输入!$B$9*4,AN145+SUM(AN147:AN149)+AN163+AN164,0)</f>
        <v>196.32270637825533</v>
      </c>
      <c r="AO179" s="9">
        <f>IF(37&lt;=核心参数输入!$B$9*4,AO145+SUM(AO147:AO149)+AO163+AO164,0)</f>
        <v>199.00657727512913</v>
      </c>
      <c r="AP179" s="9">
        <f>IF(38&lt;=核心参数输入!$B$9*4,AP145+SUM(AP147:AP149)+AP163+AP164,0)</f>
        <v>199.00657727512913</v>
      </c>
      <c r="AQ179" s="9">
        <f>IF(39&lt;=核心参数输入!$B$9*4,AQ145+SUM(AQ147:AQ149)+AQ163+AQ164,0)</f>
        <v>199.00657727512913</v>
      </c>
      <c r="AR179" s="9">
        <f>IF(40&lt;=核心参数输入!$B$9*4,AR145+SUM(AR147:AR149)+AR163+AR164,0)</f>
        <v>199.00657727512913</v>
      </c>
      <c r="AS179" s="9">
        <f>IF(41&lt;=核心参数输入!$B$9*4,AS145+SUM(AS147:AS149)+AS163+AS164,0)</f>
        <v>201.73898684148008</v>
      </c>
      <c r="AT179" s="9">
        <f>IF(42&lt;=核心参数输入!$B$9*4,AT145+SUM(AT147:AT149)+AT163+AT164,0)</f>
        <v>201.73898684148008</v>
      </c>
      <c r="AU179" s="9">
        <f>IF(43&lt;=核心参数输入!$B$9*4,AU145+SUM(AU147:AU149)+AU163+AU164,0)</f>
        <v>201.73898684148008</v>
      </c>
      <c r="AV179" s="9">
        <f>IF(44&lt;=核心参数输入!$B$9*4,AV145+SUM(AV147:AV149)+AV163+AV164,0)</f>
        <v>201.73898684148008</v>
      </c>
      <c r="AW179" s="9">
        <f>IF(45&lt;=核心参数输入!$B$9*4,AW145+SUM(AW147:AW149)+AW163+AW164,0)</f>
        <v>204.52082876947077</v>
      </c>
      <c r="AX179" s="9">
        <f>IF(46&lt;=核心参数输入!$B$9*4,AX145+SUM(AX147:AX149)+AX163+AX164,0)</f>
        <v>204.52082876947077</v>
      </c>
      <c r="AY179" s="9">
        <f>IF(47&lt;=核心参数输入!$B$9*4,AY145+SUM(AY147:AY149)+AY163+AY164,0)</f>
        <v>204.52082876947077</v>
      </c>
      <c r="AZ179" s="9">
        <f>IF(48&lt;=核心参数输入!$B$9*4,AZ145+SUM(AZ147:AZ149)+AZ163+AZ164,0)</f>
        <v>204.52082876947077</v>
      </c>
      <c r="BA179" s="9">
        <f>IF(49&lt;=核心参数输入!$B$9*4,BA145+SUM(BA147:BA149)+BA163+BA164,0)</f>
        <v>207.35301346888866</v>
      </c>
      <c r="BB179" s="9">
        <f>IF(50&lt;=核心参数输入!$B$9*4,BB145+SUM(BB147:BB149)+BB163+BB164,0)</f>
        <v>207.35301346888866</v>
      </c>
      <c r="BC179" s="9">
        <f>IF(51&lt;=核心参数输入!$B$9*4,BC145+SUM(BC147:BC149)+BC163+BC164,0)</f>
        <v>207.35301346888866</v>
      </c>
      <c r="BD179" s="9">
        <f>IF(52&lt;=核心参数输入!$B$9*4,BD145+SUM(BD147:BD149)+BD163+BD164,0)</f>
        <v>207.35301346888866</v>
      </c>
      <c r="BE179" s="9">
        <f>IF(53&lt;=核心参数输入!$B$9*4,BE145+SUM(BE147:BE149)+BE163+BE164,0)</f>
        <v>210.23646838415533</v>
      </c>
      <c r="BF179" s="9">
        <f>IF(54&lt;=核心参数输入!$B$9*4,BF145+SUM(BF147:BF149)+BF163+BF164,0)</f>
        <v>210.23646838415533</v>
      </c>
      <c r="BG179" s="9">
        <f>IF(55&lt;=核心参数输入!$B$9*4,BG145+SUM(BG147:BG149)+BG163+BG164,0)</f>
        <v>210.23646838415533</v>
      </c>
      <c r="BH179" s="9">
        <f>IF(56&lt;=核心参数输入!$B$9*4,BH145+SUM(BH147:BH149)+BH163+BH164,0)</f>
        <v>210.23646838415533</v>
      </c>
      <c r="BI179" s="9">
        <f>IF(57&lt;=核心参数输入!$B$9*4,BI145+SUM(BI147:BI149)+BI163+BI164,0)</f>
        <v>213.17213831741569</v>
      </c>
      <c r="BJ179" s="9">
        <f>IF(58&lt;=核心参数输入!$B$9*4,BJ145+SUM(BJ147:BJ149)+BJ163+BJ164,0)</f>
        <v>213.17213831741569</v>
      </c>
      <c r="BK179" s="9">
        <f>IF(59&lt;=核心参数输入!$B$9*4,BK145+SUM(BK147:BK149)+BK163+BK164,0)</f>
        <v>213.17213831741569</v>
      </c>
      <c r="BL179" s="9">
        <f>IF(60&lt;=核心参数输入!$B$9*4,BL145+SUM(BL147:BL149)+BL163+BL164,0)</f>
        <v>213.17213831741569</v>
      </c>
      <c r="BM179" s="9">
        <f>IF(61&lt;=核心参数输入!$B$9*4,BM145+SUM(BM147:BM149)+BM163+BM164,0)</f>
        <v>216.16098575782488</v>
      </c>
      <c r="BN179" s="9">
        <f>IF(62&lt;=核心参数输入!$B$9*4,BN145+SUM(BN147:BN149)+BN163+BN164,0)</f>
        <v>216.16098575782488</v>
      </c>
      <c r="BO179" s="9">
        <f>IF(63&lt;=核心参数输入!$B$9*4,BO145+SUM(BO147:BO149)+BO163+BO164,0)</f>
        <v>216.16098575782488</v>
      </c>
      <c r="BP179" s="9">
        <f>IF(64&lt;=核心参数输入!$B$9*4,BP145+SUM(BP147:BP149)+BP163+BP164,0)</f>
        <v>216.16098575782488</v>
      </c>
      <c r="BQ179" s="9">
        <f>IF(65&lt;=核心参数输入!$B$9*4,BQ145+SUM(BQ147:BQ149)+BQ163+BQ164,0)</f>
        <v>219.20399121715323</v>
      </c>
      <c r="BR179" s="9">
        <f>IF(66&lt;=核心参数输入!$B$9*4,BR145+SUM(BR147:BR149)+BR163+BR164,0)</f>
        <v>219.20399121715323</v>
      </c>
      <c r="BS179" s="9">
        <f>IF(67&lt;=核心参数输入!$B$9*4,BS145+SUM(BS147:BS149)+BS163+BS164,0)</f>
        <v>219.20399121715323</v>
      </c>
      <c r="BT179" s="9">
        <f>IF(68&lt;=核心参数输入!$B$9*4,BT145+SUM(BT147:BT149)+BT163+BT164,0)</f>
        <v>219.20399121715323</v>
      </c>
      <c r="BU179" s="9">
        <f>IF(69&lt;=核心参数输入!$B$9*4,BU145+SUM(BU147:BU149)+BU163+BU164,0)</f>
        <v>222.3021535718307</v>
      </c>
      <c r="BV179" s="9">
        <f>IF(70&lt;=核心参数输入!$B$9*4,BV145+SUM(BV147:BV149)+BV163+BV164,0)</f>
        <v>222.3021535718307</v>
      </c>
      <c r="BW179" s="9">
        <f>IF(71&lt;=核心参数输入!$B$9*4,BW145+SUM(BW147:BW149)+BW163+BW164,0)</f>
        <v>222.3021535718307</v>
      </c>
      <c r="BX179" s="9">
        <f>IF(72&lt;=核心参数输入!$B$9*4,BX145+SUM(BX147:BX149)+BX163+BX164,0)</f>
        <v>222.3021535718307</v>
      </c>
      <c r="BY179" s="9">
        <f>IF(73&lt;=核心参数输入!$B$9*4,BY145+SUM(BY147:BY149)+BY163+BY164,0)</f>
        <v>225.4564904115567</v>
      </c>
      <c r="BZ179" s="9">
        <f>IF(74&lt;=核心参数输入!$B$9*4,BZ145+SUM(BZ147:BZ149)+BZ163+BZ164,0)</f>
        <v>225.4564904115567</v>
      </c>
      <c r="CA179" s="9">
        <f>IF(75&lt;=核心参数输入!$B$9*4,CA145+SUM(CA147:CA149)+CA163+CA164,0)</f>
        <v>225.4564904115567</v>
      </c>
      <c r="CB179" s="9">
        <f>IF(76&lt;=核心参数输入!$B$9*4,CB145+SUM(CB147:CB149)+CB163+CB164,0)</f>
        <v>225.4564904115567</v>
      </c>
      <c r="CC179" s="9">
        <f>IF(77&lt;=核心参数输入!$B$9*4,CC145+SUM(CC147:CC149)+CC163+CC164,0)</f>
        <v>228.66803839460158</v>
      </c>
      <c r="CD179" s="9">
        <f>IF(78&lt;=核心参数输入!$B$9*4,CD145+SUM(CD147:CD149)+CD163+CD164,0)</f>
        <v>228.66803839460158</v>
      </c>
      <c r="CE179" s="9">
        <f>IF(79&lt;=核心参数输入!$B$9*4,CE145+SUM(CE147:CE149)+CE163+CE164,0)</f>
        <v>228.66803839460158</v>
      </c>
      <c r="CF179" s="9">
        <f>IF(80&lt;=核心参数输入!$B$9*4,CF145+SUM(CF147:CF149)+CF163+CF164,0)</f>
        <v>228.66803839460158</v>
      </c>
      <c r="CG179" s="9">
        <f>IF(81&lt;=核心参数输入!$B$9*4,CG145+SUM(CG147:CG149)+CG163+CG164,0)</f>
        <v>0</v>
      </c>
      <c r="CH179" s="9">
        <f>IF(82&lt;=核心参数输入!$B$9*4,CH145+SUM(CH147:CH149)+CH163+CH164,0)</f>
        <v>0</v>
      </c>
      <c r="CI179" s="9">
        <f>IF(83&lt;=核心参数输入!$B$9*4,CI145+SUM(CI147:CI149)+CI163+CI164,0)</f>
        <v>0</v>
      </c>
      <c r="CJ179" s="9">
        <f>IF(84&lt;=核心参数输入!$B$9*4,CJ145+SUM(CJ147:CJ149)+CJ163+CJ164,0)</f>
        <v>0</v>
      </c>
      <c r="CK179" s="9">
        <f>IF(85&lt;=核心参数输入!$B$9*4,CK145+SUM(CK147:CK149)+CK163+CK164,0)</f>
        <v>0</v>
      </c>
      <c r="CL179" s="9">
        <f>IF(86&lt;=核心参数输入!$B$9*4,CL145+SUM(CL147:CL149)+CL163+CL164,0)</f>
        <v>0</v>
      </c>
      <c r="CM179" s="9">
        <f>IF(87&lt;=核心参数输入!$B$9*4,CM145+SUM(CM147:CM149)+CM163+CM164,0)</f>
        <v>0</v>
      </c>
      <c r="CN179" s="9">
        <f>IF(88&lt;=核心参数输入!$B$9*4,CN145+SUM(CN147:CN149)+CN163+CN164,0)</f>
        <v>0</v>
      </c>
      <c r="CO179" s="9">
        <f>IF(89&lt;=核心参数输入!$B$9*4,CO145+SUM(CO147:CO149)+CO163+CO164,0)</f>
        <v>0</v>
      </c>
      <c r="CP179" s="9">
        <f>IF(90&lt;=核心参数输入!$B$9*4,CP145+SUM(CP147:CP149)+CP163+CP164,0)</f>
        <v>0</v>
      </c>
      <c r="CQ179" s="9">
        <f>IF(91&lt;=核心参数输入!$B$9*4,CQ145+SUM(CQ147:CQ149)+CQ163+CQ164,0)</f>
        <v>0</v>
      </c>
      <c r="CR179" s="9">
        <f>IF(92&lt;=核心参数输入!$B$9*4,CR145+SUM(CR147:CR149)+CR163+CR164,0)</f>
        <v>0</v>
      </c>
      <c r="CS179" s="9">
        <f>IF(93&lt;=核心参数输入!$B$9*4,CS145+SUM(CS147:CS149)+CS163+CS164,0)</f>
        <v>0</v>
      </c>
      <c r="CT179" s="9">
        <f>IF(94&lt;=核心参数输入!$B$9*4,CT145+SUM(CT147:CT149)+CT163+CT164,0)</f>
        <v>0</v>
      </c>
      <c r="CU179" s="9">
        <f>IF(95&lt;=核心参数输入!$B$9*4,CU145+SUM(CU147:CU149)+CU163+CU164,0)</f>
        <v>0</v>
      </c>
      <c r="CV179" s="9">
        <f>IF(96&lt;=核心参数输入!$B$9*4,CV145+SUM(CV147:CV149)+CV163+CV164,0)</f>
        <v>0</v>
      </c>
      <c r="CW179" s="9">
        <f>IF(97&lt;=核心参数输入!$B$9*4,CW145+SUM(CW147:CW149)+CW163+CW164,0)</f>
        <v>0</v>
      </c>
      <c r="CX179" s="9">
        <f>IF(98&lt;=核心参数输入!$B$9*4,CX145+SUM(CX147:CX149)+CX163+CX164,0)</f>
        <v>0</v>
      </c>
      <c r="CY179" s="9">
        <f>IF(99&lt;=核心参数输入!$B$9*4,CY145+SUM(CY147:CY149)+CY163+CY164,0)</f>
        <v>0</v>
      </c>
      <c r="CZ179" s="9">
        <f>IF(100&lt;=核心参数输入!$B$9*4,CZ145+SUM(CZ147:CZ149)+CZ163+CZ164,0)</f>
        <v>0</v>
      </c>
      <c r="DA179" s="9">
        <f>IF(101&lt;=核心参数输入!$B$9*4,DA145+SUM(DA147:DA149)+DA163+DA164,0)</f>
        <v>0</v>
      </c>
      <c r="DB179" s="9">
        <f>IF(102&lt;=核心参数输入!$B$9*4,DB145+SUM(DB147:DB149)+DB163+DB164,0)</f>
        <v>0</v>
      </c>
      <c r="DC179" s="9">
        <f>IF(103&lt;=核心参数输入!$B$9*4,DC145+SUM(DC147:DC149)+DC163+DC164,0)</f>
        <v>0</v>
      </c>
      <c r="DD179" s="9">
        <f>IF(104&lt;=核心参数输入!$B$9*4,DD145+SUM(DD147:DD149)+DD163+DD164,0)</f>
        <v>0</v>
      </c>
      <c r="DE179" s="9">
        <f>IF(105&lt;=核心参数输入!$B$9*4,DE145+SUM(DE147:DE149)+DE163+DE164,0)</f>
        <v>0</v>
      </c>
      <c r="DF179" s="9">
        <f>IF(106&lt;=核心参数输入!$B$9*4,DF145+SUM(DF147:DF149)+DF163+DF164,0)</f>
        <v>0</v>
      </c>
      <c r="DG179" s="9">
        <f>IF(107&lt;=核心参数输入!$B$9*4,DG145+SUM(DG147:DG149)+DG163+DG164,0)</f>
        <v>0</v>
      </c>
      <c r="DH179" s="9">
        <f>IF(108&lt;=核心参数输入!$B$9*4,DH145+SUM(DH147:DH149)+DH163+DH164,0)</f>
        <v>0</v>
      </c>
      <c r="DI179" s="9">
        <f>IF(109&lt;=核心参数输入!$B$9*4,DI145+SUM(DI147:DI149)+DI163+DI164,0)</f>
        <v>0</v>
      </c>
      <c r="DJ179" s="9">
        <f>IF(110&lt;=核心参数输入!$B$9*4,DJ145+SUM(DJ147:DJ149)+DJ163+DJ164,0)</f>
        <v>0</v>
      </c>
      <c r="DK179" s="9">
        <f>IF(111&lt;=核心参数输入!$B$9*4,DK145+SUM(DK147:DK149)+DK163+DK164,0)</f>
        <v>0</v>
      </c>
      <c r="DL179" s="9">
        <f>IF(112&lt;=核心参数输入!$B$9*4,DL145+SUM(DL147:DL149)+DL163+DL164,0)</f>
        <v>0</v>
      </c>
      <c r="DM179" s="9">
        <f>IF(113&lt;=核心参数输入!$B$9*4,DM145+SUM(DM147:DM149)+DM163+DM164,0)</f>
        <v>0</v>
      </c>
      <c r="DN179" s="9">
        <f>IF(114&lt;=核心参数输入!$B$9*4,DN145+SUM(DN147:DN149)+DN163+DN164,0)</f>
        <v>0</v>
      </c>
      <c r="DO179" s="9">
        <f>IF(115&lt;=核心参数输入!$B$9*4,DO145+SUM(DO147:DO149)+DO163+DO164,0)</f>
        <v>0</v>
      </c>
      <c r="DP179" s="9">
        <f>IF(116&lt;=核心参数输入!$B$9*4,DP145+SUM(DP147:DP149)+DP163+DP164,0)</f>
        <v>0</v>
      </c>
      <c r="DQ179" s="9">
        <f>IF(117&lt;=核心参数输入!$B$9*4,DQ145+SUM(DQ147:DQ149)+DQ163+DQ164,0)</f>
        <v>0</v>
      </c>
      <c r="DR179" s="9">
        <f>IF(118&lt;=核心参数输入!$B$9*4,DR145+SUM(DR147:DR149)+DR163+DR164,0)</f>
        <v>0</v>
      </c>
      <c r="DS179" s="9">
        <f>IF(119&lt;=核心参数输入!$B$9*4,DS145+SUM(DS147:DS149)+DS163+DS164,0)</f>
        <v>0</v>
      </c>
      <c r="DT179" s="9">
        <f>IF(120&lt;=核心参数输入!$B$9*4,DT145+SUM(DT147:DT149)+DT163+DT164,0)</f>
        <v>0</v>
      </c>
    </row>
    <row r="180" spans="1:124" ht="21" customHeight="1">
      <c r="A180" s="8" t="s">
        <v>501</v>
      </c>
      <c r="B180" s="8" t="s">
        <v>39</v>
      </c>
      <c r="C180" s="8"/>
      <c r="D180" s="9">
        <f>IF(0&lt;=核心参数输入!$B$9*4,D143-D134-SUM(D147:D150),0)</f>
        <v>0</v>
      </c>
      <c r="E180" s="9">
        <f>IF(1&lt;=核心参数输入!$B$9*4,E143-E134-SUM(E147:E150),0)</f>
        <v>0</v>
      </c>
      <c r="F180" s="9">
        <f>IF(2&lt;=核心参数输入!$B$9*4,F143-F134-SUM(F147:F150),0)</f>
        <v>0</v>
      </c>
      <c r="G180" s="9">
        <f>IF(3&lt;=核心参数输入!$B$9*4,G143-G134-SUM(G147:G150),0)</f>
        <v>0</v>
      </c>
      <c r="H180" s="9">
        <f>IF(4&lt;=核心参数输入!$B$9*4,H143-H134-SUM(H147:H150),0)</f>
        <v>0</v>
      </c>
      <c r="I180" s="9">
        <f>IF(5&lt;=核心参数输入!$B$9*4,I143-I134-SUM(I147:I150),0)</f>
        <v>0</v>
      </c>
      <c r="J180" s="9">
        <f>IF(6&lt;=核心参数输入!$B$9*4,J143-J134-SUM(J147:J150),0)</f>
        <v>0</v>
      </c>
      <c r="K180" s="9">
        <f>IF(7&lt;=核心参数输入!$B$9*4,K143-K134-SUM(K147:K150),0)</f>
        <v>0</v>
      </c>
      <c r="L180" s="9">
        <f>IF(8&lt;=核心参数输入!$B$9*4,L143-L134-SUM(L147:L150),0)</f>
        <v>0</v>
      </c>
      <c r="M180" s="9">
        <f>IF(9&lt;=核心参数输入!$B$9*4,M143-M134-SUM(M147:M150),0)</f>
        <v>0</v>
      </c>
      <c r="N180" s="9">
        <f>IF(10&lt;=核心参数输入!$B$9*4,N143-N134-SUM(N147:N150),0)</f>
        <v>0</v>
      </c>
      <c r="O180" s="9">
        <f>IF(11&lt;=核心参数输入!$B$9*4,O143-O134-SUM(O147:O150),0)</f>
        <v>0</v>
      </c>
      <c r="P180" s="9">
        <f>IF(12&lt;=核心参数输入!$B$9*4,P143-P134-SUM(P147:P150),0)</f>
        <v>0</v>
      </c>
      <c r="Q180" s="9">
        <f>IF(13&lt;=核心参数输入!$B$9*4,Q143-Q134-SUM(Q147:Q150),0)</f>
        <v>-119.99999999999997</v>
      </c>
      <c r="R180" s="9">
        <f>IF(14&lt;=核心参数输入!$B$9*4,R143-R134-SUM(R147:R150),0)</f>
        <v>-102.03345601499997</v>
      </c>
      <c r="S180" s="9">
        <f>IF(15&lt;=核心参数输入!$B$9*4,S143-S134-SUM(S147:S150),0)</f>
        <v>-66.100368044999968</v>
      </c>
      <c r="T180" s="9">
        <f>IF(16&lt;=核心参数输入!$B$9*4,T143-T134-SUM(T147:T150),0)</f>
        <v>-30.167280074999979</v>
      </c>
      <c r="U180" s="9">
        <f>IF(17&lt;=核心参数输入!$B$9*4,U143-U134-SUM(U147:U150),0)</f>
        <v>6.1522950134250323</v>
      </c>
      <c r="V180" s="9">
        <f>IF(18&lt;=核心参数输入!$B$9*4,V143-V134-SUM(V147:V150),0)</f>
        <v>33.506358230587523</v>
      </c>
      <c r="W180" s="9">
        <f>IF(19&lt;=核心参数输入!$B$9*4,W143-W134-SUM(W147:W150),0)</f>
        <v>51.742400375362507</v>
      </c>
      <c r="X180" s="9">
        <f>IF(20&lt;=核心参数输入!$B$9*4,X143-X134-SUM(X147:X150),0)</f>
        <v>69.97844252013752</v>
      </c>
      <c r="Y180" s="9">
        <f>IF(21&lt;=核心参数输入!$B$9*4,Y143-Y134-SUM(Y147:Y150),0)</f>
        <v>89.830201934886105</v>
      </c>
      <c r="Z180" s="9">
        <f>IF(22&lt;=核心参数输入!$B$9*4,Z143-Z134-SUM(Z147:Z150),0)</f>
        <v>106.02608686471444</v>
      </c>
      <c r="AA180" s="9">
        <f>IF(23&lt;=核心参数输入!$B$9*4,AA143-AA134-SUM(AA147:AA150),0)</f>
        <v>119.90827394742439</v>
      </c>
      <c r="AB180" s="9">
        <f>IF(24&lt;=核心参数输入!$B$9*4,AB143-AB134-SUM(AB147:AB150),0)</f>
        <v>133.79046103013434</v>
      </c>
      <c r="AC180" s="9">
        <f>IF(25&lt;=核心参数输入!$B$9*4,AC143-AC134-SUM(AC147:AC150),0)</f>
        <v>150.17258783453693</v>
      </c>
      <c r="AD180" s="9">
        <f>IF(26&lt;=核心参数输入!$B$9*4,AD143-AD134-SUM(AD147:AD150),0)</f>
        <v>159.56620109383732</v>
      </c>
      <c r="AE180" s="9">
        <f>IF(27&lt;=核心参数输入!$B$9*4,AE143-AE134-SUM(AE147:AE150),0)</f>
        <v>164.26300772348753</v>
      </c>
      <c r="AF180" s="9">
        <f>IF(28&lt;=核心参数输入!$B$9*4,AF143-AF134-SUM(AF147:AF150),0)</f>
        <v>168.9598143531378</v>
      </c>
      <c r="AG180" s="9">
        <f>IF(29&lt;=核心参数输入!$B$9*4,AG143-AG134-SUM(AG147:AG150),0)</f>
        <v>176.53851729752981</v>
      </c>
      <c r="AH180" s="9">
        <f>IF(30&lt;=核心参数输入!$B$9*4,AH143-AH134-SUM(AH147:AH150),0)</f>
        <v>178.92214666207724</v>
      </c>
      <c r="AI180" s="9">
        <f>IF(31&lt;=核心参数输入!$B$9*4,AI143-AI134-SUM(AI147:AI150),0)</f>
        <v>178.92214666207724</v>
      </c>
      <c r="AJ180" s="9">
        <f>IF(32&lt;=核心参数输入!$B$9*4,AJ143-AJ134-SUM(AJ147:AJ150),0)</f>
        <v>178.92214666207724</v>
      </c>
      <c r="AK180" s="9">
        <f>IF(33&lt;=核心参数输入!$B$9*4,AK143-AK134-SUM(AK147:AK150),0)</f>
        <v>181.87506680200843</v>
      </c>
      <c r="AL180" s="9">
        <f>IF(34&lt;=核心参数输入!$B$9*4,AL143-AL134-SUM(AL147:AL150),0)</f>
        <v>181.87506680200843</v>
      </c>
      <c r="AM180" s="9">
        <f>IF(35&lt;=核心参数输入!$B$9*4,AM143-AM134-SUM(AM147:AM150),0)</f>
        <v>181.87506680200843</v>
      </c>
      <c r="AN180" s="9">
        <f>IF(36&lt;=核心参数输入!$B$9*4,AN143-AN134-SUM(AN147:AN150),0)</f>
        <v>181.87506680200843</v>
      </c>
      <c r="AO180" s="9">
        <f>IF(37&lt;=核心参数输入!$B$9*4,AO143-AO134-SUM(AO147:AO150),0)</f>
        <v>184.86416250283844</v>
      </c>
      <c r="AP180" s="9">
        <f>IF(38&lt;=核心参数输入!$B$9*4,AP143-AP134-SUM(AP147:AP150),0)</f>
        <v>184.86416250283844</v>
      </c>
      <c r="AQ180" s="9">
        <f>IF(39&lt;=核心参数输入!$B$9*4,AQ143-AQ134-SUM(AQ147:AQ150),0)</f>
        <v>184.86416250283844</v>
      </c>
      <c r="AR180" s="9">
        <f>IF(40&lt;=核心参数输入!$B$9*4,AR143-AR134-SUM(AR147:AR150),0)</f>
        <v>184.86416250283844</v>
      </c>
      <c r="AS180" s="9">
        <f>IF(41&lt;=核心参数输入!$B$9*4,AS143-AS134-SUM(AS147:AS150),0)</f>
        <v>187.88981403315699</v>
      </c>
      <c r="AT180" s="9">
        <f>IF(42&lt;=核心参数输入!$B$9*4,AT143-AT134-SUM(AT147:AT150),0)</f>
        <v>187.88981403315699</v>
      </c>
      <c r="AU180" s="9">
        <f>IF(43&lt;=核心参数输入!$B$9*4,AU143-AU134-SUM(AU147:AU150),0)</f>
        <v>187.88981403315699</v>
      </c>
      <c r="AV180" s="9">
        <f>IF(44&lt;=核心参数输入!$B$9*4,AV143-AV134-SUM(AV147:AV150),0)</f>
        <v>187.88981403315699</v>
      </c>
      <c r="AW180" s="9">
        <f>IF(45&lt;=核心参数输入!$B$9*4,AW143-AW134-SUM(AW147:AW150),0)</f>
        <v>190.95240411828576</v>
      </c>
      <c r="AX180" s="9">
        <f>IF(46&lt;=核心参数输入!$B$9*4,AX143-AX134-SUM(AX147:AX150),0)</f>
        <v>190.95240411828576</v>
      </c>
      <c r="AY180" s="9">
        <f>IF(47&lt;=核心参数输入!$B$9*4,AY143-AY134-SUM(AY147:AY150),0)</f>
        <v>190.95240411828576</v>
      </c>
      <c r="AZ180" s="9">
        <f>IF(48&lt;=核心参数输入!$B$9*4,AZ143-AZ134-SUM(AZ147:AZ150),0)</f>
        <v>190.95240411828576</v>
      </c>
      <c r="BA180" s="9">
        <f>IF(49&lt;=核心参数输入!$B$9*4,BA143-BA134-SUM(BA147:BA150),0)</f>
        <v>194.05231791218421</v>
      </c>
      <c r="BB180" s="9">
        <f>IF(50&lt;=核心参数输入!$B$9*4,BB143-BB134-SUM(BB147:BB150),0)</f>
        <v>194.05231791218421</v>
      </c>
      <c r="BC180" s="9">
        <f>IF(51&lt;=核心参数输入!$B$9*4,BC143-BC134-SUM(BC147:BC150),0)</f>
        <v>194.05231791218421</v>
      </c>
      <c r="BD180" s="9">
        <f>IF(52&lt;=核心参数输入!$B$9*4,BD143-BD134-SUM(BD147:BD150),0)</f>
        <v>194.05231791218421</v>
      </c>
      <c r="BE180" s="9">
        <f>IF(53&lt;=核心参数输入!$B$9*4,BE143-BE134-SUM(BE147:BE150),0)</f>
        <v>197.18994296763356</v>
      </c>
      <c r="BF180" s="9">
        <f>IF(54&lt;=核心参数输入!$B$9*4,BF143-BF134-SUM(BF147:BF150),0)</f>
        <v>197.18994296763356</v>
      </c>
      <c r="BG180" s="9">
        <f>IF(55&lt;=核心参数输入!$B$9*4,BG143-BG134-SUM(BG147:BG150),0)</f>
        <v>197.18994296763356</v>
      </c>
      <c r="BH180" s="9">
        <f>IF(56&lt;=核心参数输入!$B$9*4,BH143-BH134-SUM(BH147:BH150),0)</f>
        <v>197.18994296763356</v>
      </c>
      <c r="BI180" s="9">
        <f>IF(57&lt;=核心参数输入!$B$9*4,BI143-BI134-SUM(BI147:BI150),0)</f>
        <v>200.36566920464995</v>
      </c>
      <c r="BJ180" s="9">
        <f>IF(58&lt;=核心参数输入!$B$9*4,BJ143-BJ134-SUM(BJ147:BJ150),0)</f>
        <v>200.36566920464995</v>
      </c>
      <c r="BK180" s="9">
        <f>IF(59&lt;=核心参数输入!$B$9*4,BK143-BK134-SUM(BK147:BK150),0)</f>
        <v>200.36566920464995</v>
      </c>
      <c r="BL180" s="9">
        <f>IF(60&lt;=核心参数输入!$B$9*4,BL143-BL134-SUM(BL147:BL150),0)</f>
        <v>200.36566920464995</v>
      </c>
      <c r="BM180" s="9">
        <f>IF(61&lt;=核心参数输入!$B$9*4,BM143-BM134-SUM(BM147:BM150),0)</f>
        <v>203.57988887707162</v>
      </c>
      <c r="BN180" s="9">
        <f>IF(62&lt;=核心参数输入!$B$9*4,BN143-BN134-SUM(BN147:BN150),0)</f>
        <v>203.57988887707162</v>
      </c>
      <c r="BO180" s="9">
        <f>IF(63&lt;=核心参数输入!$B$9*4,BO143-BO134-SUM(BO147:BO150),0)</f>
        <v>203.57988887707162</v>
      </c>
      <c r="BP180" s="9">
        <f>IF(64&lt;=核心参数输入!$B$9*4,BP143-BP134-SUM(BP147:BP150),0)</f>
        <v>203.57988887707162</v>
      </c>
      <c r="BQ180" s="9">
        <f>IF(65&lt;=核心参数输入!$B$9*4,BQ143-BQ134-SUM(BQ147:BQ150),0)</f>
        <v>206.83299653726678</v>
      </c>
      <c r="BR180" s="9">
        <f>IF(66&lt;=核心参数输入!$B$9*4,BR143-BR134-SUM(BR147:BR150),0)</f>
        <v>206.83299653726678</v>
      </c>
      <c r="BS180" s="9">
        <f>IF(67&lt;=核心参数输入!$B$9*4,BS143-BS134-SUM(BS147:BS150),0)</f>
        <v>206.83299653726678</v>
      </c>
      <c r="BT180" s="9">
        <f>IF(68&lt;=核心参数输入!$B$9*4,BT143-BT134-SUM(BT147:BT150),0)</f>
        <v>206.83299653726678</v>
      </c>
      <c r="BU180" s="9">
        <f>IF(69&lt;=核心参数输入!$B$9*4,BU143-BU134-SUM(BU147:BU150),0)</f>
        <v>210.12538899890549</v>
      </c>
      <c r="BV180" s="9">
        <f>IF(70&lt;=核心参数输入!$B$9*4,BV143-BV134-SUM(BV147:BV150),0)</f>
        <v>210.12538899890549</v>
      </c>
      <c r="BW180" s="9">
        <f>IF(71&lt;=核心参数输入!$B$9*4,BW143-BW134-SUM(BW147:BW150),0)</f>
        <v>210.12538899890549</v>
      </c>
      <c r="BX180" s="9">
        <f>IF(72&lt;=核心参数输入!$B$9*4,BX143-BX134-SUM(BX147:BX150),0)</f>
        <v>210.12538899890549</v>
      </c>
      <c r="BY180" s="9">
        <f>IF(73&lt;=核心参数输入!$B$9*4,BY143-BY134-SUM(BY147:BY150),0)</f>
        <v>213.45746529774047</v>
      </c>
      <c r="BZ180" s="9">
        <f>IF(74&lt;=核心参数输入!$B$9*4,BZ143-BZ134-SUM(BZ147:BZ150),0)</f>
        <v>213.45746529774047</v>
      </c>
      <c r="CA180" s="9">
        <f>IF(75&lt;=核心参数输入!$B$9*4,CA143-CA134-SUM(CA147:CA150),0)</f>
        <v>213.45746529774047</v>
      </c>
      <c r="CB180" s="9">
        <f>IF(76&lt;=核心参数输入!$B$9*4,CB143-CB134-SUM(CB147:CB150),0)</f>
        <v>213.45746529774047</v>
      </c>
      <c r="CC180" s="9">
        <f>IF(77&lt;=核心参数输入!$B$9*4,CC143-CC134-SUM(CC147:CC150),0)</f>
        <v>216.829626650335</v>
      </c>
      <c r="CD180" s="9">
        <f>IF(78&lt;=核心参数输入!$B$9*4,CD143-CD134-SUM(CD147:CD150),0)</f>
        <v>216.829626650335</v>
      </c>
      <c r="CE180" s="9">
        <f>IF(79&lt;=核心参数输入!$B$9*4,CE143-CE134-SUM(CE147:CE150),0)</f>
        <v>216.829626650335</v>
      </c>
      <c r="CF180" s="9">
        <f>IF(80&lt;=核心参数输入!$B$9*4,CF143-CF134-SUM(CF147:CF150),0)</f>
        <v>216.829626650335</v>
      </c>
      <c r="CG180" s="9">
        <f>IF(81&lt;=核心参数输入!$B$9*4,CG143-CG134-SUM(CG147:CG150),0)</f>
        <v>0</v>
      </c>
      <c r="CH180" s="9">
        <f>IF(82&lt;=核心参数输入!$B$9*4,CH143-CH134-SUM(CH147:CH150),0)</f>
        <v>0</v>
      </c>
      <c r="CI180" s="9">
        <f>IF(83&lt;=核心参数输入!$B$9*4,CI143-CI134-SUM(CI147:CI150),0)</f>
        <v>0</v>
      </c>
      <c r="CJ180" s="9">
        <f>IF(84&lt;=核心参数输入!$B$9*4,CJ143-CJ134-SUM(CJ147:CJ150),0)</f>
        <v>0</v>
      </c>
      <c r="CK180" s="9">
        <f>IF(85&lt;=核心参数输入!$B$9*4,CK143-CK134-SUM(CK147:CK150),0)</f>
        <v>0</v>
      </c>
      <c r="CL180" s="9">
        <f>IF(86&lt;=核心参数输入!$B$9*4,CL143-CL134-SUM(CL147:CL150),0)</f>
        <v>0</v>
      </c>
      <c r="CM180" s="9">
        <f>IF(87&lt;=核心参数输入!$B$9*4,CM143-CM134-SUM(CM147:CM150),0)</f>
        <v>0</v>
      </c>
      <c r="CN180" s="9">
        <f>IF(88&lt;=核心参数输入!$B$9*4,CN143-CN134-SUM(CN147:CN150),0)</f>
        <v>0</v>
      </c>
      <c r="CO180" s="9">
        <f>IF(89&lt;=核心参数输入!$B$9*4,CO143-CO134-SUM(CO147:CO150),0)</f>
        <v>0</v>
      </c>
      <c r="CP180" s="9">
        <f>IF(90&lt;=核心参数输入!$B$9*4,CP143-CP134-SUM(CP147:CP150),0)</f>
        <v>0</v>
      </c>
      <c r="CQ180" s="9">
        <f>IF(91&lt;=核心参数输入!$B$9*4,CQ143-CQ134-SUM(CQ147:CQ150),0)</f>
        <v>0</v>
      </c>
      <c r="CR180" s="9">
        <f>IF(92&lt;=核心参数输入!$B$9*4,CR143-CR134-SUM(CR147:CR150),0)</f>
        <v>0</v>
      </c>
      <c r="CS180" s="9">
        <f>IF(93&lt;=核心参数输入!$B$9*4,CS143-CS134-SUM(CS147:CS150),0)</f>
        <v>0</v>
      </c>
      <c r="CT180" s="9">
        <f>IF(94&lt;=核心参数输入!$B$9*4,CT143-CT134-SUM(CT147:CT150),0)</f>
        <v>0</v>
      </c>
      <c r="CU180" s="9">
        <f>IF(95&lt;=核心参数输入!$B$9*4,CU143-CU134-SUM(CU147:CU150),0)</f>
        <v>0</v>
      </c>
      <c r="CV180" s="9">
        <f>IF(96&lt;=核心参数输入!$B$9*4,CV143-CV134-SUM(CV147:CV150),0)</f>
        <v>0</v>
      </c>
      <c r="CW180" s="9">
        <f>IF(97&lt;=核心参数输入!$B$9*4,CW143-CW134-SUM(CW147:CW150),0)</f>
        <v>0</v>
      </c>
      <c r="CX180" s="9">
        <f>IF(98&lt;=核心参数输入!$B$9*4,CX143-CX134-SUM(CX147:CX150),0)</f>
        <v>0</v>
      </c>
      <c r="CY180" s="9">
        <f>IF(99&lt;=核心参数输入!$B$9*4,CY143-CY134-SUM(CY147:CY150),0)</f>
        <v>0</v>
      </c>
      <c r="CZ180" s="9">
        <f>IF(100&lt;=核心参数输入!$B$9*4,CZ143-CZ134-SUM(CZ147:CZ150),0)</f>
        <v>0</v>
      </c>
      <c r="DA180" s="9">
        <f>IF(101&lt;=核心参数输入!$B$9*4,DA143-DA134-SUM(DA147:DA150),0)</f>
        <v>0</v>
      </c>
      <c r="DB180" s="9">
        <f>IF(102&lt;=核心参数输入!$B$9*4,DB143-DB134-SUM(DB147:DB150),0)</f>
        <v>0</v>
      </c>
      <c r="DC180" s="9">
        <f>IF(103&lt;=核心参数输入!$B$9*4,DC143-DC134-SUM(DC147:DC150),0)</f>
        <v>0</v>
      </c>
      <c r="DD180" s="9">
        <f>IF(104&lt;=核心参数输入!$B$9*4,DD143-DD134-SUM(DD147:DD150),0)</f>
        <v>0</v>
      </c>
      <c r="DE180" s="9">
        <f>IF(105&lt;=核心参数输入!$B$9*4,DE143-DE134-SUM(DE147:DE150),0)</f>
        <v>0</v>
      </c>
      <c r="DF180" s="9">
        <f>IF(106&lt;=核心参数输入!$B$9*4,DF143-DF134-SUM(DF147:DF150),0)</f>
        <v>0</v>
      </c>
      <c r="DG180" s="9">
        <f>IF(107&lt;=核心参数输入!$B$9*4,DG143-DG134-SUM(DG147:DG150),0)</f>
        <v>0</v>
      </c>
      <c r="DH180" s="9">
        <f>IF(108&lt;=核心参数输入!$B$9*4,DH143-DH134-SUM(DH147:DH150),0)</f>
        <v>0</v>
      </c>
      <c r="DI180" s="9">
        <f>IF(109&lt;=核心参数输入!$B$9*4,DI143-DI134-SUM(DI147:DI150),0)</f>
        <v>0</v>
      </c>
      <c r="DJ180" s="9">
        <f>IF(110&lt;=核心参数输入!$B$9*4,DJ143-DJ134-SUM(DJ147:DJ150),0)</f>
        <v>0</v>
      </c>
      <c r="DK180" s="9">
        <f>IF(111&lt;=核心参数输入!$B$9*4,DK143-DK134-SUM(DK147:DK150),0)</f>
        <v>0</v>
      </c>
      <c r="DL180" s="9">
        <f>IF(112&lt;=核心参数输入!$B$9*4,DL143-DL134-SUM(DL147:DL150),0)</f>
        <v>0</v>
      </c>
      <c r="DM180" s="9">
        <f>IF(113&lt;=核心参数输入!$B$9*4,DM143-DM134-SUM(DM147:DM150),0)</f>
        <v>0</v>
      </c>
      <c r="DN180" s="9">
        <f>IF(114&lt;=核心参数输入!$B$9*4,DN143-DN134-SUM(DN147:DN150),0)</f>
        <v>0</v>
      </c>
      <c r="DO180" s="9">
        <f>IF(115&lt;=核心参数输入!$B$9*4,DO143-DO134-SUM(DO147:DO150),0)</f>
        <v>0</v>
      </c>
      <c r="DP180" s="9">
        <f>IF(116&lt;=核心参数输入!$B$9*4,DP143-DP134-SUM(DP147:DP150),0)</f>
        <v>0</v>
      </c>
      <c r="DQ180" s="9">
        <f>IF(117&lt;=核心参数输入!$B$9*4,DQ143-DQ134-SUM(DQ147:DQ150),0)</f>
        <v>0</v>
      </c>
      <c r="DR180" s="9">
        <f>IF(118&lt;=核心参数输入!$B$9*4,DR143-DR134-SUM(DR147:DR150),0)</f>
        <v>0</v>
      </c>
      <c r="DS180" s="9">
        <f>IF(119&lt;=核心参数输入!$B$9*4,DS143-DS134-SUM(DS147:DS150),0)</f>
        <v>0</v>
      </c>
      <c r="DT180" s="9">
        <f>IF(120&lt;=核心参数输入!$B$9*4,DT143-DT134-SUM(DT147:DT150),0)</f>
        <v>0</v>
      </c>
    </row>
    <row r="181" spans="1:124" ht="21" customHeight="1">
      <c r="A181" s="8" t="s">
        <v>502</v>
      </c>
      <c r="B181" s="8" t="s">
        <v>39</v>
      </c>
      <c r="C181" s="8"/>
      <c r="D181" s="9">
        <f>IF(0&lt;=核心参数输入!$B$9*4,IF(AND(0-核心参数输入!$B$112&gt;=0,0-核心参数输入!$B$112&lt;=120),INDEX(季度经营税费!$D$146:$DT$146,1,MAX(1,MIN(121,0-核心参数输入!$B$112+1))),0)+IF(0=核心参数输入!$B$9*4,SUMPRODUCT(季度经营税费!$D$146:$DT$146,--(季度经营税费!$D$4:$DT$4&gt;核心参数输入!$B$9*4-核心参数输入!$B$112)),0),0)</f>
        <v>0</v>
      </c>
      <c r="E181" s="9">
        <f>IF(1&lt;=核心参数输入!$B$9*4,IF(AND(1-核心参数输入!$B$112&gt;=0,1-核心参数输入!$B$112&lt;=120),INDEX(季度经营税费!$D$146:$DT$146,1,MAX(1,MIN(121,1-核心参数输入!$B$112+1))),0)+IF(1=核心参数输入!$B$9*4,SUMPRODUCT(季度经营税费!$D$146:$DT$146,--(季度经营税费!$D$4:$DT$4&gt;核心参数输入!$B$9*4-核心参数输入!$B$112)),0),0)</f>
        <v>0</v>
      </c>
      <c r="F181" s="9">
        <f>IF(2&lt;=核心参数输入!$B$9*4,IF(AND(2-核心参数输入!$B$112&gt;=0,2-核心参数输入!$B$112&lt;=120),INDEX(季度经营税费!$D$146:$DT$146,1,MAX(1,MIN(121,2-核心参数输入!$B$112+1))),0)+IF(2=核心参数输入!$B$9*4,SUMPRODUCT(季度经营税费!$D$146:$DT$146,--(季度经营税费!$D$4:$DT$4&gt;核心参数输入!$B$9*4-核心参数输入!$B$112)),0),0)</f>
        <v>0</v>
      </c>
      <c r="G181" s="9">
        <f>IF(3&lt;=核心参数输入!$B$9*4,IF(AND(3-核心参数输入!$B$112&gt;=0,3-核心参数输入!$B$112&lt;=120),INDEX(季度经营税费!$D$146:$DT$146,1,MAX(1,MIN(121,3-核心参数输入!$B$112+1))),0)+IF(3=核心参数输入!$B$9*4,SUMPRODUCT(季度经营税费!$D$146:$DT$146,--(季度经营税费!$D$4:$DT$4&gt;核心参数输入!$B$9*4-核心参数输入!$B$112)),0),0)</f>
        <v>0</v>
      </c>
      <c r="H181" s="9">
        <f>IF(4&lt;=核心参数输入!$B$9*4,IF(AND(4-核心参数输入!$B$112&gt;=0,4-核心参数输入!$B$112&lt;=120),INDEX(季度经营税费!$D$146:$DT$146,1,MAX(1,MIN(121,4-核心参数输入!$B$112+1))),0)+IF(4=核心参数输入!$B$9*4,SUMPRODUCT(季度经营税费!$D$146:$DT$146,--(季度经营税费!$D$4:$DT$4&gt;核心参数输入!$B$9*4-核心参数输入!$B$112)),0),0)</f>
        <v>0</v>
      </c>
      <c r="I181" s="9">
        <f>IF(5&lt;=核心参数输入!$B$9*4,IF(AND(5-核心参数输入!$B$112&gt;=0,5-核心参数输入!$B$112&lt;=120),INDEX(季度经营税费!$D$146:$DT$146,1,MAX(1,MIN(121,5-核心参数输入!$B$112+1))),0)+IF(5=核心参数输入!$B$9*4,SUMPRODUCT(季度经营税费!$D$146:$DT$146,--(季度经营税费!$D$4:$DT$4&gt;核心参数输入!$B$9*4-核心参数输入!$B$112)),0),0)</f>
        <v>0</v>
      </c>
      <c r="J181" s="9">
        <f>IF(6&lt;=核心参数输入!$B$9*4,IF(AND(6-核心参数输入!$B$112&gt;=0,6-核心参数输入!$B$112&lt;=120),INDEX(季度经营税费!$D$146:$DT$146,1,MAX(1,MIN(121,6-核心参数输入!$B$112+1))),0)+IF(6=核心参数输入!$B$9*4,SUMPRODUCT(季度经营税费!$D$146:$DT$146,--(季度经营税费!$D$4:$DT$4&gt;核心参数输入!$B$9*4-核心参数输入!$B$112)),0),0)</f>
        <v>0</v>
      </c>
      <c r="K181" s="9">
        <f>IF(7&lt;=核心参数输入!$B$9*4,IF(AND(7-核心参数输入!$B$112&gt;=0,7-核心参数输入!$B$112&lt;=120),INDEX(季度经营税费!$D$146:$DT$146,1,MAX(1,MIN(121,7-核心参数输入!$B$112+1))),0)+IF(7=核心参数输入!$B$9*4,SUMPRODUCT(季度经营税费!$D$146:$DT$146,--(季度经营税费!$D$4:$DT$4&gt;核心参数输入!$B$9*4-核心参数输入!$B$112)),0),0)</f>
        <v>0</v>
      </c>
      <c r="L181" s="9">
        <f>IF(8&lt;=核心参数输入!$B$9*4,IF(AND(8-核心参数输入!$B$112&gt;=0,8-核心参数输入!$B$112&lt;=120),INDEX(季度经营税费!$D$146:$DT$146,1,MAX(1,MIN(121,8-核心参数输入!$B$112+1))),0)+IF(8=核心参数输入!$B$9*4,SUMPRODUCT(季度经营税费!$D$146:$DT$146,--(季度经营税费!$D$4:$DT$4&gt;核心参数输入!$B$9*4-核心参数输入!$B$112)),0),0)</f>
        <v>0</v>
      </c>
      <c r="M181" s="9">
        <f>IF(9&lt;=核心参数输入!$B$9*4,IF(AND(9-核心参数输入!$B$112&gt;=0,9-核心参数输入!$B$112&lt;=120),INDEX(季度经营税费!$D$146:$DT$146,1,MAX(1,MIN(121,9-核心参数输入!$B$112+1))),0)+IF(9=核心参数输入!$B$9*4,SUMPRODUCT(季度经营税费!$D$146:$DT$146,--(季度经营税费!$D$4:$DT$4&gt;核心参数输入!$B$9*4-核心参数输入!$B$112)),0),0)</f>
        <v>0</v>
      </c>
      <c r="N181" s="9">
        <f>IF(10&lt;=核心参数输入!$B$9*4,IF(AND(10-核心参数输入!$B$112&gt;=0,10-核心参数输入!$B$112&lt;=120),INDEX(季度经营税费!$D$146:$DT$146,1,MAX(1,MIN(121,10-核心参数输入!$B$112+1))),0)+IF(10=核心参数输入!$B$9*4,SUMPRODUCT(季度经营税费!$D$146:$DT$146,--(季度经营税费!$D$4:$DT$4&gt;核心参数输入!$B$9*4-核心参数输入!$B$112)),0),0)</f>
        <v>0</v>
      </c>
      <c r="O181" s="9">
        <f>IF(11&lt;=核心参数输入!$B$9*4,IF(AND(11-核心参数输入!$B$112&gt;=0,11-核心参数输入!$B$112&lt;=120),INDEX(季度经营税费!$D$146:$DT$146,1,MAX(1,MIN(121,11-核心参数输入!$B$112+1))),0)+IF(11=核心参数输入!$B$9*4,SUMPRODUCT(季度经营税费!$D$146:$DT$146,--(季度经营税费!$D$4:$DT$4&gt;核心参数输入!$B$9*4-核心参数输入!$B$112)),0),0)</f>
        <v>0</v>
      </c>
      <c r="P181" s="9">
        <f>IF(12&lt;=核心参数输入!$B$9*4,IF(AND(12-核心参数输入!$B$112&gt;=0,12-核心参数输入!$B$112&lt;=120),INDEX(季度经营税费!$D$146:$DT$146,1,MAX(1,MIN(121,12-核心参数输入!$B$112+1))),0)+IF(12=核心参数输入!$B$9*4,SUMPRODUCT(季度经营税费!$D$146:$DT$146,--(季度经营税费!$D$4:$DT$4&gt;核心参数输入!$B$9*4-核心参数输入!$B$112)),0),0)</f>
        <v>0</v>
      </c>
      <c r="Q181" s="9">
        <f>IF(13&lt;=核心参数输入!$B$9*4,IF(AND(13-核心参数输入!$B$112&gt;=0,13-核心参数输入!$B$112&lt;=120),INDEX(季度经营税费!$D$146:$DT$146,1,MAX(1,MIN(121,13-核心参数输入!$B$112+1))),0)+IF(13=核心参数输入!$B$9*4,SUMPRODUCT(季度经营税费!$D$146:$DT$146,--(季度经营税费!$D$4:$DT$4&gt;核心参数输入!$B$9*4-核心参数输入!$B$112)),0),0)</f>
        <v>260.61750000000001</v>
      </c>
      <c r="R181" s="9">
        <f>IF(14&lt;=核心参数输入!$B$9*4,IF(AND(14-核心参数输入!$B$112&gt;=0,14-核心参数输入!$B$112&lt;=120),INDEX(季度经营税费!$D$146:$DT$146,1,MAX(1,MIN(121,14-核心参数输入!$B$112+1))),0)+IF(14=核心参数输入!$B$9*4,SUMPRODUCT(季度经营税费!$D$146:$DT$146,--(季度经营税费!$D$4:$DT$4&gt;核心参数输入!$B$9*4-核心参数输入!$B$112)),0),0)</f>
        <v>260.61750000000001</v>
      </c>
      <c r="S181" s="9">
        <f>IF(15&lt;=核心参数输入!$B$9*4,IF(AND(15-核心参数输入!$B$112&gt;=0,15-核心参数输入!$B$112&lt;=120),INDEX(季度经营税费!$D$146:$DT$146,1,MAX(1,MIN(121,15-核心参数输入!$B$112+1))),0)+IF(15=核心参数输入!$B$9*4,SUMPRODUCT(季度经营税费!$D$146:$DT$146,--(季度经营税费!$D$4:$DT$4&gt;核心参数输入!$B$9*4-核心参数输入!$B$112)),0),0)</f>
        <v>260.61750000000001</v>
      </c>
      <c r="T181" s="9">
        <f>IF(16&lt;=核心参数输入!$B$9*4,IF(AND(16-核心参数输入!$B$112&gt;=0,16-核心参数输入!$B$112&lt;=120),INDEX(季度经营税费!$D$146:$DT$146,1,MAX(1,MIN(121,16-核心参数输入!$B$112+1))),0)+IF(16=核心参数输入!$B$9*4,SUMPRODUCT(季度经营税费!$D$146:$DT$146,--(季度经营税费!$D$4:$DT$4&gt;核心参数输入!$B$9*4-核心参数输入!$B$112)),0),0)</f>
        <v>260.61750000000001</v>
      </c>
      <c r="U181" s="9">
        <f>IF(17&lt;=核心参数输入!$B$9*4,IF(AND(17-核心参数输入!$B$112&gt;=0,17-核心参数输入!$B$112&lt;=120),INDEX(季度经营税费!$D$146:$DT$146,1,MAX(1,MIN(121,17-核心参数输入!$B$112+1))),0)+IF(17=核心参数输入!$B$9*4,SUMPRODUCT(季度经营税费!$D$146:$DT$146,--(季度经营税费!$D$4:$DT$4&gt;核心参数输入!$B$9*4-核心参数输入!$B$112)),0),0)</f>
        <v>347.49</v>
      </c>
      <c r="V181" s="9">
        <f>IF(18&lt;=核心参数输入!$B$9*4,IF(AND(18-核心参数输入!$B$112&gt;=0,18-核心参数输入!$B$112&lt;=120),INDEX(季度经营税费!$D$146:$DT$146,1,MAX(1,MIN(121,18-核心参数输入!$B$112+1))),0)+IF(18=核心参数输入!$B$9*4,SUMPRODUCT(季度经营税费!$D$146:$DT$146,--(季度经营税费!$D$4:$DT$4&gt;核心参数输入!$B$9*4-核心参数输入!$B$112)),0),0)</f>
        <v>347.49</v>
      </c>
      <c r="W181" s="9">
        <f>IF(19&lt;=核心参数输入!$B$9*4,IF(AND(19-核心参数输入!$B$112&gt;=0,19-核心参数输入!$B$112&lt;=120),INDEX(季度经营税费!$D$146:$DT$146,1,MAX(1,MIN(121,19-核心参数输入!$B$112+1))),0)+IF(19=核心参数输入!$B$9*4,SUMPRODUCT(季度经营税费!$D$146:$DT$146,--(季度经营税费!$D$4:$DT$4&gt;核心参数输入!$B$9*4-核心参数输入!$B$112)),0),0)</f>
        <v>347.49</v>
      </c>
      <c r="X181" s="9">
        <f>IF(20&lt;=核心参数输入!$B$9*4,IF(AND(20-核心参数输入!$B$112&gt;=0,20-核心参数输入!$B$112&lt;=120),INDEX(季度经营税费!$D$146:$DT$146,1,MAX(1,MIN(121,20-核心参数输入!$B$112+1))),0)+IF(20=核心参数输入!$B$9*4,SUMPRODUCT(季度经营税费!$D$146:$DT$146,--(季度经营税费!$D$4:$DT$4&gt;核心参数输入!$B$9*4-核心参数输入!$B$112)),0),0)</f>
        <v>347.49</v>
      </c>
      <c r="Y181" s="9">
        <f>IF(21&lt;=核心参数输入!$B$9*4,IF(AND(21-核心参数输入!$B$112&gt;=0,21-核心参数输入!$B$112&lt;=120),INDEX(季度经营税费!$D$146:$DT$146,1,MAX(1,MIN(121,21-核心参数输入!$B$112+1))),0)+IF(21=核心参数输入!$B$9*4,SUMPRODUCT(季度经营税费!$D$146:$DT$146,--(季度经营税费!$D$4:$DT$4&gt;核心参数输入!$B$9*4-核心参数输入!$B$112)),0),0)</f>
        <v>260.61750000000001</v>
      </c>
      <c r="Z181" s="9">
        <f>IF(22&lt;=核心参数输入!$B$9*4,IF(AND(22-核心参数输入!$B$112&gt;=0,22-核心参数输入!$B$112&lt;=120),INDEX(季度经营税费!$D$146:$DT$146,1,MAX(1,MIN(121,22-核心参数输入!$B$112+1))),0)+IF(22=核心参数输入!$B$9*4,SUMPRODUCT(季度经营税费!$D$146:$DT$146,--(季度经营税费!$D$4:$DT$4&gt;核心参数输入!$B$9*4-核心参数输入!$B$112)),0),0)</f>
        <v>260.61750000000001</v>
      </c>
      <c r="AA181" s="9">
        <f>IF(23&lt;=核心参数输入!$B$9*4,IF(AND(23-核心参数输入!$B$112&gt;=0,23-核心参数输入!$B$112&lt;=120),INDEX(季度经营税费!$D$146:$DT$146,1,MAX(1,MIN(121,23-核心参数输入!$B$112+1))),0)+IF(23=核心参数输入!$B$9*4,SUMPRODUCT(季度经营税费!$D$146:$DT$146,--(季度经营税费!$D$4:$DT$4&gt;核心参数输入!$B$9*4-核心参数输入!$B$112)),0),0)</f>
        <v>260.61750000000001</v>
      </c>
      <c r="AB181" s="9">
        <f>IF(24&lt;=核心参数输入!$B$9*4,IF(AND(24-核心参数输入!$B$112&gt;=0,24-核心参数输入!$B$112&lt;=120),INDEX(季度经营税费!$D$146:$DT$146,1,MAX(1,MIN(121,24-核心参数输入!$B$112+1))),0)+IF(24=核心参数输入!$B$9*4,SUMPRODUCT(季度经营税费!$D$146:$DT$146,--(季度经营税费!$D$4:$DT$4&gt;核心参数输入!$B$9*4-核心参数输入!$B$112)),0),0)</f>
        <v>260.61750000000001</v>
      </c>
      <c r="AC181" s="9">
        <f>IF(25&lt;=核心参数输入!$B$9*4,IF(AND(25-核心参数输入!$B$112&gt;=0,25-核心参数输入!$B$112&lt;=120),INDEX(季度经营税费!$D$146:$DT$146,1,MAX(1,MIN(121,25-核心参数输入!$B$112+1))),0)+IF(25=核心参数输入!$B$9*4,SUMPRODUCT(季度经营税费!$D$146:$DT$146,--(季度经营税费!$D$4:$DT$4&gt;核心参数输入!$B$9*4-核心参数输入!$B$112)),0),0)</f>
        <v>0</v>
      </c>
      <c r="AD181" s="9">
        <f>IF(26&lt;=核心参数输入!$B$9*4,IF(AND(26-核心参数输入!$B$112&gt;=0,26-核心参数输入!$B$112&lt;=120),INDEX(季度经营税费!$D$146:$DT$146,1,MAX(1,MIN(121,26-核心参数输入!$B$112+1))),0)+IF(26=核心参数输入!$B$9*4,SUMPRODUCT(季度经营税费!$D$146:$DT$146,--(季度经营税费!$D$4:$DT$4&gt;核心参数输入!$B$9*4-核心参数输入!$B$112)),0),0)</f>
        <v>0</v>
      </c>
      <c r="AE181" s="9">
        <f>IF(27&lt;=核心参数输入!$B$9*4,IF(AND(27-核心参数输入!$B$112&gt;=0,27-核心参数输入!$B$112&lt;=120),INDEX(季度经营税费!$D$146:$DT$146,1,MAX(1,MIN(121,27-核心参数输入!$B$112+1))),0)+IF(27=核心参数输入!$B$9*4,SUMPRODUCT(季度经营税费!$D$146:$DT$146,--(季度经营税费!$D$4:$DT$4&gt;核心参数输入!$B$9*4-核心参数输入!$B$112)),0),0)</f>
        <v>0</v>
      </c>
      <c r="AF181" s="9">
        <f>IF(28&lt;=核心参数输入!$B$9*4,IF(AND(28-核心参数输入!$B$112&gt;=0,28-核心参数输入!$B$112&lt;=120),INDEX(季度经营税费!$D$146:$DT$146,1,MAX(1,MIN(121,28-核心参数输入!$B$112+1))),0)+IF(28=核心参数输入!$B$9*4,SUMPRODUCT(季度经营税费!$D$146:$DT$146,--(季度经营税费!$D$4:$DT$4&gt;核心参数输入!$B$9*4-核心参数输入!$B$112)),0),0)</f>
        <v>0</v>
      </c>
      <c r="AG181" s="9">
        <f>IF(29&lt;=核心参数输入!$B$9*4,IF(AND(29-核心参数输入!$B$112&gt;=0,29-核心参数输入!$B$112&lt;=120),INDEX(季度经营税费!$D$146:$DT$146,1,MAX(1,MIN(121,29-核心参数输入!$B$112+1))),0)+IF(29=核心参数输入!$B$9*4,SUMPRODUCT(季度经营税费!$D$146:$DT$146,--(季度经营税费!$D$4:$DT$4&gt;核心参数输入!$B$9*4-核心参数输入!$B$112)),0),0)</f>
        <v>0</v>
      </c>
      <c r="AH181" s="9">
        <f>IF(30&lt;=核心参数输入!$B$9*4,IF(AND(30-核心参数输入!$B$112&gt;=0,30-核心参数输入!$B$112&lt;=120),INDEX(季度经营税费!$D$146:$DT$146,1,MAX(1,MIN(121,30-核心参数输入!$B$112+1))),0)+IF(30=核心参数输入!$B$9*4,SUMPRODUCT(季度经营税费!$D$146:$DT$146,--(季度经营税费!$D$4:$DT$4&gt;核心参数输入!$B$9*4-核心参数输入!$B$112)),0),0)</f>
        <v>0</v>
      </c>
      <c r="AI181" s="9">
        <f>IF(31&lt;=核心参数输入!$B$9*4,IF(AND(31-核心参数输入!$B$112&gt;=0,31-核心参数输入!$B$112&lt;=120),INDEX(季度经营税费!$D$146:$DT$146,1,MAX(1,MIN(121,31-核心参数输入!$B$112+1))),0)+IF(31=核心参数输入!$B$9*4,SUMPRODUCT(季度经营税费!$D$146:$DT$146,--(季度经营税费!$D$4:$DT$4&gt;核心参数输入!$B$9*4-核心参数输入!$B$112)),0),0)</f>
        <v>0</v>
      </c>
      <c r="AJ181" s="9">
        <f>IF(32&lt;=核心参数输入!$B$9*4,IF(AND(32-核心参数输入!$B$112&gt;=0,32-核心参数输入!$B$112&lt;=120),INDEX(季度经营税费!$D$146:$DT$146,1,MAX(1,MIN(121,32-核心参数输入!$B$112+1))),0)+IF(32=核心参数输入!$B$9*4,SUMPRODUCT(季度经营税费!$D$146:$DT$146,--(季度经营税费!$D$4:$DT$4&gt;核心参数输入!$B$9*4-核心参数输入!$B$112)),0),0)</f>
        <v>0</v>
      </c>
      <c r="AK181" s="9">
        <f>IF(33&lt;=核心参数输入!$B$9*4,IF(AND(33-核心参数输入!$B$112&gt;=0,33-核心参数输入!$B$112&lt;=120),INDEX(季度经营税费!$D$146:$DT$146,1,MAX(1,MIN(121,33-核心参数输入!$B$112+1))),0)+IF(33=核心参数输入!$B$9*4,SUMPRODUCT(季度经营税费!$D$146:$DT$146,--(季度经营税费!$D$4:$DT$4&gt;核心参数输入!$B$9*4-核心参数输入!$B$112)),0),0)</f>
        <v>0</v>
      </c>
      <c r="AL181" s="9">
        <f>IF(34&lt;=核心参数输入!$B$9*4,IF(AND(34-核心参数输入!$B$112&gt;=0,34-核心参数输入!$B$112&lt;=120),INDEX(季度经营税费!$D$146:$DT$146,1,MAX(1,MIN(121,34-核心参数输入!$B$112+1))),0)+IF(34=核心参数输入!$B$9*4,SUMPRODUCT(季度经营税费!$D$146:$DT$146,--(季度经营税费!$D$4:$DT$4&gt;核心参数输入!$B$9*4-核心参数输入!$B$112)),0),0)</f>
        <v>0</v>
      </c>
      <c r="AM181" s="9">
        <f>IF(35&lt;=核心参数输入!$B$9*4,IF(AND(35-核心参数输入!$B$112&gt;=0,35-核心参数输入!$B$112&lt;=120),INDEX(季度经营税费!$D$146:$DT$146,1,MAX(1,MIN(121,35-核心参数输入!$B$112+1))),0)+IF(35=核心参数输入!$B$9*4,SUMPRODUCT(季度经营税费!$D$146:$DT$146,--(季度经营税费!$D$4:$DT$4&gt;核心参数输入!$B$9*4-核心参数输入!$B$112)),0),0)</f>
        <v>0</v>
      </c>
      <c r="AN181" s="9">
        <f>IF(36&lt;=核心参数输入!$B$9*4,IF(AND(36-核心参数输入!$B$112&gt;=0,36-核心参数输入!$B$112&lt;=120),INDEX(季度经营税费!$D$146:$DT$146,1,MAX(1,MIN(121,36-核心参数输入!$B$112+1))),0)+IF(36=核心参数输入!$B$9*4,SUMPRODUCT(季度经营税费!$D$146:$DT$146,--(季度经营税费!$D$4:$DT$4&gt;核心参数输入!$B$9*4-核心参数输入!$B$112)),0),0)</f>
        <v>0</v>
      </c>
      <c r="AO181" s="9">
        <f>IF(37&lt;=核心参数输入!$B$9*4,IF(AND(37-核心参数输入!$B$112&gt;=0,37-核心参数输入!$B$112&lt;=120),INDEX(季度经营税费!$D$146:$DT$146,1,MAX(1,MIN(121,37-核心参数输入!$B$112+1))),0)+IF(37=核心参数输入!$B$9*4,SUMPRODUCT(季度经营税费!$D$146:$DT$146,--(季度经营税费!$D$4:$DT$4&gt;核心参数输入!$B$9*4-核心参数输入!$B$112)),0),0)</f>
        <v>0</v>
      </c>
      <c r="AP181" s="9">
        <f>IF(38&lt;=核心参数输入!$B$9*4,IF(AND(38-核心参数输入!$B$112&gt;=0,38-核心参数输入!$B$112&lt;=120),INDEX(季度经营税费!$D$146:$DT$146,1,MAX(1,MIN(121,38-核心参数输入!$B$112+1))),0)+IF(38=核心参数输入!$B$9*4,SUMPRODUCT(季度经营税费!$D$146:$DT$146,--(季度经营税费!$D$4:$DT$4&gt;核心参数输入!$B$9*4-核心参数输入!$B$112)),0),0)</f>
        <v>0</v>
      </c>
      <c r="AQ181" s="9">
        <f>IF(39&lt;=核心参数输入!$B$9*4,IF(AND(39-核心参数输入!$B$112&gt;=0,39-核心参数输入!$B$112&lt;=120),INDEX(季度经营税费!$D$146:$DT$146,1,MAX(1,MIN(121,39-核心参数输入!$B$112+1))),0)+IF(39=核心参数输入!$B$9*4,SUMPRODUCT(季度经营税费!$D$146:$DT$146,--(季度经营税费!$D$4:$DT$4&gt;核心参数输入!$B$9*4-核心参数输入!$B$112)),0),0)</f>
        <v>0</v>
      </c>
      <c r="AR181" s="9">
        <f>IF(40&lt;=核心参数输入!$B$9*4,IF(AND(40-核心参数输入!$B$112&gt;=0,40-核心参数输入!$B$112&lt;=120),INDEX(季度经营税费!$D$146:$DT$146,1,MAX(1,MIN(121,40-核心参数输入!$B$112+1))),0)+IF(40=核心参数输入!$B$9*4,SUMPRODUCT(季度经营税费!$D$146:$DT$146,--(季度经营税费!$D$4:$DT$4&gt;核心参数输入!$B$9*4-核心参数输入!$B$112)),0),0)</f>
        <v>0</v>
      </c>
      <c r="AS181" s="9">
        <f>IF(41&lt;=核心参数输入!$B$9*4,IF(AND(41-核心参数输入!$B$112&gt;=0,41-核心参数输入!$B$112&lt;=120),INDEX(季度经营税费!$D$146:$DT$146,1,MAX(1,MIN(121,41-核心参数输入!$B$112+1))),0)+IF(41=核心参数输入!$B$9*4,SUMPRODUCT(季度经营税费!$D$146:$DT$146,--(季度经营税费!$D$4:$DT$4&gt;核心参数输入!$B$9*4-核心参数输入!$B$112)),0),0)</f>
        <v>0</v>
      </c>
      <c r="AT181" s="9">
        <f>IF(42&lt;=核心参数输入!$B$9*4,IF(AND(42-核心参数输入!$B$112&gt;=0,42-核心参数输入!$B$112&lt;=120),INDEX(季度经营税费!$D$146:$DT$146,1,MAX(1,MIN(121,42-核心参数输入!$B$112+1))),0)+IF(42=核心参数输入!$B$9*4,SUMPRODUCT(季度经营税费!$D$146:$DT$146,--(季度经营税费!$D$4:$DT$4&gt;核心参数输入!$B$9*4-核心参数输入!$B$112)),0),0)</f>
        <v>0</v>
      </c>
      <c r="AU181" s="9">
        <f>IF(43&lt;=核心参数输入!$B$9*4,IF(AND(43-核心参数输入!$B$112&gt;=0,43-核心参数输入!$B$112&lt;=120),INDEX(季度经营税费!$D$146:$DT$146,1,MAX(1,MIN(121,43-核心参数输入!$B$112+1))),0)+IF(43=核心参数输入!$B$9*4,SUMPRODUCT(季度经营税费!$D$146:$DT$146,--(季度经营税费!$D$4:$DT$4&gt;核心参数输入!$B$9*4-核心参数输入!$B$112)),0),0)</f>
        <v>0</v>
      </c>
      <c r="AV181" s="9">
        <f>IF(44&lt;=核心参数输入!$B$9*4,IF(AND(44-核心参数输入!$B$112&gt;=0,44-核心参数输入!$B$112&lt;=120),INDEX(季度经营税费!$D$146:$DT$146,1,MAX(1,MIN(121,44-核心参数输入!$B$112+1))),0)+IF(44=核心参数输入!$B$9*4,SUMPRODUCT(季度经营税费!$D$146:$DT$146,--(季度经营税费!$D$4:$DT$4&gt;核心参数输入!$B$9*4-核心参数输入!$B$112)),0),0)</f>
        <v>0</v>
      </c>
      <c r="AW181" s="9">
        <f>IF(45&lt;=核心参数输入!$B$9*4,IF(AND(45-核心参数输入!$B$112&gt;=0,45-核心参数输入!$B$112&lt;=120),INDEX(季度经营税费!$D$146:$DT$146,1,MAX(1,MIN(121,45-核心参数输入!$B$112+1))),0)+IF(45=核心参数输入!$B$9*4,SUMPRODUCT(季度经营税费!$D$146:$DT$146,--(季度经营税费!$D$4:$DT$4&gt;核心参数输入!$B$9*4-核心参数输入!$B$112)),0),0)</f>
        <v>0</v>
      </c>
      <c r="AX181" s="9">
        <f>IF(46&lt;=核心参数输入!$B$9*4,IF(AND(46-核心参数输入!$B$112&gt;=0,46-核心参数输入!$B$112&lt;=120),INDEX(季度经营税费!$D$146:$DT$146,1,MAX(1,MIN(121,46-核心参数输入!$B$112+1))),0)+IF(46=核心参数输入!$B$9*4,SUMPRODUCT(季度经营税费!$D$146:$DT$146,--(季度经营税费!$D$4:$DT$4&gt;核心参数输入!$B$9*4-核心参数输入!$B$112)),0),0)</f>
        <v>0</v>
      </c>
      <c r="AY181" s="9">
        <f>IF(47&lt;=核心参数输入!$B$9*4,IF(AND(47-核心参数输入!$B$112&gt;=0,47-核心参数输入!$B$112&lt;=120),INDEX(季度经营税费!$D$146:$DT$146,1,MAX(1,MIN(121,47-核心参数输入!$B$112+1))),0)+IF(47=核心参数输入!$B$9*4,SUMPRODUCT(季度经营税费!$D$146:$DT$146,--(季度经营税费!$D$4:$DT$4&gt;核心参数输入!$B$9*4-核心参数输入!$B$112)),0),0)</f>
        <v>0</v>
      </c>
      <c r="AZ181" s="9">
        <f>IF(48&lt;=核心参数输入!$B$9*4,IF(AND(48-核心参数输入!$B$112&gt;=0,48-核心参数输入!$B$112&lt;=120),INDEX(季度经营税费!$D$146:$DT$146,1,MAX(1,MIN(121,48-核心参数输入!$B$112+1))),0)+IF(48=核心参数输入!$B$9*4,SUMPRODUCT(季度经营税费!$D$146:$DT$146,--(季度经营税费!$D$4:$DT$4&gt;核心参数输入!$B$9*4-核心参数输入!$B$112)),0),0)</f>
        <v>0</v>
      </c>
      <c r="BA181" s="9">
        <f>IF(49&lt;=核心参数输入!$B$9*4,IF(AND(49-核心参数输入!$B$112&gt;=0,49-核心参数输入!$B$112&lt;=120),INDEX(季度经营税费!$D$146:$DT$146,1,MAX(1,MIN(121,49-核心参数输入!$B$112+1))),0)+IF(49=核心参数输入!$B$9*4,SUMPRODUCT(季度经营税费!$D$146:$DT$146,--(季度经营税费!$D$4:$DT$4&gt;核心参数输入!$B$9*4-核心参数输入!$B$112)),0),0)</f>
        <v>0</v>
      </c>
      <c r="BB181" s="9">
        <f>IF(50&lt;=核心参数输入!$B$9*4,IF(AND(50-核心参数输入!$B$112&gt;=0,50-核心参数输入!$B$112&lt;=120),INDEX(季度经营税费!$D$146:$DT$146,1,MAX(1,MIN(121,50-核心参数输入!$B$112+1))),0)+IF(50=核心参数输入!$B$9*4,SUMPRODUCT(季度经营税费!$D$146:$DT$146,--(季度经营税费!$D$4:$DT$4&gt;核心参数输入!$B$9*4-核心参数输入!$B$112)),0),0)</f>
        <v>0</v>
      </c>
      <c r="BC181" s="9">
        <f>IF(51&lt;=核心参数输入!$B$9*4,IF(AND(51-核心参数输入!$B$112&gt;=0,51-核心参数输入!$B$112&lt;=120),INDEX(季度经营税费!$D$146:$DT$146,1,MAX(1,MIN(121,51-核心参数输入!$B$112+1))),0)+IF(51=核心参数输入!$B$9*4,SUMPRODUCT(季度经营税费!$D$146:$DT$146,--(季度经营税费!$D$4:$DT$4&gt;核心参数输入!$B$9*4-核心参数输入!$B$112)),0),0)</f>
        <v>0</v>
      </c>
      <c r="BD181" s="9">
        <f>IF(52&lt;=核心参数输入!$B$9*4,IF(AND(52-核心参数输入!$B$112&gt;=0,52-核心参数输入!$B$112&lt;=120),INDEX(季度经营税费!$D$146:$DT$146,1,MAX(1,MIN(121,52-核心参数输入!$B$112+1))),0)+IF(52=核心参数输入!$B$9*4,SUMPRODUCT(季度经营税费!$D$146:$DT$146,--(季度经营税费!$D$4:$DT$4&gt;核心参数输入!$B$9*4-核心参数输入!$B$112)),0),0)</f>
        <v>0</v>
      </c>
      <c r="BE181" s="9">
        <f>IF(53&lt;=核心参数输入!$B$9*4,IF(AND(53-核心参数输入!$B$112&gt;=0,53-核心参数输入!$B$112&lt;=120),INDEX(季度经营税费!$D$146:$DT$146,1,MAX(1,MIN(121,53-核心参数输入!$B$112+1))),0)+IF(53=核心参数输入!$B$9*4,SUMPRODUCT(季度经营税费!$D$146:$DT$146,--(季度经营税费!$D$4:$DT$4&gt;核心参数输入!$B$9*4-核心参数输入!$B$112)),0),0)</f>
        <v>0</v>
      </c>
      <c r="BF181" s="9">
        <f>IF(54&lt;=核心参数输入!$B$9*4,IF(AND(54-核心参数输入!$B$112&gt;=0,54-核心参数输入!$B$112&lt;=120),INDEX(季度经营税费!$D$146:$DT$146,1,MAX(1,MIN(121,54-核心参数输入!$B$112+1))),0)+IF(54=核心参数输入!$B$9*4,SUMPRODUCT(季度经营税费!$D$146:$DT$146,--(季度经营税费!$D$4:$DT$4&gt;核心参数输入!$B$9*4-核心参数输入!$B$112)),0),0)</f>
        <v>0</v>
      </c>
      <c r="BG181" s="9">
        <f>IF(55&lt;=核心参数输入!$B$9*4,IF(AND(55-核心参数输入!$B$112&gt;=0,55-核心参数输入!$B$112&lt;=120),INDEX(季度经营税费!$D$146:$DT$146,1,MAX(1,MIN(121,55-核心参数输入!$B$112+1))),0)+IF(55=核心参数输入!$B$9*4,SUMPRODUCT(季度经营税费!$D$146:$DT$146,--(季度经营税费!$D$4:$DT$4&gt;核心参数输入!$B$9*4-核心参数输入!$B$112)),0),0)</f>
        <v>0</v>
      </c>
      <c r="BH181" s="9">
        <f>IF(56&lt;=核心参数输入!$B$9*4,IF(AND(56-核心参数输入!$B$112&gt;=0,56-核心参数输入!$B$112&lt;=120),INDEX(季度经营税费!$D$146:$DT$146,1,MAX(1,MIN(121,56-核心参数输入!$B$112+1))),0)+IF(56=核心参数输入!$B$9*4,SUMPRODUCT(季度经营税费!$D$146:$DT$146,--(季度经营税费!$D$4:$DT$4&gt;核心参数输入!$B$9*4-核心参数输入!$B$112)),0),0)</f>
        <v>0</v>
      </c>
      <c r="BI181" s="9">
        <f>IF(57&lt;=核心参数输入!$B$9*4,IF(AND(57-核心参数输入!$B$112&gt;=0,57-核心参数输入!$B$112&lt;=120),INDEX(季度经营税费!$D$146:$DT$146,1,MAX(1,MIN(121,57-核心参数输入!$B$112+1))),0)+IF(57=核心参数输入!$B$9*4,SUMPRODUCT(季度经营税费!$D$146:$DT$146,--(季度经营税费!$D$4:$DT$4&gt;核心参数输入!$B$9*4-核心参数输入!$B$112)),0),0)</f>
        <v>0</v>
      </c>
      <c r="BJ181" s="9">
        <f>IF(58&lt;=核心参数输入!$B$9*4,IF(AND(58-核心参数输入!$B$112&gt;=0,58-核心参数输入!$B$112&lt;=120),INDEX(季度经营税费!$D$146:$DT$146,1,MAX(1,MIN(121,58-核心参数输入!$B$112+1))),0)+IF(58=核心参数输入!$B$9*4,SUMPRODUCT(季度经营税费!$D$146:$DT$146,--(季度经营税费!$D$4:$DT$4&gt;核心参数输入!$B$9*4-核心参数输入!$B$112)),0),0)</f>
        <v>0</v>
      </c>
      <c r="BK181" s="9">
        <f>IF(59&lt;=核心参数输入!$B$9*4,IF(AND(59-核心参数输入!$B$112&gt;=0,59-核心参数输入!$B$112&lt;=120),INDEX(季度经营税费!$D$146:$DT$146,1,MAX(1,MIN(121,59-核心参数输入!$B$112+1))),0)+IF(59=核心参数输入!$B$9*4,SUMPRODUCT(季度经营税费!$D$146:$DT$146,--(季度经营税费!$D$4:$DT$4&gt;核心参数输入!$B$9*4-核心参数输入!$B$112)),0),0)</f>
        <v>0</v>
      </c>
      <c r="BL181" s="9">
        <f>IF(60&lt;=核心参数输入!$B$9*4,IF(AND(60-核心参数输入!$B$112&gt;=0,60-核心参数输入!$B$112&lt;=120),INDEX(季度经营税费!$D$146:$DT$146,1,MAX(1,MIN(121,60-核心参数输入!$B$112+1))),0)+IF(60=核心参数输入!$B$9*4,SUMPRODUCT(季度经营税费!$D$146:$DT$146,--(季度经营税费!$D$4:$DT$4&gt;核心参数输入!$B$9*4-核心参数输入!$B$112)),0),0)</f>
        <v>0</v>
      </c>
      <c r="BM181" s="9">
        <f>IF(61&lt;=核心参数输入!$B$9*4,IF(AND(61-核心参数输入!$B$112&gt;=0,61-核心参数输入!$B$112&lt;=120),INDEX(季度经营税费!$D$146:$DT$146,1,MAX(1,MIN(121,61-核心参数输入!$B$112+1))),0)+IF(61=核心参数输入!$B$9*4,SUMPRODUCT(季度经营税费!$D$146:$DT$146,--(季度经营税费!$D$4:$DT$4&gt;核心参数输入!$B$9*4-核心参数输入!$B$112)),0),0)</f>
        <v>0</v>
      </c>
      <c r="BN181" s="9">
        <f>IF(62&lt;=核心参数输入!$B$9*4,IF(AND(62-核心参数输入!$B$112&gt;=0,62-核心参数输入!$B$112&lt;=120),INDEX(季度经营税费!$D$146:$DT$146,1,MAX(1,MIN(121,62-核心参数输入!$B$112+1))),0)+IF(62=核心参数输入!$B$9*4,SUMPRODUCT(季度经营税费!$D$146:$DT$146,--(季度经营税费!$D$4:$DT$4&gt;核心参数输入!$B$9*4-核心参数输入!$B$112)),0),0)</f>
        <v>0</v>
      </c>
      <c r="BO181" s="9">
        <f>IF(63&lt;=核心参数输入!$B$9*4,IF(AND(63-核心参数输入!$B$112&gt;=0,63-核心参数输入!$B$112&lt;=120),INDEX(季度经营税费!$D$146:$DT$146,1,MAX(1,MIN(121,63-核心参数输入!$B$112+1))),0)+IF(63=核心参数输入!$B$9*4,SUMPRODUCT(季度经营税费!$D$146:$DT$146,--(季度经营税费!$D$4:$DT$4&gt;核心参数输入!$B$9*4-核心参数输入!$B$112)),0),0)</f>
        <v>0</v>
      </c>
      <c r="BP181" s="9">
        <f>IF(64&lt;=核心参数输入!$B$9*4,IF(AND(64-核心参数输入!$B$112&gt;=0,64-核心参数输入!$B$112&lt;=120),INDEX(季度经营税费!$D$146:$DT$146,1,MAX(1,MIN(121,64-核心参数输入!$B$112+1))),0)+IF(64=核心参数输入!$B$9*4,SUMPRODUCT(季度经营税费!$D$146:$DT$146,--(季度经营税费!$D$4:$DT$4&gt;核心参数输入!$B$9*4-核心参数输入!$B$112)),0),0)</f>
        <v>0</v>
      </c>
      <c r="BQ181" s="9">
        <f>IF(65&lt;=核心参数输入!$B$9*4,IF(AND(65-核心参数输入!$B$112&gt;=0,65-核心参数输入!$B$112&lt;=120),INDEX(季度经营税费!$D$146:$DT$146,1,MAX(1,MIN(121,65-核心参数输入!$B$112+1))),0)+IF(65=核心参数输入!$B$9*4,SUMPRODUCT(季度经营税费!$D$146:$DT$146,--(季度经营税费!$D$4:$DT$4&gt;核心参数输入!$B$9*4-核心参数输入!$B$112)),0),0)</f>
        <v>0</v>
      </c>
      <c r="BR181" s="9">
        <f>IF(66&lt;=核心参数输入!$B$9*4,IF(AND(66-核心参数输入!$B$112&gt;=0,66-核心参数输入!$B$112&lt;=120),INDEX(季度经营税费!$D$146:$DT$146,1,MAX(1,MIN(121,66-核心参数输入!$B$112+1))),0)+IF(66=核心参数输入!$B$9*4,SUMPRODUCT(季度经营税费!$D$146:$DT$146,--(季度经营税费!$D$4:$DT$4&gt;核心参数输入!$B$9*4-核心参数输入!$B$112)),0),0)</f>
        <v>0</v>
      </c>
      <c r="BS181" s="9">
        <f>IF(67&lt;=核心参数输入!$B$9*4,IF(AND(67-核心参数输入!$B$112&gt;=0,67-核心参数输入!$B$112&lt;=120),INDEX(季度经营税费!$D$146:$DT$146,1,MAX(1,MIN(121,67-核心参数输入!$B$112+1))),0)+IF(67=核心参数输入!$B$9*4,SUMPRODUCT(季度经营税费!$D$146:$DT$146,--(季度经营税费!$D$4:$DT$4&gt;核心参数输入!$B$9*4-核心参数输入!$B$112)),0),0)</f>
        <v>0</v>
      </c>
      <c r="BT181" s="9">
        <f>IF(68&lt;=核心参数输入!$B$9*4,IF(AND(68-核心参数输入!$B$112&gt;=0,68-核心参数输入!$B$112&lt;=120),INDEX(季度经营税费!$D$146:$DT$146,1,MAX(1,MIN(121,68-核心参数输入!$B$112+1))),0)+IF(68=核心参数输入!$B$9*4,SUMPRODUCT(季度经营税费!$D$146:$DT$146,--(季度经营税费!$D$4:$DT$4&gt;核心参数输入!$B$9*4-核心参数输入!$B$112)),0),0)</f>
        <v>0</v>
      </c>
      <c r="BU181" s="9">
        <f>IF(69&lt;=核心参数输入!$B$9*4,IF(AND(69-核心参数输入!$B$112&gt;=0,69-核心参数输入!$B$112&lt;=120),INDEX(季度经营税费!$D$146:$DT$146,1,MAX(1,MIN(121,69-核心参数输入!$B$112+1))),0)+IF(69=核心参数输入!$B$9*4,SUMPRODUCT(季度经营税费!$D$146:$DT$146,--(季度经营税费!$D$4:$DT$4&gt;核心参数输入!$B$9*4-核心参数输入!$B$112)),0),0)</f>
        <v>0</v>
      </c>
      <c r="BV181" s="9">
        <f>IF(70&lt;=核心参数输入!$B$9*4,IF(AND(70-核心参数输入!$B$112&gt;=0,70-核心参数输入!$B$112&lt;=120),INDEX(季度经营税费!$D$146:$DT$146,1,MAX(1,MIN(121,70-核心参数输入!$B$112+1))),0)+IF(70=核心参数输入!$B$9*4,SUMPRODUCT(季度经营税费!$D$146:$DT$146,--(季度经营税费!$D$4:$DT$4&gt;核心参数输入!$B$9*4-核心参数输入!$B$112)),0),0)</f>
        <v>0</v>
      </c>
      <c r="BW181" s="9">
        <f>IF(71&lt;=核心参数输入!$B$9*4,IF(AND(71-核心参数输入!$B$112&gt;=0,71-核心参数输入!$B$112&lt;=120),INDEX(季度经营税费!$D$146:$DT$146,1,MAX(1,MIN(121,71-核心参数输入!$B$112+1))),0)+IF(71=核心参数输入!$B$9*4,SUMPRODUCT(季度经营税费!$D$146:$DT$146,--(季度经营税费!$D$4:$DT$4&gt;核心参数输入!$B$9*4-核心参数输入!$B$112)),0),0)</f>
        <v>0</v>
      </c>
      <c r="BX181" s="9">
        <f>IF(72&lt;=核心参数输入!$B$9*4,IF(AND(72-核心参数输入!$B$112&gt;=0,72-核心参数输入!$B$112&lt;=120),INDEX(季度经营税费!$D$146:$DT$146,1,MAX(1,MIN(121,72-核心参数输入!$B$112+1))),0)+IF(72=核心参数输入!$B$9*4,SUMPRODUCT(季度经营税费!$D$146:$DT$146,--(季度经营税费!$D$4:$DT$4&gt;核心参数输入!$B$9*4-核心参数输入!$B$112)),0),0)</f>
        <v>0</v>
      </c>
      <c r="BY181" s="9">
        <f>IF(73&lt;=核心参数输入!$B$9*4,IF(AND(73-核心参数输入!$B$112&gt;=0,73-核心参数输入!$B$112&lt;=120),INDEX(季度经营税费!$D$146:$DT$146,1,MAX(1,MIN(121,73-核心参数输入!$B$112+1))),0)+IF(73=核心参数输入!$B$9*4,SUMPRODUCT(季度经营税费!$D$146:$DT$146,--(季度经营税费!$D$4:$DT$4&gt;核心参数输入!$B$9*4-核心参数输入!$B$112)),0),0)</f>
        <v>0</v>
      </c>
      <c r="BZ181" s="9">
        <f>IF(74&lt;=核心参数输入!$B$9*4,IF(AND(74-核心参数输入!$B$112&gt;=0,74-核心参数输入!$B$112&lt;=120),INDEX(季度经营税费!$D$146:$DT$146,1,MAX(1,MIN(121,74-核心参数输入!$B$112+1))),0)+IF(74=核心参数输入!$B$9*4,SUMPRODUCT(季度经营税费!$D$146:$DT$146,--(季度经营税费!$D$4:$DT$4&gt;核心参数输入!$B$9*4-核心参数输入!$B$112)),0),0)</f>
        <v>0</v>
      </c>
      <c r="CA181" s="9">
        <f>IF(75&lt;=核心参数输入!$B$9*4,IF(AND(75-核心参数输入!$B$112&gt;=0,75-核心参数输入!$B$112&lt;=120),INDEX(季度经营税费!$D$146:$DT$146,1,MAX(1,MIN(121,75-核心参数输入!$B$112+1))),0)+IF(75=核心参数输入!$B$9*4,SUMPRODUCT(季度经营税费!$D$146:$DT$146,--(季度经营税费!$D$4:$DT$4&gt;核心参数输入!$B$9*4-核心参数输入!$B$112)),0),0)</f>
        <v>0</v>
      </c>
      <c r="CB181" s="9">
        <f>IF(76&lt;=核心参数输入!$B$9*4,IF(AND(76-核心参数输入!$B$112&gt;=0,76-核心参数输入!$B$112&lt;=120),INDEX(季度经营税费!$D$146:$DT$146,1,MAX(1,MIN(121,76-核心参数输入!$B$112+1))),0)+IF(76=核心参数输入!$B$9*4,SUMPRODUCT(季度经营税费!$D$146:$DT$146,--(季度经营税费!$D$4:$DT$4&gt;核心参数输入!$B$9*4-核心参数输入!$B$112)),0),0)</f>
        <v>0</v>
      </c>
      <c r="CC181" s="9">
        <f>IF(77&lt;=核心参数输入!$B$9*4,IF(AND(77-核心参数输入!$B$112&gt;=0,77-核心参数输入!$B$112&lt;=120),INDEX(季度经营税费!$D$146:$DT$146,1,MAX(1,MIN(121,77-核心参数输入!$B$112+1))),0)+IF(77=核心参数输入!$B$9*4,SUMPRODUCT(季度经营税费!$D$146:$DT$146,--(季度经营税费!$D$4:$DT$4&gt;核心参数输入!$B$9*4-核心参数输入!$B$112)),0),0)</f>
        <v>0</v>
      </c>
      <c r="CD181" s="9">
        <f>IF(78&lt;=核心参数输入!$B$9*4,IF(AND(78-核心参数输入!$B$112&gt;=0,78-核心参数输入!$B$112&lt;=120),INDEX(季度经营税费!$D$146:$DT$146,1,MAX(1,MIN(121,78-核心参数输入!$B$112+1))),0)+IF(78=核心参数输入!$B$9*4,SUMPRODUCT(季度经营税费!$D$146:$DT$146,--(季度经营税费!$D$4:$DT$4&gt;核心参数输入!$B$9*4-核心参数输入!$B$112)),0),0)</f>
        <v>0</v>
      </c>
      <c r="CE181" s="9">
        <f>IF(79&lt;=核心参数输入!$B$9*4,IF(AND(79-核心参数输入!$B$112&gt;=0,79-核心参数输入!$B$112&lt;=120),INDEX(季度经营税费!$D$146:$DT$146,1,MAX(1,MIN(121,79-核心参数输入!$B$112+1))),0)+IF(79=核心参数输入!$B$9*4,SUMPRODUCT(季度经营税费!$D$146:$DT$146,--(季度经营税费!$D$4:$DT$4&gt;核心参数输入!$B$9*4-核心参数输入!$B$112)),0),0)</f>
        <v>0</v>
      </c>
      <c r="CF181" s="9">
        <f>IF(80&lt;=核心参数输入!$B$9*4,IF(AND(80-核心参数输入!$B$112&gt;=0,80-核心参数输入!$B$112&lt;=120),INDEX(季度经营税费!$D$146:$DT$146,1,MAX(1,MIN(121,80-核心参数输入!$B$112+1))),0)+IF(80=核心参数输入!$B$9*4,SUMPRODUCT(季度经营税费!$D$146:$DT$146,--(季度经营税费!$D$4:$DT$4&gt;核心参数输入!$B$9*4-核心参数输入!$B$112)),0),0)</f>
        <v>0</v>
      </c>
      <c r="CG181" s="9">
        <f>IF(81&lt;=核心参数输入!$B$9*4,IF(AND(81-核心参数输入!$B$112&gt;=0,81-核心参数输入!$B$112&lt;=120),INDEX(季度经营税费!$D$146:$DT$146,1,MAX(1,MIN(121,81-核心参数输入!$B$112+1))),0)+IF(81=核心参数输入!$B$9*4,SUMPRODUCT(季度经营税费!$D$146:$DT$146,--(季度经营税费!$D$4:$DT$4&gt;核心参数输入!$B$9*4-核心参数输入!$B$112)),0),0)</f>
        <v>0</v>
      </c>
      <c r="CH181" s="9">
        <f>IF(82&lt;=核心参数输入!$B$9*4,IF(AND(82-核心参数输入!$B$112&gt;=0,82-核心参数输入!$B$112&lt;=120),INDEX(季度经营税费!$D$146:$DT$146,1,MAX(1,MIN(121,82-核心参数输入!$B$112+1))),0)+IF(82=核心参数输入!$B$9*4,SUMPRODUCT(季度经营税费!$D$146:$DT$146,--(季度经营税费!$D$4:$DT$4&gt;核心参数输入!$B$9*4-核心参数输入!$B$112)),0),0)</f>
        <v>0</v>
      </c>
      <c r="CI181" s="9">
        <f>IF(83&lt;=核心参数输入!$B$9*4,IF(AND(83-核心参数输入!$B$112&gt;=0,83-核心参数输入!$B$112&lt;=120),INDEX(季度经营税费!$D$146:$DT$146,1,MAX(1,MIN(121,83-核心参数输入!$B$112+1))),0)+IF(83=核心参数输入!$B$9*4,SUMPRODUCT(季度经营税费!$D$146:$DT$146,--(季度经营税费!$D$4:$DT$4&gt;核心参数输入!$B$9*4-核心参数输入!$B$112)),0),0)</f>
        <v>0</v>
      </c>
      <c r="CJ181" s="9">
        <f>IF(84&lt;=核心参数输入!$B$9*4,IF(AND(84-核心参数输入!$B$112&gt;=0,84-核心参数输入!$B$112&lt;=120),INDEX(季度经营税费!$D$146:$DT$146,1,MAX(1,MIN(121,84-核心参数输入!$B$112+1))),0)+IF(84=核心参数输入!$B$9*4,SUMPRODUCT(季度经营税费!$D$146:$DT$146,--(季度经营税费!$D$4:$DT$4&gt;核心参数输入!$B$9*4-核心参数输入!$B$112)),0),0)</f>
        <v>0</v>
      </c>
      <c r="CK181" s="9">
        <f>IF(85&lt;=核心参数输入!$B$9*4,IF(AND(85-核心参数输入!$B$112&gt;=0,85-核心参数输入!$B$112&lt;=120),INDEX(季度经营税费!$D$146:$DT$146,1,MAX(1,MIN(121,85-核心参数输入!$B$112+1))),0)+IF(85=核心参数输入!$B$9*4,SUMPRODUCT(季度经营税费!$D$146:$DT$146,--(季度经营税费!$D$4:$DT$4&gt;核心参数输入!$B$9*4-核心参数输入!$B$112)),0),0)</f>
        <v>0</v>
      </c>
      <c r="CL181" s="9">
        <f>IF(86&lt;=核心参数输入!$B$9*4,IF(AND(86-核心参数输入!$B$112&gt;=0,86-核心参数输入!$B$112&lt;=120),INDEX(季度经营税费!$D$146:$DT$146,1,MAX(1,MIN(121,86-核心参数输入!$B$112+1))),0)+IF(86=核心参数输入!$B$9*4,SUMPRODUCT(季度经营税费!$D$146:$DT$146,--(季度经营税费!$D$4:$DT$4&gt;核心参数输入!$B$9*4-核心参数输入!$B$112)),0),0)</f>
        <v>0</v>
      </c>
      <c r="CM181" s="9">
        <f>IF(87&lt;=核心参数输入!$B$9*4,IF(AND(87-核心参数输入!$B$112&gt;=0,87-核心参数输入!$B$112&lt;=120),INDEX(季度经营税费!$D$146:$DT$146,1,MAX(1,MIN(121,87-核心参数输入!$B$112+1))),0)+IF(87=核心参数输入!$B$9*4,SUMPRODUCT(季度经营税费!$D$146:$DT$146,--(季度经营税费!$D$4:$DT$4&gt;核心参数输入!$B$9*4-核心参数输入!$B$112)),0),0)</f>
        <v>0</v>
      </c>
      <c r="CN181" s="9">
        <f>IF(88&lt;=核心参数输入!$B$9*4,IF(AND(88-核心参数输入!$B$112&gt;=0,88-核心参数输入!$B$112&lt;=120),INDEX(季度经营税费!$D$146:$DT$146,1,MAX(1,MIN(121,88-核心参数输入!$B$112+1))),0)+IF(88=核心参数输入!$B$9*4,SUMPRODUCT(季度经营税费!$D$146:$DT$146,--(季度经营税费!$D$4:$DT$4&gt;核心参数输入!$B$9*4-核心参数输入!$B$112)),0),0)</f>
        <v>0</v>
      </c>
      <c r="CO181" s="9">
        <f>IF(89&lt;=核心参数输入!$B$9*4,IF(AND(89-核心参数输入!$B$112&gt;=0,89-核心参数输入!$B$112&lt;=120),INDEX(季度经营税费!$D$146:$DT$146,1,MAX(1,MIN(121,89-核心参数输入!$B$112+1))),0)+IF(89=核心参数输入!$B$9*4,SUMPRODUCT(季度经营税费!$D$146:$DT$146,--(季度经营税费!$D$4:$DT$4&gt;核心参数输入!$B$9*4-核心参数输入!$B$112)),0),0)</f>
        <v>0</v>
      </c>
      <c r="CP181" s="9">
        <f>IF(90&lt;=核心参数输入!$B$9*4,IF(AND(90-核心参数输入!$B$112&gt;=0,90-核心参数输入!$B$112&lt;=120),INDEX(季度经营税费!$D$146:$DT$146,1,MAX(1,MIN(121,90-核心参数输入!$B$112+1))),0)+IF(90=核心参数输入!$B$9*4,SUMPRODUCT(季度经营税费!$D$146:$DT$146,--(季度经营税费!$D$4:$DT$4&gt;核心参数输入!$B$9*4-核心参数输入!$B$112)),0),0)</f>
        <v>0</v>
      </c>
      <c r="CQ181" s="9">
        <f>IF(91&lt;=核心参数输入!$B$9*4,IF(AND(91-核心参数输入!$B$112&gt;=0,91-核心参数输入!$B$112&lt;=120),INDEX(季度经营税费!$D$146:$DT$146,1,MAX(1,MIN(121,91-核心参数输入!$B$112+1))),0)+IF(91=核心参数输入!$B$9*4,SUMPRODUCT(季度经营税费!$D$146:$DT$146,--(季度经营税费!$D$4:$DT$4&gt;核心参数输入!$B$9*4-核心参数输入!$B$112)),0),0)</f>
        <v>0</v>
      </c>
      <c r="CR181" s="9">
        <f>IF(92&lt;=核心参数输入!$B$9*4,IF(AND(92-核心参数输入!$B$112&gt;=0,92-核心参数输入!$B$112&lt;=120),INDEX(季度经营税费!$D$146:$DT$146,1,MAX(1,MIN(121,92-核心参数输入!$B$112+1))),0)+IF(92=核心参数输入!$B$9*4,SUMPRODUCT(季度经营税费!$D$146:$DT$146,--(季度经营税费!$D$4:$DT$4&gt;核心参数输入!$B$9*4-核心参数输入!$B$112)),0),0)</f>
        <v>0</v>
      </c>
      <c r="CS181" s="9">
        <f>IF(93&lt;=核心参数输入!$B$9*4,IF(AND(93-核心参数输入!$B$112&gt;=0,93-核心参数输入!$B$112&lt;=120),INDEX(季度经营税费!$D$146:$DT$146,1,MAX(1,MIN(121,93-核心参数输入!$B$112+1))),0)+IF(93=核心参数输入!$B$9*4,SUMPRODUCT(季度经营税费!$D$146:$DT$146,--(季度经营税费!$D$4:$DT$4&gt;核心参数输入!$B$9*4-核心参数输入!$B$112)),0),0)</f>
        <v>0</v>
      </c>
      <c r="CT181" s="9">
        <f>IF(94&lt;=核心参数输入!$B$9*4,IF(AND(94-核心参数输入!$B$112&gt;=0,94-核心参数输入!$B$112&lt;=120),INDEX(季度经营税费!$D$146:$DT$146,1,MAX(1,MIN(121,94-核心参数输入!$B$112+1))),0)+IF(94=核心参数输入!$B$9*4,SUMPRODUCT(季度经营税费!$D$146:$DT$146,--(季度经营税费!$D$4:$DT$4&gt;核心参数输入!$B$9*4-核心参数输入!$B$112)),0),0)</f>
        <v>0</v>
      </c>
      <c r="CU181" s="9">
        <f>IF(95&lt;=核心参数输入!$B$9*4,IF(AND(95-核心参数输入!$B$112&gt;=0,95-核心参数输入!$B$112&lt;=120),INDEX(季度经营税费!$D$146:$DT$146,1,MAX(1,MIN(121,95-核心参数输入!$B$112+1))),0)+IF(95=核心参数输入!$B$9*4,SUMPRODUCT(季度经营税费!$D$146:$DT$146,--(季度经营税费!$D$4:$DT$4&gt;核心参数输入!$B$9*4-核心参数输入!$B$112)),0),0)</f>
        <v>0</v>
      </c>
      <c r="CV181" s="9">
        <f>IF(96&lt;=核心参数输入!$B$9*4,IF(AND(96-核心参数输入!$B$112&gt;=0,96-核心参数输入!$B$112&lt;=120),INDEX(季度经营税费!$D$146:$DT$146,1,MAX(1,MIN(121,96-核心参数输入!$B$112+1))),0)+IF(96=核心参数输入!$B$9*4,SUMPRODUCT(季度经营税费!$D$146:$DT$146,--(季度经营税费!$D$4:$DT$4&gt;核心参数输入!$B$9*4-核心参数输入!$B$112)),0),0)</f>
        <v>0</v>
      </c>
      <c r="CW181" s="9">
        <f>IF(97&lt;=核心参数输入!$B$9*4,IF(AND(97-核心参数输入!$B$112&gt;=0,97-核心参数输入!$B$112&lt;=120),INDEX(季度经营税费!$D$146:$DT$146,1,MAX(1,MIN(121,97-核心参数输入!$B$112+1))),0)+IF(97=核心参数输入!$B$9*4,SUMPRODUCT(季度经营税费!$D$146:$DT$146,--(季度经营税费!$D$4:$DT$4&gt;核心参数输入!$B$9*4-核心参数输入!$B$112)),0),0)</f>
        <v>0</v>
      </c>
      <c r="CX181" s="9">
        <f>IF(98&lt;=核心参数输入!$B$9*4,IF(AND(98-核心参数输入!$B$112&gt;=0,98-核心参数输入!$B$112&lt;=120),INDEX(季度经营税费!$D$146:$DT$146,1,MAX(1,MIN(121,98-核心参数输入!$B$112+1))),0)+IF(98=核心参数输入!$B$9*4,SUMPRODUCT(季度经营税费!$D$146:$DT$146,--(季度经营税费!$D$4:$DT$4&gt;核心参数输入!$B$9*4-核心参数输入!$B$112)),0),0)</f>
        <v>0</v>
      </c>
      <c r="CY181" s="9">
        <f>IF(99&lt;=核心参数输入!$B$9*4,IF(AND(99-核心参数输入!$B$112&gt;=0,99-核心参数输入!$B$112&lt;=120),INDEX(季度经营税费!$D$146:$DT$146,1,MAX(1,MIN(121,99-核心参数输入!$B$112+1))),0)+IF(99=核心参数输入!$B$9*4,SUMPRODUCT(季度经营税费!$D$146:$DT$146,--(季度经营税费!$D$4:$DT$4&gt;核心参数输入!$B$9*4-核心参数输入!$B$112)),0),0)</f>
        <v>0</v>
      </c>
      <c r="CZ181" s="9">
        <f>IF(100&lt;=核心参数输入!$B$9*4,IF(AND(100-核心参数输入!$B$112&gt;=0,100-核心参数输入!$B$112&lt;=120),INDEX(季度经营税费!$D$146:$DT$146,1,MAX(1,MIN(121,100-核心参数输入!$B$112+1))),0)+IF(100=核心参数输入!$B$9*4,SUMPRODUCT(季度经营税费!$D$146:$DT$146,--(季度经营税费!$D$4:$DT$4&gt;核心参数输入!$B$9*4-核心参数输入!$B$112)),0),0)</f>
        <v>0</v>
      </c>
      <c r="DA181" s="9">
        <f>IF(101&lt;=核心参数输入!$B$9*4,IF(AND(101-核心参数输入!$B$112&gt;=0,101-核心参数输入!$B$112&lt;=120),INDEX(季度经营税费!$D$146:$DT$146,1,MAX(1,MIN(121,101-核心参数输入!$B$112+1))),0)+IF(101=核心参数输入!$B$9*4,SUMPRODUCT(季度经营税费!$D$146:$DT$146,--(季度经营税费!$D$4:$DT$4&gt;核心参数输入!$B$9*4-核心参数输入!$B$112)),0),0)</f>
        <v>0</v>
      </c>
      <c r="DB181" s="9">
        <f>IF(102&lt;=核心参数输入!$B$9*4,IF(AND(102-核心参数输入!$B$112&gt;=0,102-核心参数输入!$B$112&lt;=120),INDEX(季度经营税费!$D$146:$DT$146,1,MAX(1,MIN(121,102-核心参数输入!$B$112+1))),0)+IF(102=核心参数输入!$B$9*4,SUMPRODUCT(季度经营税费!$D$146:$DT$146,--(季度经营税费!$D$4:$DT$4&gt;核心参数输入!$B$9*4-核心参数输入!$B$112)),0),0)</f>
        <v>0</v>
      </c>
      <c r="DC181" s="9">
        <f>IF(103&lt;=核心参数输入!$B$9*4,IF(AND(103-核心参数输入!$B$112&gt;=0,103-核心参数输入!$B$112&lt;=120),INDEX(季度经营税费!$D$146:$DT$146,1,MAX(1,MIN(121,103-核心参数输入!$B$112+1))),0)+IF(103=核心参数输入!$B$9*4,SUMPRODUCT(季度经营税费!$D$146:$DT$146,--(季度经营税费!$D$4:$DT$4&gt;核心参数输入!$B$9*4-核心参数输入!$B$112)),0),0)</f>
        <v>0</v>
      </c>
      <c r="DD181" s="9">
        <f>IF(104&lt;=核心参数输入!$B$9*4,IF(AND(104-核心参数输入!$B$112&gt;=0,104-核心参数输入!$B$112&lt;=120),INDEX(季度经营税费!$D$146:$DT$146,1,MAX(1,MIN(121,104-核心参数输入!$B$112+1))),0)+IF(104=核心参数输入!$B$9*4,SUMPRODUCT(季度经营税费!$D$146:$DT$146,--(季度经营税费!$D$4:$DT$4&gt;核心参数输入!$B$9*4-核心参数输入!$B$112)),0),0)</f>
        <v>0</v>
      </c>
      <c r="DE181" s="9">
        <f>IF(105&lt;=核心参数输入!$B$9*4,IF(AND(105-核心参数输入!$B$112&gt;=0,105-核心参数输入!$B$112&lt;=120),INDEX(季度经营税费!$D$146:$DT$146,1,MAX(1,MIN(121,105-核心参数输入!$B$112+1))),0)+IF(105=核心参数输入!$B$9*4,SUMPRODUCT(季度经营税费!$D$146:$DT$146,--(季度经营税费!$D$4:$DT$4&gt;核心参数输入!$B$9*4-核心参数输入!$B$112)),0),0)</f>
        <v>0</v>
      </c>
      <c r="DF181" s="9">
        <f>IF(106&lt;=核心参数输入!$B$9*4,IF(AND(106-核心参数输入!$B$112&gt;=0,106-核心参数输入!$B$112&lt;=120),INDEX(季度经营税费!$D$146:$DT$146,1,MAX(1,MIN(121,106-核心参数输入!$B$112+1))),0)+IF(106=核心参数输入!$B$9*4,SUMPRODUCT(季度经营税费!$D$146:$DT$146,--(季度经营税费!$D$4:$DT$4&gt;核心参数输入!$B$9*4-核心参数输入!$B$112)),0),0)</f>
        <v>0</v>
      </c>
      <c r="DG181" s="9">
        <f>IF(107&lt;=核心参数输入!$B$9*4,IF(AND(107-核心参数输入!$B$112&gt;=0,107-核心参数输入!$B$112&lt;=120),INDEX(季度经营税费!$D$146:$DT$146,1,MAX(1,MIN(121,107-核心参数输入!$B$112+1))),0)+IF(107=核心参数输入!$B$9*4,SUMPRODUCT(季度经营税费!$D$146:$DT$146,--(季度经营税费!$D$4:$DT$4&gt;核心参数输入!$B$9*4-核心参数输入!$B$112)),0),0)</f>
        <v>0</v>
      </c>
      <c r="DH181" s="9">
        <f>IF(108&lt;=核心参数输入!$B$9*4,IF(AND(108-核心参数输入!$B$112&gt;=0,108-核心参数输入!$B$112&lt;=120),INDEX(季度经营税费!$D$146:$DT$146,1,MAX(1,MIN(121,108-核心参数输入!$B$112+1))),0)+IF(108=核心参数输入!$B$9*4,SUMPRODUCT(季度经营税费!$D$146:$DT$146,--(季度经营税费!$D$4:$DT$4&gt;核心参数输入!$B$9*4-核心参数输入!$B$112)),0),0)</f>
        <v>0</v>
      </c>
      <c r="DI181" s="9">
        <f>IF(109&lt;=核心参数输入!$B$9*4,IF(AND(109-核心参数输入!$B$112&gt;=0,109-核心参数输入!$B$112&lt;=120),INDEX(季度经营税费!$D$146:$DT$146,1,MAX(1,MIN(121,109-核心参数输入!$B$112+1))),0)+IF(109=核心参数输入!$B$9*4,SUMPRODUCT(季度经营税费!$D$146:$DT$146,--(季度经营税费!$D$4:$DT$4&gt;核心参数输入!$B$9*4-核心参数输入!$B$112)),0),0)</f>
        <v>0</v>
      </c>
      <c r="DJ181" s="9">
        <f>IF(110&lt;=核心参数输入!$B$9*4,IF(AND(110-核心参数输入!$B$112&gt;=0,110-核心参数输入!$B$112&lt;=120),INDEX(季度经营税费!$D$146:$DT$146,1,MAX(1,MIN(121,110-核心参数输入!$B$112+1))),0)+IF(110=核心参数输入!$B$9*4,SUMPRODUCT(季度经营税费!$D$146:$DT$146,--(季度经营税费!$D$4:$DT$4&gt;核心参数输入!$B$9*4-核心参数输入!$B$112)),0),0)</f>
        <v>0</v>
      </c>
      <c r="DK181" s="9">
        <f>IF(111&lt;=核心参数输入!$B$9*4,IF(AND(111-核心参数输入!$B$112&gt;=0,111-核心参数输入!$B$112&lt;=120),INDEX(季度经营税费!$D$146:$DT$146,1,MAX(1,MIN(121,111-核心参数输入!$B$112+1))),0)+IF(111=核心参数输入!$B$9*4,SUMPRODUCT(季度经营税费!$D$146:$DT$146,--(季度经营税费!$D$4:$DT$4&gt;核心参数输入!$B$9*4-核心参数输入!$B$112)),0),0)</f>
        <v>0</v>
      </c>
      <c r="DL181" s="9">
        <f>IF(112&lt;=核心参数输入!$B$9*4,IF(AND(112-核心参数输入!$B$112&gt;=0,112-核心参数输入!$B$112&lt;=120),INDEX(季度经营税费!$D$146:$DT$146,1,MAX(1,MIN(121,112-核心参数输入!$B$112+1))),0)+IF(112=核心参数输入!$B$9*4,SUMPRODUCT(季度经营税费!$D$146:$DT$146,--(季度经营税费!$D$4:$DT$4&gt;核心参数输入!$B$9*4-核心参数输入!$B$112)),0),0)</f>
        <v>0</v>
      </c>
      <c r="DM181" s="9">
        <f>IF(113&lt;=核心参数输入!$B$9*4,IF(AND(113-核心参数输入!$B$112&gt;=0,113-核心参数输入!$B$112&lt;=120),INDEX(季度经营税费!$D$146:$DT$146,1,MAX(1,MIN(121,113-核心参数输入!$B$112+1))),0)+IF(113=核心参数输入!$B$9*4,SUMPRODUCT(季度经营税费!$D$146:$DT$146,--(季度经营税费!$D$4:$DT$4&gt;核心参数输入!$B$9*4-核心参数输入!$B$112)),0),0)</f>
        <v>0</v>
      </c>
      <c r="DN181" s="9">
        <f>IF(114&lt;=核心参数输入!$B$9*4,IF(AND(114-核心参数输入!$B$112&gt;=0,114-核心参数输入!$B$112&lt;=120),INDEX(季度经营税费!$D$146:$DT$146,1,MAX(1,MIN(121,114-核心参数输入!$B$112+1))),0)+IF(114=核心参数输入!$B$9*4,SUMPRODUCT(季度经营税费!$D$146:$DT$146,--(季度经营税费!$D$4:$DT$4&gt;核心参数输入!$B$9*4-核心参数输入!$B$112)),0),0)</f>
        <v>0</v>
      </c>
      <c r="DO181" s="9">
        <f>IF(115&lt;=核心参数输入!$B$9*4,IF(AND(115-核心参数输入!$B$112&gt;=0,115-核心参数输入!$B$112&lt;=120),INDEX(季度经营税费!$D$146:$DT$146,1,MAX(1,MIN(121,115-核心参数输入!$B$112+1))),0)+IF(115=核心参数输入!$B$9*4,SUMPRODUCT(季度经营税费!$D$146:$DT$146,--(季度经营税费!$D$4:$DT$4&gt;核心参数输入!$B$9*4-核心参数输入!$B$112)),0),0)</f>
        <v>0</v>
      </c>
      <c r="DP181" s="9">
        <f>IF(116&lt;=核心参数输入!$B$9*4,IF(AND(116-核心参数输入!$B$112&gt;=0,116-核心参数输入!$B$112&lt;=120),INDEX(季度经营税费!$D$146:$DT$146,1,MAX(1,MIN(121,116-核心参数输入!$B$112+1))),0)+IF(116=核心参数输入!$B$9*4,SUMPRODUCT(季度经营税费!$D$146:$DT$146,--(季度经营税费!$D$4:$DT$4&gt;核心参数输入!$B$9*4-核心参数输入!$B$112)),0),0)</f>
        <v>0</v>
      </c>
      <c r="DQ181" s="9">
        <f>IF(117&lt;=核心参数输入!$B$9*4,IF(AND(117-核心参数输入!$B$112&gt;=0,117-核心参数输入!$B$112&lt;=120),INDEX(季度经营税费!$D$146:$DT$146,1,MAX(1,MIN(121,117-核心参数输入!$B$112+1))),0)+IF(117=核心参数输入!$B$9*4,SUMPRODUCT(季度经营税费!$D$146:$DT$146,--(季度经营税费!$D$4:$DT$4&gt;核心参数输入!$B$9*4-核心参数输入!$B$112)),0),0)</f>
        <v>0</v>
      </c>
      <c r="DR181" s="9">
        <f>IF(118&lt;=核心参数输入!$B$9*4,IF(AND(118-核心参数输入!$B$112&gt;=0,118-核心参数输入!$B$112&lt;=120),INDEX(季度经营税费!$D$146:$DT$146,1,MAX(1,MIN(121,118-核心参数输入!$B$112+1))),0)+IF(118=核心参数输入!$B$9*4,SUMPRODUCT(季度经营税费!$D$146:$DT$146,--(季度经营税费!$D$4:$DT$4&gt;核心参数输入!$B$9*4-核心参数输入!$B$112)),0),0)</f>
        <v>0</v>
      </c>
      <c r="DS181" s="9">
        <f>IF(119&lt;=核心参数输入!$B$9*4,IF(AND(119-核心参数输入!$B$112&gt;=0,119-核心参数输入!$B$112&lt;=120),INDEX(季度经营税费!$D$146:$DT$146,1,MAX(1,MIN(121,119-核心参数输入!$B$112+1))),0)+IF(119=核心参数输入!$B$9*4,SUMPRODUCT(季度经营税费!$D$146:$DT$146,--(季度经营税费!$D$4:$DT$4&gt;核心参数输入!$B$9*4-核心参数输入!$B$112)),0),0)</f>
        <v>0</v>
      </c>
      <c r="DT181" s="9">
        <f>IF(120&lt;=核心参数输入!$B$9*4,IF(AND(120-核心参数输入!$B$112&gt;=0,120-核心参数输入!$B$112&lt;=120),INDEX(季度经营税费!$D$146:$DT$146,1,MAX(1,MIN(121,120-核心参数输入!$B$112+1))),0)+IF(120=核心参数输入!$B$9*4,SUMPRODUCT(季度经营税费!$D$146:$DT$146,--(季度经营税费!$D$4:$DT$4&gt;核心参数输入!$B$9*4-核心参数输入!$B$112)),0),0)</f>
        <v>0</v>
      </c>
    </row>
    <row r="182" spans="1:124" ht="21" customHeight="1">
      <c r="A182" s="8" t="s">
        <v>503</v>
      </c>
      <c r="B182" s="8" t="s">
        <v>39</v>
      </c>
      <c r="C182" s="8"/>
      <c r="D182" s="9">
        <f>IF(0&lt;=核心参数输入!$B$9*4,IF(AND(0-核心参数输入!$B$112&gt;=0,0-核心参数输入!$B$112&lt;=120),INDEX(季度经营税费!$D$150:$DT$150,1,MAX(1,MIN(121,0-核心参数输入!$B$112+1))),0)+IF(0=核心参数输入!$B$9*4,SUMPRODUCT(季度经营税费!$D$150:$DT$150,--(季度经营税费!$D$4:$DT$4&gt;核心参数输入!$B$9*4-核心参数输入!$B$112)),0),0)</f>
        <v>0</v>
      </c>
      <c r="E182" s="9">
        <f>IF(1&lt;=核心参数输入!$B$9*4,IF(AND(1-核心参数输入!$B$112&gt;=0,1-核心参数输入!$B$112&lt;=120),INDEX(季度经营税费!$D$150:$DT$150,1,MAX(1,MIN(121,1-核心参数输入!$B$112+1))),0)+IF(1=核心参数输入!$B$9*4,SUMPRODUCT(季度经营税费!$D$150:$DT$150,--(季度经营税费!$D$4:$DT$4&gt;核心参数输入!$B$9*4-核心参数输入!$B$112)),0),0)</f>
        <v>0</v>
      </c>
      <c r="F182" s="9">
        <f>IF(2&lt;=核心参数输入!$B$9*4,IF(AND(2-核心参数输入!$B$112&gt;=0,2-核心参数输入!$B$112&lt;=120),INDEX(季度经营税费!$D$150:$DT$150,1,MAX(1,MIN(121,2-核心参数输入!$B$112+1))),0)+IF(2=核心参数输入!$B$9*4,SUMPRODUCT(季度经营税费!$D$150:$DT$150,--(季度经营税费!$D$4:$DT$4&gt;核心参数输入!$B$9*4-核心参数输入!$B$112)),0),0)</f>
        <v>0</v>
      </c>
      <c r="G182" s="9">
        <f>IF(3&lt;=核心参数输入!$B$9*4,IF(AND(3-核心参数输入!$B$112&gt;=0,3-核心参数输入!$B$112&lt;=120),INDEX(季度经营税费!$D$150:$DT$150,1,MAX(1,MIN(121,3-核心参数输入!$B$112+1))),0)+IF(3=核心参数输入!$B$9*4,SUMPRODUCT(季度经营税费!$D$150:$DT$150,--(季度经营税费!$D$4:$DT$4&gt;核心参数输入!$B$9*4-核心参数输入!$B$112)),0),0)</f>
        <v>0</v>
      </c>
      <c r="H182" s="9">
        <f>IF(4&lt;=核心参数输入!$B$9*4,IF(AND(4-核心参数输入!$B$112&gt;=0,4-核心参数输入!$B$112&lt;=120),INDEX(季度经营税费!$D$150:$DT$150,1,MAX(1,MIN(121,4-核心参数输入!$B$112+1))),0)+IF(4=核心参数输入!$B$9*4,SUMPRODUCT(季度经营税费!$D$150:$DT$150,--(季度经营税费!$D$4:$DT$4&gt;核心参数输入!$B$9*4-核心参数输入!$B$112)),0),0)</f>
        <v>0</v>
      </c>
      <c r="I182" s="9">
        <f>IF(5&lt;=核心参数输入!$B$9*4,IF(AND(5-核心参数输入!$B$112&gt;=0,5-核心参数输入!$B$112&lt;=120),INDEX(季度经营税费!$D$150:$DT$150,1,MAX(1,MIN(121,5-核心参数输入!$B$112+1))),0)+IF(5=核心参数输入!$B$9*4,SUMPRODUCT(季度经营税费!$D$150:$DT$150,--(季度经营税费!$D$4:$DT$4&gt;核心参数输入!$B$9*4-核心参数输入!$B$112)),0),0)</f>
        <v>0</v>
      </c>
      <c r="J182" s="9">
        <f>IF(6&lt;=核心参数输入!$B$9*4,IF(AND(6-核心参数输入!$B$112&gt;=0,6-核心参数输入!$B$112&lt;=120),INDEX(季度经营税费!$D$150:$DT$150,1,MAX(1,MIN(121,6-核心参数输入!$B$112+1))),0)+IF(6=核心参数输入!$B$9*4,SUMPRODUCT(季度经营税费!$D$150:$DT$150,--(季度经营税费!$D$4:$DT$4&gt;核心参数输入!$B$9*4-核心参数输入!$B$112)),0),0)</f>
        <v>0</v>
      </c>
      <c r="K182" s="9">
        <f>IF(7&lt;=核心参数输入!$B$9*4,IF(AND(7-核心参数输入!$B$112&gt;=0,7-核心参数输入!$B$112&lt;=120),INDEX(季度经营税费!$D$150:$DT$150,1,MAX(1,MIN(121,7-核心参数输入!$B$112+1))),0)+IF(7=核心参数输入!$B$9*4,SUMPRODUCT(季度经营税费!$D$150:$DT$150,--(季度经营税费!$D$4:$DT$4&gt;核心参数输入!$B$9*4-核心参数输入!$B$112)),0),0)</f>
        <v>0</v>
      </c>
      <c r="L182" s="9">
        <f>IF(8&lt;=核心参数输入!$B$9*4,IF(AND(8-核心参数输入!$B$112&gt;=0,8-核心参数输入!$B$112&lt;=120),INDEX(季度经营税费!$D$150:$DT$150,1,MAX(1,MIN(121,8-核心参数输入!$B$112+1))),0)+IF(8=核心参数输入!$B$9*4,SUMPRODUCT(季度经营税费!$D$150:$DT$150,--(季度经营税费!$D$4:$DT$4&gt;核心参数输入!$B$9*4-核心参数输入!$B$112)),0),0)</f>
        <v>0</v>
      </c>
      <c r="M182" s="9">
        <f>IF(9&lt;=核心参数输入!$B$9*4,IF(AND(9-核心参数输入!$B$112&gt;=0,9-核心参数输入!$B$112&lt;=120),INDEX(季度经营税费!$D$150:$DT$150,1,MAX(1,MIN(121,9-核心参数输入!$B$112+1))),0)+IF(9=核心参数输入!$B$9*4,SUMPRODUCT(季度经营税费!$D$150:$DT$150,--(季度经营税费!$D$4:$DT$4&gt;核心参数输入!$B$9*4-核心参数输入!$B$112)),0),0)</f>
        <v>0</v>
      </c>
      <c r="N182" s="9">
        <f>IF(10&lt;=核心参数输入!$B$9*4,IF(AND(10-核心参数输入!$B$112&gt;=0,10-核心参数输入!$B$112&lt;=120),INDEX(季度经营税费!$D$150:$DT$150,1,MAX(1,MIN(121,10-核心参数输入!$B$112+1))),0)+IF(10=核心参数输入!$B$9*4,SUMPRODUCT(季度经营税费!$D$150:$DT$150,--(季度经营税费!$D$4:$DT$4&gt;核心参数输入!$B$9*4-核心参数输入!$B$112)),0),0)</f>
        <v>0</v>
      </c>
      <c r="O182" s="9">
        <f>IF(11&lt;=核心参数输入!$B$9*4,IF(AND(11-核心参数输入!$B$112&gt;=0,11-核心参数输入!$B$112&lt;=120),INDEX(季度经营税费!$D$150:$DT$150,1,MAX(1,MIN(121,11-核心参数输入!$B$112+1))),0)+IF(11=核心参数输入!$B$9*4,SUMPRODUCT(季度经营税费!$D$150:$DT$150,--(季度经营税费!$D$4:$DT$4&gt;核心参数输入!$B$9*4-核心参数输入!$B$112)),0),0)</f>
        <v>0</v>
      </c>
      <c r="P182" s="9">
        <f>IF(12&lt;=核心参数输入!$B$9*4,IF(AND(12-核心参数输入!$B$112&gt;=0,12-核心参数输入!$B$112&lt;=120),INDEX(季度经营税费!$D$150:$DT$150,1,MAX(1,MIN(121,12-核心参数输入!$B$112+1))),0)+IF(12=核心参数输入!$B$9*4,SUMPRODUCT(季度经营税费!$D$150:$DT$150,--(季度经营税费!$D$4:$DT$4&gt;核心参数输入!$B$9*4-核心参数输入!$B$112)),0),0)</f>
        <v>0</v>
      </c>
      <c r="Q182" s="9">
        <f>IF(13&lt;=核心参数输入!$B$9*4,IF(AND(13-核心参数输入!$B$112&gt;=0,13-核心参数输入!$B$112&lt;=120),INDEX(季度经营税费!$D$150:$DT$150,1,MAX(1,MIN(121,13-核心参数输入!$B$112+1))),0)+IF(13=核心参数输入!$B$9*4,SUMPRODUCT(季度经营税费!$D$150:$DT$150,--(季度经营税费!$D$4:$DT$4&gt;核心参数输入!$B$9*4-核心参数输入!$B$112)),0),0)</f>
        <v>0</v>
      </c>
      <c r="R182" s="9">
        <f>IF(14&lt;=核心参数输入!$B$9*4,IF(AND(14-核心参数输入!$B$112&gt;=0,14-核心参数输入!$B$112&lt;=120),INDEX(季度经营税费!$D$150:$DT$150,1,MAX(1,MIN(121,14-核心参数输入!$B$112+1))),0)+IF(14=核心参数输入!$B$9*4,SUMPRODUCT(季度经营税费!$D$150:$DT$150,--(季度经营税费!$D$4:$DT$4&gt;核心参数输入!$B$9*4-核心参数输入!$B$112)),0),0)</f>
        <v>1.3420853550000005</v>
      </c>
      <c r="S182" s="9">
        <f>IF(15&lt;=核心参数输入!$B$9*4,IF(AND(15-核心参数输入!$B$112&gt;=0,15-核心参数输入!$B$112&lt;=120),INDEX(季度经营税费!$D$150:$DT$150,1,MAX(1,MIN(121,15-核心参数输入!$B$112+1))),0)+IF(15=核心参数输入!$B$9*4,SUMPRODUCT(季度经营税费!$D$150:$DT$150,--(季度经营税费!$D$4:$DT$4&gt;核心参数输入!$B$9*4-核心参数输入!$B$112)),0),0)</f>
        <v>4.026256065000001</v>
      </c>
      <c r="T182" s="9">
        <f>IF(16&lt;=核心参数输入!$B$9*4,IF(AND(16-核心参数输入!$B$112&gt;=0,16-核心参数输入!$B$112&lt;=120),INDEX(季度经营税费!$D$150:$DT$150,1,MAX(1,MIN(121,16-核心参数输入!$B$112+1))),0)+IF(16=核心参数输入!$B$9*4,SUMPRODUCT(季度经营税费!$D$150:$DT$150,--(季度经营税费!$D$4:$DT$4&gt;核心参数输入!$B$9*4-核心参数输入!$B$112)),0),0)</f>
        <v>6.7104267750000002</v>
      </c>
      <c r="U182" s="9">
        <f>IF(17&lt;=核心参数输入!$B$9*4,IF(AND(17-核心参数输入!$B$112&gt;=0,17-核心参数输入!$B$112&lt;=120),INDEX(季度经营税费!$D$150:$DT$150,1,MAX(1,MIN(121,17-核心参数输入!$B$112+1))),0)+IF(17=核心参数输入!$B$9*4,SUMPRODUCT(季度经营税费!$D$150:$DT$150,--(季度经营税费!$D$4:$DT$4&gt;核心参数输入!$B$9*4-核心参数输入!$B$112)),0),0)</f>
        <v>9.5355164472750005</v>
      </c>
      <c r="V182" s="9">
        <f>IF(18&lt;=核心参数输入!$B$9*4,IF(AND(18-核心参数输入!$B$112&gt;=0,18-核心参数输入!$B$112&lt;=120),INDEX(季度经营税费!$D$150:$DT$150,1,MAX(1,MIN(121,18-核心参数输入!$B$112+1))),0)+IF(18=核心参数输入!$B$9*4,SUMPRODUCT(季度经营税费!$D$150:$DT$150,--(季度经营税费!$D$4:$DT$4&gt;核心参数输入!$B$9*4-核心参数输入!$B$112)),0),0)</f>
        <v>11.578841400262499</v>
      </c>
      <c r="W182" s="9">
        <f>IF(19&lt;=核心参数输入!$B$9*4,IF(AND(19-核心参数输入!$B$112&gt;=0,19-核心参数输入!$B$112&lt;=120),INDEX(季度经营税费!$D$150:$DT$150,1,MAX(1,MIN(121,19-核心参数输入!$B$112+1))),0)+IF(19=核心参数输入!$B$9*4,SUMPRODUCT(季度经营税费!$D$150:$DT$150,--(季度经营税费!$D$4:$DT$4&gt;核心参数输入!$B$9*4-核心参数输入!$B$112)),0),0)</f>
        <v>12.941058035587499</v>
      </c>
      <c r="X182" s="9">
        <f>IF(20&lt;=核心参数输入!$B$9*4,IF(AND(20-核心参数输入!$B$112&gt;=0,20-核心参数输入!$B$112&lt;=120),INDEX(季度经营税费!$D$150:$DT$150,1,MAX(1,MIN(121,20-核心参数输入!$B$112+1))),0)+IF(20=核心参数输入!$B$9*4,SUMPRODUCT(季度经营税费!$D$150:$DT$150,--(季度经营税费!$D$4:$DT$4&gt;核心参数输入!$B$9*4-核心参数输入!$B$112)),0),0)</f>
        <v>14.303274670912501</v>
      </c>
      <c r="Y182" s="9">
        <f>IF(21&lt;=核心参数输入!$B$9*4,IF(AND(21-核心参数输入!$B$112&gt;=0,21-核心参数输入!$B$112&lt;=120),INDEX(季度经营税费!$D$150:$DT$150,1,MAX(1,MIN(121,21-核心参数输入!$B$112+1))),0)+IF(21=核心参数输入!$B$9*4,SUMPRODUCT(季度经营税费!$D$150:$DT$150,--(季度经营税费!$D$4:$DT$4&gt;核心参数输入!$B$9*4-核心参数输入!$B$112)),0),0)</f>
        <v>15.900473675831055</v>
      </c>
      <c r="Z182" s="9">
        <f>IF(22&lt;=核心参数输入!$B$9*4,IF(AND(22-核心参数输入!$B$112&gt;=0,22-核心参数输入!$B$112&lt;=120),INDEX(季度经营税费!$D$150:$DT$150,1,MAX(1,MIN(121,22-核心参数输入!$B$112+1))),0)+IF(22=核心参数输入!$B$9*4,SUMPRODUCT(季度经营税费!$D$150:$DT$150,--(季度经营税费!$D$4:$DT$4&gt;核心参数输入!$B$9*4-核心参数输入!$B$112)),0),0)</f>
        <v>17.110292325079072</v>
      </c>
      <c r="AA182" s="9">
        <f>IF(23&lt;=核心参数输入!$B$9*4,IF(AND(23-核心参数输入!$B$112&gt;=0,23-核心参数输入!$B$112&lt;=120),INDEX(季度经营税费!$D$150:$DT$150,1,MAX(1,MIN(121,23-核心参数输入!$B$112+1))),0)+IF(23=核心参数输入!$B$9*4,SUMPRODUCT(季度经营税费!$D$150:$DT$150,--(季度经营税费!$D$4:$DT$4&gt;核心参数输入!$B$9*4-核心参数输入!$B$112)),0),0)</f>
        <v>18.147279738720229</v>
      </c>
      <c r="AB182" s="9">
        <f>IF(24&lt;=核心参数输入!$B$9*4,IF(AND(24-核心参数输入!$B$112&gt;=0,24-核心参数输入!$B$112&lt;=120),INDEX(季度经营税费!$D$150:$DT$150,1,MAX(1,MIN(121,24-核心参数输入!$B$112+1))),0)+IF(24=核心参数输入!$B$9*4,SUMPRODUCT(季度经营税费!$D$150:$DT$150,--(季度经营税费!$D$4:$DT$4&gt;核心参数输入!$B$9*4-核心参数输入!$B$112)),0),0)</f>
        <v>19.184267152361386</v>
      </c>
      <c r="AC182" s="9">
        <f>IF(25&lt;=核心参数输入!$B$9*4,IF(AND(25-核心参数输入!$B$112&gt;=0,25-核心参数输入!$B$112&lt;=120),INDEX(季度经营税费!$D$150:$DT$150,1,MAX(1,MIN(121,25-核心参数输入!$B$112+1))),0)+IF(25=核心参数输入!$B$9*4,SUMPRODUCT(季度经营税费!$D$150:$DT$150,--(季度经营税费!$D$4:$DT$4&gt;核心参数输入!$B$9*4-核心参数输入!$B$112)),0),0)</f>
        <v>20.524573384492573</v>
      </c>
      <c r="AD182" s="9">
        <f>IF(26&lt;=核心参数输入!$B$9*4,IF(AND(26-核心参数输入!$B$112&gt;=0,26-核心参数输入!$B$112&lt;=120),INDEX(季度经营税费!$D$150:$DT$150,1,MAX(1,MIN(121,26-核心参数输入!$B$112+1))),0)+IF(26=核心参数输入!$B$9*4,SUMPRODUCT(季度经营税费!$D$150:$DT$150,--(季度经营税费!$D$4:$DT$4&gt;核心参数输入!$B$9*4-核心参数输入!$B$112)),0),0)</f>
        <v>21.226268201056421</v>
      </c>
      <c r="AE182" s="9">
        <f>IF(27&lt;=核心参数输入!$B$9*4,IF(AND(27-核心参数输入!$B$112&gt;=0,27-核心参数输入!$B$112&lt;=120),INDEX(季度经营税费!$D$150:$DT$150,1,MAX(1,MIN(121,27-核心参数输入!$B$112+1))),0)+IF(27=核心参数输入!$B$9*4,SUMPRODUCT(季度经营税费!$D$150:$DT$150,--(季度经营税费!$D$4:$DT$4&gt;核心参数输入!$B$9*4-核心参数输入!$B$112)),0),0)</f>
        <v>21.577115609338346</v>
      </c>
      <c r="AF182" s="9">
        <f>IF(28&lt;=核心参数输入!$B$9*4,IF(AND(28-核心参数输入!$B$112&gt;=0,28-核心参数输入!$B$112&lt;=120),INDEX(季度经营税费!$D$150:$DT$150,1,MAX(1,MIN(121,28-核心参数输入!$B$112+1))),0)+IF(28=核心参数输入!$B$9*4,SUMPRODUCT(季度经营税费!$D$150:$DT$150,--(季度经营税费!$D$4:$DT$4&gt;核心参数输入!$B$9*4-核心参数输入!$B$112)),0),0)</f>
        <v>21.927963017620272</v>
      </c>
      <c r="AG182" s="9">
        <f>IF(29&lt;=核心参数输入!$B$9*4,IF(AND(29-核心参数输入!$B$112&gt;=0,29-核心参数输入!$B$112&lt;=120),INDEX(季度经营税费!$D$150:$DT$150,1,MAX(1,MIN(121,29-核心参数输入!$B$112+1))),0)+IF(29=核心参数输入!$B$9*4,SUMPRODUCT(季度经营税费!$D$150:$DT$150,--(季度经营税费!$D$4:$DT$4&gt;核心参数输入!$B$9*4-核心参数输入!$B$112)),0),0)</f>
        <v>22.61299258229073</v>
      </c>
      <c r="AH182" s="9">
        <f>IF(30&lt;=核心参数输入!$B$9*4,IF(AND(30-核心参数输入!$B$112&gt;=0,30-核心参数输入!$B$112&lt;=120),INDEX(季度经营税费!$D$150:$DT$150,1,MAX(1,MIN(121,30-核心参数输入!$B$112+1))),0)+IF(30=核心参数输入!$B$9*4,SUMPRODUCT(季度经营税费!$D$150:$DT$150,--(季度经营税费!$D$4:$DT$4&gt;核心参数输入!$B$9*4-核心参数输入!$B$112)),0),0)</f>
        <v>22.791047641993806</v>
      </c>
      <c r="AI182" s="9">
        <f>IF(31&lt;=核心参数输入!$B$9*4,IF(AND(31-核心参数输入!$B$112&gt;=0,31-核心参数输入!$B$112&lt;=120),INDEX(季度经营税费!$D$150:$DT$150,1,MAX(1,MIN(121,31-核心参数输入!$B$112+1))),0)+IF(31=核心参数输入!$B$9*4,SUMPRODUCT(季度经营税费!$D$150:$DT$150,--(季度经营税费!$D$4:$DT$4&gt;核心参数输入!$B$9*4-核心参数输入!$B$112)),0),0)</f>
        <v>22.791047641993806</v>
      </c>
      <c r="AJ182" s="9">
        <f>IF(32&lt;=核心参数输入!$B$9*4,IF(AND(32-核心参数输入!$B$112&gt;=0,32-核心参数输入!$B$112&lt;=120),INDEX(季度经营税费!$D$150:$DT$150,1,MAX(1,MIN(121,32-核心参数输入!$B$112+1))),0)+IF(32=核心参数输入!$B$9*4,SUMPRODUCT(季度经营税费!$D$150:$DT$150,--(季度经营税费!$D$4:$DT$4&gt;核心参数输入!$B$9*4-核心参数输入!$B$112)),0),0)</f>
        <v>22.791047641993806</v>
      </c>
      <c r="AK182" s="9">
        <f>IF(33&lt;=核心参数输入!$B$9*4,IF(AND(33-核心参数输入!$B$112&gt;=0,33-核心参数输入!$B$112&lt;=120),INDEX(季度经营税费!$D$150:$DT$150,1,MAX(1,MIN(121,33-核心参数输入!$B$112+1))),0)+IF(33=核心参数输入!$B$9*4,SUMPRODUCT(季度经营税费!$D$150:$DT$150,--(季度经营税费!$D$4:$DT$4&gt;核心参数输入!$B$9*4-核心参数输入!$B$112)),0),0)</f>
        <v>23.132913356623714</v>
      </c>
      <c r="AL182" s="9">
        <f>IF(34&lt;=核心参数输入!$B$9*4,IF(AND(34-核心参数输入!$B$112&gt;=0,34-核心参数输入!$B$112&lt;=120),INDEX(季度经营税费!$D$150:$DT$150,1,MAX(1,MIN(121,34-核心参数输入!$B$112+1))),0)+IF(34=核心参数输入!$B$9*4,SUMPRODUCT(季度经营税费!$D$150:$DT$150,--(季度经营税费!$D$4:$DT$4&gt;核心参数输入!$B$9*4-核心参数输入!$B$112)),0),0)</f>
        <v>23.132913356623714</v>
      </c>
      <c r="AM182" s="9">
        <f>IF(35&lt;=核心参数输入!$B$9*4,IF(AND(35-核心参数输入!$B$112&gt;=0,35-核心参数输入!$B$112&lt;=120),INDEX(季度经营税费!$D$150:$DT$150,1,MAX(1,MIN(121,35-核心参数输入!$B$112+1))),0)+IF(35=核心参数输入!$B$9*4,SUMPRODUCT(季度经营税费!$D$150:$DT$150,--(季度经营税费!$D$4:$DT$4&gt;核心参数输入!$B$9*4-核心参数输入!$B$112)),0),0)</f>
        <v>23.132913356623714</v>
      </c>
      <c r="AN182" s="9">
        <f>IF(36&lt;=核心参数输入!$B$9*4,IF(AND(36-核心参数输入!$B$112&gt;=0,36-核心参数输入!$B$112&lt;=120),INDEX(季度经营税费!$D$150:$DT$150,1,MAX(1,MIN(121,36-核心参数输入!$B$112+1))),0)+IF(36=核心参数输入!$B$9*4,SUMPRODUCT(季度经营税费!$D$150:$DT$150,--(季度经营税费!$D$4:$DT$4&gt;核心参数输入!$B$9*4-核心参数输入!$B$112)),0),0)</f>
        <v>23.132913356623714</v>
      </c>
      <c r="AO182" s="9">
        <f>IF(37&lt;=核心参数输入!$B$9*4,IF(AND(37-核心参数输入!$B$112&gt;=0,37-核心参数输入!$B$112&lt;=120),INDEX(季度经营税费!$D$150:$DT$150,1,MAX(1,MIN(121,37-核心参数输入!$B$112+1))),0)+IF(37=核心参数输入!$B$9*4,SUMPRODUCT(季度经营税费!$D$150:$DT$150,--(季度经营税费!$D$4:$DT$4&gt;核心参数输入!$B$9*4-核心参数输入!$B$112)),0),0)</f>
        <v>23.479907056973062</v>
      </c>
      <c r="AP182" s="9">
        <f>IF(38&lt;=核心参数输入!$B$9*4,IF(AND(38-核心参数输入!$B$112&gt;=0,38-核心参数输入!$B$112&lt;=120),INDEX(季度经营税费!$D$150:$DT$150,1,MAX(1,MIN(121,38-核心参数输入!$B$112+1))),0)+IF(38=核心参数输入!$B$9*4,SUMPRODUCT(季度经营税费!$D$150:$DT$150,--(季度经营税费!$D$4:$DT$4&gt;核心参数输入!$B$9*4-核心参数输入!$B$112)),0),0)</f>
        <v>23.479907056973062</v>
      </c>
      <c r="AQ182" s="9">
        <f>IF(39&lt;=核心参数输入!$B$9*4,IF(AND(39-核心参数输入!$B$112&gt;=0,39-核心参数输入!$B$112&lt;=120),INDEX(季度经营税费!$D$150:$DT$150,1,MAX(1,MIN(121,39-核心参数输入!$B$112+1))),0)+IF(39=核心参数输入!$B$9*4,SUMPRODUCT(季度经营税费!$D$150:$DT$150,--(季度经营税费!$D$4:$DT$4&gt;核心参数输入!$B$9*4-核心参数输入!$B$112)),0),0)</f>
        <v>23.479907056973062</v>
      </c>
      <c r="AR182" s="9">
        <f>IF(40&lt;=核心参数输入!$B$9*4,IF(AND(40-核心参数输入!$B$112&gt;=0,40-核心参数输入!$B$112&lt;=120),INDEX(季度经营税费!$D$150:$DT$150,1,MAX(1,MIN(121,40-核心参数输入!$B$112+1))),0)+IF(40=核心参数输入!$B$9*4,SUMPRODUCT(季度经营税费!$D$150:$DT$150,--(季度经营税费!$D$4:$DT$4&gt;核心参数输入!$B$9*4-核心参数输入!$B$112)),0),0)</f>
        <v>23.479907056973062</v>
      </c>
      <c r="AS182" s="9">
        <f>IF(41&lt;=核心参数输入!$B$9*4,IF(AND(41-核心参数输入!$B$112&gt;=0,41-核心参数输入!$B$112&lt;=120),INDEX(季度经营税费!$D$150:$DT$150,1,MAX(1,MIN(121,41-核心参数输入!$B$112+1))),0)+IF(41=核心参数输入!$B$9*4,SUMPRODUCT(季度经营税费!$D$150:$DT$150,--(季度经营税费!$D$4:$DT$4&gt;核心参数输入!$B$9*4-核心参数输入!$B$112)),0),0)</f>
        <v>23.832105662827654</v>
      </c>
      <c r="AT182" s="9">
        <f>IF(42&lt;=核心参数输入!$B$9*4,IF(AND(42-核心参数输入!$B$112&gt;=0,42-核心参数输入!$B$112&lt;=120),INDEX(季度经营税费!$D$150:$DT$150,1,MAX(1,MIN(121,42-核心参数输入!$B$112+1))),0)+IF(42=核心参数输入!$B$9*4,SUMPRODUCT(季度经营税费!$D$150:$DT$150,--(季度经营税费!$D$4:$DT$4&gt;核心参数输入!$B$9*4-核心参数输入!$B$112)),0),0)</f>
        <v>23.832105662827654</v>
      </c>
      <c r="AU182" s="9">
        <f>IF(43&lt;=核心参数输入!$B$9*4,IF(AND(43-核心参数输入!$B$112&gt;=0,43-核心参数输入!$B$112&lt;=120),INDEX(季度经营税费!$D$150:$DT$150,1,MAX(1,MIN(121,43-核心参数输入!$B$112+1))),0)+IF(43=核心参数输入!$B$9*4,SUMPRODUCT(季度经营税费!$D$150:$DT$150,--(季度经营税费!$D$4:$DT$4&gt;核心参数输入!$B$9*4-核心参数输入!$B$112)),0),0)</f>
        <v>23.832105662827654</v>
      </c>
      <c r="AV182" s="9">
        <f>IF(44&lt;=核心参数输入!$B$9*4,IF(AND(44-核心参数输入!$B$112&gt;=0,44-核心参数输入!$B$112&lt;=120),INDEX(季度经营税费!$D$150:$DT$150,1,MAX(1,MIN(121,44-核心参数输入!$B$112+1))),0)+IF(44=核心参数输入!$B$9*4,SUMPRODUCT(季度经营税费!$D$150:$DT$150,--(季度经营税费!$D$4:$DT$4&gt;核心参数输入!$B$9*4-核心参数输入!$B$112)),0),0)</f>
        <v>23.832105662827654</v>
      </c>
      <c r="AW182" s="9">
        <f>IF(45&lt;=核心参数输入!$B$9*4,IF(AND(45-核心参数输入!$B$112&gt;=0,45-核心参数输入!$B$112&lt;=120),INDEX(季度经营税费!$D$150:$DT$150,1,MAX(1,MIN(121,45-核心参数输入!$B$112+1))),0)+IF(45=核心参数输入!$B$9*4,SUMPRODUCT(季度经营税费!$D$150:$DT$150,--(季度经营税费!$D$4:$DT$4&gt;核心参数输入!$B$9*4-核心参数输入!$B$112)),0),0)</f>
        <v>24.189587247770064</v>
      </c>
      <c r="AX182" s="9">
        <f>IF(46&lt;=核心参数输入!$B$9*4,IF(AND(46-核心参数输入!$B$112&gt;=0,46-核心参数输入!$B$112&lt;=120),INDEX(季度经营税费!$D$150:$DT$150,1,MAX(1,MIN(121,46-核心参数输入!$B$112+1))),0)+IF(46=核心参数输入!$B$9*4,SUMPRODUCT(季度经营税费!$D$150:$DT$150,--(季度经营税费!$D$4:$DT$4&gt;核心参数输入!$B$9*4-核心参数输入!$B$112)),0),0)</f>
        <v>24.189587247770064</v>
      </c>
      <c r="AY182" s="9">
        <f>IF(47&lt;=核心参数输入!$B$9*4,IF(AND(47-核心参数输入!$B$112&gt;=0,47-核心参数输入!$B$112&lt;=120),INDEX(季度经营税费!$D$150:$DT$150,1,MAX(1,MIN(121,47-核心参数输入!$B$112+1))),0)+IF(47=核心参数输入!$B$9*4,SUMPRODUCT(季度经营税费!$D$150:$DT$150,--(季度经营税费!$D$4:$DT$4&gt;核心参数输入!$B$9*4-核心参数输入!$B$112)),0),0)</f>
        <v>24.189587247770064</v>
      </c>
      <c r="AZ182" s="9">
        <f>IF(48&lt;=核心参数输入!$B$9*4,IF(AND(48-核心参数输入!$B$112&gt;=0,48-核心参数输入!$B$112&lt;=120),INDEX(季度经营税费!$D$150:$DT$150,1,MAX(1,MIN(121,48-核心参数输入!$B$112+1))),0)+IF(48=核心参数输入!$B$9*4,SUMPRODUCT(季度经营税费!$D$150:$DT$150,--(季度经营税费!$D$4:$DT$4&gt;核心参数输入!$B$9*4-核心参数输入!$B$112)),0),0)</f>
        <v>24.189587247770064</v>
      </c>
      <c r="BA182" s="9">
        <f>IF(49&lt;=核心参数输入!$B$9*4,IF(AND(49-核心参数输入!$B$112&gt;=0,49-核心参数输入!$B$112&lt;=120),INDEX(季度经营税费!$D$150:$DT$150,1,MAX(1,MIN(121,49-核心参数输入!$B$112+1))),0)+IF(49=核心参数输入!$B$9*4,SUMPRODUCT(季度经营税费!$D$150:$DT$150,--(季度经营税费!$D$4:$DT$4&gt;核心参数输入!$B$9*4-核心参数输入!$B$112)),0),0)</f>
        <v>24.552431056486615</v>
      </c>
      <c r="BB182" s="9">
        <f>IF(50&lt;=核心参数输入!$B$9*4,IF(AND(50-核心参数输入!$B$112&gt;=0,50-核心参数输入!$B$112&lt;=120),INDEX(季度经营税费!$D$150:$DT$150,1,MAX(1,MIN(121,50-核心参数输入!$B$112+1))),0)+IF(50=核心参数输入!$B$9*4,SUMPRODUCT(季度经营税费!$D$150:$DT$150,--(季度经营税费!$D$4:$DT$4&gt;核心参数输入!$B$9*4-核心参数输入!$B$112)),0),0)</f>
        <v>24.552431056486615</v>
      </c>
      <c r="BC182" s="9">
        <f>IF(51&lt;=核心参数输入!$B$9*4,IF(AND(51-核心参数输入!$B$112&gt;=0,51-核心参数输入!$B$112&lt;=120),INDEX(季度经营税费!$D$150:$DT$150,1,MAX(1,MIN(121,51-核心参数输入!$B$112+1))),0)+IF(51=核心参数输入!$B$9*4,SUMPRODUCT(季度经营税费!$D$150:$DT$150,--(季度经营税费!$D$4:$DT$4&gt;核心参数输入!$B$9*4-核心参数输入!$B$112)),0),0)</f>
        <v>24.552431056486615</v>
      </c>
      <c r="BD182" s="9">
        <f>IF(52&lt;=核心参数输入!$B$9*4,IF(AND(52-核心参数输入!$B$112&gt;=0,52-核心参数输入!$B$112&lt;=120),INDEX(季度经营税费!$D$150:$DT$150,1,MAX(1,MIN(121,52-核心参数输入!$B$112+1))),0)+IF(52=核心参数输入!$B$9*4,SUMPRODUCT(季度经营税费!$D$150:$DT$150,--(季度经营税费!$D$4:$DT$4&gt;核心参数输入!$B$9*4-核心参数输入!$B$112)),0),0)</f>
        <v>24.552431056486615</v>
      </c>
      <c r="BE182" s="9">
        <f>IF(53&lt;=核心参数输入!$B$9*4,IF(AND(53-核心参数输入!$B$112&gt;=0,53-核心参数输入!$B$112&lt;=120),INDEX(季度经营税费!$D$150:$DT$150,1,MAX(1,MIN(121,53-核心参数输入!$B$112+1))),0)+IF(53=核心参数输入!$B$9*4,SUMPRODUCT(季度经营税费!$D$150:$DT$150,--(季度经营税费!$D$4:$DT$4&gt;核心参数输入!$B$9*4-核心参数输入!$B$112)),0),0)</f>
        <v>24.920717522333909</v>
      </c>
      <c r="BF182" s="9">
        <f>IF(54&lt;=核心参数输入!$B$9*4,IF(AND(54-核心参数输入!$B$112&gt;=0,54-核心参数输入!$B$112&lt;=120),INDEX(季度经营税费!$D$150:$DT$150,1,MAX(1,MIN(121,54-核心参数输入!$B$112+1))),0)+IF(54=核心参数输入!$B$9*4,SUMPRODUCT(季度经营税费!$D$150:$DT$150,--(季度经营税费!$D$4:$DT$4&gt;核心参数输入!$B$9*4-核心参数输入!$B$112)),0),0)</f>
        <v>24.920717522333909</v>
      </c>
      <c r="BG182" s="9">
        <f>IF(55&lt;=核心参数输入!$B$9*4,IF(AND(55-核心参数输入!$B$112&gt;=0,55-核心参数输入!$B$112&lt;=120),INDEX(季度经营税费!$D$150:$DT$150,1,MAX(1,MIN(121,55-核心参数输入!$B$112+1))),0)+IF(55=核心参数输入!$B$9*4,SUMPRODUCT(季度经营税费!$D$150:$DT$150,--(季度经营税费!$D$4:$DT$4&gt;核心参数输入!$B$9*4-核心参数输入!$B$112)),0),0)</f>
        <v>24.920717522333909</v>
      </c>
      <c r="BH182" s="9">
        <f>IF(56&lt;=核心参数输入!$B$9*4,IF(AND(56-核心参数输入!$B$112&gt;=0,56-核心参数输入!$B$112&lt;=120),INDEX(季度经营税费!$D$150:$DT$150,1,MAX(1,MIN(121,56-核心参数输入!$B$112+1))),0)+IF(56=核心参数输入!$B$9*4,SUMPRODUCT(季度经营税费!$D$150:$DT$150,--(季度经营税费!$D$4:$DT$4&gt;核心参数输入!$B$9*4-核心参数输入!$B$112)),0),0)</f>
        <v>24.920717522333909</v>
      </c>
      <c r="BI182" s="9">
        <f>IF(57&lt;=核心参数输入!$B$9*4,IF(AND(57-核心参数输入!$B$112&gt;=0,57-核心参数输入!$B$112&lt;=120),INDEX(季度经营税费!$D$150:$DT$150,1,MAX(1,MIN(121,57-核心参数输入!$B$112+1))),0)+IF(57=核心参数输入!$B$9*4,SUMPRODUCT(季度经营税费!$D$150:$DT$150,--(季度经营税费!$D$4:$DT$4&gt;核心参数输入!$B$9*4-核心参数输入!$B$112)),0),0)</f>
        <v>25.294528285168912</v>
      </c>
      <c r="BJ182" s="9">
        <f>IF(58&lt;=核心参数输入!$B$9*4,IF(AND(58-核心参数输入!$B$112&gt;=0,58-核心参数输入!$B$112&lt;=120),INDEX(季度经营税费!$D$150:$DT$150,1,MAX(1,MIN(121,58-核心参数输入!$B$112+1))),0)+IF(58=核心参数输入!$B$9*4,SUMPRODUCT(季度经营税费!$D$150:$DT$150,--(季度经营税费!$D$4:$DT$4&gt;核心参数输入!$B$9*4-核心参数输入!$B$112)),0),0)</f>
        <v>25.294528285168912</v>
      </c>
      <c r="BK182" s="9">
        <f>IF(59&lt;=核心参数输入!$B$9*4,IF(AND(59-核心参数输入!$B$112&gt;=0,59-核心参数输入!$B$112&lt;=120),INDEX(季度经营税费!$D$150:$DT$150,1,MAX(1,MIN(121,59-核心参数输入!$B$112+1))),0)+IF(59=核心参数输入!$B$9*4,SUMPRODUCT(季度经营税费!$D$150:$DT$150,--(季度经营税费!$D$4:$DT$4&gt;核心参数输入!$B$9*4-核心参数输入!$B$112)),0),0)</f>
        <v>25.294528285168912</v>
      </c>
      <c r="BL182" s="9">
        <f>IF(60&lt;=核心参数输入!$B$9*4,IF(AND(60-核心参数输入!$B$112&gt;=0,60-核心参数输入!$B$112&lt;=120),INDEX(季度经营税费!$D$150:$DT$150,1,MAX(1,MIN(121,60-核心参数输入!$B$112+1))),0)+IF(60=核心参数输入!$B$9*4,SUMPRODUCT(季度经营税费!$D$150:$DT$150,--(季度经营税费!$D$4:$DT$4&gt;核心参数输入!$B$9*4-核心参数输入!$B$112)),0),0)</f>
        <v>25.294528285168912</v>
      </c>
      <c r="BM182" s="9">
        <f>IF(61&lt;=核心参数输入!$B$9*4,IF(AND(61-核心参数输入!$B$112&gt;=0,61-核心参数输入!$B$112&lt;=120),INDEX(季度经营税费!$D$150:$DT$150,1,MAX(1,MIN(121,61-核心参数输入!$B$112+1))),0)+IF(61=核心参数输入!$B$9*4,SUMPRODUCT(季度经营税费!$D$150:$DT$150,--(季度经营税费!$D$4:$DT$4&gt;核心参数输入!$B$9*4-核心参数输入!$B$112)),0),0)</f>
        <v>25.673946209446438</v>
      </c>
      <c r="BN182" s="9">
        <f>IF(62&lt;=核心参数输入!$B$9*4,IF(AND(62-核心参数输入!$B$112&gt;=0,62-核心参数输入!$B$112&lt;=120),INDEX(季度经营税费!$D$150:$DT$150,1,MAX(1,MIN(121,62-核心参数输入!$B$112+1))),0)+IF(62=核心参数输入!$B$9*4,SUMPRODUCT(季度经营税费!$D$150:$DT$150,--(季度经营税费!$D$4:$DT$4&gt;核心参数输入!$B$9*4-核心参数输入!$B$112)),0),0)</f>
        <v>25.673946209446438</v>
      </c>
      <c r="BO182" s="9">
        <f>IF(63&lt;=核心参数输入!$B$9*4,IF(AND(63-核心参数输入!$B$112&gt;=0,63-核心参数输入!$B$112&lt;=120),INDEX(季度经营税费!$D$150:$DT$150,1,MAX(1,MIN(121,63-核心参数输入!$B$112+1))),0)+IF(63=核心参数输入!$B$9*4,SUMPRODUCT(季度经营税费!$D$150:$DT$150,--(季度经营税费!$D$4:$DT$4&gt;核心参数输入!$B$9*4-核心参数输入!$B$112)),0),0)</f>
        <v>25.673946209446438</v>
      </c>
      <c r="BP182" s="9">
        <f>IF(64&lt;=核心参数输入!$B$9*4,IF(AND(64-核心参数输入!$B$112&gt;=0,64-核心参数输入!$B$112&lt;=120),INDEX(季度经营税费!$D$150:$DT$150,1,MAX(1,MIN(121,64-核心参数输入!$B$112+1))),0)+IF(64=核心参数输入!$B$9*4,SUMPRODUCT(季度经营税费!$D$150:$DT$150,--(季度经营税费!$D$4:$DT$4&gt;核心参数输入!$B$9*4-核心参数输入!$B$112)),0),0)</f>
        <v>25.673946209446438</v>
      </c>
      <c r="BQ182" s="9">
        <f>IF(65&lt;=核心参数输入!$B$9*4,IF(AND(65-核心参数输入!$B$112&gt;=0,65-核心参数输入!$B$112&lt;=120),INDEX(季度经营税费!$D$150:$DT$150,1,MAX(1,MIN(121,65-核心参数输入!$B$112+1))),0)+IF(65=核心参数输入!$B$9*4,SUMPRODUCT(季度经营税费!$D$150:$DT$150,--(季度经营税费!$D$4:$DT$4&gt;核心参数输入!$B$9*4-核心参数输入!$B$112)),0),0)</f>
        <v>26.05905540258814</v>
      </c>
      <c r="BR182" s="9">
        <f>IF(66&lt;=核心参数输入!$B$9*4,IF(AND(66-核心参数输入!$B$112&gt;=0,66-核心参数输入!$B$112&lt;=120),INDEX(季度经营税费!$D$150:$DT$150,1,MAX(1,MIN(121,66-核心参数输入!$B$112+1))),0)+IF(66=核心参数输入!$B$9*4,SUMPRODUCT(季度经营税费!$D$150:$DT$150,--(季度经营税费!$D$4:$DT$4&gt;核心参数输入!$B$9*4-核心参数输入!$B$112)),0),0)</f>
        <v>26.05905540258814</v>
      </c>
      <c r="BS182" s="9">
        <f>IF(67&lt;=核心参数输入!$B$9*4,IF(AND(67-核心参数输入!$B$112&gt;=0,67-核心参数输入!$B$112&lt;=120),INDEX(季度经营税费!$D$150:$DT$150,1,MAX(1,MIN(121,67-核心参数输入!$B$112+1))),0)+IF(67=核心参数输入!$B$9*4,SUMPRODUCT(季度经营税费!$D$150:$DT$150,--(季度经营税费!$D$4:$DT$4&gt;核心参数输入!$B$9*4-核心参数输入!$B$112)),0),0)</f>
        <v>26.05905540258814</v>
      </c>
      <c r="BT182" s="9">
        <f>IF(68&lt;=核心参数输入!$B$9*4,IF(AND(68-核心参数输入!$B$112&gt;=0,68-核心参数输入!$B$112&lt;=120),INDEX(季度经营税费!$D$150:$DT$150,1,MAX(1,MIN(121,68-核心参数输入!$B$112+1))),0)+IF(68=核心参数输入!$B$9*4,SUMPRODUCT(季度经营税费!$D$150:$DT$150,--(季度经营税费!$D$4:$DT$4&gt;核心参数输入!$B$9*4-核心参数输入!$B$112)),0),0)</f>
        <v>26.05905540258814</v>
      </c>
      <c r="BU182" s="9">
        <f>IF(69&lt;=核心参数输入!$B$9*4,IF(AND(69-核心参数输入!$B$112&gt;=0,69-核心参数输入!$B$112&lt;=120),INDEX(季度经营税费!$D$150:$DT$150,1,MAX(1,MIN(121,69-核心参数输入!$B$112+1))),0)+IF(69=核心参数输入!$B$9*4,SUMPRODUCT(季度经营税费!$D$150:$DT$150,--(季度经营税费!$D$4:$DT$4&gt;核心参数输入!$B$9*4-核心参数输入!$B$112)),0),0)</f>
        <v>26.449941233626951</v>
      </c>
      <c r="BV182" s="9">
        <f>IF(70&lt;=核心参数输入!$B$9*4,IF(AND(70-核心参数输入!$B$112&gt;=0,70-核心参数输入!$B$112&lt;=120),INDEX(季度经营税费!$D$150:$DT$150,1,MAX(1,MIN(121,70-核心参数输入!$B$112+1))),0)+IF(70=核心参数输入!$B$9*4,SUMPRODUCT(季度经营税费!$D$150:$DT$150,--(季度经营税费!$D$4:$DT$4&gt;核心参数输入!$B$9*4-核心参数输入!$B$112)),0),0)</f>
        <v>26.449941233626951</v>
      </c>
      <c r="BW182" s="9">
        <f>IF(71&lt;=核心参数输入!$B$9*4,IF(AND(71-核心参数输入!$B$112&gt;=0,71-核心参数输入!$B$112&lt;=120),INDEX(季度经营税费!$D$150:$DT$150,1,MAX(1,MIN(121,71-核心参数输入!$B$112+1))),0)+IF(71=核心参数输入!$B$9*4,SUMPRODUCT(季度经营税费!$D$150:$DT$150,--(季度经营税费!$D$4:$DT$4&gt;核心参数输入!$B$9*4-核心参数输入!$B$112)),0),0)</f>
        <v>26.449941233626951</v>
      </c>
      <c r="BX182" s="9">
        <f>IF(72&lt;=核心参数输入!$B$9*4,IF(AND(72-核心参数输入!$B$112&gt;=0,72-核心参数输入!$B$112&lt;=120),INDEX(季度经营税费!$D$150:$DT$150,1,MAX(1,MIN(121,72-核心参数输入!$B$112+1))),0)+IF(72=核心参数输入!$B$9*4,SUMPRODUCT(季度经营税费!$D$150:$DT$150,--(季度经营税费!$D$4:$DT$4&gt;核心参数输入!$B$9*4-核心参数输入!$B$112)),0),0)</f>
        <v>26.449941233626951</v>
      </c>
      <c r="BY182" s="9">
        <f>IF(73&lt;=核心参数输入!$B$9*4,IF(AND(73-核心参数输入!$B$112&gt;=0,73-核心参数输入!$B$112&lt;=120),INDEX(季度经营税费!$D$150:$DT$150,1,MAX(1,MIN(121,73-核心参数输入!$B$112+1))),0)+IF(73=核心参数输入!$B$9*4,SUMPRODUCT(季度经营税费!$D$150:$DT$150,--(季度经营税费!$D$4:$DT$4&gt;核心参数输入!$B$9*4-核心参数输入!$B$112)),0),0)</f>
        <v>26.846690352131354</v>
      </c>
      <c r="BZ182" s="9">
        <f>IF(74&lt;=核心参数输入!$B$9*4,IF(AND(74-核心参数输入!$B$112&gt;=0,74-核心参数输入!$B$112&lt;=120),INDEX(季度经营税费!$D$150:$DT$150,1,MAX(1,MIN(121,74-核心参数输入!$B$112+1))),0)+IF(74=核心参数输入!$B$9*4,SUMPRODUCT(季度经营税费!$D$150:$DT$150,--(季度经营税费!$D$4:$DT$4&gt;核心参数输入!$B$9*4-核心参数输入!$B$112)),0),0)</f>
        <v>26.846690352131354</v>
      </c>
      <c r="CA182" s="9">
        <f>IF(75&lt;=核心参数输入!$B$9*4,IF(AND(75-核心参数输入!$B$112&gt;=0,75-核心参数输入!$B$112&lt;=120),INDEX(季度经营税费!$D$150:$DT$150,1,MAX(1,MIN(121,75-核心参数输入!$B$112+1))),0)+IF(75=核心参数输入!$B$9*4,SUMPRODUCT(季度经营税费!$D$150:$DT$150,--(季度经营税费!$D$4:$DT$4&gt;核心参数输入!$B$9*4-核心参数输入!$B$112)),0),0)</f>
        <v>26.846690352131354</v>
      </c>
      <c r="CB182" s="9">
        <f>IF(76&lt;=核心参数输入!$B$9*4,IF(AND(76-核心参数输入!$B$112&gt;=0,76-核心参数输入!$B$112&lt;=120),INDEX(季度经营税费!$D$150:$DT$150,1,MAX(1,MIN(121,76-核心参数输入!$B$112+1))),0)+IF(76=核心参数输入!$B$9*4,SUMPRODUCT(季度经营税费!$D$150:$DT$150,--(季度经营税费!$D$4:$DT$4&gt;核心参数输入!$B$9*4-核心参数输入!$B$112)),0),0)</f>
        <v>26.846690352131354</v>
      </c>
      <c r="CC182" s="9">
        <f>IF(77&lt;=核心参数输入!$B$9*4,IF(AND(77-核心参数输入!$B$112&gt;=0,77-核心参数输入!$B$112&lt;=120),INDEX(季度经营税费!$D$150:$DT$150,1,MAX(1,MIN(121,77-核心参数输入!$B$112+1))),0)+IF(77=核心参数输入!$B$9*4,SUMPRODUCT(季度经营税费!$D$150:$DT$150,--(季度经营税费!$D$4:$DT$4&gt;核心参数输入!$B$9*4-核心参数输入!$B$112)),0),0)</f>
        <v>27.249390707413323</v>
      </c>
      <c r="CD182" s="9">
        <f>IF(78&lt;=核心参数输入!$B$9*4,IF(AND(78-核心参数输入!$B$112&gt;=0,78-核心参数输入!$B$112&lt;=120),INDEX(季度经营税费!$D$150:$DT$150,1,MAX(1,MIN(121,78-核心参数输入!$B$112+1))),0)+IF(78=核心参数输入!$B$9*4,SUMPRODUCT(季度经营税费!$D$150:$DT$150,--(季度经营税费!$D$4:$DT$4&gt;核心参数输入!$B$9*4-核心参数输入!$B$112)),0),0)</f>
        <v>27.249390707413323</v>
      </c>
      <c r="CE182" s="9">
        <f>IF(79&lt;=核心参数输入!$B$9*4,IF(AND(79-核心参数输入!$B$112&gt;=0,79-核心参数输入!$B$112&lt;=120),INDEX(季度经营税费!$D$150:$DT$150,1,MAX(1,MIN(121,79-核心参数输入!$B$112+1))),0)+IF(79=核心参数输入!$B$9*4,SUMPRODUCT(季度经营税费!$D$150:$DT$150,--(季度经营税费!$D$4:$DT$4&gt;核心参数输入!$B$9*4-核心参数输入!$B$112)),0),0)</f>
        <v>27.249390707413323</v>
      </c>
      <c r="CF182" s="9">
        <f>IF(80&lt;=核心参数输入!$B$9*4,IF(AND(80-核心参数输入!$B$112&gt;=0,80-核心参数输入!$B$112&lt;=120),INDEX(季度经营税费!$D$150:$DT$150,1,MAX(1,MIN(121,80-核心参数输入!$B$112+1))),0)+IF(80=核心参数输入!$B$9*4,SUMPRODUCT(季度经营税费!$D$150:$DT$150,--(季度经营税费!$D$4:$DT$4&gt;核心参数输入!$B$9*4-核心参数输入!$B$112)),0),0)</f>
        <v>27.249390707413323</v>
      </c>
      <c r="CG182" s="9">
        <f>IF(81&lt;=核心参数输入!$B$9*4,IF(AND(81-核心参数输入!$B$112&gt;=0,81-核心参数输入!$B$112&lt;=120),INDEX(季度经营税费!$D$150:$DT$150,1,MAX(1,MIN(121,81-核心参数输入!$B$112+1))),0)+IF(81=核心参数输入!$B$9*4,SUMPRODUCT(季度经营税费!$D$150:$DT$150,--(季度经营税费!$D$4:$DT$4&gt;核心参数输入!$B$9*4-核心参数输入!$B$112)),0),0)</f>
        <v>0</v>
      </c>
      <c r="CH182" s="9">
        <f>IF(82&lt;=核心参数输入!$B$9*4,IF(AND(82-核心参数输入!$B$112&gt;=0,82-核心参数输入!$B$112&lt;=120),INDEX(季度经营税费!$D$150:$DT$150,1,MAX(1,MIN(121,82-核心参数输入!$B$112+1))),0)+IF(82=核心参数输入!$B$9*4,SUMPRODUCT(季度经营税费!$D$150:$DT$150,--(季度经营税费!$D$4:$DT$4&gt;核心参数输入!$B$9*4-核心参数输入!$B$112)),0),0)</f>
        <v>0</v>
      </c>
      <c r="CI182" s="9">
        <f>IF(83&lt;=核心参数输入!$B$9*4,IF(AND(83-核心参数输入!$B$112&gt;=0,83-核心参数输入!$B$112&lt;=120),INDEX(季度经营税费!$D$150:$DT$150,1,MAX(1,MIN(121,83-核心参数输入!$B$112+1))),0)+IF(83=核心参数输入!$B$9*4,SUMPRODUCT(季度经营税费!$D$150:$DT$150,--(季度经营税费!$D$4:$DT$4&gt;核心参数输入!$B$9*4-核心参数输入!$B$112)),0),0)</f>
        <v>0</v>
      </c>
      <c r="CJ182" s="9">
        <f>IF(84&lt;=核心参数输入!$B$9*4,IF(AND(84-核心参数输入!$B$112&gt;=0,84-核心参数输入!$B$112&lt;=120),INDEX(季度经营税费!$D$150:$DT$150,1,MAX(1,MIN(121,84-核心参数输入!$B$112+1))),0)+IF(84=核心参数输入!$B$9*4,SUMPRODUCT(季度经营税费!$D$150:$DT$150,--(季度经营税费!$D$4:$DT$4&gt;核心参数输入!$B$9*4-核心参数输入!$B$112)),0),0)</f>
        <v>0</v>
      </c>
      <c r="CK182" s="9">
        <f>IF(85&lt;=核心参数输入!$B$9*4,IF(AND(85-核心参数输入!$B$112&gt;=0,85-核心参数输入!$B$112&lt;=120),INDEX(季度经营税费!$D$150:$DT$150,1,MAX(1,MIN(121,85-核心参数输入!$B$112+1))),0)+IF(85=核心参数输入!$B$9*4,SUMPRODUCT(季度经营税费!$D$150:$DT$150,--(季度经营税费!$D$4:$DT$4&gt;核心参数输入!$B$9*4-核心参数输入!$B$112)),0),0)</f>
        <v>0</v>
      </c>
      <c r="CL182" s="9">
        <f>IF(86&lt;=核心参数输入!$B$9*4,IF(AND(86-核心参数输入!$B$112&gt;=0,86-核心参数输入!$B$112&lt;=120),INDEX(季度经营税费!$D$150:$DT$150,1,MAX(1,MIN(121,86-核心参数输入!$B$112+1))),0)+IF(86=核心参数输入!$B$9*4,SUMPRODUCT(季度经营税费!$D$150:$DT$150,--(季度经营税费!$D$4:$DT$4&gt;核心参数输入!$B$9*4-核心参数输入!$B$112)),0),0)</f>
        <v>0</v>
      </c>
      <c r="CM182" s="9">
        <f>IF(87&lt;=核心参数输入!$B$9*4,IF(AND(87-核心参数输入!$B$112&gt;=0,87-核心参数输入!$B$112&lt;=120),INDEX(季度经营税费!$D$150:$DT$150,1,MAX(1,MIN(121,87-核心参数输入!$B$112+1))),0)+IF(87=核心参数输入!$B$9*4,SUMPRODUCT(季度经营税费!$D$150:$DT$150,--(季度经营税费!$D$4:$DT$4&gt;核心参数输入!$B$9*4-核心参数输入!$B$112)),0),0)</f>
        <v>0</v>
      </c>
      <c r="CN182" s="9">
        <f>IF(88&lt;=核心参数输入!$B$9*4,IF(AND(88-核心参数输入!$B$112&gt;=0,88-核心参数输入!$B$112&lt;=120),INDEX(季度经营税费!$D$150:$DT$150,1,MAX(1,MIN(121,88-核心参数输入!$B$112+1))),0)+IF(88=核心参数输入!$B$9*4,SUMPRODUCT(季度经营税费!$D$150:$DT$150,--(季度经营税费!$D$4:$DT$4&gt;核心参数输入!$B$9*4-核心参数输入!$B$112)),0),0)</f>
        <v>0</v>
      </c>
      <c r="CO182" s="9">
        <f>IF(89&lt;=核心参数输入!$B$9*4,IF(AND(89-核心参数输入!$B$112&gt;=0,89-核心参数输入!$B$112&lt;=120),INDEX(季度经营税费!$D$150:$DT$150,1,MAX(1,MIN(121,89-核心参数输入!$B$112+1))),0)+IF(89=核心参数输入!$B$9*4,SUMPRODUCT(季度经营税费!$D$150:$DT$150,--(季度经营税费!$D$4:$DT$4&gt;核心参数输入!$B$9*4-核心参数输入!$B$112)),0),0)</f>
        <v>0</v>
      </c>
      <c r="CP182" s="9">
        <f>IF(90&lt;=核心参数输入!$B$9*4,IF(AND(90-核心参数输入!$B$112&gt;=0,90-核心参数输入!$B$112&lt;=120),INDEX(季度经营税费!$D$150:$DT$150,1,MAX(1,MIN(121,90-核心参数输入!$B$112+1))),0)+IF(90=核心参数输入!$B$9*4,SUMPRODUCT(季度经营税费!$D$150:$DT$150,--(季度经营税费!$D$4:$DT$4&gt;核心参数输入!$B$9*4-核心参数输入!$B$112)),0),0)</f>
        <v>0</v>
      </c>
      <c r="CQ182" s="9">
        <f>IF(91&lt;=核心参数输入!$B$9*4,IF(AND(91-核心参数输入!$B$112&gt;=0,91-核心参数输入!$B$112&lt;=120),INDEX(季度经营税费!$D$150:$DT$150,1,MAX(1,MIN(121,91-核心参数输入!$B$112+1))),0)+IF(91=核心参数输入!$B$9*4,SUMPRODUCT(季度经营税费!$D$150:$DT$150,--(季度经营税费!$D$4:$DT$4&gt;核心参数输入!$B$9*4-核心参数输入!$B$112)),0),0)</f>
        <v>0</v>
      </c>
      <c r="CR182" s="9">
        <f>IF(92&lt;=核心参数输入!$B$9*4,IF(AND(92-核心参数输入!$B$112&gt;=0,92-核心参数输入!$B$112&lt;=120),INDEX(季度经营税费!$D$150:$DT$150,1,MAX(1,MIN(121,92-核心参数输入!$B$112+1))),0)+IF(92=核心参数输入!$B$9*4,SUMPRODUCT(季度经营税费!$D$150:$DT$150,--(季度经营税费!$D$4:$DT$4&gt;核心参数输入!$B$9*4-核心参数输入!$B$112)),0),0)</f>
        <v>0</v>
      </c>
      <c r="CS182" s="9">
        <f>IF(93&lt;=核心参数输入!$B$9*4,IF(AND(93-核心参数输入!$B$112&gt;=0,93-核心参数输入!$B$112&lt;=120),INDEX(季度经营税费!$D$150:$DT$150,1,MAX(1,MIN(121,93-核心参数输入!$B$112+1))),0)+IF(93=核心参数输入!$B$9*4,SUMPRODUCT(季度经营税费!$D$150:$DT$150,--(季度经营税费!$D$4:$DT$4&gt;核心参数输入!$B$9*4-核心参数输入!$B$112)),0),0)</f>
        <v>0</v>
      </c>
      <c r="CT182" s="9">
        <f>IF(94&lt;=核心参数输入!$B$9*4,IF(AND(94-核心参数输入!$B$112&gt;=0,94-核心参数输入!$B$112&lt;=120),INDEX(季度经营税费!$D$150:$DT$150,1,MAX(1,MIN(121,94-核心参数输入!$B$112+1))),0)+IF(94=核心参数输入!$B$9*4,SUMPRODUCT(季度经营税费!$D$150:$DT$150,--(季度经营税费!$D$4:$DT$4&gt;核心参数输入!$B$9*4-核心参数输入!$B$112)),0),0)</f>
        <v>0</v>
      </c>
      <c r="CU182" s="9">
        <f>IF(95&lt;=核心参数输入!$B$9*4,IF(AND(95-核心参数输入!$B$112&gt;=0,95-核心参数输入!$B$112&lt;=120),INDEX(季度经营税费!$D$150:$DT$150,1,MAX(1,MIN(121,95-核心参数输入!$B$112+1))),0)+IF(95=核心参数输入!$B$9*4,SUMPRODUCT(季度经营税费!$D$150:$DT$150,--(季度经营税费!$D$4:$DT$4&gt;核心参数输入!$B$9*4-核心参数输入!$B$112)),0),0)</f>
        <v>0</v>
      </c>
      <c r="CV182" s="9">
        <f>IF(96&lt;=核心参数输入!$B$9*4,IF(AND(96-核心参数输入!$B$112&gt;=0,96-核心参数输入!$B$112&lt;=120),INDEX(季度经营税费!$D$150:$DT$150,1,MAX(1,MIN(121,96-核心参数输入!$B$112+1))),0)+IF(96=核心参数输入!$B$9*4,SUMPRODUCT(季度经营税费!$D$150:$DT$150,--(季度经营税费!$D$4:$DT$4&gt;核心参数输入!$B$9*4-核心参数输入!$B$112)),0),0)</f>
        <v>0</v>
      </c>
      <c r="CW182" s="9">
        <f>IF(97&lt;=核心参数输入!$B$9*4,IF(AND(97-核心参数输入!$B$112&gt;=0,97-核心参数输入!$B$112&lt;=120),INDEX(季度经营税费!$D$150:$DT$150,1,MAX(1,MIN(121,97-核心参数输入!$B$112+1))),0)+IF(97=核心参数输入!$B$9*4,SUMPRODUCT(季度经营税费!$D$150:$DT$150,--(季度经营税费!$D$4:$DT$4&gt;核心参数输入!$B$9*4-核心参数输入!$B$112)),0),0)</f>
        <v>0</v>
      </c>
      <c r="CX182" s="9">
        <f>IF(98&lt;=核心参数输入!$B$9*4,IF(AND(98-核心参数输入!$B$112&gt;=0,98-核心参数输入!$B$112&lt;=120),INDEX(季度经营税费!$D$150:$DT$150,1,MAX(1,MIN(121,98-核心参数输入!$B$112+1))),0)+IF(98=核心参数输入!$B$9*4,SUMPRODUCT(季度经营税费!$D$150:$DT$150,--(季度经营税费!$D$4:$DT$4&gt;核心参数输入!$B$9*4-核心参数输入!$B$112)),0),0)</f>
        <v>0</v>
      </c>
      <c r="CY182" s="9">
        <f>IF(99&lt;=核心参数输入!$B$9*4,IF(AND(99-核心参数输入!$B$112&gt;=0,99-核心参数输入!$B$112&lt;=120),INDEX(季度经营税费!$D$150:$DT$150,1,MAX(1,MIN(121,99-核心参数输入!$B$112+1))),0)+IF(99=核心参数输入!$B$9*4,SUMPRODUCT(季度经营税费!$D$150:$DT$150,--(季度经营税费!$D$4:$DT$4&gt;核心参数输入!$B$9*4-核心参数输入!$B$112)),0),0)</f>
        <v>0</v>
      </c>
      <c r="CZ182" s="9">
        <f>IF(100&lt;=核心参数输入!$B$9*4,IF(AND(100-核心参数输入!$B$112&gt;=0,100-核心参数输入!$B$112&lt;=120),INDEX(季度经营税费!$D$150:$DT$150,1,MAX(1,MIN(121,100-核心参数输入!$B$112+1))),0)+IF(100=核心参数输入!$B$9*4,SUMPRODUCT(季度经营税费!$D$150:$DT$150,--(季度经营税费!$D$4:$DT$4&gt;核心参数输入!$B$9*4-核心参数输入!$B$112)),0),0)</f>
        <v>0</v>
      </c>
      <c r="DA182" s="9">
        <f>IF(101&lt;=核心参数输入!$B$9*4,IF(AND(101-核心参数输入!$B$112&gt;=0,101-核心参数输入!$B$112&lt;=120),INDEX(季度经营税费!$D$150:$DT$150,1,MAX(1,MIN(121,101-核心参数输入!$B$112+1))),0)+IF(101=核心参数输入!$B$9*4,SUMPRODUCT(季度经营税费!$D$150:$DT$150,--(季度经营税费!$D$4:$DT$4&gt;核心参数输入!$B$9*4-核心参数输入!$B$112)),0),0)</f>
        <v>0</v>
      </c>
      <c r="DB182" s="9">
        <f>IF(102&lt;=核心参数输入!$B$9*4,IF(AND(102-核心参数输入!$B$112&gt;=0,102-核心参数输入!$B$112&lt;=120),INDEX(季度经营税费!$D$150:$DT$150,1,MAX(1,MIN(121,102-核心参数输入!$B$112+1))),0)+IF(102=核心参数输入!$B$9*4,SUMPRODUCT(季度经营税费!$D$150:$DT$150,--(季度经营税费!$D$4:$DT$4&gt;核心参数输入!$B$9*4-核心参数输入!$B$112)),0),0)</f>
        <v>0</v>
      </c>
      <c r="DC182" s="9">
        <f>IF(103&lt;=核心参数输入!$B$9*4,IF(AND(103-核心参数输入!$B$112&gt;=0,103-核心参数输入!$B$112&lt;=120),INDEX(季度经营税费!$D$150:$DT$150,1,MAX(1,MIN(121,103-核心参数输入!$B$112+1))),0)+IF(103=核心参数输入!$B$9*4,SUMPRODUCT(季度经营税费!$D$150:$DT$150,--(季度经营税费!$D$4:$DT$4&gt;核心参数输入!$B$9*4-核心参数输入!$B$112)),0),0)</f>
        <v>0</v>
      </c>
      <c r="DD182" s="9">
        <f>IF(104&lt;=核心参数输入!$B$9*4,IF(AND(104-核心参数输入!$B$112&gt;=0,104-核心参数输入!$B$112&lt;=120),INDEX(季度经营税费!$D$150:$DT$150,1,MAX(1,MIN(121,104-核心参数输入!$B$112+1))),0)+IF(104=核心参数输入!$B$9*4,SUMPRODUCT(季度经营税费!$D$150:$DT$150,--(季度经营税费!$D$4:$DT$4&gt;核心参数输入!$B$9*4-核心参数输入!$B$112)),0),0)</f>
        <v>0</v>
      </c>
      <c r="DE182" s="9">
        <f>IF(105&lt;=核心参数输入!$B$9*4,IF(AND(105-核心参数输入!$B$112&gt;=0,105-核心参数输入!$B$112&lt;=120),INDEX(季度经营税费!$D$150:$DT$150,1,MAX(1,MIN(121,105-核心参数输入!$B$112+1))),0)+IF(105=核心参数输入!$B$9*4,SUMPRODUCT(季度经营税费!$D$150:$DT$150,--(季度经营税费!$D$4:$DT$4&gt;核心参数输入!$B$9*4-核心参数输入!$B$112)),0),0)</f>
        <v>0</v>
      </c>
      <c r="DF182" s="9">
        <f>IF(106&lt;=核心参数输入!$B$9*4,IF(AND(106-核心参数输入!$B$112&gt;=0,106-核心参数输入!$B$112&lt;=120),INDEX(季度经营税费!$D$150:$DT$150,1,MAX(1,MIN(121,106-核心参数输入!$B$112+1))),0)+IF(106=核心参数输入!$B$9*4,SUMPRODUCT(季度经营税费!$D$150:$DT$150,--(季度经营税费!$D$4:$DT$4&gt;核心参数输入!$B$9*4-核心参数输入!$B$112)),0),0)</f>
        <v>0</v>
      </c>
      <c r="DG182" s="9">
        <f>IF(107&lt;=核心参数输入!$B$9*4,IF(AND(107-核心参数输入!$B$112&gt;=0,107-核心参数输入!$B$112&lt;=120),INDEX(季度经营税费!$D$150:$DT$150,1,MAX(1,MIN(121,107-核心参数输入!$B$112+1))),0)+IF(107=核心参数输入!$B$9*4,SUMPRODUCT(季度经营税费!$D$150:$DT$150,--(季度经营税费!$D$4:$DT$4&gt;核心参数输入!$B$9*4-核心参数输入!$B$112)),0),0)</f>
        <v>0</v>
      </c>
      <c r="DH182" s="9">
        <f>IF(108&lt;=核心参数输入!$B$9*4,IF(AND(108-核心参数输入!$B$112&gt;=0,108-核心参数输入!$B$112&lt;=120),INDEX(季度经营税费!$D$150:$DT$150,1,MAX(1,MIN(121,108-核心参数输入!$B$112+1))),0)+IF(108=核心参数输入!$B$9*4,SUMPRODUCT(季度经营税费!$D$150:$DT$150,--(季度经营税费!$D$4:$DT$4&gt;核心参数输入!$B$9*4-核心参数输入!$B$112)),0),0)</f>
        <v>0</v>
      </c>
      <c r="DI182" s="9">
        <f>IF(109&lt;=核心参数输入!$B$9*4,IF(AND(109-核心参数输入!$B$112&gt;=0,109-核心参数输入!$B$112&lt;=120),INDEX(季度经营税费!$D$150:$DT$150,1,MAX(1,MIN(121,109-核心参数输入!$B$112+1))),0)+IF(109=核心参数输入!$B$9*4,SUMPRODUCT(季度经营税费!$D$150:$DT$150,--(季度经营税费!$D$4:$DT$4&gt;核心参数输入!$B$9*4-核心参数输入!$B$112)),0),0)</f>
        <v>0</v>
      </c>
      <c r="DJ182" s="9">
        <f>IF(110&lt;=核心参数输入!$B$9*4,IF(AND(110-核心参数输入!$B$112&gt;=0,110-核心参数输入!$B$112&lt;=120),INDEX(季度经营税费!$D$150:$DT$150,1,MAX(1,MIN(121,110-核心参数输入!$B$112+1))),0)+IF(110=核心参数输入!$B$9*4,SUMPRODUCT(季度经营税费!$D$150:$DT$150,--(季度经营税费!$D$4:$DT$4&gt;核心参数输入!$B$9*4-核心参数输入!$B$112)),0),0)</f>
        <v>0</v>
      </c>
      <c r="DK182" s="9">
        <f>IF(111&lt;=核心参数输入!$B$9*4,IF(AND(111-核心参数输入!$B$112&gt;=0,111-核心参数输入!$B$112&lt;=120),INDEX(季度经营税费!$D$150:$DT$150,1,MAX(1,MIN(121,111-核心参数输入!$B$112+1))),0)+IF(111=核心参数输入!$B$9*4,SUMPRODUCT(季度经营税费!$D$150:$DT$150,--(季度经营税费!$D$4:$DT$4&gt;核心参数输入!$B$9*4-核心参数输入!$B$112)),0),0)</f>
        <v>0</v>
      </c>
      <c r="DL182" s="9">
        <f>IF(112&lt;=核心参数输入!$B$9*4,IF(AND(112-核心参数输入!$B$112&gt;=0,112-核心参数输入!$B$112&lt;=120),INDEX(季度经营税费!$D$150:$DT$150,1,MAX(1,MIN(121,112-核心参数输入!$B$112+1))),0)+IF(112=核心参数输入!$B$9*4,SUMPRODUCT(季度经营税费!$D$150:$DT$150,--(季度经营税费!$D$4:$DT$4&gt;核心参数输入!$B$9*4-核心参数输入!$B$112)),0),0)</f>
        <v>0</v>
      </c>
      <c r="DM182" s="9">
        <f>IF(113&lt;=核心参数输入!$B$9*4,IF(AND(113-核心参数输入!$B$112&gt;=0,113-核心参数输入!$B$112&lt;=120),INDEX(季度经营税费!$D$150:$DT$150,1,MAX(1,MIN(121,113-核心参数输入!$B$112+1))),0)+IF(113=核心参数输入!$B$9*4,SUMPRODUCT(季度经营税费!$D$150:$DT$150,--(季度经营税费!$D$4:$DT$4&gt;核心参数输入!$B$9*4-核心参数输入!$B$112)),0),0)</f>
        <v>0</v>
      </c>
      <c r="DN182" s="9">
        <f>IF(114&lt;=核心参数输入!$B$9*4,IF(AND(114-核心参数输入!$B$112&gt;=0,114-核心参数输入!$B$112&lt;=120),INDEX(季度经营税费!$D$150:$DT$150,1,MAX(1,MIN(121,114-核心参数输入!$B$112+1))),0)+IF(114=核心参数输入!$B$9*4,SUMPRODUCT(季度经营税费!$D$150:$DT$150,--(季度经营税费!$D$4:$DT$4&gt;核心参数输入!$B$9*4-核心参数输入!$B$112)),0),0)</f>
        <v>0</v>
      </c>
      <c r="DO182" s="9">
        <f>IF(115&lt;=核心参数输入!$B$9*4,IF(AND(115-核心参数输入!$B$112&gt;=0,115-核心参数输入!$B$112&lt;=120),INDEX(季度经营税费!$D$150:$DT$150,1,MAX(1,MIN(121,115-核心参数输入!$B$112+1))),0)+IF(115=核心参数输入!$B$9*4,SUMPRODUCT(季度经营税费!$D$150:$DT$150,--(季度经营税费!$D$4:$DT$4&gt;核心参数输入!$B$9*4-核心参数输入!$B$112)),0),0)</f>
        <v>0</v>
      </c>
      <c r="DP182" s="9">
        <f>IF(116&lt;=核心参数输入!$B$9*4,IF(AND(116-核心参数输入!$B$112&gt;=0,116-核心参数输入!$B$112&lt;=120),INDEX(季度经营税费!$D$150:$DT$150,1,MAX(1,MIN(121,116-核心参数输入!$B$112+1))),0)+IF(116=核心参数输入!$B$9*4,SUMPRODUCT(季度经营税费!$D$150:$DT$150,--(季度经营税费!$D$4:$DT$4&gt;核心参数输入!$B$9*4-核心参数输入!$B$112)),0),0)</f>
        <v>0</v>
      </c>
      <c r="DQ182" s="9">
        <f>IF(117&lt;=核心参数输入!$B$9*4,IF(AND(117-核心参数输入!$B$112&gt;=0,117-核心参数输入!$B$112&lt;=120),INDEX(季度经营税费!$D$150:$DT$150,1,MAX(1,MIN(121,117-核心参数输入!$B$112+1))),0)+IF(117=核心参数输入!$B$9*4,SUMPRODUCT(季度经营税费!$D$150:$DT$150,--(季度经营税费!$D$4:$DT$4&gt;核心参数输入!$B$9*4-核心参数输入!$B$112)),0),0)</f>
        <v>0</v>
      </c>
      <c r="DR182" s="9">
        <f>IF(118&lt;=核心参数输入!$B$9*4,IF(AND(118-核心参数输入!$B$112&gt;=0,118-核心参数输入!$B$112&lt;=120),INDEX(季度经营税费!$D$150:$DT$150,1,MAX(1,MIN(121,118-核心参数输入!$B$112+1))),0)+IF(118=核心参数输入!$B$9*4,SUMPRODUCT(季度经营税费!$D$150:$DT$150,--(季度经营税费!$D$4:$DT$4&gt;核心参数输入!$B$9*4-核心参数输入!$B$112)),0),0)</f>
        <v>0</v>
      </c>
      <c r="DS182" s="9">
        <f>IF(119&lt;=核心参数输入!$B$9*4,IF(AND(119-核心参数输入!$B$112&gt;=0,119-核心参数输入!$B$112&lt;=120),INDEX(季度经营税费!$D$150:$DT$150,1,MAX(1,MIN(121,119-核心参数输入!$B$112+1))),0)+IF(119=核心参数输入!$B$9*4,SUMPRODUCT(季度经营税费!$D$150:$DT$150,--(季度经营税费!$D$4:$DT$4&gt;核心参数输入!$B$9*4-核心参数输入!$B$112)),0),0)</f>
        <v>0</v>
      </c>
      <c r="DT182" s="9">
        <f>IF(120&lt;=核心参数输入!$B$9*4,IF(AND(120-核心参数输入!$B$112&gt;=0,120-核心参数输入!$B$112&lt;=120),INDEX(季度经营税费!$D$150:$DT$150,1,MAX(1,MIN(121,120-核心参数输入!$B$112+1))),0)+IF(120=核心参数输入!$B$9*4,SUMPRODUCT(季度经营税费!$D$150:$DT$150,--(季度经营税费!$D$4:$DT$4&gt;核心参数输入!$B$9*4-核心参数输入!$B$112)),0),0)</f>
        <v>0</v>
      </c>
    </row>
    <row r="183" spans="1:124" ht="21" customHeight="1">
      <c r="A183" s="8" t="s">
        <v>504</v>
      </c>
      <c r="B183" s="8" t="s">
        <v>39</v>
      </c>
      <c r="C183" s="8"/>
      <c r="D183" s="9">
        <f>IF(0&lt;=核心参数输入!$B$9*4,IF(0=核心参数输入!$B$9*4,SUMPRODUCT(季度经营税费!$D$161:$DT$161,--(季度经营税费!$D$4:$DT$4&gt;核心参数输入!$B$9*4-核心参数输入!$B$112)),0),0)</f>
        <v>0</v>
      </c>
      <c r="E183" s="9">
        <f>IF(1&lt;=核心参数输入!$B$9*4,IF(1=核心参数输入!$B$9*4,SUMPRODUCT(季度经营税费!$D$161:$DT$161,--(季度经营税费!$D$4:$DT$4&gt;核心参数输入!$B$9*4-核心参数输入!$B$112)),0),0)</f>
        <v>0</v>
      </c>
      <c r="F183" s="9">
        <f>IF(2&lt;=核心参数输入!$B$9*4,IF(2=核心参数输入!$B$9*4,SUMPRODUCT(季度经营税费!$D$161:$DT$161,--(季度经营税费!$D$4:$DT$4&gt;核心参数输入!$B$9*4-核心参数输入!$B$112)),0),0)</f>
        <v>0</v>
      </c>
      <c r="G183" s="9">
        <f>IF(3&lt;=核心参数输入!$B$9*4,IF(3=核心参数输入!$B$9*4,SUMPRODUCT(季度经营税费!$D$161:$DT$161,--(季度经营税费!$D$4:$DT$4&gt;核心参数输入!$B$9*4-核心参数输入!$B$112)),0),0)</f>
        <v>0</v>
      </c>
      <c r="H183" s="9">
        <f>IF(4&lt;=核心参数输入!$B$9*4,IF(4=核心参数输入!$B$9*4,SUMPRODUCT(季度经营税费!$D$161:$DT$161,--(季度经营税费!$D$4:$DT$4&gt;核心参数输入!$B$9*4-核心参数输入!$B$112)),0),0)</f>
        <v>0</v>
      </c>
      <c r="I183" s="9">
        <f>IF(5&lt;=核心参数输入!$B$9*4,IF(5=核心参数输入!$B$9*4,SUMPRODUCT(季度经营税费!$D$161:$DT$161,--(季度经营税费!$D$4:$DT$4&gt;核心参数输入!$B$9*4-核心参数输入!$B$112)),0),0)</f>
        <v>0</v>
      </c>
      <c r="J183" s="9">
        <f>IF(6&lt;=核心参数输入!$B$9*4,IF(6=核心参数输入!$B$9*4,SUMPRODUCT(季度经营税费!$D$161:$DT$161,--(季度经营税费!$D$4:$DT$4&gt;核心参数输入!$B$9*4-核心参数输入!$B$112)),0),0)</f>
        <v>0</v>
      </c>
      <c r="K183" s="9">
        <f>IF(7&lt;=核心参数输入!$B$9*4,IF(7=核心参数输入!$B$9*4,SUMPRODUCT(季度经营税费!$D$161:$DT$161,--(季度经营税费!$D$4:$DT$4&gt;核心参数输入!$B$9*4-核心参数输入!$B$112)),0),0)</f>
        <v>0</v>
      </c>
      <c r="L183" s="9">
        <f>IF(8&lt;=核心参数输入!$B$9*4,IF(8=核心参数输入!$B$9*4,SUMPRODUCT(季度经营税费!$D$161:$DT$161,--(季度经营税费!$D$4:$DT$4&gt;核心参数输入!$B$9*4-核心参数输入!$B$112)),0),0)</f>
        <v>0</v>
      </c>
      <c r="M183" s="9">
        <f>IF(9&lt;=核心参数输入!$B$9*4,IF(9=核心参数输入!$B$9*4,SUMPRODUCT(季度经营税费!$D$161:$DT$161,--(季度经营税费!$D$4:$DT$4&gt;核心参数输入!$B$9*4-核心参数输入!$B$112)),0),0)</f>
        <v>0</v>
      </c>
      <c r="N183" s="9">
        <f>IF(10&lt;=核心参数输入!$B$9*4,IF(10=核心参数输入!$B$9*4,SUMPRODUCT(季度经营税费!$D$161:$DT$161,--(季度经营税费!$D$4:$DT$4&gt;核心参数输入!$B$9*4-核心参数输入!$B$112)),0),0)</f>
        <v>0</v>
      </c>
      <c r="O183" s="9">
        <f>IF(11&lt;=核心参数输入!$B$9*4,IF(11=核心参数输入!$B$9*4,SUMPRODUCT(季度经营税费!$D$161:$DT$161,--(季度经营税费!$D$4:$DT$4&gt;核心参数输入!$B$9*4-核心参数输入!$B$112)),0),0)</f>
        <v>0</v>
      </c>
      <c r="P183" s="9">
        <f>IF(12&lt;=核心参数输入!$B$9*4,IF(12=核心参数输入!$B$9*4,SUMPRODUCT(季度经营税费!$D$161:$DT$161,--(季度经营税费!$D$4:$DT$4&gt;核心参数输入!$B$9*4-核心参数输入!$B$112)),0),0)</f>
        <v>0</v>
      </c>
      <c r="Q183" s="9">
        <f>IF(13&lt;=核心参数输入!$B$9*4,IF(13=核心参数输入!$B$9*4,SUMPRODUCT(季度经营税费!$D$161:$DT$161,--(季度经营税费!$D$4:$DT$4&gt;核心参数输入!$B$9*4-核心参数输入!$B$112)),0),0)</f>
        <v>0</v>
      </c>
      <c r="R183" s="9">
        <f>IF(14&lt;=核心参数输入!$B$9*4,IF(14=核心参数输入!$B$9*4,SUMPRODUCT(季度经营税费!$D$161:$DT$161,--(季度经营税费!$D$4:$DT$4&gt;核心参数输入!$B$9*4-核心参数输入!$B$112)),0),0)</f>
        <v>0</v>
      </c>
      <c r="S183" s="9">
        <f>IF(15&lt;=核心参数输入!$B$9*4,IF(15=核心参数输入!$B$9*4,SUMPRODUCT(季度经营税费!$D$161:$DT$161,--(季度经营税费!$D$4:$DT$4&gt;核心参数输入!$B$9*4-核心参数输入!$B$112)),0),0)</f>
        <v>0</v>
      </c>
      <c r="T183" s="9">
        <f>IF(16&lt;=核心参数输入!$B$9*4,IF(16=核心参数输入!$B$9*4,SUMPRODUCT(季度经营税费!$D$161:$DT$161,--(季度经营税费!$D$4:$DT$4&gt;核心参数输入!$B$9*4-核心参数输入!$B$112)),0),0)</f>
        <v>0</v>
      </c>
      <c r="U183" s="9">
        <f>IF(17&lt;=核心参数输入!$B$9*4,IF(17=核心参数输入!$B$9*4,SUMPRODUCT(季度经营税费!$D$161:$DT$161,--(季度经营税费!$D$4:$DT$4&gt;核心参数输入!$B$9*4-核心参数输入!$B$112)),0),0)</f>
        <v>0</v>
      </c>
      <c r="V183" s="9">
        <f>IF(18&lt;=核心参数输入!$B$9*4,IF(18=核心参数输入!$B$9*4,SUMPRODUCT(季度经营税费!$D$161:$DT$161,--(季度经营税费!$D$4:$DT$4&gt;核心参数输入!$B$9*4-核心参数输入!$B$112)),0),0)</f>
        <v>0</v>
      </c>
      <c r="W183" s="9">
        <f>IF(19&lt;=核心参数输入!$B$9*4,IF(19=核心参数输入!$B$9*4,SUMPRODUCT(季度经营税费!$D$161:$DT$161,--(季度经营税费!$D$4:$DT$4&gt;核心参数输入!$B$9*4-核心参数输入!$B$112)),0),0)</f>
        <v>0</v>
      </c>
      <c r="X183" s="9">
        <f>IF(20&lt;=核心参数输入!$B$9*4,IF(20=核心参数输入!$B$9*4,SUMPRODUCT(季度经营税费!$D$161:$DT$161,--(季度经营税费!$D$4:$DT$4&gt;核心参数输入!$B$9*4-核心参数输入!$B$112)),0),0)</f>
        <v>0</v>
      </c>
      <c r="Y183" s="9">
        <f>IF(21&lt;=核心参数输入!$B$9*4,IF(21=核心参数输入!$B$9*4,SUMPRODUCT(季度经营税费!$D$161:$DT$161,--(季度经营税费!$D$4:$DT$4&gt;核心参数输入!$B$9*4-核心参数输入!$B$112)),0),0)</f>
        <v>0</v>
      </c>
      <c r="Z183" s="9">
        <f>IF(22&lt;=核心参数输入!$B$9*4,IF(22=核心参数输入!$B$9*4,SUMPRODUCT(季度经营税费!$D$161:$DT$161,--(季度经营税费!$D$4:$DT$4&gt;核心参数输入!$B$9*4-核心参数输入!$B$112)),0),0)</f>
        <v>0</v>
      </c>
      <c r="AA183" s="9">
        <f>IF(23&lt;=核心参数输入!$B$9*4,IF(23=核心参数输入!$B$9*4,SUMPRODUCT(季度经营税费!$D$161:$DT$161,--(季度经营税费!$D$4:$DT$4&gt;核心参数输入!$B$9*4-核心参数输入!$B$112)),0),0)</f>
        <v>0</v>
      </c>
      <c r="AB183" s="9">
        <f>IF(24&lt;=核心参数输入!$B$9*4,IF(24=核心参数输入!$B$9*4,SUMPRODUCT(季度经营税费!$D$161:$DT$161,--(季度经营税费!$D$4:$DT$4&gt;核心参数输入!$B$9*4-核心参数输入!$B$112)),0),0)</f>
        <v>0</v>
      </c>
      <c r="AC183" s="9">
        <f>IF(25&lt;=核心参数输入!$B$9*4,IF(25=核心参数输入!$B$9*4,SUMPRODUCT(季度经营税费!$D$161:$DT$161,--(季度经营税费!$D$4:$DT$4&gt;核心参数输入!$B$9*4-核心参数输入!$B$112)),0),0)</f>
        <v>0</v>
      </c>
      <c r="AD183" s="9">
        <f>IF(26&lt;=核心参数输入!$B$9*4,IF(26=核心参数输入!$B$9*4,SUMPRODUCT(季度经营税费!$D$161:$DT$161,--(季度经营税费!$D$4:$DT$4&gt;核心参数输入!$B$9*4-核心参数输入!$B$112)),0),0)</f>
        <v>0</v>
      </c>
      <c r="AE183" s="9">
        <f>IF(27&lt;=核心参数输入!$B$9*4,IF(27=核心参数输入!$B$9*4,SUMPRODUCT(季度经营税费!$D$161:$DT$161,--(季度经营税费!$D$4:$DT$4&gt;核心参数输入!$B$9*4-核心参数输入!$B$112)),0),0)</f>
        <v>0</v>
      </c>
      <c r="AF183" s="9">
        <f>IF(28&lt;=核心参数输入!$B$9*4,IF(28=核心参数输入!$B$9*4,SUMPRODUCT(季度经营税费!$D$161:$DT$161,--(季度经营税费!$D$4:$DT$4&gt;核心参数输入!$B$9*4-核心参数输入!$B$112)),0),0)</f>
        <v>0</v>
      </c>
      <c r="AG183" s="9">
        <f>IF(29&lt;=核心参数输入!$B$9*4,IF(29=核心参数输入!$B$9*4,SUMPRODUCT(季度经营税费!$D$161:$DT$161,--(季度经营税费!$D$4:$DT$4&gt;核心参数输入!$B$9*4-核心参数输入!$B$112)),0),0)</f>
        <v>0</v>
      </c>
      <c r="AH183" s="9">
        <f>IF(30&lt;=核心参数输入!$B$9*4,IF(30=核心参数输入!$B$9*4,SUMPRODUCT(季度经营税费!$D$161:$DT$161,--(季度经营税费!$D$4:$DT$4&gt;核心参数输入!$B$9*4-核心参数输入!$B$112)),0),0)</f>
        <v>0</v>
      </c>
      <c r="AI183" s="9">
        <f>IF(31&lt;=核心参数输入!$B$9*4,IF(31=核心参数输入!$B$9*4,SUMPRODUCT(季度经营税费!$D$161:$DT$161,--(季度经营税费!$D$4:$DT$4&gt;核心参数输入!$B$9*4-核心参数输入!$B$112)),0),0)</f>
        <v>0</v>
      </c>
      <c r="AJ183" s="9">
        <f>IF(32&lt;=核心参数输入!$B$9*4,IF(32=核心参数输入!$B$9*4,SUMPRODUCT(季度经营税费!$D$161:$DT$161,--(季度经营税费!$D$4:$DT$4&gt;核心参数输入!$B$9*4-核心参数输入!$B$112)),0),0)</f>
        <v>0</v>
      </c>
      <c r="AK183" s="9">
        <f>IF(33&lt;=核心参数输入!$B$9*4,IF(33=核心参数输入!$B$9*4,SUMPRODUCT(季度经营税费!$D$161:$DT$161,--(季度经营税费!$D$4:$DT$4&gt;核心参数输入!$B$9*4-核心参数输入!$B$112)),0),0)</f>
        <v>0</v>
      </c>
      <c r="AL183" s="9">
        <f>IF(34&lt;=核心参数输入!$B$9*4,IF(34=核心参数输入!$B$9*4,SUMPRODUCT(季度经营税费!$D$161:$DT$161,--(季度经营税费!$D$4:$DT$4&gt;核心参数输入!$B$9*4-核心参数输入!$B$112)),0),0)</f>
        <v>0</v>
      </c>
      <c r="AM183" s="9">
        <f>IF(35&lt;=核心参数输入!$B$9*4,IF(35=核心参数输入!$B$9*4,SUMPRODUCT(季度经营税费!$D$161:$DT$161,--(季度经营税费!$D$4:$DT$4&gt;核心参数输入!$B$9*4-核心参数输入!$B$112)),0),0)</f>
        <v>0</v>
      </c>
      <c r="AN183" s="9">
        <f>IF(36&lt;=核心参数输入!$B$9*4,IF(36=核心参数输入!$B$9*4,SUMPRODUCT(季度经营税费!$D$161:$DT$161,--(季度经营税费!$D$4:$DT$4&gt;核心参数输入!$B$9*4-核心参数输入!$B$112)),0),0)</f>
        <v>0</v>
      </c>
      <c r="AO183" s="9">
        <f>IF(37&lt;=核心参数输入!$B$9*4,IF(37=核心参数输入!$B$9*4,SUMPRODUCT(季度经营税费!$D$161:$DT$161,--(季度经营税费!$D$4:$DT$4&gt;核心参数输入!$B$9*4-核心参数输入!$B$112)),0),0)</f>
        <v>0</v>
      </c>
      <c r="AP183" s="9">
        <f>IF(38&lt;=核心参数输入!$B$9*4,IF(38=核心参数输入!$B$9*4,SUMPRODUCT(季度经营税费!$D$161:$DT$161,--(季度经营税费!$D$4:$DT$4&gt;核心参数输入!$B$9*4-核心参数输入!$B$112)),0),0)</f>
        <v>0</v>
      </c>
      <c r="AQ183" s="9">
        <f>IF(39&lt;=核心参数输入!$B$9*4,IF(39=核心参数输入!$B$9*4,SUMPRODUCT(季度经营税费!$D$161:$DT$161,--(季度经营税费!$D$4:$DT$4&gt;核心参数输入!$B$9*4-核心参数输入!$B$112)),0),0)</f>
        <v>0</v>
      </c>
      <c r="AR183" s="9">
        <f>IF(40&lt;=核心参数输入!$B$9*4,IF(40=核心参数输入!$B$9*4,SUMPRODUCT(季度经营税费!$D$161:$DT$161,--(季度经营税费!$D$4:$DT$4&gt;核心参数输入!$B$9*4-核心参数输入!$B$112)),0),0)</f>
        <v>0</v>
      </c>
      <c r="AS183" s="9">
        <f>IF(41&lt;=核心参数输入!$B$9*4,IF(41=核心参数输入!$B$9*4,SUMPRODUCT(季度经营税费!$D$161:$DT$161,--(季度经营税费!$D$4:$DT$4&gt;核心参数输入!$B$9*4-核心参数输入!$B$112)),0),0)</f>
        <v>0</v>
      </c>
      <c r="AT183" s="9">
        <f>IF(42&lt;=核心参数输入!$B$9*4,IF(42=核心参数输入!$B$9*4,SUMPRODUCT(季度经营税费!$D$161:$DT$161,--(季度经营税费!$D$4:$DT$4&gt;核心参数输入!$B$9*4-核心参数输入!$B$112)),0),0)</f>
        <v>0</v>
      </c>
      <c r="AU183" s="9">
        <f>IF(43&lt;=核心参数输入!$B$9*4,IF(43=核心参数输入!$B$9*4,SUMPRODUCT(季度经营税费!$D$161:$DT$161,--(季度经营税费!$D$4:$DT$4&gt;核心参数输入!$B$9*4-核心参数输入!$B$112)),0),0)</f>
        <v>0</v>
      </c>
      <c r="AV183" s="9">
        <f>IF(44&lt;=核心参数输入!$B$9*4,IF(44=核心参数输入!$B$9*4,SUMPRODUCT(季度经营税费!$D$161:$DT$161,--(季度经营税费!$D$4:$DT$4&gt;核心参数输入!$B$9*4-核心参数输入!$B$112)),0),0)</f>
        <v>0</v>
      </c>
      <c r="AW183" s="9">
        <f>IF(45&lt;=核心参数输入!$B$9*4,IF(45=核心参数输入!$B$9*4,SUMPRODUCT(季度经营税费!$D$161:$DT$161,--(季度经营税费!$D$4:$DT$4&gt;核心参数输入!$B$9*4-核心参数输入!$B$112)),0),0)</f>
        <v>0</v>
      </c>
      <c r="AX183" s="9">
        <f>IF(46&lt;=核心参数输入!$B$9*4,IF(46=核心参数输入!$B$9*4,SUMPRODUCT(季度经营税费!$D$161:$DT$161,--(季度经营税费!$D$4:$DT$4&gt;核心参数输入!$B$9*4-核心参数输入!$B$112)),0),0)</f>
        <v>0</v>
      </c>
      <c r="AY183" s="9">
        <f>IF(47&lt;=核心参数输入!$B$9*4,IF(47=核心参数输入!$B$9*4,SUMPRODUCT(季度经营税费!$D$161:$DT$161,--(季度经营税费!$D$4:$DT$4&gt;核心参数输入!$B$9*4-核心参数输入!$B$112)),0),0)</f>
        <v>0</v>
      </c>
      <c r="AZ183" s="9">
        <f>IF(48&lt;=核心参数输入!$B$9*4,IF(48=核心参数输入!$B$9*4,SUMPRODUCT(季度经营税费!$D$161:$DT$161,--(季度经营税费!$D$4:$DT$4&gt;核心参数输入!$B$9*4-核心参数输入!$B$112)),0),0)</f>
        <v>0</v>
      </c>
      <c r="BA183" s="9">
        <f>IF(49&lt;=核心参数输入!$B$9*4,IF(49=核心参数输入!$B$9*4,SUMPRODUCT(季度经营税费!$D$161:$DT$161,--(季度经营税费!$D$4:$DT$4&gt;核心参数输入!$B$9*4-核心参数输入!$B$112)),0),0)</f>
        <v>0</v>
      </c>
      <c r="BB183" s="9">
        <f>IF(50&lt;=核心参数输入!$B$9*4,IF(50=核心参数输入!$B$9*4,SUMPRODUCT(季度经营税费!$D$161:$DT$161,--(季度经营税费!$D$4:$DT$4&gt;核心参数输入!$B$9*4-核心参数输入!$B$112)),0),0)</f>
        <v>0</v>
      </c>
      <c r="BC183" s="9">
        <f>IF(51&lt;=核心参数输入!$B$9*4,IF(51=核心参数输入!$B$9*4,SUMPRODUCT(季度经营税费!$D$161:$DT$161,--(季度经营税费!$D$4:$DT$4&gt;核心参数输入!$B$9*4-核心参数输入!$B$112)),0),0)</f>
        <v>0</v>
      </c>
      <c r="BD183" s="9">
        <f>IF(52&lt;=核心参数输入!$B$9*4,IF(52=核心参数输入!$B$9*4,SUMPRODUCT(季度经营税费!$D$161:$DT$161,--(季度经营税费!$D$4:$DT$4&gt;核心参数输入!$B$9*4-核心参数输入!$B$112)),0),0)</f>
        <v>0</v>
      </c>
      <c r="BE183" s="9">
        <f>IF(53&lt;=核心参数输入!$B$9*4,IF(53=核心参数输入!$B$9*4,SUMPRODUCT(季度经营税费!$D$161:$DT$161,--(季度经营税费!$D$4:$DT$4&gt;核心参数输入!$B$9*4-核心参数输入!$B$112)),0),0)</f>
        <v>0</v>
      </c>
      <c r="BF183" s="9">
        <f>IF(54&lt;=核心参数输入!$B$9*4,IF(54=核心参数输入!$B$9*4,SUMPRODUCT(季度经营税费!$D$161:$DT$161,--(季度经营税费!$D$4:$DT$4&gt;核心参数输入!$B$9*4-核心参数输入!$B$112)),0),0)</f>
        <v>0</v>
      </c>
      <c r="BG183" s="9">
        <f>IF(55&lt;=核心参数输入!$B$9*4,IF(55=核心参数输入!$B$9*4,SUMPRODUCT(季度经营税费!$D$161:$DT$161,--(季度经营税费!$D$4:$DT$4&gt;核心参数输入!$B$9*4-核心参数输入!$B$112)),0),0)</f>
        <v>0</v>
      </c>
      <c r="BH183" s="9">
        <f>IF(56&lt;=核心参数输入!$B$9*4,IF(56=核心参数输入!$B$9*4,SUMPRODUCT(季度经营税费!$D$161:$DT$161,--(季度经营税费!$D$4:$DT$4&gt;核心参数输入!$B$9*4-核心参数输入!$B$112)),0),0)</f>
        <v>0</v>
      </c>
      <c r="BI183" s="9">
        <f>IF(57&lt;=核心参数输入!$B$9*4,IF(57=核心参数输入!$B$9*4,SUMPRODUCT(季度经营税费!$D$161:$DT$161,--(季度经营税费!$D$4:$DT$4&gt;核心参数输入!$B$9*4-核心参数输入!$B$112)),0),0)</f>
        <v>0</v>
      </c>
      <c r="BJ183" s="9">
        <f>IF(58&lt;=核心参数输入!$B$9*4,IF(58=核心参数输入!$B$9*4,SUMPRODUCT(季度经营税费!$D$161:$DT$161,--(季度经营税费!$D$4:$DT$4&gt;核心参数输入!$B$9*4-核心参数输入!$B$112)),0),0)</f>
        <v>0</v>
      </c>
      <c r="BK183" s="9">
        <f>IF(59&lt;=核心参数输入!$B$9*4,IF(59=核心参数输入!$B$9*4,SUMPRODUCT(季度经营税费!$D$161:$DT$161,--(季度经营税费!$D$4:$DT$4&gt;核心参数输入!$B$9*4-核心参数输入!$B$112)),0),0)</f>
        <v>0</v>
      </c>
      <c r="BL183" s="9">
        <f>IF(60&lt;=核心参数输入!$B$9*4,IF(60=核心参数输入!$B$9*4,SUMPRODUCT(季度经营税费!$D$161:$DT$161,--(季度经营税费!$D$4:$DT$4&gt;核心参数输入!$B$9*4-核心参数输入!$B$112)),0),0)</f>
        <v>0</v>
      </c>
      <c r="BM183" s="9">
        <f>IF(61&lt;=核心参数输入!$B$9*4,IF(61=核心参数输入!$B$9*4,SUMPRODUCT(季度经营税费!$D$161:$DT$161,--(季度经营税费!$D$4:$DT$4&gt;核心参数输入!$B$9*4-核心参数输入!$B$112)),0),0)</f>
        <v>0</v>
      </c>
      <c r="BN183" s="9">
        <f>IF(62&lt;=核心参数输入!$B$9*4,IF(62=核心参数输入!$B$9*4,SUMPRODUCT(季度经营税费!$D$161:$DT$161,--(季度经营税费!$D$4:$DT$4&gt;核心参数输入!$B$9*4-核心参数输入!$B$112)),0),0)</f>
        <v>0</v>
      </c>
      <c r="BO183" s="9">
        <f>IF(63&lt;=核心参数输入!$B$9*4,IF(63=核心参数输入!$B$9*4,SUMPRODUCT(季度经营税费!$D$161:$DT$161,--(季度经营税费!$D$4:$DT$4&gt;核心参数输入!$B$9*4-核心参数输入!$B$112)),0),0)</f>
        <v>0</v>
      </c>
      <c r="BP183" s="9">
        <f>IF(64&lt;=核心参数输入!$B$9*4,IF(64=核心参数输入!$B$9*4,SUMPRODUCT(季度经营税费!$D$161:$DT$161,--(季度经营税费!$D$4:$DT$4&gt;核心参数输入!$B$9*4-核心参数输入!$B$112)),0),0)</f>
        <v>0</v>
      </c>
      <c r="BQ183" s="9">
        <f>IF(65&lt;=核心参数输入!$B$9*4,IF(65=核心参数输入!$B$9*4,SUMPRODUCT(季度经营税费!$D$161:$DT$161,--(季度经营税费!$D$4:$DT$4&gt;核心参数输入!$B$9*4-核心参数输入!$B$112)),0),0)</f>
        <v>0</v>
      </c>
      <c r="BR183" s="9">
        <f>IF(66&lt;=核心参数输入!$B$9*4,IF(66=核心参数输入!$B$9*4,SUMPRODUCT(季度经营税费!$D$161:$DT$161,--(季度经营税费!$D$4:$DT$4&gt;核心参数输入!$B$9*4-核心参数输入!$B$112)),0),0)</f>
        <v>0</v>
      </c>
      <c r="BS183" s="9">
        <f>IF(67&lt;=核心参数输入!$B$9*4,IF(67=核心参数输入!$B$9*4,SUMPRODUCT(季度经营税费!$D$161:$DT$161,--(季度经营税费!$D$4:$DT$4&gt;核心参数输入!$B$9*4-核心参数输入!$B$112)),0),0)</f>
        <v>0</v>
      </c>
      <c r="BT183" s="9">
        <f>IF(68&lt;=核心参数输入!$B$9*4,IF(68=核心参数输入!$B$9*4,SUMPRODUCT(季度经营税费!$D$161:$DT$161,--(季度经营税费!$D$4:$DT$4&gt;核心参数输入!$B$9*4-核心参数输入!$B$112)),0),0)</f>
        <v>0</v>
      </c>
      <c r="BU183" s="9">
        <f>IF(69&lt;=核心参数输入!$B$9*4,IF(69=核心参数输入!$B$9*4,SUMPRODUCT(季度经营税费!$D$161:$DT$161,--(季度经营税费!$D$4:$DT$4&gt;核心参数输入!$B$9*4-核心参数输入!$B$112)),0),0)</f>
        <v>0</v>
      </c>
      <c r="BV183" s="9">
        <f>IF(70&lt;=核心参数输入!$B$9*4,IF(70=核心参数输入!$B$9*4,SUMPRODUCT(季度经营税费!$D$161:$DT$161,--(季度经营税费!$D$4:$DT$4&gt;核心参数输入!$B$9*4-核心参数输入!$B$112)),0),0)</f>
        <v>0</v>
      </c>
      <c r="BW183" s="9">
        <f>IF(71&lt;=核心参数输入!$B$9*4,IF(71=核心参数输入!$B$9*4,SUMPRODUCT(季度经营税费!$D$161:$DT$161,--(季度经营税费!$D$4:$DT$4&gt;核心参数输入!$B$9*4-核心参数输入!$B$112)),0),0)</f>
        <v>0</v>
      </c>
      <c r="BX183" s="9">
        <f>IF(72&lt;=核心参数输入!$B$9*4,IF(72=核心参数输入!$B$9*4,SUMPRODUCT(季度经营税费!$D$161:$DT$161,--(季度经营税费!$D$4:$DT$4&gt;核心参数输入!$B$9*4-核心参数输入!$B$112)),0),0)</f>
        <v>0</v>
      </c>
      <c r="BY183" s="9">
        <f>IF(73&lt;=核心参数输入!$B$9*4,IF(73=核心参数输入!$B$9*4,SUMPRODUCT(季度经营税费!$D$161:$DT$161,--(季度经营税费!$D$4:$DT$4&gt;核心参数输入!$B$9*4-核心参数输入!$B$112)),0),0)</f>
        <v>0</v>
      </c>
      <c r="BZ183" s="9">
        <f>IF(74&lt;=核心参数输入!$B$9*4,IF(74=核心参数输入!$B$9*4,SUMPRODUCT(季度经营税费!$D$161:$DT$161,--(季度经营税费!$D$4:$DT$4&gt;核心参数输入!$B$9*4-核心参数输入!$B$112)),0),0)</f>
        <v>0</v>
      </c>
      <c r="CA183" s="9">
        <f>IF(75&lt;=核心参数输入!$B$9*4,IF(75=核心参数输入!$B$9*4,SUMPRODUCT(季度经营税费!$D$161:$DT$161,--(季度经营税费!$D$4:$DT$4&gt;核心参数输入!$B$9*4-核心参数输入!$B$112)),0),0)</f>
        <v>0</v>
      </c>
      <c r="CB183" s="9">
        <f>IF(76&lt;=核心参数输入!$B$9*4,IF(76=核心参数输入!$B$9*4,SUMPRODUCT(季度经营税费!$D$161:$DT$161,--(季度经营税费!$D$4:$DT$4&gt;核心参数输入!$B$9*4-核心参数输入!$B$112)),0),0)</f>
        <v>0</v>
      </c>
      <c r="CC183" s="9">
        <f>IF(77&lt;=核心参数输入!$B$9*4,IF(77=核心参数输入!$B$9*4,SUMPRODUCT(季度经营税费!$D$161:$DT$161,--(季度经营税费!$D$4:$DT$4&gt;核心参数输入!$B$9*4-核心参数输入!$B$112)),0),0)</f>
        <v>0</v>
      </c>
      <c r="CD183" s="9">
        <f>IF(78&lt;=核心参数输入!$B$9*4,IF(78=核心参数输入!$B$9*4,SUMPRODUCT(季度经营税费!$D$161:$DT$161,--(季度经营税费!$D$4:$DT$4&gt;核心参数输入!$B$9*4-核心参数输入!$B$112)),0),0)</f>
        <v>0</v>
      </c>
      <c r="CE183" s="9">
        <f>IF(79&lt;=核心参数输入!$B$9*4,IF(79=核心参数输入!$B$9*4,SUMPRODUCT(季度经营税费!$D$161:$DT$161,--(季度经营税费!$D$4:$DT$4&gt;核心参数输入!$B$9*4-核心参数输入!$B$112)),0),0)</f>
        <v>0</v>
      </c>
      <c r="CF183" s="9">
        <f>IF(80&lt;=核心参数输入!$B$9*4,IF(80=核心参数输入!$B$9*4,SUMPRODUCT(季度经营税费!$D$161:$DT$161,--(季度经营税费!$D$4:$DT$4&gt;核心参数输入!$B$9*4-核心参数输入!$B$112)),0),0)</f>
        <v>0</v>
      </c>
      <c r="CG183" s="9">
        <f>IF(81&lt;=核心参数输入!$B$9*4,IF(81=核心参数输入!$B$9*4,SUMPRODUCT(季度经营税费!$D$161:$DT$161,--(季度经营税费!$D$4:$DT$4&gt;核心参数输入!$B$9*4-核心参数输入!$B$112)),0),0)</f>
        <v>0</v>
      </c>
      <c r="CH183" s="9">
        <f>IF(82&lt;=核心参数输入!$B$9*4,IF(82=核心参数输入!$B$9*4,SUMPRODUCT(季度经营税费!$D$161:$DT$161,--(季度经营税费!$D$4:$DT$4&gt;核心参数输入!$B$9*4-核心参数输入!$B$112)),0),0)</f>
        <v>0</v>
      </c>
      <c r="CI183" s="9">
        <f>IF(83&lt;=核心参数输入!$B$9*4,IF(83=核心参数输入!$B$9*4,SUMPRODUCT(季度经营税费!$D$161:$DT$161,--(季度经营税费!$D$4:$DT$4&gt;核心参数输入!$B$9*4-核心参数输入!$B$112)),0),0)</f>
        <v>0</v>
      </c>
      <c r="CJ183" s="9">
        <f>IF(84&lt;=核心参数输入!$B$9*4,IF(84=核心参数输入!$B$9*4,SUMPRODUCT(季度经营税费!$D$161:$DT$161,--(季度经营税费!$D$4:$DT$4&gt;核心参数输入!$B$9*4-核心参数输入!$B$112)),0),0)</f>
        <v>0</v>
      </c>
      <c r="CK183" s="9">
        <f>IF(85&lt;=核心参数输入!$B$9*4,IF(85=核心参数输入!$B$9*4,SUMPRODUCT(季度经营税费!$D$161:$DT$161,--(季度经营税费!$D$4:$DT$4&gt;核心参数输入!$B$9*4-核心参数输入!$B$112)),0),0)</f>
        <v>0</v>
      </c>
      <c r="CL183" s="9">
        <f>IF(86&lt;=核心参数输入!$B$9*4,IF(86=核心参数输入!$B$9*4,SUMPRODUCT(季度经营税费!$D$161:$DT$161,--(季度经营税费!$D$4:$DT$4&gt;核心参数输入!$B$9*4-核心参数输入!$B$112)),0),0)</f>
        <v>0</v>
      </c>
      <c r="CM183" s="9">
        <f>IF(87&lt;=核心参数输入!$B$9*4,IF(87=核心参数输入!$B$9*4,SUMPRODUCT(季度经营税费!$D$161:$DT$161,--(季度经营税费!$D$4:$DT$4&gt;核心参数输入!$B$9*4-核心参数输入!$B$112)),0),0)</f>
        <v>0</v>
      </c>
      <c r="CN183" s="9">
        <f>IF(88&lt;=核心参数输入!$B$9*4,IF(88=核心参数输入!$B$9*4,SUMPRODUCT(季度经营税费!$D$161:$DT$161,--(季度经营税费!$D$4:$DT$4&gt;核心参数输入!$B$9*4-核心参数输入!$B$112)),0),0)</f>
        <v>0</v>
      </c>
      <c r="CO183" s="9">
        <f>IF(89&lt;=核心参数输入!$B$9*4,IF(89=核心参数输入!$B$9*4,SUMPRODUCT(季度经营税费!$D$161:$DT$161,--(季度经营税费!$D$4:$DT$4&gt;核心参数输入!$B$9*4-核心参数输入!$B$112)),0),0)</f>
        <v>0</v>
      </c>
      <c r="CP183" s="9">
        <f>IF(90&lt;=核心参数输入!$B$9*4,IF(90=核心参数输入!$B$9*4,SUMPRODUCT(季度经营税费!$D$161:$DT$161,--(季度经营税费!$D$4:$DT$4&gt;核心参数输入!$B$9*4-核心参数输入!$B$112)),0),0)</f>
        <v>0</v>
      </c>
      <c r="CQ183" s="9">
        <f>IF(91&lt;=核心参数输入!$B$9*4,IF(91=核心参数输入!$B$9*4,SUMPRODUCT(季度经营税费!$D$161:$DT$161,--(季度经营税费!$D$4:$DT$4&gt;核心参数输入!$B$9*4-核心参数输入!$B$112)),0),0)</f>
        <v>0</v>
      </c>
      <c r="CR183" s="9">
        <f>IF(92&lt;=核心参数输入!$B$9*4,IF(92=核心参数输入!$B$9*4,SUMPRODUCT(季度经营税费!$D$161:$DT$161,--(季度经营税费!$D$4:$DT$4&gt;核心参数输入!$B$9*4-核心参数输入!$B$112)),0),0)</f>
        <v>0</v>
      </c>
      <c r="CS183" s="9">
        <f>IF(93&lt;=核心参数输入!$B$9*4,IF(93=核心参数输入!$B$9*4,SUMPRODUCT(季度经营税费!$D$161:$DT$161,--(季度经营税费!$D$4:$DT$4&gt;核心参数输入!$B$9*4-核心参数输入!$B$112)),0),0)</f>
        <v>0</v>
      </c>
      <c r="CT183" s="9">
        <f>IF(94&lt;=核心参数输入!$B$9*4,IF(94=核心参数输入!$B$9*4,SUMPRODUCT(季度经营税费!$D$161:$DT$161,--(季度经营税费!$D$4:$DT$4&gt;核心参数输入!$B$9*4-核心参数输入!$B$112)),0),0)</f>
        <v>0</v>
      </c>
      <c r="CU183" s="9">
        <f>IF(95&lt;=核心参数输入!$B$9*4,IF(95=核心参数输入!$B$9*4,SUMPRODUCT(季度经营税费!$D$161:$DT$161,--(季度经营税费!$D$4:$DT$4&gt;核心参数输入!$B$9*4-核心参数输入!$B$112)),0),0)</f>
        <v>0</v>
      </c>
      <c r="CV183" s="9">
        <f>IF(96&lt;=核心参数输入!$B$9*4,IF(96=核心参数输入!$B$9*4,SUMPRODUCT(季度经营税费!$D$161:$DT$161,--(季度经营税费!$D$4:$DT$4&gt;核心参数输入!$B$9*4-核心参数输入!$B$112)),0),0)</f>
        <v>0</v>
      </c>
      <c r="CW183" s="9">
        <f>IF(97&lt;=核心参数输入!$B$9*4,IF(97=核心参数输入!$B$9*4,SUMPRODUCT(季度经营税费!$D$161:$DT$161,--(季度经营税费!$D$4:$DT$4&gt;核心参数输入!$B$9*4-核心参数输入!$B$112)),0),0)</f>
        <v>0</v>
      </c>
      <c r="CX183" s="9">
        <f>IF(98&lt;=核心参数输入!$B$9*4,IF(98=核心参数输入!$B$9*4,SUMPRODUCT(季度经营税费!$D$161:$DT$161,--(季度经营税费!$D$4:$DT$4&gt;核心参数输入!$B$9*4-核心参数输入!$B$112)),0),0)</f>
        <v>0</v>
      </c>
      <c r="CY183" s="9">
        <f>IF(99&lt;=核心参数输入!$B$9*4,IF(99=核心参数输入!$B$9*4,SUMPRODUCT(季度经营税费!$D$161:$DT$161,--(季度经营税费!$D$4:$DT$4&gt;核心参数输入!$B$9*4-核心参数输入!$B$112)),0),0)</f>
        <v>0</v>
      </c>
      <c r="CZ183" s="9">
        <f>IF(100&lt;=核心参数输入!$B$9*4,IF(100=核心参数输入!$B$9*4,SUMPRODUCT(季度经营税费!$D$161:$DT$161,--(季度经营税费!$D$4:$DT$4&gt;核心参数输入!$B$9*4-核心参数输入!$B$112)),0),0)</f>
        <v>0</v>
      </c>
      <c r="DA183" s="9">
        <f>IF(101&lt;=核心参数输入!$B$9*4,IF(101=核心参数输入!$B$9*4,SUMPRODUCT(季度经营税费!$D$161:$DT$161,--(季度经营税费!$D$4:$DT$4&gt;核心参数输入!$B$9*4-核心参数输入!$B$112)),0),0)</f>
        <v>0</v>
      </c>
      <c r="DB183" s="9">
        <f>IF(102&lt;=核心参数输入!$B$9*4,IF(102=核心参数输入!$B$9*4,SUMPRODUCT(季度经营税费!$D$161:$DT$161,--(季度经营税费!$D$4:$DT$4&gt;核心参数输入!$B$9*4-核心参数输入!$B$112)),0),0)</f>
        <v>0</v>
      </c>
      <c r="DC183" s="9">
        <f>IF(103&lt;=核心参数输入!$B$9*4,IF(103=核心参数输入!$B$9*4,SUMPRODUCT(季度经营税费!$D$161:$DT$161,--(季度经营税费!$D$4:$DT$4&gt;核心参数输入!$B$9*4-核心参数输入!$B$112)),0),0)</f>
        <v>0</v>
      </c>
      <c r="DD183" s="9">
        <f>IF(104&lt;=核心参数输入!$B$9*4,IF(104=核心参数输入!$B$9*4,SUMPRODUCT(季度经营税费!$D$161:$DT$161,--(季度经营税费!$D$4:$DT$4&gt;核心参数输入!$B$9*4-核心参数输入!$B$112)),0),0)</f>
        <v>0</v>
      </c>
      <c r="DE183" s="9">
        <f>IF(105&lt;=核心参数输入!$B$9*4,IF(105=核心参数输入!$B$9*4,SUMPRODUCT(季度经营税费!$D$161:$DT$161,--(季度经营税费!$D$4:$DT$4&gt;核心参数输入!$B$9*4-核心参数输入!$B$112)),0),0)</f>
        <v>0</v>
      </c>
      <c r="DF183" s="9">
        <f>IF(106&lt;=核心参数输入!$B$9*4,IF(106=核心参数输入!$B$9*4,SUMPRODUCT(季度经营税费!$D$161:$DT$161,--(季度经营税费!$D$4:$DT$4&gt;核心参数输入!$B$9*4-核心参数输入!$B$112)),0),0)</f>
        <v>0</v>
      </c>
      <c r="DG183" s="9">
        <f>IF(107&lt;=核心参数输入!$B$9*4,IF(107=核心参数输入!$B$9*4,SUMPRODUCT(季度经营税费!$D$161:$DT$161,--(季度经营税费!$D$4:$DT$4&gt;核心参数输入!$B$9*4-核心参数输入!$B$112)),0),0)</f>
        <v>0</v>
      </c>
      <c r="DH183" s="9">
        <f>IF(108&lt;=核心参数输入!$B$9*4,IF(108=核心参数输入!$B$9*4,SUMPRODUCT(季度经营税费!$D$161:$DT$161,--(季度经营税费!$D$4:$DT$4&gt;核心参数输入!$B$9*4-核心参数输入!$B$112)),0),0)</f>
        <v>0</v>
      </c>
      <c r="DI183" s="9">
        <f>IF(109&lt;=核心参数输入!$B$9*4,IF(109=核心参数输入!$B$9*4,SUMPRODUCT(季度经营税费!$D$161:$DT$161,--(季度经营税费!$D$4:$DT$4&gt;核心参数输入!$B$9*4-核心参数输入!$B$112)),0),0)</f>
        <v>0</v>
      </c>
      <c r="DJ183" s="9">
        <f>IF(110&lt;=核心参数输入!$B$9*4,IF(110=核心参数输入!$B$9*4,SUMPRODUCT(季度经营税费!$D$161:$DT$161,--(季度经营税费!$D$4:$DT$4&gt;核心参数输入!$B$9*4-核心参数输入!$B$112)),0),0)</f>
        <v>0</v>
      </c>
      <c r="DK183" s="9">
        <f>IF(111&lt;=核心参数输入!$B$9*4,IF(111=核心参数输入!$B$9*4,SUMPRODUCT(季度经营税费!$D$161:$DT$161,--(季度经营税费!$D$4:$DT$4&gt;核心参数输入!$B$9*4-核心参数输入!$B$112)),0),0)</f>
        <v>0</v>
      </c>
      <c r="DL183" s="9">
        <f>IF(112&lt;=核心参数输入!$B$9*4,IF(112=核心参数输入!$B$9*4,SUMPRODUCT(季度经营税费!$D$161:$DT$161,--(季度经营税费!$D$4:$DT$4&gt;核心参数输入!$B$9*4-核心参数输入!$B$112)),0),0)</f>
        <v>0</v>
      </c>
      <c r="DM183" s="9">
        <f>IF(113&lt;=核心参数输入!$B$9*4,IF(113=核心参数输入!$B$9*4,SUMPRODUCT(季度经营税费!$D$161:$DT$161,--(季度经营税费!$D$4:$DT$4&gt;核心参数输入!$B$9*4-核心参数输入!$B$112)),0),0)</f>
        <v>0</v>
      </c>
      <c r="DN183" s="9">
        <f>IF(114&lt;=核心参数输入!$B$9*4,IF(114=核心参数输入!$B$9*4,SUMPRODUCT(季度经营税费!$D$161:$DT$161,--(季度经营税费!$D$4:$DT$4&gt;核心参数输入!$B$9*4-核心参数输入!$B$112)),0),0)</f>
        <v>0</v>
      </c>
      <c r="DO183" s="9">
        <f>IF(115&lt;=核心参数输入!$B$9*4,IF(115=核心参数输入!$B$9*4,SUMPRODUCT(季度经营税费!$D$161:$DT$161,--(季度经营税费!$D$4:$DT$4&gt;核心参数输入!$B$9*4-核心参数输入!$B$112)),0),0)</f>
        <v>0</v>
      </c>
      <c r="DP183" s="9">
        <f>IF(116&lt;=核心参数输入!$B$9*4,IF(116=核心参数输入!$B$9*4,SUMPRODUCT(季度经营税费!$D$161:$DT$161,--(季度经营税费!$D$4:$DT$4&gt;核心参数输入!$B$9*4-核心参数输入!$B$112)),0),0)</f>
        <v>0</v>
      </c>
      <c r="DQ183" s="9">
        <f>IF(117&lt;=核心参数输入!$B$9*4,IF(117=核心参数输入!$B$9*4,SUMPRODUCT(季度经营税费!$D$161:$DT$161,--(季度经营税费!$D$4:$DT$4&gt;核心参数输入!$B$9*4-核心参数输入!$B$112)),0),0)</f>
        <v>0</v>
      </c>
      <c r="DR183" s="9">
        <f>IF(118&lt;=核心参数输入!$B$9*4,IF(118=核心参数输入!$B$9*4,SUMPRODUCT(季度经营税费!$D$161:$DT$161,--(季度经营税费!$D$4:$DT$4&gt;核心参数输入!$B$9*4-核心参数输入!$B$112)),0),0)</f>
        <v>0</v>
      </c>
      <c r="DS183" s="9">
        <f>IF(119&lt;=核心参数输入!$B$9*4,IF(119=核心参数输入!$B$9*4,SUMPRODUCT(季度经营税费!$D$161:$DT$161,--(季度经营税费!$D$4:$DT$4&gt;核心参数输入!$B$9*4-核心参数输入!$B$112)),0),0)</f>
        <v>0</v>
      </c>
      <c r="DT183" s="9">
        <f>IF(120&lt;=核心参数输入!$B$9*4,IF(120=核心参数输入!$B$9*4,SUMPRODUCT(季度经营税费!$D$161:$DT$161,--(季度经营税费!$D$4:$DT$4&gt;核心参数输入!$B$9*4-核心参数输入!$B$112)),0),0)</f>
        <v>0</v>
      </c>
    </row>
    <row r="184" spans="1:124" ht="21" customHeight="1">
      <c r="A184" s="8" t="s">
        <v>505</v>
      </c>
      <c r="B184" s="8" t="s">
        <v>39</v>
      </c>
      <c r="C184" s="8"/>
      <c r="D184" s="9">
        <f>IF(0&lt;=核心参数输入!$B$9*4,IF(0=核心参数输入!$B$9*4,SUMPRODUCT(季度经营税费!$D$146:$DT$146+季度经营税费!$D$150:$DT$150,--(季度经营税费!$D$4:$DT$4&gt;核心参数输入!$B$9*4-核心参数输入!$B$112)),0),0)</f>
        <v>0</v>
      </c>
      <c r="E184" s="9">
        <f>IF(1&lt;=核心参数输入!$B$9*4,IF(1=核心参数输入!$B$9*4,SUMPRODUCT(季度经营税费!$D$146:$DT$146+季度经营税费!$D$150:$DT$150,--(季度经营税费!$D$4:$DT$4&gt;核心参数输入!$B$9*4-核心参数输入!$B$112)),0),0)</f>
        <v>0</v>
      </c>
      <c r="F184" s="9">
        <f>IF(2&lt;=核心参数输入!$B$9*4,IF(2=核心参数输入!$B$9*4,SUMPRODUCT(季度经营税费!$D$146:$DT$146+季度经营税费!$D$150:$DT$150,--(季度经营税费!$D$4:$DT$4&gt;核心参数输入!$B$9*4-核心参数输入!$B$112)),0),0)</f>
        <v>0</v>
      </c>
      <c r="G184" s="9">
        <f>IF(3&lt;=核心参数输入!$B$9*4,IF(3=核心参数输入!$B$9*4,SUMPRODUCT(季度经营税费!$D$146:$DT$146+季度经营税费!$D$150:$DT$150,--(季度经营税费!$D$4:$DT$4&gt;核心参数输入!$B$9*4-核心参数输入!$B$112)),0),0)</f>
        <v>0</v>
      </c>
      <c r="H184" s="9">
        <f>IF(4&lt;=核心参数输入!$B$9*4,IF(4=核心参数输入!$B$9*4,SUMPRODUCT(季度经营税费!$D$146:$DT$146+季度经营税费!$D$150:$DT$150,--(季度经营税费!$D$4:$DT$4&gt;核心参数输入!$B$9*4-核心参数输入!$B$112)),0),0)</f>
        <v>0</v>
      </c>
      <c r="I184" s="9">
        <f>IF(5&lt;=核心参数输入!$B$9*4,IF(5=核心参数输入!$B$9*4,SUMPRODUCT(季度经营税费!$D$146:$DT$146+季度经营税费!$D$150:$DT$150,--(季度经营税费!$D$4:$DT$4&gt;核心参数输入!$B$9*4-核心参数输入!$B$112)),0),0)</f>
        <v>0</v>
      </c>
      <c r="J184" s="9">
        <f>IF(6&lt;=核心参数输入!$B$9*4,IF(6=核心参数输入!$B$9*4,SUMPRODUCT(季度经营税费!$D$146:$DT$146+季度经营税费!$D$150:$DT$150,--(季度经营税费!$D$4:$DT$4&gt;核心参数输入!$B$9*4-核心参数输入!$B$112)),0),0)</f>
        <v>0</v>
      </c>
      <c r="K184" s="9">
        <f>IF(7&lt;=核心参数输入!$B$9*4,IF(7=核心参数输入!$B$9*4,SUMPRODUCT(季度经营税费!$D$146:$DT$146+季度经营税费!$D$150:$DT$150,--(季度经营税费!$D$4:$DT$4&gt;核心参数输入!$B$9*4-核心参数输入!$B$112)),0),0)</f>
        <v>0</v>
      </c>
      <c r="L184" s="9">
        <f>IF(8&lt;=核心参数输入!$B$9*4,IF(8=核心参数输入!$B$9*4,SUMPRODUCT(季度经营税费!$D$146:$DT$146+季度经营税费!$D$150:$DT$150,--(季度经营税费!$D$4:$DT$4&gt;核心参数输入!$B$9*4-核心参数输入!$B$112)),0),0)</f>
        <v>0</v>
      </c>
      <c r="M184" s="9">
        <f>IF(9&lt;=核心参数输入!$B$9*4,IF(9=核心参数输入!$B$9*4,SUMPRODUCT(季度经营税费!$D$146:$DT$146+季度经营税费!$D$150:$DT$150,--(季度经营税费!$D$4:$DT$4&gt;核心参数输入!$B$9*4-核心参数输入!$B$112)),0),0)</f>
        <v>0</v>
      </c>
      <c r="N184" s="9">
        <f>IF(10&lt;=核心参数输入!$B$9*4,IF(10=核心参数输入!$B$9*4,SUMPRODUCT(季度经营税费!$D$146:$DT$146+季度经营税费!$D$150:$DT$150,--(季度经营税费!$D$4:$DT$4&gt;核心参数输入!$B$9*4-核心参数输入!$B$112)),0),0)</f>
        <v>0</v>
      </c>
      <c r="O184" s="9">
        <f>IF(11&lt;=核心参数输入!$B$9*4,IF(11=核心参数输入!$B$9*4,SUMPRODUCT(季度经营税费!$D$146:$DT$146+季度经营税费!$D$150:$DT$150,--(季度经营税费!$D$4:$DT$4&gt;核心参数输入!$B$9*4-核心参数输入!$B$112)),0),0)</f>
        <v>0</v>
      </c>
      <c r="P184" s="9">
        <f>IF(12&lt;=核心参数输入!$B$9*4,IF(12=核心参数输入!$B$9*4,SUMPRODUCT(季度经营税费!$D$146:$DT$146+季度经营税费!$D$150:$DT$150,--(季度经营税费!$D$4:$DT$4&gt;核心参数输入!$B$9*4-核心参数输入!$B$112)),0),0)</f>
        <v>0</v>
      </c>
      <c r="Q184" s="9">
        <f>IF(13&lt;=核心参数输入!$B$9*4,IF(13=核心参数输入!$B$9*4,SUMPRODUCT(季度经营税费!$D$146:$DT$146+季度经营税费!$D$150:$DT$150,--(季度经营税费!$D$4:$DT$4&gt;核心参数输入!$B$9*4-核心参数输入!$B$112)),0),0)</f>
        <v>0</v>
      </c>
      <c r="R184" s="9">
        <f>IF(14&lt;=核心参数输入!$B$9*4,IF(14=核心参数输入!$B$9*4,SUMPRODUCT(季度经营税费!$D$146:$DT$146+季度经营税费!$D$150:$DT$150,--(季度经营税费!$D$4:$DT$4&gt;核心参数输入!$B$9*4-核心参数输入!$B$112)),0),0)</f>
        <v>0</v>
      </c>
      <c r="S184" s="9">
        <f>IF(15&lt;=核心参数输入!$B$9*4,IF(15=核心参数输入!$B$9*4,SUMPRODUCT(季度经营税费!$D$146:$DT$146+季度经营税费!$D$150:$DT$150,--(季度经营税费!$D$4:$DT$4&gt;核心参数输入!$B$9*4-核心参数输入!$B$112)),0),0)</f>
        <v>0</v>
      </c>
      <c r="T184" s="9">
        <f>IF(16&lt;=核心参数输入!$B$9*4,IF(16=核心参数输入!$B$9*4,SUMPRODUCT(季度经营税费!$D$146:$DT$146+季度经营税费!$D$150:$DT$150,--(季度经营税费!$D$4:$DT$4&gt;核心参数输入!$B$9*4-核心参数输入!$B$112)),0),0)</f>
        <v>0</v>
      </c>
      <c r="U184" s="9">
        <f>IF(17&lt;=核心参数输入!$B$9*4,IF(17=核心参数输入!$B$9*4,SUMPRODUCT(季度经营税费!$D$146:$DT$146+季度经营税费!$D$150:$DT$150,--(季度经营税费!$D$4:$DT$4&gt;核心参数输入!$B$9*4-核心参数输入!$B$112)),0),0)</f>
        <v>0</v>
      </c>
      <c r="V184" s="9">
        <f>IF(18&lt;=核心参数输入!$B$9*4,IF(18=核心参数输入!$B$9*4,SUMPRODUCT(季度经营税费!$D$146:$DT$146+季度经营税费!$D$150:$DT$150,--(季度经营税费!$D$4:$DT$4&gt;核心参数输入!$B$9*4-核心参数输入!$B$112)),0),0)</f>
        <v>0</v>
      </c>
      <c r="W184" s="9">
        <f>IF(19&lt;=核心参数输入!$B$9*4,IF(19=核心参数输入!$B$9*4,SUMPRODUCT(季度经营税费!$D$146:$DT$146+季度经营税费!$D$150:$DT$150,--(季度经营税费!$D$4:$DT$4&gt;核心参数输入!$B$9*4-核心参数输入!$B$112)),0),0)</f>
        <v>0</v>
      </c>
      <c r="X184" s="9">
        <f>IF(20&lt;=核心参数输入!$B$9*4,IF(20=核心参数输入!$B$9*4,SUMPRODUCT(季度经营税费!$D$146:$DT$146+季度经营税费!$D$150:$DT$150,--(季度经营税费!$D$4:$DT$4&gt;核心参数输入!$B$9*4-核心参数输入!$B$112)),0),0)</f>
        <v>0</v>
      </c>
      <c r="Y184" s="9">
        <f>IF(21&lt;=核心参数输入!$B$9*4,IF(21=核心参数输入!$B$9*4,SUMPRODUCT(季度经营税费!$D$146:$DT$146+季度经营税费!$D$150:$DT$150,--(季度经营税费!$D$4:$DT$4&gt;核心参数输入!$B$9*4-核心参数输入!$B$112)),0),0)</f>
        <v>0</v>
      </c>
      <c r="Z184" s="9">
        <f>IF(22&lt;=核心参数输入!$B$9*4,IF(22=核心参数输入!$B$9*4,SUMPRODUCT(季度经营税费!$D$146:$DT$146+季度经营税费!$D$150:$DT$150,--(季度经营税费!$D$4:$DT$4&gt;核心参数输入!$B$9*4-核心参数输入!$B$112)),0),0)</f>
        <v>0</v>
      </c>
      <c r="AA184" s="9">
        <f>IF(23&lt;=核心参数输入!$B$9*4,IF(23=核心参数输入!$B$9*4,SUMPRODUCT(季度经营税费!$D$146:$DT$146+季度经营税费!$D$150:$DT$150,--(季度经营税费!$D$4:$DT$4&gt;核心参数输入!$B$9*4-核心参数输入!$B$112)),0),0)</f>
        <v>0</v>
      </c>
      <c r="AB184" s="9">
        <f>IF(24&lt;=核心参数输入!$B$9*4,IF(24=核心参数输入!$B$9*4,SUMPRODUCT(季度经营税费!$D$146:$DT$146+季度经营税费!$D$150:$DT$150,--(季度经营税费!$D$4:$DT$4&gt;核心参数输入!$B$9*4-核心参数输入!$B$112)),0),0)</f>
        <v>0</v>
      </c>
      <c r="AC184" s="9">
        <f>IF(25&lt;=核心参数输入!$B$9*4,IF(25=核心参数输入!$B$9*4,SUMPRODUCT(季度经营税费!$D$146:$DT$146+季度经营税费!$D$150:$DT$150,--(季度经营税费!$D$4:$DT$4&gt;核心参数输入!$B$9*4-核心参数输入!$B$112)),0),0)</f>
        <v>0</v>
      </c>
      <c r="AD184" s="9">
        <f>IF(26&lt;=核心参数输入!$B$9*4,IF(26=核心参数输入!$B$9*4,SUMPRODUCT(季度经营税费!$D$146:$DT$146+季度经营税费!$D$150:$DT$150,--(季度经营税费!$D$4:$DT$4&gt;核心参数输入!$B$9*4-核心参数输入!$B$112)),0),0)</f>
        <v>0</v>
      </c>
      <c r="AE184" s="9">
        <f>IF(27&lt;=核心参数输入!$B$9*4,IF(27=核心参数输入!$B$9*4,SUMPRODUCT(季度经营税费!$D$146:$DT$146+季度经营税费!$D$150:$DT$150,--(季度经营税费!$D$4:$DT$4&gt;核心参数输入!$B$9*4-核心参数输入!$B$112)),0),0)</f>
        <v>0</v>
      </c>
      <c r="AF184" s="9">
        <f>IF(28&lt;=核心参数输入!$B$9*4,IF(28=核心参数输入!$B$9*4,SUMPRODUCT(季度经营税费!$D$146:$DT$146+季度经营税费!$D$150:$DT$150,--(季度经营税费!$D$4:$DT$4&gt;核心参数输入!$B$9*4-核心参数输入!$B$112)),0),0)</f>
        <v>0</v>
      </c>
      <c r="AG184" s="9">
        <f>IF(29&lt;=核心参数输入!$B$9*4,IF(29=核心参数输入!$B$9*4,SUMPRODUCT(季度经营税费!$D$146:$DT$146+季度经营税费!$D$150:$DT$150,--(季度经营税费!$D$4:$DT$4&gt;核心参数输入!$B$9*4-核心参数输入!$B$112)),0),0)</f>
        <v>0</v>
      </c>
      <c r="AH184" s="9">
        <f>IF(30&lt;=核心参数输入!$B$9*4,IF(30=核心参数输入!$B$9*4,SUMPRODUCT(季度经营税费!$D$146:$DT$146+季度经营税费!$D$150:$DT$150,--(季度经营税费!$D$4:$DT$4&gt;核心参数输入!$B$9*4-核心参数输入!$B$112)),0),0)</f>
        <v>0</v>
      </c>
      <c r="AI184" s="9">
        <f>IF(31&lt;=核心参数输入!$B$9*4,IF(31=核心参数输入!$B$9*4,SUMPRODUCT(季度经营税费!$D$146:$DT$146+季度经营税费!$D$150:$DT$150,--(季度经营税费!$D$4:$DT$4&gt;核心参数输入!$B$9*4-核心参数输入!$B$112)),0),0)</f>
        <v>0</v>
      </c>
      <c r="AJ184" s="9">
        <f>IF(32&lt;=核心参数输入!$B$9*4,IF(32=核心参数输入!$B$9*4,SUMPRODUCT(季度经营税费!$D$146:$DT$146+季度经营税费!$D$150:$DT$150,--(季度经营税费!$D$4:$DT$4&gt;核心参数输入!$B$9*4-核心参数输入!$B$112)),0),0)</f>
        <v>0</v>
      </c>
      <c r="AK184" s="9">
        <f>IF(33&lt;=核心参数输入!$B$9*4,IF(33=核心参数输入!$B$9*4,SUMPRODUCT(季度经营税费!$D$146:$DT$146+季度经营税费!$D$150:$DT$150,--(季度经营税费!$D$4:$DT$4&gt;核心参数输入!$B$9*4-核心参数输入!$B$112)),0),0)</f>
        <v>0</v>
      </c>
      <c r="AL184" s="9">
        <f>IF(34&lt;=核心参数输入!$B$9*4,IF(34=核心参数输入!$B$9*4,SUMPRODUCT(季度经营税费!$D$146:$DT$146+季度经营税费!$D$150:$DT$150,--(季度经营税费!$D$4:$DT$4&gt;核心参数输入!$B$9*4-核心参数输入!$B$112)),0),0)</f>
        <v>0</v>
      </c>
      <c r="AM184" s="9">
        <f>IF(35&lt;=核心参数输入!$B$9*4,IF(35=核心参数输入!$B$9*4,SUMPRODUCT(季度经营税费!$D$146:$DT$146+季度经营税费!$D$150:$DT$150,--(季度经营税费!$D$4:$DT$4&gt;核心参数输入!$B$9*4-核心参数输入!$B$112)),0),0)</f>
        <v>0</v>
      </c>
      <c r="AN184" s="9">
        <f>IF(36&lt;=核心参数输入!$B$9*4,IF(36=核心参数输入!$B$9*4,SUMPRODUCT(季度经营税费!$D$146:$DT$146+季度经营税费!$D$150:$DT$150,--(季度经营税费!$D$4:$DT$4&gt;核心参数输入!$B$9*4-核心参数输入!$B$112)),0),0)</f>
        <v>0</v>
      </c>
      <c r="AO184" s="9">
        <f>IF(37&lt;=核心参数输入!$B$9*4,IF(37=核心参数输入!$B$9*4,SUMPRODUCT(季度经营税费!$D$146:$DT$146+季度经营税费!$D$150:$DT$150,--(季度经营税费!$D$4:$DT$4&gt;核心参数输入!$B$9*4-核心参数输入!$B$112)),0),0)</f>
        <v>0</v>
      </c>
      <c r="AP184" s="9">
        <f>IF(38&lt;=核心参数输入!$B$9*4,IF(38=核心参数输入!$B$9*4,SUMPRODUCT(季度经营税费!$D$146:$DT$146+季度经营税费!$D$150:$DT$150,--(季度经营税费!$D$4:$DT$4&gt;核心参数输入!$B$9*4-核心参数输入!$B$112)),0),0)</f>
        <v>0</v>
      </c>
      <c r="AQ184" s="9">
        <f>IF(39&lt;=核心参数输入!$B$9*4,IF(39=核心参数输入!$B$9*4,SUMPRODUCT(季度经营税费!$D$146:$DT$146+季度经营税费!$D$150:$DT$150,--(季度经营税费!$D$4:$DT$4&gt;核心参数输入!$B$9*4-核心参数输入!$B$112)),0),0)</f>
        <v>0</v>
      </c>
      <c r="AR184" s="9">
        <f>IF(40&lt;=核心参数输入!$B$9*4,IF(40=核心参数输入!$B$9*4,SUMPRODUCT(季度经营税费!$D$146:$DT$146+季度经营税费!$D$150:$DT$150,--(季度经营税费!$D$4:$DT$4&gt;核心参数输入!$B$9*4-核心参数输入!$B$112)),0),0)</f>
        <v>0</v>
      </c>
      <c r="AS184" s="9">
        <f>IF(41&lt;=核心参数输入!$B$9*4,IF(41=核心参数输入!$B$9*4,SUMPRODUCT(季度经营税费!$D$146:$DT$146+季度经营税费!$D$150:$DT$150,--(季度经营税费!$D$4:$DT$4&gt;核心参数输入!$B$9*4-核心参数输入!$B$112)),0),0)</f>
        <v>0</v>
      </c>
      <c r="AT184" s="9">
        <f>IF(42&lt;=核心参数输入!$B$9*4,IF(42=核心参数输入!$B$9*4,SUMPRODUCT(季度经营税费!$D$146:$DT$146+季度经营税费!$D$150:$DT$150,--(季度经营税费!$D$4:$DT$4&gt;核心参数输入!$B$9*4-核心参数输入!$B$112)),0),0)</f>
        <v>0</v>
      </c>
      <c r="AU184" s="9">
        <f>IF(43&lt;=核心参数输入!$B$9*4,IF(43=核心参数输入!$B$9*4,SUMPRODUCT(季度经营税费!$D$146:$DT$146+季度经营税费!$D$150:$DT$150,--(季度经营税费!$D$4:$DT$4&gt;核心参数输入!$B$9*4-核心参数输入!$B$112)),0),0)</f>
        <v>0</v>
      </c>
      <c r="AV184" s="9">
        <f>IF(44&lt;=核心参数输入!$B$9*4,IF(44=核心参数输入!$B$9*4,SUMPRODUCT(季度经营税费!$D$146:$DT$146+季度经营税费!$D$150:$DT$150,--(季度经营税费!$D$4:$DT$4&gt;核心参数输入!$B$9*4-核心参数输入!$B$112)),0),0)</f>
        <v>0</v>
      </c>
      <c r="AW184" s="9">
        <f>IF(45&lt;=核心参数输入!$B$9*4,IF(45=核心参数输入!$B$9*4,SUMPRODUCT(季度经营税费!$D$146:$DT$146+季度经营税费!$D$150:$DT$150,--(季度经营税费!$D$4:$DT$4&gt;核心参数输入!$B$9*4-核心参数输入!$B$112)),0),0)</f>
        <v>0</v>
      </c>
      <c r="AX184" s="9">
        <f>IF(46&lt;=核心参数输入!$B$9*4,IF(46=核心参数输入!$B$9*4,SUMPRODUCT(季度经营税费!$D$146:$DT$146+季度经营税费!$D$150:$DT$150,--(季度经营税费!$D$4:$DT$4&gt;核心参数输入!$B$9*4-核心参数输入!$B$112)),0),0)</f>
        <v>0</v>
      </c>
      <c r="AY184" s="9">
        <f>IF(47&lt;=核心参数输入!$B$9*4,IF(47=核心参数输入!$B$9*4,SUMPRODUCT(季度经营税费!$D$146:$DT$146+季度经营税费!$D$150:$DT$150,--(季度经营税费!$D$4:$DT$4&gt;核心参数输入!$B$9*4-核心参数输入!$B$112)),0),0)</f>
        <v>0</v>
      </c>
      <c r="AZ184" s="9">
        <f>IF(48&lt;=核心参数输入!$B$9*4,IF(48=核心参数输入!$B$9*4,SUMPRODUCT(季度经营税费!$D$146:$DT$146+季度经营税费!$D$150:$DT$150,--(季度经营税费!$D$4:$DT$4&gt;核心参数输入!$B$9*4-核心参数输入!$B$112)),0),0)</f>
        <v>0</v>
      </c>
      <c r="BA184" s="9">
        <f>IF(49&lt;=核心参数输入!$B$9*4,IF(49=核心参数输入!$B$9*4,SUMPRODUCT(季度经营税费!$D$146:$DT$146+季度经营税费!$D$150:$DT$150,--(季度经营税费!$D$4:$DT$4&gt;核心参数输入!$B$9*4-核心参数输入!$B$112)),0),0)</f>
        <v>0</v>
      </c>
      <c r="BB184" s="9">
        <f>IF(50&lt;=核心参数输入!$B$9*4,IF(50=核心参数输入!$B$9*4,SUMPRODUCT(季度经营税费!$D$146:$DT$146+季度经营税费!$D$150:$DT$150,--(季度经营税费!$D$4:$DT$4&gt;核心参数输入!$B$9*4-核心参数输入!$B$112)),0),0)</f>
        <v>0</v>
      </c>
      <c r="BC184" s="9">
        <f>IF(51&lt;=核心参数输入!$B$9*4,IF(51=核心参数输入!$B$9*4,SUMPRODUCT(季度经营税费!$D$146:$DT$146+季度经营税费!$D$150:$DT$150,--(季度经营税费!$D$4:$DT$4&gt;核心参数输入!$B$9*4-核心参数输入!$B$112)),0),0)</f>
        <v>0</v>
      </c>
      <c r="BD184" s="9">
        <f>IF(52&lt;=核心参数输入!$B$9*4,IF(52=核心参数输入!$B$9*4,SUMPRODUCT(季度经营税费!$D$146:$DT$146+季度经营税费!$D$150:$DT$150,--(季度经营税费!$D$4:$DT$4&gt;核心参数输入!$B$9*4-核心参数输入!$B$112)),0),0)</f>
        <v>0</v>
      </c>
      <c r="BE184" s="9">
        <f>IF(53&lt;=核心参数输入!$B$9*4,IF(53=核心参数输入!$B$9*4,SUMPRODUCT(季度经营税费!$D$146:$DT$146+季度经营税费!$D$150:$DT$150,--(季度经营税费!$D$4:$DT$4&gt;核心参数输入!$B$9*4-核心参数输入!$B$112)),0),0)</f>
        <v>0</v>
      </c>
      <c r="BF184" s="9">
        <f>IF(54&lt;=核心参数输入!$B$9*4,IF(54=核心参数输入!$B$9*4,SUMPRODUCT(季度经营税费!$D$146:$DT$146+季度经营税费!$D$150:$DT$150,--(季度经营税费!$D$4:$DT$4&gt;核心参数输入!$B$9*4-核心参数输入!$B$112)),0),0)</f>
        <v>0</v>
      </c>
      <c r="BG184" s="9">
        <f>IF(55&lt;=核心参数输入!$B$9*4,IF(55=核心参数输入!$B$9*4,SUMPRODUCT(季度经营税费!$D$146:$DT$146+季度经营税费!$D$150:$DT$150,--(季度经营税费!$D$4:$DT$4&gt;核心参数输入!$B$9*4-核心参数输入!$B$112)),0),0)</f>
        <v>0</v>
      </c>
      <c r="BH184" s="9">
        <f>IF(56&lt;=核心参数输入!$B$9*4,IF(56=核心参数输入!$B$9*4,SUMPRODUCT(季度经营税费!$D$146:$DT$146+季度经营税费!$D$150:$DT$150,--(季度经营税费!$D$4:$DT$4&gt;核心参数输入!$B$9*4-核心参数输入!$B$112)),0),0)</f>
        <v>0</v>
      </c>
      <c r="BI184" s="9">
        <f>IF(57&lt;=核心参数输入!$B$9*4,IF(57=核心参数输入!$B$9*4,SUMPRODUCT(季度经营税费!$D$146:$DT$146+季度经营税费!$D$150:$DT$150,--(季度经营税费!$D$4:$DT$4&gt;核心参数输入!$B$9*4-核心参数输入!$B$112)),0),0)</f>
        <v>0</v>
      </c>
      <c r="BJ184" s="9">
        <f>IF(58&lt;=核心参数输入!$B$9*4,IF(58=核心参数输入!$B$9*4,SUMPRODUCT(季度经营税费!$D$146:$DT$146+季度经营税费!$D$150:$DT$150,--(季度经营税费!$D$4:$DT$4&gt;核心参数输入!$B$9*4-核心参数输入!$B$112)),0),0)</f>
        <v>0</v>
      </c>
      <c r="BK184" s="9">
        <f>IF(59&lt;=核心参数输入!$B$9*4,IF(59=核心参数输入!$B$9*4,SUMPRODUCT(季度经营税费!$D$146:$DT$146+季度经营税费!$D$150:$DT$150,--(季度经营税费!$D$4:$DT$4&gt;核心参数输入!$B$9*4-核心参数输入!$B$112)),0),0)</f>
        <v>0</v>
      </c>
      <c r="BL184" s="9">
        <f>IF(60&lt;=核心参数输入!$B$9*4,IF(60=核心参数输入!$B$9*4,SUMPRODUCT(季度经营税费!$D$146:$DT$146+季度经营税费!$D$150:$DT$150,--(季度经营税费!$D$4:$DT$4&gt;核心参数输入!$B$9*4-核心参数输入!$B$112)),0),0)</f>
        <v>0</v>
      </c>
      <c r="BM184" s="9">
        <f>IF(61&lt;=核心参数输入!$B$9*4,IF(61=核心参数输入!$B$9*4,SUMPRODUCT(季度经营税费!$D$146:$DT$146+季度经营税费!$D$150:$DT$150,--(季度经营税费!$D$4:$DT$4&gt;核心参数输入!$B$9*4-核心参数输入!$B$112)),0),0)</f>
        <v>0</v>
      </c>
      <c r="BN184" s="9">
        <f>IF(62&lt;=核心参数输入!$B$9*4,IF(62=核心参数输入!$B$9*4,SUMPRODUCT(季度经营税费!$D$146:$DT$146+季度经营税费!$D$150:$DT$150,--(季度经营税费!$D$4:$DT$4&gt;核心参数输入!$B$9*4-核心参数输入!$B$112)),0),0)</f>
        <v>0</v>
      </c>
      <c r="BO184" s="9">
        <f>IF(63&lt;=核心参数输入!$B$9*4,IF(63=核心参数输入!$B$9*4,SUMPRODUCT(季度经营税费!$D$146:$DT$146+季度经营税费!$D$150:$DT$150,--(季度经营税费!$D$4:$DT$4&gt;核心参数输入!$B$9*4-核心参数输入!$B$112)),0),0)</f>
        <v>0</v>
      </c>
      <c r="BP184" s="9">
        <f>IF(64&lt;=核心参数输入!$B$9*4,IF(64=核心参数输入!$B$9*4,SUMPRODUCT(季度经营税费!$D$146:$DT$146+季度经营税费!$D$150:$DT$150,--(季度经营税费!$D$4:$DT$4&gt;核心参数输入!$B$9*4-核心参数输入!$B$112)),0),0)</f>
        <v>0</v>
      </c>
      <c r="BQ184" s="9">
        <f>IF(65&lt;=核心参数输入!$B$9*4,IF(65=核心参数输入!$B$9*4,SUMPRODUCT(季度经营税费!$D$146:$DT$146+季度经营税费!$D$150:$DT$150,--(季度经营税费!$D$4:$DT$4&gt;核心参数输入!$B$9*4-核心参数输入!$B$112)),0),0)</f>
        <v>0</v>
      </c>
      <c r="BR184" s="9">
        <f>IF(66&lt;=核心参数输入!$B$9*4,IF(66=核心参数输入!$B$9*4,SUMPRODUCT(季度经营税费!$D$146:$DT$146+季度经营税费!$D$150:$DT$150,--(季度经营税费!$D$4:$DT$4&gt;核心参数输入!$B$9*4-核心参数输入!$B$112)),0),0)</f>
        <v>0</v>
      </c>
      <c r="BS184" s="9">
        <f>IF(67&lt;=核心参数输入!$B$9*4,IF(67=核心参数输入!$B$9*4,SUMPRODUCT(季度经营税费!$D$146:$DT$146+季度经营税费!$D$150:$DT$150,--(季度经营税费!$D$4:$DT$4&gt;核心参数输入!$B$9*4-核心参数输入!$B$112)),0),0)</f>
        <v>0</v>
      </c>
      <c r="BT184" s="9">
        <f>IF(68&lt;=核心参数输入!$B$9*4,IF(68=核心参数输入!$B$9*4,SUMPRODUCT(季度经营税费!$D$146:$DT$146+季度经营税费!$D$150:$DT$150,--(季度经营税费!$D$4:$DT$4&gt;核心参数输入!$B$9*4-核心参数输入!$B$112)),0),0)</f>
        <v>0</v>
      </c>
      <c r="BU184" s="9">
        <f>IF(69&lt;=核心参数输入!$B$9*4,IF(69=核心参数输入!$B$9*4,SUMPRODUCT(季度经营税费!$D$146:$DT$146+季度经营税费!$D$150:$DT$150,--(季度经营税费!$D$4:$DT$4&gt;核心参数输入!$B$9*4-核心参数输入!$B$112)),0),0)</f>
        <v>0</v>
      </c>
      <c r="BV184" s="9">
        <f>IF(70&lt;=核心参数输入!$B$9*4,IF(70=核心参数输入!$B$9*4,SUMPRODUCT(季度经营税费!$D$146:$DT$146+季度经营税费!$D$150:$DT$150,--(季度经营税费!$D$4:$DT$4&gt;核心参数输入!$B$9*4-核心参数输入!$B$112)),0),0)</f>
        <v>0</v>
      </c>
      <c r="BW184" s="9">
        <f>IF(71&lt;=核心参数输入!$B$9*4,IF(71=核心参数输入!$B$9*4,SUMPRODUCT(季度经营税费!$D$146:$DT$146+季度经营税费!$D$150:$DT$150,--(季度经营税费!$D$4:$DT$4&gt;核心参数输入!$B$9*4-核心参数输入!$B$112)),0),0)</f>
        <v>0</v>
      </c>
      <c r="BX184" s="9">
        <f>IF(72&lt;=核心参数输入!$B$9*4,IF(72=核心参数输入!$B$9*4,SUMPRODUCT(季度经营税费!$D$146:$DT$146+季度经营税费!$D$150:$DT$150,--(季度经营税费!$D$4:$DT$4&gt;核心参数输入!$B$9*4-核心参数输入!$B$112)),0),0)</f>
        <v>0</v>
      </c>
      <c r="BY184" s="9">
        <f>IF(73&lt;=核心参数输入!$B$9*4,IF(73=核心参数输入!$B$9*4,SUMPRODUCT(季度经营税费!$D$146:$DT$146+季度经营税费!$D$150:$DT$150,--(季度经营税费!$D$4:$DT$4&gt;核心参数输入!$B$9*4-核心参数输入!$B$112)),0),0)</f>
        <v>0</v>
      </c>
      <c r="BZ184" s="9">
        <f>IF(74&lt;=核心参数输入!$B$9*4,IF(74=核心参数输入!$B$9*4,SUMPRODUCT(季度经营税费!$D$146:$DT$146+季度经营税费!$D$150:$DT$150,--(季度经营税费!$D$4:$DT$4&gt;核心参数输入!$B$9*4-核心参数输入!$B$112)),0),0)</f>
        <v>0</v>
      </c>
      <c r="CA184" s="9">
        <f>IF(75&lt;=核心参数输入!$B$9*4,IF(75=核心参数输入!$B$9*4,SUMPRODUCT(季度经营税费!$D$146:$DT$146+季度经营税费!$D$150:$DT$150,--(季度经营税费!$D$4:$DT$4&gt;核心参数输入!$B$9*4-核心参数输入!$B$112)),0),0)</f>
        <v>0</v>
      </c>
      <c r="CB184" s="9">
        <f>IF(76&lt;=核心参数输入!$B$9*4,IF(76=核心参数输入!$B$9*4,SUMPRODUCT(季度经营税费!$D$146:$DT$146+季度经营税费!$D$150:$DT$150,--(季度经营税费!$D$4:$DT$4&gt;核心参数输入!$B$9*4-核心参数输入!$B$112)),0),0)</f>
        <v>0</v>
      </c>
      <c r="CC184" s="9">
        <f>IF(77&lt;=核心参数输入!$B$9*4,IF(77=核心参数输入!$B$9*4,SUMPRODUCT(季度经营税费!$D$146:$DT$146+季度经营税费!$D$150:$DT$150,--(季度经营税费!$D$4:$DT$4&gt;核心参数输入!$B$9*4-核心参数输入!$B$112)),0),0)</f>
        <v>0</v>
      </c>
      <c r="CD184" s="9">
        <f>IF(78&lt;=核心参数输入!$B$9*4,IF(78=核心参数输入!$B$9*4,SUMPRODUCT(季度经营税费!$D$146:$DT$146+季度经营税费!$D$150:$DT$150,--(季度经营税费!$D$4:$DT$4&gt;核心参数输入!$B$9*4-核心参数输入!$B$112)),0),0)</f>
        <v>0</v>
      </c>
      <c r="CE184" s="9">
        <f>IF(79&lt;=核心参数输入!$B$9*4,IF(79=核心参数输入!$B$9*4,SUMPRODUCT(季度经营税费!$D$146:$DT$146+季度经营税费!$D$150:$DT$150,--(季度经营税费!$D$4:$DT$4&gt;核心参数输入!$B$9*4-核心参数输入!$B$112)),0),0)</f>
        <v>0</v>
      </c>
      <c r="CF184" s="9">
        <f>IF(80&lt;=核心参数输入!$B$9*4,IF(80=核心参数输入!$B$9*4,SUMPRODUCT(季度经营税费!$D$146:$DT$146+季度经营税费!$D$150:$DT$150,--(季度经营税费!$D$4:$DT$4&gt;核心参数输入!$B$9*4-核心参数输入!$B$112)),0),0)</f>
        <v>0</v>
      </c>
      <c r="CG184" s="9">
        <f>IF(81&lt;=核心参数输入!$B$9*4,IF(81=核心参数输入!$B$9*4,SUMPRODUCT(季度经营税费!$D$146:$DT$146+季度经营税费!$D$150:$DT$150,--(季度经营税费!$D$4:$DT$4&gt;核心参数输入!$B$9*4-核心参数输入!$B$112)),0),0)</f>
        <v>0</v>
      </c>
      <c r="CH184" s="9">
        <f>IF(82&lt;=核心参数输入!$B$9*4,IF(82=核心参数输入!$B$9*4,SUMPRODUCT(季度经营税费!$D$146:$DT$146+季度经营税费!$D$150:$DT$150,--(季度经营税费!$D$4:$DT$4&gt;核心参数输入!$B$9*4-核心参数输入!$B$112)),0),0)</f>
        <v>0</v>
      </c>
      <c r="CI184" s="9">
        <f>IF(83&lt;=核心参数输入!$B$9*4,IF(83=核心参数输入!$B$9*4,SUMPRODUCT(季度经营税费!$D$146:$DT$146+季度经营税费!$D$150:$DT$150,--(季度经营税费!$D$4:$DT$4&gt;核心参数输入!$B$9*4-核心参数输入!$B$112)),0),0)</f>
        <v>0</v>
      </c>
      <c r="CJ184" s="9">
        <f>IF(84&lt;=核心参数输入!$B$9*4,IF(84=核心参数输入!$B$9*4,SUMPRODUCT(季度经营税费!$D$146:$DT$146+季度经营税费!$D$150:$DT$150,--(季度经营税费!$D$4:$DT$4&gt;核心参数输入!$B$9*4-核心参数输入!$B$112)),0),0)</f>
        <v>0</v>
      </c>
      <c r="CK184" s="9">
        <f>IF(85&lt;=核心参数输入!$B$9*4,IF(85=核心参数输入!$B$9*4,SUMPRODUCT(季度经营税费!$D$146:$DT$146+季度经营税费!$D$150:$DT$150,--(季度经营税费!$D$4:$DT$4&gt;核心参数输入!$B$9*4-核心参数输入!$B$112)),0),0)</f>
        <v>0</v>
      </c>
      <c r="CL184" s="9">
        <f>IF(86&lt;=核心参数输入!$B$9*4,IF(86=核心参数输入!$B$9*4,SUMPRODUCT(季度经营税费!$D$146:$DT$146+季度经营税费!$D$150:$DT$150,--(季度经营税费!$D$4:$DT$4&gt;核心参数输入!$B$9*4-核心参数输入!$B$112)),0),0)</f>
        <v>0</v>
      </c>
      <c r="CM184" s="9">
        <f>IF(87&lt;=核心参数输入!$B$9*4,IF(87=核心参数输入!$B$9*4,SUMPRODUCT(季度经营税费!$D$146:$DT$146+季度经营税费!$D$150:$DT$150,--(季度经营税费!$D$4:$DT$4&gt;核心参数输入!$B$9*4-核心参数输入!$B$112)),0),0)</f>
        <v>0</v>
      </c>
      <c r="CN184" s="9">
        <f>IF(88&lt;=核心参数输入!$B$9*4,IF(88=核心参数输入!$B$9*4,SUMPRODUCT(季度经营税费!$D$146:$DT$146+季度经营税费!$D$150:$DT$150,--(季度经营税费!$D$4:$DT$4&gt;核心参数输入!$B$9*4-核心参数输入!$B$112)),0),0)</f>
        <v>0</v>
      </c>
      <c r="CO184" s="9">
        <f>IF(89&lt;=核心参数输入!$B$9*4,IF(89=核心参数输入!$B$9*4,SUMPRODUCT(季度经营税费!$D$146:$DT$146+季度经营税费!$D$150:$DT$150,--(季度经营税费!$D$4:$DT$4&gt;核心参数输入!$B$9*4-核心参数输入!$B$112)),0),0)</f>
        <v>0</v>
      </c>
      <c r="CP184" s="9">
        <f>IF(90&lt;=核心参数输入!$B$9*4,IF(90=核心参数输入!$B$9*4,SUMPRODUCT(季度经营税费!$D$146:$DT$146+季度经营税费!$D$150:$DT$150,--(季度经营税费!$D$4:$DT$4&gt;核心参数输入!$B$9*4-核心参数输入!$B$112)),0),0)</f>
        <v>0</v>
      </c>
      <c r="CQ184" s="9">
        <f>IF(91&lt;=核心参数输入!$B$9*4,IF(91=核心参数输入!$B$9*4,SUMPRODUCT(季度经营税费!$D$146:$DT$146+季度经营税费!$D$150:$DT$150,--(季度经营税费!$D$4:$DT$4&gt;核心参数输入!$B$9*4-核心参数输入!$B$112)),0),0)</f>
        <v>0</v>
      </c>
      <c r="CR184" s="9">
        <f>IF(92&lt;=核心参数输入!$B$9*4,IF(92=核心参数输入!$B$9*4,SUMPRODUCT(季度经营税费!$D$146:$DT$146+季度经营税费!$D$150:$DT$150,--(季度经营税费!$D$4:$DT$4&gt;核心参数输入!$B$9*4-核心参数输入!$B$112)),0),0)</f>
        <v>0</v>
      </c>
      <c r="CS184" s="9">
        <f>IF(93&lt;=核心参数输入!$B$9*4,IF(93=核心参数输入!$B$9*4,SUMPRODUCT(季度经营税费!$D$146:$DT$146+季度经营税费!$D$150:$DT$150,--(季度经营税费!$D$4:$DT$4&gt;核心参数输入!$B$9*4-核心参数输入!$B$112)),0),0)</f>
        <v>0</v>
      </c>
      <c r="CT184" s="9">
        <f>IF(94&lt;=核心参数输入!$B$9*4,IF(94=核心参数输入!$B$9*4,SUMPRODUCT(季度经营税费!$D$146:$DT$146+季度经营税费!$D$150:$DT$150,--(季度经营税费!$D$4:$DT$4&gt;核心参数输入!$B$9*4-核心参数输入!$B$112)),0),0)</f>
        <v>0</v>
      </c>
      <c r="CU184" s="9">
        <f>IF(95&lt;=核心参数输入!$B$9*4,IF(95=核心参数输入!$B$9*4,SUMPRODUCT(季度经营税费!$D$146:$DT$146+季度经营税费!$D$150:$DT$150,--(季度经营税费!$D$4:$DT$4&gt;核心参数输入!$B$9*4-核心参数输入!$B$112)),0),0)</f>
        <v>0</v>
      </c>
      <c r="CV184" s="9">
        <f>IF(96&lt;=核心参数输入!$B$9*4,IF(96=核心参数输入!$B$9*4,SUMPRODUCT(季度经营税费!$D$146:$DT$146+季度经营税费!$D$150:$DT$150,--(季度经营税费!$D$4:$DT$4&gt;核心参数输入!$B$9*4-核心参数输入!$B$112)),0),0)</f>
        <v>0</v>
      </c>
      <c r="CW184" s="9">
        <f>IF(97&lt;=核心参数输入!$B$9*4,IF(97=核心参数输入!$B$9*4,SUMPRODUCT(季度经营税费!$D$146:$DT$146+季度经营税费!$D$150:$DT$150,--(季度经营税费!$D$4:$DT$4&gt;核心参数输入!$B$9*4-核心参数输入!$B$112)),0),0)</f>
        <v>0</v>
      </c>
      <c r="CX184" s="9">
        <f>IF(98&lt;=核心参数输入!$B$9*4,IF(98=核心参数输入!$B$9*4,SUMPRODUCT(季度经营税费!$D$146:$DT$146+季度经营税费!$D$150:$DT$150,--(季度经营税费!$D$4:$DT$4&gt;核心参数输入!$B$9*4-核心参数输入!$B$112)),0),0)</f>
        <v>0</v>
      </c>
      <c r="CY184" s="9">
        <f>IF(99&lt;=核心参数输入!$B$9*4,IF(99=核心参数输入!$B$9*4,SUMPRODUCT(季度经营税费!$D$146:$DT$146+季度经营税费!$D$150:$DT$150,--(季度经营税费!$D$4:$DT$4&gt;核心参数输入!$B$9*4-核心参数输入!$B$112)),0),0)</f>
        <v>0</v>
      </c>
      <c r="CZ184" s="9">
        <f>IF(100&lt;=核心参数输入!$B$9*4,IF(100=核心参数输入!$B$9*4,SUMPRODUCT(季度经营税费!$D$146:$DT$146+季度经营税费!$D$150:$DT$150,--(季度经营税费!$D$4:$DT$4&gt;核心参数输入!$B$9*4-核心参数输入!$B$112)),0),0)</f>
        <v>0</v>
      </c>
      <c r="DA184" s="9">
        <f>IF(101&lt;=核心参数输入!$B$9*4,IF(101=核心参数输入!$B$9*4,SUMPRODUCT(季度经营税费!$D$146:$DT$146+季度经营税费!$D$150:$DT$150,--(季度经营税费!$D$4:$DT$4&gt;核心参数输入!$B$9*4-核心参数输入!$B$112)),0),0)</f>
        <v>0</v>
      </c>
      <c r="DB184" s="9">
        <f>IF(102&lt;=核心参数输入!$B$9*4,IF(102=核心参数输入!$B$9*4,SUMPRODUCT(季度经营税费!$D$146:$DT$146+季度经营税费!$D$150:$DT$150,--(季度经营税费!$D$4:$DT$4&gt;核心参数输入!$B$9*4-核心参数输入!$B$112)),0),0)</f>
        <v>0</v>
      </c>
      <c r="DC184" s="9">
        <f>IF(103&lt;=核心参数输入!$B$9*4,IF(103=核心参数输入!$B$9*4,SUMPRODUCT(季度经营税费!$D$146:$DT$146+季度经营税费!$D$150:$DT$150,--(季度经营税费!$D$4:$DT$4&gt;核心参数输入!$B$9*4-核心参数输入!$B$112)),0),0)</f>
        <v>0</v>
      </c>
      <c r="DD184" s="9">
        <f>IF(104&lt;=核心参数输入!$B$9*4,IF(104=核心参数输入!$B$9*4,SUMPRODUCT(季度经营税费!$D$146:$DT$146+季度经营税费!$D$150:$DT$150,--(季度经营税费!$D$4:$DT$4&gt;核心参数输入!$B$9*4-核心参数输入!$B$112)),0),0)</f>
        <v>0</v>
      </c>
      <c r="DE184" s="9">
        <f>IF(105&lt;=核心参数输入!$B$9*4,IF(105=核心参数输入!$B$9*4,SUMPRODUCT(季度经营税费!$D$146:$DT$146+季度经营税费!$D$150:$DT$150,--(季度经营税费!$D$4:$DT$4&gt;核心参数输入!$B$9*4-核心参数输入!$B$112)),0),0)</f>
        <v>0</v>
      </c>
      <c r="DF184" s="9">
        <f>IF(106&lt;=核心参数输入!$B$9*4,IF(106=核心参数输入!$B$9*4,SUMPRODUCT(季度经营税费!$D$146:$DT$146+季度经营税费!$D$150:$DT$150,--(季度经营税费!$D$4:$DT$4&gt;核心参数输入!$B$9*4-核心参数输入!$B$112)),0),0)</f>
        <v>0</v>
      </c>
      <c r="DG184" s="9">
        <f>IF(107&lt;=核心参数输入!$B$9*4,IF(107=核心参数输入!$B$9*4,SUMPRODUCT(季度经营税费!$D$146:$DT$146+季度经营税费!$D$150:$DT$150,--(季度经营税费!$D$4:$DT$4&gt;核心参数输入!$B$9*4-核心参数输入!$B$112)),0),0)</f>
        <v>0</v>
      </c>
      <c r="DH184" s="9">
        <f>IF(108&lt;=核心参数输入!$B$9*4,IF(108=核心参数输入!$B$9*4,SUMPRODUCT(季度经营税费!$D$146:$DT$146+季度经营税费!$D$150:$DT$150,--(季度经营税费!$D$4:$DT$4&gt;核心参数输入!$B$9*4-核心参数输入!$B$112)),0),0)</f>
        <v>0</v>
      </c>
      <c r="DI184" s="9">
        <f>IF(109&lt;=核心参数输入!$B$9*4,IF(109=核心参数输入!$B$9*4,SUMPRODUCT(季度经营税费!$D$146:$DT$146+季度经营税费!$D$150:$DT$150,--(季度经营税费!$D$4:$DT$4&gt;核心参数输入!$B$9*4-核心参数输入!$B$112)),0),0)</f>
        <v>0</v>
      </c>
      <c r="DJ184" s="9">
        <f>IF(110&lt;=核心参数输入!$B$9*4,IF(110=核心参数输入!$B$9*4,SUMPRODUCT(季度经营税费!$D$146:$DT$146+季度经营税费!$D$150:$DT$150,--(季度经营税费!$D$4:$DT$4&gt;核心参数输入!$B$9*4-核心参数输入!$B$112)),0),0)</f>
        <v>0</v>
      </c>
      <c r="DK184" s="9">
        <f>IF(111&lt;=核心参数输入!$B$9*4,IF(111=核心参数输入!$B$9*4,SUMPRODUCT(季度经营税费!$D$146:$DT$146+季度经营税费!$D$150:$DT$150,--(季度经营税费!$D$4:$DT$4&gt;核心参数输入!$B$9*4-核心参数输入!$B$112)),0),0)</f>
        <v>0</v>
      </c>
      <c r="DL184" s="9">
        <f>IF(112&lt;=核心参数输入!$B$9*4,IF(112=核心参数输入!$B$9*4,SUMPRODUCT(季度经营税费!$D$146:$DT$146+季度经营税费!$D$150:$DT$150,--(季度经营税费!$D$4:$DT$4&gt;核心参数输入!$B$9*4-核心参数输入!$B$112)),0),0)</f>
        <v>0</v>
      </c>
      <c r="DM184" s="9">
        <f>IF(113&lt;=核心参数输入!$B$9*4,IF(113=核心参数输入!$B$9*4,SUMPRODUCT(季度经营税费!$D$146:$DT$146+季度经营税费!$D$150:$DT$150,--(季度经营税费!$D$4:$DT$4&gt;核心参数输入!$B$9*4-核心参数输入!$B$112)),0),0)</f>
        <v>0</v>
      </c>
      <c r="DN184" s="9">
        <f>IF(114&lt;=核心参数输入!$B$9*4,IF(114=核心参数输入!$B$9*4,SUMPRODUCT(季度经营税费!$D$146:$DT$146+季度经营税费!$D$150:$DT$150,--(季度经营税费!$D$4:$DT$4&gt;核心参数输入!$B$9*4-核心参数输入!$B$112)),0),0)</f>
        <v>0</v>
      </c>
      <c r="DO184" s="9">
        <f>IF(115&lt;=核心参数输入!$B$9*4,IF(115=核心参数输入!$B$9*4,SUMPRODUCT(季度经营税费!$D$146:$DT$146+季度经营税费!$D$150:$DT$150,--(季度经营税费!$D$4:$DT$4&gt;核心参数输入!$B$9*4-核心参数输入!$B$112)),0),0)</f>
        <v>0</v>
      </c>
      <c r="DP184" s="9">
        <f>IF(116&lt;=核心参数输入!$B$9*4,IF(116=核心参数输入!$B$9*4,SUMPRODUCT(季度经营税费!$D$146:$DT$146+季度经营税费!$D$150:$DT$150,--(季度经营税费!$D$4:$DT$4&gt;核心参数输入!$B$9*4-核心参数输入!$B$112)),0),0)</f>
        <v>0</v>
      </c>
      <c r="DQ184" s="9">
        <f>IF(117&lt;=核心参数输入!$B$9*4,IF(117=核心参数输入!$B$9*4,SUMPRODUCT(季度经营税费!$D$146:$DT$146+季度经营税费!$D$150:$DT$150,--(季度经营税费!$D$4:$DT$4&gt;核心参数输入!$B$9*4-核心参数输入!$B$112)),0),0)</f>
        <v>0</v>
      </c>
      <c r="DR184" s="9">
        <f>IF(118&lt;=核心参数输入!$B$9*4,IF(118=核心参数输入!$B$9*4,SUMPRODUCT(季度经营税费!$D$146:$DT$146+季度经营税费!$D$150:$DT$150,--(季度经营税费!$D$4:$DT$4&gt;核心参数输入!$B$9*4-核心参数输入!$B$112)),0),0)</f>
        <v>0</v>
      </c>
      <c r="DS184" s="9">
        <f>IF(119&lt;=核心参数输入!$B$9*4,IF(119=核心参数输入!$B$9*4,SUMPRODUCT(季度经营税费!$D$146:$DT$146+季度经营税费!$D$150:$DT$150,--(季度经营税费!$D$4:$DT$4&gt;核心参数输入!$B$9*4-核心参数输入!$B$112)),0),0)</f>
        <v>0</v>
      </c>
      <c r="DT184" s="9">
        <f>IF(120&lt;=核心参数输入!$B$9*4,IF(120=核心参数输入!$B$9*4,SUMPRODUCT(季度经营税费!$D$146:$DT$146+季度经营税费!$D$150:$DT$150,--(季度经营税费!$D$4:$DT$4&gt;核心参数输入!$B$9*4-核心参数输入!$B$112)),0),0)</f>
        <v>0</v>
      </c>
    </row>
    <row r="185" spans="1:124" ht="21" customHeight="1">
      <c r="A185" s="8" t="s">
        <v>506</v>
      </c>
      <c r="B185" s="8" t="s">
        <v>39</v>
      </c>
      <c r="C185" s="8"/>
      <c r="D185" s="9">
        <f>IF(0&lt;=核心参数输入!$B$9*4,IF(0=核心参数输入!$B$9*4,SUMIFS(年度所得税!$D$165:$AH$165,年度所得税!$D$4:$AH$4,"&gt;"&amp;(核心参数输入!$B$9*4-核心参数输入!$B$111)/4),0),0)</f>
        <v>0</v>
      </c>
      <c r="E185" s="9">
        <f>IF(1&lt;=核心参数输入!$B$9*4,IF(1=核心参数输入!$B$9*4,SUMIFS(年度所得税!$D$165:$AH$165,年度所得税!$D$4:$AH$4,"&gt;"&amp;(核心参数输入!$B$9*4-核心参数输入!$B$111)/4),0),0)</f>
        <v>0</v>
      </c>
      <c r="F185" s="9">
        <f>IF(2&lt;=核心参数输入!$B$9*4,IF(2=核心参数输入!$B$9*4,SUMIFS(年度所得税!$D$165:$AH$165,年度所得税!$D$4:$AH$4,"&gt;"&amp;(核心参数输入!$B$9*4-核心参数输入!$B$111)/4),0),0)</f>
        <v>0</v>
      </c>
      <c r="G185" s="9">
        <f>IF(3&lt;=核心参数输入!$B$9*4,IF(3=核心参数输入!$B$9*4,SUMIFS(年度所得税!$D$165:$AH$165,年度所得税!$D$4:$AH$4,"&gt;"&amp;(核心参数输入!$B$9*4-核心参数输入!$B$111)/4),0),0)</f>
        <v>0</v>
      </c>
      <c r="H185" s="9">
        <f>IF(4&lt;=核心参数输入!$B$9*4,IF(4=核心参数输入!$B$9*4,SUMIFS(年度所得税!$D$165:$AH$165,年度所得税!$D$4:$AH$4,"&gt;"&amp;(核心参数输入!$B$9*4-核心参数输入!$B$111)/4),0),0)</f>
        <v>0</v>
      </c>
      <c r="I185" s="9">
        <f>IF(5&lt;=核心参数输入!$B$9*4,IF(5=核心参数输入!$B$9*4,SUMIFS(年度所得税!$D$165:$AH$165,年度所得税!$D$4:$AH$4,"&gt;"&amp;(核心参数输入!$B$9*4-核心参数输入!$B$111)/4),0),0)</f>
        <v>0</v>
      </c>
      <c r="J185" s="9">
        <f>IF(6&lt;=核心参数输入!$B$9*4,IF(6=核心参数输入!$B$9*4,SUMIFS(年度所得税!$D$165:$AH$165,年度所得税!$D$4:$AH$4,"&gt;"&amp;(核心参数输入!$B$9*4-核心参数输入!$B$111)/4),0),0)</f>
        <v>0</v>
      </c>
      <c r="K185" s="9">
        <f>IF(7&lt;=核心参数输入!$B$9*4,IF(7=核心参数输入!$B$9*4,SUMIFS(年度所得税!$D$165:$AH$165,年度所得税!$D$4:$AH$4,"&gt;"&amp;(核心参数输入!$B$9*4-核心参数输入!$B$111)/4),0),0)</f>
        <v>0</v>
      </c>
      <c r="L185" s="9">
        <f>IF(8&lt;=核心参数输入!$B$9*4,IF(8=核心参数输入!$B$9*4,SUMIFS(年度所得税!$D$165:$AH$165,年度所得税!$D$4:$AH$4,"&gt;"&amp;(核心参数输入!$B$9*4-核心参数输入!$B$111)/4),0),0)</f>
        <v>0</v>
      </c>
      <c r="M185" s="9">
        <f>IF(9&lt;=核心参数输入!$B$9*4,IF(9=核心参数输入!$B$9*4,SUMIFS(年度所得税!$D$165:$AH$165,年度所得税!$D$4:$AH$4,"&gt;"&amp;(核心参数输入!$B$9*4-核心参数输入!$B$111)/4),0),0)</f>
        <v>0</v>
      </c>
      <c r="N185" s="9">
        <f>IF(10&lt;=核心参数输入!$B$9*4,IF(10=核心参数输入!$B$9*4,SUMIFS(年度所得税!$D$165:$AH$165,年度所得税!$D$4:$AH$4,"&gt;"&amp;(核心参数输入!$B$9*4-核心参数输入!$B$111)/4),0),0)</f>
        <v>0</v>
      </c>
      <c r="O185" s="9">
        <f>IF(11&lt;=核心参数输入!$B$9*4,IF(11=核心参数输入!$B$9*4,SUMIFS(年度所得税!$D$165:$AH$165,年度所得税!$D$4:$AH$4,"&gt;"&amp;(核心参数输入!$B$9*4-核心参数输入!$B$111)/4),0),0)</f>
        <v>0</v>
      </c>
      <c r="P185" s="9">
        <f>IF(12&lt;=核心参数输入!$B$9*4,IF(12=核心参数输入!$B$9*4,SUMIFS(年度所得税!$D$165:$AH$165,年度所得税!$D$4:$AH$4,"&gt;"&amp;(核心参数输入!$B$9*4-核心参数输入!$B$111)/4),0),0)</f>
        <v>0</v>
      </c>
      <c r="Q185" s="9">
        <f>IF(13&lt;=核心参数输入!$B$9*4,IF(13=核心参数输入!$B$9*4,SUMIFS(年度所得税!$D$165:$AH$165,年度所得税!$D$4:$AH$4,"&gt;"&amp;(核心参数输入!$B$9*4-核心参数输入!$B$111)/4),0),0)</f>
        <v>0</v>
      </c>
      <c r="R185" s="9">
        <f>IF(14&lt;=核心参数输入!$B$9*4,IF(14=核心参数输入!$B$9*4,SUMIFS(年度所得税!$D$165:$AH$165,年度所得税!$D$4:$AH$4,"&gt;"&amp;(核心参数输入!$B$9*4-核心参数输入!$B$111)/4),0),0)</f>
        <v>0</v>
      </c>
      <c r="S185" s="9">
        <f>IF(15&lt;=核心参数输入!$B$9*4,IF(15=核心参数输入!$B$9*4,SUMIFS(年度所得税!$D$165:$AH$165,年度所得税!$D$4:$AH$4,"&gt;"&amp;(核心参数输入!$B$9*4-核心参数输入!$B$111)/4),0),0)</f>
        <v>0</v>
      </c>
      <c r="T185" s="9">
        <f>IF(16&lt;=核心参数输入!$B$9*4,IF(16=核心参数输入!$B$9*4,SUMIFS(年度所得税!$D$165:$AH$165,年度所得税!$D$4:$AH$4,"&gt;"&amp;(核心参数输入!$B$9*4-核心参数输入!$B$111)/4),0),0)</f>
        <v>0</v>
      </c>
      <c r="U185" s="9">
        <f>IF(17&lt;=核心参数输入!$B$9*4,IF(17=核心参数输入!$B$9*4,SUMIFS(年度所得税!$D$165:$AH$165,年度所得税!$D$4:$AH$4,"&gt;"&amp;(核心参数输入!$B$9*4-核心参数输入!$B$111)/4),0),0)</f>
        <v>0</v>
      </c>
      <c r="V185" s="9">
        <f>IF(18&lt;=核心参数输入!$B$9*4,IF(18=核心参数输入!$B$9*4,SUMIFS(年度所得税!$D$165:$AH$165,年度所得税!$D$4:$AH$4,"&gt;"&amp;(核心参数输入!$B$9*4-核心参数输入!$B$111)/4),0),0)</f>
        <v>0</v>
      </c>
      <c r="W185" s="9">
        <f>IF(19&lt;=核心参数输入!$B$9*4,IF(19=核心参数输入!$B$9*4,SUMIFS(年度所得税!$D$165:$AH$165,年度所得税!$D$4:$AH$4,"&gt;"&amp;(核心参数输入!$B$9*4-核心参数输入!$B$111)/4),0),0)</f>
        <v>0</v>
      </c>
      <c r="X185" s="9">
        <f>IF(20&lt;=核心参数输入!$B$9*4,IF(20=核心参数输入!$B$9*4,SUMIFS(年度所得税!$D$165:$AH$165,年度所得税!$D$4:$AH$4,"&gt;"&amp;(核心参数输入!$B$9*4-核心参数输入!$B$111)/4),0),0)</f>
        <v>0</v>
      </c>
      <c r="Y185" s="9">
        <f>IF(21&lt;=核心参数输入!$B$9*4,IF(21=核心参数输入!$B$9*4,SUMIFS(年度所得税!$D$165:$AH$165,年度所得税!$D$4:$AH$4,"&gt;"&amp;(核心参数输入!$B$9*4-核心参数输入!$B$111)/4),0),0)</f>
        <v>0</v>
      </c>
      <c r="Z185" s="9">
        <f>IF(22&lt;=核心参数输入!$B$9*4,IF(22=核心参数输入!$B$9*4,SUMIFS(年度所得税!$D$165:$AH$165,年度所得税!$D$4:$AH$4,"&gt;"&amp;(核心参数输入!$B$9*4-核心参数输入!$B$111)/4),0),0)</f>
        <v>0</v>
      </c>
      <c r="AA185" s="9">
        <f>IF(23&lt;=核心参数输入!$B$9*4,IF(23=核心参数输入!$B$9*4,SUMIFS(年度所得税!$D$165:$AH$165,年度所得税!$D$4:$AH$4,"&gt;"&amp;(核心参数输入!$B$9*4-核心参数输入!$B$111)/4),0),0)</f>
        <v>0</v>
      </c>
      <c r="AB185" s="9">
        <f>IF(24&lt;=核心参数输入!$B$9*4,IF(24=核心参数输入!$B$9*4,SUMIFS(年度所得税!$D$165:$AH$165,年度所得税!$D$4:$AH$4,"&gt;"&amp;(核心参数输入!$B$9*4-核心参数输入!$B$111)/4),0),0)</f>
        <v>0</v>
      </c>
      <c r="AC185" s="9">
        <f>IF(25&lt;=核心参数输入!$B$9*4,IF(25=核心参数输入!$B$9*4,SUMIFS(年度所得税!$D$165:$AH$165,年度所得税!$D$4:$AH$4,"&gt;"&amp;(核心参数输入!$B$9*4-核心参数输入!$B$111)/4),0),0)</f>
        <v>0</v>
      </c>
      <c r="AD185" s="9">
        <f>IF(26&lt;=核心参数输入!$B$9*4,IF(26=核心参数输入!$B$9*4,SUMIFS(年度所得税!$D$165:$AH$165,年度所得税!$D$4:$AH$4,"&gt;"&amp;(核心参数输入!$B$9*4-核心参数输入!$B$111)/4),0),0)</f>
        <v>0</v>
      </c>
      <c r="AE185" s="9">
        <f>IF(27&lt;=核心参数输入!$B$9*4,IF(27=核心参数输入!$B$9*4,SUMIFS(年度所得税!$D$165:$AH$165,年度所得税!$D$4:$AH$4,"&gt;"&amp;(核心参数输入!$B$9*4-核心参数输入!$B$111)/4),0),0)</f>
        <v>0</v>
      </c>
      <c r="AF185" s="9">
        <f>IF(28&lt;=核心参数输入!$B$9*4,IF(28=核心参数输入!$B$9*4,SUMIFS(年度所得税!$D$165:$AH$165,年度所得税!$D$4:$AH$4,"&gt;"&amp;(核心参数输入!$B$9*4-核心参数输入!$B$111)/4),0),0)</f>
        <v>0</v>
      </c>
      <c r="AG185" s="9">
        <f>IF(29&lt;=核心参数输入!$B$9*4,IF(29=核心参数输入!$B$9*4,SUMIFS(年度所得税!$D$165:$AH$165,年度所得税!$D$4:$AH$4,"&gt;"&amp;(核心参数输入!$B$9*4-核心参数输入!$B$111)/4),0),0)</f>
        <v>0</v>
      </c>
      <c r="AH185" s="9">
        <f>IF(30&lt;=核心参数输入!$B$9*4,IF(30=核心参数输入!$B$9*4,SUMIFS(年度所得税!$D$165:$AH$165,年度所得税!$D$4:$AH$4,"&gt;"&amp;(核心参数输入!$B$9*4-核心参数输入!$B$111)/4),0),0)</f>
        <v>0</v>
      </c>
      <c r="AI185" s="9">
        <f>IF(31&lt;=核心参数输入!$B$9*4,IF(31=核心参数输入!$B$9*4,SUMIFS(年度所得税!$D$165:$AH$165,年度所得税!$D$4:$AH$4,"&gt;"&amp;(核心参数输入!$B$9*4-核心参数输入!$B$111)/4),0),0)</f>
        <v>0</v>
      </c>
      <c r="AJ185" s="9">
        <f>IF(32&lt;=核心参数输入!$B$9*4,IF(32=核心参数输入!$B$9*4,SUMIFS(年度所得税!$D$165:$AH$165,年度所得税!$D$4:$AH$4,"&gt;"&amp;(核心参数输入!$B$9*4-核心参数输入!$B$111)/4),0),0)</f>
        <v>0</v>
      </c>
      <c r="AK185" s="9">
        <f>IF(33&lt;=核心参数输入!$B$9*4,IF(33=核心参数输入!$B$9*4,SUMIFS(年度所得税!$D$165:$AH$165,年度所得税!$D$4:$AH$4,"&gt;"&amp;(核心参数输入!$B$9*4-核心参数输入!$B$111)/4),0),0)</f>
        <v>0</v>
      </c>
      <c r="AL185" s="9">
        <f>IF(34&lt;=核心参数输入!$B$9*4,IF(34=核心参数输入!$B$9*4,SUMIFS(年度所得税!$D$165:$AH$165,年度所得税!$D$4:$AH$4,"&gt;"&amp;(核心参数输入!$B$9*4-核心参数输入!$B$111)/4),0),0)</f>
        <v>0</v>
      </c>
      <c r="AM185" s="9">
        <f>IF(35&lt;=核心参数输入!$B$9*4,IF(35=核心参数输入!$B$9*4,SUMIFS(年度所得税!$D$165:$AH$165,年度所得税!$D$4:$AH$4,"&gt;"&amp;(核心参数输入!$B$9*4-核心参数输入!$B$111)/4),0),0)</f>
        <v>0</v>
      </c>
      <c r="AN185" s="9">
        <f>IF(36&lt;=核心参数输入!$B$9*4,IF(36=核心参数输入!$B$9*4,SUMIFS(年度所得税!$D$165:$AH$165,年度所得税!$D$4:$AH$4,"&gt;"&amp;(核心参数输入!$B$9*4-核心参数输入!$B$111)/4),0),0)</f>
        <v>0</v>
      </c>
      <c r="AO185" s="9">
        <f>IF(37&lt;=核心参数输入!$B$9*4,IF(37=核心参数输入!$B$9*4,SUMIFS(年度所得税!$D$165:$AH$165,年度所得税!$D$4:$AH$4,"&gt;"&amp;(核心参数输入!$B$9*4-核心参数输入!$B$111)/4),0),0)</f>
        <v>0</v>
      </c>
      <c r="AP185" s="9">
        <f>IF(38&lt;=核心参数输入!$B$9*4,IF(38=核心参数输入!$B$9*4,SUMIFS(年度所得税!$D$165:$AH$165,年度所得税!$D$4:$AH$4,"&gt;"&amp;(核心参数输入!$B$9*4-核心参数输入!$B$111)/4),0),0)</f>
        <v>0</v>
      </c>
      <c r="AQ185" s="9">
        <f>IF(39&lt;=核心参数输入!$B$9*4,IF(39=核心参数输入!$B$9*4,SUMIFS(年度所得税!$D$165:$AH$165,年度所得税!$D$4:$AH$4,"&gt;"&amp;(核心参数输入!$B$9*4-核心参数输入!$B$111)/4),0),0)</f>
        <v>0</v>
      </c>
      <c r="AR185" s="9">
        <f>IF(40&lt;=核心参数输入!$B$9*4,IF(40=核心参数输入!$B$9*4,SUMIFS(年度所得税!$D$165:$AH$165,年度所得税!$D$4:$AH$4,"&gt;"&amp;(核心参数输入!$B$9*4-核心参数输入!$B$111)/4),0),0)</f>
        <v>0</v>
      </c>
      <c r="AS185" s="9">
        <f>IF(41&lt;=核心参数输入!$B$9*4,IF(41=核心参数输入!$B$9*4,SUMIFS(年度所得税!$D$165:$AH$165,年度所得税!$D$4:$AH$4,"&gt;"&amp;(核心参数输入!$B$9*4-核心参数输入!$B$111)/4),0),0)</f>
        <v>0</v>
      </c>
      <c r="AT185" s="9">
        <f>IF(42&lt;=核心参数输入!$B$9*4,IF(42=核心参数输入!$B$9*4,SUMIFS(年度所得税!$D$165:$AH$165,年度所得税!$D$4:$AH$4,"&gt;"&amp;(核心参数输入!$B$9*4-核心参数输入!$B$111)/4),0),0)</f>
        <v>0</v>
      </c>
      <c r="AU185" s="9">
        <f>IF(43&lt;=核心参数输入!$B$9*4,IF(43=核心参数输入!$B$9*4,SUMIFS(年度所得税!$D$165:$AH$165,年度所得税!$D$4:$AH$4,"&gt;"&amp;(核心参数输入!$B$9*4-核心参数输入!$B$111)/4),0),0)</f>
        <v>0</v>
      </c>
      <c r="AV185" s="9">
        <f>IF(44&lt;=核心参数输入!$B$9*4,IF(44=核心参数输入!$B$9*4,SUMIFS(年度所得税!$D$165:$AH$165,年度所得税!$D$4:$AH$4,"&gt;"&amp;(核心参数输入!$B$9*4-核心参数输入!$B$111)/4),0),0)</f>
        <v>0</v>
      </c>
      <c r="AW185" s="9">
        <f>IF(45&lt;=核心参数输入!$B$9*4,IF(45=核心参数输入!$B$9*4,SUMIFS(年度所得税!$D$165:$AH$165,年度所得税!$D$4:$AH$4,"&gt;"&amp;(核心参数输入!$B$9*4-核心参数输入!$B$111)/4),0),0)</f>
        <v>0</v>
      </c>
      <c r="AX185" s="9">
        <f>IF(46&lt;=核心参数输入!$B$9*4,IF(46=核心参数输入!$B$9*4,SUMIFS(年度所得税!$D$165:$AH$165,年度所得税!$D$4:$AH$4,"&gt;"&amp;(核心参数输入!$B$9*4-核心参数输入!$B$111)/4),0),0)</f>
        <v>0</v>
      </c>
      <c r="AY185" s="9">
        <f>IF(47&lt;=核心参数输入!$B$9*4,IF(47=核心参数输入!$B$9*4,SUMIFS(年度所得税!$D$165:$AH$165,年度所得税!$D$4:$AH$4,"&gt;"&amp;(核心参数输入!$B$9*4-核心参数输入!$B$111)/4),0),0)</f>
        <v>0</v>
      </c>
      <c r="AZ185" s="9">
        <f>IF(48&lt;=核心参数输入!$B$9*4,IF(48=核心参数输入!$B$9*4,SUMIFS(年度所得税!$D$165:$AH$165,年度所得税!$D$4:$AH$4,"&gt;"&amp;(核心参数输入!$B$9*4-核心参数输入!$B$111)/4),0),0)</f>
        <v>0</v>
      </c>
      <c r="BA185" s="9">
        <f>IF(49&lt;=核心参数输入!$B$9*4,IF(49=核心参数输入!$B$9*4,SUMIFS(年度所得税!$D$165:$AH$165,年度所得税!$D$4:$AH$4,"&gt;"&amp;(核心参数输入!$B$9*4-核心参数输入!$B$111)/4),0),0)</f>
        <v>0</v>
      </c>
      <c r="BB185" s="9">
        <f>IF(50&lt;=核心参数输入!$B$9*4,IF(50=核心参数输入!$B$9*4,SUMIFS(年度所得税!$D$165:$AH$165,年度所得税!$D$4:$AH$4,"&gt;"&amp;(核心参数输入!$B$9*4-核心参数输入!$B$111)/4),0),0)</f>
        <v>0</v>
      </c>
      <c r="BC185" s="9">
        <f>IF(51&lt;=核心参数输入!$B$9*4,IF(51=核心参数输入!$B$9*4,SUMIFS(年度所得税!$D$165:$AH$165,年度所得税!$D$4:$AH$4,"&gt;"&amp;(核心参数输入!$B$9*4-核心参数输入!$B$111)/4),0),0)</f>
        <v>0</v>
      </c>
      <c r="BD185" s="9">
        <f>IF(52&lt;=核心参数输入!$B$9*4,IF(52=核心参数输入!$B$9*4,SUMIFS(年度所得税!$D$165:$AH$165,年度所得税!$D$4:$AH$4,"&gt;"&amp;(核心参数输入!$B$9*4-核心参数输入!$B$111)/4),0),0)</f>
        <v>0</v>
      </c>
      <c r="BE185" s="9">
        <f>IF(53&lt;=核心参数输入!$B$9*4,IF(53=核心参数输入!$B$9*4,SUMIFS(年度所得税!$D$165:$AH$165,年度所得税!$D$4:$AH$4,"&gt;"&amp;(核心参数输入!$B$9*4-核心参数输入!$B$111)/4),0),0)</f>
        <v>0</v>
      </c>
      <c r="BF185" s="9">
        <f>IF(54&lt;=核心参数输入!$B$9*4,IF(54=核心参数输入!$B$9*4,SUMIFS(年度所得税!$D$165:$AH$165,年度所得税!$D$4:$AH$4,"&gt;"&amp;(核心参数输入!$B$9*4-核心参数输入!$B$111)/4),0),0)</f>
        <v>0</v>
      </c>
      <c r="BG185" s="9">
        <f>IF(55&lt;=核心参数输入!$B$9*4,IF(55=核心参数输入!$B$9*4,SUMIFS(年度所得税!$D$165:$AH$165,年度所得税!$D$4:$AH$4,"&gt;"&amp;(核心参数输入!$B$9*4-核心参数输入!$B$111)/4),0),0)</f>
        <v>0</v>
      </c>
      <c r="BH185" s="9">
        <f>IF(56&lt;=核心参数输入!$B$9*4,IF(56=核心参数输入!$B$9*4,SUMIFS(年度所得税!$D$165:$AH$165,年度所得税!$D$4:$AH$4,"&gt;"&amp;(核心参数输入!$B$9*4-核心参数输入!$B$111)/4),0),0)</f>
        <v>0</v>
      </c>
      <c r="BI185" s="9">
        <f>IF(57&lt;=核心参数输入!$B$9*4,IF(57=核心参数输入!$B$9*4,SUMIFS(年度所得税!$D$165:$AH$165,年度所得税!$D$4:$AH$4,"&gt;"&amp;(核心参数输入!$B$9*4-核心参数输入!$B$111)/4),0),0)</f>
        <v>0</v>
      </c>
      <c r="BJ185" s="9">
        <f>IF(58&lt;=核心参数输入!$B$9*4,IF(58=核心参数输入!$B$9*4,SUMIFS(年度所得税!$D$165:$AH$165,年度所得税!$D$4:$AH$4,"&gt;"&amp;(核心参数输入!$B$9*4-核心参数输入!$B$111)/4),0),0)</f>
        <v>0</v>
      </c>
      <c r="BK185" s="9">
        <f>IF(59&lt;=核心参数输入!$B$9*4,IF(59=核心参数输入!$B$9*4,SUMIFS(年度所得税!$D$165:$AH$165,年度所得税!$D$4:$AH$4,"&gt;"&amp;(核心参数输入!$B$9*4-核心参数输入!$B$111)/4),0),0)</f>
        <v>0</v>
      </c>
      <c r="BL185" s="9">
        <f>IF(60&lt;=核心参数输入!$B$9*4,IF(60=核心参数输入!$B$9*4,SUMIFS(年度所得税!$D$165:$AH$165,年度所得税!$D$4:$AH$4,"&gt;"&amp;(核心参数输入!$B$9*4-核心参数输入!$B$111)/4),0),0)</f>
        <v>0</v>
      </c>
      <c r="BM185" s="9">
        <f>IF(61&lt;=核心参数输入!$B$9*4,IF(61=核心参数输入!$B$9*4,SUMIFS(年度所得税!$D$165:$AH$165,年度所得税!$D$4:$AH$4,"&gt;"&amp;(核心参数输入!$B$9*4-核心参数输入!$B$111)/4),0),0)</f>
        <v>0</v>
      </c>
      <c r="BN185" s="9">
        <f>IF(62&lt;=核心参数输入!$B$9*4,IF(62=核心参数输入!$B$9*4,SUMIFS(年度所得税!$D$165:$AH$165,年度所得税!$D$4:$AH$4,"&gt;"&amp;(核心参数输入!$B$9*4-核心参数输入!$B$111)/4),0),0)</f>
        <v>0</v>
      </c>
      <c r="BO185" s="9">
        <f>IF(63&lt;=核心参数输入!$B$9*4,IF(63=核心参数输入!$B$9*4,SUMIFS(年度所得税!$D$165:$AH$165,年度所得税!$D$4:$AH$4,"&gt;"&amp;(核心参数输入!$B$9*4-核心参数输入!$B$111)/4),0),0)</f>
        <v>0</v>
      </c>
      <c r="BP185" s="9">
        <f>IF(64&lt;=核心参数输入!$B$9*4,IF(64=核心参数输入!$B$9*4,SUMIFS(年度所得税!$D$165:$AH$165,年度所得税!$D$4:$AH$4,"&gt;"&amp;(核心参数输入!$B$9*4-核心参数输入!$B$111)/4),0),0)</f>
        <v>0</v>
      </c>
      <c r="BQ185" s="9">
        <f>IF(65&lt;=核心参数输入!$B$9*4,IF(65=核心参数输入!$B$9*4,SUMIFS(年度所得税!$D$165:$AH$165,年度所得税!$D$4:$AH$4,"&gt;"&amp;(核心参数输入!$B$9*4-核心参数输入!$B$111)/4),0),0)</f>
        <v>0</v>
      </c>
      <c r="BR185" s="9">
        <f>IF(66&lt;=核心参数输入!$B$9*4,IF(66=核心参数输入!$B$9*4,SUMIFS(年度所得税!$D$165:$AH$165,年度所得税!$D$4:$AH$4,"&gt;"&amp;(核心参数输入!$B$9*4-核心参数输入!$B$111)/4),0),0)</f>
        <v>0</v>
      </c>
      <c r="BS185" s="9">
        <f>IF(67&lt;=核心参数输入!$B$9*4,IF(67=核心参数输入!$B$9*4,SUMIFS(年度所得税!$D$165:$AH$165,年度所得税!$D$4:$AH$4,"&gt;"&amp;(核心参数输入!$B$9*4-核心参数输入!$B$111)/4),0),0)</f>
        <v>0</v>
      </c>
      <c r="BT185" s="9">
        <f>IF(68&lt;=核心参数输入!$B$9*4,IF(68=核心参数输入!$B$9*4,SUMIFS(年度所得税!$D$165:$AH$165,年度所得税!$D$4:$AH$4,"&gt;"&amp;(核心参数输入!$B$9*4-核心参数输入!$B$111)/4),0),0)</f>
        <v>0</v>
      </c>
      <c r="BU185" s="9">
        <f>IF(69&lt;=核心参数输入!$B$9*4,IF(69=核心参数输入!$B$9*4,SUMIFS(年度所得税!$D$165:$AH$165,年度所得税!$D$4:$AH$4,"&gt;"&amp;(核心参数输入!$B$9*4-核心参数输入!$B$111)/4),0),0)</f>
        <v>0</v>
      </c>
      <c r="BV185" s="9">
        <f>IF(70&lt;=核心参数输入!$B$9*4,IF(70=核心参数输入!$B$9*4,SUMIFS(年度所得税!$D$165:$AH$165,年度所得税!$D$4:$AH$4,"&gt;"&amp;(核心参数输入!$B$9*4-核心参数输入!$B$111)/4),0),0)</f>
        <v>0</v>
      </c>
      <c r="BW185" s="9">
        <f>IF(71&lt;=核心参数输入!$B$9*4,IF(71=核心参数输入!$B$9*4,SUMIFS(年度所得税!$D$165:$AH$165,年度所得税!$D$4:$AH$4,"&gt;"&amp;(核心参数输入!$B$9*4-核心参数输入!$B$111)/4),0),0)</f>
        <v>0</v>
      </c>
      <c r="BX185" s="9">
        <f>IF(72&lt;=核心参数输入!$B$9*4,IF(72=核心参数输入!$B$9*4,SUMIFS(年度所得税!$D$165:$AH$165,年度所得税!$D$4:$AH$4,"&gt;"&amp;(核心参数输入!$B$9*4-核心参数输入!$B$111)/4),0),0)</f>
        <v>0</v>
      </c>
      <c r="BY185" s="9">
        <f>IF(73&lt;=核心参数输入!$B$9*4,IF(73=核心参数输入!$B$9*4,SUMIFS(年度所得税!$D$165:$AH$165,年度所得税!$D$4:$AH$4,"&gt;"&amp;(核心参数输入!$B$9*4-核心参数输入!$B$111)/4),0),0)</f>
        <v>0</v>
      </c>
      <c r="BZ185" s="9">
        <f>IF(74&lt;=核心参数输入!$B$9*4,IF(74=核心参数输入!$B$9*4,SUMIFS(年度所得税!$D$165:$AH$165,年度所得税!$D$4:$AH$4,"&gt;"&amp;(核心参数输入!$B$9*4-核心参数输入!$B$111)/4),0),0)</f>
        <v>0</v>
      </c>
      <c r="CA185" s="9">
        <f>IF(75&lt;=核心参数输入!$B$9*4,IF(75=核心参数输入!$B$9*4,SUMIFS(年度所得税!$D$165:$AH$165,年度所得税!$D$4:$AH$4,"&gt;"&amp;(核心参数输入!$B$9*4-核心参数输入!$B$111)/4),0),0)</f>
        <v>0</v>
      </c>
      <c r="CB185" s="9">
        <f>IF(76&lt;=核心参数输入!$B$9*4,IF(76=核心参数输入!$B$9*4,SUMIFS(年度所得税!$D$165:$AH$165,年度所得税!$D$4:$AH$4,"&gt;"&amp;(核心参数输入!$B$9*4-核心参数输入!$B$111)/4),0),0)</f>
        <v>0</v>
      </c>
      <c r="CC185" s="9">
        <f>IF(77&lt;=核心参数输入!$B$9*4,IF(77=核心参数输入!$B$9*4,SUMIFS(年度所得税!$D$165:$AH$165,年度所得税!$D$4:$AH$4,"&gt;"&amp;(核心参数输入!$B$9*4-核心参数输入!$B$111)/4),0),0)</f>
        <v>0</v>
      </c>
      <c r="CD185" s="9">
        <f>IF(78&lt;=核心参数输入!$B$9*4,IF(78=核心参数输入!$B$9*4,SUMIFS(年度所得税!$D$165:$AH$165,年度所得税!$D$4:$AH$4,"&gt;"&amp;(核心参数输入!$B$9*4-核心参数输入!$B$111)/4),0),0)</f>
        <v>0</v>
      </c>
      <c r="CE185" s="9">
        <f>IF(79&lt;=核心参数输入!$B$9*4,IF(79=核心参数输入!$B$9*4,SUMIFS(年度所得税!$D$165:$AH$165,年度所得税!$D$4:$AH$4,"&gt;"&amp;(核心参数输入!$B$9*4-核心参数输入!$B$111)/4),0),0)</f>
        <v>0</v>
      </c>
      <c r="CF185" s="9">
        <f>IF(80&lt;=核心参数输入!$B$9*4,IF(80=核心参数输入!$B$9*4,SUMIFS(年度所得税!$D$165:$AH$165,年度所得税!$D$4:$AH$4,"&gt;"&amp;(核心参数输入!$B$9*4-核心参数输入!$B$111)/4),0),0)</f>
        <v>0</v>
      </c>
      <c r="CG185" s="9">
        <f>IF(81&lt;=核心参数输入!$B$9*4,IF(81=核心参数输入!$B$9*4,SUMIFS(年度所得税!$D$165:$AH$165,年度所得税!$D$4:$AH$4,"&gt;"&amp;(核心参数输入!$B$9*4-核心参数输入!$B$111)/4),0),0)</f>
        <v>0</v>
      </c>
      <c r="CH185" s="9">
        <f>IF(82&lt;=核心参数输入!$B$9*4,IF(82=核心参数输入!$B$9*4,SUMIFS(年度所得税!$D$165:$AH$165,年度所得税!$D$4:$AH$4,"&gt;"&amp;(核心参数输入!$B$9*4-核心参数输入!$B$111)/4),0),0)</f>
        <v>0</v>
      </c>
      <c r="CI185" s="9">
        <f>IF(83&lt;=核心参数输入!$B$9*4,IF(83=核心参数输入!$B$9*4,SUMIFS(年度所得税!$D$165:$AH$165,年度所得税!$D$4:$AH$4,"&gt;"&amp;(核心参数输入!$B$9*4-核心参数输入!$B$111)/4),0),0)</f>
        <v>0</v>
      </c>
      <c r="CJ185" s="9">
        <f>IF(84&lt;=核心参数输入!$B$9*4,IF(84=核心参数输入!$B$9*4,SUMIFS(年度所得税!$D$165:$AH$165,年度所得税!$D$4:$AH$4,"&gt;"&amp;(核心参数输入!$B$9*4-核心参数输入!$B$111)/4),0),0)</f>
        <v>0</v>
      </c>
      <c r="CK185" s="9">
        <f>IF(85&lt;=核心参数输入!$B$9*4,IF(85=核心参数输入!$B$9*4,SUMIFS(年度所得税!$D$165:$AH$165,年度所得税!$D$4:$AH$4,"&gt;"&amp;(核心参数输入!$B$9*4-核心参数输入!$B$111)/4),0),0)</f>
        <v>0</v>
      </c>
      <c r="CL185" s="9">
        <f>IF(86&lt;=核心参数输入!$B$9*4,IF(86=核心参数输入!$B$9*4,SUMIFS(年度所得税!$D$165:$AH$165,年度所得税!$D$4:$AH$4,"&gt;"&amp;(核心参数输入!$B$9*4-核心参数输入!$B$111)/4),0),0)</f>
        <v>0</v>
      </c>
      <c r="CM185" s="9">
        <f>IF(87&lt;=核心参数输入!$B$9*4,IF(87=核心参数输入!$B$9*4,SUMIFS(年度所得税!$D$165:$AH$165,年度所得税!$D$4:$AH$4,"&gt;"&amp;(核心参数输入!$B$9*4-核心参数输入!$B$111)/4),0),0)</f>
        <v>0</v>
      </c>
      <c r="CN185" s="9">
        <f>IF(88&lt;=核心参数输入!$B$9*4,IF(88=核心参数输入!$B$9*4,SUMIFS(年度所得税!$D$165:$AH$165,年度所得税!$D$4:$AH$4,"&gt;"&amp;(核心参数输入!$B$9*4-核心参数输入!$B$111)/4),0),0)</f>
        <v>0</v>
      </c>
      <c r="CO185" s="9">
        <f>IF(89&lt;=核心参数输入!$B$9*4,IF(89=核心参数输入!$B$9*4,SUMIFS(年度所得税!$D$165:$AH$165,年度所得税!$D$4:$AH$4,"&gt;"&amp;(核心参数输入!$B$9*4-核心参数输入!$B$111)/4),0),0)</f>
        <v>0</v>
      </c>
      <c r="CP185" s="9">
        <f>IF(90&lt;=核心参数输入!$B$9*4,IF(90=核心参数输入!$B$9*4,SUMIFS(年度所得税!$D$165:$AH$165,年度所得税!$D$4:$AH$4,"&gt;"&amp;(核心参数输入!$B$9*4-核心参数输入!$B$111)/4),0),0)</f>
        <v>0</v>
      </c>
      <c r="CQ185" s="9">
        <f>IF(91&lt;=核心参数输入!$B$9*4,IF(91=核心参数输入!$B$9*4,SUMIFS(年度所得税!$D$165:$AH$165,年度所得税!$D$4:$AH$4,"&gt;"&amp;(核心参数输入!$B$9*4-核心参数输入!$B$111)/4),0),0)</f>
        <v>0</v>
      </c>
      <c r="CR185" s="9">
        <f>IF(92&lt;=核心参数输入!$B$9*4,IF(92=核心参数输入!$B$9*4,SUMIFS(年度所得税!$D$165:$AH$165,年度所得税!$D$4:$AH$4,"&gt;"&amp;(核心参数输入!$B$9*4-核心参数输入!$B$111)/4),0),0)</f>
        <v>0</v>
      </c>
      <c r="CS185" s="9">
        <f>IF(93&lt;=核心参数输入!$B$9*4,IF(93=核心参数输入!$B$9*4,SUMIFS(年度所得税!$D$165:$AH$165,年度所得税!$D$4:$AH$4,"&gt;"&amp;(核心参数输入!$B$9*4-核心参数输入!$B$111)/4),0),0)</f>
        <v>0</v>
      </c>
      <c r="CT185" s="9">
        <f>IF(94&lt;=核心参数输入!$B$9*4,IF(94=核心参数输入!$B$9*4,SUMIFS(年度所得税!$D$165:$AH$165,年度所得税!$D$4:$AH$4,"&gt;"&amp;(核心参数输入!$B$9*4-核心参数输入!$B$111)/4),0),0)</f>
        <v>0</v>
      </c>
      <c r="CU185" s="9">
        <f>IF(95&lt;=核心参数输入!$B$9*4,IF(95=核心参数输入!$B$9*4,SUMIFS(年度所得税!$D$165:$AH$165,年度所得税!$D$4:$AH$4,"&gt;"&amp;(核心参数输入!$B$9*4-核心参数输入!$B$111)/4),0),0)</f>
        <v>0</v>
      </c>
      <c r="CV185" s="9">
        <f>IF(96&lt;=核心参数输入!$B$9*4,IF(96=核心参数输入!$B$9*4,SUMIFS(年度所得税!$D$165:$AH$165,年度所得税!$D$4:$AH$4,"&gt;"&amp;(核心参数输入!$B$9*4-核心参数输入!$B$111)/4),0),0)</f>
        <v>0</v>
      </c>
      <c r="CW185" s="9">
        <f>IF(97&lt;=核心参数输入!$B$9*4,IF(97=核心参数输入!$B$9*4,SUMIFS(年度所得税!$D$165:$AH$165,年度所得税!$D$4:$AH$4,"&gt;"&amp;(核心参数输入!$B$9*4-核心参数输入!$B$111)/4),0),0)</f>
        <v>0</v>
      </c>
      <c r="CX185" s="9">
        <f>IF(98&lt;=核心参数输入!$B$9*4,IF(98=核心参数输入!$B$9*4,SUMIFS(年度所得税!$D$165:$AH$165,年度所得税!$D$4:$AH$4,"&gt;"&amp;(核心参数输入!$B$9*4-核心参数输入!$B$111)/4),0),0)</f>
        <v>0</v>
      </c>
      <c r="CY185" s="9">
        <f>IF(99&lt;=核心参数输入!$B$9*4,IF(99=核心参数输入!$B$9*4,SUMIFS(年度所得税!$D$165:$AH$165,年度所得税!$D$4:$AH$4,"&gt;"&amp;(核心参数输入!$B$9*4-核心参数输入!$B$111)/4),0),0)</f>
        <v>0</v>
      </c>
      <c r="CZ185" s="9">
        <f>IF(100&lt;=核心参数输入!$B$9*4,IF(100=核心参数输入!$B$9*4,SUMIFS(年度所得税!$D$165:$AH$165,年度所得税!$D$4:$AH$4,"&gt;"&amp;(核心参数输入!$B$9*4-核心参数输入!$B$111)/4),0),0)</f>
        <v>0</v>
      </c>
      <c r="DA185" s="9">
        <f>IF(101&lt;=核心参数输入!$B$9*4,IF(101=核心参数输入!$B$9*4,SUMIFS(年度所得税!$D$165:$AH$165,年度所得税!$D$4:$AH$4,"&gt;"&amp;(核心参数输入!$B$9*4-核心参数输入!$B$111)/4),0),0)</f>
        <v>0</v>
      </c>
      <c r="DB185" s="9">
        <f>IF(102&lt;=核心参数输入!$B$9*4,IF(102=核心参数输入!$B$9*4,SUMIFS(年度所得税!$D$165:$AH$165,年度所得税!$D$4:$AH$4,"&gt;"&amp;(核心参数输入!$B$9*4-核心参数输入!$B$111)/4),0),0)</f>
        <v>0</v>
      </c>
      <c r="DC185" s="9">
        <f>IF(103&lt;=核心参数输入!$B$9*4,IF(103=核心参数输入!$B$9*4,SUMIFS(年度所得税!$D$165:$AH$165,年度所得税!$D$4:$AH$4,"&gt;"&amp;(核心参数输入!$B$9*4-核心参数输入!$B$111)/4),0),0)</f>
        <v>0</v>
      </c>
      <c r="DD185" s="9">
        <f>IF(104&lt;=核心参数输入!$B$9*4,IF(104=核心参数输入!$B$9*4,SUMIFS(年度所得税!$D$165:$AH$165,年度所得税!$D$4:$AH$4,"&gt;"&amp;(核心参数输入!$B$9*4-核心参数输入!$B$111)/4),0),0)</f>
        <v>0</v>
      </c>
      <c r="DE185" s="9">
        <f>IF(105&lt;=核心参数输入!$B$9*4,IF(105=核心参数输入!$B$9*4,SUMIFS(年度所得税!$D$165:$AH$165,年度所得税!$D$4:$AH$4,"&gt;"&amp;(核心参数输入!$B$9*4-核心参数输入!$B$111)/4),0),0)</f>
        <v>0</v>
      </c>
      <c r="DF185" s="9">
        <f>IF(106&lt;=核心参数输入!$B$9*4,IF(106=核心参数输入!$B$9*4,SUMIFS(年度所得税!$D$165:$AH$165,年度所得税!$D$4:$AH$4,"&gt;"&amp;(核心参数输入!$B$9*4-核心参数输入!$B$111)/4),0),0)</f>
        <v>0</v>
      </c>
      <c r="DG185" s="9">
        <f>IF(107&lt;=核心参数输入!$B$9*4,IF(107=核心参数输入!$B$9*4,SUMIFS(年度所得税!$D$165:$AH$165,年度所得税!$D$4:$AH$4,"&gt;"&amp;(核心参数输入!$B$9*4-核心参数输入!$B$111)/4),0),0)</f>
        <v>0</v>
      </c>
      <c r="DH185" s="9">
        <f>IF(108&lt;=核心参数输入!$B$9*4,IF(108=核心参数输入!$B$9*4,SUMIFS(年度所得税!$D$165:$AH$165,年度所得税!$D$4:$AH$4,"&gt;"&amp;(核心参数输入!$B$9*4-核心参数输入!$B$111)/4),0),0)</f>
        <v>0</v>
      </c>
      <c r="DI185" s="9">
        <f>IF(109&lt;=核心参数输入!$B$9*4,IF(109=核心参数输入!$B$9*4,SUMIFS(年度所得税!$D$165:$AH$165,年度所得税!$D$4:$AH$4,"&gt;"&amp;(核心参数输入!$B$9*4-核心参数输入!$B$111)/4),0),0)</f>
        <v>0</v>
      </c>
      <c r="DJ185" s="9">
        <f>IF(110&lt;=核心参数输入!$B$9*4,IF(110=核心参数输入!$B$9*4,SUMIFS(年度所得税!$D$165:$AH$165,年度所得税!$D$4:$AH$4,"&gt;"&amp;(核心参数输入!$B$9*4-核心参数输入!$B$111)/4),0),0)</f>
        <v>0</v>
      </c>
      <c r="DK185" s="9">
        <f>IF(111&lt;=核心参数输入!$B$9*4,IF(111=核心参数输入!$B$9*4,SUMIFS(年度所得税!$D$165:$AH$165,年度所得税!$D$4:$AH$4,"&gt;"&amp;(核心参数输入!$B$9*4-核心参数输入!$B$111)/4),0),0)</f>
        <v>0</v>
      </c>
      <c r="DL185" s="9">
        <f>IF(112&lt;=核心参数输入!$B$9*4,IF(112=核心参数输入!$B$9*4,SUMIFS(年度所得税!$D$165:$AH$165,年度所得税!$D$4:$AH$4,"&gt;"&amp;(核心参数输入!$B$9*4-核心参数输入!$B$111)/4),0),0)</f>
        <v>0</v>
      </c>
      <c r="DM185" s="9">
        <f>IF(113&lt;=核心参数输入!$B$9*4,IF(113=核心参数输入!$B$9*4,SUMIFS(年度所得税!$D$165:$AH$165,年度所得税!$D$4:$AH$4,"&gt;"&amp;(核心参数输入!$B$9*4-核心参数输入!$B$111)/4),0),0)</f>
        <v>0</v>
      </c>
      <c r="DN185" s="9">
        <f>IF(114&lt;=核心参数输入!$B$9*4,IF(114=核心参数输入!$B$9*4,SUMIFS(年度所得税!$D$165:$AH$165,年度所得税!$D$4:$AH$4,"&gt;"&amp;(核心参数输入!$B$9*4-核心参数输入!$B$111)/4),0),0)</f>
        <v>0</v>
      </c>
      <c r="DO185" s="9">
        <f>IF(115&lt;=核心参数输入!$B$9*4,IF(115=核心参数输入!$B$9*4,SUMIFS(年度所得税!$D$165:$AH$165,年度所得税!$D$4:$AH$4,"&gt;"&amp;(核心参数输入!$B$9*4-核心参数输入!$B$111)/4),0),0)</f>
        <v>0</v>
      </c>
      <c r="DP185" s="9">
        <f>IF(116&lt;=核心参数输入!$B$9*4,IF(116=核心参数输入!$B$9*4,SUMIFS(年度所得税!$D$165:$AH$165,年度所得税!$D$4:$AH$4,"&gt;"&amp;(核心参数输入!$B$9*4-核心参数输入!$B$111)/4),0),0)</f>
        <v>0</v>
      </c>
      <c r="DQ185" s="9">
        <f>IF(117&lt;=核心参数输入!$B$9*4,IF(117=核心参数输入!$B$9*4,SUMIFS(年度所得税!$D$165:$AH$165,年度所得税!$D$4:$AH$4,"&gt;"&amp;(核心参数输入!$B$9*4-核心参数输入!$B$111)/4),0),0)</f>
        <v>0</v>
      </c>
      <c r="DR185" s="9">
        <f>IF(118&lt;=核心参数输入!$B$9*4,IF(118=核心参数输入!$B$9*4,SUMIFS(年度所得税!$D$165:$AH$165,年度所得税!$D$4:$AH$4,"&gt;"&amp;(核心参数输入!$B$9*4-核心参数输入!$B$111)/4),0),0)</f>
        <v>0</v>
      </c>
      <c r="DS185" s="9">
        <f>IF(119&lt;=核心参数输入!$B$9*4,IF(119=核心参数输入!$B$9*4,SUMIFS(年度所得税!$D$165:$AH$165,年度所得税!$D$4:$AH$4,"&gt;"&amp;(核心参数输入!$B$9*4-核心参数输入!$B$111)/4),0),0)</f>
        <v>0</v>
      </c>
      <c r="DT185" s="9">
        <f>IF(120&lt;=核心参数输入!$B$9*4,IF(120=核心参数输入!$B$9*4,SUMIFS(年度所得税!$D$165:$AH$165,年度所得税!$D$4:$AH$4,"&gt;"&amp;(核心参数输入!$B$9*4-核心参数输入!$B$111)/4),0),0)</f>
        <v>0</v>
      </c>
    </row>
    <row r="186" spans="1:124" ht="21" customHeight="1">
      <c r="A186" s="8" t="s">
        <v>507</v>
      </c>
      <c r="B186" s="8" t="s">
        <v>39</v>
      </c>
      <c r="C186" s="8"/>
      <c r="D186" s="9">
        <f>IF(0&lt;=核心参数输入!$B$9*4,IF(0=核心参数输入!$B$9*4,SUMIFS(年度所得税!$D$240:$AH$240,年度所得税!$D$4:$AH$4,"&gt;"&amp;(核心参数输入!$B$9*4-核心参数输入!$B$111)/4),0),0)</f>
        <v>0</v>
      </c>
      <c r="E186" s="9">
        <f>IF(1&lt;=核心参数输入!$B$9*4,IF(1=核心参数输入!$B$9*4,SUMIFS(年度所得税!$D$240:$AH$240,年度所得税!$D$4:$AH$4,"&gt;"&amp;(核心参数输入!$B$9*4-核心参数输入!$B$111)/4),0),0)</f>
        <v>0</v>
      </c>
      <c r="F186" s="9">
        <f>IF(2&lt;=核心参数输入!$B$9*4,IF(2=核心参数输入!$B$9*4,SUMIFS(年度所得税!$D$240:$AH$240,年度所得税!$D$4:$AH$4,"&gt;"&amp;(核心参数输入!$B$9*4-核心参数输入!$B$111)/4),0),0)</f>
        <v>0</v>
      </c>
      <c r="G186" s="9">
        <f>IF(3&lt;=核心参数输入!$B$9*4,IF(3=核心参数输入!$B$9*4,SUMIFS(年度所得税!$D$240:$AH$240,年度所得税!$D$4:$AH$4,"&gt;"&amp;(核心参数输入!$B$9*4-核心参数输入!$B$111)/4),0),0)</f>
        <v>0</v>
      </c>
      <c r="H186" s="9">
        <f>IF(4&lt;=核心参数输入!$B$9*4,IF(4=核心参数输入!$B$9*4,SUMIFS(年度所得税!$D$240:$AH$240,年度所得税!$D$4:$AH$4,"&gt;"&amp;(核心参数输入!$B$9*4-核心参数输入!$B$111)/4),0),0)</f>
        <v>0</v>
      </c>
      <c r="I186" s="9">
        <f>IF(5&lt;=核心参数输入!$B$9*4,IF(5=核心参数输入!$B$9*4,SUMIFS(年度所得税!$D$240:$AH$240,年度所得税!$D$4:$AH$4,"&gt;"&amp;(核心参数输入!$B$9*4-核心参数输入!$B$111)/4),0),0)</f>
        <v>0</v>
      </c>
      <c r="J186" s="9">
        <f>IF(6&lt;=核心参数输入!$B$9*4,IF(6=核心参数输入!$B$9*4,SUMIFS(年度所得税!$D$240:$AH$240,年度所得税!$D$4:$AH$4,"&gt;"&amp;(核心参数输入!$B$9*4-核心参数输入!$B$111)/4),0),0)</f>
        <v>0</v>
      </c>
      <c r="K186" s="9">
        <f>IF(7&lt;=核心参数输入!$B$9*4,IF(7=核心参数输入!$B$9*4,SUMIFS(年度所得税!$D$240:$AH$240,年度所得税!$D$4:$AH$4,"&gt;"&amp;(核心参数输入!$B$9*4-核心参数输入!$B$111)/4),0),0)</f>
        <v>0</v>
      </c>
      <c r="L186" s="9">
        <f>IF(8&lt;=核心参数输入!$B$9*4,IF(8=核心参数输入!$B$9*4,SUMIFS(年度所得税!$D$240:$AH$240,年度所得税!$D$4:$AH$4,"&gt;"&amp;(核心参数输入!$B$9*4-核心参数输入!$B$111)/4),0),0)</f>
        <v>0</v>
      </c>
      <c r="M186" s="9">
        <f>IF(9&lt;=核心参数输入!$B$9*4,IF(9=核心参数输入!$B$9*4,SUMIFS(年度所得税!$D$240:$AH$240,年度所得税!$D$4:$AH$4,"&gt;"&amp;(核心参数输入!$B$9*4-核心参数输入!$B$111)/4),0),0)</f>
        <v>0</v>
      </c>
      <c r="N186" s="9">
        <f>IF(10&lt;=核心参数输入!$B$9*4,IF(10=核心参数输入!$B$9*4,SUMIFS(年度所得税!$D$240:$AH$240,年度所得税!$D$4:$AH$4,"&gt;"&amp;(核心参数输入!$B$9*4-核心参数输入!$B$111)/4),0),0)</f>
        <v>0</v>
      </c>
      <c r="O186" s="9">
        <f>IF(11&lt;=核心参数输入!$B$9*4,IF(11=核心参数输入!$B$9*4,SUMIFS(年度所得税!$D$240:$AH$240,年度所得税!$D$4:$AH$4,"&gt;"&amp;(核心参数输入!$B$9*4-核心参数输入!$B$111)/4),0),0)</f>
        <v>0</v>
      </c>
      <c r="P186" s="9">
        <f>IF(12&lt;=核心参数输入!$B$9*4,IF(12=核心参数输入!$B$9*4,SUMIFS(年度所得税!$D$240:$AH$240,年度所得税!$D$4:$AH$4,"&gt;"&amp;(核心参数输入!$B$9*4-核心参数输入!$B$111)/4),0),0)</f>
        <v>0</v>
      </c>
      <c r="Q186" s="9">
        <f>IF(13&lt;=核心参数输入!$B$9*4,IF(13=核心参数输入!$B$9*4,SUMIFS(年度所得税!$D$240:$AH$240,年度所得税!$D$4:$AH$4,"&gt;"&amp;(核心参数输入!$B$9*4-核心参数输入!$B$111)/4),0),0)</f>
        <v>0</v>
      </c>
      <c r="R186" s="9">
        <f>IF(14&lt;=核心参数输入!$B$9*4,IF(14=核心参数输入!$B$9*4,SUMIFS(年度所得税!$D$240:$AH$240,年度所得税!$D$4:$AH$4,"&gt;"&amp;(核心参数输入!$B$9*4-核心参数输入!$B$111)/4),0),0)</f>
        <v>0</v>
      </c>
      <c r="S186" s="9">
        <f>IF(15&lt;=核心参数输入!$B$9*4,IF(15=核心参数输入!$B$9*4,SUMIFS(年度所得税!$D$240:$AH$240,年度所得税!$D$4:$AH$4,"&gt;"&amp;(核心参数输入!$B$9*4-核心参数输入!$B$111)/4),0),0)</f>
        <v>0</v>
      </c>
      <c r="T186" s="9">
        <f>IF(16&lt;=核心参数输入!$B$9*4,IF(16=核心参数输入!$B$9*4,SUMIFS(年度所得税!$D$240:$AH$240,年度所得税!$D$4:$AH$4,"&gt;"&amp;(核心参数输入!$B$9*4-核心参数输入!$B$111)/4),0),0)</f>
        <v>0</v>
      </c>
      <c r="U186" s="9">
        <f>IF(17&lt;=核心参数输入!$B$9*4,IF(17=核心参数输入!$B$9*4,SUMIFS(年度所得税!$D$240:$AH$240,年度所得税!$D$4:$AH$4,"&gt;"&amp;(核心参数输入!$B$9*4-核心参数输入!$B$111)/4),0),0)</f>
        <v>0</v>
      </c>
      <c r="V186" s="9">
        <f>IF(18&lt;=核心参数输入!$B$9*4,IF(18=核心参数输入!$B$9*4,SUMIFS(年度所得税!$D$240:$AH$240,年度所得税!$D$4:$AH$4,"&gt;"&amp;(核心参数输入!$B$9*4-核心参数输入!$B$111)/4),0),0)</f>
        <v>0</v>
      </c>
      <c r="W186" s="9">
        <f>IF(19&lt;=核心参数输入!$B$9*4,IF(19=核心参数输入!$B$9*4,SUMIFS(年度所得税!$D$240:$AH$240,年度所得税!$D$4:$AH$4,"&gt;"&amp;(核心参数输入!$B$9*4-核心参数输入!$B$111)/4),0),0)</f>
        <v>0</v>
      </c>
      <c r="X186" s="9">
        <f>IF(20&lt;=核心参数输入!$B$9*4,IF(20=核心参数输入!$B$9*4,SUMIFS(年度所得税!$D$240:$AH$240,年度所得税!$D$4:$AH$4,"&gt;"&amp;(核心参数输入!$B$9*4-核心参数输入!$B$111)/4),0),0)</f>
        <v>0</v>
      </c>
      <c r="Y186" s="9">
        <f>IF(21&lt;=核心参数输入!$B$9*4,IF(21=核心参数输入!$B$9*4,SUMIFS(年度所得税!$D$240:$AH$240,年度所得税!$D$4:$AH$4,"&gt;"&amp;(核心参数输入!$B$9*4-核心参数输入!$B$111)/4),0),0)</f>
        <v>0</v>
      </c>
      <c r="Z186" s="9">
        <f>IF(22&lt;=核心参数输入!$B$9*4,IF(22=核心参数输入!$B$9*4,SUMIFS(年度所得税!$D$240:$AH$240,年度所得税!$D$4:$AH$4,"&gt;"&amp;(核心参数输入!$B$9*4-核心参数输入!$B$111)/4),0),0)</f>
        <v>0</v>
      </c>
      <c r="AA186" s="9">
        <f>IF(23&lt;=核心参数输入!$B$9*4,IF(23=核心参数输入!$B$9*4,SUMIFS(年度所得税!$D$240:$AH$240,年度所得税!$D$4:$AH$4,"&gt;"&amp;(核心参数输入!$B$9*4-核心参数输入!$B$111)/4),0),0)</f>
        <v>0</v>
      </c>
      <c r="AB186" s="9">
        <f>IF(24&lt;=核心参数输入!$B$9*4,IF(24=核心参数输入!$B$9*4,SUMIFS(年度所得税!$D$240:$AH$240,年度所得税!$D$4:$AH$4,"&gt;"&amp;(核心参数输入!$B$9*4-核心参数输入!$B$111)/4),0),0)</f>
        <v>0</v>
      </c>
      <c r="AC186" s="9">
        <f>IF(25&lt;=核心参数输入!$B$9*4,IF(25=核心参数输入!$B$9*4,SUMIFS(年度所得税!$D$240:$AH$240,年度所得税!$D$4:$AH$4,"&gt;"&amp;(核心参数输入!$B$9*4-核心参数输入!$B$111)/4),0),0)</f>
        <v>0</v>
      </c>
      <c r="AD186" s="9">
        <f>IF(26&lt;=核心参数输入!$B$9*4,IF(26=核心参数输入!$B$9*4,SUMIFS(年度所得税!$D$240:$AH$240,年度所得税!$D$4:$AH$4,"&gt;"&amp;(核心参数输入!$B$9*4-核心参数输入!$B$111)/4),0),0)</f>
        <v>0</v>
      </c>
      <c r="AE186" s="9">
        <f>IF(27&lt;=核心参数输入!$B$9*4,IF(27=核心参数输入!$B$9*4,SUMIFS(年度所得税!$D$240:$AH$240,年度所得税!$D$4:$AH$4,"&gt;"&amp;(核心参数输入!$B$9*4-核心参数输入!$B$111)/4),0),0)</f>
        <v>0</v>
      </c>
      <c r="AF186" s="9">
        <f>IF(28&lt;=核心参数输入!$B$9*4,IF(28=核心参数输入!$B$9*4,SUMIFS(年度所得税!$D$240:$AH$240,年度所得税!$D$4:$AH$4,"&gt;"&amp;(核心参数输入!$B$9*4-核心参数输入!$B$111)/4),0),0)</f>
        <v>0</v>
      </c>
      <c r="AG186" s="9">
        <f>IF(29&lt;=核心参数输入!$B$9*4,IF(29=核心参数输入!$B$9*4,SUMIFS(年度所得税!$D$240:$AH$240,年度所得税!$D$4:$AH$4,"&gt;"&amp;(核心参数输入!$B$9*4-核心参数输入!$B$111)/4),0),0)</f>
        <v>0</v>
      </c>
      <c r="AH186" s="9">
        <f>IF(30&lt;=核心参数输入!$B$9*4,IF(30=核心参数输入!$B$9*4,SUMIFS(年度所得税!$D$240:$AH$240,年度所得税!$D$4:$AH$4,"&gt;"&amp;(核心参数输入!$B$9*4-核心参数输入!$B$111)/4),0),0)</f>
        <v>0</v>
      </c>
      <c r="AI186" s="9">
        <f>IF(31&lt;=核心参数输入!$B$9*4,IF(31=核心参数输入!$B$9*4,SUMIFS(年度所得税!$D$240:$AH$240,年度所得税!$D$4:$AH$4,"&gt;"&amp;(核心参数输入!$B$9*4-核心参数输入!$B$111)/4),0),0)</f>
        <v>0</v>
      </c>
      <c r="AJ186" s="9">
        <f>IF(32&lt;=核心参数输入!$B$9*4,IF(32=核心参数输入!$B$9*4,SUMIFS(年度所得税!$D$240:$AH$240,年度所得税!$D$4:$AH$4,"&gt;"&amp;(核心参数输入!$B$9*4-核心参数输入!$B$111)/4),0),0)</f>
        <v>0</v>
      </c>
      <c r="AK186" s="9">
        <f>IF(33&lt;=核心参数输入!$B$9*4,IF(33=核心参数输入!$B$9*4,SUMIFS(年度所得税!$D$240:$AH$240,年度所得税!$D$4:$AH$4,"&gt;"&amp;(核心参数输入!$B$9*4-核心参数输入!$B$111)/4),0),0)</f>
        <v>0</v>
      </c>
      <c r="AL186" s="9">
        <f>IF(34&lt;=核心参数输入!$B$9*4,IF(34=核心参数输入!$B$9*4,SUMIFS(年度所得税!$D$240:$AH$240,年度所得税!$D$4:$AH$4,"&gt;"&amp;(核心参数输入!$B$9*4-核心参数输入!$B$111)/4),0),0)</f>
        <v>0</v>
      </c>
      <c r="AM186" s="9">
        <f>IF(35&lt;=核心参数输入!$B$9*4,IF(35=核心参数输入!$B$9*4,SUMIFS(年度所得税!$D$240:$AH$240,年度所得税!$D$4:$AH$4,"&gt;"&amp;(核心参数输入!$B$9*4-核心参数输入!$B$111)/4),0),0)</f>
        <v>0</v>
      </c>
      <c r="AN186" s="9">
        <f>IF(36&lt;=核心参数输入!$B$9*4,IF(36=核心参数输入!$B$9*4,SUMIFS(年度所得税!$D$240:$AH$240,年度所得税!$D$4:$AH$4,"&gt;"&amp;(核心参数输入!$B$9*4-核心参数输入!$B$111)/4),0),0)</f>
        <v>0</v>
      </c>
      <c r="AO186" s="9">
        <f>IF(37&lt;=核心参数输入!$B$9*4,IF(37=核心参数输入!$B$9*4,SUMIFS(年度所得税!$D$240:$AH$240,年度所得税!$D$4:$AH$4,"&gt;"&amp;(核心参数输入!$B$9*4-核心参数输入!$B$111)/4),0),0)</f>
        <v>0</v>
      </c>
      <c r="AP186" s="9">
        <f>IF(38&lt;=核心参数输入!$B$9*4,IF(38=核心参数输入!$B$9*4,SUMIFS(年度所得税!$D$240:$AH$240,年度所得税!$D$4:$AH$4,"&gt;"&amp;(核心参数输入!$B$9*4-核心参数输入!$B$111)/4),0),0)</f>
        <v>0</v>
      </c>
      <c r="AQ186" s="9">
        <f>IF(39&lt;=核心参数输入!$B$9*4,IF(39=核心参数输入!$B$9*4,SUMIFS(年度所得税!$D$240:$AH$240,年度所得税!$D$4:$AH$4,"&gt;"&amp;(核心参数输入!$B$9*4-核心参数输入!$B$111)/4),0),0)</f>
        <v>0</v>
      </c>
      <c r="AR186" s="9">
        <f>IF(40&lt;=核心参数输入!$B$9*4,IF(40=核心参数输入!$B$9*4,SUMIFS(年度所得税!$D$240:$AH$240,年度所得税!$D$4:$AH$4,"&gt;"&amp;(核心参数输入!$B$9*4-核心参数输入!$B$111)/4),0),0)</f>
        <v>0</v>
      </c>
      <c r="AS186" s="9">
        <f>IF(41&lt;=核心参数输入!$B$9*4,IF(41=核心参数输入!$B$9*4,SUMIFS(年度所得税!$D$240:$AH$240,年度所得税!$D$4:$AH$4,"&gt;"&amp;(核心参数输入!$B$9*4-核心参数输入!$B$111)/4),0),0)</f>
        <v>0</v>
      </c>
      <c r="AT186" s="9">
        <f>IF(42&lt;=核心参数输入!$B$9*4,IF(42=核心参数输入!$B$9*4,SUMIFS(年度所得税!$D$240:$AH$240,年度所得税!$D$4:$AH$4,"&gt;"&amp;(核心参数输入!$B$9*4-核心参数输入!$B$111)/4),0),0)</f>
        <v>0</v>
      </c>
      <c r="AU186" s="9">
        <f>IF(43&lt;=核心参数输入!$B$9*4,IF(43=核心参数输入!$B$9*4,SUMIFS(年度所得税!$D$240:$AH$240,年度所得税!$D$4:$AH$4,"&gt;"&amp;(核心参数输入!$B$9*4-核心参数输入!$B$111)/4),0),0)</f>
        <v>0</v>
      </c>
      <c r="AV186" s="9">
        <f>IF(44&lt;=核心参数输入!$B$9*4,IF(44=核心参数输入!$B$9*4,SUMIFS(年度所得税!$D$240:$AH$240,年度所得税!$D$4:$AH$4,"&gt;"&amp;(核心参数输入!$B$9*4-核心参数输入!$B$111)/4),0),0)</f>
        <v>0</v>
      </c>
      <c r="AW186" s="9">
        <f>IF(45&lt;=核心参数输入!$B$9*4,IF(45=核心参数输入!$B$9*4,SUMIFS(年度所得税!$D$240:$AH$240,年度所得税!$D$4:$AH$4,"&gt;"&amp;(核心参数输入!$B$9*4-核心参数输入!$B$111)/4),0),0)</f>
        <v>0</v>
      </c>
      <c r="AX186" s="9">
        <f>IF(46&lt;=核心参数输入!$B$9*4,IF(46=核心参数输入!$B$9*4,SUMIFS(年度所得税!$D$240:$AH$240,年度所得税!$D$4:$AH$4,"&gt;"&amp;(核心参数输入!$B$9*4-核心参数输入!$B$111)/4),0),0)</f>
        <v>0</v>
      </c>
      <c r="AY186" s="9">
        <f>IF(47&lt;=核心参数输入!$B$9*4,IF(47=核心参数输入!$B$9*4,SUMIFS(年度所得税!$D$240:$AH$240,年度所得税!$D$4:$AH$4,"&gt;"&amp;(核心参数输入!$B$9*4-核心参数输入!$B$111)/4),0),0)</f>
        <v>0</v>
      </c>
      <c r="AZ186" s="9">
        <f>IF(48&lt;=核心参数输入!$B$9*4,IF(48=核心参数输入!$B$9*4,SUMIFS(年度所得税!$D$240:$AH$240,年度所得税!$D$4:$AH$4,"&gt;"&amp;(核心参数输入!$B$9*4-核心参数输入!$B$111)/4),0),0)</f>
        <v>0</v>
      </c>
      <c r="BA186" s="9">
        <f>IF(49&lt;=核心参数输入!$B$9*4,IF(49=核心参数输入!$B$9*4,SUMIFS(年度所得税!$D$240:$AH$240,年度所得税!$D$4:$AH$4,"&gt;"&amp;(核心参数输入!$B$9*4-核心参数输入!$B$111)/4),0),0)</f>
        <v>0</v>
      </c>
      <c r="BB186" s="9">
        <f>IF(50&lt;=核心参数输入!$B$9*4,IF(50=核心参数输入!$B$9*4,SUMIFS(年度所得税!$D$240:$AH$240,年度所得税!$D$4:$AH$4,"&gt;"&amp;(核心参数输入!$B$9*4-核心参数输入!$B$111)/4),0),0)</f>
        <v>0</v>
      </c>
      <c r="BC186" s="9">
        <f>IF(51&lt;=核心参数输入!$B$9*4,IF(51=核心参数输入!$B$9*4,SUMIFS(年度所得税!$D$240:$AH$240,年度所得税!$D$4:$AH$4,"&gt;"&amp;(核心参数输入!$B$9*4-核心参数输入!$B$111)/4),0),0)</f>
        <v>0</v>
      </c>
      <c r="BD186" s="9">
        <f>IF(52&lt;=核心参数输入!$B$9*4,IF(52=核心参数输入!$B$9*4,SUMIFS(年度所得税!$D$240:$AH$240,年度所得税!$D$4:$AH$4,"&gt;"&amp;(核心参数输入!$B$9*4-核心参数输入!$B$111)/4),0),0)</f>
        <v>0</v>
      </c>
      <c r="BE186" s="9">
        <f>IF(53&lt;=核心参数输入!$B$9*4,IF(53=核心参数输入!$B$9*4,SUMIFS(年度所得税!$D$240:$AH$240,年度所得税!$D$4:$AH$4,"&gt;"&amp;(核心参数输入!$B$9*4-核心参数输入!$B$111)/4),0),0)</f>
        <v>0</v>
      </c>
      <c r="BF186" s="9">
        <f>IF(54&lt;=核心参数输入!$B$9*4,IF(54=核心参数输入!$B$9*4,SUMIFS(年度所得税!$D$240:$AH$240,年度所得税!$D$4:$AH$4,"&gt;"&amp;(核心参数输入!$B$9*4-核心参数输入!$B$111)/4),0),0)</f>
        <v>0</v>
      </c>
      <c r="BG186" s="9">
        <f>IF(55&lt;=核心参数输入!$B$9*4,IF(55=核心参数输入!$B$9*4,SUMIFS(年度所得税!$D$240:$AH$240,年度所得税!$D$4:$AH$4,"&gt;"&amp;(核心参数输入!$B$9*4-核心参数输入!$B$111)/4),0),0)</f>
        <v>0</v>
      </c>
      <c r="BH186" s="9">
        <f>IF(56&lt;=核心参数输入!$B$9*4,IF(56=核心参数输入!$B$9*4,SUMIFS(年度所得税!$D$240:$AH$240,年度所得税!$D$4:$AH$4,"&gt;"&amp;(核心参数输入!$B$9*4-核心参数输入!$B$111)/4),0),0)</f>
        <v>0</v>
      </c>
      <c r="BI186" s="9">
        <f>IF(57&lt;=核心参数输入!$B$9*4,IF(57=核心参数输入!$B$9*4,SUMIFS(年度所得税!$D$240:$AH$240,年度所得税!$D$4:$AH$4,"&gt;"&amp;(核心参数输入!$B$9*4-核心参数输入!$B$111)/4),0),0)</f>
        <v>0</v>
      </c>
      <c r="BJ186" s="9">
        <f>IF(58&lt;=核心参数输入!$B$9*4,IF(58=核心参数输入!$B$9*4,SUMIFS(年度所得税!$D$240:$AH$240,年度所得税!$D$4:$AH$4,"&gt;"&amp;(核心参数输入!$B$9*4-核心参数输入!$B$111)/4),0),0)</f>
        <v>0</v>
      </c>
      <c r="BK186" s="9">
        <f>IF(59&lt;=核心参数输入!$B$9*4,IF(59=核心参数输入!$B$9*4,SUMIFS(年度所得税!$D$240:$AH$240,年度所得税!$D$4:$AH$4,"&gt;"&amp;(核心参数输入!$B$9*4-核心参数输入!$B$111)/4),0),0)</f>
        <v>0</v>
      </c>
      <c r="BL186" s="9">
        <f>IF(60&lt;=核心参数输入!$B$9*4,IF(60=核心参数输入!$B$9*4,SUMIFS(年度所得税!$D$240:$AH$240,年度所得税!$D$4:$AH$4,"&gt;"&amp;(核心参数输入!$B$9*4-核心参数输入!$B$111)/4),0),0)</f>
        <v>0</v>
      </c>
      <c r="BM186" s="9">
        <f>IF(61&lt;=核心参数输入!$B$9*4,IF(61=核心参数输入!$B$9*4,SUMIFS(年度所得税!$D$240:$AH$240,年度所得税!$D$4:$AH$4,"&gt;"&amp;(核心参数输入!$B$9*4-核心参数输入!$B$111)/4),0),0)</f>
        <v>0</v>
      </c>
      <c r="BN186" s="9">
        <f>IF(62&lt;=核心参数输入!$B$9*4,IF(62=核心参数输入!$B$9*4,SUMIFS(年度所得税!$D$240:$AH$240,年度所得税!$D$4:$AH$4,"&gt;"&amp;(核心参数输入!$B$9*4-核心参数输入!$B$111)/4),0),0)</f>
        <v>0</v>
      </c>
      <c r="BO186" s="9">
        <f>IF(63&lt;=核心参数输入!$B$9*4,IF(63=核心参数输入!$B$9*4,SUMIFS(年度所得税!$D$240:$AH$240,年度所得税!$D$4:$AH$4,"&gt;"&amp;(核心参数输入!$B$9*4-核心参数输入!$B$111)/4),0),0)</f>
        <v>0</v>
      </c>
      <c r="BP186" s="9">
        <f>IF(64&lt;=核心参数输入!$B$9*4,IF(64=核心参数输入!$B$9*4,SUMIFS(年度所得税!$D$240:$AH$240,年度所得税!$D$4:$AH$4,"&gt;"&amp;(核心参数输入!$B$9*4-核心参数输入!$B$111)/4),0),0)</f>
        <v>0</v>
      </c>
      <c r="BQ186" s="9">
        <f>IF(65&lt;=核心参数输入!$B$9*4,IF(65=核心参数输入!$B$9*4,SUMIFS(年度所得税!$D$240:$AH$240,年度所得税!$D$4:$AH$4,"&gt;"&amp;(核心参数输入!$B$9*4-核心参数输入!$B$111)/4),0),0)</f>
        <v>0</v>
      </c>
      <c r="BR186" s="9">
        <f>IF(66&lt;=核心参数输入!$B$9*4,IF(66=核心参数输入!$B$9*4,SUMIFS(年度所得税!$D$240:$AH$240,年度所得税!$D$4:$AH$4,"&gt;"&amp;(核心参数输入!$B$9*4-核心参数输入!$B$111)/4),0),0)</f>
        <v>0</v>
      </c>
      <c r="BS186" s="9">
        <f>IF(67&lt;=核心参数输入!$B$9*4,IF(67=核心参数输入!$B$9*4,SUMIFS(年度所得税!$D$240:$AH$240,年度所得税!$D$4:$AH$4,"&gt;"&amp;(核心参数输入!$B$9*4-核心参数输入!$B$111)/4),0),0)</f>
        <v>0</v>
      </c>
      <c r="BT186" s="9">
        <f>IF(68&lt;=核心参数输入!$B$9*4,IF(68=核心参数输入!$B$9*4,SUMIFS(年度所得税!$D$240:$AH$240,年度所得税!$D$4:$AH$4,"&gt;"&amp;(核心参数输入!$B$9*4-核心参数输入!$B$111)/4),0),0)</f>
        <v>0</v>
      </c>
      <c r="BU186" s="9">
        <f>IF(69&lt;=核心参数输入!$B$9*4,IF(69=核心参数输入!$B$9*4,SUMIFS(年度所得税!$D$240:$AH$240,年度所得税!$D$4:$AH$4,"&gt;"&amp;(核心参数输入!$B$9*4-核心参数输入!$B$111)/4),0),0)</f>
        <v>0</v>
      </c>
      <c r="BV186" s="9">
        <f>IF(70&lt;=核心参数输入!$B$9*4,IF(70=核心参数输入!$B$9*4,SUMIFS(年度所得税!$D$240:$AH$240,年度所得税!$D$4:$AH$4,"&gt;"&amp;(核心参数输入!$B$9*4-核心参数输入!$B$111)/4),0),0)</f>
        <v>0</v>
      </c>
      <c r="BW186" s="9">
        <f>IF(71&lt;=核心参数输入!$B$9*4,IF(71=核心参数输入!$B$9*4,SUMIFS(年度所得税!$D$240:$AH$240,年度所得税!$D$4:$AH$4,"&gt;"&amp;(核心参数输入!$B$9*4-核心参数输入!$B$111)/4),0),0)</f>
        <v>0</v>
      </c>
      <c r="BX186" s="9">
        <f>IF(72&lt;=核心参数输入!$B$9*4,IF(72=核心参数输入!$B$9*4,SUMIFS(年度所得税!$D$240:$AH$240,年度所得税!$D$4:$AH$4,"&gt;"&amp;(核心参数输入!$B$9*4-核心参数输入!$B$111)/4),0),0)</f>
        <v>0</v>
      </c>
      <c r="BY186" s="9">
        <f>IF(73&lt;=核心参数输入!$B$9*4,IF(73=核心参数输入!$B$9*4,SUMIFS(年度所得税!$D$240:$AH$240,年度所得税!$D$4:$AH$4,"&gt;"&amp;(核心参数输入!$B$9*4-核心参数输入!$B$111)/4),0),0)</f>
        <v>0</v>
      </c>
      <c r="BZ186" s="9">
        <f>IF(74&lt;=核心参数输入!$B$9*4,IF(74=核心参数输入!$B$9*4,SUMIFS(年度所得税!$D$240:$AH$240,年度所得税!$D$4:$AH$4,"&gt;"&amp;(核心参数输入!$B$9*4-核心参数输入!$B$111)/4),0),0)</f>
        <v>0</v>
      </c>
      <c r="CA186" s="9">
        <f>IF(75&lt;=核心参数输入!$B$9*4,IF(75=核心参数输入!$B$9*4,SUMIFS(年度所得税!$D$240:$AH$240,年度所得税!$D$4:$AH$4,"&gt;"&amp;(核心参数输入!$B$9*4-核心参数输入!$B$111)/4),0),0)</f>
        <v>0</v>
      </c>
      <c r="CB186" s="9">
        <f>IF(76&lt;=核心参数输入!$B$9*4,IF(76=核心参数输入!$B$9*4,SUMIFS(年度所得税!$D$240:$AH$240,年度所得税!$D$4:$AH$4,"&gt;"&amp;(核心参数输入!$B$9*4-核心参数输入!$B$111)/4),0),0)</f>
        <v>0</v>
      </c>
      <c r="CC186" s="9">
        <f>IF(77&lt;=核心参数输入!$B$9*4,IF(77=核心参数输入!$B$9*4,SUMIFS(年度所得税!$D$240:$AH$240,年度所得税!$D$4:$AH$4,"&gt;"&amp;(核心参数输入!$B$9*4-核心参数输入!$B$111)/4),0),0)</f>
        <v>0</v>
      </c>
      <c r="CD186" s="9">
        <f>IF(78&lt;=核心参数输入!$B$9*4,IF(78=核心参数输入!$B$9*4,SUMIFS(年度所得税!$D$240:$AH$240,年度所得税!$D$4:$AH$4,"&gt;"&amp;(核心参数输入!$B$9*4-核心参数输入!$B$111)/4),0),0)</f>
        <v>0</v>
      </c>
      <c r="CE186" s="9">
        <f>IF(79&lt;=核心参数输入!$B$9*4,IF(79=核心参数输入!$B$9*4,SUMIFS(年度所得税!$D$240:$AH$240,年度所得税!$D$4:$AH$4,"&gt;"&amp;(核心参数输入!$B$9*4-核心参数输入!$B$111)/4),0),0)</f>
        <v>0</v>
      </c>
      <c r="CF186" s="9">
        <f>IF(80&lt;=核心参数输入!$B$9*4,IF(80=核心参数输入!$B$9*4,SUMIFS(年度所得税!$D$240:$AH$240,年度所得税!$D$4:$AH$4,"&gt;"&amp;(核心参数输入!$B$9*4-核心参数输入!$B$111)/4),0),0)</f>
        <v>0</v>
      </c>
      <c r="CG186" s="9">
        <f>IF(81&lt;=核心参数输入!$B$9*4,IF(81=核心参数输入!$B$9*4,SUMIFS(年度所得税!$D$240:$AH$240,年度所得税!$D$4:$AH$4,"&gt;"&amp;(核心参数输入!$B$9*4-核心参数输入!$B$111)/4),0),0)</f>
        <v>0</v>
      </c>
      <c r="CH186" s="9">
        <f>IF(82&lt;=核心参数输入!$B$9*4,IF(82=核心参数输入!$B$9*4,SUMIFS(年度所得税!$D$240:$AH$240,年度所得税!$D$4:$AH$4,"&gt;"&amp;(核心参数输入!$B$9*4-核心参数输入!$B$111)/4),0),0)</f>
        <v>0</v>
      </c>
      <c r="CI186" s="9">
        <f>IF(83&lt;=核心参数输入!$B$9*4,IF(83=核心参数输入!$B$9*4,SUMIFS(年度所得税!$D$240:$AH$240,年度所得税!$D$4:$AH$4,"&gt;"&amp;(核心参数输入!$B$9*4-核心参数输入!$B$111)/4),0),0)</f>
        <v>0</v>
      </c>
      <c r="CJ186" s="9">
        <f>IF(84&lt;=核心参数输入!$B$9*4,IF(84=核心参数输入!$B$9*4,SUMIFS(年度所得税!$D$240:$AH$240,年度所得税!$D$4:$AH$4,"&gt;"&amp;(核心参数输入!$B$9*4-核心参数输入!$B$111)/4),0),0)</f>
        <v>0</v>
      </c>
      <c r="CK186" s="9">
        <f>IF(85&lt;=核心参数输入!$B$9*4,IF(85=核心参数输入!$B$9*4,SUMIFS(年度所得税!$D$240:$AH$240,年度所得税!$D$4:$AH$4,"&gt;"&amp;(核心参数输入!$B$9*4-核心参数输入!$B$111)/4),0),0)</f>
        <v>0</v>
      </c>
      <c r="CL186" s="9">
        <f>IF(86&lt;=核心参数输入!$B$9*4,IF(86=核心参数输入!$B$9*4,SUMIFS(年度所得税!$D$240:$AH$240,年度所得税!$D$4:$AH$4,"&gt;"&amp;(核心参数输入!$B$9*4-核心参数输入!$B$111)/4),0),0)</f>
        <v>0</v>
      </c>
      <c r="CM186" s="9">
        <f>IF(87&lt;=核心参数输入!$B$9*4,IF(87=核心参数输入!$B$9*4,SUMIFS(年度所得税!$D$240:$AH$240,年度所得税!$D$4:$AH$4,"&gt;"&amp;(核心参数输入!$B$9*4-核心参数输入!$B$111)/4),0),0)</f>
        <v>0</v>
      </c>
      <c r="CN186" s="9">
        <f>IF(88&lt;=核心参数输入!$B$9*4,IF(88=核心参数输入!$B$9*4,SUMIFS(年度所得税!$D$240:$AH$240,年度所得税!$D$4:$AH$4,"&gt;"&amp;(核心参数输入!$B$9*4-核心参数输入!$B$111)/4),0),0)</f>
        <v>0</v>
      </c>
      <c r="CO186" s="9">
        <f>IF(89&lt;=核心参数输入!$B$9*4,IF(89=核心参数输入!$B$9*4,SUMIFS(年度所得税!$D$240:$AH$240,年度所得税!$D$4:$AH$4,"&gt;"&amp;(核心参数输入!$B$9*4-核心参数输入!$B$111)/4),0),0)</f>
        <v>0</v>
      </c>
      <c r="CP186" s="9">
        <f>IF(90&lt;=核心参数输入!$B$9*4,IF(90=核心参数输入!$B$9*4,SUMIFS(年度所得税!$D$240:$AH$240,年度所得税!$D$4:$AH$4,"&gt;"&amp;(核心参数输入!$B$9*4-核心参数输入!$B$111)/4),0),0)</f>
        <v>0</v>
      </c>
      <c r="CQ186" s="9">
        <f>IF(91&lt;=核心参数输入!$B$9*4,IF(91=核心参数输入!$B$9*4,SUMIFS(年度所得税!$D$240:$AH$240,年度所得税!$D$4:$AH$4,"&gt;"&amp;(核心参数输入!$B$9*4-核心参数输入!$B$111)/4),0),0)</f>
        <v>0</v>
      </c>
      <c r="CR186" s="9">
        <f>IF(92&lt;=核心参数输入!$B$9*4,IF(92=核心参数输入!$B$9*4,SUMIFS(年度所得税!$D$240:$AH$240,年度所得税!$D$4:$AH$4,"&gt;"&amp;(核心参数输入!$B$9*4-核心参数输入!$B$111)/4),0),0)</f>
        <v>0</v>
      </c>
      <c r="CS186" s="9">
        <f>IF(93&lt;=核心参数输入!$B$9*4,IF(93=核心参数输入!$B$9*4,SUMIFS(年度所得税!$D$240:$AH$240,年度所得税!$D$4:$AH$4,"&gt;"&amp;(核心参数输入!$B$9*4-核心参数输入!$B$111)/4),0),0)</f>
        <v>0</v>
      </c>
      <c r="CT186" s="9">
        <f>IF(94&lt;=核心参数输入!$B$9*4,IF(94=核心参数输入!$B$9*4,SUMIFS(年度所得税!$D$240:$AH$240,年度所得税!$D$4:$AH$4,"&gt;"&amp;(核心参数输入!$B$9*4-核心参数输入!$B$111)/4),0),0)</f>
        <v>0</v>
      </c>
      <c r="CU186" s="9">
        <f>IF(95&lt;=核心参数输入!$B$9*4,IF(95=核心参数输入!$B$9*4,SUMIFS(年度所得税!$D$240:$AH$240,年度所得税!$D$4:$AH$4,"&gt;"&amp;(核心参数输入!$B$9*4-核心参数输入!$B$111)/4),0),0)</f>
        <v>0</v>
      </c>
      <c r="CV186" s="9">
        <f>IF(96&lt;=核心参数输入!$B$9*4,IF(96=核心参数输入!$B$9*4,SUMIFS(年度所得税!$D$240:$AH$240,年度所得税!$D$4:$AH$4,"&gt;"&amp;(核心参数输入!$B$9*4-核心参数输入!$B$111)/4),0),0)</f>
        <v>0</v>
      </c>
      <c r="CW186" s="9">
        <f>IF(97&lt;=核心参数输入!$B$9*4,IF(97=核心参数输入!$B$9*4,SUMIFS(年度所得税!$D$240:$AH$240,年度所得税!$D$4:$AH$4,"&gt;"&amp;(核心参数输入!$B$9*4-核心参数输入!$B$111)/4),0),0)</f>
        <v>0</v>
      </c>
      <c r="CX186" s="9">
        <f>IF(98&lt;=核心参数输入!$B$9*4,IF(98=核心参数输入!$B$9*4,SUMIFS(年度所得税!$D$240:$AH$240,年度所得税!$D$4:$AH$4,"&gt;"&amp;(核心参数输入!$B$9*4-核心参数输入!$B$111)/4),0),0)</f>
        <v>0</v>
      </c>
      <c r="CY186" s="9">
        <f>IF(99&lt;=核心参数输入!$B$9*4,IF(99=核心参数输入!$B$9*4,SUMIFS(年度所得税!$D$240:$AH$240,年度所得税!$D$4:$AH$4,"&gt;"&amp;(核心参数输入!$B$9*4-核心参数输入!$B$111)/4),0),0)</f>
        <v>0</v>
      </c>
      <c r="CZ186" s="9">
        <f>IF(100&lt;=核心参数输入!$B$9*4,IF(100=核心参数输入!$B$9*4,SUMIFS(年度所得税!$D$240:$AH$240,年度所得税!$D$4:$AH$4,"&gt;"&amp;(核心参数输入!$B$9*4-核心参数输入!$B$111)/4),0),0)</f>
        <v>0</v>
      </c>
      <c r="DA186" s="9">
        <f>IF(101&lt;=核心参数输入!$B$9*4,IF(101=核心参数输入!$B$9*4,SUMIFS(年度所得税!$D$240:$AH$240,年度所得税!$D$4:$AH$4,"&gt;"&amp;(核心参数输入!$B$9*4-核心参数输入!$B$111)/4),0),0)</f>
        <v>0</v>
      </c>
      <c r="DB186" s="9">
        <f>IF(102&lt;=核心参数输入!$B$9*4,IF(102=核心参数输入!$B$9*4,SUMIFS(年度所得税!$D$240:$AH$240,年度所得税!$D$4:$AH$4,"&gt;"&amp;(核心参数输入!$B$9*4-核心参数输入!$B$111)/4),0),0)</f>
        <v>0</v>
      </c>
      <c r="DC186" s="9">
        <f>IF(103&lt;=核心参数输入!$B$9*4,IF(103=核心参数输入!$B$9*4,SUMIFS(年度所得税!$D$240:$AH$240,年度所得税!$D$4:$AH$4,"&gt;"&amp;(核心参数输入!$B$9*4-核心参数输入!$B$111)/4),0),0)</f>
        <v>0</v>
      </c>
      <c r="DD186" s="9">
        <f>IF(104&lt;=核心参数输入!$B$9*4,IF(104=核心参数输入!$B$9*4,SUMIFS(年度所得税!$D$240:$AH$240,年度所得税!$D$4:$AH$4,"&gt;"&amp;(核心参数输入!$B$9*4-核心参数输入!$B$111)/4),0),0)</f>
        <v>0</v>
      </c>
      <c r="DE186" s="9">
        <f>IF(105&lt;=核心参数输入!$B$9*4,IF(105=核心参数输入!$B$9*4,SUMIFS(年度所得税!$D$240:$AH$240,年度所得税!$D$4:$AH$4,"&gt;"&amp;(核心参数输入!$B$9*4-核心参数输入!$B$111)/4),0),0)</f>
        <v>0</v>
      </c>
      <c r="DF186" s="9">
        <f>IF(106&lt;=核心参数输入!$B$9*4,IF(106=核心参数输入!$B$9*4,SUMIFS(年度所得税!$D$240:$AH$240,年度所得税!$D$4:$AH$4,"&gt;"&amp;(核心参数输入!$B$9*4-核心参数输入!$B$111)/4),0),0)</f>
        <v>0</v>
      </c>
      <c r="DG186" s="9">
        <f>IF(107&lt;=核心参数输入!$B$9*4,IF(107=核心参数输入!$B$9*4,SUMIFS(年度所得税!$D$240:$AH$240,年度所得税!$D$4:$AH$4,"&gt;"&amp;(核心参数输入!$B$9*4-核心参数输入!$B$111)/4),0),0)</f>
        <v>0</v>
      </c>
      <c r="DH186" s="9">
        <f>IF(108&lt;=核心参数输入!$B$9*4,IF(108=核心参数输入!$B$9*4,SUMIFS(年度所得税!$D$240:$AH$240,年度所得税!$D$4:$AH$4,"&gt;"&amp;(核心参数输入!$B$9*4-核心参数输入!$B$111)/4),0),0)</f>
        <v>0</v>
      </c>
      <c r="DI186" s="9">
        <f>IF(109&lt;=核心参数输入!$B$9*4,IF(109=核心参数输入!$B$9*4,SUMIFS(年度所得税!$D$240:$AH$240,年度所得税!$D$4:$AH$4,"&gt;"&amp;(核心参数输入!$B$9*4-核心参数输入!$B$111)/4),0),0)</f>
        <v>0</v>
      </c>
      <c r="DJ186" s="9">
        <f>IF(110&lt;=核心参数输入!$B$9*4,IF(110=核心参数输入!$B$9*4,SUMIFS(年度所得税!$D$240:$AH$240,年度所得税!$D$4:$AH$4,"&gt;"&amp;(核心参数输入!$B$9*4-核心参数输入!$B$111)/4),0),0)</f>
        <v>0</v>
      </c>
      <c r="DK186" s="9">
        <f>IF(111&lt;=核心参数输入!$B$9*4,IF(111=核心参数输入!$B$9*4,SUMIFS(年度所得税!$D$240:$AH$240,年度所得税!$D$4:$AH$4,"&gt;"&amp;(核心参数输入!$B$9*4-核心参数输入!$B$111)/4),0),0)</f>
        <v>0</v>
      </c>
      <c r="DL186" s="9">
        <f>IF(112&lt;=核心参数输入!$B$9*4,IF(112=核心参数输入!$B$9*4,SUMIFS(年度所得税!$D$240:$AH$240,年度所得税!$D$4:$AH$4,"&gt;"&amp;(核心参数输入!$B$9*4-核心参数输入!$B$111)/4),0),0)</f>
        <v>0</v>
      </c>
      <c r="DM186" s="9">
        <f>IF(113&lt;=核心参数输入!$B$9*4,IF(113=核心参数输入!$B$9*4,SUMIFS(年度所得税!$D$240:$AH$240,年度所得税!$D$4:$AH$4,"&gt;"&amp;(核心参数输入!$B$9*4-核心参数输入!$B$111)/4),0),0)</f>
        <v>0</v>
      </c>
      <c r="DN186" s="9">
        <f>IF(114&lt;=核心参数输入!$B$9*4,IF(114=核心参数输入!$B$9*4,SUMIFS(年度所得税!$D$240:$AH$240,年度所得税!$D$4:$AH$4,"&gt;"&amp;(核心参数输入!$B$9*4-核心参数输入!$B$111)/4),0),0)</f>
        <v>0</v>
      </c>
      <c r="DO186" s="9">
        <f>IF(115&lt;=核心参数输入!$B$9*4,IF(115=核心参数输入!$B$9*4,SUMIFS(年度所得税!$D$240:$AH$240,年度所得税!$D$4:$AH$4,"&gt;"&amp;(核心参数输入!$B$9*4-核心参数输入!$B$111)/4),0),0)</f>
        <v>0</v>
      </c>
      <c r="DP186" s="9">
        <f>IF(116&lt;=核心参数输入!$B$9*4,IF(116=核心参数输入!$B$9*4,SUMIFS(年度所得税!$D$240:$AH$240,年度所得税!$D$4:$AH$4,"&gt;"&amp;(核心参数输入!$B$9*4-核心参数输入!$B$111)/4),0),0)</f>
        <v>0</v>
      </c>
      <c r="DQ186" s="9">
        <f>IF(117&lt;=核心参数输入!$B$9*4,IF(117=核心参数输入!$B$9*4,SUMIFS(年度所得税!$D$240:$AH$240,年度所得税!$D$4:$AH$4,"&gt;"&amp;(核心参数输入!$B$9*4-核心参数输入!$B$111)/4),0),0)</f>
        <v>0</v>
      </c>
      <c r="DR186" s="9">
        <f>IF(118&lt;=核心参数输入!$B$9*4,IF(118=核心参数输入!$B$9*4,SUMIFS(年度所得税!$D$240:$AH$240,年度所得税!$D$4:$AH$4,"&gt;"&amp;(核心参数输入!$B$9*4-核心参数输入!$B$111)/4),0),0)</f>
        <v>0</v>
      </c>
      <c r="DS186" s="9">
        <f>IF(119&lt;=核心参数输入!$B$9*4,IF(119=核心参数输入!$B$9*4,SUMIFS(年度所得税!$D$240:$AH$240,年度所得税!$D$4:$AH$4,"&gt;"&amp;(核心参数输入!$B$9*4-核心参数输入!$B$111)/4),0),0)</f>
        <v>0</v>
      </c>
      <c r="DT186" s="9">
        <f>IF(120&lt;=核心参数输入!$B$9*4,IF(120=核心参数输入!$B$9*4,SUMIFS(年度所得税!$D$240:$AH$240,年度所得税!$D$4:$AH$4,"&gt;"&amp;(核心参数输入!$B$9*4-核心参数输入!$B$111)/4),0),0)</f>
        <v>0</v>
      </c>
    </row>
    <row r="187" spans="1:124" ht="21" customHeight="1">
      <c r="A187" s="8"/>
      <c r="B187" s="8"/>
      <c r="C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</row>
    <row r="188" spans="1:124" ht="21" customHeight="1">
      <c r="A188" s="8"/>
      <c r="B188" s="8"/>
      <c r="C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</row>
    <row r="189" spans="1:124" ht="21" customHeight="1">
      <c r="A189" s="8"/>
      <c r="B189" s="8"/>
      <c r="C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</row>
    <row r="190" spans="1:124" ht="21" customHeight="1">
      <c r="A190" s="8"/>
      <c r="B190" s="8"/>
      <c r="C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</row>
    <row r="191" spans="1:124" ht="21" customHeight="1">
      <c r="A191" s="8"/>
      <c r="B191" s="8"/>
      <c r="C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</row>
    <row r="192" spans="1:124" ht="21" customHeight="1">
      <c r="A192" s="8"/>
      <c r="B192" s="8"/>
      <c r="C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</row>
    <row r="193" spans="1:124" ht="21" customHeight="1">
      <c r="A193" s="8"/>
      <c r="B193" s="8"/>
      <c r="C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</row>
    <row r="194" spans="1:124" ht="21" customHeight="1">
      <c r="A194" s="8"/>
      <c r="B194" s="8"/>
      <c r="C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</row>
    <row r="195" spans="1:124" ht="21" customHeight="1">
      <c r="A195" s="8"/>
      <c r="B195" s="8"/>
      <c r="C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</row>
    <row r="196" spans="1:124" ht="21" customHeight="1">
      <c r="A196" s="8"/>
      <c r="B196" s="8"/>
      <c r="C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</row>
    <row r="197" spans="1:124" ht="21" customHeight="1">
      <c r="A197" s="8"/>
      <c r="B197" s="8"/>
      <c r="C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</row>
    <row r="198" spans="1:124" ht="21" customHeight="1">
      <c r="A198" s="8"/>
      <c r="B198" s="8"/>
      <c r="C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</row>
    <row r="199" spans="1:124" ht="21" customHeight="1">
      <c r="A199" s="8"/>
      <c r="B199" s="8"/>
      <c r="C199" s="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</row>
    <row r="200" spans="1:124" ht="21" customHeight="1">
      <c r="A200" s="8"/>
      <c r="B200" s="8"/>
      <c r="C200" s="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</row>
    <row r="201" spans="1:124" ht="21" customHeight="1">
      <c r="A201" s="8"/>
      <c r="B201" s="8"/>
      <c r="C201" s="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</row>
    <row r="202" spans="1:124" ht="21" customHeight="1">
      <c r="A202" s="8"/>
      <c r="B202" s="8"/>
      <c r="C202" s="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</row>
    <row r="203" spans="1:124" ht="21" customHeight="1">
      <c r="A203" s="8"/>
      <c r="B203" s="8"/>
      <c r="C203" s="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</row>
    <row r="204" spans="1:124" ht="21" customHeight="1">
      <c r="A204" s="8"/>
      <c r="B204" s="8"/>
      <c r="C204" s="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</row>
    <row r="205" spans="1:124" ht="21" customHeight="1">
      <c r="A205" s="8"/>
      <c r="B205" s="8"/>
      <c r="C205" s="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</row>
  </sheetData>
  <sheetProtection sheet="1" objects="1" scenarios="1"/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T20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10" customWidth="1"/>
    <col min="2" max="2" width="18" style="10" customWidth="1"/>
    <col min="3" max="3" width="3" style="10" customWidth="1"/>
    <col min="4" max="124" width="16" style="10" customWidth="1"/>
    <col min="125" max="16384" width="9" style="10"/>
  </cols>
  <sheetData>
    <row r="1" spans="1:124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</row>
    <row r="2" spans="1:124" ht="30" customHeight="1">
      <c r="A2" s="11" t="s">
        <v>509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</row>
    <row r="3" spans="1:124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</row>
    <row r="4" spans="1:124" ht="21" customHeight="1">
      <c r="A4" s="8" t="s">
        <v>397</v>
      </c>
      <c r="B4" s="8"/>
      <c r="C4" s="8"/>
      <c r="D4" s="31">
        <f>季度计划!D4</f>
        <v>0</v>
      </c>
      <c r="E4" s="31">
        <f>季度计划!E4</f>
        <v>1</v>
      </c>
      <c r="F4" s="31">
        <f>季度计划!F4</f>
        <v>2</v>
      </c>
      <c r="G4" s="31">
        <f>季度计划!G4</f>
        <v>3</v>
      </c>
      <c r="H4" s="31">
        <f>季度计划!H4</f>
        <v>4</v>
      </c>
      <c r="I4" s="31">
        <f>季度计划!I4</f>
        <v>5</v>
      </c>
      <c r="J4" s="31">
        <f>季度计划!J4</f>
        <v>6</v>
      </c>
      <c r="K4" s="31">
        <f>季度计划!K4</f>
        <v>7</v>
      </c>
      <c r="L4" s="31">
        <f>季度计划!L4</f>
        <v>8</v>
      </c>
      <c r="M4" s="31">
        <f>季度计划!M4</f>
        <v>9</v>
      </c>
      <c r="N4" s="31">
        <f>季度计划!N4</f>
        <v>10</v>
      </c>
      <c r="O4" s="31">
        <f>季度计划!O4</f>
        <v>11</v>
      </c>
      <c r="P4" s="31">
        <f>季度计划!P4</f>
        <v>12</v>
      </c>
      <c r="Q4" s="31">
        <f>季度计划!Q4</f>
        <v>13</v>
      </c>
      <c r="R4" s="31">
        <f>季度计划!R4</f>
        <v>14</v>
      </c>
      <c r="S4" s="31">
        <f>季度计划!S4</f>
        <v>15</v>
      </c>
      <c r="T4" s="31">
        <f>季度计划!T4</f>
        <v>16</v>
      </c>
      <c r="U4" s="31">
        <f>季度计划!U4</f>
        <v>17</v>
      </c>
      <c r="V4" s="31">
        <f>季度计划!V4</f>
        <v>18</v>
      </c>
      <c r="W4" s="31">
        <f>季度计划!W4</f>
        <v>19</v>
      </c>
      <c r="X4" s="31">
        <f>季度计划!X4</f>
        <v>20</v>
      </c>
      <c r="Y4" s="31">
        <f>季度计划!Y4</f>
        <v>21</v>
      </c>
      <c r="Z4" s="31">
        <f>季度计划!Z4</f>
        <v>22</v>
      </c>
      <c r="AA4" s="31">
        <f>季度计划!AA4</f>
        <v>23</v>
      </c>
      <c r="AB4" s="31">
        <f>季度计划!AB4</f>
        <v>24</v>
      </c>
      <c r="AC4" s="31">
        <f>季度计划!AC4</f>
        <v>25</v>
      </c>
      <c r="AD4" s="31">
        <f>季度计划!AD4</f>
        <v>26</v>
      </c>
      <c r="AE4" s="31">
        <f>季度计划!AE4</f>
        <v>27</v>
      </c>
      <c r="AF4" s="31">
        <f>季度计划!AF4</f>
        <v>28</v>
      </c>
      <c r="AG4" s="31">
        <f>季度计划!AG4</f>
        <v>29</v>
      </c>
      <c r="AH4" s="31">
        <f>季度计划!AH4</f>
        <v>30</v>
      </c>
      <c r="AI4" s="31">
        <f>季度计划!AI4</f>
        <v>31</v>
      </c>
      <c r="AJ4" s="31">
        <f>季度计划!AJ4</f>
        <v>32</v>
      </c>
      <c r="AK4" s="31">
        <f>季度计划!AK4</f>
        <v>33</v>
      </c>
      <c r="AL4" s="31">
        <f>季度计划!AL4</f>
        <v>34</v>
      </c>
      <c r="AM4" s="31">
        <f>季度计划!AM4</f>
        <v>35</v>
      </c>
      <c r="AN4" s="31">
        <f>季度计划!AN4</f>
        <v>36</v>
      </c>
      <c r="AO4" s="31">
        <f>季度计划!AO4</f>
        <v>37</v>
      </c>
      <c r="AP4" s="31">
        <f>季度计划!AP4</f>
        <v>38</v>
      </c>
      <c r="AQ4" s="31">
        <f>季度计划!AQ4</f>
        <v>39</v>
      </c>
      <c r="AR4" s="31">
        <f>季度计划!AR4</f>
        <v>40</v>
      </c>
      <c r="AS4" s="31">
        <f>季度计划!AS4</f>
        <v>41</v>
      </c>
      <c r="AT4" s="31">
        <f>季度计划!AT4</f>
        <v>42</v>
      </c>
      <c r="AU4" s="31">
        <f>季度计划!AU4</f>
        <v>43</v>
      </c>
      <c r="AV4" s="31">
        <f>季度计划!AV4</f>
        <v>44</v>
      </c>
      <c r="AW4" s="31">
        <f>季度计划!AW4</f>
        <v>45</v>
      </c>
      <c r="AX4" s="31">
        <f>季度计划!AX4</f>
        <v>46</v>
      </c>
      <c r="AY4" s="31">
        <f>季度计划!AY4</f>
        <v>47</v>
      </c>
      <c r="AZ4" s="31">
        <f>季度计划!AZ4</f>
        <v>48</v>
      </c>
      <c r="BA4" s="31">
        <f>季度计划!BA4</f>
        <v>49</v>
      </c>
      <c r="BB4" s="31">
        <f>季度计划!BB4</f>
        <v>50</v>
      </c>
      <c r="BC4" s="31">
        <f>季度计划!BC4</f>
        <v>51</v>
      </c>
      <c r="BD4" s="31">
        <f>季度计划!BD4</f>
        <v>52</v>
      </c>
      <c r="BE4" s="31">
        <f>季度计划!BE4</f>
        <v>53</v>
      </c>
      <c r="BF4" s="31">
        <f>季度计划!BF4</f>
        <v>54</v>
      </c>
      <c r="BG4" s="31">
        <f>季度计划!BG4</f>
        <v>55</v>
      </c>
      <c r="BH4" s="31">
        <f>季度计划!BH4</f>
        <v>56</v>
      </c>
      <c r="BI4" s="31">
        <f>季度计划!BI4</f>
        <v>57</v>
      </c>
      <c r="BJ4" s="31">
        <f>季度计划!BJ4</f>
        <v>58</v>
      </c>
      <c r="BK4" s="31">
        <f>季度计划!BK4</f>
        <v>59</v>
      </c>
      <c r="BL4" s="31">
        <f>季度计划!BL4</f>
        <v>60</v>
      </c>
      <c r="BM4" s="31">
        <f>季度计划!BM4</f>
        <v>61</v>
      </c>
      <c r="BN4" s="31">
        <f>季度计划!BN4</f>
        <v>62</v>
      </c>
      <c r="BO4" s="31">
        <f>季度计划!BO4</f>
        <v>63</v>
      </c>
      <c r="BP4" s="31">
        <f>季度计划!BP4</f>
        <v>64</v>
      </c>
      <c r="BQ4" s="31">
        <f>季度计划!BQ4</f>
        <v>65</v>
      </c>
      <c r="BR4" s="31">
        <f>季度计划!BR4</f>
        <v>66</v>
      </c>
      <c r="BS4" s="31">
        <f>季度计划!BS4</f>
        <v>67</v>
      </c>
      <c r="BT4" s="31">
        <f>季度计划!BT4</f>
        <v>68</v>
      </c>
      <c r="BU4" s="31">
        <f>季度计划!BU4</f>
        <v>69</v>
      </c>
      <c r="BV4" s="31">
        <f>季度计划!BV4</f>
        <v>70</v>
      </c>
      <c r="BW4" s="31">
        <f>季度计划!BW4</f>
        <v>71</v>
      </c>
      <c r="BX4" s="31">
        <f>季度计划!BX4</f>
        <v>72</v>
      </c>
      <c r="BY4" s="31">
        <f>季度计划!BY4</f>
        <v>73</v>
      </c>
      <c r="BZ4" s="31">
        <f>季度计划!BZ4</f>
        <v>74</v>
      </c>
      <c r="CA4" s="31">
        <f>季度计划!CA4</f>
        <v>75</v>
      </c>
      <c r="CB4" s="31">
        <f>季度计划!CB4</f>
        <v>76</v>
      </c>
      <c r="CC4" s="31">
        <f>季度计划!CC4</f>
        <v>77</v>
      </c>
      <c r="CD4" s="31">
        <f>季度计划!CD4</f>
        <v>78</v>
      </c>
      <c r="CE4" s="31">
        <f>季度计划!CE4</f>
        <v>79</v>
      </c>
      <c r="CF4" s="31">
        <f>季度计划!CF4</f>
        <v>80</v>
      </c>
      <c r="CG4" s="31">
        <f>季度计划!CG4</f>
        <v>81</v>
      </c>
      <c r="CH4" s="31">
        <f>季度计划!CH4</f>
        <v>82</v>
      </c>
      <c r="CI4" s="31">
        <f>季度计划!CI4</f>
        <v>83</v>
      </c>
      <c r="CJ4" s="31">
        <f>季度计划!CJ4</f>
        <v>84</v>
      </c>
      <c r="CK4" s="31">
        <f>季度计划!CK4</f>
        <v>85</v>
      </c>
      <c r="CL4" s="31">
        <f>季度计划!CL4</f>
        <v>86</v>
      </c>
      <c r="CM4" s="31">
        <f>季度计划!CM4</f>
        <v>87</v>
      </c>
      <c r="CN4" s="31">
        <f>季度计划!CN4</f>
        <v>88</v>
      </c>
      <c r="CO4" s="31">
        <f>季度计划!CO4</f>
        <v>89</v>
      </c>
      <c r="CP4" s="31">
        <f>季度计划!CP4</f>
        <v>90</v>
      </c>
      <c r="CQ4" s="31">
        <f>季度计划!CQ4</f>
        <v>91</v>
      </c>
      <c r="CR4" s="31">
        <f>季度计划!CR4</f>
        <v>92</v>
      </c>
      <c r="CS4" s="31">
        <f>季度计划!CS4</f>
        <v>93</v>
      </c>
      <c r="CT4" s="31">
        <f>季度计划!CT4</f>
        <v>94</v>
      </c>
      <c r="CU4" s="31">
        <f>季度计划!CU4</f>
        <v>95</v>
      </c>
      <c r="CV4" s="31">
        <f>季度计划!CV4</f>
        <v>96</v>
      </c>
      <c r="CW4" s="31">
        <f>季度计划!CW4</f>
        <v>97</v>
      </c>
      <c r="CX4" s="31">
        <f>季度计划!CX4</f>
        <v>98</v>
      </c>
      <c r="CY4" s="31">
        <f>季度计划!CY4</f>
        <v>99</v>
      </c>
      <c r="CZ4" s="31">
        <f>季度计划!CZ4</f>
        <v>100</v>
      </c>
      <c r="DA4" s="31">
        <f>季度计划!DA4</f>
        <v>101</v>
      </c>
      <c r="DB4" s="31">
        <f>季度计划!DB4</f>
        <v>102</v>
      </c>
      <c r="DC4" s="31">
        <f>季度计划!DC4</f>
        <v>103</v>
      </c>
      <c r="DD4" s="31">
        <f>季度计划!DD4</f>
        <v>104</v>
      </c>
      <c r="DE4" s="31">
        <f>季度计划!DE4</f>
        <v>105</v>
      </c>
      <c r="DF4" s="31">
        <f>季度计划!DF4</f>
        <v>106</v>
      </c>
      <c r="DG4" s="31">
        <f>季度计划!DG4</f>
        <v>107</v>
      </c>
      <c r="DH4" s="31">
        <f>季度计划!DH4</f>
        <v>108</v>
      </c>
      <c r="DI4" s="31">
        <f>季度计划!DI4</f>
        <v>109</v>
      </c>
      <c r="DJ4" s="31">
        <f>季度计划!DJ4</f>
        <v>110</v>
      </c>
      <c r="DK4" s="31">
        <f>季度计划!DK4</f>
        <v>111</v>
      </c>
      <c r="DL4" s="31">
        <f>季度计划!DL4</f>
        <v>112</v>
      </c>
      <c r="DM4" s="31">
        <f>季度计划!DM4</f>
        <v>113</v>
      </c>
      <c r="DN4" s="31">
        <f>季度计划!DN4</f>
        <v>114</v>
      </c>
      <c r="DO4" s="31">
        <f>季度计划!DO4</f>
        <v>115</v>
      </c>
      <c r="DP4" s="31">
        <f>季度计划!DP4</f>
        <v>116</v>
      </c>
      <c r="DQ4" s="31">
        <f>季度计划!DQ4</f>
        <v>117</v>
      </c>
      <c r="DR4" s="31">
        <f>季度计划!DR4</f>
        <v>118</v>
      </c>
      <c r="DS4" s="31">
        <f>季度计划!DS4</f>
        <v>119</v>
      </c>
      <c r="DT4" s="31">
        <f>季度计划!DT4</f>
        <v>120</v>
      </c>
    </row>
    <row r="5" spans="1:124" ht="21" customHeight="1">
      <c r="A5" s="8" t="s">
        <v>398</v>
      </c>
      <c r="B5" s="8"/>
      <c r="C5" s="8"/>
      <c r="D5" s="21" t="str">
        <f>季度计划!D5</f>
        <v>2026年末 / 第0年</v>
      </c>
      <c r="E5" s="21" t="str">
        <f>季度计划!E5</f>
        <v>2027Q1</v>
      </c>
      <c r="F5" s="21" t="str">
        <f>季度计划!F5</f>
        <v>2027Q2</v>
      </c>
      <c r="G5" s="21" t="str">
        <f>季度计划!G5</f>
        <v>2027Q3</v>
      </c>
      <c r="H5" s="21" t="str">
        <f>季度计划!H5</f>
        <v>2027Q4</v>
      </c>
      <c r="I5" s="21" t="str">
        <f>季度计划!I5</f>
        <v>2028Q1</v>
      </c>
      <c r="J5" s="21" t="str">
        <f>季度计划!J5</f>
        <v>2028Q2</v>
      </c>
      <c r="K5" s="21" t="str">
        <f>季度计划!K5</f>
        <v>2028Q3</v>
      </c>
      <c r="L5" s="21" t="str">
        <f>季度计划!L5</f>
        <v>2028Q4</v>
      </c>
      <c r="M5" s="21" t="str">
        <f>季度计划!M5</f>
        <v>2029Q1</v>
      </c>
      <c r="N5" s="21" t="str">
        <f>季度计划!N5</f>
        <v>2029Q2</v>
      </c>
      <c r="O5" s="21" t="str">
        <f>季度计划!O5</f>
        <v>2029Q3</v>
      </c>
      <c r="P5" s="21" t="str">
        <f>季度计划!P5</f>
        <v>2029Q4</v>
      </c>
      <c r="Q5" s="21" t="str">
        <f>季度计划!Q5</f>
        <v>2030Q1</v>
      </c>
      <c r="R5" s="21" t="str">
        <f>季度计划!R5</f>
        <v>2030Q2</v>
      </c>
      <c r="S5" s="21" t="str">
        <f>季度计划!S5</f>
        <v>2030Q3</v>
      </c>
      <c r="T5" s="21" t="str">
        <f>季度计划!T5</f>
        <v>2030Q4</v>
      </c>
      <c r="U5" s="21" t="str">
        <f>季度计划!U5</f>
        <v>2031Q1</v>
      </c>
      <c r="V5" s="21" t="str">
        <f>季度计划!V5</f>
        <v>2031Q2</v>
      </c>
      <c r="W5" s="21" t="str">
        <f>季度计划!W5</f>
        <v>2031Q3</v>
      </c>
      <c r="X5" s="21" t="str">
        <f>季度计划!X5</f>
        <v>2031Q4</v>
      </c>
      <c r="Y5" s="21" t="str">
        <f>季度计划!Y5</f>
        <v>2032Q1</v>
      </c>
      <c r="Z5" s="21" t="str">
        <f>季度计划!Z5</f>
        <v>2032Q2</v>
      </c>
      <c r="AA5" s="21" t="str">
        <f>季度计划!AA5</f>
        <v>2032Q3</v>
      </c>
      <c r="AB5" s="21" t="str">
        <f>季度计划!AB5</f>
        <v>2032Q4</v>
      </c>
      <c r="AC5" s="21" t="str">
        <f>季度计划!AC5</f>
        <v>2033Q1</v>
      </c>
      <c r="AD5" s="21" t="str">
        <f>季度计划!AD5</f>
        <v>2033Q2</v>
      </c>
      <c r="AE5" s="21" t="str">
        <f>季度计划!AE5</f>
        <v>2033Q3</v>
      </c>
      <c r="AF5" s="21" t="str">
        <f>季度计划!AF5</f>
        <v>2033Q4</v>
      </c>
      <c r="AG5" s="21" t="str">
        <f>季度计划!AG5</f>
        <v>2034Q1</v>
      </c>
      <c r="AH5" s="21" t="str">
        <f>季度计划!AH5</f>
        <v>2034Q2</v>
      </c>
      <c r="AI5" s="21" t="str">
        <f>季度计划!AI5</f>
        <v>2034Q3</v>
      </c>
      <c r="AJ5" s="21" t="str">
        <f>季度计划!AJ5</f>
        <v>2034Q4</v>
      </c>
      <c r="AK5" s="21" t="str">
        <f>季度计划!AK5</f>
        <v>2035Q1</v>
      </c>
      <c r="AL5" s="21" t="str">
        <f>季度计划!AL5</f>
        <v>2035Q2</v>
      </c>
      <c r="AM5" s="21" t="str">
        <f>季度计划!AM5</f>
        <v>2035Q3</v>
      </c>
      <c r="AN5" s="21" t="str">
        <f>季度计划!AN5</f>
        <v>2035Q4</v>
      </c>
      <c r="AO5" s="21" t="str">
        <f>季度计划!AO5</f>
        <v>2036Q1</v>
      </c>
      <c r="AP5" s="21" t="str">
        <f>季度计划!AP5</f>
        <v>2036Q2</v>
      </c>
      <c r="AQ5" s="21" t="str">
        <f>季度计划!AQ5</f>
        <v>2036Q3</v>
      </c>
      <c r="AR5" s="21" t="str">
        <f>季度计划!AR5</f>
        <v>2036Q4</v>
      </c>
      <c r="AS5" s="21" t="str">
        <f>季度计划!AS5</f>
        <v>2037Q1</v>
      </c>
      <c r="AT5" s="21" t="str">
        <f>季度计划!AT5</f>
        <v>2037Q2</v>
      </c>
      <c r="AU5" s="21" t="str">
        <f>季度计划!AU5</f>
        <v>2037Q3</v>
      </c>
      <c r="AV5" s="21" t="str">
        <f>季度计划!AV5</f>
        <v>2037Q4</v>
      </c>
      <c r="AW5" s="21" t="str">
        <f>季度计划!AW5</f>
        <v>2038Q1</v>
      </c>
      <c r="AX5" s="21" t="str">
        <f>季度计划!AX5</f>
        <v>2038Q2</v>
      </c>
      <c r="AY5" s="21" t="str">
        <f>季度计划!AY5</f>
        <v>2038Q3</v>
      </c>
      <c r="AZ5" s="21" t="str">
        <f>季度计划!AZ5</f>
        <v>2038Q4</v>
      </c>
      <c r="BA5" s="21" t="str">
        <f>季度计划!BA5</f>
        <v>2039Q1</v>
      </c>
      <c r="BB5" s="21" t="str">
        <f>季度计划!BB5</f>
        <v>2039Q2</v>
      </c>
      <c r="BC5" s="21" t="str">
        <f>季度计划!BC5</f>
        <v>2039Q3</v>
      </c>
      <c r="BD5" s="21" t="str">
        <f>季度计划!BD5</f>
        <v>2039Q4</v>
      </c>
      <c r="BE5" s="21" t="str">
        <f>季度计划!BE5</f>
        <v>2040Q1</v>
      </c>
      <c r="BF5" s="21" t="str">
        <f>季度计划!BF5</f>
        <v>2040Q2</v>
      </c>
      <c r="BG5" s="21" t="str">
        <f>季度计划!BG5</f>
        <v>2040Q3</v>
      </c>
      <c r="BH5" s="21" t="str">
        <f>季度计划!BH5</f>
        <v>2040Q4</v>
      </c>
      <c r="BI5" s="21" t="str">
        <f>季度计划!BI5</f>
        <v>2041Q1</v>
      </c>
      <c r="BJ5" s="21" t="str">
        <f>季度计划!BJ5</f>
        <v>2041Q2</v>
      </c>
      <c r="BK5" s="21" t="str">
        <f>季度计划!BK5</f>
        <v>2041Q3</v>
      </c>
      <c r="BL5" s="21" t="str">
        <f>季度计划!BL5</f>
        <v>2041Q4</v>
      </c>
      <c r="BM5" s="21" t="str">
        <f>季度计划!BM5</f>
        <v>2042Q1</v>
      </c>
      <c r="BN5" s="21" t="str">
        <f>季度计划!BN5</f>
        <v>2042Q2</v>
      </c>
      <c r="BO5" s="21" t="str">
        <f>季度计划!BO5</f>
        <v>2042Q3</v>
      </c>
      <c r="BP5" s="21" t="str">
        <f>季度计划!BP5</f>
        <v>2042Q4</v>
      </c>
      <c r="BQ5" s="21" t="str">
        <f>季度计划!BQ5</f>
        <v>2043Q1</v>
      </c>
      <c r="BR5" s="21" t="str">
        <f>季度计划!BR5</f>
        <v>2043Q2</v>
      </c>
      <c r="BS5" s="21" t="str">
        <f>季度计划!BS5</f>
        <v>2043Q3</v>
      </c>
      <c r="BT5" s="21" t="str">
        <f>季度计划!BT5</f>
        <v>2043Q4</v>
      </c>
      <c r="BU5" s="21" t="str">
        <f>季度计划!BU5</f>
        <v>2044Q1</v>
      </c>
      <c r="BV5" s="21" t="str">
        <f>季度计划!BV5</f>
        <v>2044Q2</v>
      </c>
      <c r="BW5" s="21" t="str">
        <f>季度计划!BW5</f>
        <v>2044Q3</v>
      </c>
      <c r="BX5" s="21" t="str">
        <f>季度计划!BX5</f>
        <v>2044Q4</v>
      </c>
      <c r="BY5" s="21" t="str">
        <f>季度计划!BY5</f>
        <v>2045Q1</v>
      </c>
      <c r="BZ5" s="21" t="str">
        <f>季度计划!BZ5</f>
        <v>2045Q2</v>
      </c>
      <c r="CA5" s="21" t="str">
        <f>季度计划!CA5</f>
        <v>2045Q3</v>
      </c>
      <c r="CB5" s="21" t="str">
        <f>季度计划!CB5</f>
        <v>2045Q4</v>
      </c>
      <c r="CC5" s="21" t="str">
        <f>季度计划!CC5</f>
        <v>2046Q1</v>
      </c>
      <c r="CD5" s="21" t="str">
        <f>季度计划!CD5</f>
        <v>2046Q2</v>
      </c>
      <c r="CE5" s="21" t="str">
        <f>季度计划!CE5</f>
        <v>2046Q3</v>
      </c>
      <c r="CF5" s="21" t="str">
        <f>季度计划!CF5</f>
        <v>2046Q4</v>
      </c>
      <c r="CG5" s="21" t="str">
        <f>季度计划!CG5</f>
        <v>2047Q1</v>
      </c>
      <c r="CH5" s="21" t="str">
        <f>季度计划!CH5</f>
        <v>2047Q2</v>
      </c>
      <c r="CI5" s="21" t="str">
        <f>季度计划!CI5</f>
        <v>2047Q3</v>
      </c>
      <c r="CJ5" s="21" t="str">
        <f>季度计划!CJ5</f>
        <v>2047Q4</v>
      </c>
      <c r="CK5" s="21" t="str">
        <f>季度计划!CK5</f>
        <v>2048Q1</v>
      </c>
      <c r="CL5" s="21" t="str">
        <f>季度计划!CL5</f>
        <v>2048Q2</v>
      </c>
      <c r="CM5" s="21" t="str">
        <f>季度计划!CM5</f>
        <v>2048Q3</v>
      </c>
      <c r="CN5" s="21" t="str">
        <f>季度计划!CN5</f>
        <v>2048Q4</v>
      </c>
      <c r="CO5" s="21" t="str">
        <f>季度计划!CO5</f>
        <v>2049Q1</v>
      </c>
      <c r="CP5" s="21" t="str">
        <f>季度计划!CP5</f>
        <v>2049Q2</v>
      </c>
      <c r="CQ5" s="21" t="str">
        <f>季度计划!CQ5</f>
        <v>2049Q3</v>
      </c>
      <c r="CR5" s="21" t="str">
        <f>季度计划!CR5</f>
        <v>2049Q4</v>
      </c>
      <c r="CS5" s="21" t="str">
        <f>季度计划!CS5</f>
        <v>2050Q1</v>
      </c>
      <c r="CT5" s="21" t="str">
        <f>季度计划!CT5</f>
        <v>2050Q2</v>
      </c>
      <c r="CU5" s="21" t="str">
        <f>季度计划!CU5</f>
        <v>2050Q3</v>
      </c>
      <c r="CV5" s="21" t="str">
        <f>季度计划!CV5</f>
        <v>2050Q4</v>
      </c>
      <c r="CW5" s="21" t="str">
        <f>季度计划!CW5</f>
        <v>2051Q1</v>
      </c>
      <c r="CX5" s="21" t="str">
        <f>季度计划!CX5</f>
        <v>2051Q2</v>
      </c>
      <c r="CY5" s="21" t="str">
        <f>季度计划!CY5</f>
        <v>2051Q3</v>
      </c>
      <c r="CZ5" s="21" t="str">
        <f>季度计划!CZ5</f>
        <v>2051Q4</v>
      </c>
      <c r="DA5" s="21" t="str">
        <f>季度计划!DA5</f>
        <v>2052Q1</v>
      </c>
      <c r="DB5" s="21" t="str">
        <f>季度计划!DB5</f>
        <v>2052Q2</v>
      </c>
      <c r="DC5" s="21" t="str">
        <f>季度计划!DC5</f>
        <v>2052Q3</v>
      </c>
      <c r="DD5" s="21" t="str">
        <f>季度计划!DD5</f>
        <v>2052Q4</v>
      </c>
      <c r="DE5" s="21" t="str">
        <f>季度计划!DE5</f>
        <v>2053Q1</v>
      </c>
      <c r="DF5" s="21" t="str">
        <f>季度计划!DF5</f>
        <v>2053Q2</v>
      </c>
      <c r="DG5" s="21" t="str">
        <f>季度计划!DG5</f>
        <v>2053Q3</v>
      </c>
      <c r="DH5" s="21" t="str">
        <f>季度计划!DH5</f>
        <v>2053Q4</v>
      </c>
      <c r="DI5" s="21" t="str">
        <f>季度计划!DI5</f>
        <v>2054Q1</v>
      </c>
      <c r="DJ5" s="21" t="str">
        <f>季度计划!DJ5</f>
        <v>2054Q2</v>
      </c>
      <c r="DK5" s="21" t="str">
        <f>季度计划!DK5</f>
        <v>2054Q3</v>
      </c>
      <c r="DL5" s="21" t="str">
        <f>季度计划!DL5</f>
        <v>2054Q4</v>
      </c>
      <c r="DM5" s="21" t="str">
        <f>季度计划!DM5</f>
        <v>2055Q1</v>
      </c>
      <c r="DN5" s="21" t="str">
        <f>季度计划!DN5</f>
        <v>2055Q2</v>
      </c>
      <c r="DO5" s="21" t="str">
        <f>季度计划!DO5</f>
        <v>2055Q3</v>
      </c>
      <c r="DP5" s="21" t="str">
        <f>季度计划!DP5</f>
        <v>2055Q4</v>
      </c>
      <c r="DQ5" s="21" t="str">
        <f>季度计划!DQ5</f>
        <v>2056Q1</v>
      </c>
      <c r="DR5" s="21" t="str">
        <f>季度计划!DR5</f>
        <v>2056Q2</v>
      </c>
      <c r="DS5" s="21" t="str">
        <f>季度计划!DS5</f>
        <v>2056Q3</v>
      </c>
      <c r="DT5" s="21" t="str">
        <f>季度计划!DT5</f>
        <v>2056Q4</v>
      </c>
    </row>
    <row r="6" spans="1:124" ht="21" customHeight="1">
      <c r="A6" s="8" t="s">
        <v>360</v>
      </c>
      <c r="B6" s="8"/>
      <c r="C6" s="8"/>
      <c r="D6" s="31">
        <f>季度计划!D6</f>
        <v>0</v>
      </c>
      <c r="E6" s="31">
        <f>季度计划!E6</f>
        <v>1</v>
      </c>
      <c r="F6" s="31">
        <f>季度计划!F6</f>
        <v>1</v>
      </c>
      <c r="G6" s="31">
        <f>季度计划!G6</f>
        <v>1</v>
      </c>
      <c r="H6" s="31">
        <f>季度计划!H6</f>
        <v>1</v>
      </c>
      <c r="I6" s="31">
        <f>季度计划!I6</f>
        <v>2</v>
      </c>
      <c r="J6" s="31">
        <f>季度计划!J6</f>
        <v>2</v>
      </c>
      <c r="K6" s="31">
        <f>季度计划!K6</f>
        <v>2</v>
      </c>
      <c r="L6" s="31">
        <f>季度计划!L6</f>
        <v>2</v>
      </c>
      <c r="M6" s="31">
        <f>季度计划!M6</f>
        <v>3</v>
      </c>
      <c r="N6" s="31">
        <f>季度计划!N6</f>
        <v>3</v>
      </c>
      <c r="O6" s="31">
        <f>季度计划!O6</f>
        <v>3</v>
      </c>
      <c r="P6" s="31">
        <f>季度计划!P6</f>
        <v>3</v>
      </c>
      <c r="Q6" s="31">
        <f>季度计划!Q6</f>
        <v>4</v>
      </c>
      <c r="R6" s="31">
        <f>季度计划!R6</f>
        <v>4</v>
      </c>
      <c r="S6" s="31">
        <f>季度计划!S6</f>
        <v>4</v>
      </c>
      <c r="T6" s="31">
        <f>季度计划!T6</f>
        <v>4</v>
      </c>
      <c r="U6" s="31">
        <f>季度计划!U6</f>
        <v>5</v>
      </c>
      <c r="V6" s="31">
        <f>季度计划!V6</f>
        <v>5</v>
      </c>
      <c r="W6" s="31">
        <f>季度计划!W6</f>
        <v>5</v>
      </c>
      <c r="X6" s="31">
        <f>季度计划!X6</f>
        <v>5</v>
      </c>
      <c r="Y6" s="31">
        <f>季度计划!Y6</f>
        <v>6</v>
      </c>
      <c r="Z6" s="31">
        <f>季度计划!Z6</f>
        <v>6</v>
      </c>
      <c r="AA6" s="31">
        <f>季度计划!AA6</f>
        <v>6</v>
      </c>
      <c r="AB6" s="31">
        <f>季度计划!AB6</f>
        <v>6</v>
      </c>
      <c r="AC6" s="31">
        <f>季度计划!AC6</f>
        <v>7</v>
      </c>
      <c r="AD6" s="31">
        <f>季度计划!AD6</f>
        <v>7</v>
      </c>
      <c r="AE6" s="31">
        <f>季度计划!AE6</f>
        <v>7</v>
      </c>
      <c r="AF6" s="31">
        <f>季度计划!AF6</f>
        <v>7</v>
      </c>
      <c r="AG6" s="31">
        <f>季度计划!AG6</f>
        <v>8</v>
      </c>
      <c r="AH6" s="31">
        <f>季度计划!AH6</f>
        <v>8</v>
      </c>
      <c r="AI6" s="31">
        <f>季度计划!AI6</f>
        <v>8</v>
      </c>
      <c r="AJ6" s="31">
        <f>季度计划!AJ6</f>
        <v>8</v>
      </c>
      <c r="AK6" s="31">
        <f>季度计划!AK6</f>
        <v>9</v>
      </c>
      <c r="AL6" s="31">
        <f>季度计划!AL6</f>
        <v>9</v>
      </c>
      <c r="AM6" s="31">
        <f>季度计划!AM6</f>
        <v>9</v>
      </c>
      <c r="AN6" s="31">
        <f>季度计划!AN6</f>
        <v>9</v>
      </c>
      <c r="AO6" s="31">
        <f>季度计划!AO6</f>
        <v>10</v>
      </c>
      <c r="AP6" s="31">
        <f>季度计划!AP6</f>
        <v>10</v>
      </c>
      <c r="AQ6" s="31">
        <f>季度计划!AQ6</f>
        <v>10</v>
      </c>
      <c r="AR6" s="31">
        <f>季度计划!AR6</f>
        <v>10</v>
      </c>
      <c r="AS6" s="31">
        <f>季度计划!AS6</f>
        <v>11</v>
      </c>
      <c r="AT6" s="31">
        <f>季度计划!AT6</f>
        <v>11</v>
      </c>
      <c r="AU6" s="31">
        <f>季度计划!AU6</f>
        <v>11</v>
      </c>
      <c r="AV6" s="31">
        <f>季度计划!AV6</f>
        <v>11</v>
      </c>
      <c r="AW6" s="31">
        <f>季度计划!AW6</f>
        <v>12</v>
      </c>
      <c r="AX6" s="31">
        <f>季度计划!AX6</f>
        <v>12</v>
      </c>
      <c r="AY6" s="31">
        <f>季度计划!AY6</f>
        <v>12</v>
      </c>
      <c r="AZ6" s="31">
        <f>季度计划!AZ6</f>
        <v>12</v>
      </c>
      <c r="BA6" s="31">
        <f>季度计划!BA6</f>
        <v>13</v>
      </c>
      <c r="BB6" s="31">
        <f>季度计划!BB6</f>
        <v>13</v>
      </c>
      <c r="BC6" s="31">
        <f>季度计划!BC6</f>
        <v>13</v>
      </c>
      <c r="BD6" s="31">
        <f>季度计划!BD6</f>
        <v>13</v>
      </c>
      <c r="BE6" s="31">
        <f>季度计划!BE6</f>
        <v>14</v>
      </c>
      <c r="BF6" s="31">
        <f>季度计划!BF6</f>
        <v>14</v>
      </c>
      <c r="BG6" s="31">
        <f>季度计划!BG6</f>
        <v>14</v>
      </c>
      <c r="BH6" s="31">
        <f>季度计划!BH6</f>
        <v>14</v>
      </c>
      <c r="BI6" s="31">
        <f>季度计划!BI6</f>
        <v>15</v>
      </c>
      <c r="BJ6" s="31">
        <f>季度计划!BJ6</f>
        <v>15</v>
      </c>
      <c r="BK6" s="31">
        <f>季度计划!BK6</f>
        <v>15</v>
      </c>
      <c r="BL6" s="31">
        <f>季度计划!BL6</f>
        <v>15</v>
      </c>
      <c r="BM6" s="31">
        <f>季度计划!BM6</f>
        <v>16</v>
      </c>
      <c r="BN6" s="31">
        <f>季度计划!BN6</f>
        <v>16</v>
      </c>
      <c r="BO6" s="31">
        <f>季度计划!BO6</f>
        <v>16</v>
      </c>
      <c r="BP6" s="31">
        <f>季度计划!BP6</f>
        <v>16</v>
      </c>
      <c r="BQ6" s="31">
        <f>季度计划!BQ6</f>
        <v>17</v>
      </c>
      <c r="BR6" s="31">
        <f>季度计划!BR6</f>
        <v>17</v>
      </c>
      <c r="BS6" s="31">
        <f>季度计划!BS6</f>
        <v>17</v>
      </c>
      <c r="BT6" s="31">
        <f>季度计划!BT6</f>
        <v>17</v>
      </c>
      <c r="BU6" s="31">
        <f>季度计划!BU6</f>
        <v>18</v>
      </c>
      <c r="BV6" s="31">
        <f>季度计划!BV6</f>
        <v>18</v>
      </c>
      <c r="BW6" s="31">
        <f>季度计划!BW6</f>
        <v>18</v>
      </c>
      <c r="BX6" s="31">
        <f>季度计划!BX6</f>
        <v>18</v>
      </c>
      <c r="BY6" s="31">
        <f>季度计划!BY6</f>
        <v>19</v>
      </c>
      <c r="BZ6" s="31">
        <f>季度计划!BZ6</f>
        <v>19</v>
      </c>
      <c r="CA6" s="31">
        <f>季度计划!CA6</f>
        <v>19</v>
      </c>
      <c r="CB6" s="31">
        <f>季度计划!CB6</f>
        <v>19</v>
      </c>
      <c r="CC6" s="31">
        <f>季度计划!CC6</f>
        <v>20</v>
      </c>
      <c r="CD6" s="31">
        <f>季度计划!CD6</f>
        <v>20</v>
      </c>
      <c r="CE6" s="31">
        <f>季度计划!CE6</f>
        <v>20</v>
      </c>
      <c r="CF6" s="31">
        <f>季度计划!CF6</f>
        <v>20</v>
      </c>
      <c r="CG6" s="31">
        <f>季度计划!CG6</f>
        <v>21</v>
      </c>
      <c r="CH6" s="31">
        <f>季度计划!CH6</f>
        <v>21</v>
      </c>
      <c r="CI6" s="31">
        <f>季度计划!CI6</f>
        <v>21</v>
      </c>
      <c r="CJ6" s="31">
        <f>季度计划!CJ6</f>
        <v>21</v>
      </c>
      <c r="CK6" s="31">
        <f>季度计划!CK6</f>
        <v>22</v>
      </c>
      <c r="CL6" s="31">
        <f>季度计划!CL6</f>
        <v>22</v>
      </c>
      <c r="CM6" s="31">
        <f>季度计划!CM6</f>
        <v>22</v>
      </c>
      <c r="CN6" s="31">
        <f>季度计划!CN6</f>
        <v>22</v>
      </c>
      <c r="CO6" s="31">
        <f>季度计划!CO6</f>
        <v>23</v>
      </c>
      <c r="CP6" s="31">
        <f>季度计划!CP6</f>
        <v>23</v>
      </c>
      <c r="CQ6" s="31">
        <f>季度计划!CQ6</f>
        <v>23</v>
      </c>
      <c r="CR6" s="31">
        <f>季度计划!CR6</f>
        <v>23</v>
      </c>
      <c r="CS6" s="31">
        <f>季度计划!CS6</f>
        <v>24</v>
      </c>
      <c r="CT6" s="31">
        <f>季度计划!CT6</f>
        <v>24</v>
      </c>
      <c r="CU6" s="31">
        <f>季度计划!CU6</f>
        <v>24</v>
      </c>
      <c r="CV6" s="31">
        <f>季度计划!CV6</f>
        <v>24</v>
      </c>
      <c r="CW6" s="31">
        <f>季度计划!CW6</f>
        <v>25</v>
      </c>
      <c r="CX6" s="31">
        <f>季度计划!CX6</f>
        <v>25</v>
      </c>
      <c r="CY6" s="31">
        <f>季度计划!CY6</f>
        <v>25</v>
      </c>
      <c r="CZ6" s="31">
        <f>季度计划!CZ6</f>
        <v>25</v>
      </c>
      <c r="DA6" s="31">
        <f>季度计划!DA6</f>
        <v>26</v>
      </c>
      <c r="DB6" s="31">
        <f>季度计划!DB6</f>
        <v>26</v>
      </c>
      <c r="DC6" s="31">
        <f>季度计划!DC6</f>
        <v>26</v>
      </c>
      <c r="DD6" s="31">
        <f>季度计划!DD6</f>
        <v>26</v>
      </c>
      <c r="DE6" s="31">
        <f>季度计划!DE6</f>
        <v>27</v>
      </c>
      <c r="DF6" s="31">
        <f>季度计划!DF6</f>
        <v>27</v>
      </c>
      <c r="DG6" s="31">
        <f>季度计划!DG6</f>
        <v>27</v>
      </c>
      <c r="DH6" s="31">
        <f>季度计划!DH6</f>
        <v>27</v>
      </c>
      <c r="DI6" s="31">
        <f>季度计划!DI6</f>
        <v>28</v>
      </c>
      <c r="DJ6" s="31">
        <f>季度计划!DJ6</f>
        <v>28</v>
      </c>
      <c r="DK6" s="31">
        <f>季度计划!DK6</f>
        <v>28</v>
      </c>
      <c r="DL6" s="31">
        <f>季度计划!DL6</f>
        <v>28</v>
      </c>
      <c r="DM6" s="31">
        <f>季度计划!DM6</f>
        <v>29</v>
      </c>
      <c r="DN6" s="31">
        <f>季度计划!DN6</f>
        <v>29</v>
      </c>
      <c r="DO6" s="31">
        <f>季度计划!DO6</f>
        <v>29</v>
      </c>
      <c r="DP6" s="31">
        <f>季度计划!DP6</f>
        <v>29</v>
      </c>
      <c r="DQ6" s="31">
        <f>季度计划!DQ6</f>
        <v>30</v>
      </c>
      <c r="DR6" s="31">
        <f>季度计划!DR6</f>
        <v>30</v>
      </c>
      <c r="DS6" s="31">
        <f>季度计划!DS6</f>
        <v>30</v>
      </c>
      <c r="DT6" s="31">
        <f>季度计划!DT6</f>
        <v>30</v>
      </c>
    </row>
    <row r="7" spans="1:124" ht="21" customHeight="1">
      <c r="A7" s="8"/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</row>
    <row r="8" spans="1:124" ht="24" customHeight="1">
      <c r="A8" s="23" t="s">
        <v>510</v>
      </c>
      <c r="B8" s="23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</row>
    <row r="9" spans="1:124" ht="21" customHeight="1">
      <c r="A9" s="8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</row>
    <row r="10" spans="1:124" ht="21" customHeight="1">
      <c r="A10" s="8" t="s">
        <v>511</v>
      </c>
      <c r="B10" s="8" t="s">
        <v>39</v>
      </c>
      <c r="C10" s="8"/>
      <c r="D10" s="9">
        <f>IF(0&lt;=核心参数输入!$B$9*4,季度经营税费!D68-季度经营税费!D69-季度经营税费!D62,0)</f>
        <v>0</v>
      </c>
      <c r="E10" s="9">
        <f>IF(1&lt;=核心参数输入!$B$9*4,季度经营税费!E68-季度经营税费!E69-季度经营税费!E62,0)</f>
        <v>0</v>
      </c>
      <c r="F10" s="9">
        <f>IF(2&lt;=核心参数输入!$B$9*4,季度经营税费!F68-季度经营税费!F69-季度经营税费!F62,0)</f>
        <v>0</v>
      </c>
      <c r="G10" s="9">
        <f>IF(3&lt;=核心参数输入!$B$9*4,季度经营税费!G68-季度经营税费!G69-季度经营税费!G62,0)</f>
        <v>0</v>
      </c>
      <c r="H10" s="9">
        <f>IF(4&lt;=核心参数输入!$B$9*4,季度经营税费!H68-季度经营税费!H69-季度经营税费!H62,0)</f>
        <v>0</v>
      </c>
      <c r="I10" s="9">
        <f>IF(5&lt;=核心参数输入!$B$9*4,季度经营税费!I68-季度经营税费!I69-季度经营税费!I62,0)</f>
        <v>0</v>
      </c>
      <c r="J10" s="9">
        <f>IF(6&lt;=核心参数输入!$B$9*4,季度经营税费!J68-季度经营税费!J69-季度经营税费!J62,0)</f>
        <v>0</v>
      </c>
      <c r="K10" s="9">
        <f>IF(7&lt;=核心参数输入!$B$9*4,季度经营税费!K68-季度经营税费!K69-季度经营税费!K62,0)</f>
        <v>0</v>
      </c>
      <c r="L10" s="9">
        <f>IF(8&lt;=核心参数输入!$B$9*4,季度经营税费!L68-季度经营税费!L69-季度经营税费!L62,0)</f>
        <v>0</v>
      </c>
      <c r="M10" s="9">
        <f>IF(9&lt;=核心参数输入!$B$9*4,季度经营税费!M68-季度经营税费!M69-季度经营税费!M62,0)</f>
        <v>0</v>
      </c>
      <c r="N10" s="9">
        <f>IF(10&lt;=核心参数输入!$B$9*4,季度经营税费!N68-季度经营税费!N69-季度经营税费!N62,0)</f>
        <v>0</v>
      </c>
      <c r="O10" s="9">
        <f>IF(11&lt;=核心参数输入!$B$9*4,季度经营税费!O68-季度经营税费!O69-季度经营税费!O62,0)</f>
        <v>0</v>
      </c>
      <c r="P10" s="9">
        <f>IF(12&lt;=核心参数输入!$B$9*4,季度经营税费!P68-季度经营税费!P69-季度经营税费!P62,0)</f>
        <v>0</v>
      </c>
      <c r="Q10" s="9">
        <f>IF(13&lt;=核心参数输入!$B$9*4,季度经营税费!Q68-季度经营税费!Q69-季度经营税费!Q62,0)</f>
        <v>2033.7140625000002</v>
      </c>
      <c r="R10" s="9">
        <f>IF(14&lt;=核心参数输入!$B$9*4,季度经营税费!R68-季度经营税费!R69-季度经营税费!R62,0)</f>
        <v>3144.5738458125002</v>
      </c>
      <c r="S10" s="9">
        <f>IF(15&lt;=核心参数输入!$B$9*4,季度经营税费!S68-季度经营税费!S69-季度经营税费!S62,0)</f>
        <v>3194.4809124375001</v>
      </c>
      <c r="T10" s="9">
        <f>IF(16&lt;=核心参数输入!$B$9*4,季度经营税费!T68-季度经营税费!T69-季度经营税费!T62,0)</f>
        <v>2788.0997166093744</v>
      </c>
      <c r="U10" s="9">
        <f>IF(17&lt;=核心参数输入!$B$9*4,季度经营税费!U68-季度经营税费!U69-季度经营税费!U62,0)</f>
        <v>4013.3198541853121</v>
      </c>
      <c r="V10" s="9">
        <f>IF(18&lt;=核心参数输入!$B$9*4,季度经营税费!V68-季度经营税费!V69-季度经营税费!V62,0)</f>
        <v>4410.7475750223748</v>
      </c>
      <c r="W10" s="9">
        <f>IF(19&lt;=核心参数输入!$B$9*4,季度经营税费!W68-季度经营税费!W69-季度经营税费!W62,0)</f>
        <v>4431.0098440721249</v>
      </c>
      <c r="X10" s="9">
        <f>IF(20&lt;=核心参数输入!$B$9*4,季度经营税费!X68-季度经营税费!X69-季度经营税费!X62,0)</f>
        <v>3591.3200790214532</v>
      </c>
      <c r="Y10" s="9">
        <f>IF(21&lt;=核心参数输入!$B$9*4,季度经营税费!Y68-季度经营税费!Y69-季度经营税费!Y62,0)</f>
        <v>3756.2028041541989</v>
      </c>
      <c r="Z10" s="9">
        <f>IF(22&lt;=核心参数输入!$B$9*4,季度经营税费!Z68-季度经营税费!Z69-季度经营税费!Z62,0)</f>
        <v>3412.2294818540086</v>
      </c>
      <c r="AA10" s="9">
        <f>IF(23&lt;=核心参数输入!$B$9*4,季度经营税费!AA68-季度经营税费!AA69-季度经营税费!AA62,0)</f>
        <v>3427.6541341681304</v>
      </c>
      <c r="AB10" s="9">
        <f>IF(24&lt;=核心参数输入!$B$9*4,季度经营税费!AB68-季度经营税费!AB69-季度经营税费!AB62,0)</f>
        <v>2743.2571723176052</v>
      </c>
      <c r="AC10" s="9">
        <f>IF(25&lt;=核心参数输入!$B$9*4,季度经营税费!AC68-季度经营税费!AC69-季度经营税费!AC62,0)</f>
        <v>1308.3574731908209</v>
      </c>
      <c r="AD10" s="9">
        <f>IF(26&lt;=核心参数输入!$B$9*4,季度经营税费!AD68-季度经营税费!AD69-季度经营税费!AD62,0)</f>
        <v>232.88857125670998</v>
      </c>
      <c r="AE10" s="9">
        <f>IF(27&lt;=核心参数输入!$B$9*4,季度经营税费!AE68-季度经营税费!AE69-季度经营税费!AE62,0)</f>
        <v>238.10724528965466</v>
      </c>
      <c r="AF10" s="9">
        <f>IF(28&lt;=核心参数输入!$B$9*4,季度经营税费!AF68-季度经营税费!AF69-季度经营税费!AF62,0)</f>
        <v>215.66017955765309</v>
      </c>
      <c r="AG10" s="9">
        <f>IF(29&lt;=核心参数输入!$B$9*4,季度经营税费!AG68-季度经营税费!AG69-季度经营税费!AG62,0)</f>
        <v>252.54980925587711</v>
      </c>
      <c r="AH10" s="9">
        <f>IF(30&lt;=核心参数输入!$B$9*4,季度经营税费!AH68-季度经营税费!AH69-季度经营税费!AH62,0)</f>
        <v>255.19828632759649</v>
      </c>
      <c r="AI10" s="9">
        <f>IF(31&lt;=核心参数输入!$B$9*4,季度经营税费!AI68-季度经营税费!AI69-季度经营税费!AI62,0)</f>
        <v>255.19828632759649</v>
      </c>
      <c r="AJ10" s="9">
        <f>IF(32&lt;=核心参数输入!$B$9*4,季度经营税费!AJ68-季度经营税费!AJ69-季度经营税费!AJ62,0)</f>
        <v>207.18961926792983</v>
      </c>
      <c r="AK10" s="9">
        <f>IF(33&lt;=核心参数输入!$B$9*4,季度经营税费!AK68-季度经营税费!AK69-季度经营税费!AK62,0)</f>
        <v>259.29534856251041</v>
      </c>
      <c r="AL10" s="9">
        <f>IF(34&lt;=核心参数输入!$B$9*4,季度经营税费!AL68-季度经营税费!AL69-季度经营税费!AL62,0)</f>
        <v>259.29534856251041</v>
      </c>
      <c r="AM10" s="9">
        <f>IF(35&lt;=核心参数输入!$B$9*4,季度经营税费!AM68-季度经营税费!AM69-季度经营税费!AM62,0)</f>
        <v>259.29534856251041</v>
      </c>
      <c r="AN10" s="9">
        <f>IF(36&lt;=核心参数输入!$B$9*4,季度经营税费!AN68-季度经营税费!AN69-季度经营税费!AN62,0)</f>
        <v>206.52750000000003</v>
      </c>
      <c r="AO10" s="9">
        <f>IF(37&lt;=核心参数输入!$B$9*4,季度经营税费!AO68-季度经营税费!AO69-季度经营税费!AO62,0)</f>
        <v>263.44574848974798</v>
      </c>
      <c r="AP10" s="9">
        <f>IF(38&lt;=核心参数输入!$B$9*4,季度经营税费!AP68-季度经营税费!AP69-季度经营税费!AP62,0)</f>
        <v>263.44574848974798</v>
      </c>
      <c r="AQ10" s="9">
        <f>IF(39&lt;=核心参数输入!$B$9*4,季度经营税费!AQ68-季度经营税费!AQ69-季度经营税费!AQ62,0)</f>
        <v>263.44574848974798</v>
      </c>
      <c r="AR10" s="9">
        <f>IF(40&lt;=核心参数输入!$B$9*4,季度经营税费!AR68-季度经营税费!AR69-季度经营税费!AR62,0)</f>
        <v>206.5275</v>
      </c>
      <c r="AS10" s="9">
        <f>IF(41&lt;=核心参数输入!$B$9*4,季度经营税费!AS68-季度经营税费!AS69-季度经营税费!AS62,0)</f>
        <v>267.65012380987014</v>
      </c>
      <c r="AT10" s="9">
        <f>IF(42&lt;=核心参数输入!$B$9*4,季度经营税费!AT68-季度经营税费!AT69-季度经营税费!AT62,0)</f>
        <v>267.65012380987014</v>
      </c>
      <c r="AU10" s="9">
        <f>IF(43&lt;=核心参数输入!$B$9*4,季度经营税费!AU68-季度经营税费!AU69-季度经营税费!AU62,0)</f>
        <v>267.65012380987014</v>
      </c>
      <c r="AV10" s="9">
        <f>IF(44&lt;=核心参数输入!$B$9*4,季度经营税费!AV68-季度经营税费!AV69-季度经营税费!AV62,0)</f>
        <v>206.52749999999995</v>
      </c>
      <c r="AW10" s="9">
        <f>IF(45&lt;=核心参数输入!$B$9*4,季度经营税费!AW68-季度经营税费!AW69-季度经营税费!AW62,0)</f>
        <v>271.90911854164972</v>
      </c>
      <c r="AX10" s="9">
        <f>IF(46&lt;=核心参数输入!$B$9*4,季度经营税费!AX68-季度经营税费!AX69-季度经营税费!AX62,0)</f>
        <v>271.90911854164972</v>
      </c>
      <c r="AY10" s="9">
        <f>IF(47&lt;=核心参数输入!$B$9*4,季度经营税费!AY68-季度经营税费!AY69-季度经营税费!AY62,0)</f>
        <v>271.90911854164972</v>
      </c>
      <c r="AZ10" s="9">
        <f>IF(48&lt;=核心参数输入!$B$9*4,季度经营税费!AZ68-季度经营税费!AZ69-季度经营税费!AZ62,0)</f>
        <v>206.52750000000003</v>
      </c>
      <c r="BA10" s="9">
        <f>IF(49&lt;=核心参数输入!$B$9*4,季度经营税费!BA68-季度经营税费!BA69-季度经营税费!BA62,0)</f>
        <v>276.22338305189851</v>
      </c>
      <c r="BB10" s="9">
        <f>IF(50&lt;=核心参数输入!$B$9*4,季度经营税费!BB68-季度经营税费!BB69-季度经营税费!BB62,0)</f>
        <v>276.22338305189851</v>
      </c>
      <c r="BC10" s="9">
        <f>IF(51&lt;=核心参数输入!$B$9*4,季度经营税费!BC68-季度经营税费!BC69-季度经营税费!BC62,0)</f>
        <v>276.22338305189851</v>
      </c>
      <c r="BD10" s="9">
        <f>IF(52&lt;=核心参数输入!$B$9*4,季度经营税费!BD68-季度经营税费!BD69-季度经营税费!BD62,0)</f>
        <v>206.52749999999995</v>
      </c>
      <c r="BE10" s="9">
        <f>IF(53&lt;=核心参数输入!$B$9*4,季度经营税费!BE68-季度经营税费!BE69-季度经营税费!BE62,0)</f>
        <v>280.59357408444356</v>
      </c>
      <c r="BF10" s="9">
        <f>IF(54&lt;=核心参数输入!$B$9*4,季度经营税费!BF68-季度经营税费!BF69-季度经营税费!BF62,0)</f>
        <v>280.59357408444356</v>
      </c>
      <c r="BG10" s="9">
        <f>IF(55&lt;=核心参数输入!$B$9*4,季度经营税费!BG68-季度经营税费!BG69-季度经营税费!BG62,0)</f>
        <v>280.59357408444356</v>
      </c>
      <c r="BH10" s="9">
        <f>IF(56&lt;=核心参数输入!$B$9*4,季度经营税费!BH68-季度经营税费!BH69-季度经营税费!BH62,0)</f>
        <v>206.52749999999997</v>
      </c>
      <c r="BI10" s="9">
        <f>IF(57&lt;=核心参数输入!$B$9*4,季度经营税费!BI68-季度经营税费!BI69-季度经营税费!BI62,0)</f>
        <v>285.0203547882121</v>
      </c>
      <c r="BJ10" s="9">
        <f>IF(58&lt;=核心参数输入!$B$9*4,季度经营税费!BJ68-季度经营税费!BJ69-季度经营税费!BJ62,0)</f>
        <v>285.0203547882121</v>
      </c>
      <c r="BK10" s="9">
        <f>IF(59&lt;=核心参数输入!$B$9*4,季度经营税费!BK68-季度经营税费!BK69-季度经营税费!BK62,0)</f>
        <v>285.0203547882121</v>
      </c>
      <c r="BL10" s="9">
        <f>IF(60&lt;=核心参数输入!$B$9*4,季度经营税费!BL68-季度经营税费!BL69-季度经营税费!BL62,0)</f>
        <v>206.52749999999989</v>
      </c>
      <c r="BM10" s="9">
        <f>IF(61&lt;=核心参数输入!$B$9*4,季度经营税费!BM68-季度经营税费!BM69-季度经营税费!BM62,0)</f>
        <v>289.50439474438724</v>
      </c>
      <c r="BN10" s="9">
        <f>IF(62&lt;=核心参数输入!$B$9*4,季度经营税费!BN68-季度经营税费!BN69-季度经营税费!BN62,0)</f>
        <v>289.50439474438724</v>
      </c>
      <c r="BO10" s="9">
        <f>IF(63&lt;=核心参数输入!$B$9*4,季度经营税费!BO68-季度经营税费!BO69-季度经营税费!BO62,0)</f>
        <v>289.50439474438724</v>
      </c>
      <c r="BP10" s="9">
        <f>IF(64&lt;=核心参数输入!$B$9*4,季度经营税费!BP68-季度经营税费!BP69-季度经营税费!BP62,0)</f>
        <v>206.52750000000003</v>
      </c>
      <c r="BQ10" s="9">
        <f>IF(65&lt;=核心参数输入!$B$9*4,季度经营税费!BQ68-季度经营税费!BQ69-季度经营税费!BQ62,0)</f>
        <v>294.04636999259213</v>
      </c>
      <c r="BR10" s="9">
        <f>IF(66&lt;=核心参数输入!$B$9*4,季度经营税费!BR68-季度经营税费!BR69-季度经营税费!BR62,0)</f>
        <v>294.04636999259213</v>
      </c>
      <c r="BS10" s="9">
        <f>IF(67&lt;=核心参数输入!$B$9*4,季度经营税费!BS68-季度经营税费!BS69-季度经营税费!BS62,0)</f>
        <v>294.04636999259213</v>
      </c>
      <c r="BT10" s="9">
        <f>IF(68&lt;=核心参数输入!$B$9*4,季度经营税费!BT68-季度经营税费!BT69-季度经营税费!BT62,0)</f>
        <v>206.5275</v>
      </c>
      <c r="BU10" s="9">
        <f>IF(69&lt;=核心参数输入!$B$9*4,季度经营税费!BU68-季度经营税费!BU69-季度经营税费!BU62,0)</f>
        <v>298.64696305606077</v>
      </c>
      <c r="BV10" s="9">
        <f>IF(70&lt;=核心参数输入!$B$9*4,季度经营税费!BV68-季度经营税费!BV69-季度经营税费!BV62,0)</f>
        <v>298.64696305606077</v>
      </c>
      <c r="BW10" s="9">
        <f>IF(71&lt;=核心参数输入!$B$9*4,季度经营税费!BW68-季度经营税费!BW69-季度经营税费!BW62,0)</f>
        <v>298.64696305606077</v>
      </c>
      <c r="BX10" s="9">
        <f>IF(72&lt;=核心参数输入!$B$9*4,季度经营税费!BX68-季度经营税费!BX69-季度经营税费!BX62,0)</f>
        <v>206.52749999999997</v>
      </c>
      <c r="BY10" s="9">
        <f>IF(73&lt;=核心参数输入!$B$9*4,季度经营税费!BY68-季度经营税费!BY69-季度经营税费!BY62,0)</f>
        <v>303.30686296575288</v>
      </c>
      <c r="BZ10" s="9">
        <f>IF(74&lt;=核心参数输入!$B$9*4,季度经营税费!BZ68-季度经营税费!BZ69-季度经营税费!BZ62,0)</f>
        <v>303.30686296575288</v>
      </c>
      <c r="CA10" s="9">
        <f>IF(75&lt;=核心参数输入!$B$9*4,季度经营税费!CA68-季度经营税费!CA69-季度经营税费!CA62,0)</f>
        <v>303.30686296575288</v>
      </c>
      <c r="CB10" s="9">
        <f>IF(76&lt;=核心参数输入!$B$9*4,季度经营税费!CB68-季度经营税费!CB69-季度经营税费!CB62,0)</f>
        <v>206.52749999999989</v>
      </c>
      <c r="CC10" s="9">
        <f>IF(77&lt;=核心参数输入!$B$9*4,季度经营税费!CC68-季度经营税费!CC69-季度经营税费!CC62,0)</f>
        <v>308.02676528336758</v>
      </c>
      <c r="CD10" s="9">
        <f>IF(78&lt;=核心参数输入!$B$9*4,季度经营税费!CD68-季度经营税费!CD69-季度经营税费!CD62,0)</f>
        <v>308.02676528336758</v>
      </c>
      <c r="CE10" s="9">
        <f>IF(79&lt;=核心参数输入!$B$9*4,季度经营税费!CE68-季度经营税费!CE69-季度经营税费!CE62,0)</f>
        <v>308.02676528336758</v>
      </c>
      <c r="CF10" s="9">
        <f>IF(80&lt;=核心参数输入!$B$9*4,季度经营税费!CF68-季度经营税费!CF69-季度经营税费!CF62,0)</f>
        <v>206.52750000000009</v>
      </c>
      <c r="CG10" s="9">
        <f>IF(81&lt;=核心参数输入!$B$9*4,季度经营税费!CG68-季度经营税费!CG69-季度经营税费!CG62,0)</f>
        <v>0</v>
      </c>
      <c r="CH10" s="9">
        <f>IF(82&lt;=核心参数输入!$B$9*4,季度经营税费!CH68-季度经营税费!CH69-季度经营税费!CH62,0)</f>
        <v>0</v>
      </c>
      <c r="CI10" s="9">
        <f>IF(83&lt;=核心参数输入!$B$9*4,季度经营税费!CI68-季度经营税费!CI69-季度经营税费!CI62,0)</f>
        <v>0</v>
      </c>
      <c r="CJ10" s="9">
        <f>IF(84&lt;=核心参数输入!$B$9*4,季度经营税费!CJ68-季度经营税费!CJ69-季度经营税费!CJ62,0)</f>
        <v>0</v>
      </c>
      <c r="CK10" s="9">
        <f>IF(85&lt;=核心参数输入!$B$9*4,季度经营税费!CK68-季度经营税费!CK69-季度经营税费!CK62,0)</f>
        <v>0</v>
      </c>
      <c r="CL10" s="9">
        <f>IF(86&lt;=核心参数输入!$B$9*4,季度经营税费!CL68-季度经营税费!CL69-季度经营税费!CL62,0)</f>
        <v>0</v>
      </c>
      <c r="CM10" s="9">
        <f>IF(87&lt;=核心参数输入!$B$9*4,季度经营税费!CM68-季度经营税费!CM69-季度经营税费!CM62,0)</f>
        <v>0</v>
      </c>
      <c r="CN10" s="9">
        <f>IF(88&lt;=核心参数输入!$B$9*4,季度经营税费!CN68-季度经营税费!CN69-季度经营税费!CN62,0)</f>
        <v>0</v>
      </c>
      <c r="CO10" s="9">
        <f>IF(89&lt;=核心参数输入!$B$9*4,季度经营税费!CO68-季度经营税费!CO69-季度经营税费!CO62,0)</f>
        <v>0</v>
      </c>
      <c r="CP10" s="9">
        <f>IF(90&lt;=核心参数输入!$B$9*4,季度经营税费!CP68-季度经营税费!CP69-季度经营税费!CP62,0)</f>
        <v>0</v>
      </c>
      <c r="CQ10" s="9">
        <f>IF(91&lt;=核心参数输入!$B$9*4,季度经营税费!CQ68-季度经营税费!CQ69-季度经营税费!CQ62,0)</f>
        <v>0</v>
      </c>
      <c r="CR10" s="9">
        <f>IF(92&lt;=核心参数输入!$B$9*4,季度经营税费!CR68-季度经营税费!CR69-季度经营税费!CR62,0)</f>
        <v>0</v>
      </c>
      <c r="CS10" s="9">
        <f>IF(93&lt;=核心参数输入!$B$9*4,季度经营税费!CS68-季度经营税费!CS69-季度经营税费!CS62,0)</f>
        <v>0</v>
      </c>
      <c r="CT10" s="9">
        <f>IF(94&lt;=核心参数输入!$B$9*4,季度经营税费!CT68-季度经营税费!CT69-季度经营税费!CT62,0)</f>
        <v>0</v>
      </c>
      <c r="CU10" s="9">
        <f>IF(95&lt;=核心参数输入!$B$9*4,季度经营税费!CU68-季度经营税费!CU69-季度经营税费!CU62,0)</f>
        <v>0</v>
      </c>
      <c r="CV10" s="9">
        <f>IF(96&lt;=核心参数输入!$B$9*4,季度经营税费!CV68-季度经营税费!CV69-季度经营税费!CV62,0)</f>
        <v>0</v>
      </c>
      <c r="CW10" s="9">
        <f>IF(97&lt;=核心参数输入!$B$9*4,季度经营税费!CW68-季度经营税费!CW69-季度经营税费!CW62,0)</f>
        <v>0</v>
      </c>
      <c r="CX10" s="9">
        <f>IF(98&lt;=核心参数输入!$B$9*4,季度经营税费!CX68-季度经营税费!CX69-季度经营税费!CX62,0)</f>
        <v>0</v>
      </c>
      <c r="CY10" s="9">
        <f>IF(99&lt;=核心参数输入!$B$9*4,季度经营税费!CY68-季度经营税费!CY69-季度经营税费!CY62,0)</f>
        <v>0</v>
      </c>
      <c r="CZ10" s="9">
        <f>IF(100&lt;=核心参数输入!$B$9*4,季度经营税费!CZ68-季度经营税费!CZ69-季度经营税费!CZ62,0)</f>
        <v>0</v>
      </c>
      <c r="DA10" s="9">
        <f>IF(101&lt;=核心参数输入!$B$9*4,季度经营税费!DA68-季度经营税费!DA69-季度经营税费!DA62,0)</f>
        <v>0</v>
      </c>
      <c r="DB10" s="9">
        <f>IF(102&lt;=核心参数输入!$B$9*4,季度经营税费!DB68-季度经营税费!DB69-季度经营税费!DB62,0)</f>
        <v>0</v>
      </c>
      <c r="DC10" s="9">
        <f>IF(103&lt;=核心参数输入!$B$9*4,季度经营税费!DC68-季度经营税费!DC69-季度经营税费!DC62,0)</f>
        <v>0</v>
      </c>
      <c r="DD10" s="9">
        <f>IF(104&lt;=核心参数输入!$B$9*4,季度经营税费!DD68-季度经营税费!DD69-季度经营税费!DD62,0)</f>
        <v>0</v>
      </c>
      <c r="DE10" s="9">
        <f>IF(105&lt;=核心参数输入!$B$9*4,季度经营税费!DE68-季度经营税费!DE69-季度经营税费!DE62,0)</f>
        <v>0</v>
      </c>
      <c r="DF10" s="9">
        <f>IF(106&lt;=核心参数输入!$B$9*4,季度经营税费!DF68-季度经营税费!DF69-季度经营税费!DF62,0)</f>
        <v>0</v>
      </c>
      <c r="DG10" s="9">
        <f>IF(107&lt;=核心参数输入!$B$9*4,季度经营税费!DG68-季度经营税费!DG69-季度经营税费!DG62,0)</f>
        <v>0</v>
      </c>
      <c r="DH10" s="9">
        <f>IF(108&lt;=核心参数输入!$B$9*4,季度经营税费!DH68-季度经营税费!DH69-季度经营税费!DH62,0)</f>
        <v>0</v>
      </c>
      <c r="DI10" s="9">
        <f>IF(109&lt;=核心参数输入!$B$9*4,季度经营税费!DI68-季度经营税费!DI69-季度经营税费!DI62,0)</f>
        <v>0</v>
      </c>
      <c r="DJ10" s="9">
        <f>IF(110&lt;=核心参数输入!$B$9*4,季度经营税费!DJ68-季度经营税费!DJ69-季度经营税费!DJ62,0)</f>
        <v>0</v>
      </c>
      <c r="DK10" s="9">
        <f>IF(111&lt;=核心参数输入!$B$9*4,季度经营税费!DK68-季度经营税费!DK69-季度经营税费!DK62,0)</f>
        <v>0</v>
      </c>
      <c r="DL10" s="9">
        <f>IF(112&lt;=核心参数输入!$B$9*4,季度经营税费!DL68-季度经营税费!DL69-季度经营税费!DL62,0)</f>
        <v>0</v>
      </c>
      <c r="DM10" s="9">
        <f>IF(113&lt;=核心参数输入!$B$9*4,季度经营税费!DM68-季度经营税费!DM69-季度经营税费!DM62,0)</f>
        <v>0</v>
      </c>
      <c r="DN10" s="9">
        <f>IF(114&lt;=核心参数输入!$B$9*4,季度经营税费!DN68-季度经营税费!DN69-季度经营税费!DN62,0)</f>
        <v>0</v>
      </c>
      <c r="DO10" s="9">
        <f>IF(115&lt;=核心参数输入!$B$9*4,季度经营税费!DO68-季度经营税费!DO69-季度经营税费!DO62,0)</f>
        <v>0</v>
      </c>
      <c r="DP10" s="9">
        <f>IF(116&lt;=核心参数输入!$B$9*4,季度经营税费!DP68-季度经营税费!DP69-季度经营税费!DP62,0)</f>
        <v>0</v>
      </c>
      <c r="DQ10" s="9">
        <f>IF(117&lt;=核心参数输入!$B$9*4,季度经营税费!DQ68-季度经营税费!DQ69-季度经营税费!DQ62,0)</f>
        <v>0</v>
      </c>
      <c r="DR10" s="9">
        <f>IF(118&lt;=核心参数输入!$B$9*4,季度经营税费!DR68-季度经营税费!DR69-季度经营税费!DR62,0)</f>
        <v>0</v>
      </c>
      <c r="DS10" s="9">
        <f>IF(119&lt;=核心参数输入!$B$9*4,季度经营税费!DS68-季度经营税费!DS69-季度经营税费!DS62,0)</f>
        <v>0</v>
      </c>
      <c r="DT10" s="9">
        <f>IF(120&lt;=核心参数输入!$B$9*4,季度经营税费!DT68-季度经营税费!DT69-季度经营税费!DT62,0)</f>
        <v>0</v>
      </c>
    </row>
    <row r="11" spans="1:124" ht="21" customHeight="1">
      <c r="A11" s="8" t="s">
        <v>512</v>
      </c>
      <c r="B11" s="8" t="s">
        <v>39</v>
      </c>
      <c r="C11" s="8"/>
      <c r="D11" s="9">
        <f>IF(0&lt;=核心参数输入!$B$9*4,季度投融资!D51,0)</f>
        <v>8000</v>
      </c>
      <c r="E11" s="9">
        <f>IF(1&lt;=核心参数输入!$B$9*4,季度投融资!E51,0)</f>
        <v>3969</v>
      </c>
      <c r="F11" s="9">
        <f>IF(2&lt;=核心参数输入!$B$9*4,季度投融资!F51,0)</f>
        <v>3969</v>
      </c>
      <c r="G11" s="9">
        <f>IF(3&lt;=核心参数输入!$B$9*4,季度投融资!G51,0)</f>
        <v>3969</v>
      </c>
      <c r="H11" s="9">
        <f>IF(4&lt;=核心参数输入!$B$9*4,季度投融资!H51,0)</f>
        <v>3969</v>
      </c>
      <c r="I11" s="9">
        <f>IF(5&lt;=核心参数输入!$B$9*4,季度投融资!I51,0)</f>
        <v>5292</v>
      </c>
      <c r="J11" s="9">
        <f>IF(6&lt;=核心参数输入!$B$9*4,季度投融资!J51,0)</f>
        <v>5292</v>
      </c>
      <c r="K11" s="9">
        <f>IF(7&lt;=核心参数输入!$B$9*4,季度投融资!K51,0)</f>
        <v>5292</v>
      </c>
      <c r="L11" s="9">
        <f>IF(8&lt;=核心参数输入!$B$9*4,季度投融资!L51,0)</f>
        <v>5292</v>
      </c>
      <c r="M11" s="9">
        <f>IF(9&lt;=核心参数输入!$B$9*4,季度投融资!M51,0)</f>
        <v>3969</v>
      </c>
      <c r="N11" s="9">
        <f>IF(10&lt;=核心参数输入!$B$9*4,季度投融资!N51,0)</f>
        <v>3969</v>
      </c>
      <c r="O11" s="9">
        <f>IF(11&lt;=核心参数输入!$B$9*4,季度投融资!O51,0)</f>
        <v>3969</v>
      </c>
      <c r="P11" s="9">
        <f>IF(12&lt;=核心参数输入!$B$9*4,季度投融资!P51,0)</f>
        <v>3969</v>
      </c>
      <c r="Q11" s="9">
        <f>IF(13&lt;=核心参数输入!$B$9*4,季度投融资!Q51,0)</f>
        <v>500</v>
      </c>
      <c r="R11" s="9">
        <f>IF(14&lt;=核心参数输入!$B$9*4,季度投融资!R51,0)</f>
        <v>0</v>
      </c>
      <c r="S11" s="9">
        <f>IF(15&lt;=核心参数输入!$B$9*4,季度投融资!S51,0)</f>
        <v>0</v>
      </c>
      <c r="T11" s="9">
        <f>IF(16&lt;=核心参数输入!$B$9*4,季度投融资!T51,0)</f>
        <v>0</v>
      </c>
      <c r="U11" s="9">
        <f>IF(17&lt;=核心参数输入!$B$9*4,季度投融资!U51,0)</f>
        <v>0</v>
      </c>
      <c r="V11" s="9">
        <f>IF(18&lt;=核心参数输入!$B$9*4,季度投融资!V51,0)</f>
        <v>0</v>
      </c>
      <c r="W11" s="9">
        <f>IF(19&lt;=核心参数输入!$B$9*4,季度投融资!W51,0)</f>
        <v>0</v>
      </c>
      <c r="X11" s="9">
        <f>IF(20&lt;=核心参数输入!$B$9*4,季度投融资!X51,0)</f>
        <v>0</v>
      </c>
      <c r="Y11" s="9">
        <f>IF(21&lt;=核心参数输入!$B$9*4,季度投融资!Y51,0)</f>
        <v>0</v>
      </c>
      <c r="Z11" s="9">
        <f>IF(22&lt;=核心参数输入!$B$9*4,季度投融资!Z51,0)</f>
        <v>0</v>
      </c>
      <c r="AA11" s="9">
        <f>IF(23&lt;=核心参数输入!$B$9*4,季度投融资!AA51,0)</f>
        <v>0</v>
      </c>
      <c r="AB11" s="9">
        <f>IF(24&lt;=核心参数输入!$B$9*4,季度投融资!AB51,0)</f>
        <v>0</v>
      </c>
      <c r="AC11" s="9">
        <f>IF(25&lt;=核心参数输入!$B$9*4,季度投融资!AC51,0)</f>
        <v>0</v>
      </c>
      <c r="AD11" s="9">
        <f>IF(26&lt;=核心参数输入!$B$9*4,季度投融资!AD51,0)</f>
        <v>0</v>
      </c>
      <c r="AE11" s="9">
        <f>IF(27&lt;=核心参数输入!$B$9*4,季度投融资!AE51,0)</f>
        <v>0</v>
      </c>
      <c r="AF11" s="9">
        <f>IF(28&lt;=核心参数输入!$B$9*4,季度投融资!AF51,0)</f>
        <v>0</v>
      </c>
      <c r="AG11" s="9">
        <f>IF(29&lt;=核心参数输入!$B$9*4,季度投融资!AG51,0)</f>
        <v>0</v>
      </c>
      <c r="AH11" s="9">
        <f>IF(30&lt;=核心参数输入!$B$9*4,季度投融资!AH51,0)</f>
        <v>0</v>
      </c>
      <c r="AI11" s="9">
        <f>IF(31&lt;=核心参数输入!$B$9*4,季度投融资!AI51,0)</f>
        <v>0</v>
      </c>
      <c r="AJ11" s="9">
        <f>IF(32&lt;=核心参数输入!$B$9*4,季度投融资!AJ51,0)</f>
        <v>0</v>
      </c>
      <c r="AK11" s="9">
        <f>IF(33&lt;=核心参数输入!$B$9*4,季度投融资!AK51,0)</f>
        <v>0</v>
      </c>
      <c r="AL11" s="9">
        <f>IF(34&lt;=核心参数输入!$B$9*4,季度投融资!AL51,0)</f>
        <v>0</v>
      </c>
      <c r="AM11" s="9">
        <f>IF(35&lt;=核心参数输入!$B$9*4,季度投融资!AM51,0)</f>
        <v>0</v>
      </c>
      <c r="AN11" s="9">
        <f>IF(36&lt;=核心参数输入!$B$9*4,季度投融资!AN51,0)</f>
        <v>0</v>
      </c>
      <c r="AO11" s="9">
        <f>IF(37&lt;=核心参数输入!$B$9*4,季度投融资!AO51,0)</f>
        <v>0</v>
      </c>
      <c r="AP11" s="9">
        <f>IF(38&lt;=核心参数输入!$B$9*4,季度投融资!AP51,0)</f>
        <v>0</v>
      </c>
      <c r="AQ11" s="9">
        <f>IF(39&lt;=核心参数输入!$B$9*4,季度投融资!AQ51,0)</f>
        <v>0</v>
      </c>
      <c r="AR11" s="9">
        <f>IF(40&lt;=核心参数输入!$B$9*4,季度投融资!AR51,0)</f>
        <v>0</v>
      </c>
      <c r="AS11" s="9">
        <f>IF(41&lt;=核心参数输入!$B$9*4,季度投融资!AS51,0)</f>
        <v>0</v>
      </c>
      <c r="AT11" s="9">
        <f>IF(42&lt;=核心参数输入!$B$9*4,季度投融资!AT51,0)</f>
        <v>0</v>
      </c>
      <c r="AU11" s="9">
        <f>IF(43&lt;=核心参数输入!$B$9*4,季度投融资!AU51,0)</f>
        <v>0</v>
      </c>
      <c r="AV11" s="9">
        <f>IF(44&lt;=核心参数输入!$B$9*4,季度投融资!AV51,0)</f>
        <v>0</v>
      </c>
      <c r="AW11" s="9">
        <f>IF(45&lt;=核心参数输入!$B$9*4,季度投融资!AW51,0)</f>
        <v>0</v>
      </c>
      <c r="AX11" s="9">
        <f>IF(46&lt;=核心参数输入!$B$9*4,季度投融资!AX51,0)</f>
        <v>0</v>
      </c>
      <c r="AY11" s="9">
        <f>IF(47&lt;=核心参数输入!$B$9*4,季度投融资!AY51,0)</f>
        <v>0</v>
      </c>
      <c r="AZ11" s="9">
        <f>IF(48&lt;=核心参数输入!$B$9*4,季度投融资!AZ51,0)</f>
        <v>0</v>
      </c>
      <c r="BA11" s="9">
        <f>IF(49&lt;=核心参数输入!$B$9*4,季度投融资!BA51,0)</f>
        <v>0</v>
      </c>
      <c r="BB11" s="9">
        <f>IF(50&lt;=核心参数输入!$B$9*4,季度投融资!BB51,0)</f>
        <v>0</v>
      </c>
      <c r="BC11" s="9">
        <f>IF(51&lt;=核心参数输入!$B$9*4,季度投融资!BC51,0)</f>
        <v>0</v>
      </c>
      <c r="BD11" s="9">
        <f>IF(52&lt;=核心参数输入!$B$9*4,季度投融资!BD51,0)</f>
        <v>0</v>
      </c>
      <c r="BE11" s="9">
        <f>IF(53&lt;=核心参数输入!$B$9*4,季度投融资!BE51,0)</f>
        <v>0</v>
      </c>
      <c r="BF11" s="9">
        <f>IF(54&lt;=核心参数输入!$B$9*4,季度投融资!BF51,0)</f>
        <v>0</v>
      </c>
      <c r="BG11" s="9">
        <f>IF(55&lt;=核心参数输入!$B$9*4,季度投融资!BG51,0)</f>
        <v>0</v>
      </c>
      <c r="BH11" s="9">
        <f>IF(56&lt;=核心参数输入!$B$9*4,季度投融资!BH51,0)</f>
        <v>0</v>
      </c>
      <c r="BI11" s="9">
        <f>IF(57&lt;=核心参数输入!$B$9*4,季度投融资!BI51,0)</f>
        <v>0</v>
      </c>
      <c r="BJ11" s="9">
        <f>IF(58&lt;=核心参数输入!$B$9*4,季度投融资!BJ51,0)</f>
        <v>0</v>
      </c>
      <c r="BK11" s="9">
        <f>IF(59&lt;=核心参数输入!$B$9*4,季度投融资!BK51,0)</f>
        <v>0</v>
      </c>
      <c r="BL11" s="9">
        <f>IF(60&lt;=核心参数输入!$B$9*4,季度投融资!BL51,0)</f>
        <v>0</v>
      </c>
      <c r="BM11" s="9">
        <f>IF(61&lt;=核心参数输入!$B$9*4,季度投融资!BM51,0)</f>
        <v>0</v>
      </c>
      <c r="BN11" s="9">
        <f>IF(62&lt;=核心参数输入!$B$9*4,季度投融资!BN51,0)</f>
        <v>0</v>
      </c>
      <c r="BO11" s="9">
        <f>IF(63&lt;=核心参数输入!$B$9*4,季度投融资!BO51,0)</f>
        <v>0</v>
      </c>
      <c r="BP11" s="9">
        <f>IF(64&lt;=核心参数输入!$B$9*4,季度投融资!BP51,0)</f>
        <v>0</v>
      </c>
      <c r="BQ11" s="9">
        <f>IF(65&lt;=核心参数输入!$B$9*4,季度投融资!BQ51,0)</f>
        <v>0</v>
      </c>
      <c r="BR11" s="9">
        <f>IF(66&lt;=核心参数输入!$B$9*4,季度投融资!BR51,0)</f>
        <v>0</v>
      </c>
      <c r="BS11" s="9">
        <f>IF(67&lt;=核心参数输入!$B$9*4,季度投融资!BS51,0)</f>
        <v>0</v>
      </c>
      <c r="BT11" s="9">
        <f>IF(68&lt;=核心参数输入!$B$9*4,季度投融资!BT51,0)</f>
        <v>0</v>
      </c>
      <c r="BU11" s="9">
        <f>IF(69&lt;=核心参数输入!$B$9*4,季度投融资!BU51,0)</f>
        <v>0</v>
      </c>
      <c r="BV11" s="9">
        <f>IF(70&lt;=核心参数输入!$B$9*4,季度投融资!BV51,0)</f>
        <v>0</v>
      </c>
      <c r="BW11" s="9">
        <f>IF(71&lt;=核心参数输入!$B$9*4,季度投融资!BW51,0)</f>
        <v>0</v>
      </c>
      <c r="BX11" s="9">
        <f>IF(72&lt;=核心参数输入!$B$9*4,季度投融资!BX51,0)</f>
        <v>0</v>
      </c>
      <c r="BY11" s="9">
        <f>IF(73&lt;=核心参数输入!$B$9*4,季度投融资!BY51,0)</f>
        <v>0</v>
      </c>
      <c r="BZ11" s="9">
        <f>IF(74&lt;=核心参数输入!$B$9*4,季度投融资!BZ51,0)</f>
        <v>0</v>
      </c>
      <c r="CA11" s="9">
        <f>IF(75&lt;=核心参数输入!$B$9*4,季度投融资!CA51,0)</f>
        <v>0</v>
      </c>
      <c r="CB11" s="9">
        <f>IF(76&lt;=核心参数输入!$B$9*4,季度投融资!CB51,0)</f>
        <v>0</v>
      </c>
      <c r="CC11" s="9">
        <f>IF(77&lt;=核心参数输入!$B$9*4,季度投融资!CC51,0)</f>
        <v>0</v>
      </c>
      <c r="CD11" s="9">
        <f>IF(78&lt;=核心参数输入!$B$9*4,季度投融资!CD51,0)</f>
        <v>0</v>
      </c>
      <c r="CE11" s="9">
        <f>IF(79&lt;=核心参数输入!$B$9*4,季度投融资!CE51,0)</f>
        <v>0</v>
      </c>
      <c r="CF11" s="9">
        <f>IF(80&lt;=核心参数输入!$B$9*4,季度投融资!CF51,0)</f>
        <v>0</v>
      </c>
      <c r="CG11" s="9">
        <f>IF(81&lt;=核心参数输入!$B$9*4,季度投融资!CG51,0)</f>
        <v>0</v>
      </c>
      <c r="CH11" s="9">
        <f>IF(82&lt;=核心参数输入!$B$9*4,季度投融资!CH51,0)</f>
        <v>0</v>
      </c>
      <c r="CI11" s="9">
        <f>IF(83&lt;=核心参数输入!$B$9*4,季度投融资!CI51,0)</f>
        <v>0</v>
      </c>
      <c r="CJ11" s="9">
        <f>IF(84&lt;=核心参数输入!$B$9*4,季度投融资!CJ51,0)</f>
        <v>0</v>
      </c>
      <c r="CK11" s="9">
        <f>IF(85&lt;=核心参数输入!$B$9*4,季度投融资!CK51,0)</f>
        <v>0</v>
      </c>
      <c r="CL11" s="9">
        <f>IF(86&lt;=核心参数输入!$B$9*4,季度投融资!CL51,0)</f>
        <v>0</v>
      </c>
      <c r="CM11" s="9">
        <f>IF(87&lt;=核心参数输入!$B$9*4,季度投融资!CM51,0)</f>
        <v>0</v>
      </c>
      <c r="CN11" s="9">
        <f>IF(88&lt;=核心参数输入!$B$9*4,季度投融资!CN51,0)</f>
        <v>0</v>
      </c>
      <c r="CO11" s="9">
        <f>IF(89&lt;=核心参数输入!$B$9*4,季度投融资!CO51,0)</f>
        <v>0</v>
      </c>
      <c r="CP11" s="9">
        <f>IF(90&lt;=核心参数输入!$B$9*4,季度投融资!CP51,0)</f>
        <v>0</v>
      </c>
      <c r="CQ11" s="9">
        <f>IF(91&lt;=核心参数输入!$B$9*4,季度投融资!CQ51,0)</f>
        <v>0</v>
      </c>
      <c r="CR11" s="9">
        <f>IF(92&lt;=核心参数输入!$B$9*4,季度投融资!CR51,0)</f>
        <v>0</v>
      </c>
      <c r="CS11" s="9">
        <f>IF(93&lt;=核心参数输入!$B$9*4,季度投融资!CS51,0)</f>
        <v>0</v>
      </c>
      <c r="CT11" s="9">
        <f>IF(94&lt;=核心参数输入!$B$9*4,季度投融资!CT51,0)</f>
        <v>0</v>
      </c>
      <c r="CU11" s="9">
        <f>IF(95&lt;=核心参数输入!$B$9*4,季度投融资!CU51,0)</f>
        <v>0</v>
      </c>
      <c r="CV11" s="9">
        <f>IF(96&lt;=核心参数输入!$B$9*4,季度投融资!CV51,0)</f>
        <v>0</v>
      </c>
      <c r="CW11" s="9">
        <f>IF(97&lt;=核心参数输入!$B$9*4,季度投融资!CW51,0)</f>
        <v>0</v>
      </c>
      <c r="CX11" s="9">
        <f>IF(98&lt;=核心参数输入!$B$9*4,季度投融资!CX51,0)</f>
        <v>0</v>
      </c>
      <c r="CY11" s="9">
        <f>IF(99&lt;=核心参数输入!$B$9*4,季度投融资!CY51,0)</f>
        <v>0</v>
      </c>
      <c r="CZ11" s="9">
        <f>IF(100&lt;=核心参数输入!$B$9*4,季度投融资!CZ51,0)</f>
        <v>0</v>
      </c>
      <c r="DA11" s="9">
        <f>IF(101&lt;=核心参数输入!$B$9*4,季度投融资!DA51,0)</f>
        <v>0</v>
      </c>
      <c r="DB11" s="9">
        <f>IF(102&lt;=核心参数输入!$B$9*4,季度投融资!DB51,0)</f>
        <v>0</v>
      </c>
      <c r="DC11" s="9">
        <f>IF(103&lt;=核心参数输入!$B$9*4,季度投融资!DC51,0)</f>
        <v>0</v>
      </c>
      <c r="DD11" s="9">
        <f>IF(104&lt;=核心参数输入!$B$9*4,季度投融资!DD51,0)</f>
        <v>0</v>
      </c>
      <c r="DE11" s="9">
        <f>IF(105&lt;=核心参数输入!$B$9*4,季度投融资!DE51,0)</f>
        <v>0</v>
      </c>
      <c r="DF11" s="9">
        <f>IF(106&lt;=核心参数输入!$B$9*4,季度投融资!DF51,0)</f>
        <v>0</v>
      </c>
      <c r="DG11" s="9">
        <f>IF(107&lt;=核心参数输入!$B$9*4,季度投融资!DG51,0)</f>
        <v>0</v>
      </c>
      <c r="DH11" s="9">
        <f>IF(108&lt;=核心参数输入!$B$9*4,季度投融资!DH51,0)</f>
        <v>0</v>
      </c>
      <c r="DI11" s="9">
        <f>IF(109&lt;=核心参数输入!$B$9*4,季度投融资!DI51,0)</f>
        <v>0</v>
      </c>
      <c r="DJ11" s="9">
        <f>IF(110&lt;=核心参数输入!$B$9*4,季度投融资!DJ51,0)</f>
        <v>0</v>
      </c>
      <c r="DK11" s="9">
        <f>IF(111&lt;=核心参数输入!$B$9*4,季度投融资!DK51,0)</f>
        <v>0</v>
      </c>
      <c r="DL11" s="9">
        <f>IF(112&lt;=核心参数输入!$B$9*4,季度投融资!DL51,0)</f>
        <v>0</v>
      </c>
      <c r="DM11" s="9">
        <f>IF(113&lt;=核心参数输入!$B$9*4,季度投融资!DM51,0)</f>
        <v>0</v>
      </c>
      <c r="DN11" s="9">
        <f>IF(114&lt;=核心参数输入!$B$9*4,季度投融资!DN51,0)</f>
        <v>0</v>
      </c>
      <c r="DO11" s="9">
        <f>IF(115&lt;=核心参数输入!$B$9*4,季度投融资!DO51,0)</f>
        <v>0</v>
      </c>
      <c r="DP11" s="9">
        <f>IF(116&lt;=核心参数输入!$B$9*4,季度投融资!DP51,0)</f>
        <v>0</v>
      </c>
      <c r="DQ11" s="9">
        <f>IF(117&lt;=核心参数输入!$B$9*4,季度投融资!DQ51,0)</f>
        <v>0</v>
      </c>
      <c r="DR11" s="9">
        <f>IF(118&lt;=核心参数输入!$B$9*4,季度投融资!DR51,0)</f>
        <v>0</v>
      </c>
      <c r="DS11" s="9">
        <f>IF(119&lt;=核心参数输入!$B$9*4,季度投融资!DS51,0)</f>
        <v>0</v>
      </c>
      <c r="DT11" s="9">
        <f>IF(120&lt;=核心参数输入!$B$9*4,季度投融资!DT51,0)</f>
        <v>0</v>
      </c>
    </row>
    <row r="12" spans="1:124" ht="21" customHeight="1">
      <c r="A12" s="8" t="s">
        <v>372</v>
      </c>
      <c r="B12" s="8" t="s">
        <v>39</v>
      </c>
      <c r="C12" s="8"/>
      <c r="D12" s="9">
        <f>IF(0&lt;=核心参数输入!$B$9*4,季度投融资!D39,0)</f>
        <v>0</v>
      </c>
      <c r="E12" s="9">
        <f>IF(1&lt;=核心参数输入!$B$9*4,季度投融资!E39,0)</f>
        <v>2250</v>
      </c>
      <c r="F12" s="9">
        <f>IF(2&lt;=核心参数输入!$B$9*4,季度投融资!F39,0)</f>
        <v>2250</v>
      </c>
      <c r="G12" s="9">
        <f>IF(3&lt;=核心参数输入!$B$9*4,季度投融资!G39,0)</f>
        <v>2250</v>
      </c>
      <c r="H12" s="9">
        <f>IF(4&lt;=核心参数输入!$B$9*4,季度投融资!H39,0)</f>
        <v>2250</v>
      </c>
      <c r="I12" s="9">
        <f>IF(5&lt;=核心参数输入!$B$9*4,季度投融资!I39,0)</f>
        <v>3000</v>
      </c>
      <c r="J12" s="9">
        <f>IF(6&lt;=核心参数输入!$B$9*4,季度投融资!J39,0)</f>
        <v>3000</v>
      </c>
      <c r="K12" s="9">
        <f>IF(7&lt;=核心参数输入!$B$9*4,季度投融资!K39,0)</f>
        <v>3000</v>
      </c>
      <c r="L12" s="9">
        <f>IF(8&lt;=核心参数输入!$B$9*4,季度投融资!L39,0)</f>
        <v>3000</v>
      </c>
      <c r="M12" s="9">
        <f>IF(9&lt;=核心参数输入!$B$9*4,季度投融资!M39,0)</f>
        <v>2250</v>
      </c>
      <c r="N12" s="9">
        <f>IF(10&lt;=核心参数输入!$B$9*4,季度投融资!N39,0)</f>
        <v>2250</v>
      </c>
      <c r="O12" s="9">
        <f>IF(11&lt;=核心参数输入!$B$9*4,季度投融资!O39,0)</f>
        <v>2250</v>
      </c>
      <c r="P12" s="9">
        <f>IF(12&lt;=核心参数输入!$B$9*4,季度投融资!P39,0)</f>
        <v>2250</v>
      </c>
      <c r="Q12" s="9">
        <f>IF(13&lt;=核心参数输入!$B$9*4,季度投融资!Q39,0)</f>
        <v>0</v>
      </c>
      <c r="R12" s="9">
        <f>IF(14&lt;=核心参数输入!$B$9*4,季度投融资!R39,0)</f>
        <v>0</v>
      </c>
      <c r="S12" s="9">
        <f>IF(15&lt;=核心参数输入!$B$9*4,季度投融资!S39,0)</f>
        <v>0</v>
      </c>
      <c r="T12" s="9">
        <f>IF(16&lt;=核心参数输入!$B$9*4,季度投融资!T39,0)</f>
        <v>0</v>
      </c>
      <c r="U12" s="9">
        <f>IF(17&lt;=核心参数输入!$B$9*4,季度投融资!U39,0)</f>
        <v>0</v>
      </c>
      <c r="V12" s="9">
        <f>IF(18&lt;=核心参数输入!$B$9*4,季度投融资!V39,0)</f>
        <v>0</v>
      </c>
      <c r="W12" s="9">
        <f>IF(19&lt;=核心参数输入!$B$9*4,季度投融资!W39,0)</f>
        <v>0</v>
      </c>
      <c r="X12" s="9">
        <f>IF(20&lt;=核心参数输入!$B$9*4,季度投融资!X39,0)</f>
        <v>0</v>
      </c>
      <c r="Y12" s="9">
        <f>IF(21&lt;=核心参数输入!$B$9*4,季度投融资!Y39,0)</f>
        <v>0</v>
      </c>
      <c r="Z12" s="9">
        <f>IF(22&lt;=核心参数输入!$B$9*4,季度投融资!Z39,0)</f>
        <v>0</v>
      </c>
      <c r="AA12" s="9">
        <f>IF(23&lt;=核心参数输入!$B$9*4,季度投融资!AA39,0)</f>
        <v>0</v>
      </c>
      <c r="AB12" s="9">
        <f>IF(24&lt;=核心参数输入!$B$9*4,季度投融资!AB39,0)</f>
        <v>0</v>
      </c>
      <c r="AC12" s="9">
        <f>IF(25&lt;=核心参数输入!$B$9*4,季度投融资!AC39,0)</f>
        <v>0</v>
      </c>
      <c r="AD12" s="9">
        <f>IF(26&lt;=核心参数输入!$B$9*4,季度投融资!AD39,0)</f>
        <v>0</v>
      </c>
      <c r="AE12" s="9">
        <f>IF(27&lt;=核心参数输入!$B$9*4,季度投融资!AE39,0)</f>
        <v>0</v>
      </c>
      <c r="AF12" s="9">
        <f>IF(28&lt;=核心参数输入!$B$9*4,季度投融资!AF39,0)</f>
        <v>0</v>
      </c>
      <c r="AG12" s="9">
        <f>IF(29&lt;=核心参数输入!$B$9*4,季度投融资!AG39,0)</f>
        <v>0</v>
      </c>
      <c r="AH12" s="9">
        <f>IF(30&lt;=核心参数输入!$B$9*4,季度投融资!AH39,0)</f>
        <v>0</v>
      </c>
      <c r="AI12" s="9">
        <f>IF(31&lt;=核心参数输入!$B$9*4,季度投融资!AI39,0)</f>
        <v>0</v>
      </c>
      <c r="AJ12" s="9">
        <f>IF(32&lt;=核心参数输入!$B$9*4,季度投融资!AJ39,0)</f>
        <v>0</v>
      </c>
      <c r="AK12" s="9">
        <f>IF(33&lt;=核心参数输入!$B$9*4,季度投融资!AK39,0)</f>
        <v>0</v>
      </c>
      <c r="AL12" s="9">
        <f>IF(34&lt;=核心参数输入!$B$9*4,季度投融资!AL39,0)</f>
        <v>0</v>
      </c>
      <c r="AM12" s="9">
        <f>IF(35&lt;=核心参数输入!$B$9*4,季度投融资!AM39,0)</f>
        <v>0</v>
      </c>
      <c r="AN12" s="9">
        <f>IF(36&lt;=核心参数输入!$B$9*4,季度投融资!AN39,0)</f>
        <v>0</v>
      </c>
      <c r="AO12" s="9">
        <f>IF(37&lt;=核心参数输入!$B$9*4,季度投融资!AO39,0)</f>
        <v>0</v>
      </c>
      <c r="AP12" s="9">
        <f>IF(38&lt;=核心参数输入!$B$9*4,季度投融资!AP39,0)</f>
        <v>0</v>
      </c>
      <c r="AQ12" s="9">
        <f>IF(39&lt;=核心参数输入!$B$9*4,季度投融资!AQ39,0)</f>
        <v>0</v>
      </c>
      <c r="AR12" s="9">
        <f>IF(40&lt;=核心参数输入!$B$9*4,季度投融资!AR39,0)</f>
        <v>0</v>
      </c>
      <c r="AS12" s="9">
        <f>IF(41&lt;=核心参数输入!$B$9*4,季度投融资!AS39,0)</f>
        <v>0</v>
      </c>
      <c r="AT12" s="9">
        <f>IF(42&lt;=核心参数输入!$B$9*4,季度投融资!AT39,0)</f>
        <v>0</v>
      </c>
      <c r="AU12" s="9">
        <f>IF(43&lt;=核心参数输入!$B$9*4,季度投融资!AU39,0)</f>
        <v>0</v>
      </c>
      <c r="AV12" s="9">
        <f>IF(44&lt;=核心参数输入!$B$9*4,季度投融资!AV39,0)</f>
        <v>0</v>
      </c>
      <c r="AW12" s="9">
        <f>IF(45&lt;=核心参数输入!$B$9*4,季度投融资!AW39,0)</f>
        <v>0</v>
      </c>
      <c r="AX12" s="9">
        <f>IF(46&lt;=核心参数输入!$B$9*4,季度投融资!AX39,0)</f>
        <v>0</v>
      </c>
      <c r="AY12" s="9">
        <f>IF(47&lt;=核心参数输入!$B$9*4,季度投融资!AY39,0)</f>
        <v>0</v>
      </c>
      <c r="AZ12" s="9">
        <f>IF(48&lt;=核心参数输入!$B$9*4,季度投融资!AZ39,0)</f>
        <v>0</v>
      </c>
      <c r="BA12" s="9">
        <f>IF(49&lt;=核心参数输入!$B$9*4,季度投融资!BA39,0)</f>
        <v>0</v>
      </c>
      <c r="BB12" s="9">
        <f>IF(50&lt;=核心参数输入!$B$9*4,季度投融资!BB39,0)</f>
        <v>0</v>
      </c>
      <c r="BC12" s="9">
        <f>IF(51&lt;=核心参数输入!$B$9*4,季度投融资!BC39,0)</f>
        <v>0</v>
      </c>
      <c r="BD12" s="9">
        <f>IF(52&lt;=核心参数输入!$B$9*4,季度投融资!BD39,0)</f>
        <v>0</v>
      </c>
      <c r="BE12" s="9">
        <f>IF(53&lt;=核心参数输入!$B$9*4,季度投融资!BE39,0)</f>
        <v>0</v>
      </c>
      <c r="BF12" s="9">
        <f>IF(54&lt;=核心参数输入!$B$9*4,季度投融资!BF39,0)</f>
        <v>0</v>
      </c>
      <c r="BG12" s="9">
        <f>IF(55&lt;=核心参数输入!$B$9*4,季度投融资!BG39,0)</f>
        <v>0</v>
      </c>
      <c r="BH12" s="9">
        <f>IF(56&lt;=核心参数输入!$B$9*4,季度投融资!BH39,0)</f>
        <v>0</v>
      </c>
      <c r="BI12" s="9">
        <f>IF(57&lt;=核心参数输入!$B$9*4,季度投融资!BI39,0)</f>
        <v>0</v>
      </c>
      <c r="BJ12" s="9">
        <f>IF(58&lt;=核心参数输入!$B$9*4,季度投融资!BJ39,0)</f>
        <v>0</v>
      </c>
      <c r="BK12" s="9">
        <f>IF(59&lt;=核心参数输入!$B$9*4,季度投融资!BK39,0)</f>
        <v>0</v>
      </c>
      <c r="BL12" s="9">
        <f>IF(60&lt;=核心参数输入!$B$9*4,季度投融资!BL39,0)</f>
        <v>0</v>
      </c>
      <c r="BM12" s="9">
        <f>IF(61&lt;=核心参数输入!$B$9*4,季度投融资!BM39,0)</f>
        <v>0</v>
      </c>
      <c r="BN12" s="9">
        <f>IF(62&lt;=核心参数输入!$B$9*4,季度投融资!BN39,0)</f>
        <v>0</v>
      </c>
      <c r="BO12" s="9">
        <f>IF(63&lt;=核心参数输入!$B$9*4,季度投融资!BO39,0)</f>
        <v>0</v>
      </c>
      <c r="BP12" s="9">
        <f>IF(64&lt;=核心参数输入!$B$9*4,季度投融资!BP39,0)</f>
        <v>0</v>
      </c>
      <c r="BQ12" s="9">
        <f>IF(65&lt;=核心参数输入!$B$9*4,季度投融资!BQ39,0)</f>
        <v>0</v>
      </c>
      <c r="BR12" s="9">
        <f>IF(66&lt;=核心参数输入!$B$9*4,季度投融资!BR39,0)</f>
        <v>0</v>
      </c>
      <c r="BS12" s="9">
        <f>IF(67&lt;=核心参数输入!$B$9*4,季度投融资!BS39,0)</f>
        <v>0</v>
      </c>
      <c r="BT12" s="9">
        <f>IF(68&lt;=核心参数输入!$B$9*4,季度投融资!BT39,0)</f>
        <v>0</v>
      </c>
      <c r="BU12" s="9">
        <f>IF(69&lt;=核心参数输入!$B$9*4,季度投融资!BU39,0)</f>
        <v>0</v>
      </c>
      <c r="BV12" s="9">
        <f>IF(70&lt;=核心参数输入!$B$9*4,季度投融资!BV39,0)</f>
        <v>0</v>
      </c>
      <c r="BW12" s="9">
        <f>IF(71&lt;=核心参数输入!$B$9*4,季度投融资!BW39,0)</f>
        <v>0</v>
      </c>
      <c r="BX12" s="9">
        <f>IF(72&lt;=核心参数输入!$B$9*4,季度投融资!BX39,0)</f>
        <v>0</v>
      </c>
      <c r="BY12" s="9">
        <f>IF(73&lt;=核心参数输入!$B$9*4,季度投融资!BY39,0)</f>
        <v>0</v>
      </c>
      <c r="BZ12" s="9">
        <f>IF(74&lt;=核心参数输入!$B$9*4,季度投融资!BZ39,0)</f>
        <v>0</v>
      </c>
      <c r="CA12" s="9">
        <f>IF(75&lt;=核心参数输入!$B$9*4,季度投融资!CA39,0)</f>
        <v>0</v>
      </c>
      <c r="CB12" s="9">
        <f>IF(76&lt;=核心参数输入!$B$9*4,季度投融资!CB39,0)</f>
        <v>0</v>
      </c>
      <c r="CC12" s="9">
        <f>IF(77&lt;=核心参数输入!$B$9*4,季度投融资!CC39,0)</f>
        <v>0</v>
      </c>
      <c r="CD12" s="9">
        <f>IF(78&lt;=核心参数输入!$B$9*4,季度投融资!CD39,0)</f>
        <v>0</v>
      </c>
      <c r="CE12" s="9">
        <f>IF(79&lt;=核心参数输入!$B$9*4,季度投融资!CE39,0)</f>
        <v>0</v>
      </c>
      <c r="CF12" s="9">
        <f>IF(80&lt;=核心参数输入!$B$9*4,季度投融资!CF39,0)</f>
        <v>0</v>
      </c>
      <c r="CG12" s="9">
        <f>IF(81&lt;=核心参数输入!$B$9*4,季度投融资!CG39,0)</f>
        <v>0</v>
      </c>
      <c r="CH12" s="9">
        <f>IF(82&lt;=核心参数输入!$B$9*4,季度投融资!CH39,0)</f>
        <v>0</v>
      </c>
      <c r="CI12" s="9">
        <f>IF(83&lt;=核心参数输入!$B$9*4,季度投融资!CI39,0)</f>
        <v>0</v>
      </c>
      <c r="CJ12" s="9">
        <f>IF(84&lt;=核心参数输入!$B$9*4,季度投融资!CJ39,0)</f>
        <v>0</v>
      </c>
      <c r="CK12" s="9">
        <f>IF(85&lt;=核心参数输入!$B$9*4,季度投融资!CK39,0)</f>
        <v>0</v>
      </c>
      <c r="CL12" s="9">
        <f>IF(86&lt;=核心参数输入!$B$9*4,季度投融资!CL39,0)</f>
        <v>0</v>
      </c>
      <c r="CM12" s="9">
        <f>IF(87&lt;=核心参数输入!$B$9*4,季度投融资!CM39,0)</f>
        <v>0</v>
      </c>
      <c r="CN12" s="9">
        <f>IF(88&lt;=核心参数输入!$B$9*4,季度投融资!CN39,0)</f>
        <v>0</v>
      </c>
      <c r="CO12" s="9">
        <f>IF(89&lt;=核心参数输入!$B$9*4,季度投融资!CO39,0)</f>
        <v>0</v>
      </c>
      <c r="CP12" s="9">
        <f>IF(90&lt;=核心参数输入!$B$9*4,季度投融资!CP39,0)</f>
        <v>0</v>
      </c>
      <c r="CQ12" s="9">
        <f>IF(91&lt;=核心参数输入!$B$9*4,季度投融资!CQ39,0)</f>
        <v>0</v>
      </c>
      <c r="CR12" s="9">
        <f>IF(92&lt;=核心参数输入!$B$9*4,季度投融资!CR39,0)</f>
        <v>0</v>
      </c>
      <c r="CS12" s="9">
        <f>IF(93&lt;=核心参数输入!$B$9*4,季度投融资!CS39,0)</f>
        <v>0</v>
      </c>
      <c r="CT12" s="9">
        <f>IF(94&lt;=核心参数输入!$B$9*4,季度投融资!CT39,0)</f>
        <v>0</v>
      </c>
      <c r="CU12" s="9">
        <f>IF(95&lt;=核心参数输入!$B$9*4,季度投融资!CU39,0)</f>
        <v>0</v>
      </c>
      <c r="CV12" s="9">
        <f>IF(96&lt;=核心参数输入!$B$9*4,季度投融资!CV39,0)</f>
        <v>0</v>
      </c>
      <c r="CW12" s="9">
        <f>IF(97&lt;=核心参数输入!$B$9*4,季度投融资!CW39,0)</f>
        <v>0</v>
      </c>
      <c r="CX12" s="9">
        <f>IF(98&lt;=核心参数输入!$B$9*4,季度投融资!CX39,0)</f>
        <v>0</v>
      </c>
      <c r="CY12" s="9">
        <f>IF(99&lt;=核心参数输入!$B$9*4,季度投融资!CY39,0)</f>
        <v>0</v>
      </c>
      <c r="CZ12" s="9">
        <f>IF(100&lt;=核心参数输入!$B$9*4,季度投融资!CZ39,0)</f>
        <v>0</v>
      </c>
      <c r="DA12" s="9">
        <f>IF(101&lt;=核心参数输入!$B$9*4,季度投融资!DA39,0)</f>
        <v>0</v>
      </c>
      <c r="DB12" s="9">
        <f>IF(102&lt;=核心参数输入!$B$9*4,季度投融资!DB39,0)</f>
        <v>0</v>
      </c>
      <c r="DC12" s="9">
        <f>IF(103&lt;=核心参数输入!$B$9*4,季度投融资!DC39,0)</f>
        <v>0</v>
      </c>
      <c r="DD12" s="9">
        <f>IF(104&lt;=核心参数输入!$B$9*4,季度投融资!DD39,0)</f>
        <v>0</v>
      </c>
      <c r="DE12" s="9">
        <f>IF(105&lt;=核心参数输入!$B$9*4,季度投融资!DE39,0)</f>
        <v>0</v>
      </c>
      <c r="DF12" s="9">
        <f>IF(106&lt;=核心参数输入!$B$9*4,季度投融资!DF39,0)</f>
        <v>0</v>
      </c>
      <c r="DG12" s="9">
        <f>IF(107&lt;=核心参数输入!$B$9*4,季度投融资!DG39,0)</f>
        <v>0</v>
      </c>
      <c r="DH12" s="9">
        <f>IF(108&lt;=核心参数输入!$B$9*4,季度投融资!DH39,0)</f>
        <v>0</v>
      </c>
      <c r="DI12" s="9">
        <f>IF(109&lt;=核心参数输入!$B$9*4,季度投融资!DI39,0)</f>
        <v>0</v>
      </c>
      <c r="DJ12" s="9">
        <f>IF(110&lt;=核心参数输入!$B$9*4,季度投融资!DJ39,0)</f>
        <v>0</v>
      </c>
      <c r="DK12" s="9">
        <f>IF(111&lt;=核心参数输入!$B$9*4,季度投融资!DK39,0)</f>
        <v>0</v>
      </c>
      <c r="DL12" s="9">
        <f>IF(112&lt;=核心参数输入!$B$9*4,季度投融资!DL39,0)</f>
        <v>0</v>
      </c>
      <c r="DM12" s="9">
        <f>IF(113&lt;=核心参数输入!$B$9*4,季度投融资!DM39,0)</f>
        <v>0</v>
      </c>
      <c r="DN12" s="9">
        <f>IF(114&lt;=核心参数输入!$B$9*4,季度投融资!DN39,0)</f>
        <v>0</v>
      </c>
      <c r="DO12" s="9">
        <f>IF(115&lt;=核心参数输入!$B$9*4,季度投融资!DO39,0)</f>
        <v>0</v>
      </c>
      <c r="DP12" s="9">
        <f>IF(116&lt;=核心参数输入!$B$9*4,季度投融资!DP39,0)</f>
        <v>0</v>
      </c>
      <c r="DQ12" s="9">
        <f>IF(117&lt;=核心参数输入!$B$9*4,季度投融资!DQ39,0)</f>
        <v>0</v>
      </c>
      <c r="DR12" s="9">
        <f>IF(118&lt;=核心参数输入!$B$9*4,季度投融资!DR39,0)</f>
        <v>0</v>
      </c>
      <c r="DS12" s="9">
        <f>IF(119&lt;=核心参数输入!$B$9*4,季度投融资!DS39,0)</f>
        <v>0</v>
      </c>
      <c r="DT12" s="9">
        <f>IF(120&lt;=核心参数输入!$B$9*4,季度投融资!DT39,0)</f>
        <v>0</v>
      </c>
    </row>
    <row r="13" spans="1:124" ht="21" customHeight="1">
      <c r="A13" s="8" t="s">
        <v>513</v>
      </c>
      <c r="B13" s="8" t="s">
        <v>39</v>
      </c>
      <c r="C13" s="8"/>
      <c r="D13" s="9">
        <f>IF(0&lt;=核心参数输入!$B$9*4,季度投融资!D42,0)</f>
        <v>0</v>
      </c>
      <c r="E13" s="9">
        <f>IF(1&lt;=核心参数输入!$B$9*4,季度投融资!E42,0)</f>
        <v>11.8125</v>
      </c>
      <c r="F13" s="9">
        <f>IF(2&lt;=核心参数输入!$B$9*4,季度投融资!F42,0)</f>
        <v>35.4375</v>
      </c>
      <c r="G13" s="9">
        <f>IF(3&lt;=核心参数输入!$B$9*4,季度投融资!G42,0)</f>
        <v>59.062500000000007</v>
      </c>
      <c r="H13" s="9">
        <f>IF(4&lt;=核心参数输入!$B$9*4,季度投融资!H42,0)</f>
        <v>82.6875</v>
      </c>
      <c r="I13" s="9">
        <f>IF(5&lt;=核心参数输入!$B$9*4,季度投融资!I42,0)</f>
        <v>110.25</v>
      </c>
      <c r="J13" s="9">
        <f>IF(6&lt;=核心参数输入!$B$9*4,季度投融资!J42,0)</f>
        <v>141.75</v>
      </c>
      <c r="K13" s="9">
        <f>IF(7&lt;=核心参数输入!$B$9*4,季度投融资!K42,0)</f>
        <v>173.25</v>
      </c>
      <c r="L13" s="9">
        <f>IF(8&lt;=核心参数输入!$B$9*4,季度投融资!L42,0)</f>
        <v>204.75</v>
      </c>
      <c r="M13" s="9">
        <f>IF(9&lt;=核心参数输入!$B$9*4,季度投融资!M42,0)</f>
        <v>232.31250000000003</v>
      </c>
      <c r="N13" s="9">
        <f>IF(10&lt;=核心参数输入!$B$9*4,季度投融资!N42,0)</f>
        <v>255.93750000000003</v>
      </c>
      <c r="O13" s="9">
        <f>IF(11&lt;=核心参数输入!$B$9*4,季度投融资!O42,0)</f>
        <v>279.5625</v>
      </c>
      <c r="P13" s="9">
        <f>IF(12&lt;=核心参数输入!$B$9*4,季度投融资!P42,0)</f>
        <v>303.1875</v>
      </c>
      <c r="Q13" s="9">
        <f>IF(13&lt;=核心参数输入!$B$9*4,季度投融资!Q42,0)</f>
        <v>315</v>
      </c>
      <c r="R13" s="9">
        <f>IF(14&lt;=核心参数输入!$B$9*4,季度投融资!R42,0)</f>
        <v>315</v>
      </c>
      <c r="S13" s="9">
        <f>IF(15&lt;=核心参数输入!$B$9*4,季度投融资!S42,0)</f>
        <v>315</v>
      </c>
      <c r="T13" s="9">
        <f>IF(16&lt;=核心参数输入!$B$9*4,季度投融资!T42,0)</f>
        <v>292.50000000000006</v>
      </c>
      <c r="U13" s="9">
        <f>IF(17&lt;=核心参数输入!$B$9*4,季度投融资!U42,0)</f>
        <v>270</v>
      </c>
      <c r="V13" s="9">
        <f>IF(18&lt;=核心参数输入!$B$9*4,季度投融资!V42,0)</f>
        <v>270</v>
      </c>
      <c r="W13" s="9">
        <f>IF(19&lt;=核心参数输入!$B$9*4,季度投融资!W42,0)</f>
        <v>270</v>
      </c>
      <c r="X13" s="9">
        <f>IF(20&lt;=核心参数输入!$B$9*4,季度投融资!X42,0)</f>
        <v>247.50000000000003</v>
      </c>
      <c r="Y13" s="9">
        <f>IF(21&lt;=核心参数输入!$B$9*4,季度投融资!Y42,0)</f>
        <v>225</v>
      </c>
      <c r="Z13" s="9">
        <f>IF(22&lt;=核心参数输入!$B$9*4,季度投融资!Z42,0)</f>
        <v>225</v>
      </c>
      <c r="AA13" s="9">
        <f>IF(23&lt;=核心参数输入!$B$9*4,季度投融资!AA42,0)</f>
        <v>225</v>
      </c>
      <c r="AB13" s="9">
        <f>IF(24&lt;=核心参数输入!$B$9*4,季度投融资!AB42,0)</f>
        <v>202.50000000000003</v>
      </c>
      <c r="AC13" s="9">
        <f>IF(25&lt;=核心参数输入!$B$9*4,季度投融资!AC42,0)</f>
        <v>180</v>
      </c>
      <c r="AD13" s="9">
        <f>IF(26&lt;=核心参数输入!$B$9*4,季度投融资!AD42,0)</f>
        <v>180</v>
      </c>
      <c r="AE13" s="9">
        <f>IF(27&lt;=核心参数输入!$B$9*4,季度投融资!AE42,0)</f>
        <v>180</v>
      </c>
      <c r="AF13" s="9">
        <f>IF(28&lt;=核心参数输入!$B$9*4,季度投融资!AF42,0)</f>
        <v>157.5</v>
      </c>
      <c r="AG13" s="9">
        <f>IF(29&lt;=核心参数输入!$B$9*4,季度投融资!AG42,0)</f>
        <v>135</v>
      </c>
      <c r="AH13" s="9">
        <f>IF(30&lt;=核心参数输入!$B$9*4,季度投融资!AH42,0)</f>
        <v>135</v>
      </c>
      <c r="AI13" s="9">
        <f>IF(31&lt;=核心参数输入!$B$9*4,季度投融资!AI42,0)</f>
        <v>135</v>
      </c>
      <c r="AJ13" s="9">
        <f>IF(32&lt;=核心参数输入!$B$9*4,季度投融资!AJ42,0)</f>
        <v>112.49999999999999</v>
      </c>
      <c r="AK13" s="9">
        <f>IF(33&lt;=核心参数输入!$B$9*4,季度投融资!AK42,0)</f>
        <v>89.999999999999972</v>
      </c>
      <c r="AL13" s="9">
        <f>IF(34&lt;=核心参数输入!$B$9*4,季度投融资!AL42,0)</f>
        <v>89.999999999999972</v>
      </c>
      <c r="AM13" s="9">
        <f>IF(35&lt;=核心参数输入!$B$9*4,季度投融资!AM42,0)</f>
        <v>89.999999999999972</v>
      </c>
      <c r="AN13" s="9">
        <f>IF(36&lt;=核心参数输入!$B$9*4,季度投融资!AN42,0)</f>
        <v>67.499999999999972</v>
      </c>
      <c r="AO13" s="9">
        <f>IF(37&lt;=核心参数输入!$B$9*4,季度投融资!AO42,0)</f>
        <v>44.999999999999979</v>
      </c>
      <c r="AP13" s="9">
        <f>IF(38&lt;=核心参数输入!$B$9*4,季度投融资!AP42,0)</f>
        <v>44.999999999999979</v>
      </c>
      <c r="AQ13" s="9">
        <f>IF(39&lt;=核心参数输入!$B$9*4,季度投融资!AQ42,0)</f>
        <v>44.999999999999979</v>
      </c>
      <c r="AR13" s="9">
        <f>IF(40&lt;=核心参数输入!$B$9*4,季度投融资!AR42,0)</f>
        <v>22.499999999999989</v>
      </c>
      <c r="AS13" s="9">
        <f>IF(41&lt;=核心参数输入!$B$9*4,季度投融资!AS42,0)</f>
        <v>0</v>
      </c>
      <c r="AT13" s="9">
        <f>IF(42&lt;=核心参数输入!$B$9*4,季度投融资!AT42,0)</f>
        <v>0</v>
      </c>
      <c r="AU13" s="9">
        <f>IF(43&lt;=核心参数输入!$B$9*4,季度投融资!AU42,0)</f>
        <v>0</v>
      </c>
      <c r="AV13" s="9">
        <f>IF(44&lt;=核心参数输入!$B$9*4,季度投融资!AV42,0)</f>
        <v>0</v>
      </c>
      <c r="AW13" s="9">
        <f>IF(45&lt;=核心参数输入!$B$9*4,季度投融资!AW42,0)</f>
        <v>0</v>
      </c>
      <c r="AX13" s="9">
        <f>IF(46&lt;=核心参数输入!$B$9*4,季度投融资!AX42,0)</f>
        <v>0</v>
      </c>
      <c r="AY13" s="9">
        <f>IF(47&lt;=核心参数输入!$B$9*4,季度投融资!AY42,0)</f>
        <v>0</v>
      </c>
      <c r="AZ13" s="9">
        <f>IF(48&lt;=核心参数输入!$B$9*4,季度投融资!AZ42,0)</f>
        <v>0</v>
      </c>
      <c r="BA13" s="9">
        <f>IF(49&lt;=核心参数输入!$B$9*4,季度投融资!BA42,0)</f>
        <v>0</v>
      </c>
      <c r="BB13" s="9">
        <f>IF(50&lt;=核心参数输入!$B$9*4,季度投融资!BB42,0)</f>
        <v>0</v>
      </c>
      <c r="BC13" s="9">
        <f>IF(51&lt;=核心参数输入!$B$9*4,季度投融资!BC42,0)</f>
        <v>0</v>
      </c>
      <c r="BD13" s="9">
        <f>IF(52&lt;=核心参数输入!$B$9*4,季度投融资!BD42,0)</f>
        <v>0</v>
      </c>
      <c r="BE13" s="9">
        <f>IF(53&lt;=核心参数输入!$B$9*4,季度投融资!BE42,0)</f>
        <v>0</v>
      </c>
      <c r="BF13" s="9">
        <f>IF(54&lt;=核心参数输入!$B$9*4,季度投融资!BF42,0)</f>
        <v>0</v>
      </c>
      <c r="BG13" s="9">
        <f>IF(55&lt;=核心参数输入!$B$9*4,季度投融资!BG42,0)</f>
        <v>0</v>
      </c>
      <c r="BH13" s="9">
        <f>IF(56&lt;=核心参数输入!$B$9*4,季度投融资!BH42,0)</f>
        <v>0</v>
      </c>
      <c r="BI13" s="9">
        <f>IF(57&lt;=核心参数输入!$B$9*4,季度投融资!BI42,0)</f>
        <v>0</v>
      </c>
      <c r="BJ13" s="9">
        <f>IF(58&lt;=核心参数输入!$B$9*4,季度投融资!BJ42,0)</f>
        <v>0</v>
      </c>
      <c r="BK13" s="9">
        <f>IF(59&lt;=核心参数输入!$B$9*4,季度投融资!BK42,0)</f>
        <v>0</v>
      </c>
      <c r="BL13" s="9">
        <f>IF(60&lt;=核心参数输入!$B$9*4,季度投融资!BL42,0)</f>
        <v>0</v>
      </c>
      <c r="BM13" s="9">
        <f>IF(61&lt;=核心参数输入!$B$9*4,季度投融资!BM42,0)</f>
        <v>0</v>
      </c>
      <c r="BN13" s="9">
        <f>IF(62&lt;=核心参数输入!$B$9*4,季度投融资!BN42,0)</f>
        <v>0</v>
      </c>
      <c r="BO13" s="9">
        <f>IF(63&lt;=核心参数输入!$B$9*4,季度投融资!BO42,0)</f>
        <v>0</v>
      </c>
      <c r="BP13" s="9">
        <f>IF(64&lt;=核心参数输入!$B$9*4,季度投融资!BP42,0)</f>
        <v>0</v>
      </c>
      <c r="BQ13" s="9">
        <f>IF(65&lt;=核心参数输入!$B$9*4,季度投融资!BQ42,0)</f>
        <v>0</v>
      </c>
      <c r="BR13" s="9">
        <f>IF(66&lt;=核心参数输入!$B$9*4,季度投融资!BR42,0)</f>
        <v>0</v>
      </c>
      <c r="BS13" s="9">
        <f>IF(67&lt;=核心参数输入!$B$9*4,季度投融资!BS42,0)</f>
        <v>0</v>
      </c>
      <c r="BT13" s="9">
        <f>IF(68&lt;=核心参数输入!$B$9*4,季度投融资!BT42,0)</f>
        <v>0</v>
      </c>
      <c r="BU13" s="9">
        <f>IF(69&lt;=核心参数输入!$B$9*4,季度投融资!BU42,0)</f>
        <v>0</v>
      </c>
      <c r="BV13" s="9">
        <f>IF(70&lt;=核心参数输入!$B$9*4,季度投融资!BV42,0)</f>
        <v>0</v>
      </c>
      <c r="BW13" s="9">
        <f>IF(71&lt;=核心参数输入!$B$9*4,季度投融资!BW42,0)</f>
        <v>0</v>
      </c>
      <c r="BX13" s="9">
        <f>IF(72&lt;=核心参数输入!$B$9*4,季度投融资!BX42,0)</f>
        <v>0</v>
      </c>
      <c r="BY13" s="9">
        <f>IF(73&lt;=核心参数输入!$B$9*4,季度投融资!BY42,0)</f>
        <v>0</v>
      </c>
      <c r="BZ13" s="9">
        <f>IF(74&lt;=核心参数输入!$B$9*4,季度投融资!BZ42,0)</f>
        <v>0</v>
      </c>
      <c r="CA13" s="9">
        <f>IF(75&lt;=核心参数输入!$B$9*4,季度投融资!CA42,0)</f>
        <v>0</v>
      </c>
      <c r="CB13" s="9">
        <f>IF(76&lt;=核心参数输入!$B$9*4,季度投融资!CB42,0)</f>
        <v>0</v>
      </c>
      <c r="CC13" s="9">
        <f>IF(77&lt;=核心参数输入!$B$9*4,季度投融资!CC42,0)</f>
        <v>0</v>
      </c>
      <c r="CD13" s="9">
        <f>IF(78&lt;=核心参数输入!$B$9*4,季度投融资!CD42,0)</f>
        <v>0</v>
      </c>
      <c r="CE13" s="9">
        <f>IF(79&lt;=核心参数输入!$B$9*4,季度投融资!CE42,0)</f>
        <v>0</v>
      </c>
      <c r="CF13" s="9">
        <f>IF(80&lt;=核心参数输入!$B$9*4,季度投融资!CF42,0)</f>
        <v>0</v>
      </c>
      <c r="CG13" s="9">
        <f>IF(81&lt;=核心参数输入!$B$9*4,季度投融资!CG42,0)</f>
        <v>0</v>
      </c>
      <c r="CH13" s="9">
        <f>IF(82&lt;=核心参数输入!$B$9*4,季度投融资!CH42,0)</f>
        <v>0</v>
      </c>
      <c r="CI13" s="9">
        <f>IF(83&lt;=核心参数输入!$B$9*4,季度投融资!CI42,0)</f>
        <v>0</v>
      </c>
      <c r="CJ13" s="9">
        <f>IF(84&lt;=核心参数输入!$B$9*4,季度投融资!CJ42,0)</f>
        <v>0</v>
      </c>
      <c r="CK13" s="9">
        <f>IF(85&lt;=核心参数输入!$B$9*4,季度投融资!CK42,0)</f>
        <v>0</v>
      </c>
      <c r="CL13" s="9">
        <f>IF(86&lt;=核心参数输入!$B$9*4,季度投融资!CL42,0)</f>
        <v>0</v>
      </c>
      <c r="CM13" s="9">
        <f>IF(87&lt;=核心参数输入!$B$9*4,季度投融资!CM42,0)</f>
        <v>0</v>
      </c>
      <c r="CN13" s="9">
        <f>IF(88&lt;=核心参数输入!$B$9*4,季度投融资!CN42,0)</f>
        <v>0</v>
      </c>
      <c r="CO13" s="9">
        <f>IF(89&lt;=核心参数输入!$B$9*4,季度投融资!CO42,0)</f>
        <v>0</v>
      </c>
      <c r="CP13" s="9">
        <f>IF(90&lt;=核心参数输入!$B$9*4,季度投融资!CP42,0)</f>
        <v>0</v>
      </c>
      <c r="CQ13" s="9">
        <f>IF(91&lt;=核心参数输入!$B$9*4,季度投融资!CQ42,0)</f>
        <v>0</v>
      </c>
      <c r="CR13" s="9">
        <f>IF(92&lt;=核心参数输入!$B$9*4,季度投融资!CR42,0)</f>
        <v>0</v>
      </c>
      <c r="CS13" s="9">
        <f>IF(93&lt;=核心参数输入!$B$9*4,季度投融资!CS42,0)</f>
        <v>0</v>
      </c>
      <c r="CT13" s="9">
        <f>IF(94&lt;=核心参数输入!$B$9*4,季度投融资!CT42,0)</f>
        <v>0</v>
      </c>
      <c r="CU13" s="9">
        <f>IF(95&lt;=核心参数输入!$B$9*4,季度投融资!CU42,0)</f>
        <v>0</v>
      </c>
      <c r="CV13" s="9">
        <f>IF(96&lt;=核心参数输入!$B$9*4,季度投融资!CV42,0)</f>
        <v>0</v>
      </c>
      <c r="CW13" s="9">
        <f>IF(97&lt;=核心参数输入!$B$9*4,季度投融资!CW42,0)</f>
        <v>0</v>
      </c>
      <c r="CX13" s="9">
        <f>IF(98&lt;=核心参数输入!$B$9*4,季度投融资!CX42,0)</f>
        <v>0</v>
      </c>
      <c r="CY13" s="9">
        <f>IF(99&lt;=核心参数输入!$B$9*4,季度投融资!CY42,0)</f>
        <v>0</v>
      </c>
      <c r="CZ13" s="9">
        <f>IF(100&lt;=核心参数输入!$B$9*4,季度投融资!CZ42,0)</f>
        <v>0</v>
      </c>
      <c r="DA13" s="9">
        <f>IF(101&lt;=核心参数输入!$B$9*4,季度投融资!DA42,0)</f>
        <v>0</v>
      </c>
      <c r="DB13" s="9">
        <f>IF(102&lt;=核心参数输入!$B$9*4,季度投融资!DB42,0)</f>
        <v>0</v>
      </c>
      <c r="DC13" s="9">
        <f>IF(103&lt;=核心参数输入!$B$9*4,季度投融资!DC42,0)</f>
        <v>0</v>
      </c>
      <c r="DD13" s="9">
        <f>IF(104&lt;=核心参数输入!$B$9*4,季度投融资!DD42,0)</f>
        <v>0</v>
      </c>
      <c r="DE13" s="9">
        <f>IF(105&lt;=核心参数输入!$B$9*4,季度投融资!DE42,0)</f>
        <v>0</v>
      </c>
      <c r="DF13" s="9">
        <f>IF(106&lt;=核心参数输入!$B$9*4,季度投融资!DF42,0)</f>
        <v>0</v>
      </c>
      <c r="DG13" s="9">
        <f>IF(107&lt;=核心参数输入!$B$9*4,季度投融资!DG42,0)</f>
        <v>0</v>
      </c>
      <c r="DH13" s="9">
        <f>IF(108&lt;=核心参数输入!$B$9*4,季度投融资!DH42,0)</f>
        <v>0</v>
      </c>
      <c r="DI13" s="9">
        <f>IF(109&lt;=核心参数输入!$B$9*4,季度投融资!DI42,0)</f>
        <v>0</v>
      </c>
      <c r="DJ13" s="9">
        <f>IF(110&lt;=核心参数输入!$B$9*4,季度投融资!DJ42,0)</f>
        <v>0</v>
      </c>
      <c r="DK13" s="9">
        <f>IF(111&lt;=核心参数输入!$B$9*4,季度投融资!DK42,0)</f>
        <v>0</v>
      </c>
      <c r="DL13" s="9">
        <f>IF(112&lt;=核心参数输入!$B$9*4,季度投融资!DL42,0)</f>
        <v>0</v>
      </c>
      <c r="DM13" s="9">
        <f>IF(113&lt;=核心参数输入!$B$9*4,季度投融资!DM42,0)</f>
        <v>0</v>
      </c>
      <c r="DN13" s="9">
        <f>IF(114&lt;=核心参数输入!$B$9*4,季度投融资!DN42,0)</f>
        <v>0</v>
      </c>
      <c r="DO13" s="9">
        <f>IF(115&lt;=核心参数输入!$B$9*4,季度投融资!DO42,0)</f>
        <v>0</v>
      </c>
      <c r="DP13" s="9">
        <f>IF(116&lt;=核心参数输入!$B$9*4,季度投融资!DP42,0)</f>
        <v>0</v>
      </c>
      <c r="DQ13" s="9">
        <f>IF(117&lt;=核心参数输入!$B$9*4,季度投融资!DQ42,0)</f>
        <v>0</v>
      </c>
      <c r="DR13" s="9">
        <f>IF(118&lt;=核心参数输入!$B$9*4,季度投融资!DR42,0)</f>
        <v>0</v>
      </c>
      <c r="DS13" s="9">
        <f>IF(119&lt;=核心参数输入!$B$9*4,季度投融资!DS42,0)</f>
        <v>0</v>
      </c>
      <c r="DT13" s="9">
        <f>IF(120&lt;=核心参数输入!$B$9*4,季度投融资!DT42,0)</f>
        <v>0</v>
      </c>
    </row>
    <row r="14" spans="1:124" ht="21" customHeight="1">
      <c r="A14" s="8" t="s">
        <v>432</v>
      </c>
      <c r="B14" s="8" t="s">
        <v>39</v>
      </c>
      <c r="C14" s="8"/>
      <c r="D14" s="9">
        <f>IF(0&lt;=核心参数输入!$B$9*4,季度投融资!D41,0)</f>
        <v>0</v>
      </c>
      <c r="E14" s="9">
        <f>IF(1&lt;=核心参数输入!$B$9*4,季度投融资!E41,0)</f>
        <v>0</v>
      </c>
      <c r="F14" s="9">
        <f>IF(2&lt;=核心参数输入!$B$9*4,季度投融资!F41,0)</f>
        <v>0</v>
      </c>
      <c r="G14" s="9">
        <f>IF(3&lt;=核心参数输入!$B$9*4,季度投融资!G41,0)</f>
        <v>0</v>
      </c>
      <c r="H14" s="9">
        <f>IF(4&lt;=核心参数输入!$B$9*4,季度投融资!H41,0)</f>
        <v>0</v>
      </c>
      <c r="I14" s="9">
        <f>IF(5&lt;=核心参数输入!$B$9*4,季度投融资!I41,0)</f>
        <v>0</v>
      </c>
      <c r="J14" s="9">
        <f>IF(6&lt;=核心参数输入!$B$9*4,季度投融资!J41,0)</f>
        <v>0</v>
      </c>
      <c r="K14" s="9">
        <f>IF(7&lt;=核心参数输入!$B$9*4,季度投融资!K41,0)</f>
        <v>0</v>
      </c>
      <c r="L14" s="9">
        <f>IF(8&lt;=核心参数输入!$B$9*4,季度投融资!L41,0)</f>
        <v>0</v>
      </c>
      <c r="M14" s="9">
        <f>IF(9&lt;=核心参数输入!$B$9*4,季度投融资!M41,0)</f>
        <v>0</v>
      </c>
      <c r="N14" s="9">
        <f>IF(10&lt;=核心参数输入!$B$9*4,季度投融资!N41,0)</f>
        <v>0</v>
      </c>
      <c r="O14" s="9">
        <f>IF(11&lt;=核心参数输入!$B$9*4,季度投融资!O41,0)</f>
        <v>0</v>
      </c>
      <c r="P14" s="9">
        <f>IF(12&lt;=核心参数输入!$B$9*4,季度投融资!P41,0)</f>
        <v>0</v>
      </c>
      <c r="Q14" s="9">
        <f>IF(13&lt;=核心参数输入!$B$9*4,季度投融资!Q41,0)</f>
        <v>0</v>
      </c>
      <c r="R14" s="9">
        <f>IF(14&lt;=核心参数输入!$B$9*4,季度投融资!R41,0)</f>
        <v>0</v>
      </c>
      <c r="S14" s="9">
        <f>IF(15&lt;=核心参数输入!$B$9*4,季度投融资!S41,0)</f>
        <v>0</v>
      </c>
      <c r="T14" s="9">
        <f>IF(16&lt;=核心参数输入!$B$9*4,季度投融资!T41,0)</f>
        <v>4285.7142857142853</v>
      </c>
      <c r="U14" s="9">
        <f>IF(17&lt;=核心参数输入!$B$9*4,季度投融资!U41,0)</f>
        <v>0</v>
      </c>
      <c r="V14" s="9">
        <f>IF(18&lt;=核心参数输入!$B$9*4,季度投融资!V41,0)</f>
        <v>0</v>
      </c>
      <c r="W14" s="9">
        <f>IF(19&lt;=核心参数输入!$B$9*4,季度投融资!W41,0)</f>
        <v>0</v>
      </c>
      <c r="X14" s="9">
        <f>IF(20&lt;=核心参数输入!$B$9*4,季度投融资!X41,0)</f>
        <v>4285.7142857142853</v>
      </c>
      <c r="Y14" s="9">
        <f>IF(21&lt;=核心参数输入!$B$9*4,季度投融资!Y41,0)</f>
        <v>0</v>
      </c>
      <c r="Z14" s="9">
        <f>IF(22&lt;=核心参数输入!$B$9*4,季度投融资!Z41,0)</f>
        <v>0</v>
      </c>
      <c r="AA14" s="9">
        <f>IF(23&lt;=核心参数输入!$B$9*4,季度投融资!AA41,0)</f>
        <v>0</v>
      </c>
      <c r="AB14" s="9">
        <f>IF(24&lt;=核心参数输入!$B$9*4,季度投融资!AB41,0)</f>
        <v>4285.7142857142853</v>
      </c>
      <c r="AC14" s="9">
        <f>IF(25&lt;=核心参数输入!$B$9*4,季度投融资!AC41,0)</f>
        <v>0</v>
      </c>
      <c r="AD14" s="9">
        <f>IF(26&lt;=核心参数输入!$B$9*4,季度投融资!AD41,0)</f>
        <v>0</v>
      </c>
      <c r="AE14" s="9">
        <f>IF(27&lt;=核心参数输入!$B$9*4,季度投融资!AE41,0)</f>
        <v>0</v>
      </c>
      <c r="AF14" s="9">
        <f>IF(28&lt;=核心参数输入!$B$9*4,季度投融资!AF41,0)</f>
        <v>4285.7142857142853</v>
      </c>
      <c r="AG14" s="9">
        <f>IF(29&lt;=核心参数输入!$B$9*4,季度投融资!AG41,0)</f>
        <v>0</v>
      </c>
      <c r="AH14" s="9">
        <f>IF(30&lt;=核心参数输入!$B$9*4,季度投融资!AH41,0)</f>
        <v>0</v>
      </c>
      <c r="AI14" s="9">
        <f>IF(31&lt;=核心参数输入!$B$9*4,季度投融资!AI41,0)</f>
        <v>0</v>
      </c>
      <c r="AJ14" s="9">
        <f>IF(32&lt;=核心参数输入!$B$9*4,季度投融资!AJ41,0)</f>
        <v>4285.7142857142853</v>
      </c>
      <c r="AK14" s="9">
        <f>IF(33&lt;=核心参数输入!$B$9*4,季度投融资!AK41,0)</f>
        <v>0</v>
      </c>
      <c r="AL14" s="9">
        <f>IF(34&lt;=核心参数输入!$B$9*4,季度投融资!AL41,0)</f>
        <v>0</v>
      </c>
      <c r="AM14" s="9">
        <f>IF(35&lt;=核心参数输入!$B$9*4,季度投融资!AM41,0)</f>
        <v>0</v>
      </c>
      <c r="AN14" s="9">
        <f>IF(36&lt;=核心参数输入!$B$9*4,季度投融资!AN41,0)</f>
        <v>4285.7142857142853</v>
      </c>
      <c r="AO14" s="9">
        <f>IF(37&lt;=核心参数输入!$B$9*4,季度投融资!AO41,0)</f>
        <v>0</v>
      </c>
      <c r="AP14" s="9">
        <f>IF(38&lt;=核心参数输入!$B$9*4,季度投融资!AP41,0)</f>
        <v>0</v>
      </c>
      <c r="AQ14" s="9">
        <f>IF(39&lt;=核心参数输入!$B$9*4,季度投融资!AQ41,0)</f>
        <v>0</v>
      </c>
      <c r="AR14" s="9">
        <f>IF(40&lt;=核心参数输入!$B$9*4,季度投融资!AR41,0)</f>
        <v>4285.7142857142835</v>
      </c>
      <c r="AS14" s="9">
        <f>IF(41&lt;=核心参数输入!$B$9*4,季度投融资!AS41,0)</f>
        <v>0</v>
      </c>
      <c r="AT14" s="9">
        <f>IF(42&lt;=核心参数输入!$B$9*4,季度投融资!AT41,0)</f>
        <v>0</v>
      </c>
      <c r="AU14" s="9">
        <f>IF(43&lt;=核心参数输入!$B$9*4,季度投融资!AU41,0)</f>
        <v>0</v>
      </c>
      <c r="AV14" s="9">
        <f>IF(44&lt;=核心参数输入!$B$9*4,季度投融资!AV41,0)</f>
        <v>0</v>
      </c>
      <c r="AW14" s="9">
        <f>IF(45&lt;=核心参数输入!$B$9*4,季度投融资!AW41,0)</f>
        <v>0</v>
      </c>
      <c r="AX14" s="9">
        <f>IF(46&lt;=核心参数输入!$B$9*4,季度投融资!AX41,0)</f>
        <v>0</v>
      </c>
      <c r="AY14" s="9">
        <f>IF(47&lt;=核心参数输入!$B$9*4,季度投融资!AY41,0)</f>
        <v>0</v>
      </c>
      <c r="AZ14" s="9">
        <f>IF(48&lt;=核心参数输入!$B$9*4,季度投融资!AZ41,0)</f>
        <v>0</v>
      </c>
      <c r="BA14" s="9">
        <f>IF(49&lt;=核心参数输入!$B$9*4,季度投融资!BA41,0)</f>
        <v>0</v>
      </c>
      <c r="BB14" s="9">
        <f>IF(50&lt;=核心参数输入!$B$9*4,季度投融资!BB41,0)</f>
        <v>0</v>
      </c>
      <c r="BC14" s="9">
        <f>IF(51&lt;=核心参数输入!$B$9*4,季度投融资!BC41,0)</f>
        <v>0</v>
      </c>
      <c r="BD14" s="9">
        <f>IF(52&lt;=核心参数输入!$B$9*4,季度投融资!BD41,0)</f>
        <v>0</v>
      </c>
      <c r="BE14" s="9">
        <f>IF(53&lt;=核心参数输入!$B$9*4,季度投融资!BE41,0)</f>
        <v>0</v>
      </c>
      <c r="BF14" s="9">
        <f>IF(54&lt;=核心参数输入!$B$9*4,季度投融资!BF41,0)</f>
        <v>0</v>
      </c>
      <c r="BG14" s="9">
        <f>IF(55&lt;=核心参数输入!$B$9*4,季度投融资!BG41,0)</f>
        <v>0</v>
      </c>
      <c r="BH14" s="9">
        <f>IF(56&lt;=核心参数输入!$B$9*4,季度投融资!BH41,0)</f>
        <v>0</v>
      </c>
      <c r="BI14" s="9">
        <f>IF(57&lt;=核心参数输入!$B$9*4,季度投融资!BI41,0)</f>
        <v>0</v>
      </c>
      <c r="BJ14" s="9">
        <f>IF(58&lt;=核心参数输入!$B$9*4,季度投融资!BJ41,0)</f>
        <v>0</v>
      </c>
      <c r="BK14" s="9">
        <f>IF(59&lt;=核心参数输入!$B$9*4,季度投融资!BK41,0)</f>
        <v>0</v>
      </c>
      <c r="BL14" s="9">
        <f>IF(60&lt;=核心参数输入!$B$9*4,季度投融资!BL41,0)</f>
        <v>0</v>
      </c>
      <c r="BM14" s="9">
        <f>IF(61&lt;=核心参数输入!$B$9*4,季度投融资!BM41,0)</f>
        <v>0</v>
      </c>
      <c r="BN14" s="9">
        <f>IF(62&lt;=核心参数输入!$B$9*4,季度投融资!BN41,0)</f>
        <v>0</v>
      </c>
      <c r="BO14" s="9">
        <f>IF(63&lt;=核心参数输入!$B$9*4,季度投融资!BO41,0)</f>
        <v>0</v>
      </c>
      <c r="BP14" s="9">
        <f>IF(64&lt;=核心参数输入!$B$9*4,季度投融资!BP41,0)</f>
        <v>0</v>
      </c>
      <c r="BQ14" s="9">
        <f>IF(65&lt;=核心参数输入!$B$9*4,季度投融资!BQ41,0)</f>
        <v>0</v>
      </c>
      <c r="BR14" s="9">
        <f>IF(66&lt;=核心参数输入!$B$9*4,季度投融资!BR41,0)</f>
        <v>0</v>
      </c>
      <c r="BS14" s="9">
        <f>IF(67&lt;=核心参数输入!$B$9*4,季度投融资!BS41,0)</f>
        <v>0</v>
      </c>
      <c r="BT14" s="9">
        <f>IF(68&lt;=核心参数输入!$B$9*4,季度投融资!BT41,0)</f>
        <v>0</v>
      </c>
      <c r="BU14" s="9">
        <f>IF(69&lt;=核心参数输入!$B$9*4,季度投融资!BU41,0)</f>
        <v>0</v>
      </c>
      <c r="BV14" s="9">
        <f>IF(70&lt;=核心参数输入!$B$9*4,季度投融资!BV41,0)</f>
        <v>0</v>
      </c>
      <c r="BW14" s="9">
        <f>IF(71&lt;=核心参数输入!$B$9*4,季度投融资!BW41,0)</f>
        <v>0</v>
      </c>
      <c r="BX14" s="9">
        <f>IF(72&lt;=核心参数输入!$B$9*4,季度投融资!BX41,0)</f>
        <v>0</v>
      </c>
      <c r="BY14" s="9">
        <f>IF(73&lt;=核心参数输入!$B$9*4,季度投融资!BY41,0)</f>
        <v>0</v>
      </c>
      <c r="BZ14" s="9">
        <f>IF(74&lt;=核心参数输入!$B$9*4,季度投融资!BZ41,0)</f>
        <v>0</v>
      </c>
      <c r="CA14" s="9">
        <f>IF(75&lt;=核心参数输入!$B$9*4,季度投融资!CA41,0)</f>
        <v>0</v>
      </c>
      <c r="CB14" s="9">
        <f>IF(76&lt;=核心参数输入!$B$9*4,季度投融资!CB41,0)</f>
        <v>0</v>
      </c>
      <c r="CC14" s="9">
        <f>IF(77&lt;=核心参数输入!$B$9*4,季度投融资!CC41,0)</f>
        <v>0</v>
      </c>
      <c r="CD14" s="9">
        <f>IF(78&lt;=核心参数输入!$B$9*4,季度投融资!CD41,0)</f>
        <v>0</v>
      </c>
      <c r="CE14" s="9">
        <f>IF(79&lt;=核心参数输入!$B$9*4,季度投融资!CE41,0)</f>
        <v>0</v>
      </c>
      <c r="CF14" s="9">
        <f>IF(80&lt;=核心参数输入!$B$9*4,季度投融资!CF41,0)</f>
        <v>0</v>
      </c>
      <c r="CG14" s="9">
        <f>IF(81&lt;=核心参数输入!$B$9*4,季度投融资!CG41,0)</f>
        <v>0</v>
      </c>
      <c r="CH14" s="9">
        <f>IF(82&lt;=核心参数输入!$B$9*4,季度投融资!CH41,0)</f>
        <v>0</v>
      </c>
      <c r="CI14" s="9">
        <f>IF(83&lt;=核心参数输入!$B$9*4,季度投融资!CI41,0)</f>
        <v>0</v>
      </c>
      <c r="CJ14" s="9">
        <f>IF(84&lt;=核心参数输入!$B$9*4,季度投融资!CJ41,0)</f>
        <v>0</v>
      </c>
      <c r="CK14" s="9">
        <f>IF(85&lt;=核心参数输入!$B$9*4,季度投融资!CK41,0)</f>
        <v>0</v>
      </c>
      <c r="CL14" s="9">
        <f>IF(86&lt;=核心参数输入!$B$9*4,季度投融资!CL41,0)</f>
        <v>0</v>
      </c>
      <c r="CM14" s="9">
        <f>IF(87&lt;=核心参数输入!$B$9*4,季度投融资!CM41,0)</f>
        <v>0</v>
      </c>
      <c r="CN14" s="9">
        <f>IF(88&lt;=核心参数输入!$B$9*4,季度投融资!CN41,0)</f>
        <v>0</v>
      </c>
      <c r="CO14" s="9">
        <f>IF(89&lt;=核心参数输入!$B$9*4,季度投融资!CO41,0)</f>
        <v>0</v>
      </c>
      <c r="CP14" s="9">
        <f>IF(90&lt;=核心参数输入!$B$9*4,季度投融资!CP41,0)</f>
        <v>0</v>
      </c>
      <c r="CQ14" s="9">
        <f>IF(91&lt;=核心参数输入!$B$9*4,季度投融资!CQ41,0)</f>
        <v>0</v>
      </c>
      <c r="CR14" s="9">
        <f>IF(92&lt;=核心参数输入!$B$9*4,季度投融资!CR41,0)</f>
        <v>0</v>
      </c>
      <c r="CS14" s="9">
        <f>IF(93&lt;=核心参数输入!$B$9*4,季度投融资!CS41,0)</f>
        <v>0</v>
      </c>
      <c r="CT14" s="9">
        <f>IF(94&lt;=核心参数输入!$B$9*4,季度投融资!CT41,0)</f>
        <v>0</v>
      </c>
      <c r="CU14" s="9">
        <f>IF(95&lt;=核心参数输入!$B$9*4,季度投融资!CU41,0)</f>
        <v>0</v>
      </c>
      <c r="CV14" s="9">
        <f>IF(96&lt;=核心参数输入!$B$9*4,季度投融资!CV41,0)</f>
        <v>0</v>
      </c>
      <c r="CW14" s="9">
        <f>IF(97&lt;=核心参数输入!$B$9*4,季度投融资!CW41,0)</f>
        <v>0</v>
      </c>
      <c r="CX14" s="9">
        <f>IF(98&lt;=核心参数输入!$B$9*4,季度投融资!CX41,0)</f>
        <v>0</v>
      </c>
      <c r="CY14" s="9">
        <f>IF(99&lt;=核心参数输入!$B$9*4,季度投融资!CY41,0)</f>
        <v>0</v>
      </c>
      <c r="CZ14" s="9">
        <f>IF(100&lt;=核心参数输入!$B$9*4,季度投融资!CZ41,0)</f>
        <v>0</v>
      </c>
      <c r="DA14" s="9">
        <f>IF(101&lt;=核心参数输入!$B$9*4,季度投融资!DA41,0)</f>
        <v>0</v>
      </c>
      <c r="DB14" s="9">
        <f>IF(102&lt;=核心参数输入!$B$9*4,季度投融资!DB41,0)</f>
        <v>0</v>
      </c>
      <c r="DC14" s="9">
        <f>IF(103&lt;=核心参数输入!$B$9*4,季度投融资!DC41,0)</f>
        <v>0</v>
      </c>
      <c r="DD14" s="9">
        <f>IF(104&lt;=核心参数输入!$B$9*4,季度投融资!DD41,0)</f>
        <v>0</v>
      </c>
      <c r="DE14" s="9">
        <f>IF(105&lt;=核心参数输入!$B$9*4,季度投融资!DE41,0)</f>
        <v>0</v>
      </c>
      <c r="DF14" s="9">
        <f>IF(106&lt;=核心参数输入!$B$9*4,季度投融资!DF41,0)</f>
        <v>0</v>
      </c>
      <c r="DG14" s="9">
        <f>IF(107&lt;=核心参数输入!$B$9*4,季度投融资!DG41,0)</f>
        <v>0</v>
      </c>
      <c r="DH14" s="9">
        <f>IF(108&lt;=核心参数输入!$B$9*4,季度投融资!DH41,0)</f>
        <v>0</v>
      </c>
      <c r="DI14" s="9">
        <f>IF(109&lt;=核心参数输入!$B$9*4,季度投融资!DI41,0)</f>
        <v>0</v>
      </c>
      <c r="DJ14" s="9">
        <f>IF(110&lt;=核心参数输入!$B$9*4,季度投融资!DJ41,0)</f>
        <v>0</v>
      </c>
      <c r="DK14" s="9">
        <f>IF(111&lt;=核心参数输入!$B$9*4,季度投融资!DK41,0)</f>
        <v>0</v>
      </c>
      <c r="DL14" s="9">
        <f>IF(112&lt;=核心参数输入!$B$9*4,季度投融资!DL41,0)</f>
        <v>0</v>
      </c>
      <c r="DM14" s="9">
        <f>IF(113&lt;=核心参数输入!$B$9*4,季度投融资!DM41,0)</f>
        <v>0</v>
      </c>
      <c r="DN14" s="9">
        <f>IF(114&lt;=核心参数输入!$B$9*4,季度投融资!DN41,0)</f>
        <v>0</v>
      </c>
      <c r="DO14" s="9">
        <f>IF(115&lt;=核心参数输入!$B$9*4,季度投融资!DO41,0)</f>
        <v>0</v>
      </c>
      <c r="DP14" s="9">
        <f>IF(116&lt;=核心参数输入!$B$9*4,季度投融资!DP41,0)</f>
        <v>0</v>
      </c>
      <c r="DQ14" s="9">
        <f>IF(117&lt;=核心参数输入!$B$9*4,季度投融资!DQ41,0)</f>
        <v>0</v>
      </c>
      <c r="DR14" s="9">
        <f>IF(118&lt;=核心参数输入!$B$9*4,季度投融资!DR41,0)</f>
        <v>0</v>
      </c>
      <c r="DS14" s="9">
        <f>IF(119&lt;=核心参数输入!$B$9*4,季度投融资!DS41,0)</f>
        <v>0</v>
      </c>
      <c r="DT14" s="9">
        <f>IF(120&lt;=核心参数输入!$B$9*4,季度投融资!DT41,0)</f>
        <v>0</v>
      </c>
    </row>
    <row r="15" spans="1:124" ht="21" customHeight="1">
      <c r="A15" s="8" t="s">
        <v>514</v>
      </c>
      <c r="B15" s="8" t="s">
        <v>39</v>
      </c>
      <c r="C15" s="8"/>
      <c r="D15" s="9">
        <f>IF(0&lt;=核心参数输入!$B$9*4,季度投融资!D49,0)</f>
        <v>0</v>
      </c>
      <c r="E15" s="9">
        <f>IF(1&lt;=核心参数输入!$B$9*4,季度投融资!E49,0)</f>
        <v>0</v>
      </c>
      <c r="F15" s="9">
        <f>IF(2&lt;=核心参数输入!$B$9*4,季度投融资!F49,0)</f>
        <v>0</v>
      </c>
      <c r="G15" s="9">
        <f>IF(3&lt;=核心参数输入!$B$9*4,季度投融资!G49,0)</f>
        <v>0</v>
      </c>
      <c r="H15" s="9">
        <f>IF(4&lt;=核心参数输入!$B$9*4,季度投融资!H49,0)</f>
        <v>0</v>
      </c>
      <c r="I15" s="9">
        <f>IF(5&lt;=核心参数输入!$B$9*4,季度投融资!I49,0)</f>
        <v>0</v>
      </c>
      <c r="J15" s="9">
        <f>IF(6&lt;=核心参数输入!$B$9*4,季度投融资!J49,0)</f>
        <v>0</v>
      </c>
      <c r="K15" s="9">
        <f>IF(7&lt;=核心参数输入!$B$9*4,季度投融资!K49,0)</f>
        <v>0</v>
      </c>
      <c r="L15" s="9">
        <f>IF(8&lt;=核心参数输入!$B$9*4,季度投融资!L49,0)</f>
        <v>0</v>
      </c>
      <c r="M15" s="9">
        <f>IF(9&lt;=核心参数输入!$B$9*4,季度投融资!M49,0)</f>
        <v>0</v>
      </c>
      <c r="N15" s="9">
        <f>IF(10&lt;=核心参数输入!$B$9*4,季度投融资!N49,0)</f>
        <v>0</v>
      </c>
      <c r="O15" s="9">
        <f>IF(11&lt;=核心参数输入!$B$9*4,季度投融资!O49,0)</f>
        <v>0</v>
      </c>
      <c r="P15" s="9">
        <f>IF(12&lt;=核心参数输入!$B$9*4,季度投融资!P49,0)</f>
        <v>0</v>
      </c>
      <c r="Q15" s="9">
        <f>IF(13&lt;=核心参数输入!$B$9*4,季度投融资!Q49,0)</f>
        <v>0</v>
      </c>
      <c r="R15" s="9">
        <f>IF(14&lt;=核心参数输入!$B$9*4,季度投融资!R49,0)</f>
        <v>0</v>
      </c>
      <c r="S15" s="9">
        <f>IF(15&lt;=核心参数输入!$B$9*4,季度投融资!S49,0)</f>
        <v>0</v>
      </c>
      <c r="T15" s="9">
        <f>IF(16&lt;=核心参数输入!$B$9*4,季度投融资!T49,0)</f>
        <v>0</v>
      </c>
      <c r="U15" s="9">
        <f>IF(17&lt;=核心参数输入!$B$9*4,季度投融资!U49,0)</f>
        <v>0</v>
      </c>
      <c r="V15" s="9">
        <f>IF(18&lt;=核心参数输入!$B$9*4,季度投融资!V49,0)</f>
        <v>0</v>
      </c>
      <c r="W15" s="9">
        <f>IF(19&lt;=核心参数输入!$B$9*4,季度投融资!W49,0)</f>
        <v>0</v>
      </c>
      <c r="X15" s="9">
        <f>IF(20&lt;=核心参数输入!$B$9*4,季度投融资!X49,0)</f>
        <v>0</v>
      </c>
      <c r="Y15" s="9">
        <f>IF(21&lt;=核心参数输入!$B$9*4,季度投融资!Y49,0)</f>
        <v>0</v>
      </c>
      <c r="Z15" s="9">
        <f>IF(22&lt;=核心参数输入!$B$9*4,季度投融资!Z49,0)</f>
        <v>0</v>
      </c>
      <c r="AA15" s="9">
        <f>IF(23&lt;=核心参数输入!$B$9*4,季度投融资!AA49,0)</f>
        <v>0</v>
      </c>
      <c r="AB15" s="9">
        <f>IF(24&lt;=核心参数输入!$B$9*4,季度投融资!AB49,0)</f>
        <v>0</v>
      </c>
      <c r="AC15" s="9">
        <f>IF(25&lt;=核心参数输入!$B$9*4,季度投融资!AC49,0)</f>
        <v>0</v>
      </c>
      <c r="AD15" s="9">
        <f>IF(26&lt;=核心参数输入!$B$9*4,季度投融资!AD49,0)</f>
        <v>0</v>
      </c>
      <c r="AE15" s="9">
        <f>IF(27&lt;=核心参数输入!$B$9*4,季度投融资!AE49,0)</f>
        <v>0</v>
      </c>
      <c r="AF15" s="9">
        <f>IF(28&lt;=核心参数输入!$B$9*4,季度投融资!AF49,0)</f>
        <v>0</v>
      </c>
      <c r="AG15" s="9">
        <f>IF(29&lt;=核心参数输入!$B$9*4,季度投融资!AG49,0)</f>
        <v>0</v>
      </c>
      <c r="AH15" s="9">
        <f>IF(30&lt;=核心参数输入!$B$9*4,季度投融资!AH49,0)</f>
        <v>0</v>
      </c>
      <c r="AI15" s="9">
        <f>IF(31&lt;=核心参数输入!$B$9*4,季度投融资!AI49,0)</f>
        <v>0</v>
      </c>
      <c r="AJ15" s="9">
        <f>IF(32&lt;=核心参数输入!$B$9*4,季度投融资!AJ49,0)</f>
        <v>0</v>
      </c>
      <c r="AK15" s="9">
        <f>IF(33&lt;=核心参数输入!$B$9*4,季度投融资!AK49,0)</f>
        <v>0</v>
      </c>
      <c r="AL15" s="9">
        <f>IF(34&lt;=核心参数输入!$B$9*4,季度投融资!AL49,0)</f>
        <v>0</v>
      </c>
      <c r="AM15" s="9">
        <f>IF(35&lt;=核心参数输入!$B$9*4,季度投融资!AM49,0)</f>
        <v>0</v>
      </c>
      <c r="AN15" s="9">
        <f>IF(36&lt;=核心参数输入!$B$9*4,季度投融资!AN49,0)</f>
        <v>0</v>
      </c>
      <c r="AO15" s="9">
        <f>IF(37&lt;=核心参数输入!$B$9*4,季度投融资!AO49,0)</f>
        <v>0</v>
      </c>
      <c r="AP15" s="9">
        <f>IF(38&lt;=核心参数输入!$B$9*4,季度投融资!AP49,0)</f>
        <v>0</v>
      </c>
      <c r="AQ15" s="9">
        <f>IF(39&lt;=核心参数输入!$B$9*4,季度投融资!AQ49,0)</f>
        <v>0</v>
      </c>
      <c r="AR15" s="9">
        <f>IF(40&lt;=核心参数输入!$B$9*4,季度投融资!AR49,0)</f>
        <v>0</v>
      </c>
      <c r="AS15" s="9">
        <f>IF(41&lt;=核心参数输入!$B$9*4,季度投融资!AS49,0)</f>
        <v>0</v>
      </c>
      <c r="AT15" s="9">
        <f>IF(42&lt;=核心参数输入!$B$9*4,季度投融资!AT49,0)</f>
        <v>0</v>
      </c>
      <c r="AU15" s="9">
        <f>IF(43&lt;=核心参数输入!$B$9*4,季度投融资!AU49,0)</f>
        <v>0</v>
      </c>
      <c r="AV15" s="9">
        <f>IF(44&lt;=核心参数输入!$B$9*4,季度投融资!AV49,0)</f>
        <v>0</v>
      </c>
      <c r="AW15" s="9">
        <f>IF(45&lt;=核心参数输入!$B$9*4,季度投融资!AW49,0)</f>
        <v>0</v>
      </c>
      <c r="AX15" s="9">
        <f>IF(46&lt;=核心参数输入!$B$9*4,季度投融资!AX49,0)</f>
        <v>0</v>
      </c>
      <c r="AY15" s="9">
        <f>IF(47&lt;=核心参数输入!$B$9*4,季度投融资!AY49,0)</f>
        <v>0</v>
      </c>
      <c r="AZ15" s="9">
        <f>IF(48&lt;=核心参数输入!$B$9*4,季度投融资!AZ49,0)</f>
        <v>0</v>
      </c>
      <c r="BA15" s="9">
        <f>IF(49&lt;=核心参数输入!$B$9*4,季度投融资!BA49,0)</f>
        <v>0</v>
      </c>
      <c r="BB15" s="9">
        <f>IF(50&lt;=核心参数输入!$B$9*4,季度投融资!BB49,0)</f>
        <v>0</v>
      </c>
      <c r="BC15" s="9">
        <f>IF(51&lt;=核心参数输入!$B$9*4,季度投融资!BC49,0)</f>
        <v>0</v>
      </c>
      <c r="BD15" s="9">
        <f>IF(52&lt;=核心参数输入!$B$9*4,季度投融资!BD49,0)</f>
        <v>0</v>
      </c>
      <c r="BE15" s="9">
        <f>IF(53&lt;=核心参数输入!$B$9*4,季度投融资!BE49,0)</f>
        <v>0</v>
      </c>
      <c r="BF15" s="9">
        <f>IF(54&lt;=核心参数输入!$B$9*4,季度投融资!BF49,0)</f>
        <v>0</v>
      </c>
      <c r="BG15" s="9">
        <f>IF(55&lt;=核心参数输入!$B$9*4,季度投融资!BG49,0)</f>
        <v>0</v>
      </c>
      <c r="BH15" s="9">
        <f>IF(56&lt;=核心参数输入!$B$9*4,季度投融资!BH49,0)</f>
        <v>0</v>
      </c>
      <c r="BI15" s="9">
        <f>IF(57&lt;=核心参数输入!$B$9*4,季度投融资!BI49,0)</f>
        <v>0</v>
      </c>
      <c r="BJ15" s="9">
        <f>IF(58&lt;=核心参数输入!$B$9*4,季度投融资!BJ49,0)</f>
        <v>0</v>
      </c>
      <c r="BK15" s="9">
        <f>IF(59&lt;=核心参数输入!$B$9*4,季度投融资!BK49,0)</f>
        <v>0</v>
      </c>
      <c r="BL15" s="9">
        <f>IF(60&lt;=核心参数输入!$B$9*4,季度投融资!BL49,0)</f>
        <v>0</v>
      </c>
      <c r="BM15" s="9">
        <f>IF(61&lt;=核心参数输入!$B$9*4,季度投融资!BM49,0)</f>
        <v>0</v>
      </c>
      <c r="BN15" s="9">
        <f>IF(62&lt;=核心参数输入!$B$9*4,季度投融资!BN49,0)</f>
        <v>0</v>
      </c>
      <c r="BO15" s="9">
        <f>IF(63&lt;=核心参数输入!$B$9*4,季度投融资!BO49,0)</f>
        <v>0</v>
      </c>
      <c r="BP15" s="9">
        <f>IF(64&lt;=核心参数输入!$B$9*4,季度投融资!BP49,0)</f>
        <v>0</v>
      </c>
      <c r="BQ15" s="9">
        <f>IF(65&lt;=核心参数输入!$B$9*4,季度投融资!BQ49,0)</f>
        <v>0</v>
      </c>
      <c r="BR15" s="9">
        <f>IF(66&lt;=核心参数输入!$B$9*4,季度投融资!BR49,0)</f>
        <v>0</v>
      </c>
      <c r="BS15" s="9">
        <f>IF(67&lt;=核心参数输入!$B$9*4,季度投融资!BS49,0)</f>
        <v>0</v>
      </c>
      <c r="BT15" s="9">
        <f>IF(68&lt;=核心参数输入!$B$9*4,季度投融资!BT49,0)</f>
        <v>0</v>
      </c>
      <c r="BU15" s="9">
        <f>IF(69&lt;=核心参数输入!$B$9*4,季度投融资!BU49,0)</f>
        <v>0</v>
      </c>
      <c r="BV15" s="9">
        <f>IF(70&lt;=核心参数输入!$B$9*4,季度投融资!BV49,0)</f>
        <v>0</v>
      </c>
      <c r="BW15" s="9">
        <f>IF(71&lt;=核心参数输入!$B$9*4,季度投融资!BW49,0)</f>
        <v>0</v>
      </c>
      <c r="BX15" s="9">
        <f>IF(72&lt;=核心参数输入!$B$9*4,季度投融资!BX49,0)</f>
        <v>0</v>
      </c>
      <c r="BY15" s="9">
        <f>IF(73&lt;=核心参数输入!$B$9*4,季度投融资!BY49,0)</f>
        <v>0</v>
      </c>
      <c r="BZ15" s="9">
        <f>IF(74&lt;=核心参数输入!$B$9*4,季度投融资!BZ49,0)</f>
        <v>0</v>
      </c>
      <c r="CA15" s="9">
        <f>IF(75&lt;=核心参数输入!$B$9*4,季度投融资!CA49,0)</f>
        <v>0</v>
      </c>
      <c r="CB15" s="9">
        <f>IF(76&lt;=核心参数输入!$B$9*4,季度投融资!CB49,0)</f>
        <v>0</v>
      </c>
      <c r="CC15" s="9">
        <f>IF(77&lt;=核心参数输入!$B$9*4,季度投融资!CC49,0)</f>
        <v>0</v>
      </c>
      <c r="CD15" s="9">
        <f>IF(78&lt;=核心参数输入!$B$9*4,季度投融资!CD49,0)</f>
        <v>0</v>
      </c>
      <c r="CE15" s="9">
        <f>IF(79&lt;=核心参数输入!$B$9*4,季度投融资!CE49,0)</f>
        <v>0</v>
      </c>
      <c r="CF15" s="9">
        <f>IF(80&lt;=核心参数输入!$B$9*4,季度投融资!CF49,0)</f>
        <v>0</v>
      </c>
      <c r="CG15" s="9">
        <f>IF(81&lt;=核心参数输入!$B$9*4,季度投融资!CG49,0)</f>
        <v>0</v>
      </c>
      <c r="CH15" s="9">
        <f>IF(82&lt;=核心参数输入!$B$9*4,季度投融资!CH49,0)</f>
        <v>0</v>
      </c>
      <c r="CI15" s="9">
        <f>IF(83&lt;=核心参数输入!$B$9*4,季度投融资!CI49,0)</f>
        <v>0</v>
      </c>
      <c r="CJ15" s="9">
        <f>IF(84&lt;=核心参数输入!$B$9*4,季度投融资!CJ49,0)</f>
        <v>0</v>
      </c>
      <c r="CK15" s="9">
        <f>IF(85&lt;=核心参数输入!$B$9*4,季度投融资!CK49,0)</f>
        <v>0</v>
      </c>
      <c r="CL15" s="9">
        <f>IF(86&lt;=核心参数输入!$B$9*4,季度投融资!CL49,0)</f>
        <v>0</v>
      </c>
      <c r="CM15" s="9">
        <f>IF(87&lt;=核心参数输入!$B$9*4,季度投融资!CM49,0)</f>
        <v>0</v>
      </c>
      <c r="CN15" s="9">
        <f>IF(88&lt;=核心参数输入!$B$9*4,季度投融资!CN49,0)</f>
        <v>0</v>
      </c>
      <c r="CO15" s="9">
        <f>IF(89&lt;=核心参数输入!$B$9*4,季度投融资!CO49,0)</f>
        <v>0</v>
      </c>
      <c r="CP15" s="9">
        <f>IF(90&lt;=核心参数输入!$B$9*4,季度投融资!CP49,0)</f>
        <v>0</v>
      </c>
      <c r="CQ15" s="9">
        <f>IF(91&lt;=核心参数输入!$B$9*4,季度投融资!CQ49,0)</f>
        <v>0</v>
      </c>
      <c r="CR15" s="9">
        <f>IF(92&lt;=核心参数输入!$B$9*4,季度投融资!CR49,0)</f>
        <v>0</v>
      </c>
      <c r="CS15" s="9">
        <f>IF(93&lt;=核心参数输入!$B$9*4,季度投融资!CS49,0)</f>
        <v>0</v>
      </c>
      <c r="CT15" s="9">
        <f>IF(94&lt;=核心参数输入!$B$9*4,季度投融资!CT49,0)</f>
        <v>0</v>
      </c>
      <c r="CU15" s="9">
        <f>IF(95&lt;=核心参数输入!$B$9*4,季度投融资!CU49,0)</f>
        <v>0</v>
      </c>
      <c r="CV15" s="9">
        <f>IF(96&lt;=核心参数输入!$B$9*4,季度投融资!CV49,0)</f>
        <v>0</v>
      </c>
      <c r="CW15" s="9">
        <f>IF(97&lt;=核心参数输入!$B$9*4,季度投融资!CW49,0)</f>
        <v>0</v>
      </c>
      <c r="CX15" s="9">
        <f>IF(98&lt;=核心参数输入!$B$9*4,季度投融资!CX49,0)</f>
        <v>0</v>
      </c>
      <c r="CY15" s="9">
        <f>IF(99&lt;=核心参数输入!$B$9*4,季度投融资!CY49,0)</f>
        <v>0</v>
      </c>
      <c r="CZ15" s="9">
        <f>IF(100&lt;=核心参数输入!$B$9*4,季度投融资!CZ49,0)</f>
        <v>0</v>
      </c>
      <c r="DA15" s="9">
        <f>IF(101&lt;=核心参数输入!$B$9*4,季度投融资!DA49,0)</f>
        <v>0</v>
      </c>
      <c r="DB15" s="9">
        <f>IF(102&lt;=核心参数输入!$B$9*4,季度投融资!DB49,0)</f>
        <v>0</v>
      </c>
      <c r="DC15" s="9">
        <f>IF(103&lt;=核心参数输入!$B$9*4,季度投融资!DC49,0)</f>
        <v>0</v>
      </c>
      <c r="DD15" s="9">
        <f>IF(104&lt;=核心参数输入!$B$9*4,季度投融资!DD49,0)</f>
        <v>0</v>
      </c>
      <c r="DE15" s="9">
        <f>IF(105&lt;=核心参数输入!$B$9*4,季度投融资!DE49,0)</f>
        <v>0</v>
      </c>
      <c r="DF15" s="9">
        <f>IF(106&lt;=核心参数输入!$B$9*4,季度投融资!DF49,0)</f>
        <v>0</v>
      </c>
      <c r="DG15" s="9">
        <f>IF(107&lt;=核心参数输入!$B$9*4,季度投融资!DG49,0)</f>
        <v>0</v>
      </c>
      <c r="DH15" s="9">
        <f>IF(108&lt;=核心参数输入!$B$9*4,季度投融资!DH49,0)</f>
        <v>0</v>
      </c>
      <c r="DI15" s="9">
        <f>IF(109&lt;=核心参数输入!$B$9*4,季度投融资!DI49,0)</f>
        <v>0</v>
      </c>
      <c r="DJ15" s="9">
        <f>IF(110&lt;=核心参数输入!$B$9*4,季度投融资!DJ49,0)</f>
        <v>0</v>
      </c>
      <c r="DK15" s="9">
        <f>IF(111&lt;=核心参数输入!$B$9*4,季度投融资!DK49,0)</f>
        <v>0</v>
      </c>
      <c r="DL15" s="9">
        <f>IF(112&lt;=核心参数输入!$B$9*4,季度投融资!DL49,0)</f>
        <v>0</v>
      </c>
      <c r="DM15" s="9">
        <f>IF(113&lt;=核心参数输入!$B$9*4,季度投融资!DM49,0)</f>
        <v>0</v>
      </c>
      <c r="DN15" s="9">
        <f>IF(114&lt;=核心参数输入!$B$9*4,季度投融资!DN49,0)</f>
        <v>0</v>
      </c>
      <c r="DO15" s="9">
        <f>IF(115&lt;=核心参数输入!$B$9*4,季度投融资!DO49,0)</f>
        <v>0</v>
      </c>
      <c r="DP15" s="9">
        <f>IF(116&lt;=核心参数输入!$B$9*4,季度投融资!DP49,0)</f>
        <v>0</v>
      </c>
      <c r="DQ15" s="9">
        <f>IF(117&lt;=核心参数输入!$B$9*4,季度投融资!DQ49,0)</f>
        <v>0</v>
      </c>
      <c r="DR15" s="9">
        <f>IF(118&lt;=核心参数输入!$B$9*4,季度投融资!DR49,0)</f>
        <v>0</v>
      </c>
      <c r="DS15" s="9">
        <f>IF(119&lt;=核心参数输入!$B$9*4,季度投融资!DS49,0)</f>
        <v>0</v>
      </c>
      <c r="DT15" s="9">
        <f>IF(120&lt;=核心参数输入!$B$9*4,季度投融资!DT49,0)</f>
        <v>0</v>
      </c>
    </row>
    <row r="16" spans="1:124" ht="21" customHeight="1">
      <c r="A16" s="8" t="s">
        <v>515</v>
      </c>
      <c r="B16" s="8" t="s">
        <v>39</v>
      </c>
      <c r="C16" s="8"/>
      <c r="D16" s="9">
        <f>IF(0&lt;=核心参数输入!$B$9*4,IF(0=核心参数输入!$B$9*4,季度投融资!$B$20*核心参数输入!$B$109,0),0)</f>
        <v>0</v>
      </c>
      <c r="E16" s="9">
        <f>IF(1&lt;=核心参数输入!$B$9*4,IF(1=核心参数输入!$B$9*4,季度投融资!$B$20*核心参数输入!$B$109,0),0)</f>
        <v>0</v>
      </c>
      <c r="F16" s="9">
        <f>IF(2&lt;=核心参数输入!$B$9*4,IF(2=核心参数输入!$B$9*4,季度投融资!$B$20*核心参数输入!$B$109,0),0)</f>
        <v>0</v>
      </c>
      <c r="G16" s="9">
        <f>IF(3&lt;=核心参数输入!$B$9*4,IF(3=核心参数输入!$B$9*4,季度投融资!$B$20*核心参数输入!$B$109,0),0)</f>
        <v>0</v>
      </c>
      <c r="H16" s="9">
        <f>IF(4&lt;=核心参数输入!$B$9*4,IF(4=核心参数输入!$B$9*4,季度投融资!$B$20*核心参数输入!$B$109,0),0)</f>
        <v>0</v>
      </c>
      <c r="I16" s="9">
        <f>IF(5&lt;=核心参数输入!$B$9*4,IF(5=核心参数输入!$B$9*4,季度投融资!$B$20*核心参数输入!$B$109,0),0)</f>
        <v>0</v>
      </c>
      <c r="J16" s="9">
        <f>IF(6&lt;=核心参数输入!$B$9*4,IF(6=核心参数输入!$B$9*4,季度投融资!$B$20*核心参数输入!$B$109,0),0)</f>
        <v>0</v>
      </c>
      <c r="K16" s="9">
        <f>IF(7&lt;=核心参数输入!$B$9*4,IF(7=核心参数输入!$B$9*4,季度投融资!$B$20*核心参数输入!$B$109,0),0)</f>
        <v>0</v>
      </c>
      <c r="L16" s="9">
        <f>IF(8&lt;=核心参数输入!$B$9*4,IF(8=核心参数输入!$B$9*4,季度投融资!$B$20*核心参数输入!$B$109,0),0)</f>
        <v>0</v>
      </c>
      <c r="M16" s="9">
        <f>IF(9&lt;=核心参数输入!$B$9*4,IF(9=核心参数输入!$B$9*4,季度投融资!$B$20*核心参数输入!$B$109,0),0)</f>
        <v>0</v>
      </c>
      <c r="N16" s="9">
        <f>IF(10&lt;=核心参数输入!$B$9*4,IF(10=核心参数输入!$B$9*4,季度投融资!$B$20*核心参数输入!$B$109,0),0)</f>
        <v>0</v>
      </c>
      <c r="O16" s="9">
        <f>IF(11&lt;=核心参数输入!$B$9*4,IF(11=核心参数输入!$B$9*4,季度投融资!$B$20*核心参数输入!$B$109,0),0)</f>
        <v>0</v>
      </c>
      <c r="P16" s="9">
        <f>IF(12&lt;=核心参数输入!$B$9*4,IF(12=核心参数输入!$B$9*4,季度投融资!$B$20*核心参数输入!$B$109,0),0)</f>
        <v>0</v>
      </c>
      <c r="Q16" s="9">
        <f>IF(13&lt;=核心参数输入!$B$9*4,IF(13=核心参数输入!$B$9*4,季度投融资!$B$20*核心参数输入!$B$109,0),0)</f>
        <v>0</v>
      </c>
      <c r="R16" s="9">
        <f>IF(14&lt;=核心参数输入!$B$9*4,IF(14=核心参数输入!$B$9*4,季度投融资!$B$20*核心参数输入!$B$109,0),0)</f>
        <v>0</v>
      </c>
      <c r="S16" s="9">
        <f>IF(15&lt;=核心参数输入!$B$9*4,IF(15=核心参数输入!$B$9*4,季度投融资!$B$20*核心参数输入!$B$109,0),0)</f>
        <v>0</v>
      </c>
      <c r="T16" s="9">
        <f>IF(16&lt;=核心参数输入!$B$9*4,IF(16=核心参数输入!$B$9*4,季度投融资!$B$20*核心参数输入!$B$109,0),0)</f>
        <v>0</v>
      </c>
      <c r="U16" s="9">
        <f>IF(17&lt;=核心参数输入!$B$9*4,IF(17=核心参数输入!$B$9*4,季度投融资!$B$20*核心参数输入!$B$109,0),0)</f>
        <v>0</v>
      </c>
      <c r="V16" s="9">
        <f>IF(18&lt;=核心参数输入!$B$9*4,IF(18=核心参数输入!$B$9*4,季度投融资!$B$20*核心参数输入!$B$109,0),0)</f>
        <v>0</v>
      </c>
      <c r="W16" s="9">
        <f>IF(19&lt;=核心参数输入!$B$9*4,IF(19=核心参数输入!$B$9*4,季度投融资!$B$20*核心参数输入!$B$109,0),0)</f>
        <v>0</v>
      </c>
      <c r="X16" s="9">
        <f>IF(20&lt;=核心参数输入!$B$9*4,IF(20=核心参数输入!$B$9*4,季度投融资!$B$20*核心参数输入!$B$109,0),0)</f>
        <v>0</v>
      </c>
      <c r="Y16" s="9">
        <f>IF(21&lt;=核心参数输入!$B$9*4,IF(21=核心参数输入!$B$9*4,季度投融资!$B$20*核心参数输入!$B$109,0),0)</f>
        <v>0</v>
      </c>
      <c r="Z16" s="9">
        <f>IF(22&lt;=核心参数输入!$B$9*4,IF(22=核心参数输入!$B$9*4,季度投融资!$B$20*核心参数输入!$B$109,0),0)</f>
        <v>0</v>
      </c>
      <c r="AA16" s="9">
        <f>IF(23&lt;=核心参数输入!$B$9*4,IF(23=核心参数输入!$B$9*4,季度投融资!$B$20*核心参数输入!$B$109,0),0)</f>
        <v>0</v>
      </c>
      <c r="AB16" s="9">
        <f>IF(24&lt;=核心参数输入!$B$9*4,IF(24=核心参数输入!$B$9*4,季度投融资!$B$20*核心参数输入!$B$109,0),0)</f>
        <v>0</v>
      </c>
      <c r="AC16" s="9">
        <f>IF(25&lt;=核心参数输入!$B$9*4,IF(25=核心参数输入!$B$9*4,季度投融资!$B$20*核心参数输入!$B$109,0),0)</f>
        <v>0</v>
      </c>
      <c r="AD16" s="9">
        <f>IF(26&lt;=核心参数输入!$B$9*4,IF(26=核心参数输入!$B$9*4,季度投融资!$B$20*核心参数输入!$B$109,0),0)</f>
        <v>0</v>
      </c>
      <c r="AE16" s="9">
        <f>IF(27&lt;=核心参数输入!$B$9*4,IF(27=核心参数输入!$B$9*4,季度投融资!$B$20*核心参数输入!$B$109,0),0)</f>
        <v>0</v>
      </c>
      <c r="AF16" s="9">
        <f>IF(28&lt;=核心参数输入!$B$9*4,IF(28=核心参数输入!$B$9*4,季度投融资!$B$20*核心参数输入!$B$109,0),0)</f>
        <v>0</v>
      </c>
      <c r="AG16" s="9">
        <f>IF(29&lt;=核心参数输入!$B$9*4,IF(29=核心参数输入!$B$9*4,季度投融资!$B$20*核心参数输入!$B$109,0),0)</f>
        <v>0</v>
      </c>
      <c r="AH16" s="9">
        <f>IF(30&lt;=核心参数输入!$B$9*4,IF(30=核心参数输入!$B$9*4,季度投融资!$B$20*核心参数输入!$B$109,0),0)</f>
        <v>0</v>
      </c>
      <c r="AI16" s="9">
        <f>IF(31&lt;=核心参数输入!$B$9*4,IF(31=核心参数输入!$B$9*4,季度投融资!$B$20*核心参数输入!$B$109,0),0)</f>
        <v>0</v>
      </c>
      <c r="AJ16" s="9">
        <f>IF(32&lt;=核心参数输入!$B$9*4,IF(32=核心参数输入!$B$9*4,季度投融资!$B$20*核心参数输入!$B$109,0),0)</f>
        <v>0</v>
      </c>
      <c r="AK16" s="9">
        <f>IF(33&lt;=核心参数输入!$B$9*4,IF(33=核心参数输入!$B$9*4,季度投融资!$B$20*核心参数输入!$B$109,0),0)</f>
        <v>0</v>
      </c>
      <c r="AL16" s="9">
        <f>IF(34&lt;=核心参数输入!$B$9*4,IF(34=核心参数输入!$B$9*4,季度投融资!$B$20*核心参数输入!$B$109,0),0)</f>
        <v>0</v>
      </c>
      <c r="AM16" s="9">
        <f>IF(35&lt;=核心参数输入!$B$9*4,IF(35=核心参数输入!$B$9*4,季度投融资!$B$20*核心参数输入!$B$109,0),0)</f>
        <v>0</v>
      </c>
      <c r="AN16" s="9">
        <f>IF(36&lt;=核心参数输入!$B$9*4,IF(36=核心参数输入!$B$9*4,季度投融资!$B$20*核心参数输入!$B$109,0),0)</f>
        <v>0</v>
      </c>
      <c r="AO16" s="9">
        <f>IF(37&lt;=核心参数输入!$B$9*4,IF(37=核心参数输入!$B$9*4,季度投融资!$B$20*核心参数输入!$B$109,0),0)</f>
        <v>0</v>
      </c>
      <c r="AP16" s="9">
        <f>IF(38&lt;=核心参数输入!$B$9*4,IF(38=核心参数输入!$B$9*4,季度投融资!$B$20*核心参数输入!$B$109,0),0)</f>
        <v>0</v>
      </c>
      <c r="AQ16" s="9">
        <f>IF(39&lt;=核心参数输入!$B$9*4,IF(39=核心参数输入!$B$9*4,季度投融资!$B$20*核心参数输入!$B$109,0),0)</f>
        <v>0</v>
      </c>
      <c r="AR16" s="9">
        <f>IF(40&lt;=核心参数输入!$B$9*4,IF(40=核心参数输入!$B$9*4,季度投融资!$B$20*核心参数输入!$B$109,0),0)</f>
        <v>0</v>
      </c>
      <c r="AS16" s="9">
        <f>IF(41&lt;=核心参数输入!$B$9*4,IF(41=核心参数输入!$B$9*4,季度投融资!$B$20*核心参数输入!$B$109,0),0)</f>
        <v>0</v>
      </c>
      <c r="AT16" s="9">
        <f>IF(42&lt;=核心参数输入!$B$9*4,IF(42=核心参数输入!$B$9*4,季度投融资!$B$20*核心参数输入!$B$109,0),0)</f>
        <v>0</v>
      </c>
      <c r="AU16" s="9">
        <f>IF(43&lt;=核心参数输入!$B$9*4,IF(43=核心参数输入!$B$9*4,季度投融资!$B$20*核心参数输入!$B$109,0),0)</f>
        <v>0</v>
      </c>
      <c r="AV16" s="9">
        <f>IF(44&lt;=核心参数输入!$B$9*4,IF(44=核心参数输入!$B$9*4,季度投融资!$B$20*核心参数输入!$B$109,0),0)</f>
        <v>0</v>
      </c>
      <c r="AW16" s="9">
        <f>IF(45&lt;=核心参数输入!$B$9*4,IF(45=核心参数输入!$B$9*4,季度投融资!$B$20*核心参数输入!$B$109,0),0)</f>
        <v>0</v>
      </c>
      <c r="AX16" s="9">
        <f>IF(46&lt;=核心参数输入!$B$9*4,IF(46=核心参数输入!$B$9*4,季度投融资!$B$20*核心参数输入!$B$109,0),0)</f>
        <v>0</v>
      </c>
      <c r="AY16" s="9">
        <f>IF(47&lt;=核心参数输入!$B$9*4,IF(47=核心参数输入!$B$9*4,季度投融资!$B$20*核心参数输入!$B$109,0),0)</f>
        <v>0</v>
      </c>
      <c r="AZ16" s="9">
        <f>IF(48&lt;=核心参数输入!$B$9*4,IF(48=核心参数输入!$B$9*4,季度投融资!$B$20*核心参数输入!$B$109,0),0)</f>
        <v>0</v>
      </c>
      <c r="BA16" s="9">
        <f>IF(49&lt;=核心参数输入!$B$9*4,IF(49=核心参数输入!$B$9*4,季度投融资!$B$20*核心参数输入!$B$109,0),0)</f>
        <v>0</v>
      </c>
      <c r="BB16" s="9">
        <f>IF(50&lt;=核心参数输入!$B$9*4,IF(50=核心参数输入!$B$9*4,季度投融资!$B$20*核心参数输入!$B$109,0),0)</f>
        <v>0</v>
      </c>
      <c r="BC16" s="9">
        <f>IF(51&lt;=核心参数输入!$B$9*4,IF(51=核心参数输入!$B$9*4,季度投融资!$B$20*核心参数输入!$B$109,0),0)</f>
        <v>0</v>
      </c>
      <c r="BD16" s="9">
        <f>IF(52&lt;=核心参数输入!$B$9*4,IF(52=核心参数输入!$B$9*4,季度投融资!$B$20*核心参数输入!$B$109,0),0)</f>
        <v>0</v>
      </c>
      <c r="BE16" s="9">
        <f>IF(53&lt;=核心参数输入!$B$9*4,IF(53=核心参数输入!$B$9*4,季度投融资!$B$20*核心参数输入!$B$109,0),0)</f>
        <v>0</v>
      </c>
      <c r="BF16" s="9">
        <f>IF(54&lt;=核心参数输入!$B$9*4,IF(54=核心参数输入!$B$9*4,季度投融资!$B$20*核心参数输入!$B$109,0),0)</f>
        <v>0</v>
      </c>
      <c r="BG16" s="9">
        <f>IF(55&lt;=核心参数输入!$B$9*4,IF(55=核心参数输入!$B$9*4,季度投融资!$B$20*核心参数输入!$B$109,0),0)</f>
        <v>0</v>
      </c>
      <c r="BH16" s="9">
        <f>IF(56&lt;=核心参数输入!$B$9*4,IF(56=核心参数输入!$B$9*4,季度投融资!$B$20*核心参数输入!$B$109,0),0)</f>
        <v>0</v>
      </c>
      <c r="BI16" s="9">
        <f>IF(57&lt;=核心参数输入!$B$9*4,IF(57=核心参数输入!$B$9*4,季度投融资!$B$20*核心参数输入!$B$109,0),0)</f>
        <v>0</v>
      </c>
      <c r="BJ16" s="9">
        <f>IF(58&lt;=核心参数输入!$B$9*4,IF(58=核心参数输入!$B$9*4,季度投融资!$B$20*核心参数输入!$B$109,0),0)</f>
        <v>0</v>
      </c>
      <c r="BK16" s="9">
        <f>IF(59&lt;=核心参数输入!$B$9*4,IF(59=核心参数输入!$B$9*4,季度投融资!$B$20*核心参数输入!$B$109,0),0)</f>
        <v>0</v>
      </c>
      <c r="BL16" s="9">
        <f>IF(60&lt;=核心参数输入!$B$9*4,IF(60=核心参数输入!$B$9*4,季度投融资!$B$20*核心参数输入!$B$109,0),0)</f>
        <v>0</v>
      </c>
      <c r="BM16" s="9">
        <f>IF(61&lt;=核心参数输入!$B$9*4,IF(61=核心参数输入!$B$9*4,季度投融资!$B$20*核心参数输入!$B$109,0),0)</f>
        <v>0</v>
      </c>
      <c r="BN16" s="9">
        <f>IF(62&lt;=核心参数输入!$B$9*4,IF(62=核心参数输入!$B$9*4,季度投融资!$B$20*核心参数输入!$B$109,0),0)</f>
        <v>0</v>
      </c>
      <c r="BO16" s="9">
        <f>IF(63&lt;=核心参数输入!$B$9*4,IF(63=核心参数输入!$B$9*4,季度投融资!$B$20*核心参数输入!$B$109,0),0)</f>
        <v>0</v>
      </c>
      <c r="BP16" s="9">
        <f>IF(64&lt;=核心参数输入!$B$9*4,IF(64=核心参数输入!$B$9*4,季度投融资!$B$20*核心参数输入!$B$109,0),0)</f>
        <v>0</v>
      </c>
      <c r="BQ16" s="9">
        <f>IF(65&lt;=核心参数输入!$B$9*4,IF(65=核心参数输入!$B$9*4,季度投融资!$B$20*核心参数输入!$B$109,0),0)</f>
        <v>0</v>
      </c>
      <c r="BR16" s="9">
        <f>IF(66&lt;=核心参数输入!$B$9*4,IF(66=核心参数输入!$B$9*4,季度投融资!$B$20*核心参数输入!$B$109,0),0)</f>
        <v>0</v>
      </c>
      <c r="BS16" s="9">
        <f>IF(67&lt;=核心参数输入!$B$9*4,IF(67=核心参数输入!$B$9*4,季度投融资!$B$20*核心参数输入!$B$109,0),0)</f>
        <v>0</v>
      </c>
      <c r="BT16" s="9">
        <f>IF(68&lt;=核心参数输入!$B$9*4,IF(68=核心参数输入!$B$9*4,季度投融资!$B$20*核心参数输入!$B$109,0),0)</f>
        <v>0</v>
      </c>
      <c r="BU16" s="9">
        <f>IF(69&lt;=核心参数输入!$B$9*4,IF(69=核心参数输入!$B$9*4,季度投融资!$B$20*核心参数输入!$B$109,0),0)</f>
        <v>0</v>
      </c>
      <c r="BV16" s="9">
        <f>IF(70&lt;=核心参数输入!$B$9*4,IF(70=核心参数输入!$B$9*4,季度投融资!$B$20*核心参数输入!$B$109,0),0)</f>
        <v>0</v>
      </c>
      <c r="BW16" s="9">
        <f>IF(71&lt;=核心参数输入!$B$9*4,IF(71=核心参数输入!$B$9*4,季度投融资!$B$20*核心参数输入!$B$109,0),0)</f>
        <v>0</v>
      </c>
      <c r="BX16" s="9">
        <f>IF(72&lt;=核心参数输入!$B$9*4,IF(72=核心参数输入!$B$9*4,季度投融资!$B$20*核心参数输入!$B$109,0),0)</f>
        <v>0</v>
      </c>
      <c r="BY16" s="9">
        <f>IF(73&lt;=核心参数输入!$B$9*4,IF(73=核心参数输入!$B$9*4,季度投融资!$B$20*核心参数输入!$B$109,0),0)</f>
        <v>0</v>
      </c>
      <c r="BZ16" s="9">
        <f>IF(74&lt;=核心参数输入!$B$9*4,IF(74=核心参数输入!$B$9*4,季度投融资!$B$20*核心参数输入!$B$109,0),0)</f>
        <v>0</v>
      </c>
      <c r="CA16" s="9">
        <f>IF(75&lt;=核心参数输入!$B$9*4,IF(75=核心参数输入!$B$9*4,季度投融资!$B$20*核心参数输入!$B$109,0),0)</f>
        <v>0</v>
      </c>
      <c r="CB16" s="9">
        <f>IF(76&lt;=核心参数输入!$B$9*4,IF(76=核心参数输入!$B$9*4,季度投融资!$B$20*核心参数输入!$B$109,0),0)</f>
        <v>0</v>
      </c>
      <c r="CC16" s="9">
        <f>IF(77&lt;=核心参数输入!$B$9*4,IF(77=核心参数输入!$B$9*4,季度投融资!$B$20*核心参数输入!$B$109,0),0)</f>
        <v>0</v>
      </c>
      <c r="CD16" s="9">
        <f>IF(78&lt;=核心参数输入!$B$9*4,IF(78=核心参数输入!$B$9*4,季度投融资!$B$20*核心参数输入!$B$109,0),0)</f>
        <v>0</v>
      </c>
      <c r="CE16" s="9">
        <f>IF(79&lt;=核心参数输入!$B$9*4,IF(79=核心参数输入!$B$9*4,季度投融资!$B$20*核心参数输入!$B$109,0),0)</f>
        <v>0</v>
      </c>
      <c r="CF16" s="9">
        <f>IF(80&lt;=核心参数输入!$B$9*4,IF(80=核心参数输入!$B$9*4,季度投融资!$B$20*核心参数输入!$B$109,0),0)</f>
        <v>0</v>
      </c>
      <c r="CG16" s="9">
        <f>IF(81&lt;=核心参数输入!$B$9*4,IF(81=核心参数输入!$B$9*4,季度投融资!$B$20*核心参数输入!$B$109,0),0)</f>
        <v>0</v>
      </c>
      <c r="CH16" s="9">
        <f>IF(82&lt;=核心参数输入!$B$9*4,IF(82=核心参数输入!$B$9*4,季度投融资!$B$20*核心参数输入!$B$109,0),0)</f>
        <v>0</v>
      </c>
      <c r="CI16" s="9">
        <f>IF(83&lt;=核心参数输入!$B$9*4,IF(83=核心参数输入!$B$9*4,季度投融资!$B$20*核心参数输入!$B$109,0),0)</f>
        <v>0</v>
      </c>
      <c r="CJ16" s="9">
        <f>IF(84&lt;=核心参数输入!$B$9*4,IF(84=核心参数输入!$B$9*4,季度投融资!$B$20*核心参数输入!$B$109,0),0)</f>
        <v>0</v>
      </c>
      <c r="CK16" s="9">
        <f>IF(85&lt;=核心参数输入!$B$9*4,IF(85=核心参数输入!$B$9*4,季度投融资!$B$20*核心参数输入!$B$109,0),0)</f>
        <v>0</v>
      </c>
      <c r="CL16" s="9">
        <f>IF(86&lt;=核心参数输入!$B$9*4,IF(86=核心参数输入!$B$9*4,季度投融资!$B$20*核心参数输入!$B$109,0),0)</f>
        <v>0</v>
      </c>
      <c r="CM16" s="9">
        <f>IF(87&lt;=核心参数输入!$B$9*4,IF(87=核心参数输入!$B$9*4,季度投融资!$B$20*核心参数输入!$B$109,0),0)</f>
        <v>0</v>
      </c>
      <c r="CN16" s="9">
        <f>IF(88&lt;=核心参数输入!$B$9*4,IF(88=核心参数输入!$B$9*4,季度投融资!$B$20*核心参数输入!$B$109,0),0)</f>
        <v>0</v>
      </c>
      <c r="CO16" s="9">
        <f>IF(89&lt;=核心参数输入!$B$9*4,IF(89=核心参数输入!$B$9*4,季度投融资!$B$20*核心参数输入!$B$109,0),0)</f>
        <v>0</v>
      </c>
      <c r="CP16" s="9">
        <f>IF(90&lt;=核心参数输入!$B$9*4,IF(90=核心参数输入!$B$9*4,季度投融资!$B$20*核心参数输入!$B$109,0),0)</f>
        <v>0</v>
      </c>
      <c r="CQ16" s="9">
        <f>IF(91&lt;=核心参数输入!$B$9*4,IF(91=核心参数输入!$B$9*4,季度投融资!$B$20*核心参数输入!$B$109,0),0)</f>
        <v>0</v>
      </c>
      <c r="CR16" s="9">
        <f>IF(92&lt;=核心参数输入!$B$9*4,IF(92=核心参数输入!$B$9*4,季度投融资!$B$20*核心参数输入!$B$109,0),0)</f>
        <v>0</v>
      </c>
      <c r="CS16" s="9">
        <f>IF(93&lt;=核心参数输入!$B$9*4,IF(93=核心参数输入!$B$9*4,季度投融资!$B$20*核心参数输入!$B$109,0),0)</f>
        <v>0</v>
      </c>
      <c r="CT16" s="9">
        <f>IF(94&lt;=核心参数输入!$B$9*4,IF(94=核心参数输入!$B$9*4,季度投融资!$B$20*核心参数输入!$B$109,0),0)</f>
        <v>0</v>
      </c>
      <c r="CU16" s="9">
        <f>IF(95&lt;=核心参数输入!$B$9*4,IF(95=核心参数输入!$B$9*4,季度投融资!$B$20*核心参数输入!$B$109,0),0)</f>
        <v>0</v>
      </c>
      <c r="CV16" s="9">
        <f>IF(96&lt;=核心参数输入!$B$9*4,IF(96=核心参数输入!$B$9*4,季度投融资!$B$20*核心参数输入!$B$109,0),0)</f>
        <v>0</v>
      </c>
      <c r="CW16" s="9">
        <f>IF(97&lt;=核心参数输入!$B$9*4,IF(97=核心参数输入!$B$9*4,季度投融资!$B$20*核心参数输入!$B$109,0),0)</f>
        <v>0</v>
      </c>
      <c r="CX16" s="9">
        <f>IF(98&lt;=核心参数输入!$B$9*4,IF(98=核心参数输入!$B$9*4,季度投融资!$B$20*核心参数输入!$B$109,0),0)</f>
        <v>0</v>
      </c>
      <c r="CY16" s="9">
        <f>IF(99&lt;=核心参数输入!$B$9*4,IF(99=核心参数输入!$B$9*4,季度投融资!$B$20*核心参数输入!$B$109,0),0)</f>
        <v>0</v>
      </c>
      <c r="CZ16" s="9">
        <f>IF(100&lt;=核心参数输入!$B$9*4,IF(100=核心参数输入!$B$9*4,季度投融资!$B$20*核心参数输入!$B$109,0),0)</f>
        <v>0</v>
      </c>
      <c r="DA16" s="9">
        <f>IF(101&lt;=核心参数输入!$B$9*4,IF(101=核心参数输入!$B$9*4,季度投融资!$B$20*核心参数输入!$B$109,0),0)</f>
        <v>0</v>
      </c>
      <c r="DB16" s="9">
        <f>IF(102&lt;=核心参数输入!$B$9*4,IF(102=核心参数输入!$B$9*4,季度投融资!$B$20*核心参数输入!$B$109,0),0)</f>
        <v>0</v>
      </c>
      <c r="DC16" s="9">
        <f>IF(103&lt;=核心参数输入!$B$9*4,IF(103=核心参数输入!$B$9*4,季度投融资!$B$20*核心参数输入!$B$109,0),0)</f>
        <v>0</v>
      </c>
      <c r="DD16" s="9">
        <f>IF(104&lt;=核心参数输入!$B$9*4,IF(104=核心参数输入!$B$9*4,季度投融资!$B$20*核心参数输入!$B$109,0),0)</f>
        <v>0</v>
      </c>
      <c r="DE16" s="9">
        <f>IF(105&lt;=核心参数输入!$B$9*4,IF(105=核心参数输入!$B$9*4,季度投融资!$B$20*核心参数输入!$B$109,0),0)</f>
        <v>0</v>
      </c>
      <c r="DF16" s="9">
        <f>IF(106&lt;=核心参数输入!$B$9*4,IF(106=核心参数输入!$B$9*4,季度投融资!$B$20*核心参数输入!$B$109,0),0)</f>
        <v>0</v>
      </c>
      <c r="DG16" s="9">
        <f>IF(107&lt;=核心参数输入!$B$9*4,IF(107=核心参数输入!$B$9*4,季度投融资!$B$20*核心参数输入!$B$109,0),0)</f>
        <v>0</v>
      </c>
      <c r="DH16" s="9">
        <f>IF(108&lt;=核心参数输入!$B$9*4,IF(108=核心参数输入!$B$9*4,季度投融资!$B$20*核心参数输入!$B$109,0),0)</f>
        <v>0</v>
      </c>
      <c r="DI16" s="9">
        <f>IF(109&lt;=核心参数输入!$B$9*4,IF(109=核心参数输入!$B$9*4,季度投融资!$B$20*核心参数输入!$B$109,0),0)</f>
        <v>0</v>
      </c>
      <c r="DJ16" s="9">
        <f>IF(110&lt;=核心参数输入!$B$9*4,IF(110=核心参数输入!$B$9*4,季度投融资!$B$20*核心参数输入!$B$109,0),0)</f>
        <v>0</v>
      </c>
      <c r="DK16" s="9">
        <f>IF(111&lt;=核心参数输入!$B$9*4,IF(111=核心参数输入!$B$9*4,季度投融资!$B$20*核心参数输入!$B$109,0),0)</f>
        <v>0</v>
      </c>
      <c r="DL16" s="9">
        <f>IF(112&lt;=核心参数输入!$B$9*4,IF(112=核心参数输入!$B$9*4,季度投融资!$B$20*核心参数输入!$B$109,0),0)</f>
        <v>0</v>
      </c>
      <c r="DM16" s="9">
        <f>IF(113&lt;=核心参数输入!$B$9*4,IF(113=核心参数输入!$B$9*4,季度投融资!$B$20*核心参数输入!$B$109,0),0)</f>
        <v>0</v>
      </c>
      <c r="DN16" s="9">
        <f>IF(114&lt;=核心参数输入!$B$9*4,IF(114=核心参数输入!$B$9*4,季度投融资!$B$20*核心参数输入!$B$109,0),0)</f>
        <v>0</v>
      </c>
      <c r="DO16" s="9">
        <f>IF(115&lt;=核心参数输入!$B$9*4,IF(115=核心参数输入!$B$9*4,季度投融资!$B$20*核心参数输入!$B$109,0),0)</f>
        <v>0</v>
      </c>
      <c r="DP16" s="9">
        <f>IF(116&lt;=核心参数输入!$B$9*4,IF(116=核心参数输入!$B$9*4,季度投融资!$B$20*核心参数输入!$B$109,0),0)</f>
        <v>0</v>
      </c>
      <c r="DQ16" s="9">
        <f>IF(117&lt;=核心参数输入!$B$9*4,IF(117=核心参数输入!$B$9*4,季度投融资!$B$20*核心参数输入!$B$109,0),0)</f>
        <v>0</v>
      </c>
      <c r="DR16" s="9">
        <f>IF(118&lt;=核心参数输入!$B$9*4,IF(118=核心参数输入!$B$9*4,季度投融资!$B$20*核心参数输入!$B$109,0),0)</f>
        <v>0</v>
      </c>
      <c r="DS16" s="9">
        <f>IF(119&lt;=核心参数输入!$B$9*4,IF(119=核心参数输入!$B$9*4,季度投融资!$B$20*核心参数输入!$B$109,0),0)</f>
        <v>0</v>
      </c>
      <c r="DT16" s="9">
        <f>IF(120&lt;=核心参数输入!$B$9*4,IF(120=核心参数输入!$B$9*4,季度投融资!$B$20*核心参数输入!$B$109,0),0)</f>
        <v>0</v>
      </c>
    </row>
    <row r="17" spans="1:124" ht="21" customHeight="1">
      <c r="A17" s="8" t="s">
        <v>516</v>
      </c>
      <c r="B17" s="8" t="s">
        <v>39</v>
      </c>
      <c r="C17" s="8"/>
      <c r="D17" s="9">
        <f>IF(0&lt;=核心参数输入!$B$9*4,IF(0=核心参数输入!$B$9*4,季度投融资!$B$20*核心参数输入!$B$110,0),0)</f>
        <v>0</v>
      </c>
      <c r="E17" s="9">
        <f>IF(1&lt;=核心参数输入!$B$9*4,IF(1=核心参数输入!$B$9*4,季度投融资!$B$20*核心参数输入!$B$110,0),0)</f>
        <v>0</v>
      </c>
      <c r="F17" s="9">
        <f>IF(2&lt;=核心参数输入!$B$9*4,IF(2=核心参数输入!$B$9*4,季度投融资!$B$20*核心参数输入!$B$110,0),0)</f>
        <v>0</v>
      </c>
      <c r="G17" s="9">
        <f>IF(3&lt;=核心参数输入!$B$9*4,IF(3=核心参数输入!$B$9*4,季度投融资!$B$20*核心参数输入!$B$110,0),0)</f>
        <v>0</v>
      </c>
      <c r="H17" s="9">
        <f>IF(4&lt;=核心参数输入!$B$9*4,IF(4=核心参数输入!$B$9*4,季度投融资!$B$20*核心参数输入!$B$110,0),0)</f>
        <v>0</v>
      </c>
      <c r="I17" s="9">
        <f>IF(5&lt;=核心参数输入!$B$9*4,IF(5=核心参数输入!$B$9*4,季度投融资!$B$20*核心参数输入!$B$110,0),0)</f>
        <v>0</v>
      </c>
      <c r="J17" s="9">
        <f>IF(6&lt;=核心参数输入!$B$9*4,IF(6=核心参数输入!$B$9*4,季度投融资!$B$20*核心参数输入!$B$110,0),0)</f>
        <v>0</v>
      </c>
      <c r="K17" s="9">
        <f>IF(7&lt;=核心参数输入!$B$9*4,IF(7=核心参数输入!$B$9*4,季度投融资!$B$20*核心参数输入!$B$110,0),0)</f>
        <v>0</v>
      </c>
      <c r="L17" s="9">
        <f>IF(8&lt;=核心参数输入!$B$9*4,IF(8=核心参数输入!$B$9*4,季度投融资!$B$20*核心参数输入!$B$110,0),0)</f>
        <v>0</v>
      </c>
      <c r="M17" s="9">
        <f>IF(9&lt;=核心参数输入!$B$9*4,IF(9=核心参数输入!$B$9*4,季度投融资!$B$20*核心参数输入!$B$110,0),0)</f>
        <v>0</v>
      </c>
      <c r="N17" s="9">
        <f>IF(10&lt;=核心参数输入!$B$9*4,IF(10=核心参数输入!$B$9*4,季度投融资!$B$20*核心参数输入!$B$110,0),0)</f>
        <v>0</v>
      </c>
      <c r="O17" s="9">
        <f>IF(11&lt;=核心参数输入!$B$9*4,IF(11=核心参数输入!$B$9*4,季度投融资!$B$20*核心参数输入!$B$110,0),0)</f>
        <v>0</v>
      </c>
      <c r="P17" s="9">
        <f>IF(12&lt;=核心参数输入!$B$9*4,IF(12=核心参数输入!$B$9*4,季度投融资!$B$20*核心参数输入!$B$110,0),0)</f>
        <v>0</v>
      </c>
      <c r="Q17" s="9">
        <f>IF(13&lt;=核心参数输入!$B$9*4,IF(13=核心参数输入!$B$9*4,季度投融资!$B$20*核心参数输入!$B$110,0),0)</f>
        <v>0</v>
      </c>
      <c r="R17" s="9">
        <f>IF(14&lt;=核心参数输入!$B$9*4,IF(14=核心参数输入!$B$9*4,季度投融资!$B$20*核心参数输入!$B$110,0),0)</f>
        <v>0</v>
      </c>
      <c r="S17" s="9">
        <f>IF(15&lt;=核心参数输入!$B$9*4,IF(15=核心参数输入!$B$9*4,季度投融资!$B$20*核心参数输入!$B$110,0),0)</f>
        <v>0</v>
      </c>
      <c r="T17" s="9">
        <f>IF(16&lt;=核心参数输入!$B$9*4,IF(16=核心参数输入!$B$9*4,季度投融资!$B$20*核心参数输入!$B$110,0),0)</f>
        <v>0</v>
      </c>
      <c r="U17" s="9">
        <f>IF(17&lt;=核心参数输入!$B$9*4,IF(17=核心参数输入!$B$9*4,季度投融资!$B$20*核心参数输入!$B$110,0),0)</f>
        <v>0</v>
      </c>
      <c r="V17" s="9">
        <f>IF(18&lt;=核心参数输入!$B$9*4,IF(18=核心参数输入!$B$9*4,季度投融资!$B$20*核心参数输入!$B$110,0),0)</f>
        <v>0</v>
      </c>
      <c r="W17" s="9">
        <f>IF(19&lt;=核心参数输入!$B$9*4,IF(19=核心参数输入!$B$9*4,季度投融资!$B$20*核心参数输入!$B$110,0),0)</f>
        <v>0</v>
      </c>
      <c r="X17" s="9">
        <f>IF(20&lt;=核心参数输入!$B$9*4,IF(20=核心参数输入!$B$9*4,季度投融资!$B$20*核心参数输入!$B$110,0),0)</f>
        <v>0</v>
      </c>
      <c r="Y17" s="9">
        <f>IF(21&lt;=核心参数输入!$B$9*4,IF(21=核心参数输入!$B$9*4,季度投融资!$B$20*核心参数输入!$B$110,0),0)</f>
        <v>0</v>
      </c>
      <c r="Z17" s="9">
        <f>IF(22&lt;=核心参数输入!$B$9*4,IF(22=核心参数输入!$B$9*4,季度投融资!$B$20*核心参数输入!$B$110,0),0)</f>
        <v>0</v>
      </c>
      <c r="AA17" s="9">
        <f>IF(23&lt;=核心参数输入!$B$9*4,IF(23=核心参数输入!$B$9*4,季度投融资!$B$20*核心参数输入!$B$110,0),0)</f>
        <v>0</v>
      </c>
      <c r="AB17" s="9">
        <f>IF(24&lt;=核心参数输入!$B$9*4,IF(24=核心参数输入!$B$9*4,季度投融资!$B$20*核心参数输入!$B$110,0),0)</f>
        <v>0</v>
      </c>
      <c r="AC17" s="9">
        <f>IF(25&lt;=核心参数输入!$B$9*4,IF(25=核心参数输入!$B$9*4,季度投融资!$B$20*核心参数输入!$B$110,0),0)</f>
        <v>0</v>
      </c>
      <c r="AD17" s="9">
        <f>IF(26&lt;=核心参数输入!$B$9*4,IF(26=核心参数输入!$B$9*4,季度投融资!$B$20*核心参数输入!$B$110,0),0)</f>
        <v>0</v>
      </c>
      <c r="AE17" s="9">
        <f>IF(27&lt;=核心参数输入!$B$9*4,IF(27=核心参数输入!$B$9*4,季度投融资!$B$20*核心参数输入!$B$110,0),0)</f>
        <v>0</v>
      </c>
      <c r="AF17" s="9">
        <f>IF(28&lt;=核心参数输入!$B$9*4,IF(28=核心参数输入!$B$9*4,季度投融资!$B$20*核心参数输入!$B$110,0),0)</f>
        <v>0</v>
      </c>
      <c r="AG17" s="9">
        <f>IF(29&lt;=核心参数输入!$B$9*4,IF(29=核心参数输入!$B$9*4,季度投融资!$B$20*核心参数输入!$B$110,0),0)</f>
        <v>0</v>
      </c>
      <c r="AH17" s="9">
        <f>IF(30&lt;=核心参数输入!$B$9*4,IF(30=核心参数输入!$B$9*4,季度投融资!$B$20*核心参数输入!$B$110,0),0)</f>
        <v>0</v>
      </c>
      <c r="AI17" s="9">
        <f>IF(31&lt;=核心参数输入!$B$9*4,IF(31=核心参数输入!$B$9*4,季度投融资!$B$20*核心参数输入!$B$110,0),0)</f>
        <v>0</v>
      </c>
      <c r="AJ17" s="9">
        <f>IF(32&lt;=核心参数输入!$B$9*4,IF(32=核心参数输入!$B$9*4,季度投融资!$B$20*核心参数输入!$B$110,0),0)</f>
        <v>0</v>
      </c>
      <c r="AK17" s="9">
        <f>IF(33&lt;=核心参数输入!$B$9*4,IF(33=核心参数输入!$B$9*4,季度投融资!$B$20*核心参数输入!$B$110,0),0)</f>
        <v>0</v>
      </c>
      <c r="AL17" s="9">
        <f>IF(34&lt;=核心参数输入!$B$9*4,IF(34=核心参数输入!$B$9*4,季度投融资!$B$20*核心参数输入!$B$110,0),0)</f>
        <v>0</v>
      </c>
      <c r="AM17" s="9">
        <f>IF(35&lt;=核心参数输入!$B$9*4,IF(35=核心参数输入!$B$9*4,季度投融资!$B$20*核心参数输入!$B$110,0),0)</f>
        <v>0</v>
      </c>
      <c r="AN17" s="9">
        <f>IF(36&lt;=核心参数输入!$B$9*4,IF(36=核心参数输入!$B$9*4,季度投融资!$B$20*核心参数输入!$B$110,0),0)</f>
        <v>0</v>
      </c>
      <c r="AO17" s="9">
        <f>IF(37&lt;=核心参数输入!$B$9*4,IF(37=核心参数输入!$B$9*4,季度投融资!$B$20*核心参数输入!$B$110,0),0)</f>
        <v>0</v>
      </c>
      <c r="AP17" s="9">
        <f>IF(38&lt;=核心参数输入!$B$9*4,IF(38=核心参数输入!$B$9*4,季度投融资!$B$20*核心参数输入!$B$110,0),0)</f>
        <v>0</v>
      </c>
      <c r="AQ17" s="9">
        <f>IF(39&lt;=核心参数输入!$B$9*4,IF(39=核心参数输入!$B$9*4,季度投融资!$B$20*核心参数输入!$B$110,0),0)</f>
        <v>0</v>
      </c>
      <c r="AR17" s="9">
        <f>IF(40&lt;=核心参数输入!$B$9*4,IF(40=核心参数输入!$B$9*4,季度投融资!$B$20*核心参数输入!$B$110,0),0)</f>
        <v>0</v>
      </c>
      <c r="AS17" s="9">
        <f>IF(41&lt;=核心参数输入!$B$9*4,IF(41=核心参数输入!$B$9*4,季度投融资!$B$20*核心参数输入!$B$110,0),0)</f>
        <v>0</v>
      </c>
      <c r="AT17" s="9">
        <f>IF(42&lt;=核心参数输入!$B$9*4,IF(42=核心参数输入!$B$9*4,季度投融资!$B$20*核心参数输入!$B$110,0),0)</f>
        <v>0</v>
      </c>
      <c r="AU17" s="9">
        <f>IF(43&lt;=核心参数输入!$B$9*4,IF(43=核心参数输入!$B$9*4,季度投融资!$B$20*核心参数输入!$B$110,0),0)</f>
        <v>0</v>
      </c>
      <c r="AV17" s="9">
        <f>IF(44&lt;=核心参数输入!$B$9*4,IF(44=核心参数输入!$B$9*4,季度投融资!$B$20*核心参数输入!$B$110,0),0)</f>
        <v>0</v>
      </c>
      <c r="AW17" s="9">
        <f>IF(45&lt;=核心参数输入!$B$9*4,IF(45=核心参数输入!$B$9*4,季度投融资!$B$20*核心参数输入!$B$110,0),0)</f>
        <v>0</v>
      </c>
      <c r="AX17" s="9">
        <f>IF(46&lt;=核心参数输入!$B$9*4,IF(46=核心参数输入!$B$9*4,季度投融资!$B$20*核心参数输入!$B$110,0),0)</f>
        <v>0</v>
      </c>
      <c r="AY17" s="9">
        <f>IF(47&lt;=核心参数输入!$B$9*4,IF(47=核心参数输入!$B$9*4,季度投融资!$B$20*核心参数输入!$B$110,0),0)</f>
        <v>0</v>
      </c>
      <c r="AZ17" s="9">
        <f>IF(48&lt;=核心参数输入!$B$9*4,IF(48=核心参数输入!$B$9*4,季度投融资!$B$20*核心参数输入!$B$110,0),0)</f>
        <v>0</v>
      </c>
      <c r="BA17" s="9">
        <f>IF(49&lt;=核心参数输入!$B$9*4,IF(49=核心参数输入!$B$9*4,季度投融资!$B$20*核心参数输入!$B$110,0),0)</f>
        <v>0</v>
      </c>
      <c r="BB17" s="9">
        <f>IF(50&lt;=核心参数输入!$B$9*4,IF(50=核心参数输入!$B$9*4,季度投融资!$B$20*核心参数输入!$B$110,0),0)</f>
        <v>0</v>
      </c>
      <c r="BC17" s="9">
        <f>IF(51&lt;=核心参数输入!$B$9*4,IF(51=核心参数输入!$B$9*4,季度投融资!$B$20*核心参数输入!$B$110,0),0)</f>
        <v>0</v>
      </c>
      <c r="BD17" s="9">
        <f>IF(52&lt;=核心参数输入!$B$9*4,IF(52=核心参数输入!$B$9*4,季度投融资!$B$20*核心参数输入!$B$110,0),0)</f>
        <v>0</v>
      </c>
      <c r="BE17" s="9">
        <f>IF(53&lt;=核心参数输入!$B$9*4,IF(53=核心参数输入!$B$9*4,季度投融资!$B$20*核心参数输入!$B$110,0),0)</f>
        <v>0</v>
      </c>
      <c r="BF17" s="9">
        <f>IF(54&lt;=核心参数输入!$B$9*4,IF(54=核心参数输入!$B$9*4,季度投融资!$B$20*核心参数输入!$B$110,0),0)</f>
        <v>0</v>
      </c>
      <c r="BG17" s="9">
        <f>IF(55&lt;=核心参数输入!$B$9*4,IF(55=核心参数输入!$B$9*4,季度投融资!$B$20*核心参数输入!$B$110,0),0)</f>
        <v>0</v>
      </c>
      <c r="BH17" s="9">
        <f>IF(56&lt;=核心参数输入!$B$9*4,IF(56=核心参数输入!$B$9*4,季度投融资!$B$20*核心参数输入!$B$110,0),0)</f>
        <v>0</v>
      </c>
      <c r="BI17" s="9">
        <f>IF(57&lt;=核心参数输入!$B$9*4,IF(57=核心参数输入!$B$9*4,季度投融资!$B$20*核心参数输入!$B$110,0),0)</f>
        <v>0</v>
      </c>
      <c r="BJ17" s="9">
        <f>IF(58&lt;=核心参数输入!$B$9*4,IF(58=核心参数输入!$B$9*4,季度投融资!$B$20*核心参数输入!$B$110,0),0)</f>
        <v>0</v>
      </c>
      <c r="BK17" s="9">
        <f>IF(59&lt;=核心参数输入!$B$9*4,IF(59=核心参数输入!$B$9*4,季度投融资!$B$20*核心参数输入!$B$110,0),0)</f>
        <v>0</v>
      </c>
      <c r="BL17" s="9">
        <f>IF(60&lt;=核心参数输入!$B$9*4,IF(60=核心参数输入!$B$9*4,季度投融资!$B$20*核心参数输入!$B$110,0),0)</f>
        <v>0</v>
      </c>
      <c r="BM17" s="9">
        <f>IF(61&lt;=核心参数输入!$B$9*4,IF(61=核心参数输入!$B$9*4,季度投融资!$B$20*核心参数输入!$B$110,0),0)</f>
        <v>0</v>
      </c>
      <c r="BN17" s="9">
        <f>IF(62&lt;=核心参数输入!$B$9*4,IF(62=核心参数输入!$B$9*4,季度投融资!$B$20*核心参数输入!$B$110,0),0)</f>
        <v>0</v>
      </c>
      <c r="BO17" s="9">
        <f>IF(63&lt;=核心参数输入!$B$9*4,IF(63=核心参数输入!$B$9*4,季度投融资!$B$20*核心参数输入!$B$110,0),0)</f>
        <v>0</v>
      </c>
      <c r="BP17" s="9">
        <f>IF(64&lt;=核心参数输入!$B$9*4,IF(64=核心参数输入!$B$9*4,季度投融资!$B$20*核心参数输入!$B$110,0),0)</f>
        <v>0</v>
      </c>
      <c r="BQ17" s="9">
        <f>IF(65&lt;=核心参数输入!$B$9*4,IF(65=核心参数输入!$B$9*4,季度投融资!$B$20*核心参数输入!$B$110,0),0)</f>
        <v>0</v>
      </c>
      <c r="BR17" s="9">
        <f>IF(66&lt;=核心参数输入!$B$9*4,IF(66=核心参数输入!$B$9*4,季度投融资!$B$20*核心参数输入!$B$110,0),0)</f>
        <v>0</v>
      </c>
      <c r="BS17" s="9">
        <f>IF(67&lt;=核心参数输入!$B$9*4,IF(67=核心参数输入!$B$9*4,季度投融资!$B$20*核心参数输入!$B$110,0),0)</f>
        <v>0</v>
      </c>
      <c r="BT17" s="9">
        <f>IF(68&lt;=核心参数输入!$B$9*4,IF(68=核心参数输入!$B$9*4,季度投融资!$B$20*核心参数输入!$B$110,0),0)</f>
        <v>0</v>
      </c>
      <c r="BU17" s="9">
        <f>IF(69&lt;=核心参数输入!$B$9*4,IF(69=核心参数输入!$B$9*4,季度投融资!$B$20*核心参数输入!$B$110,0),0)</f>
        <v>0</v>
      </c>
      <c r="BV17" s="9">
        <f>IF(70&lt;=核心参数输入!$B$9*4,IF(70=核心参数输入!$B$9*4,季度投融资!$B$20*核心参数输入!$B$110,0),0)</f>
        <v>0</v>
      </c>
      <c r="BW17" s="9">
        <f>IF(71&lt;=核心参数输入!$B$9*4,IF(71=核心参数输入!$B$9*4,季度投融资!$B$20*核心参数输入!$B$110,0),0)</f>
        <v>0</v>
      </c>
      <c r="BX17" s="9">
        <f>IF(72&lt;=核心参数输入!$B$9*4,IF(72=核心参数输入!$B$9*4,季度投融资!$B$20*核心参数输入!$B$110,0),0)</f>
        <v>0</v>
      </c>
      <c r="BY17" s="9">
        <f>IF(73&lt;=核心参数输入!$B$9*4,IF(73=核心参数输入!$B$9*4,季度投融资!$B$20*核心参数输入!$B$110,0),0)</f>
        <v>0</v>
      </c>
      <c r="BZ17" s="9">
        <f>IF(74&lt;=核心参数输入!$B$9*4,IF(74=核心参数输入!$B$9*4,季度投融资!$B$20*核心参数输入!$B$110,0),0)</f>
        <v>0</v>
      </c>
      <c r="CA17" s="9">
        <f>IF(75&lt;=核心参数输入!$B$9*4,IF(75=核心参数输入!$B$9*4,季度投融资!$B$20*核心参数输入!$B$110,0),0)</f>
        <v>0</v>
      </c>
      <c r="CB17" s="9">
        <f>IF(76&lt;=核心参数输入!$B$9*4,IF(76=核心参数输入!$B$9*4,季度投融资!$B$20*核心参数输入!$B$110,0),0)</f>
        <v>0</v>
      </c>
      <c r="CC17" s="9">
        <f>IF(77&lt;=核心参数输入!$B$9*4,IF(77=核心参数输入!$B$9*4,季度投融资!$B$20*核心参数输入!$B$110,0),0)</f>
        <v>0</v>
      </c>
      <c r="CD17" s="9">
        <f>IF(78&lt;=核心参数输入!$B$9*4,IF(78=核心参数输入!$B$9*4,季度投融资!$B$20*核心参数输入!$B$110,0),0)</f>
        <v>0</v>
      </c>
      <c r="CE17" s="9">
        <f>IF(79&lt;=核心参数输入!$B$9*4,IF(79=核心参数输入!$B$9*4,季度投融资!$B$20*核心参数输入!$B$110,0),0)</f>
        <v>0</v>
      </c>
      <c r="CF17" s="9">
        <f>IF(80&lt;=核心参数输入!$B$9*4,IF(80=核心参数输入!$B$9*4,季度投融资!$B$20*核心参数输入!$B$110,0),0)</f>
        <v>500</v>
      </c>
      <c r="CG17" s="9">
        <f>IF(81&lt;=核心参数输入!$B$9*4,IF(81=核心参数输入!$B$9*4,季度投融资!$B$20*核心参数输入!$B$110,0),0)</f>
        <v>0</v>
      </c>
      <c r="CH17" s="9">
        <f>IF(82&lt;=核心参数输入!$B$9*4,IF(82=核心参数输入!$B$9*4,季度投融资!$B$20*核心参数输入!$B$110,0),0)</f>
        <v>0</v>
      </c>
      <c r="CI17" s="9">
        <f>IF(83&lt;=核心参数输入!$B$9*4,IF(83=核心参数输入!$B$9*4,季度投融资!$B$20*核心参数输入!$B$110,0),0)</f>
        <v>0</v>
      </c>
      <c r="CJ17" s="9">
        <f>IF(84&lt;=核心参数输入!$B$9*4,IF(84=核心参数输入!$B$9*4,季度投融资!$B$20*核心参数输入!$B$110,0),0)</f>
        <v>0</v>
      </c>
      <c r="CK17" s="9">
        <f>IF(85&lt;=核心参数输入!$B$9*4,IF(85=核心参数输入!$B$9*4,季度投融资!$B$20*核心参数输入!$B$110,0),0)</f>
        <v>0</v>
      </c>
      <c r="CL17" s="9">
        <f>IF(86&lt;=核心参数输入!$B$9*4,IF(86=核心参数输入!$B$9*4,季度投融资!$B$20*核心参数输入!$B$110,0),0)</f>
        <v>0</v>
      </c>
      <c r="CM17" s="9">
        <f>IF(87&lt;=核心参数输入!$B$9*4,IF(87=核心参数输入!$B$9*4,季度投融资!$B$20*核心参数输入!$B$110,0),0)</f>
        <v>0</v>
      </c>
      <c r="CN17" s="9">
        <f>IF(88&lt;=核心参数输入!$B$9*4,IF(88=核心参数输入!$B$9*4,季度投融资!$B$20*核心参数输入!$B$110,0),0)</f>
        <v>0</v>
      </c>
      <c r="CO17" s="9">
        <f>IF(89&lt;=核心参数输入!$B$9*4,IF(89=核心参数输入!$B$9*4,季度投融资!$B$20*核心参数输入!$B$110,0),0)</f>
        <v>0</v>
      </c>
      <c r="CP17" s="9">
        <f>IF(90&lt;=核心参数输入!$B$9*4,IF(90=核心参数输入!$B$9*4,季度投融资!$B$20*核心参数输入!$B$110,0),0)</f>
        <v>0</v>
      </c>
      <c r="CQ17" s="9">
        <f>IF(91&lt;=核心参数输入!$B$9*4,IF(91=核心参数输入!$B$9*4,季度投融资!$B$20*核心参数输入!$B$110,0),0)</f>
        <v>0</v>
      </c>
      <c r="CR17" s="9">
        <f>IF(92&lt;=核心参数输入!$B$9*4,IF(92=核心参数输入!$B$9*4,季度投融资!$B$20*核心参数输入!$B$110,0),0)</f>
        <v>0</v>
      </c>
      <c r="CS17" s="9">
        <f>IF(93&lt;=核心参数输入!$B$9*4,IF(93=核心参数输入!$B$9*4,季度投融资!$B$20*核心参数输入!$B$110,0),0)</f>
        <v>0</v>
      </c>
      <c r="CT17" s="9">
        <f>IF(94&lt;=核心参数输入!$B$9*4,IF(94=核心参数输入!$B$9*4,季度投融资!$B$20*核心参数输入!$B$110,0),0)</f>
        <v>0</v>
      </c>
      <c r="CU17" s="9">
        <f>IF(95&lt;=核心参数输入!$B$9*4,IF(95=核心参数输入!$B$9*4,季度投融资!$B$20*核心参数输入!$B$110,0),0)</f>
        <v>0</v>
      </c>
      <c r="CV17" s="9">
        <f>IF(96&lt;=核心参数输入!$B$9*4,IF(96=核心参数输入!$B$9*4,季度投融资!$B$20*核心参数输入!$B$110,0),0)</f>
        <v>0</v>
      </c>
      <c r="CW17" s="9">
        <f>IF(97&lt;=核心参数输入!$B$9*4,IF(97=核心参数输入!$B$9*4,季度投融资!$B$20*核心参数输入!$B$110,0),0)</f>
        <v>0</v>
      </c>
      <c r="CX17" s="9">
        <f>IF(98&lt;=核心参数输入!$B$9*4,IF(98=核心参数输入!$B$9*4,季度投融资!$B$20*核心参数输入!$B$110,0),0)</f>
        <v>0</v>
      </c>
      <c r="CY17" s="9">
        <f>IF(99&lt;=核心参数输入!$B$9*4,IF(99=核心参数输入!$B$9*4,季度投融资!$B$20*核心参数输入!$B$110,0),0)</f>
        <v>0</v>
      </c>
      <c r="CZ17" s="9">
        <f>IF(100&lt;=核心参数输入!$B$9*4,IF(100=核心参数输入!$B$9*4,季度投融资!$B$20*核心参数输入!$B$110,0),0)</f>
        <v>0</v>
      </c>
      <c r="DA17" s="9">
        <f>IF(101&lt;=核心参数输入!$B$9*4,IF(101=核心参数输入!$B$9*4,季度投融资!$B$20*核心参数输入!$B$110,0),0)</f>
        <v>0</v>
      </c>
      <c r="DB17" s="9">
        <f>IF(102&lt;=核心参数输入!$B$9*4,IF(102=核心参数输入!$B$9*4,季度投融资!$B$20*核心参数输入!$B$110,0),0)</f>
        <v>0</v>
      </c>
      <c r="DC17" s="9">
        <f>IF(103&lt;=核心参数输入!$B$9*4,IF(103=核心参数输入!$B$9*4,季度投融资!$B$20*核心参数输入!$B$110,0),0)</f>
        <v>0</v>
      </c>
      <c r="DD17" s="9">
        <f>IF(104&lt;=核心参数输入!$B$9*4,IF(104=核心参数输入!$B$9*4,季度投融资!$B$20*核心参数输入!$B$110,0),0)</f>
        <v>0</v>
      </c>
      <c r="DE17" s="9">
        <f>IF(105&lt;=核心参数输入!$B$9*4,IF(105=核心参数输入!$B$9*4,季度投融资!$B$20*核心参数输入!$B$110,0),0)</f>
        <v>0</v>
      </c>
      <c r="DF17" s="9">
        <f>IF(106&lt;=核心参数输入!$B$9*4,IF(106=核心参数输入!$B$9*4,季度投融资!$B$20*核心参数输入!$B$110,0),0)</f>
        <v>0</v>
      </c>
      <c r="DG17" s="9">
        <f>IF(107&lt;=核心参数输入!$B$9*4,IF(107=核心参数输入!$B$9*4,季度投融资!$B$20*核心参数输入!$B$110,0),0)</f>
        <v>0</v>
      </c>
      <c r="DH17" s="9">
        <f>IF(108&lt;=核心参数输入!$B$9*4,IF(108=核心参数输入!$B$9*4,季度投融资!$B$20*核心参数输入!$B$110,0),0)</f>
        <v>0</v>
      </c>
      <c r="DI17" s="9">
        <f>IF(109&lt;=核心参数输入!$B$9*4,IF(109=核心参数输入!$B$9*4,季度投融资!$B$20*核心参数输入!$B$110,0),0)</f>
        <v>0</v>
      </c>
      <c r="DJ17" s="9">
        <f>IF(110&lt;=核心参数输入!$B$9*4,IF(110=核心参数输入!$B$9*4,季度投融资!$B$20*核心参数输入!$B$110,0),0)</f>
        <v>0</v>
      </c>
      <c r="DK17" s="9">
        <f>IF(111&lt;=核心参数输入!$B$9*4,IF(111=核心参数输入!$B$9*4,季度投融资!$B$20*核心参数输入!$B$110,0),0)</f>
        <v>0</v>
      </c>
      <c r="DL17" s="9">
        <f>IF(112&lt;=核心参数输入!$B$9*4,IF(112=核心参数输入!$B$9*4,季度投融资!$B$20*核心参数输入!$B$110,0),0)</f>
        <v>0</v>
      </c>
      <c r="DM17" s="9">
        <f>IF(113&lt;=核心参数输入!$B$9*4,IF(113=核心参数输入!$B$9*4,季度投融资!$B$20*核心参数输入!$B$110,0),0)</f>
        <v>0</v>
      </c>
      <c r="DN17" s="9">
        <f>IF(114&lt;=核心参数输入!$B$9*4,IF(114=核心参数输入!$B$9*4,季度投融资!$B$20*核心参数输入!$B$110,0),0)</f>
        <v>0</v>
      </c>
      <c r="DO17" s="9">
        <f>IF(115&lt;=核心参数输入!$B$9*4,IF(115=核心参数输入!$B$9*4,季度投融资!$B$20*核心参数输入!$B$110,0),0)</f>
        <v>0</v>
      </c>
      <c r="DP17" s="9">
        <f>IF(116&lt;=核心参数输入!$B$9*4,IF(116=核心参数输入!$B$9*4,季度投融资!$B$20*核心参数输入!$B$110,0),0)</f>
        <v>0</v>
      </c>
      <c r="DQ17" s="9">
        <f>IF(117&lt;=核心参数输入!$B$9*4,IF(117=核心参数输入!$B$9*4,季度投融资!$B$20*核心参数输入!$B$110,0),0)</f>
        <v>0</v>
      </c>
      <c r="DR17" s="9">
        <f>IF(118&lt;=核心参数输入!$B$9*4,IF(118=核心参数输入!$B$9*4,季度投融资!$B$20*核心参数输入!$B$110,0),0)</f>
        <v>0</v>
      </c>
      <c r="DS17" s="9">
        <f>IF(119&lt;=核心参数输入!$B$9*4,IF(119=核心参数输入!$B$9*4,季度投融资!$B$20*核心参数输入!$B$110,0),0)</f>
        <v>0</v>
      </c>
      <c r="DT17" s="9">
        <f>IF(120&lt;=核心参数输入!$B$9*4,IF(120=核心参数输入!$B$9*4,季度投融资!$B$20*核心参数输入!$B$110,0),0)</f>
        <v>0</v>
      </c>
    </row>
    <row r="18" spans="1:124" ht="21" customHeight="1">
      <c r="A18" s="8" t="s">
        <v>517</v>
      </c>
      <c r="B18" s="8" t="s">
        <v>39</v>
      </c>
      <c r="C18" s="8"/>
      <c r="D18" s="9">
        <f>IF(0&lt;=核心参数输入!$B$9*4,D10-D11+D16,0)</f>
        <v>-8000</v>
      </c>
      <c r="E18" s="9">
        <f>IF(1&lt;=核心参数输入!$B$9*4,E10-E11+E16,0)</f>
        <v>-3969</v>
      </c>
      <c r="F18" s="9">
        <f>IF(2&lt;=核心参数输入!$B$9*4,F10-F11+F16,0)</f>
        <v>-3969</v>
      </c>
      <c r="G18" s="9">
        <f>IF(3&lt;=核心参数输入!$B$9*4,G10-G11+G16,0)</f>
        <v>-3969</v>
      </c>
      <c r="H18" s="9">
        <f>IF(4&lt;=核心参数输入!$B$9*4,H10-H11+H16,0)</f>
        <v>-3969</v>
      </c>
      <c r="I18" s="9">
        <f>IF(5&lt;=核心参数输入!$B$9*4,I10-I11+I16,0)</f>
        <v>-5292</v>
      </c>
      <c r="J18" s="9">
        <f>IF(6&lt;=核心参数输入!$B$9*4,J10-J11+J16,0)</f>
        <v>-5292</v>
      </c>
      <c r="K18" s="9">
        <f>IF(7&lt;=核心参数输入!$B$9*4,K10-K11+K16,0)</f>
        <v>-5292</v>
      </c>
      <c r="L18" s="9">
        <f>IF(8&lt;=核心参数输入!$B$9*4,L10-L11+L16,0)</f>
        <v>-5292</v>
      </c>
      <c r="M18" s="9">
        <f>IF(9&lt;=核心参数输入!$B$9*4,M10-M11+M16,0)</f>
        <v>-3969</v>
      </c>
      <c r="N18" s="9">
        <f>IF(10&lt;=核心参数输入!$B$9*4,N10-N11+N16,0)</f>
        <v>-3969</v>
      </c>
      <c r="O18" s="9">
        <f>IF(11&lt;=核心参数输入!$B$9*4,O10-O11+O16,0)</f>
        <v>-3969</v>
      </c>
      <c r="P18" s="9">
        <f>IF(12&lt;=核心参数输入!$B$9*4,P10-P11+P16,0)</f>
        <v>-3969</v>
      </c>
      <c r="Q18" s="9">
        <f>IF(13&lt;=核心参数输入!$B$9*4,Q10-Q11+Q16,0)</f>
        <v>1533.7140625000002</v>
      </c>
      <c r="R18" s="9">
        <f>IF(14&lt;=核心参数输入!$B$9*4,R10-R11+R16,0)</f>
        <v>3144.5738458125002</v>
      </c>
      <c r="S18" s="9">
        <f>IF(15&lt;=核心参数输入!$B$9*4,S10-S11+S16,0)</f>
        <v>3194.4809124375001</v>
      </c>
      <c r="T18" s="9">
        <f>IF(16&lt;=核心参数输入!$B$9*4,T10-T11+T16,0)</f>
        <v>2788.0997166093744</v>
      </c>
      <c r="U18" s="9">
        <f>IF(17&lt;=核心参数输入!$B$9*4,U10-U11+U16,0)</f>
        <v>4013.3198541853121</v>
      </c>
      <c r="V18" s="9">
        <f>IF(18&lt;=核心参数输入!$B$9*4,V10-V11+V16,0)</f>
        <v>4410.7475750223748</v>
      </c>
      <c r="W18" s="9">
        <f>IF(19&lt;=核心参数输入!$B$9*4,W10-W11+W16,0)</f>
        <v>4431.0098440721249</v>
      </c>
      <c r="X18" s="9">
        <f>IF(20&lt;=核心参数输入!$B$9*4,X10-X11+X16,0)</f>
        <v>3591.3200790214532</v>
      </c>
      <c r="Y18" s="9">
        <f>IF(21&lt;=核心参数输入!$B$9*4,Y10-Y11+Y16,0)</f>
        <v>3756.2028041541989</v>
      </c>
      <c r="Z18" s="9">
        <f>IF(22&lt;=核心参数输入!$B$9*4,Z10-Z11+Z16,0)</f>
        <v>3412.2294818540086</v>
      </c>
      <c r="AA18" s="9">
        <f>IF(23&lt;=核心参数输入!$B$9*4,AA10-AA11+AA16,0)</f>
        <v>3427.6541341681304</v>
      </c>
      <c r="AB18" s="9">
        <f>IF(24&lt;=核心参数输入!$B$9*4,AB10-AB11+AB16,0)</f>
        <v>2743.2571723176052</v>
      </c>
      <c r="AC18" s="9">
        <f>IF(25&lt;=核心参数输入!$B$9*4,AC10-AC11+AC16,0)</f>
        <v>1308.3574731908209</v>
      </c>
      <c r="AD18" s="9">
        <f>IF(26&lt;=核心参数输入!$B$9*4,AD10-AD11+AD16,0)</f>
        <v>232.88857125670998</v>
      </c>
      <c r="AE18" s="9">
        <f>IF(27&lt;=核心参数输入!$B$9*4,AE10-AE11+AE16,0)</f>
        <v>238.10724528965466</v>
      </c>
      <c r="AF18" s="9">
        <f>IF(28&lt;=核心参数输入!$B$9*4,AF10-AF11+AF16,0)</f>
        <v>215.66017955765309</v>
      </c>
      <c r="AG18" s="9">
        <f>IF(29&lt;=核心参数输入!$B$9*4,AG10-AG11+AG16,0)</f>
        <v>252.54980925587711</v>
      </c>
      <c r="AH18" s="9">
        <f>IF(30&lt;=核心参数输入!$B$9*4,AH10-AH11+AH16,0)</f>
        <v>255.19828632759649</v>
      </c>
      <c r="AI18" s="9">
        <f>IF(31&lt;=核心参数输入!$B$9*4,AI10-AI11+AI16,0)</f>
        <v>255.19828632759649</v>
      </c>
      <c r="AJ18" s="9">
        <f>IF(32&lt;=核心参数输入!$B$9*4,AJ10-AJ11+AJ16,0)</f>
        <v>207.18961926792983</v>
      </c>
      <c r="AK18" s="9">
        <f>IF(33&lt;=核心参数输入!$B$9*4,AK10-AK11+AK16,0)</f>
        <v>259.29534856251041</v>
      </c>
      <c r="AL18" s="9">
        <f>IF(34&lt;=核心参数输入!$B$9*4,AL10-AL11+AL16,0)</f>
        <v>259.29534856251041</v>
      </c>
      <c r="AM18" s="9">
        <f>IF(35&lt;=核心参数输入!$B$9*4,AM10-AM11+AM16,0)</f>
        <v>259.29534856251041</v>
      </c>
      <c r="AN18" s="9">
        <f>IF(36&lt;=核心参数输入!$B$9*4,AN10-AN11+AN16,0)</f>
        <v>206.52750000000003</v>
      </c>
      <c r="AO18" s="9">
        <f>IF(37&lt;=核心参数输入!$B$9*4,AO10-AO11+AO16,0)</f>
        <v>263.44574848974798</v>
      </c>
      <c r="AP18" s="9">
        <f>IF(38&lt;=核心参数输入!$B$9*4,AP10-AP11+AP16,0)</f>
        <v>263.44574848974798</v>
      </c>
      <c r="AQ18" s="9">
        <f>IF(39&lt;=核心参数输入!$B$9*4,AQ10-AQ11+AQ16,0)</f>
        <v>263.44574848974798</v>
      </c>
      <c r="AR18" s="9">
        <f>IF(40&lt;=核心参数输入!$B$9*4,AR10-AR11+AR16,0)</f>
        <v>206.5275</v>
      </c>
      <c r="AS18" s="9">
        <f>IF(41&lt;=核心参数输入!$B$9*4,AS10-AS11+AS16,0)</f>
        <v>267.65012380987014</v>
      </c>
      <c r="AT18" s="9">
        <f>IF(42&lt;=核心参数输入!$B$9*4,AT10-AT11+AT16,0)</f>
        <v>267.65012380987014</v>
      </c>
      <c r="AU18" s="9">
        <f>IF(43&lt;=核心参数输入!$B$9*4,AU10-AU11+AU16,0)</f>
        <v>267.65012380987014</v>
      </c>
      <c r="AV18" s="9">
        <f>IF(44&lt;=核心参数输入!$B$9*4,AV10-AV11+AV16,0)</f>
        <v>206.52749999999995</v>
      </c>
      <c r="AW18" s="9">
        <f>IF(45&lt;=核心参数输入!$B$9*4,AW10-AW11+AW16,0)</f>
        <v>271.90911854164972</v>
      </c>
      <c r="AX18" s="9">
        <f>IF(46&lt;=核心参数输入!$B$9*4,AX10-AX11+AX16,0)</f>
        <v>271.90911854164972</v>
      </c>
      <c r="AY18" s="9">
        <f>IF(47&lt;=核心参数输入!$B$9*4,AY10-AY11+AY16,0)</f>
        <v>271.90911854164972</v>
      </c>
      <c r="AZ18" s="9">
        <f>IF(48&lt;=核心参数输入!$B$9*4,AZ10-AZ11+AZ16,0)</f>
        <v>206.52750000000003</v>
      </c>
      <c r="BA18" s="9">
        <f>IF(49&lt;=核心参数输入!$B$9*4,BA10-BA11+BA16,0)</f>
        <v>276.22338305189851</v>
      </c>
      <c r="BB18" s="9">
        <f>IF(50&lt;=核心参数输入!$B$9*4,BB10-BB11+BB16,0)</f>
        <v>276.22338305189851</v>
      </c>
      <c r="BC18" s="9">
        <f>IF(51&lt;=核心参数输入!$B$9*4,BC10-BC11+BC16,0)</f>
        <v>276.22338305189851</v>
      </c>
      <c r="BD18" s="9">
        <f>IF(52&lt;=核心参数输入!$B$9*4,BD10-BD11+BD16,0)</f>
        <v>206.52749999999995</v>
      </c>
      <c r="BE18" s="9">
        <f>IF(53&lt;=核心参数输入!$B$9*4,BE10-BE11+BE16,0)</f>
        <v>280.59357408444356</v>
      </c>
      <c r="BF18" s="9">
        <f>IF(54&lt;=核心参数输入!$B$9*4,BF10-BF11+BF16,0)</f>
        <v>280.59357408444356</v>
      </c>
      <c r="BG18" s="9">
        <f>IF(55&lt;=核心参数输入!$B$9*4,BG10-BG11+BG16,0)</f>
        <v>280.59357408444356</v>
      </c>
      <c r="BH18" s="9">
        <f>IF(56&lt;=核心参数输入!$B$9*4,BH10-BH11+BH16,0)</f>
        <v>206.52749999999997</v>
      </c>
      <c r="BI18" s="9">
        <f>IF(57&lt;=核心参数输入!$B$9*4,BI10-BI11+BI16,0)</f>
        <v>285.0203547882121</v>
      </c>
      <c r="BJ18" s="9">
        <f>IF(58&lt;=核心参数输入!$B$9*4,BJ10-BJ11+BJ16,0)</f>
        <v>285.0203547882121</v>
      </c>
      <c r="BK18" s="9">
        <f>IF(59&lt;=核心参数输入!$B$9*4,BK10-BK11+BK16,0)</f>
        <v>285.0203547882121</v>
      </c>
      <c r="BL18" s="9">
        <f>IF(60&lt;=核心参数输入!$B$9*4,BL10-BL11+BL16,0)</f>
        <v>206.52749999999989</v>
      </c>
      <c r="BM18" s="9">
        <f>IF(61&lt;=核心参数输入!$B$9*4,BM10-BM11+BM16,0)</f>
        <v>289.50439474438724</v>
      </c>
      <c r="BN18" s="9">
        <f>IF(62&lt;=核心参数输入!$B$9*4,BN10-BN11+BN16,0)</f>
        <v>289.50439474438724</v>
      </c>
      <c r="BO18" s="9">
        <f>IF(63&lt;=核心参数输入!$B$9*4,BO10-BO11+BO16,0)</f>
        <v>289.50439474438724</v>
      </c>
      <c r="BP18" s="9">
        <f>IF(64&lt;=核心参数输入!$B$9*4,BP10-BP11+BP16,0)</f>
        <v>206.52750000000003</v>
      </c>
      <c r="BQ18" s="9">
        <f>IF(65&lt;=核心参数输入!$B$9*4,BQ10-BQ11+BQ16,0)</f>
        <v>294.04636999259213</v>
      </c>
      <c r="BR18" s="9">
        <f>IF(66&lt;=核心参数输入!$B$9*4,BR10-BR11+BR16,0)</f>
        <v>294.04636999259213</v>
      </c>
      <c r="BS18" s="9">
        <f>IF(67&lt;=核心参数输入!$B$9*4,BS10-BS11+BS16,0)</f>
        <v>294.04636999259213</v>
      </c>
      <c r="BT18" s="9">
        <f>IF(68&lt;=核心参数输入!$B$9*4,BT10-BT11+BT16,0)</f>
        <v>206.5275</v>
      </c>
      <c r="BU18" s="9">
        <f>IF(69&lt;=核心参数输入!$B$9*4,BU10-BU11+BU16,0)</f>
        <v>298.64696305606077</v>
      </c>
      <c r="BV18" s="9">
        <f>IF(70&lt;=核心参数输入!$B$9*4,BV10-BV11+BV16,0)</f>
        <v>298.64696305606077</v>
      </c>
      <c r="BW18" s="9">
        <f>IF(71&lt;=核心参数输入!$B$9*4,BW10-BW11+BW16,0)</f>
        <v>298.64696305606077</v>
      </c>
      <c r="BX18" s="9">
        <f>IF(72&lt;=核心参数输入!$B$9*4,BX10-BX11+BX16,0)</f>
        <v>206.52749999999997</v>
      </c>
      <c r="BY18" s="9">
        <f>IF(73&lt;=核心参数输入!$B$9*4,BY10-BY11+BY16,0)</f>
        <v>303.30686296575288</v>
      </c>
      <c r="BZ18" s="9">
        <f>IF(74&lt;=核心参数输入!$B$9*4,BZ10-BZ11+BZ16,0)</f>
        <v>303.30686296575288</v>
      </c>
      <c r="CA18" s="9">
        <f>IF(75&lt;=核心参数输入!$B$9*4,CA10-CA11+CA16,0)</f>
        <v>303.30686296575288</v>
      </c>
      <c r="CB18" s="9">
        <f>IF(76&lt;=核心参数输入!$B$9*4,CB10-CB11+CB16,0)</f>
        <v>206.52749999999989</v>
      </c>
      <c r="CC18" s="9">
        <f>IF(77&lt;=核心参数输入!$B$9*4,CC10-CC11+CC16,0)</f>
        <v>308.02676528336758</v>
      </c>
      <c r="CD18" s="9">
        <f>IF(78&lt;=核心参数输入!$B$9*4,CD10-CD11+CD16,0)</f>
        <v>308.02676528336758</v>
      </c>
      <c r="CE18" s="9">
        <f>IF(79&lt;=核心参数输入!$B$9*4,CE10-CE11+CE16,0)</f>
        <v>308.02676528336758</v>
      </c>
      <c r="CF18" s="9">
        <f>IF(80&lt;=核心参数输入!$B$9*4,CF10-CF11+CF16,0)</f>
        <v>206.52750000000009</v>
      </c>
      <c r="CG18" s="9">
        <f>IF(81&lt;=核心参数输入!$B$9*4,CG10-CG11+CG16,0)</f>
        <v>0</v>
      </c>
      <c r="CH18" s="9">
        <f>IF(82&lt;=核心参数输入!$B$9*4,CH10-CH11+CH16,0)</f>
        <v>0</v>
      </c>
      <c r="CI18" s="9">
        <f>IF(83&lt;=核心参数输入!$B$9*4,CI10-CI11+CI16,0)</f>
        <v>0</v>
      </c>
      <c r="CJ18" s="9">
        <f>IF(84&lt;=核心参数输入!$B$9*4,CJ10-CJ11+CJ16,0)</f>
        <v>0</v>
      </c>
      <c r="CK18" s="9">
        <f>IF(85&lt;=核心参数输入!$B$9*4,CK10-CK11+CK16,0)</f>
        <v>0</v>
      </c>
      <c r="CL18" s="9">
        <f>IF(86&lt;=核心参数输入!$B$9*4,CL10-CL11+CL16,0)</f>
        <v>0</v>
      </c>
      <c r="CM18" s="9">
        <f>IF(87&lt;=核心参数输入!$B$9*4,CM10-CM11+CM16,0)</f>
        <v>0</v>
      </c>
      <c r="CN18" s="9">
        <f>IF(88&lt;=核心参数输入!$B$9*4,CN10-CN11+CN16,0)</f>
        <v>0</v>
      </c>
      <c r="CO18" s="9">
        <f>IF(89&lt;=核心参数输入!$B$9*4,CO10-CO11+CO16,0)</f>
        <v>0</v>
      </c>
      <c r="CP18" s="9">
        <f>IF(90&lt;=核心参数输入!$B$9*4,CP10-CP11+CP16,0)</f>
        <v>0</v>
      </c>
      <c r="CQ18" s="9">
        <f>IF(91&lt;=核心参数输入!$B$9*4,CQ10-CQ11+CQ16,0)</f>
        <v>0</v>
      </c>
      <c r="CR18" s="9">
        <f>IF(92&lt;=核心参数输入!$B$9*4,CR10-CR11+CR16,0)</f>
        <v>0</v>
      </c>
      <c r="CS18" s="9">
        <f>IF(93&lt;=核心参数输入!$B$9*4,CS10-CS11+CS16,0)</f>
        <v>0</v>
      </c>
      <c r="CT18" s="9">
        <f>IF(94&lt;=核心参数输入!$B$9*4,CT10-CT11+CT16,0)</f>
        <v>0</v>
      </c>
      <c r="CU18" s="9">
        <f>IF(95&lt;=核心参数输入!$B$9*4,CU10-CU11+CU16,0)</f>
        <v>0</v>
      </c>
      <c r="CV18" s="9">
        <f>IF(96&lt;=核心参数输入!$B$9*4,CV10-CV11+CV16,0)</f>
        <v>0</v>
      </c>
      <c r="CW18" s="9">
        <f>IF(97&lt;=核心参数输入!$B$9*4,CW10-CW11+CW16,0)</f>
        <v>0</v>
      </c>
      <c r="CX18" s="9">
        <f>IF(98&lt;=核心参数输入!$B$9*4,CX10-CX11+CX16,0)</f>
        <v>0</v>
      </c>
      <c r="CY18" s="9">
        <f>IF(99&lt;=核心参数输入!$B$9*4,CY10-CY11+CY16,0)</f>
        <v>0</v>
      </c>
      <c r="CZ18" s="9">
        <f>IF(100&lt;=核心参数输入!$B$9*4,CZ10-CZ11+CZ16,0)</f>
        <v>0</v>
      </c>
      <c r="DA18" s="9">
        <f>IF(101&lt;=核心参数输入!$B$9*4,DA10-DA11+DA16,0)</f>
        <v>0</v>
      </c>
      <c r="DB18" s="9">
        <f>IF(102&lt;=核心参数输入!$B$9*4,DB10-DB11+DB16,0)</f>
        <v>0</v>
      </c>
      <c r="DC18" s="9">
        <f>IF(103&lt;=核心参数输入!$B$9*4,DC10-DC11+DC16,0)</f>
        <v>0</v>
      </c>
      <c r="DD18" s="9">
        <f>IF(104&lt;=核心参数输入!$B$9*4,DD10-DD11+DD16,0)</f>
        <v>0</v>
      </c>
      <c r="DE18" s="9">
        <f>IF(105&lt;=核心参数输入!$B$9*4,DE10-DE11+DE16,0)</f>
        <v>0</v>
      </c>
      <c r="DF18" s="9">
        <f>IF(106&lt;=核心参数输入!$B$9*4,DF10-DF11+DF16,0)</f>
        <v>0</v>
      </c>
      <c r="DG18" s="9">
        <f>IF(107&lt;=核心参数输入!$B$9*4,DG10-DG11+DG16,0)</f>
        <v>0</v>
      </c>
      <c r="DH18" s="9">
        <f>IF(108&lt;=核心参数输入!$B$9*4,DH10-DH11+DH16,0)</f>
        <v>0</v>
      </c>
      <c r="DI18" s="9">
        <f>IF(109&lt;=核心参数输入!$B$9*4,DI10-DI11+DI16,0)</f>
        <v>0</v>
      </c>
      <c r="DJ18" s="9">
        <f>IF(110&lt;=核心参数输入!$B$9*4,DJ10-DJ11+DJ16,0)</f>
        <v>0</v>
      </c>
      <c r="DK18" s="9">
        <f>IF(111&lt;=核心参数输入!$B$9*4,DK10-DK11+DK16,0)</f>
        <v>0</v>
      </c>
      <c r="DL18" s="9">
        <f>IF(112&lt;=核心参数输入!$B$9*4,DL10-DL11+DL16,0)</f>
        <v>0</v>
      </c>
      <c r="DM18" s="9">
        <f>IF(113&lt;=核心参数输入!$B$9*4,DM10-DM11+DM16,0)</f>
        <v>0</v>
      </c>
      <c r="DN18" s="9">
        <f>IF(114&lt;=核心参数输入!$B$9*4,DN10-DN11+DN16,0)</f>
        <v>0</v>
      </c>
      <c r="DO18" s="9">
        <f>IF(115&lt;=核心参数输入!$B$9*4,DO10-DO11+DO16,0)</f>
        <v>0</v>
      </c>
      <c r="DP18" s="9">
        <f>IF(116&lt;=核心参数输入!$B$9*4,DP10-DP11+DP16,0)</f>
        <v>0</v>
      </c>
      <c r="DQ18" s="9">
        <f>IF(117&lt;=核心参数输入!$B$9*4,DQ10-DQ11+DQ16,0)</f>
        <v>0</v>
      </c>
      <c r="DR18" s="9">
        <f>IF(118&lt;=核心参数输入!$B$9*4,DR10-DR11+DR16,0)</f>
        <v>0</v>
      </c>
      <c r="DS18" s="9">
        <f>IF(119&lt;=核心参数输入!$B$9*4,DS10-DS11+DS16,0)</f>
        <v>0</v>
      </c>
      <c r="DT18" s="9">
        <f>IF(120&lt;=核心参数输入!$B$9*4,DT10-DT11+DT16,0)</f>
        <v>0</v>
      </c>
    </row>
    <row r="19" spans="1:124" ht="21" customHeight="1">
      <c r="A19" s="8" t="s">
        <v>518</v>
      </c>
      <c r="B19" s="8" t="s">
        <v>39</v>
      </c>
      <c r="C19" s="8"/>
      <c r="D19" s="9">
        <f>IF(0&lt;=核心参数输入!$B$9*4,季度经营税费!D68-季度经营税费!D69-季度经营税费!D63-D11+D17+季度经营税费!D59,0)</f>
        <v>-8000</v>
      </c>
      <c r="E19" s="9">
        <f>IF(1&lt;=核心参数输入!$B$9*4,季度经营税费!E68-季度经营税费!E69-季度经营税费!E63-E11+E17+季度经营税费!E59,0)</f>
        <v>-3969</v>
      </c>
      <c r="F19" s="9">
        <f>IF(2&lt;=核心参数输入!$B$9*4,季度经营税费!F68-季度经营税费!F69-季度经营税费!F63-F11+F17+季度经营税费!F59,0)</f>
        <v>-3969</v>
      </c>
      <c r="G19" s="9">
        <f>IF(3&lt;=核心参数输入!$B$9*4,季度经营税费!G68-季度经营税费!G69-季度经营税费!G63-G11+G17+季度经营税费!G59,0)</f>
        <v>-3969</v>
      </c>
      <c r="H19" s="9">
        <f>IF(4&lt;=核心参数输入!$B$9*4,季度经营税费!H68-季度经营税费!H69-季度经营税费!H63-H11+H17+季度经营税费!H59,0)</f>
        <v>-3969</v>
      </c>
      <c r="I19" s="9">
        <f>IF(5&lt;=核心参数输入!$B$9*4,季度经营税费!I68-季度经营税费!I69-季度经营税费!I63-I11+I17+季度经营税费!I59,0)</f>
        <v>-5292</v>
      </c>
      <c r="J19" s="9">
        <f>IF(6&lt;=核心参数输入!$B$9*4,季度经营税费!J68-季度经营税费!J69-季度经营税费!J63-J11+J17+季度经营税费!J59,0)</f>
        <v>-5292</v>
      </c>
      <c r="K19" s="9">
        <f>IF(7&lt;=核心参数输入!$B$9*4,季度经营税费!K68-季度经营税费!K69-季度经营税费!K63-K11+K17+季度经营税费!K59,0)</f>
        <v>-5292</v>
      </c>
      <c r="L19" s="9">
        <f>IF(8&lt;=核心参数输入!$B$9*4,季度经营税费!L68-季度经营税费!L69-季度经营税费!L63-L11+L17+季度经营税费!L59,0)</f>
        <v>-5292</v>
      </c>
      <c r="M19" s="9">
        <f>IF(9&lt;=核心参数输入!$B$9*4,季度经营税费!M68-季度经营税费!M69-季度经营税费!M63-M11+M17+季度经营税费!M59,0)</f>
        <v>-3969</v>
      </c>
      <c r="N19" s="9">
        <f>IF(10&lt;=核心参数输入!$B$9*4,季度经营税费!N68-季度经营税费!N69-季度经营税费!N63-N11+N17+季度经营税费!N59,0)</f>
        <v>-3969</v>
      </c>
      <c r="O19" s="9">
        <f>IF(11&lt;=核心参数输入!$B$9*4,季度经营税费!O68-季度经营税费!O69-季度经营税费!O63-O11+O17+季度经营税费!O59,0)</f>
        <v>-3969</v>
      </c>
      <c r="P19" s="9">
        <f>IF(12&lt;=核心参数输入!$B$9*4,季度经营税费!P68-季度经营税费!P69-季度经营税费!P63-P11+P17+季度经营税费!P59,0)</f>
        <v>-3969</v>
      </c>
      <c r="Q19" s="9">
        <f>IF(13&lt;=核心参数输入!$B$9*4,季度经营税费!Q68-季度经营税费!Q69-季度经营税费!Q63-Q11+Q17+季度经营税费!Q59,0)</f>
        <v>1533.7140625000002</v>
      </c>
      <c r="R19" s="9">
        <f>IF(14&lt;=核心参数输入!$B$9*4,季度经营税费!R68-季度经营税费!R69-季度经营税费!R63-R11+R17+季度经营税费!R59,0)</f>
        <v>3144.5738458125002</v>
      </c>
      <c r="S19" s="9">
        <f>IF(15&lt;=核心参数输入!$B$9*4,季度经营税费!S68-季度经营税费!S69-季度经营税费!S63-S11+S17+季度经营税费!S59,0)</f>
        <v>3194.4809124375001</v>
      </c>
      <c r="T19" s="9">
        <f>IF(16&lt;=核心参数输入!$B$9*4,季度经营税费!T68-季度经营税费!T69-季度经营税费!T63-T11+T17+季度经营税费!T59,0)</f>
        <v>2788.0997166093744</v>
      </c>
      <c r="U19" s="9">
        <f>IF(17&lt;=核心参数输入!$B$9*4,季度经营税费!U68-季度经营税费!U69-季度经营税费!U63-U11+U17+季度经营税费!U59,0)</f>
        <v>4013.3198541853121</v>
      </c>
      <c r="V19" s="9">
        <f>IF(18&lt;=核心参数输入!$B$9*4,季度经营税费!V68-季度经营税费!V69-季度经营税费!V63-V11+V17+季度经营税费!V59,0)</f>
        <v>4410.7475750223748</v>
      </c>
      <c r="W19" s="9">
        <f>IF(19&lt;=核心参数输入!$B$9*4,季度经营税费!W68-季度经营税费!W69-季度经营税费!W63-W11+W17+季度经营税费!W59,0)</f>
        <v>4431.0098440721249</v>
      </c>
      <c r="X19" s="9">
        <f>IF(20&lt;=核心参数输入!$B$9*4,季度经营税费!X68-季度经营税费!X69-季度经营税费!X63-X11+X17+季度经营税费!X59,0)</f>
        <v>3591.3200790214532</v>
      </c>
      <c r="Y19" s="9">
        <f>IF(21&lt;=核心参数输入!$B$9*4,季度经营税费!Y68-季度经营税费!Y69-季度经营税费!Y63-Y11+Y17+季度经营税费!Y59,0)</f>
        <v>3756.2028041541989</v>
      </c>
      <c r="Z19" s="9">
        <f>IF(22&lt;=核心参数输入!$B$9*4,季度经营税费!Z68-季度经营税费!Z69-季度经营税费!Z63-Z11+Z17+季度经营税费!Z59,0)</f>
        <v>3412.2294818540086</v>
      </c>
      <c r="AA19" s="9">
        <f>IF(23&lt;=核心参数输入!$B$9*4,季度经营税费!AA68-季度经营税费!AA69-季度经营税费!AA63-AA11+AA17+季度经营税费!AA59,0)</f>
        <v>3427.6541341681304</v>
      </c>
      <c r="AB19" s="9">
        <f>IF(24&lt;=核心参数输入!$B$9*4,季度经营税费!AB68-季度经营税费!AB69-季度经营税费!AB63-AB11+AB17+季度经营税费!AB59,0)</f>
        <v>2743.2571723176052</v>
      </c>
      <c r="AC19" s="9">
        <f>IF(25&lt;=核心参数输入!$B$9*4,季度经营税费!AC68-季度经营税费!AC69-季度经营税费!AC63-AC11+AC17+季度经营税费!AC59,0)</f>
        <v>1308.3574731908209</v>
      </c>
      <c r="AD19" s="9">
        <f>IF(26&lt;=核心参数输入!$B$9*4,季度经营税费!AD68-季度经营税费!AD69-季度经营税费!AD63-AD11+AD17+季度经营税费!AD59,0)</f>
        <v>232.88857125670998</v>
      </c>
      <c r="AE19" s="9">
        <f>IF(27&lt;=核心参数输入!$B$9*4,季度经营税费!AE68-季度经营税费!AE69-季度经营税费!AE63-AE11+AE17+季度经营税费!AE59,0)</f>
        <v>238.10724528965466</v>
      </c>
      <c r="AF19" s="9">
        <f>IF(28&lt;=核心参数输入!$B$9*4,季度经营税费!AF68-季度经营税费!AF69-季度经营税费!AF63-AF11+AF17+季度经营税费!AF59,0)</f>
        <v>215.66017955765309</v>
      </c>
      <c r="AG19" s="9">
        <f>IF(29&lt;=核心参数输入!$B$9*4,季度经营税费!AG68-季度经营税费!AG69-季度经营税费!AG63-AG11+AG17+季度经营税费!AG59,0)</f>
        <v>252.54980925587711</v>
      </c>
      <c r="AH19" s="9">
        <f>IF(30&lt;=核心参数输入!$B$9*4,季度经营税费!AH68-季度经营税费!AH69-季度经营税费!AH63-AH11+AH17+季度经营税费!AH59,0)</f>
        <v>255.19828632759649</v>
      </c>
      <c r="AI19" s="9">
        <f>IF(31&lt;=核心参数输入!$B$9*4,季度经营税费!AI68-季度经营税费!AI69-季度经营税费!AI63-AI11+AI17+季度经营税费!AI59,0)</f>
        <v>255.19828632759649</v>
      </c>
      <c r="AJ19" s="9">
        <f>IF(32&lt;=核心参数输入!$B$9*4,季度经营税费!AJ68-季度经营税费!AJ69-季度经营税费!AJ63-AJ11+AJ17+季度经营税费!AJ59,0)</f>
        <v>207.18961926792983</v>
      </c>
      <c r="AK19" s="9">
        <f>IF(33&lt;=核心参数输入!$B$9*4,季度经营税费!AK68-季度经营税费!AK69-季度经营税费!AK63-AK11+AK17+季度经营税费!AK59,0)</f>
        <v>259.29534856251041</v>
      </c>
      <c r="AL19" s="9">
        <f>IF(34&lt;=核心参数输入!$B$9*4,季度经营税费!AL68-季度经营税费!AL69-季度经营税费!AL63-AL11+AL17+季度经营税费!AL59,0)</f>
        <v>259.29534856251041</v>
      </c>
      <c r="AM19" s="9">
        <f>IF(35&lt;=核心参数输入!$B$9*4,季度经营税费!AM68-季度经营税费!AM69-季度经营税费!AM63-AM11+AM17+季度经营税费!AM59,0)</f>
        <v>259.29534856251041</v>
      </c>
      <c r="AN19" s="9">
        <f>IF(36&lt;=核心参数输入!$B$9*4,季度经营税费!AN68-季度经营税费!AN69-季度经营税费!AN63-AN11+AN17+季度经营税费!AN59,0)</f>
        <v>206.52750000000003</v>
      </c>
      <c r="AO19" s="9">
        <f>IF(37&lt;=核心参数输入!$B$9*4,季度经营税费!AO68-季度经营税费!AO69-季度经营税费!AO63-AO11+AO17+季度经营税费!AO59,0)</f>
        <v>263.44574848974798</v>
      </c>
      <c r="AP19" s="9">
        <f>IF(38&lt;=核心参数输入!$B$9*4,季度经营税费!AP68-季度经营税费!AP69-季度经营税费!AP63-AP11+AP17+季度经营税费!AP59,0)</f>
        <v>263.44574848974798</v>
      </c>
      <c r="AQ19" s="9">
        <f>IF(39&lt;=核心参数输入!$B$9*4,季度经营税费!AQ68-季度经营税费!AQ69-季度经营税费!AQ63-AQ11+AQ17+季度经营税费!AQ59,0)</f>
        <v>263.44574848974798</v>
      </c>
      <c r="AR19" s="9">
        <f>IF(40&lt;=核心参数输入!$B$9*4,季度经营税费!AR68-季度经营税费!AR69-季度经营税费!AR63-AR11+AR17+季度经营税费!AR59,0)</f>
        <v>206.5275</v>
      </c>
      <c r="AS19" s="9">
        <f>IF(41&lt;=核心参数输入!$B$9*4,季度经营税费!AS68-季度经营税费!AS69-季度经营税费!AS63-AS11+AS17+季度经营税费!AS59,0)</f>
        <v>267.65012380987014</v>
      </c>
      <c r="AT19" s="9">
        <f>IF(42&lt;=核心参数输入!$B$9*4,季度经营税费!AT68-季度经营税费!AT69-季度经营税费!AT63-AT11+AT17+季度经营税费!AT59,0)</f>
        <v>267.65012380987014</v>
      </c>
      <c r="AU19" s="9">
        <f>IF(43&lt;=核心参数输入!$B$9*4,季度经营税费!AU68-季度经营税费!AU69-季度经营税费!AU63-AU11+AU17+季度经营税费!AU59,0)</f>
        <v>267.65012380987014</v>
      </c>
      <c r="AV19" s="9">
        <f>IF(44&lt;=核心参数输入!$B$9*4,季度经营税费!AV68-季度经营税费!AV69-季度经营税费!AV63-AV11+AV17+季度经营税费!AV59,0)</f>
        <v>206.52749999999995</v>
      </c>
      <c r="AW19" s="9">
        <f>IF(45&lt;=核心参数输入!$B$9*4,季度经营税费!AW68-季度经营税费!AW69-季度经营税费!AW63-AW11+AW17+季度经营税费!AW59,0)</f>
        <v>271.90911854164972</v>
      </c>
      <c r="AX19" s="9">
        <f>IF(46&lt;=核心参数输入!$B$9*4,季度经营税费!AX68-季度经营税费!AX69-季度经营税费!AX63-AX11+AX17+季度经营税费!AX59,0)</f>
        <v>271.90911854164972</v>
      </c>
      <c r="AY19" s="9">
        <f>IF(47&lt;=核心参数输入!$B$9*4,季度经营税费!AY68-季度经营税费!AY69-季度经营税费!AY63-AY11+AY17+季度经营税费!AY59,0)</f>
        <v>271.90911854164972</v>
      </c>
      <c r="AZ19" s="9">
        <f>IF(48&lt;=核心参数输入!$B$9*4,季度经营税费!AZ68-季度经营税费!AZ69-季度经营税费!AZ63-AZ11+AZ17+季度经营税费!AZ59,0)</f>
        <v>206.52750000000003</v>
      </c>
      <c r="BA19" s="9">
        <f>IF(49&lt;=核心参数输入!$B$9*4,季度经营税费!BA68-季度经营税费!BA69-季度经营税费!BA63-BA11+BA17+季度经营税费!BA59,0)</f>
        <v>276.22338305189851</v>
      </c>
      <c r="BB19" s="9">
        <f>IF(50&lt;=核心参数输入!$B$9*4,季度经营税费!BB68-季度经营税费!BB69-季度经营税费!BB63-BB11+BB17+季度经营税费!BB59,0)</f>
        <v>276.22338305189851</v>
      </c>
      <c r="BC19" s="9">
        <f>IF(51&lt;=核心参数输入!$B$9*4,季度经营税费!BC68-季度经营税费!BC69-季度经营税费!BC63-BC11+BC17+季度经营税费!BC59,0)</f>
        <v>276.22338305189851</v>
      </c>
      <c r="BD19" s="9">
        <f>IF(52&lt;=核心参数输入!$B$9*4,季度经营税费!BD68-季度经营税费!BD69-季度经营税费!BD63-BD11+BD17+季度经营税费!BD59,0)</f>
        <v>206.52749999999995</v>
      </c>
      <c r="BE19" s="9">
        <f>IF(53&lt;=核心参数输入!$B$9*4,季度经营税费!BE68-季度经营税费!BE69-季度经营税费!BE63-BE11+BE17+季度经营税费!BE59,0)</f>
        <v>280.59357408444356</v>
      </c>
      <c r="BF19" s="9">
        <f>IF(54&lt;=核心参数输入!$B$9*4,季度经营税费!BF68-季度经营税费!BF69-季度经营税费!BF63-BF11+BF17+季度经营税费!BF59,0)</f>
        <v>280.59357408444356</v>
      </c>
      <c r="BG19" s="9">
        <f>IF(55&lt;=核心参数输入!$B$9*4,季度经营税费!BG68-季度经营税费!BG69-季度经营税费!BG63-BG11+BG17+季度经营税费!BG59,0)</f>
        <v>280.59357408444356</v>
      </c>
      <c r="BH19" s="9">
        <f>IF(56&lt;=核心参数输入!$B$9*4,季度经营税费!BH68-季度经营税费!BH69-季度经营税费!BH63-BH11+BH17+季度经营税费!BH59,0)</f>
        <v>206.52749999999997</v>
      </c>
      <c r="BI19" s="9">
        <f>IF(57&lt;=核心参数输入!$B$9*4,季度经营税费!BI68-季度经营税费!BI69-季度经营税费!BI63-BI11+BI17+季度经营税费!BI59,0)</f>
        <v>285.0203547882121</v>
      </c>
      <c r="BJ19" s="9">
        <f>IF(58&lt;=核心参数输入!$B$9*4,季度经营税费!BJ68-季度经营税费!BJ69-季度经营税费!BJ63-BJ11+BJ17+季度经营税费!BJ59,0)</f>
        <v>285.0203547882121</v>
      </c>
      <c r="BK19" s="9">
        <f>IF(59&lt;=核心参数输入!$B$9*4,季度经营税费!BK68-季度经营税费!BK69-季度经营税费!BK63-BK11+BK17+季度经营税费!BK59,0)</f>
        <v>285.0203547882121</v>
      </c>
      <c r="BL19" s="9">
        <f>IF(60&lt;=核心参数输入!$B$9*4,季度经营税费!BL68-季度经营税费!BL69-季度经营税费!BL63-BL11+BL17+季度经营税费!BL59,0)</f>
        <v>206.52749999999989</v>
      </c>
      <c r="BM19" s="9">
        <f>IF(61&lt;=核心参数输入!$B$9*4,季度经营税费!BM68-季度经营税费!BM69-季度经营税费!BM63-BM11+BM17+季度经营税费!BM59,0)</f>
        <v>289.50439474438724</v>
      </c>
      <c r="BN19" s="9">
        <f>IF(62&lt;=核心参数输入!$B$9*4,季度经营税费!BN68-季度经营税费!BN69-季度经营税费!BN63-BN11+BN17+季度经营税费!BN59,0)</f>
        <v>289.50439474438724</v>
      </c>
      <c r="BO19" s="9">
        <f>IF(63&lt;=核心参数输入!$B$9*4,季度经营税费!BO68-季度经营税费!BO69-季度经营税费!BO63-BO11+BO17+季度经营税费!BO59,0)</f>
        <v>289.50439474438724</v>
      </c>
      <c r="BP19" s="9">
        <f>IF(64&lt;=核心参数输入!$B$9*4,季度经营税费!BP68-季度经营税费!BP69-季度经营税费!BP63-BP11+BP17+季度经营税费!BP59,0)</f>
        <v>206.52750000000003</v>
      </c>
      <c r="BQ19" s="9">
        <f>IF(65&lt;=核心参数输入!$B$9*4,季度经营税费!BQ68-季度经营税费!BQ69-季度经营税费!BQ63-BQ11+BQ17+季度经营税费!BQ59,0)</f>
        <v>294.04636999259213</v>
      </c>
      <c r="BR19" s="9">
        <f>IF(66&lt;=核心参数输入!$B$9*4,季度经营税费!BR68-季度经营税费!BR69-季度经营税费!BR63-BR11+BR17+季度经营税费!BR59,0)</f>
        <v>294.04636999259213</v>
      </c>
      <c r="BS19" s="9">
        <f>IF(67&lt;=核心参数输入!$B$9*4,季度经营税费!BS68-季度经营税费!BS69-季度经营税费!BS63-BS11+BS17+季度经营税费!BS59,0)</f>
        <v>294.04636999259213</v>
      </c>
      <c r="BT19" s="9">
        <f>IF(68&lt;=核心参数输入!$B$9*4,季度经营税费!BT68-季度经营税费!BT69-季度经营税费!BT63-BT11+BT17+季度经营税费!BT59,0)</f>
        <v>206.5275</v>
      </c>
      <c r="BU19" s="9">
        <f>IF(69&lt;=核心参数输入!$B$9*4,季度经营税费!BU68-季度经营税费!BU69-季度经营税费!BU63-BU11+BU17+季度经营税费!BU59,0)</f>
        <v>298.64696305606077</v>
      </c>
      <c r="BV19" s="9">
        <f>IF(70&lt;=核心参数输入!$B$9*4,季度经营税费!BV68-季度经营税费!BV69-季度经营税费!BV63-BV11+BV17+季度经营税费!BV59,0)</f>
        <v>298.64696305606077</v>
      </c>
      <c r="BW19" s="9">
        <f>IF(71&lt;=核心参数输入!$B$9*4,季度经营税费!BW68-季度经营税费!BW69-季度经营税费!BW63-BW11+BW17+季度经营税费!BW59,0)</f>
        <v>298.64696305606077</v>
      </c>
      <c r="BX19" s="9">
        <f>IF(72&lt;=核心参数输入!$B$9*4,季度经营税费!BX68-季度经营税费!BX69-季度经营税费!BX63-BX11+BX17+季度经营税费!BX59,0)</f>
        <v>206.52749999999997</v>
      </c>
      <c r="BY19" s="9">
        <f>IF(73&lt;=核心参数输入!$B$9*4,季度经营税费!BY68-季度经营税费!BY69-季度经营税费!BY63-BY11+BY17+季度经营税费!BY59,0)</f>
        <v>303.30686296575288</v>
      </c>
      <c r="BZ19" s="9">
        <f>IF(74&lt;=核心参数输入!$B$9*4,季度经营税费!BZ68-季度经营税费!BZ69-季度经营税费!BZ63-BZ11+BZ17+季度经营税费!BZ59,0)</f>
        <v>303.30686296575288</v>
      </c>
      <c r="CA19" s="9">
        <f>IF(75&lt;=核心参数输入!$B$9*4,季度经营税费!CA68-季度经营税费!CA69-季度经营税费!CA63-CA11+CA17+季度经营税费!CA59,0)</f>
        <v>303.30686296575288</v>
      </c>
      <c r="CB19" s="9">
        <f>IF(76&lt;=核心参数输入!$B$9*4,季度经营税费!CB68-季度经营税费!CB69-季度经营税费!CB63-CB11+CB17+季度经营税费!CB59,0)</f>
        <v>206.52749999999989</v>
      </c>
      <c r="CC19" s="9">
        <f>IF(77&lt;=核心参数输入!$B$9*4,季度经营税费!CC68-季度经营税费!CC69-季度经营税费!CC63-CC11+CC17+季度经营税费!CC59,0)</f>
        <v>308.02676528336758</v>
      </c>
      <c r="CD19" s="9">
        <f>IF(78&lt;=核心参数输入!$B$9*4,季度经营税费!CD68-季度经营税费!CD69-季度经营税费!CD63-CD11+CD17+季度经营税费!CD59,0)</f>
        <v>308.02676528336758</v>
      </c>
      <c r="CE19" s="9">
        <f>IF(79&lt;=核心参数输入!$B$9*4,季度经营税费!CE68-季度经营税费!CE69-季度经营税费!CE63-CE11+CE17+季度经营税费!CE59,0)</f>
        <v>308.02676528336758</v>
      </c>
      <c r="CF19" s="9">
        <f>IF(80&lt;=核心参数输入!$B$9*4,季度经营税费!CF68-季度经营税费!CF69-季度经营税费!CF63-CF11+CF17+季度经营税费!CF59,0)</f>
        <v>25874.059999999998</v>
      </c>
      <c r="CG19" s="9">
        <f>IF(81&lt;=核心参数输入!$B$9*4,季度经营税费!CG68-季度经营税费!CG69-季度经营税费!CG63-CG11+CG17+季度经营税费!CG59,0)</f>
        <v>0</v>
      </c>
      <c r="CH19" s="9">
        <f>IF(82&lt;=核心参数输入!$B$9*4,季度经营税费!CH68-季度经营税费!CH69-季度经营税费!CH63-CH11+CH17+季度经营税费!CH59,0)</f>
        <v>0</v>
      </c>
      <c r="CI19" s="9">
        <f>IF(83&lt;=核心参数输入!$B$9*4,季度经营税费!CI68-季度经营税费!CI69-季度经营税费!CI63-CI11+CI17+季度经营税费!CI59,0)</f>
        <v>0</v>
      </c>
      <c r="CJ19" s="9">
        <f>IF(84&lt;=核心参数输入!$B$9*4,季度经营税费!CJ68-季度经营税费!CJ69-季度经营税费!CJ63-CJ11+CJ17+季度经营税费!CJ59,0)</f>
        <v>0</v>
      </c>
      <c r="CK19" s="9">
        <f>IF(85&lt;=核心参数输入!$B$9*4,季度经营税费!CK68-季度经营税费!CK69-季度经营税费!CK63-CK11+CK17+季度经营税费!CK59,0)</f>
        <v>0</v>
      </c>
      <c r="CL19" s="9">
        <f>IF(86&lt;=核心参数输入!$B$9*4,季度经营税费!CL68-季度经营税费!CL69-季度经营税费!CL63-CL11+CL17+季度经营税费!CL59,0)</f>
        <v>0</v>
      </c>
      <c r="CM19" s="9">
        <f>IF(87&lt;=核心参数输入!$B$9*4,季度经营税费!CM68-季度经营税费!CM69-季度经营税费!CM63-CM11+CM17+季度经营税费!CM59,0)</f>
        <v>0</v>
      </c>
      <c r="CN19" s="9">
        <f>IF(88&lt;=核心参数输入!$B$9*4,季度经营税费!CN68-季度经营税费!CN69-季度经营税费!CN63-CN11+CN17+季度经营税费!CN59,0)</f>
        <v>0</v>
      </c>
      <c r="CO19" s="9">
        <f>IF(89&lt;=核心参数输入!$B$9*4,季度经营税费!CO68-季度经营税费!CO69-季度经营税费!CO63-CO11+CO17+季度经营税费!CO59,0)</f>
        <v>0</v>
      </c>
      <c r="CP19" s="9">
        <f>IF(90&lt;=核心参数输入!$B$9*4,季度经营税费!CP68-季度经营税费!CP69-季度经营税费!CP63-CP11+CP17+季度经营税费!CP59,0)</f>
        <v>0</v>
      </c>
      <c r="CQ19" s="9">
        <f>IF(91&lt;=核心参数输入!$B$9*4,季度经营税费!CQ68-季度经营税费!CQ69-季度经营税费!CQ63-CQ11+CQ17+季度经营税费!CQ59,0)</f>
        <v>0</v>
      </c>
      <c r="CR19" s="9">
        <f>IF(92&lt;=核心参数输入!$B$9*4,季度经营税费!CR68-季度经营税费!CR69-季度经营税费!CR63-CR11+CR17+季度经营税费!CR59,0)</f>
        <v>0</v>
      </c>
      <c r="CS19" s="9">
        <f>IF(93&lt;=核心参数输入!$B$9*4,季度经营税费!CS68-季度经营税费!CS69-季度经营税费!CS63-CS11+CS17+季度经营税费!CS59,0)</f>
        <v>0</v>
      </c>
      <c r="CT19" s="9">
        <f>IF(94&lt;=核心参数输入!$B$9*4,季度经营税费!CT68-季度经营税费!CT69-季度经营税费!CT63-CT11+CT17+季度经营税费!CT59,0)</f>
        <v>0</v>
      </c>
      <c r="CU19" s="9">
        <f>IF(95&lt;=核心参数输入!$B$9*4,季度经营税费!CU68-季度经营税费!CU69-季度经营税费!CU63-CU11+CU17+季度经营税费!CU59,0)</f>
        <v>0</v>
      </c>
      <c r="CV19" s="9">
        <f>IF(96&lt;=核心参数输入!$B$9*4,季度经营税费!CV68-季度经营税费!CV69-季度经营税费!CV63-CV11+CV17+季度经营税费!CV59,0)</f>
        <v>0</v>
      </c>
      <c r="CW19" s="9">
        <f>IF(97&lt;=核心参数输入!$B$9*4,季度经营税费!CW68-季度经营税费!CW69-季度经营税费!CW63-CW11+CW17+季度经营税费!CW59,0)</f>
        <v>0</v>
      </c>
      <c r="CX19" s="9">
        <f>IF(98&lt;=核心参数输入!$B$9*4,季度经营税费!CX68-季度经营税费!CX69-季度经营税费!CX63-CX11+CX17+季度经营税费!CX59,0)</f>
        <v>0</v>
      </c>
      <c r="CY19" s="9">
        <f>IF(99&lt;=核心参数输入!$B$9*4,季度经营税费!CY68-季度经营税费!CY69-季度经营税费!CY63-CY11+CY17+季度经营税费!CY59,0)</f>
        <v>0</v>
      </c>
      <c r="CZ19" s="9">
        <f>IF(100&lt;=核心参数输入!$B$9*4,季度经营税费!CZ68-季度经营税费!CZ69-季度经营税费!CZ63-CZ11+CZ17+季度经营税费!CZ59,0)</f>
        <v>0</v>
      </c>
      <c r="DA19" s="9">
        <f>IF(101&lt;=核心参数输入!$B$9*4,季度经营税费!DA68-季度经营税费!DA69-季度经营税费!DA63-DA11+DA17+季度经营税费!DA59,0)</f>
        <v>0</v>
      </c>
      <c r="DB19" s="9">
        <f>IF(102&lt;=核心参数输入!$B$9*4,季度经营税费!DB68-季度经营税费!DB69-季度经营税费!DB63-DB11+DB17+季度经营税费!DB59,0)</f>
        <v>0</v>
      </c>
      <c r="DC19" s="9">
        <f>IF(103&lt;=核心参数输入!$B$9*4,季度经营税费!DC68-季度经营税费!DC69-季度经营税费!DC63-DC11+DC17+季度经营税费!DC59,0)</f>
        <v>0</v>
      </c>
      <c r="DD19" s="9">
        <f>IF(104&lt;=核心参数输入!$B$9*4,季度经营税费!DD68-季度经营税费!DD69-季度经营税费!DD63-DD11+DD17+季度经营税费!DD59,0)</f>
        <v>0</v>
      </c>
      <c r="DE19" s="9">
        <f>IF(105&lt;=核心参数输入!$B$9*4,季度经营税费!DE68-季度经营税费!DE69-季度经营税费!DE63-DE11+DE17+季度经营税费!DE59,0)</f>
        <v>0</v>
      </c>
      <c r="DF19" s="9">
        <f>IF(106&lt;=核心参数输入!$B$9*4,季度经营税费!DF68-季度经营税费!DF69-季度经营税费!DF63-DF11+DF17+季度经营税费!DF59,0)</f>
        <v>0</v>
      </c>
      <c r="DG19" s="9">
        <f>IF(107&lt;=核心参数输入!$B$9*4,季度经营税费!DG68-季度经营税费!DG69-季度经营税费!DG63-DG11+DG17+季度经营税费!DG59,0)</f>
        <v>0</v>
      </c>
      <c r="DH19" s="9">
        <f>IF(108&lt;=核心参数输入!$B$9*4,季度经营税费!DH68-季度经营税费!DH69-季度经营税费!DH63-DH11+DH17+季度经营税费!DH59,0)</f>
        <v>0</v>
      </c>
      <c r="DI19" s="9">
        <f>IF(109&lt;=核心参数输入!$B$9*4,季度经营税费!DI68-季度经营税费!DI69-季度经营税费!DI63-DI11+DI17+季度经营税费!DI59,0)</f>
        <v>0</v>
      </c>
      <c r="DJ19" s="9">
        <f>IF(110&lt;=核心参数输入!$B$9*4,季度经营税费!DJ68-季度经营税费!DJ69-季度经营税费!DJ63-DJ11+DJ17+季度经营税费!DJ59,0)</f>
        <v>0</v>
      </c>
      <c r="DK19" s="9">
        <f>IF(111&lt;=核心参数输入!$B$9*4,季度经营税费!DK68-季度经营税费!DK69-季度经营税费!DK63-DK11+DK17+季度经营税费!DK59,0)</f>
        <v>0</v>
      </c>
      <c r="DL19" s="9">
        <f>IF(112&lt;=核心参数输入!$B$9*4,季度经营税费!DL68-季度经营税费!DL69-季度经营税费!DL63-DL11+DL17+季度经营税费!DL59,0)</f>
        <v>0</v>
      </c>
      <c r="DM19" s="9">
        <f>IF(113&lt;=核心参数输入!$B$9*4,季度经营税费!DM68-季度经营税费!DM69-季度经营税费!DM63-DM11+DM17+季度经营税费!DM59,0)</f>
        <v>0</v>
      </c>
      <c r="DN19" s="9">
        <f>IF(114&lt;=核心参数输入!$B$9*4,季度经营税费!DN68-季度经营税费!DN69-季度经营税费!DN63-DN11+DN17+季度经营税费!DN59,0)</f>
        <v>0</v>
      </c>
      <c r="DO19" s="9">
        <f>IF(115&lt;=核心参数输入!$B$9*4,季度经营税费!DO68-季度经营税费!DO69-季度经营税费!DO63-DO11+DO17+季度经营税费!DO59,0)</f>
        <v>0</v>
      </c>
      <c r="DP19" s="9">
        <f>IF(116&lt;=核心参数输入!$B$9*4,季度经营税费!DP68-季度经营税费!DP69-季度经营税费!DP63-DP11+DP17+季度经营税费!DP59,0)</f>
        <v>0</v>
      </c>
      <c r="DQ19" s="9">
        <f>IF(117&lt;=核心参数输入!$B$9*4,季度经营税费!DQ68-季度经营税费!DQ69-季度经营税费!DQ63-DQ11+DQ17+季度经营税费!DQ59,0)</f>
        <v>0</v>
      </c>
      <c r="DR19" s="9">
        <f>IF(118&lt;=核心参数输入!$B$9*4,季度经营税费!DR68-季度经营税费!DR69-季度经营税费!DR63-DR11+DR17+季度经营税费!DR59,0)</f>
        <v>0</v>
      </c>
      <c r="DS19" s="9">
        <f>IF(119&lt;=核心参数输入!$B$9*4,季度经营税费!DS68-季度经营税费!DS69-季度经营税费!DS63-DS11+DS17+季度经营税费!DS59,0)</f>
        <v>0</v>
      </c>
      <c r="DT19" s="9">
        <f>IF(120&lt;=核心参数输入!$B$9*4,季度经营税费!DT68-季度经营税费!DT69-季度经营税费!DT63-DT11+DT17+季度经营税费!DT59,0)</f>
        <v>0</v>
      </c>
    </row>
    <row r="20" spans="1:124" ht="21" customHeight="1">
      <c r="A20" s="8" t="s">
        <v>519</v>
      </c>
      <c r="B20" s="8" t="s">
        <v>39</v>
      </c>
      <c r="C20" s="8"/>
      <c r="D20" s="9">
        <f>IF(0&lt;=核心参数输入!$B$9*4,季度经营税费!D68-季度经营税费!D69-季度经营税费!D64-D11+D16+D12-D13-D14-D15,0)</f>
        <v>-8000</v>
      </c>
      <c r="E20" s="9">
        <f>IF(1&lt;=核心参数输入!$B$9*4,季度经营税费!E68-季度经营税费!E69-季度经营税费!E64-E11+E16+E12-E13-E14-E15,0)</f>
        <v>-1730.8125</v>
      </c>
      <c r="F20" s="9">
        <f>IF(2&lt;=核心参数输入!$B$9*4,季度经营税费!F68-季度经营税费!F69-季度经营税费!F64-F11+F16+F12-F13-F14-F15,0)</f>
        <v>-1754.4375</v>
      </c>
      <c r="G20" s="9">
        <f>IF(3&lt;=核心参数输入!$B$9*4,季度经营税费!G68-季度经营税费!G69-季度经营税费!G64-G11+G16+G12-G13-G14-G15,0)</f>
        <v>-1778.0625</v>
      </c>
      <c r="H20" s="9">
        <f>IF(4&lt;=核心参数输入!$B$9*4,季度经营税费!H68-季度经营税费!H69-季度经营税费!H64-H11+H16+H12-H13-H14-H15,0)</f>
        <v>-1801.6875</v>
      </c>
      <c r="I20" s="9">
        <f>IF(5&lt;=核心参数输入!$B$9*4,季度经营税费!I68-季度经营税费!I69-季度经营税费!I64-I11+I16+I12-I13-I14-I15,0)</f>
        <v>-2402.25</v>
      </c>
      <c r="J20" s="9">
        <f>IF(6&lt;=核心参数输入!$B$9*4,季度经营税费!J68-季度经营税费!J69-季度经营税费!J64-J11+J16+J12-J13-J14-J15,0)</f>
        <v>-2433.75</v>
      </c>
      <c r="K20" s="9">
        <f>IF(7&lt;=核心参数输入!$B$9*4,季度经营税费!K68-季度经营税费!K69-季度经营税费!K64-K11+K16+K12-K13-K14-K15,0)</f>
        <v>-2465.25</v>
      </c>
      <c r="L20" s="9">
        <f>IF(8&lt;=核心参数输入!$B$9*4,季度经营税费!L68-季度经营税费!L69-季度经营税费!L64-L11+L16+L12-L13-L14-L15,0)</f>
        <v>-2496.75</v>
      </c>
      <c r="M20" s="9">
        <f>IF(9&lt;=核心参数输入!$B$9*4,季度经营税费!M68-季度经营税费!M69-季度经营税费!M64-M11+M16+M12-M13-M14-M15,0)</f>
        <v>-1951.3125</v>
      </c>
      <c r="N20" s="9">
        <f>IF(10&lt;=核心参数输入!$B$9*4,季度经营税费!N68-季度经营税费!N69-季度经营税费!N64-N11+N16+N12-N13-N14-N15,0)</f>
        <v>-1974.9375</v>
      </c>
      <c r="O20" s="9">
        <f>IF(11&lt;=核心参数输入!$B$9*4,季度经营税费!O68-季度经营税费!O69-季度经营税费!O64-O11+O16+O12-O13-O14-O15,0)</f>
        <v>-1998.5625</v>
      </c>
      <c r="P20" s="9">
        <f>IF(12&lt;=核心参数输入!$B$9*4,季度经营税费!P68-季度经营税费!P69-季度经营税费!P64-P11+P16+P12-P13-P14-P15,0)</f>
        <v>-2022.1875</v>
      </c>
      <c r="Q20" s="9">
        <f>IF(13&lt;=核心参数输入!$B$9*4,季度经营税费!Q68-季度经营税费!Q69-季度经营税费!Q64-Q11+Q16+Q12-Q13-Q14-Q15,0)</f>
        <v>1218.7140625000002</v>
      </c>
      <c r="R20" s="9">
        <f>IF(14&lt;=核心参数输入!$B$9*4,季度经营税费!R68-季度经营税费!R69-季度经营税费!R64-R11+R16+R12-R13-R14-R15,0)</f>
        <v>2829.5738458125002</v>
      </c>
      <c r="S20" s="9">
        <f>IF(15&lt;=核心参数输入!$B$9*4,季度经营税费!S68-季度经营税费!S69-季度经营税费!S64-S11+S16+S12-S13-S14-S15,0)</f>
        <v>2879.4809124375001</v>
      </c>
      <c r="T20" s="9">
        <f>IF(16&lt;=核心参数输入!$B$9*4,季度经营税费!T68-季度经营税费!T69-季度经营税费!T64-T11+T16+T12-T13-T14-T15,0)</f>
        <v>-1396.0439441049111</v>
      </c>
      <c r="U20" s="9">
        <f>IF(17&lt;=核心参数输入!$B$9*4,季度经营税费!U68-季度经营税费!U69-季度经营税费!U64-U11+U16+U12-U13-U14-U15,0)</f>
        <v>3743.3198541853121</v>
      </c>
      <c r="V20" s="9">
        <f>IF(18&lt;=核心参数输入!$B$9*4,季度经营税费!V68-季度经营税费!V69-季度经营税费!V64-V11+V16+V12-V13-V14-V15,0)</f>
        <v>4140.7475750223748</v>
      </c>
      <c r="W20" s="9">
        <f>IF(19&lt;=核心参数输入!$B$9*4,季度经营税费!W68-季度经营税费!W69-季度经营税费!W64-W11+W16+W12-W13-W14-W15,0)</f>
        <v>4161.0098440721249</v>
      </c>
      <c r="X20" s="9">
        <f>IF(20&lt;=核心参数输入!$B$9*4,季度经营税费!X68-季度经营税费!X69-季度经营税费!X64-X11+X16+X12-X13-X14-X15,0)</f>
        <v>-566.83608169283207</v>
      </c>
      <c r="Y20" s="9">
        <f>IF(21&lt;=核心参数输入!$B$9*4,季度经营税费!Y68-季度经营税费!Y69-季度经营税费!Y64-Y11+Y16+Y12-Y13-Y14-Y15,0)</f>
        <v>3531.2028041541989</v>
      </c>
      <c r="Z20" s="9">
        <f>IF(22&lt;=核心参数输入!$B$9*4,季度经营税费!Z68-季度经营税费!Z69-季度经营税费!Z64-Z11+Z16+Z12-Z13-Z14-Z15,0)</f>
        <v>3187.2294818540086</v>
      </c>
      <c r="AA20" s="9">
        <f>IF(23&lt;=核心参数输入!$B$9*4,季度经营税费!AA68-季度经营税费!AA69-季度经营税费!AA64-AA11+AA16+AA12-AA13-AA14-AA15,0)</f>
        <v>3202.6541341681304</v>
      </c>
      <c r="AB20" s="9">
        <f>IF(24&lt;=核心参数输入!$B$9*4,季度经营税费!AB68-季度经营税费!AB69-季度经营税费!AB64-AB11+AB16+AB12-AB13-AB14-AB15,0)</f>
        <v>-1440.8864883966799</v>
      </c>
      <c r="AC20" s="9">
        <f>IF(25&lt;=核心参数输入!$B$9*4,季度经营税费!AC68-季度经营税费!AC69-季度经营税费!AC64-AC11+AC16+AC12-AC13-AC14-AC15,0)</f>
        <v>1128.3574731908209</v>
      </c>
      <c r="AD20" s="9">
        <f>IF(26&lt;=核心参数输入!$B$9*4,季度经营税费!AD68-季度经营税费!AD69-季度经营税费!AD64-AD11+AD16+AD12-AD13-AD14-AD15,0)</f>
        <v>52.88857125670998</v>
      </c>
      <c r="AE20" s="9">
        <f>IF(27&lt;=核心参数输入!$B$9*4,季度经营税费!AE68-季度经营税费!AE69-季度经营税费!AE64-AE11+AE16+AE12-AE13-AE14-AE15,0)</f>
        <v>58.107245289654657</v>
      </c>
      <c r="AF20" s="9">
        <f>IF(28&lt;=核心参数输入!$B$9*4,季度经营税费!AF68-季度经营税费!AF69-季度经营税费!AF64-AF11+AF16+AF12-AF13-AF14-AF15,0)</f>
        <v>-4199.8883663916858</v>
      </c>
      <c r="AG20" s="9">
        <f>IF(29&lt;=核心参数输入!$B$9*4,季度经营税费!AG68-季度经营税费!AG69-季度经营税费!AG64-AG11+AG16+AG12-AG13-AG14-AG15,0)</f>
        <v>117.54980925587711</v>
      </c>
      <c r="AH20" s="9">
        <f>IF(30&lt;=核心参数输入!$B$9*4,季度经营税费!AH68-季度经营税费!AH69-季度经营税费!AH64-AH11+AH16+AH12-AH13-AH14-AH15,0)</f>
        <v>120.19828632759649</v>
      </c>
      <c r="AI20" s="9">
        <f>IF(31&lt;=核心参数输入!$B$9*4,季度经营税费!AI68-季度经营税费!AI69-季度经营税费!AI64-AI11+AI16+AI12-AI13-AI14-AI15,0)</f>
        <v>120.19828632759649</v>
      </c>
      <c r="AJ20" s="9">
        <f>IF(32&lt;=核心参数输入!$B$9*4,季度经营税费!AJ68-季度经营税费!AJ69-季度经营税费!AJ64-AJ11+AJ16+AJ12-AJ13-AJ14-AJ15,0)</f>
        <v>-4143.0159993866891</v>
      </c>
      <c r="AK20" s="9">
        <f>IF(33&lt;=核心参数输入!$B$9*4,季度经营税费!AK68-季度经营税费!AK69-季度经营税费!AK64-AK11+AK16+AK12-AK13-AK14-AK15,0)</f>
        <v>169.29534856251044</v>
      </c>
      <c r="AL20" s="9">
        <f>IF(34&lt;=核心参数输入!$B$9*4,季度经营税费!AL68-季度经营税费!AL69-季度经营税费!AL64-AL11+AL16+AL12-AL13-AL14-AL15,0)</f>
        <v>169.29534856251044</v>
      </c>
      <c r="AM20" s="9">
        <f>IF(35&lt;=核心参数输入!$B$9*4,季度经营税费!AM68-季度经营税费!AM69-季度经营税费!AM64-AM11+AM16+AM12-AM13-AM14-AM15,0)</f>
        <v>169.29534856251044</v>
      </c>
      <c r="AN20" s="9">
        <f>IF(36&lt;=核心参数输入!$B$9*4,季度经营税费!AN68-季度经营税费!AN69-季度经营税费!AN64-AN11+AN16+AN12-AN13-AN14-AN15,0)</f>
        <v>-4093.918937151775</v>
      </c>
      <c r="AO20" s="9">
        <f>IF(37&lt;=核心参数输入!$B$9*4,季度经营税费!AO68-季度经营税费!AO69-季度经营税费!AO64-AO11+AO16+AO12-AO13-AO14-AO15,0)</f>
        <v>218.44574848974801</v>
      </c>
      <c r="AP20" s="9">
        <f>IF(38&lt;=核心参数输入!$B$9*4,季度经营税费!AP68-季度经营税费!AP69-季度经营税费!AP64-AP11+AP16+AP12-AP13-AP14-AP15,0)</f>
        <v>218.44574848974801</v>
      </c>
      <c r="AQ20" s="9">
        <f>IF(39&lt;=核心参数输入!$B$9*4,季度经营税费!AQ68-季度经营税费!AQ69-季度经营税费!AQ64-AQ11+AQ16+AQ12-AQ13-AQ14-AQ15,0)</f>
        <v>218.44574848974801</v>
      </c>
      <c r="AR20" s="9">
        <f>IF(40&lt;=核心参数输入!$B$9*4,季度经营税费!AR68-季度经营税费!AR69-季度经营税费!AR64-AR11+AR16+AR12-AR13-AR14-AR15,0)</f>
        <v>-4044.7685372245355</v>
      </c>
      <c r="AS20" s="9">
        <f>IF(41&lt;=核心参数输入!$B$9*4,季度经营税费!AS68-季度经营税费!AS69-季度经营税费!AS64-AS11+AS16+AS12-AS13-AS14-AS15,0)</f>
        <v>267.65012380987014</v>
      </c>
      <c r="AT20" s="9">
        <f>IF(42&lt;=核心参数输入!$B$9*4,季度经营税费!AT68-季度经营税费!AT69-季度经营税费!AT64-AT11+AT16+AT12-AT13-AT14-AT15,0)</f>
        <v>267.65012380987014</v>
      </c>
      <c r="AU20" s="9">
        <f>IF(43&lt;=核心参数输入!$B$9*4,季度经营税费!AU68-季度经营税费!AU69-季度经营税费!AU64-AU11+AU16+AU12-AU13-AU14-AU15,0)</f>
        <v>267.65012380987014</v>
      </c>
      <c r="AV20" s="9">
        <f>IF(44&lt;=核心参数输入!$B$9*4,季度经营税费!AV68-季度经营税费!AV69-季度经营税费!AV64-AV11+AV16+AV12-AV13-AV14-AV15,0)</f>
        <v>267.65012380987014</v>
      </c>
      <c r="AW20" s="9">
        <f>IF(45&lt;=核心参数输入!$B$9*4,季度经营税费!AW68-季度经营税费!AW69-季度经营税费!AW64-AW11+AW16+AW12-AW13-AW14-AW15,0)</f>
        <v>271.90911854164972</v>
      </c>
      <c r="AX20" s="9">
        <f>IF(46&lt;=核心参数输入!$B$9*4,季度经营税费!AX68-季度经营税费!AX69-季度经营税费!AX64-AX11+AX16+AX12-AX13-AX14-AX15,0)</f>
        <v>271.90911854164972</v>
      </c>
      <c r="AY20" s="9">
        <f>IF(47&lt;=核心参数输入!$B$9*4,季度经营税费!AY68-季度经营税费!AY69-季度经营税费!AY64-AY11+AY16+AY12-AY13-AY14-AY15,0)</f>
        <v>271.90911854164972</v>
      </c>
      <c r="AZ20" s="9">
        <f>IF(48&lt;=核心参数输入!$B$9*4,季度经营税费!AZ68-季度经营税费!AZ69-季度经营税费!AZ64-AZ11+AZ16+AZ12-AZ13-AZ14-AZ15,0)</f>
        <v>271.90911854164972</v>
      </c>
      <c r="BA20" s="9">
        <f>IF(49&lt;=核心参数输入!$B$9*4,季度经营税费!BA68-季度经营税费!BA69-季度经营税费!BA64-BA11+BA16+BA12-BA13-BA14-BA15,0)</f>
        <v>276.22338305189851</v>
      </c>
      <c r="BB20" s="9">
        <f>IF(50&lt;=核心参数输入!$B$9*4,季度经营税费!BB68-季度经营税费!BB69-季度经营税费!BB64-BB11+BB16+BB12-BB13-BB14-BB15,0)</f>
        <v>276.22338305189851</v>
      </c>
      <c r="BC20" s="9">
        <f>IF(51&lt;=核心参数输入!$B$9*4,季度经营税费!BC68-季度经营税费!BC69-季度经营税费!BC64-BC11+BC16+BC12-BC13-BC14-BC15,0)</f>
        <v>276.22338305189851</v>
      </c>
      <c r="BD20" s="9">
        <f>IF(52&lt;=核心参数输入!$B$9*4,季度经营税费!BD68-季度经营税费!BD69-季度经营税费!BD64-BD11+BD16+BD12-BD13-BD14-BD15,0)</f>
        <v>276.22338305189851</v>
      </c>
      <c r="BE20" s="9">
        <f>IF(53&lt;=核心参数输入!$B$9*4,季度经营税费!BE68-季度经营税费!BE69-季度经营税费!BE64-BE11+BE16+BE12-BE13-BE14-BE15,0)</f>
        <v>280.59357408444356</v>
      </c>
      <c r="BF20" s="9">
        <f>IF(54&lt;=核心参数输入!$B$9*4,季度经营税费!BF68-季度经营税费!BF69-季度经营税费!BF64-BF11+BF16+BF12-BF13-BF14-BF15,0)</f>
        <v>280.59357408444356</v>
      </c>
      <c r="BG20" s="9">
        <f>IF(55&lt;=核心参数输入!$B$9*4,季度经营税费!BG68-季度经营税费!BG69-季度经营税费!BG64-BG11+BG16+BG12-BG13-BG14-BG15,0)</f>
        <v>280.59357408444356</v>
      </c>
      <c r="BH20" s="9">
        <f>IF(56&lt;=核心参数输入!$B$9*4,季度经营税费!BH68-季度经营税费!BH69-季度经营税费!BH64-BH11+BH16+BH12-BH13-BH14-BH15,0)</f>
        <v>251.60090143748954</v>
      </c>
      <c r="BI20" s="9">
        <f>IF(57&lt;=核心参数输入!$B$9*4,季度经营税费!BI68-季度经营税费!BI69-季度经营税费!BI64-BI11+BI16+BI12-BI13-BI14-BI15,0)</f>
        <v>285.0203547882121</v>
      </c>
      <c r="BJ20" s="9">
        <f>IF(58&lt;=核心参数输入!$B$9*4,季度经营税费!BJ68-季度经营税费!BJ69-季度经营税费!BJ64-BJ11+BJ16+BJ12-BJ13-BJ14-BJ15,0)</f>
        <v>285.0203547882121</v>
      </c>
      <c r="BK20" s="9">
        <f>IF(59&lt;=核心参数输入!$B$9*4,季度经营税费!BK68-季度经营税费!BK69-季度经营税费!BK64-BK11+BK16+BK12-BK13-BK14-BK15,0)</f>
        <v>285.0203547882121</v>
      </c>
      <c r="BL20" s="9">
        <f>IF(60&lt;=核心参数输入!$B$9*4,季度经营税费!BL68-季度经营税费!BL69-季度经营税费!BL64-BL11+BL16+BL12-BL13-BL14-BL15,0)</f>
        <v>213.26062499999986</v>
      </c>
      <c r="BM20" s="9">
        <f>IF(61&lt;=核心参数输入!$B$9*4,季度经营税费!BM68-季度经营税费!BM69-季度经营税费!BM64-BM11+BM16+BM12-BM13-BM14-BM15,0)</f>
        <v>289.50439474438724</v>
      </c>
      <c r="BN20" s="9">
        <f>IF(62&lt;=核心参数输入!$B$9*4,季度经营税费!BN68-季度经营税费!BN69-季度经营税费!BN64-BN11+BN16+BN12-BN13-BN14-BN15,0)</f>
        <v>289.50439474438724</v>
      </c>
      <c r="BO20" s="9">
        <f>IF(63&lt;=核心参数输入!$B$9*4,季度经营税费!BO68-季度经营税费!BO69-季度经营税费!BO64-BO11+BO16+BO12-BO13-BO14-BO15,0)</f>
        <v>289.50439474438724</v>
      </c>
      <c r="BP20" s="9">
        <f>IF(64&lt;=核心参数输入!$B$9*4,季度经营税费!BP68-季度经营税费!BP69-季度经营税费!BP64-BP11+BP16+BP12-BP13-BP14-BP15,0)</f>
        <v>213.26062499999995</v>
      </c>
      <c r="BQ20" s="9">
        <f>IF(65&lt;=核心参数输入!$B$9*4,季度经营税费!BQ68-季度经营税费!BQ69-季度经营税费!BQ64-BQ11+BQ16+BQ12-BQ13-BQ14-BQ15,0)</f>
        <v>294.04636999259213</v>
      </c>
      <c r="BR20" s="9">
        <f>IF(66&lt;=核心参数输入!$B$9*4,季度经营税费!BR68-季度经营税费!BR69-季度经营税费!BR64-BR11+BR16+BR12-BR13-BR14-BR15,0)</f>
        <v>294.04636999259213</v>
      </c>
      <c r="BS20" s="9">
        <f>IF(67&lt;=核心参数输入!$B$9*4,季度经营税费!BS68-季度经营税费!BS69-季度经营税费!BS64-BS11+BS16+BS12-BS13-BS14-BS15,0)</f>
        <v>294.04636999259213</v>
      </c>
      <c r="BT20" s="9">
        <f>IF(68&lt;=核心参数输入!$B$9*4,季度经营税费!BT68-季度经营税费!BT69-季度经营税费!BT64-BT11+BT16+BT12-BT13-BT14-BT15,0)</f>
        <v>213.26062499999998</v>
      </c>
      <c r="BU20" s="9">
        <f>IF(69&lt;=核心参数输入!$B$9*4,季度经营税费!BU68-季度经营税费!BU69-季度经营税费!BU64-BU11+BU16+BU12-BU13-BU14-BU15,0)</f>
        <v>298.64696305606077</v>
      </c>
      <c r="BV20" s="9">
        <f>IF(70&lt;=核心参数输入!$B$9*4,季度经营税费!BV68-季度经营税费!BV69-季度经营税费!BV64-BV11+BV16+BV12-BV13-BV14-BV15,0)</f>
        <v>298.64696305606077</v>
      </c>
      <c r="BW20" s="9">
        <f>IF(71&lt;=核心参数输入!$B$9*4,季度经营税费!BW68-季度经营税费!BW69-季度经营税费!BW64-BW11+BW16+BW12-BW13-BW14-BW15,0)</f>
        <v>298.64696305606077</v>
      </c>
      <c r="BX20" s="9">
        <f>IF(72&lt;=核心参数输入!$B$9*4,季度经营税费!BX68-季度经营税费!BX69-季度经营税费!BX64-BX11+BX16+BX12-BX13-BX14-BX15,0)</f>
        <v>213.26062499999995</v>
      </c>
      <c r="BY20" s="9">
        <f>IF(73&lt;=核心参数输入!$B$9*4,季度经营税费!BY68-季度经营税费!BY69-季度经营税费!BY64-BY11+BY16+BY12-BY13-BY14-BY15,0)</f>
        <v>303.30686296575288</v>
      </c>
      <c r="BZ20" s="9">
        <f>IF(74&lt;=核心参数输入!$B$9*4,季度经营税费!BZ68-季度经营税费!BZ69-季度经营税费!BZ64-BZ11+BZ16+BZ12-BZ13-BZ14-BZ15,0)</f>
        <v>303.30686296575288</v>
      </c>
      <c r="CA20" s="9">
        <f>IF(75&lt;=核心参数输入!$B$9*4,季度经营税费!CA68-季度经营税费!CA69-季度经营税费!CA64-CA11+CA16+CA12-CA13-CA14-CA15,0)</f>
        <v>303.30686296575288</v>
      </c>
      <c r="CB20" s="9">
        <f>IF(76&lt;=核心参数输入!$B$9*4,季度经营税费!CB68-季度经营税费!CB69-季度经营税费!CB64-CB11+CB16+CB12-CB13-CB14-CB15,0)</f>
        <v>213.26062499999992</v>
      </c>
      <c r="CC20" s="9">
        <f>IF(77&lt;=核心参数输入!$B$9*4,季度经营税费!CC68-季度经营税费!CC69-季度经营税费!CC64-CC11+CC16+CC12-CC13-CC14-CC15,0)</f>
        <v>308.02676528336758</v>
      </c>
      <c r="CD20" s="9">
        <f>IF(78&lt;=核心参数输入!$B$9*4,季度经营税费!CD68-季度经营税费!CD69-季度经营税费!CD64-CD11+CD16+CD12-CD13-CD14-CD15,0)</f>
        <v>308.02676528336758</v>
      </c>
      <c r="CE20" s="9">
        <f>IF(79&lt;=核心参数输入!$B$9*4,季度经营税费!CE68-季度经营税费!CE69-季度经营税费!CE64-CE11+CE16+CE12-CE13-CE14-CE15,0)</f>
        <v>308.02676528336758</v>
      </c>
      <c r="CF20" s="9">
        <f>IF(80&lt;=核心参数输入!$B$9*4,季度经营税费!CF68-季度经营税费!CF69-季度经营税费!CF64-CF11+CF16+CF12-CF13-CF14-CF15,0)</f>
        <v>213.260625</v>
      </c>
      <c r="CG20" s="9">
        <f>IF(81&lt;=核心参数输入!$B$9*4,季度经营税费!CG68-季度经营税费!CG69-季度经营税费!CG64-CG11+CG16+CG12-CG13-CG14-CG15,0)</f>
        <v>0</v>
      </c>
      <c r="CH20" s="9">
        <f>IF(82&lt;=核心参数输入!$B$9*4,季度经营税费!CH68-季度经营税费!CH69-季度经营税费!CH64-CH11+CH16+CH12-CH13-CH14-CH15,0)</f>
        <v>0</v>
      </c>
      <c r="CI20" s="9">
        <f>IF(83&lt;=核心参数输入!$B$9*4,季度经营税费!CI68-季度经营税费!CI69-季度经营税费!CI64-CI11+CI16+CI12-CI13-CI14-CI15,0)</f>
        <v>0</v>
      </c>
      <c r="CJ20" s="9">
        <f>IF(84&lt;=核心参数输入!$B$9*4,季度经营税费!CJ68-季度经营税费!CJ69-季度经营税费!CJ64-CJ11+CJ16+CJ12-CJ13-CJ14-CJ15,0)</f>
        <v>0</v>
      </c>
      <c r="CK20" s="9">
        <f>IF(85&lt;=核心参数输入!$B$9*4,季度经营税费!CK68-季度经营税费!CK69-季度经营税费!CK64-CK11+CK16+CK12-CK13-CK14-CK15,0)</f>
        <v>0</v>
      </c>
      <c r="CL20" s="9">
        <f>IF(86&lt;=核心参数输入!$B$9*4,季度经营税费!CL68-季度经营税费!CL69-季度经营税费!CL64-CL11+CL16+CL12-CL13-CL14-CL15,0)</f>
        <v>0</v>
      </c>
      <c r="CM20" s="9">
        <f>IF(87&lt;=核心参数输入!$B$9*4,季度经营税费!CM68-季度经营税费!CM69-季度经营税费!CM64-CM11+CM16+CM12-CM13-CM14-CM15,0)</f>
        <v>0</v>
      </c>
      <c r="CN20" s="9">
        <f>IF(88&lt;=核心参数输入!$B$9*4,季度经营税费!CN68-季度经营税费!CN69-季度经营税费!CN64-CN11+CN16+CN12-CN13-CN14-CN15,0)</f>
        <v>0</v>
      </c>
      <c r="CO20" s="9">
        <f>IF(89&lt;=核心参数输入!$B$9*4,季度经营税费!CO68-季度经营税费!CO69-季度经营税费!CO64-CO11+CO16+CO12-CO13-CO14-CO15,0)</f>
        <v>0</v>
      </c>
      <c r="CP20" s="9">
        <f>IF(90&lt;=核心参数输入!$B$9*4,季度经营税费!CP68-季度经营税费!CP69-季度经营税费!CP64-CP11+CP16+CP12-CP13-CP14-CP15,0)</f>
        <v>0</v>
      </c>
      <c r="CQ20" s="9">
        <f>IF(91&lt;=核心参数输入!$B$9*4,季度经营税费!CQ68-季度经营税费!CQ69-季度经营税费!CQ64-CQ11+CQ16+CQ12-CQ13-CQ14-CQ15,0)</f>
        <v>0</v>
      </c>
      <c r="CR20" s="9">
        <f>IF(92&lt;=核心参数输入!$B$9*4,季度经营税费!CR68-季度经营税费!CR69-季度经营税费!CR64-CR11+CR16+CR12-CR13-CR14-CR15,0)</f>
        <v>0</v>
      </c>
      <c r="CS20" s="9">
        <f>IF(93&lt;=核心参数输入!$B$9*4,季度经营税费!CS68-季度经营税费!CS69-季度经营税费!CS64-CS11+CS16+CS12-CS13-CS14-CS15,0)</f>
        <v>0</v>
      </c>
      <c r="CT20" s="9">
        <f>IF(94&lt;=核心参数输入!$B$9*4,季度经营税费!CT68-季度经营税费!CT69-季度经营税费!CT64-CT11+CT16+CT12-CT13-CT14-CT15,0)</f>
        <v>0</v>
      </c>
      <c r="CU20" s="9">
        <f>IF(95&lt;=核心参数输入!$B$9*4,季度经营税费!CU68-季度经营税费!CU69-季度经营税费!CU64-CU11+CU16+CU12-CU13-CU14-CU15,0)</f>
        <v>0</v>
      </c>
      <c r="CV20" s="9">
        <f>IF(96&lt;=核心参数输入!$B$9*4,季度经营税费!CV68-季度经营税费!CV69-季度经营税费!CV64-CV11+CV16+CV12-CV13-CV14-CV15,0)</f>
        <v>0</v>
      </c>
      <c r="CW20" s="9">
        <f>IF(97&lt;=核心参数输入!$B$9*4,季度经营税费!CW68-季度经营税费!CW69-季度经营税费!CW64-CW11+CW16+CW12-CW13-CW14-CW15,0)</f>
        <v>0</v>
      </c>
      <c r="CX20" s="9">
        <f>IF(98&lt;=核心参数输入!$B$9*4,季度经营税费!CX68-季度经营税费!CX69-季度经营税费!CX64-CX11+CX16+CX12-CX13-CX14-CX15,0)</f>
        <v>0</v>
      </c>
      <c r="CY20" s="9">
        <f>IF(99&lt;=核心参数输入!$B$9*4,季度经营税费!CY68-季度经营税费!CY69-季度经营税费!CY64-CY11+CY16+CY12-CY13-CY14-CY15,0)</f>
        <v>0</v>
      </c>
      <c r="CZ20" s="9">
        <f>IF(100&lt;=核心参数输入!$B$9*4,季度经营税费!CZ68-季度经营税费!CZ69-季度经营税费!CZ64-CZ11+CZ16+CZ12-CZ13-CZ14-CZ15,0)</f>
        <v>0</v>
      </c>
      <c r="DA20" s="9">
        <f>IF(101&lt;=核心参数输入!$B$9*4,季度经营税费!DA68-季度经营税费!DA69-季度经营税费!DA64-DA11+DA16+DA12-DA13-DA14-DA15,0)</f>
        <v>0</v>
      </c>
      <c r="DB20" s="9">
        <f>IF(102&lt;=核心参数输入!$B$9*4,季度经营税费!DB68-季度经营税费!DB69-季度经营税费!DB64-DB11+DB16+DB12-DB13-DB14-DB15,0)</f>
        <v>0</v>
      </c>
      <c r="DC20" s="9">
        <f>IF(103&lt;=核心参数输入!$B$9*4,季度经营税费!DC68-季度经营税费!DC69-季度经营税费!DC64-DC11+DC16+DC12-DC13-DC14-DC15,0)</f>
        <v>0</v>
      </c>
      <c r="DD20" s="9">
        <f>IF(104&lt;=核心参数输入!$B$9*4,季度经营税费!DD68-季度经营税费!DD69-季度经营税费!DD64-DD11+DD16+DD12-DD13-DD14-DD15,0)</f>
        <v>0</v>
      </c>
      <c r="DE20" s="9">
        <f>IF(105&lt;=核心参数输入!$B$9*4,季度经营税费!DE68-季度经营税费!DE69-季度经营税费!DE64-DE11+DE16+DE12-DE13-DE14-DE15,0)</f>
        <v>0</v>
      </c>
      <c r="DF20" s="9">
        <f>IF(106&lt;=核心参数输入!$B$9*4,季度经营税费!DF68-季度经营税费!DF69-季度经营税费!DF64-DF11+DF16+DF12-DF13-DF14-DF15,0)</f>
        <v>0</v>
      </c>
      <c r="DG20" s="9">
        <f>IF(107&lt;=核心参数输入!$B$9*4,季度经营税费!DG68-季度经营税费!DG69-季度经营税费!DG64-DG11+DG16+DG12-DG13-DG14-DG15,0)</f>
        <v>0</v>
      </c>
      <c r="DH20" s="9">
        <f>IF(108&lt;=核心参数输入!$B$9*4,季度经营税费!DH68-季度经营税费!DH69-季度经营税费!DH64-DH11+DH16+DH12-DH13-DH14-DH15,0)</f>
        <v>0</v>
      </c>
      <c r="DI20" s="9">
        <f>IF(109&lt;=核心参数输入!$B$9*4,季度经营税费!DI68-季度经营税费!DI69-季度经营税费!DI64-DI11+DI16+DI12-DI13-DI14-DI15,0)</f>
        <v>0</v>
      </c>
      <c r="DJ20" s="9">
        <f>IF(110&lt;=核心参数输入!$B$9*4,季度经营税费!DJ68-季度经营税费!DJ69-季度经营税费!DJ64-DJ11+DJ16+DJ12-DJ13-DJ14-DJ15,0)</f>
        <v>0</v>
      </c>
      <c r="DK20" s="9">
        <f>IF(111&lt;=核心参数输入!$B$9*4,季度经营税费!DK68-季度经营税费!DK69-季度经营税费!DK64-DK11+DK16+DK12-DK13-DK14-DK15,0)</f>
        <v>0</v>
      </c>
      <c r="DL20" s="9">
        <f>IF(112&lt;=核心参数输入!$B$9*4,季度经营税费!DL68-季度经营税费!DL69-季度经营税费!DL64-DL11+DL16+DL12-DL13-DL14-DL15,0)</f>
        <v>0</v>
      </c>
      <c r="DM20" s="9">
        <f>IF(113&lt;=核心参数输入!$B$9*4,季度经营税费!DM68-季度经营税费!DM69-季度经营税费!DM64-DM11+DM16+DM12-DM13-DM14-DM15,0)</f>
        <v>0</v>
      </c>
      <c r="DN20" s="9">
        <f>IF(114&lt;=核心参数输入!$B$9*4,季度经营税费!DN68-季度经营税费!DN69-季度经营税费!DN64-DN11+DN16+DN12-DN13-DN14-DN15,0)</f>
        <v>0</v>
      </c>
      <c r="DO20" s="9">
        <f>IF(115&lt;=核心参数输入!$B$9*4,季度经营税费!DO68-季度经营税费!DO69-季度经营税费!DO64-DO11+DO16+DO12-DO13-DO14-DO15,0)</f>
        <v>0</v>
      </c>
      <c r="DP20" s="9">
        <f>IF(116&lt;=核心参数输入!$B$9*4,季度经营税费!DP68-季度经营税费!DP69-季度经营税费!DP64-DP11+DP16+DP12-DP13-DP14-DP15,0)</f>
        <v>0</v>
      </c>
      <c r="DQ20" s="9">
        <f>IF(117&lt;=核心参数输入!$B$9*4,季度经营税费!DQ68-季度经营税费!DQ69-季度经营税费!DQ64-DQ11+DQ16+DQ12-DQ13-DQ14-DQ15,0)</f>
        <v>0</v>
      </c>
      <c r="DR20" s="9">
        <f>IF(118&lt;=核心参数输入!$B$9*4,季度经营税费!DR68-季度经营税费!DR69-季度经营税费!DR64-DR11+DR16+DR12-DR13-DR14-DR15,0)</f>
        <v>0</v>
      </c>
      <c r="DS20" s="9">
        <f>IF(119&lt;=核心参数输入!$B$9*4,季度经营税费!DS68-季度经营税费!DS69-季度经营税费!DS64-DS11+DS16+DS12-DS13-DS14-DS15,0)</f>
        <v>0</v>
      </c>
      <c r="DT20" s="9">
        <f>IF(120&lt;=核心参数输入!$B$9*4,季度经营税费!DT68-季度经营税费!DT69-季度经营税费!DT64-DT11+DT16+DT12-DT13-DT14-DT15,0)</f>
        <v>0</v>
      </c>
    </row>
    <row r="21" spans="1:124" ht="21" customHeight="1">
      <c r="A21" s="8" t="s">
        <v>520</v>
      </c>
      <c r="B21" s="8" t="s">
        <v>39</v>
      </c>
      <c r="C21" s="8"/>
      <c r="D21" s="9">
        <f>IF(0&lt;=核心参数输入!$B$9*4,季度经营税费!D68-季度经营税费!D69-季度经营税费!D65-D11+D17+季度经营税费!D59+D12-D13-D14-D15,0)</f>
        <v>-8000</v>
      </c>
      <c r="E21" s="9">
        <f>IF(1&lt;=核心参数输入!$B$9*4,季度经营税费!E68-季度经营税费!E69-季度经营税费!E65-E11+E17+季度经营税费!E59+E12-E13-E14-E15,0)</f>
        <v>-1730.8125</v>
      </c>
      <c r="F21" s="9">
        <f>IF(2&lt;=核心参数输入!$B$9*4,季度经营税费!F68-季度经营税费!F69-季度经营税费!F65-F11+F17+季度经营税费!F59+F12-F13-F14-F15,0)</f>
        <v>-1754.4375</v>
      </c>
      <c r="G21" s="9">
        <f>IF(3&lt;=核心参数输入!$B$9*4,季度经营税费!G68-季度经营税费!G69-季度经营税费!G65-G11+G17+季度经营税费!G59+G12-G13-G14-G15,0)</f>
        <v>-1778.0625</v>
      </c>
      <c r="H21" s="9">
        <f>IF(4&lt;=核心参数输入!$B$9*4,季度经营税费!H68-季度经营税费!H69-季度经营税费!H65-H11+H17+季度经营税费!H59+H12-H13-H14-H15,0)</f>
        <v>-1801.6875</v>
      </c>
      <c r="I21" s="9">
        <f>IF(5&lt;=核心参数输入!$B$9*4,季度经营税费!I68-季度经营税费!I69-季度经营税费!I65-I11+I17+季度经营税费!I59+I12-I13-I14-I15,0)</f>
        <v>-2402.25</v>
      </c>
      <c r="J21" s="9">
        <f>IF(6&lt;=核心参数输入!$B$9*4,季度经营税费!J68-季度经营税费!J69-季度经营税费!J65-J11+J17+季度经营税费!J59+J12-J13-J14-J15,0)</f>
        <v>-2433.75</v>
      </c>
      <c r="K21" s="9">
        <f>IF(7&lt;=核心参数输入!$B$9*4,季度经营税费!K68-季度经营税费!K69-季度经营税费!K65-K11+K17+季度经营税费!K59+K12-K13-K14-K15,0)</f>
        <v>-2465.25</v>
      </c>
      <c r="L21" s="9">
        <f>IF(8&lt;=核心参数输入!$B$9*4,季度经营税费!L68-季度经营税费!L69-季度经营税费!L65-L11+L17+季度经营税费!L59+L12-L13-L14-L15,0)</f>
        <v>-2496.75</v>
      </c>
      <c r="M21" s="9">
        <f>IF(9&lt;=核心参数输入!$B$9*4,季度经营税费!M68-季度经营税费!M69-季度经营税费!M65-M11+M17+季度经营税费!M59+M12-M13-M14-M15,0)</f>
        <v>-1951.3125</v>
      </c>
      <c r="N21" s="9">
        <f>IF(10&lt;=核心参数输入!$B$9*4,季度经营税费!N68-季度经营税费!N69-季度经营税费!N65-N11+N17+季度经营税费!N59+N12-N13-N14-N15,0)</f>
        <v>-1974.9375</v>
      </c>
      <c r="O21" s="9">
        <f>IF(11&lt;=核心参数输入!$B$9*4,季度经营税费!O68-季度经营税费!O69-季度经营税费!O65-O11+O17+季度经营税费!O59+O12-O13-O14-O15,0)</f>
        <v>-1998.5625</v>
      </c>
      <c r="P21" s="9">
        <f>IF(12&lt;=核心参数输入!$B$9*4,季度经营税费!P68-季度经营税费!P69-季度经营税费!P65-P11+P17+季度经营税费!P59+P12-P13-P14-P15,0)</f>
        <v>-2022.1875</v>
      </c>
      <c r="Q21" s="9">
        <f>IF(13&lt;=核心参数输入!$B$9*4,季度经营税费!Q68-季度经营税费!Q69-季度经营税费!Q65-Q11+Q17+季度经营税费!Q59+Q12-Q13-Q14-Q15,0)</f>
        <v>1218.7140625000002</v>
      </c>
      <c r="R21" s="9">
        <f>IF(14&lt;=核心参数输入!$B$9*4,季度经营税费!R68-季度经营税费!R69-季度经营税费!R65-R11+R17+季度经营税费!R59+R12-R13-R14-R15,0)</f>
        <v>2829.5738458125002</v>
      </c>
      <c r="S21" s="9">
        <f>IF(15&lt;=核心参数输入!$B$9*4,季度经营税费!S68-季度经营税费!S69-季度经营税费!S65-S11+S17+季度经营税费!S59+S12-S13-S14-S15,0)</f>
        <v>2879.4809124375001</v>
      </c>
      <c r="T21" s="9">
        <f>IF(16&lt;=核心参数输入!$B$9*4,季度经营税费!T68-季度经营税费!T69-季度经营税费!T65-T11+T17+季度经营税费!T59+T12-T13-T14-T15,0)</f>
        <v>-1396.0439441049111</v>
      </c>
      <c r="U21" s="9">
        <f>IF(17&lt;=核心参数输入!$B$9*4,季度经营税费!U68-季度经营税费!U69-季度经营税费!U65-U11+U17+季度经营税费!U59+U12-U13-U14-U15,0)</f>
        <v>3743.3198541853121</v>
      </c>
      <c r="V21" s="9">
        <f>IF(18&lt;=核心参数输入!$B$9*4,季度经营税费!V68-季度经营税费!V69-季度经营税费!V65-V11+V17+季度经营税费!V59+V12-V13-V14-V15,0)</f>
        <v>4140.7475750223748</v>
      </c>
      <c r="W21" s="9">
        <f>IF(19&lt;=核心参数输入!$B$9*4,季度经营税费!W68-季度经营税费!W69-季度经营税费!W65-W11+W17+季度经营税费!W59+W12-W13-W14-W15,0)</f>
        <v>4161.0098440721249</v>
      </c>
      <c r="X21" s="9">
        <f>IF(20&lt;=核心参数输入!$B$9*4,季度经营税费!X68-季度经营税费!X69-季度经营税费!X65-X11+X17+季度经营税费!X59+X12-X13-X14-X15,0)</f>
        <v>-566.83608169283207</v>
      </c>
      <c r="Y21" s="9">
        <f>IF(21&lt;=核心参数输入!$B$9*4,季度经营税费!Y68-季度经营税费!Y69-季度经营税费!Y65-Y11+Y17+季度经营税费!Y59+Y12-Y13-Y14-Y15,0)</f>
        <v>3531.2028041541989</v>
      </c>
      <c r="Z21" s="9">
        <f>IF(22&lt;=核心参数输入!$B$9*4,季度经营税费!Z68-季度经营税费!Z69-季度经营税费!Z65-Z11+Z17+季度经营税费!Z59+Z12-Z13-Z14-Z15,0)</f>
        <v>3187.2294818540086</v>
      </c>
      <c r="AA21" s="9">
        <f>IF(23&lt;=核心参数输入!$B$9*4,季度经营税费!AA68-季度经营税费!AA69-季度经营税费!AA65-AA11+AA17+季度经营税费!AA59+AA12-AA13-AA14-AA15,0)</f>
        <v>3202.6541341681304</v>
      </c>
      <c r="AB21" s="9">
        <f>IF(24&lt;=核心参数输入!$B$9*4,季度经营税费!AB68-季度经营税费!AB69-季度经营税费!AB65-AB11+AB17+季度经营税费!AB59+AB12-AB13-AB14-AB15,0)</f>
        <v>-1440.8864883966799</v>
      </c>
      <c r="AC21" s="9">
        <f>IF(25&lt;=核心参数输入!$B$9*4,季度经营税费!AC68-季度经营税费!AC69-季度经营税费!AC65-AC11+AC17+季度经营税费!AC59+AC12-AC13-AC14-AC15,0)</f>
        <v>1128.3574731908209</v>
      </c>
      <c r="AD21" s="9">
        <f>IF(26&lt;=核心参数输入!$B$9*4,季度经营税费!AD68-季度经营税费!AD69-季度经营税费!AD65-AD11+AD17+季度经营税费!AD59+AD12-AD13-AD14-AD15,0)</f>
        <v>52.88857125670998</v>
      </c>
      <c r="AE21" s="9">
        <f>IF(27&lt;=核心参数输入!$B$9*4,季度经营税费!AE68-季度经营税费!AE69-季度经营税费!AE65-AE11+AE17+季度经营税费!AE59+AE12-AE13-AE14-AE15,0)</f>
        <v>58.107245289654657</v>
      </c>
      <c r="AF21" s="9">
        <f>IF(28&lt;=核心参数输入!$B$9*4,季度经营税费!AF68-季度经营税费!AF69-季度经营税费!AF65-AF11+AF17+季度经营税费!AF59+AF12-AF13-AF14-AF15,0)</f>
        <v>-4199.8883663916858</v>
      </c>
      <c r="AG21" s="9">
        <f>IF(29&lt;=核心参数输入!$B$9*4,季度经营税费!AG68-季度经营税费!AG69-季度经营税费!AG65-AG11+AG17+季度经营税费!AG59+AG12-AG13-AG14-AG15,0)</f>
        <v>117.54980925587711</v>
      </c>
      <c r="AH21" s="9">
        <f>IF(30&lt;=核心参数输入!$B$9*4,季度经营税费!AH68-季度经营税费!AH69-季度经营税费!AH65-AH11+AH17+季度经营税费!AH59+AH12-AH13-AH14-AH15,0)</f>
        <v>120.19828632759649</v>
      </c>
      <c r="AI21" s="9">
        <f>IF(31&lt;=核心参数输入!$B$9*4,季度经营税费!AI68-季度经营税费!AI69-季度经营税费!AI65-AI11+AI17+季度经营税费!AI59+AI12-AI13-AI14-AI15,0)</f>
        <v>120.19828632759649</v>
      </c>
      <c r="AJ21" s="9">
        <f>IF(32&lt;=核心参数输入!$B$9*4,季度经营税费!AJ68-季度经营税费!AJ69-季度经营税费!AJ65-AJ11+AJ17+季度经营税费!AJ59+AJ12-AJ13-AJ14-AJ15,0)</f>
        <v>-4143.0159993866891</v>
      </c>
      <c r="AK21" s="9">
        <f>IF(33&lt;=核心参数输入!$B$9*4,季度经营税费!AK68-季度经营税费!AK69-季度经营税费!AK65-AK11+AK17+季度经营税费!AK59+AK12-AK13-AK14-AK15,0)</f>
        <v>169.29534856251044</v>
      </c>
      <c r="AL21" s="9">
        <f>IF(34&lt;=核心参数输入!$B$9*4,季度经营税费!AL68-季度经营税费!AL69-季度经营税费!AL65-AL11+AL17+季度经营税费!AL59+AL12-AL13-AL14-AL15,0)</f>
        <v>169.29534856251044</v>
      </c>
      <c r="AM21" s="9">
        <f>IF(35&lt;=核心参数输入!$B$9*4,季度经营税费!AM68-季度经营税费!AM69-季度经营税费!AM65-AM11+AM17+季度经营税费!AM59+AM12-AM13-AM14-AM15,0)</f>
        <v>169.29534856251044</v>
      </c>
      <c r="AN21" s="9">
        <f>IF(36&lt;=核心参数输入!$B$9*4,季度经营税费!AN68-季度经营税费!AN69-季度经营税费!AN65-AN11+AN17+季度经营税费!AN59+AN12-AN13-AN14-AN15,0)</f>
        <v>-4093.918937151775</v>
      </c>
      <c r="AO21" s="9">
        <f>IF(37&lt;=核心参数输入!$B$9*4,季度经营税费!AO68-季度经营税费!AO69-季度经营税费!AO65-AO11+AO17+季度经营税费!AO59+AO12-AO13-AO14-AO15,0)</f>
        <v>218.44574848974801</v>
      </c>
      <c r="AP21" s="9">
        <f>IF(38&lt;=核心参数输入!$B$9*4,季度经营税费!AP68-季度经营税费!AP69-季度经营税费!AP65-AP11+AP17+季度经营税费!AP59+AP12-AP13-AP14-AP15,0)</f>
        <v>218.44574848974801</v>
      </c>
      <c r="AQ21" s="9">
        <f>IF(39&lt;=核心参数输入!$B$9*4,季度经营税费!AQ68-季度经营税费!AQ69-季度经营税费!AQ65-AQ11+AQ17+季度经营税费!AQ59+AQ12-AQ13-AQ14-AQ15,0)</f>
        <v>218.44574848974801</v>
      </c>
      <c r="AR21" s="9">
        <f>IF(40&lt;=核心参数输入!$B$9*4,季度经营税费!AR68-季度经营税费!AR69-季度经营税费!AR65-AR11+AR17+季度经营税费!AR59+AR12-AR13-AR14-AR15,0)</f>
        <v>-4044.7685372245355</v>
      </c>
      <c r="AS21" s="9">
        <f>IF(41&lt;=核心参数输入!$B$9*4,季度经营税费!AS68-季度经营税费!AS69-季度经营税费!AS65-AS11+AS17+季度经营税费!AS59+AS12-AS13-AS14-AS15,0)</f>
        <v>267.65012380987014</v>
      </c>
      <c r="AT21" s="9">
        <f>IF(42&lt;=核心参数输入!$B$9*4,季度经营税费!AT68-季度经营税费!AT69-季度经营税费!AT65-AT11+AT17+季度经营税费!AT59+AT12-AT13-AT14-AT15,0)</f>
        <v>267.65012380987014</v>
      </c>
      <c r="AU21" s="9">
        <f>IF(43&lt;=核心参数输入!$B$9*4,季度经营税费!AU68-季度经营税费!AU69-季度经营税费!AU65-AU11+AU17+季度经营税费!AU59+AU12-AU13-AU14-AU15,0)</f>
        <v>267.65012380987014</v>
      </c>
      <c r="AV21" s="9">
        <f>IF(44&lt;=核心参数输入!$B$9*4,季度经营税费!AV68-季度经营税费!AV69-季度经营税费!AV65-AV11+AV17+季度经营税费!AV59+AV12-AV13-AV14-AV15,0)</f>
        <v>267.65012380987014</v>
      </c>
      <c r="AW21" s="9">
        <f>IF(45&lt;=核心参数输入!$B$9*4,季度经营税费!AW68-季度经营税费!AW69-季度经营税费!AW65-AW11+AW17+季度经营税费!AW59+AW12-AW13-AW14-AW15,0)</f>
        <v>271.90911854164972</v>
      </c>
      <c r="AX21" s="9">
        <f>IF(46&lt;=核心参数输入!$B$9*4,季度经营税费!AX68-季度经营税费!AX69-季度经营税费!AX65-AX11+AX17+季度经营税费!AX59+AX12-AX13-AX14-AX15,0)</f>
        <v>271.90911854164972</v>
      </c>
      <c r="AY21" s="9">
        <f>IF(47&lt;=核心参数输入!$B$9*4,季度经营税费!AY68-季度经营税费!AY69-季度经营税费!AY65-AY11+AY17+季度经营税费!AY59+AY12-AY13-AY14-AY15,0)</f>
        <v>271.90911854164972</v>
      </c>
      <c r="AZ21" s="9">
        <f>IF(48&lt;=核心参数输入!$B$9*4,季度经营税费!AZ68-季度经营税费!AZ69-季度经营税费!AZ65-AZ11+AZ17+季度经营税费!AZ59+AZ12-AZ13-AZ14-AZ15,0)</f>
        <v>271.90911854164972</v>
      </c>
      <c r="BA21" s="9">
        <f>IF(49&lt;=核心参数输入!$B$9*4,季度经营税费!BA68-季度经营税费!BA69-季度经营税费!BA65-BA11+BA17+季度经营税费!BA59+BA12-BA13-BA14-BA15,0)</f>
        <v>276.22338305189851</v>
      </c>
      <c r="BB21" s="9">
        <f>IF(50&lt;=核心参数输入!$B$9*4,季度经营税费!BB68-季度经营税费!BB69-季度经营税费!BB65-BB11+BB17+季度经营税费!BB59+BB12-BB13-BB14-BB15,0)</f>
        <v>276.22338305189851</v>
      </c>
      <c r="BC21" s="9">
        <f>IF(51&lt;=核心参数输入!$B$9*4,季度经营税费!BC68-季度经营税费!BC69-季度经营税费!BC65-BC11+BC17+季度经营税费!BC59+BC12-BC13-BC14-BC15,0)</f>
        <v>276.22338305189851</v>
      </c>
      <c r="BD21" s="9">
        <f>IF(52&lt;=核心参数输入!$B$9*4,季度经营税费!BD68-季度经营税费!BD69-季度经营税费!BD65-BD11+BD17+季度经营税费!BD59+BD12-BD13-BD14-BD15,0)</f>
        <v>276.22338305189851</v>
      </c>
      <c r="BE21" s="9">
        <f>IF(53&lt;=核心参数输入!$B$9*4,季度经营税费!BE68-季度经营税费!BE69-季度经营税费!BE65-BE11+BE17+季度经营税费!BE59+BE12-BE13-BE14-BE15,0)</f>
        <v>280.59357408444356</v>
      </c>
      <c r="BF21" s="9">
        <f>IF(54&lt;=核心参数输入!$B$9*4,季度经营税费!BF68-季度经营税费!BF69-季度经营税费!BF65-BF11+BF17+季度经营税费!BF59+BF12-BF13-BF14-BF15,0)</f>
        <v>280.59357408444356</v>
      </c>
      <c r="BG21" s="9">
        <f>IF(55&lt;=核心参数输入!$B$9*4,季度经营税费!BG68-季度经营税费!BG69-季度经营税费!BG65-BG11+BG17+季度经营税费!BG59+BG12-BG13-BG14-BG15,0)</f>
        <v>280.59357408444356</v>
      </c>
      <c r="BH21" s="9">
        <f>IF(56&lt;=核心参数输入!$B$9*4,季度经营税费!BH68-季度经营税费!BH69-季度经营税费!BH65-BH11+BH17+季度经营税费!BH59+BH12-BH13-BH14-BH15,0)</f>
        <v>251.60090143748954</v>
      </c>
      <c r="BI21" s="9">
        <f>IF(57&lt;=核心参数输入!$B$9*4,季度经营税费!BI68-季度经营税费!BI69-季度经营税费!BI65-BI11+BI17+季度经营税费!BI59+BI12-BI13-BI14-BI15,0)</f>
        <v>285.0203547882121</v>
      </c>
      <c r="BJ21" s="9">
        <f>IF(58&lt;=核心参数输入!$B$9*4,季度经营税费!BJ68-季度经营税费!BJ69-季度经营税费!BJ65-BJ11+BJ17+季度经营税费!BJ59+BJ12-BJ13-BJ14-BJ15,0)</f>
        <v>285.0203547882121</v>
      </c>
      <c r="BK21" s="9">
        <f>IF(59&lt;=核心参数输入!$B$9*4,季度经营税费!BK68-季度经营税费!BK69-季度经营税费!BK65-BK11+BK17+季度经营税费!BK59+BK12-BK13-BK14-BK15,0)</f>
        <v>285.0203547882121</v>
      </c>
      <c r="BL21" s="9">
        <f>IF(60&lt;=核心参数输入!$B$9*4,季度经营税费!BL68-季度经营税费!BL69-季度经营税费!BL65-BL11+BL17+季度经营税费!BL59+BL12-BL13-BL14-BL15,0)</f>
        <v>213.26062499999986</v>
      </c>
      <c r="BM21" s="9">
        <f>IF(61&lt;=核心参数输入!$B$9*4,季度经营税费!BM68-季度经营税费!BM69-季度经营税费!BM65-BM11+BM17+季度经营税费!BM59+BM12-BM13-BM14-BM15,0)</f>
        <v>289.50439474438724</v>
      </c>
      <c r="BN21" s="9">
        <f>IF(62&lt;=核心参数输入!$B$9*4,季度经营税费!BN68-季度经营税费!BN69-季度经营税费!BN65-BN11+BN17+季度经营税费!BN59+BN12-BN13-BN14-BN15,0)</f>
        <v>289.50439474438724</v>
      </c>
      <c r="BO21" s="9">
        <f>IF(63&lt;=核心参数输入!$B$9*4,季度经营税费!BO68-季度经营税费!BO69-季度经营税费!BO65-BO11+BO17+季度经营税费!BO59+BO12-BO13-BO14-BO15,0)</f>
        <v>289.50439474438724</v>
      </c>
      <c r="BP21" s="9">
        <f>IF(64&lt;=核心参数输入!$B$9*4,季度经营税费!BP68-季度经营税费!BP69-季度经营税费!BP65-BP11+BP17+季度经营税费!BP59+BP12-BP13-BP14-BP15,0)</f>
        <v>213.26062499999995</v>
      </c>
      <c r="BQ21" s="9">
        <f>IF(65&lt;=核心参数输入!$B$9*4,季度经营税费!BQ68-季度经营税费!BQ69-季度经营税费!BQ65-BQ11+BQ17+季度经营税费!BQ59+BQ12-BQ13-BQ14-BQ15,0)</f>
        <v>294.04636999259213</v>
      </c>
      <c r="BR21" s="9">
        <f>IF(66&lt;=核心参数输入!$B$9*4,季度经营税费!BR68-季度经营税费!BR69-季度经营税费!BR65-BR11+BR17+季度经营税费!BR59+BR12-BR13-BR14-BR15,0)</f>
        <v>294.04636999259213</v>
      </c>
      <c r="BS21" s="9">
        <f>IF(67&lt;=核心参数输入!$B$9*4,季度经营税费!BS68-季度经营税费!BS69-季度经营税费!BS65-BS11+BS17+季度经营税费!BS59+BS12-BS13-BS14-BS15,0)</f>
        <v>294.04636999259213</v>
      </c>
      <c r="BT21" s="9">
        <f>IF(68&lt;=核心参数输入!$B$9*4,季度经营税费!BT68-季度经营税费!BT69-季度经营税费!BT65-BT11+BT17+季度经营税费!BT59+BT12-BT13-BT14-BT15,0)</f>
        <v>213.26062499999998</v>
      </c>
      <c r="BU21" s="9">
        <f>IF(69&lt;=核心参数输入!$B$9*4,季度经营税费!BU68-季度经营税费!BU69-季度经营税费!BU65-BU11+BU17+季度经营税费!BU59+BU12-BU13-BU14-BU15,0)</f>
        <v>298.64696305606077</v>
      </c>
      <c r="BV21" s="9">
        <f>IF(70&lt;=核心参数输入!$B$9*4,季度经营税费!BV68-季度经营税费!BV69-季度经营税费!BV65-BV11+BV17+季度经营税费!BV59+BV12-BV13-BV14-BV15,0)</f>
        <v>298.64696305606077</v>
      </c>
      <c r="BW21" s="9">
        <f>IF(71&lt;=核心参数输入!$B$9*4,季度经营税费!BW68-季度经营税费!BW69-季度经营税费!BW65-BW11+BW17+季度经营税费!BW59+BW12-BW13-BW14-BW15,0)</f>
        <v>298.64696305606077</v>
      </c>
      <c r="BX21" s="9">
        <f>IF(72&lt;=核心参数输入!$B$9*4,季度经营税费!BX68-季度经营税费!BX69-季度经营税费!BX65-BX11+BX17+季度经营税费!BX59+BX12-BX13-BX14-BX15,0)</f>
        <v>213.26062499999995</v>
      </c>
      <c r="BY21" s="9">
        <f>IF(73&lt;=核心参数输入!$B$9*4,季度经营税费!BY68-季度经营税费!BY69-季度经营税费!BY65-BY11+BY17+季度经营税费!BY59+BY12-BY13-BY14-BY15,0)</f>
        <v>303.30686296575288</v>
      </c>
      <c r="BZ21" s="9">
        <f>IF(74&lt;=核心参数输入!$B$9*4,季度经营税费!BZ68-季度经营税费!BZ69-季度经营税费!BZ65-BZ11+BZ17+季度经营税费!BZ59+BZ12-BZ13-BZ14-BZ15,0)</f>
        <v>303.30686296575288</v>
      </c>
      <c r="CA21" s="9">
        <f>IF(75&lt;=核心参数输入!$B$9*4,季度经营税费!CA68-季度经营税费!CA69-季度经营税费!CA65-CA11+CA17+季度经营税费!CA59+CA12-CA13-CA14-CA15,0)</f>
        <v>303.30686296575288</v>
      </c>
      <c r="CB21" s="9">
        <f>IF(76&lt;=核心参数输入!$B$9*4,季度经营税费!CB68-季度经营税费!CB69-季度经营税费!CB65-CB11+CB17+季度经营税费!CB59+CB12-CB13-CB14-CB15,0)</f>
        <v>213.26062499999992</v>
      </c>
      <c r="CC21" s="9">
        <f>IF(77&lt;=核心参数输入!$B$9*4,季度经营税费!CC68-季度经营税费!CC69-季度经营税费!CC65-CC11+CC17+季度经营税费!CC59+CC12-CC13-CC14-CC15,0)</f>
        <v>308.02676528336758</v>
      </c>
      <c r="CD21" s="9">
        <f>IF(78&lt;=核心参数输入!$B$9*4,季度经营税费!CD68-季度经营税费!CD69-季度经营税费!CD65-CD11+CD17+季度经营税费!CD59+CD12-CD13-CD14-CD15,0)</f>
        <v>308.02676528336758</v>
      </c>
      <c r="CE21" s="9">
        <f>IF(79&lt;=核心参数输入!$B$9*4,季度经营税费!CE68-季度经营税费!CE69-季度经营税费!CE65-CE11+CE17+季度经营税费!CE59+CE12-CE13-CE14-CE15,0)</f>
        <v>308.02676528336758</v>
      </c>
      <c r="CF21" s="9">
        <f>IF(80&lt;=核心参数输入!$B$9*4,季度经营税费!CF68-季度经营税费!CF69-季度经营税费!CF65-CF11+CF17+季度经营税费!CF59+CF12-CF13-CF14-CF15,0)</f>
        <v>25978.954999999994</v>
      </c>
      <c r="CG21" s="9">
        <f>IF(81&lt;=核心参数输入!$B$9*4,季度经营税费!CG68-季度经营税费!CG69-季度经营税费!CG65-CG11+CG17+季度经营税费!CG59+CG12-CG13-CG14-CG15,0)</f>
        <v>0</v>
      </c>
      <c r="CH21" s="9">
        <f>IF(82&lt;=核心参数输入!$B$9*4,季度经营税费!CH68-季度经营税费!CH69-季度经营税费!CH65-CH11+CH17+季度经营税费!CH59+CH12-CH13-CH14-CH15,0)</f>
        <v>0</v>
      </c>
      <c r="CI21" s="9">
        <f>IF(83&lt;=核心参数输入!$B$9*4,季度经营税费!CI68-季度经营税费!CI69-季度经营税费!CI65-CI11+CI17+季度经营税费!CI59+CI12-CI13-CI14-CI15,0)</f>
        <v>0</v>
      </c>
      <c r="CJ21" s="9">
        <f>IF(84&lt;=核心参数输入!$B$9*4,季度经营税费!CJ68-季度经营税费!CJ69-季度经营税费!CJ65-CJ11+CJ17+季度经营税费!CJ59+CJ12-CJ13-CJ14-CJ15,0)</f>
        <v>0</v>
      </c>
      <c r="CK21" s="9">
        <f>IF(85&lt;=核心参数输入!$B$9*4,季度经营税费!CK68-季度经营税费!CK69-季度经营税费!CK65-CK11+CK17+季度经营税费!CK59+CK12-CK13-CK14-CK15,0)</f>
        <v>0</v>
      </c>
      <c r="CL21" s="9">
        <f>IF(86&lt;=核心参数输入!$B$9*4,季度经营税费!CL68-季度经营税费!CL69-季度经营税费!CL65-CL11+CL17+季度经营税费!CL59+CL12-CL13-CL14-CL15,0)</f>
        <v>0</v>
      </c>
      <c r="CM21" s="9">
        <f>IF(87&lt;=核心参数输入!$B$9*4,季度经营税费!CM68-季度经营税费!CM69-季度经营税费!CM65-CM11+CM17+季度经营税费!CM59+CM12-CM13-CM14-CM15,0)</f>
        <v>0</v>
      </c>
      <c r="CN21" s="9">
        <f>IF(88&lt;=核心参数输入!$B$9*4,季度经营税费!CN68-季度经营税费!CN69-季度经营税费!CN65-CN11+CN17+季度经营税费!CN59+CN12-CN13-CN14-CN15,0)</f>
        <v>0</v>
      </c>
      <c r="CO21" s="9">
        <f>IF(89&lt;=核心参数输入!$B$9*4,季度经营税费!CO68-季度经营税费!CO69-季度经营税费!CO65-CO11+CO17+季度经营税费!CO59+CO12-CO13-CO14-CO15,0)</f>
        <v>0</v>
      </c>
      <c r="CP21" s="9">
        <f>IF(90&lt;=核心参数输入!$B$9*4,季度经营税费!CP68-季度经营税费!CP69-季度经营税费!CP65-CP11+CP17+季度经营税费!CP59+CP12-CP13-CP14-CP15,0)</f>
        <v>0</v>
      </c>
      <c r="CQ21" s="9">
        <f>IF(91&lt;=核心参数输入!$B$9*4,季度经营税费!CQ68-季度经营税费!CQ69-季度经营税费!CQ65-CQ11+CQ17+季度经营税费!CQ59+CQ12-CQ13-CQ14-CQ15,0)</f>
        <v>0</v>
      </c>
      <c r="CR21" s="9">
        <f>IF(92&lt;=核心参数输入!$B$9*4,季度经营税费!CR68-季度经营税费!CR69-季度经营税费!CR65-CR11+CR17+季度经营税费!CR59+CR12-CR13-CR14-CR15,0)</f>
        <v>0</v>
      </c>
      <c r="CS21" s="9">
        <f>IF(93&lt;=核心参数输入!$B$9*4,季度经营税费!CS68-季度经营税费!CS69-季度经营税费!CS65-CS11+CS17+季度经营税费!CS59+CS12-CS13-CS14-CS15,0)</f>
        <v>0</v>
      </c>
      <c r="CT21" s="9">
        <f>IF(94&lt;=核心参数输入!$B$9*4,季度经营税费!CT68-季度经营税费!CT69-季度经营税费!CT65-CT11+CT17+季度经营税费!CT59+CT12-CT13-CT14-CT15,0)</f>
        <v>0</v>
      </c>
      <c r="CU21" s="9">
        <f>IF(95&lt;=核心参数输入!$B$9*4,季度经营税费!CU68-季度经营税费!CU69-季度经营税费!CU65-CU11+CU17+季度经营税费!CU59+CU12-CU13-CU14-CU15,0)</f>
        <v>0</v>
      </c>
      <c r="CV21" s="9">
        <f>IF(96&lt;=核心参数输入!$B$9*4,季度经营税费!CV68-季度经营税费!CV69-季度经营税费!CV65-CV11+CV17+季度经营税费!CV59+CV12-CV13-CV14-CV15,0)</f>
        <v>0</v>
      </c>
      <c r="CW21" s="9">
        <f>IF(97&lt;=核心参数输入!$B$9*4,季度经营税费!CW68-季度经营税费!CW69-季度经营税费!CW65-CW11+CW17+季度经营税费!CW59+CW12-CW13-CW14-CW15,0)</f>
        <v>0</v>
      </c>
      <c r="CX21" s="9">
        <f>IF(98&lt;=核心参数输入!$B$9*4,季度经营税费!CX68-季度经营税费!CX69-季度经营税费!CX65-CX11+CX17+季度经营税费!CX59+CX12-CX13-CX14-CX15,0)</f>
        <v>0</v>
      </c>
      <c r="CY21" s="9">
        <f>IF(99&lt;=核心参数输入!$B$9*4,季度经营税费!CY68-季度经营税费!CY69-季度经营税费!CY65-CY11+CY17+季度经营税费!CY59+CY12-CY13-CY14-CY15,0)</f>
        <v>0</v>
      </c>
      <c r="CZ21" s="9">
        <f>IF(100&lt;=核心参数输入!$B$9*4,季度经营税费!CZ68-季度经营税费!CZ69-季度经营税费!CZ65-CZ11+CZ17+季度经营税费!CZ59+CZ12-CZ13-CZ14-CZ15,0)</f>
        <v>0</v>
      </c>
      <c r="DA21" s="9">
        <f>IF(101&lt;=核心参数输入!$B$9*4,季度经营税费!DA68-季度经营税费!DA69-季度经营税费!DA65-DA11+DA17+季度经营税费!DA59+DA12-DA13-DA14-DA15,0)</f>
        <v>0</v>
      </c>
      <c r="DB21" s="9">
        <f>IF(102&lt;=核心参数输入!$B$9*4,季度经营税费!DB68-季度经营税费!DB69-季度经营税费!DB65-DB11+DB17+季度经营税费!DB59+DB12-DB13-DB14-DB15,0)</f>
        <v>0</v>
      </c>
      <c r="DC21" s="9">
        <f>IF(103&lt;=核心参数输入!$B$9*4,季度经营税费!DC68-季度经营税费!DC69-季度经营税费!DC65-DC11+DC17+季度经营税费!DC59+DC12-DC13-DC14-DC15,0)</f>
        <v>0</v>
      </c>
      <c r="DD21" s="9">
        <f>IF(104&lt;=核心参数输入!$B$9*4,季度经营税费!DD68-季度经营税费!DD69-季度经营税费!DD65-DD11+DD17+季度经营税费!DD59+DD12-DD13-DD14-DD15,0)</f>
        <v>0</v>
      </c>
      <c r="DE21" s="9">
        <f>IF(105&lt;=核心参数输入!$B$9*4,季度经营税费!DE68-季度经营税费!DE69-季度经营税费!DE65-DE11+DE17+季度经营税费!DE59+DE12-DE13-DE14-DE15,0)</f>
        <v>0</v>
      </c>
      <c r="DF21" s="9">
        <f>IF(106&lt;=核心参数输入!$B$9*4,季度经营税费!DF68-季度经营税费!DF69-季度经营税费!DF65-DF11+DF17+季度经营税费!DF59+DF12-DF13-DF14-DF15,0)</f>
        <v>0</v>
      </c>
      <c r="DG21" s="9">
        <f>IF(107&lt;=核心参数输入!$B$9*4,季度经营税费!DG68-季度经营税费!DG69-季度经营税费!DG65-DG11+DG17+季度经营税费!DG59+DG12-DG13-DG14-DG15,0)</f>
        <v>0</v>
      </c>
      <c r="DH21" s="9">
        <f>IF(108&lt;=核心参数输入!$B$9*4,季度经营税费!DH68-季度经营税费!DH69-季度经营税费!DH65-DH11+DH17+季度经营税费!DH59+DH12-DH13-DH14-DH15,0)</f>
        <v>0</v>
      </c>
      <c r="DI21" s="9">
        <f>IF(109&lt;=核心参数输入!$B$9*4,季度经营税费!DI68-季度经营税费!DI69-季度经营税费!DI65-DI11+DI17+季度经营税费!DI59+DI12-DI13-DI14-DI15,0)</f>
        <v>0</v>
      </c>
      <c r="DJ21" s="9">
        <f>IF(110&lt;=核心参数输入!$B$9*4,季度经营税费!DJ68-季度经营税费!DJ69-季度经营税费!DJ65-DJ11+DJ17+季度经营税费!DJ59+DJ12-DJ13-DJ14-DJ15,0)</f>
        <v>0</v>
      </c>
      <c r="DK21" s="9">
        <f>IF(111&lt;=核心参数输入!$B$9*4,季度经营税费!DK68-季度经营税费!DK69-季度经营税费!DK65-DK11+DK17+季度经营税费!DK59+DK12-DK13-DK14-DK15,0)</f>
        <v>0</v>
      </c>
      <c r="DL21" s="9">
        <f>IF(112&lt;=核心参数输入!$B$9*4,季度经营税费!DL68-季度经营税费!DL69-季度经营税费!DL65-DL11+DL17+季度经营税费!DL59+DL12-DL13-DL14-DL15,0)</f>
        <v>0</v>
      </c>
      <c r="DM21" s="9">
        <f>IF(113&lt;=核心参数输入!$B$9*4,季度经营税费!DM68-季度经营税费!DM69-季度经营税费!DM65-DM11+DM17+季度经营税费!DM59+DM12-DM13-DM14-DM15,0)</f>
        <v>0</v>
      </c>
      <c r="DN21" s="9">
        <f>IF(114&lt;=核心参数输入!$B$9*4,季度经营税费!DN68-季度经营税费!DN69-季度经营税费!DN65-DN11+DN17+季度经营税费!DN59+DN12-DN13-DN14-DN15,0)</f>
        <v>0</v>
      </c>
      <c r="DO21" s="9">
        <f>IF(115&lt;=核心参数输入!$B$9*4,季度经营税费!DO68-季度经营税费!DO69-季度经营税费!DO65-DO11+DO17+季度经营税费!DO59+DO12-DO13-DO14-DO15,0)</f>
        <v>0</v>
      </c>
      <c r="DP21" s="9">
        <f>IF(116&lt;=核心参数输入!$B$9*4,季度经营税费!DP68-季度经营税费!DP69-季度经营税费!DP65-DP11+DP17+季度经营税费!DP59+DP12-DP13-DP14-DP15,0)</f>
        <v>0</v>
      </c>
      <c r="DQ21" s="9">
        <f>IF(117&lt;=核心参数输入!$B$9*4,季度经营税费!DQ68-季度经营税费!DQ69-季度经营税费!DQ65-DQ11+DQ17+季度经营税费!DQ59+DQ12-DQ13-DQ14-DQ15,0)</f>
        <v>0</v>
      </c>
      <c r="DR21" s="9">
        <f>IF(118&lt;=核心参数输入!$B$9*4,季度经营税费!DR68-季度经营税费!DR69-季度经营税费!DR65-DR11+DR17+季度经营税费!DR59+DR12-DR13-DR14-DR15,0)</f>
        <v>0</v>
      </c>
      <c r="DS21" s="9">
        <f>IF(119&lt;=核心参数输入!$B$9*4,季度经营税费!DS68-季度经营税费!DS69-季度经营税费!DS65-DS11+DS17+季度经营税费!DS59+DS12-DS13-DS14-DS15,0)</f>
        <v>0</v>
      </c>
      <c r="DT21" s="9">
        <f>IF(120&lt;=核心参数输入!$B$9*4,季度经营税费!DT68-季度经营税费!DT69-季度经营税费!DT65-DT11+DT17+季度经营税费!DT59+DT12-DT13-DT14-DT15,0)</f>
        <v>0</v>
      </c>
    </row>
    <row r="22" spans="1:124" ht="21" customHeight="1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</row>
    <row r="23" spans="1:124" ht="21" customHeight="1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</row>
    <row r="24" spans="1:124" ht="21" customHeight="1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</row>
    <row r="25" spans="1:124" ht="21" customHeight="1">
      <c r="A25" s="8" t="s">
        <v>521</v>
      </c>
      <c r="B25" s="8" t="s">
        <v>39</v>
      </c>
      <c r="C25" s="8"/>
      <c r="D25" s="9">
        <f>IF(0&lt;=核心参数输入!$B$9*4,IF(0&lt;核心参数输入!$B$9*4,MAX(0,季度现金流!E25-季度现金流!E20),0),0)</f>
        <v>24810</v>
      </c>
      <c r="E25" s="9">
        <f>IF(1&lt;=核心参数输入!$B$9*4,IF(1&lt;核心参数输入!$B$9*4,MAX(0,季度现金流!F25-季度现金流!F20),0),0)</f>
        <v>23079.1875</v>
      </c>
      <c r="F25" s="9">
        <f>IF(2&lt;=核心参数输入!$B$9*4,IF(2&lt;核心参数输入!$B$9*4,MAX(0,季度现金流!G25-季度现金流!G20),0),0)</f>
        <v>21324.75</v>
      </c>
      <c r="G25" s="9">
        <f>IF(3&lt;=核心参数输入!$B$9*4,IF(3&lt;核心参数输入!$B$9*4,MAX(0,季度现金流!H25-季度现金流!H20),0),0)</f>
        <v>19546.6875</v>
      </c>
      <c r="H25" s="9">
        <f>IF(4&lt;=核心参数输入!$B$9*4,IF(4&lt;核心参数输入!$B$9*4,MAX(0,季度现金流!I25-季度现金流!I20),0),0)</f>
        <v>17745</v>
      </c>
      <c r="I25" s="9">
        <f>IF(5&lt;=核心参数输入!$B$9*4,IF(5&lt;核心参数输入!$B$9*4,MAX(0,季度现金流!J25-季度现金流!J20),0),0)</f>
        <v>15342.75</v>
      </c>
      <c r="J25" s="9">
        <f>IF(6&lt;=核心参数输入!$B$9*4,IF(6&lt;核心参数输入!$B$9*4,MAX(0,季度现金流!K25-季度现金流!K20),0),0)</f>
        <v>12909</v>
      </c>
      <c r="K25" s="9">
        <f>IF(7&lt;=核心参数输入!$B$9*4,IF(7&lt;核心参数输入!$B$9*4,MAX(0,季度现金流!L25-季度现金流!L20),0),0)</f>
        <v>10443.75</v>
      </c>
      <c r="L25" s="9">
        <f>IF(8&lt;=核心参数输入!$B$9*4,IF(8&lt;核心参数输入!$B$9*4,MAX(0,季度现金流!M25-季度现金流!M20),0),0)</f>
        <v>7947</v>
      </c>
      <c r="M25" s="9">
        <f>IF(9&lt;=核心参数输入!$B$9*4,IF(9&lt;核心参数输入!$B$9*4,MAX(0,季度现金流!N25-季度现金流!N20),0),0)</f>
        <v>5995.6875</v>
      </c>
      <c r="N25" s="9">
        <f>IF(10&lt;=核心参数输入!$B$9*4,IF(10&lt;核心参数输入!$B$9*4,MAX(0,季度现金流!O25-季度现金流!O20),0),0)</f>
        <v>4020.75</v>
      </c>
      <c r="O25" s="9">
        <f>IF(11&lt;=核心参数输入!$B$9*4,IF(11&lt;核心参数输入!$B$9*4,MAX(0,季度现金流!P25-季度现金流!P20),0),0)</f>
        <v>2022.1875</v>
      </c>
      <c r="P25" s="9">
        <f>IF(12&lt;=核心参数输入!$B$9*4,IF(12&lt;核心参数输入!$B$9*4,MAX(0,季度现金流!Q25-季度现金流!Q20),0),0)</f>
        <v>0</v>
      </c>
      <c r="Q25" s="9">
        <f>IF(13&lt;=核心参数输入!$B$9*4,IF(13&lt;核心参数输入!$B$9*4,MAX(0,季度现金流!R25-季度现金流!R20),0),0)</f>
        <v>0</v>
      </c>
      <c r="R25" s="9">
        <f>IF(14&lt;=核心参数输入!$B$9*4,IF(14&lt;核心参数输入!$B$9*4,MAX(0,季度现金流!S25-季度现金流!S20),0),0)</f>
        <v>0</v>
      </c>
      <c r="S25" s="9">
        <f>IF(15&lt;=核心参数输入!$B$9*4,IF(15&lt;核心参数输入!$B$9*4,MAX(0,季度现金流!T25-季度现金流!T20),0),0)</f>
        <v>1396.0439441049111</v>
      </c>
      <c r="T25" s="9">
        <f>IF(16&lt;=核心参数输入!$B$9*4,IF(16&lt;核心参数输入!$B$9*4,MAX(0,季度现金流!U25-季度现金流!U20),0),0)</f>
        <v>0</v>
      </c>
      <c r="U25" s="9">
        <f>IF(17&lt;=核心参数输入!$B$9*4,IF(17&lt;核心参数输入!$B$9*4,MAX(0,季度现金流!V25-季度现金流!V20),0),0)</f>
        <v>0</v>
      </c>
      <c r="V25" s="9">
        <f>IF(18&lt;=核心参数输入!$B$9*4,IF(18&lt;核心参数输入!$B$9*4,MAX(0,季度现金流!W25-季度现金流!W20),0),0)</f>
        <v>1646.6951831907027</v>
      </c>
      <c r="W25" s="9">
        <f>IF(19&lt;=核心参数输入!$B$9*4,IF(19&lt;核心参数输入!$B$9*4,MAX(0,季度现金流!X25-季度现金流!X20),0),0)</f>
        <v>5807.7050272628276</v>
      </c>
      <c r="X25" s="9">
        <f>IF(20&lt;=核心参数输入!$B$9*4,IF(20&lt;核心参数输入!$B$9*4,MAX(0,季度现金流!Y25-季度现金流!Y20),0),0)</f>
        <v>5240.868945569996</v>
      </c>
      <c r="Y25" s="9">
        <f>IF(21&lt;=核心参数输入!$B$9*4,IF(21&lt;核心参数输入!$B$9*4,MAX(0,季度现金流!Z25-季度现金流!Z20),0),0)</f>
        <v>8772.0717497241949</v>
      </c>
      <c r="Z25" s="9">
        <f>IF(22&lt;=核心参数输入!$B$9*4,IF(22&lt;核心参数输入!$B$9*4,MAX(0,季度现金流!AA25-季度现金流!AA20),0),0)</f>
        <v>11959.301231578203</v>
      </c>
      <c r="AA25" s="9">
        <f>IF(23&lt;=核心参数输入!$B$9*4,IF(23&lt;核心参数输入!$B$9*4,MAX(0,季度现金流!AB25-季度现金流!AB20),0),0)</f>
        <v>15161.955365746333</v>
      </c>
      <c r="AB25" s="9">
        <f>IF(24&lt;=核心参数输入!$B$9*4,IF(24&lt;核心参数输入!$B$9*4,MAX(0,季度现金流!AC25-季度现金流!AC20),0),0)</f>
        <v>13721.068877349653</v>
      </c>
      <c r="AC25" s="9">
        <f>IF(25&lt;=核心参数输入!$B$9*4,IF(25&lt;核心参数输入!$B$9*4,MAX(0,季度现金流!AD25-季度现金流!AD20),0),0)</f>
        <v>14849.426350540474</v>
      </c>
      <c r="AD25" s="9">
        <f>IF(26&lt;=核心参数输入!$B$9*4,IF(26&lt;核心参数输入!$B$9*4,MAX(0,季度现金流!AE25-季度现金流!AE20),0),0)</f>
        <v>14902.314921797184</v>
      </c>
      <c r="AE25" s="9">
        <f>IF(27&lt;=核心参数输入!$B$9*4,IF(27&lt;核心参数输入!$B$9*4,MAX(0,季度现金流!AF25-季度现金流!AF20),0),0)</f>
        <v>14960.422167086839</v>
      </c>
      <c r="AF25" s="9">
        <f>IF(28&lt;=核心参数输入!$B$9*4,IF(28&lt;核心参数输入!$B$9*4,MAX(0,季度现金流!AG25-季度现金流!AG20),0),0)</f>
        <v>10760.533800695153</v>
      </c>
      <c r="AG25" s="9">
        <f>IF(29&lt;=核心参数输入!$B$9*4,IF(29&lt;核心参数输入!$B$9*4,MAX(0,季度现金流!AH25-季度现金流!AH20),0),0)</f>
        <v>10878.083609951031</v>
      </c>
      <c r="AH25" s="9">
        <f>IF(30&lt;=核心参数输入!$B$9*4,IF(30&lt;核心参数输入!$B$9*4,MAX(0,季度现金流!AI25-季度现金流!AI20),0),0)</f>
        <v>10998.281896278628</v>
      </c>
      <c r="AI25" s="9">
        <f>IF(31&lt;=核心参数输入!$B$9*4,IF(31&lt;核心参数输入!$B$9*4,MAX(0,季度现金流!AJ25-季度现金流!AJ20),0),0)</f>
        <v>11118.480182606225</v>
      </c>
      <c r="AJ25" s="9">
        <f>IF(32&lt;=核心参数输入!$B$9*4,IF(32&lt;核心参数输入!$B$9*4,MAX(0,季度现金流!AK25-季度现金流!AK20),0),0)</f>
        <v>6975.4641832195357</v>
      </c>
      <c r="AK25" s="9">
        <f>IF(33&lt;=核心参数输入!$B$9*4,IF(33&lt;核心参数输入!$B$9*4,MAX(0,季度现金流!AL25-季度现金流!AL20),0),0)</f>
        <v>7144.759531782046</v>
      </c>
      <c r="AL25" s="9">
        <f>IF(34&lt;=核心参数输入!$B$9*4,IF(34&lt;核心参数输入!$B$9*4,MAX(0,季度现金流!AM25-季度现金流!AM20),0),0)</f>
        <v>7314.0548803445563</v>
      </c>
      <c r="AM25" s="9">
        <f>IF(35&lt;=核心参数输入!$B$9*4,IF(35&lt;核心参数输入!$B$9*4,MAX(0,季度现金流!AN25-季度现金流!AN20),0),0)</f>
        <v>7483.3502289070666</v>
      </c>
      <c r="AN25" s="9">
        <f>IF(36&lt;=核心参数输入!$B$9*4,IF(36&lt;核心参数输入!$B$9*4,MAX(0,季度现金流!AO25-季度现金流!AO20),0),0)</f>
        <v>3389.4312917552916</v>
      </c>
      <c r="AO25" s="9">
        <f>IF(37&lt;=核心参数输入!$B$9*4,IF(37&lt;核心参数输入!$B$9*4,MAX(0,季度现金流!AP25-季度现金流!AP20),0),0)</f>
        <v>3607.8770402450396</v>
      </c>
      <c r="AP25" s="9">
        <f>IF(38&lt;=核心参数输入!$B$9*4,IF(38&lt;核心参数输入!$B$9*4,MAX(0,季度现金流!AQ25-季度现金流!AQ20),0),0)</f>
        <v>3826.3227887347875</v>
      </c>
      <c r="AQ25" s="9">
        <f>IF(39&lt;=核心参数输入!$B$9*4,IF(39&lt;核心参数输入!$B$9*4,MAX(0,季度现金流!AR25-季度现金流!AR20),0),0)</f>
        <v>4044.7685372245355</v>
      </c>
      <c r="AR25" s="9">
        <f>IF(40&lt;=核心参数输入!$B$9*4,IF(40&lt;核心参数输入!$B$9*4,MAX(0,季度现金流!AS25-季度现金流!AS20),0),0)</f>
        <v>0</v>
      </c>
      <c r="AS25" s="9">
        <f>IF(41&lt;=核心参数输入!$B$9*4,IF(41&lt;核心参数输入!$B$9*4,MAX(0,季度现金流!AT25-季度现金流!AT20),0),0)</f>
        <v>0</v>
      </c>
      <c r="AT25" s="9">
        <f>IF(42&lt;=核心参数输入!$B$9*4,IF(42&lt;核心参数输入!$B$9*4,MAX(0,季度现金流!AU25-季度现金流!AU20),0),0)</f>
        <v>0</v>
      </c>
      <c r="AU25" s="9">
        <f>IF(43&lt;=核心参数输入!$B$9*4,IF(43&lt;核心参数输入!$B$9*4,MAX(0,季度现金流!AV25-季度现金流!AV20),0),0)</f>
        <v>0</v>
      </c>
      <c r="AV25" s="9">
        <f>IF(44&lt;=核心参数输入!$B$9*4,IF(44&lt;核心参数输入!$B$9*4,MAX(0,季度现金流!AW25-季度现金流!AW20),0),0)</f>
        <v>0</v>
      </c>
      <c r="AW25" s="9">
        <f>IF(45&lt;=核心参数输入!$B$9*4,IF(45&lt;核心参数输入!$B$9*4,MAX(0,季度现金流!AX25-季度现金流!AX20),0),0)</f>
        <v>0</v>
      </c>
      <c r="AX25" s="9">
        <f>IF(46&lt;=核心参数输入!$B$9*4,IF(46&lt;核心参数输入!$B$9*4,MAX(0,季度现金流!AY25-季度现金流!AY20),0),0)</f>
        <v>0</v>
      </c>
      <c r="AY25" s="9">
        <f>IF(47&lt;=核心参数输入!$B$9*4,IF(47&lt;核心参数输入!$B$9*4,MAX(0,季度现金流!AZ25-季度现金流!AZ20),0),0)</f>
        <v>0</v>
      </c>
      <c r="AZ25" s="9">
        <f>IF(48&lt;=核心参数输入!$B$9*4,IF(48&lt;核心参数输入!$B$9*4,MAX(0,季度现金流!BA25-季度现金流!BA20),0),0)</f>
        <v>0</v>
      </c>
      <c r="BA25" s="9">
        <f>IF(49&lt;=核心参数输入!$B$9*4,IF(49&lt;核心参数输入!$B$9*4,MAX(0,季度现金流!BB25-季度现金流!BB20),0),0)</f>
        <v>0</v>
      </c>
      <c r="BB25" s="9">
        <f>IF(50&lt;=核心参数输入!$B$9*4,IF(50&lt;核心参数输入!$B$9*4,MAX(0,季度现金流!BC25-季度现金流!BC20),0),0)</f>
        <v>0</v>
      </c>
      <c r="BC25" s="9">
        <f>IF(51&lt;=核心参数输入!$B$9*4,IF(51&lt;核心参数输入!$B$9*4,MAX(0,季度现金流!BD25-季度现金流!BD20),0),0)</f>
        <v>0</v>
      </c>
      <c r="BD25" s="9">
        <f>IF(52&lt;=核心参数输入!$B$9*4,IF(52&lt;核心参数输入!$B$9*4,MAX(0,季度现金流!BE25-季度现金流!BE20),0),0)</f>
        <v>0</v>
      </c>
      <c r="BE25" s="9">
        <f>IF(53&lt;=核心参数输入!$B$9*4,IF(53&lt;核心参数输入!$B$9*4,MAX(0,季度现金流!BF25-季度现金流!BF20),0),0)</f>
        <v>0</v>
      </c>
      <c r="BF25" s="9">
        <f>IF(54&lt;=核心参数输入!$B$9*4,IF(54&lt;核心参数输入!$B$9*4,MAX(0,季度现金流!BG25-季度现金流!BG20),0),0)</f>
        <v>0</v>
      </c>
      <c r="BG25" s="9">
        <f>IF(55&lt;=核心参数输入!$B$9*4,IF(55&lt;核心参数输入!$B$9*4,MAX(0,季度现金流!BH25-季度现金流!BH20),0),0)</f>
        <v>0</v>
      </c>
      <c r="BH25" s="9">
        <f>IF(56&lt;=核心参数输入!$B$9*4,IF(56&lt;核心参数输入!$B$9*4,MAX(0,季度现金流!BI25-季度现金流!BI20),0),0)</f>
        <v>0</v>
      </c>
      <c r="BI25" s="9">
        <f>IF(57&lt;=核心参数输入!$B$9*4,IF(57&lt;核心参数输入!$B$9*4,MAX(0,季度现金流!BJ25-季度现金流!BJ20),0),0)</f>
        <v>0</v>
      </c>
      <c r="BJ25" s="9">
        <f>IF(58&lt;=核心参数输入!$B$9*4,IF(58&lt;核心参数输入!$B$9*4,MAX(0,季度现金流!BK25-季度现金流!BK20),0),0)</f>
        <v>0</v>
      </c>
      <c r="BK25" s="9">
        <f>IF(59&lt;=核心参数输入!$B$9*4,IF(59&lt;核心参数输入!$B$9*4,MAX(0,季度现金流!BL25-季度现金流!BL20),0),0)</f>
        <v>0</v>
      </c>
      <c r="BL25" s="9">
        <f>IF(60&lt;=核心参数输入!$B$9*4,IF(60&lt;核心参数输入!$B$9*4,MAX(0,季度现金流!BM25-季度现金流!BM20),0),0)</f>
        <v>0</v>
      </c>
      <c r="BM25" s="9">
        <f>IF(61&lt;=核心参数输入!$B$9*4,IF(61&lt;核心参数输入!$B$9*4,MAX(0,季度现金流!BN25-季度现金流!BN20),0),0)</f>
        <v>0</v>
      </c>
      <c r="BN25" s="9">
        <f>IF(62&lt;=核心参数输入!$B$9*4,IF(62&lt;核心参数输入!$B$9*4,MAX(0,季度现金流!BO25-季度现金流!BO20),0),0)</f>
        <v>0</v>
      </c>
      <c r="BO25" s="9">
        <f>IF(63&lt;=核心参数输入!$B$9*4,IF(63&lt;核心参数输入!$B$9*4,MAX(0,季度现金流!BP25-季度现金流!BP20),0),0)</f>
        <v>0</v>
      </c>
      <c r="BP25" s="9">
        <f>IF(64&lt;=核心参数输入!$B$9*4,IF(64&lt;核心参数输入!$B$9*4,MAX(0,季度现金流!BQ25-季度现金流!BQ20),0),0)</f>
        <v>0</v>
      </c>
      <c r="BQ25" s="9">
        <f>IF(65&lt;=核心参数输入!$B$9*4,IF(65&lt;核心参数输入!$B$9*4,MAX(0,季度现金流!BR25-季度现金流!BR20),0),0)</f>
        <v>0</v>
      </c>
      <c r="BR25" s="9">
        <f>IF(66&lt;=核心参数输入!$B$9*4,IF(66&lt;核心参数输入!$B$9*4,MAX(0,季度现金流!BS25-季度现金流!BS20),0),0)</f>
        <v>0</v>
      </c>
      <c r="BS25" s="9">
        <f>IF(67&lt;=核心参数输入!$B$9*4,IF(67&lt;核心参数输入!$B$9*4,MAX(0,季度现金流!BT25-季度现金流!BT20),0),0)</f>
        <v>0</v>
      </c>
      <c r="BT25" s="9">
        <f>IF(68&lt;=核心参数输入!$B$9*4,IF(68&lt;核心参数输入!$B$9*4,MAX(0,季度现金流!BU25-季度现金流!BU20),0),0)</f>
        <v>0</v>
      </c>
      <c r="BU25" s="9">
        <f>IF(69&lt;=核心参数输入!$B$9*4,IF(69&lt;核心参数输入!$B$9*4,MAX(0,季度现金流!BV25-季度现金流!BV20),0),0)</f>
        <v>0</v>
      </c>
      <c r="BV25" s="9">
        <f>IF(70&lt;=核心参数输入!$B$9*4,IF(70&lt;核心参数输入!$B$9*4,MAX(0,季度现金流!BW25-季度现金流!BW20),0),0)</f>
        <v>0</v>
      </c>
      <c r="BW25" s="9">
        <f>IF(71&lt;=核心参数输入!$B$9*4,IF(71&lt;核心参数输入!$B$9*4,MAX(0,季度现金流!BX25-季度现金流!BX20),0),0)</f>
        <v>0</v>
      </c>
      <c r="BX25" s="9">
        <f>IF(72&lt;=核心参数输入!$B$9*4,IF(72&lt;核心参数输入!$B$9*4,MAX(0,季度现金流!BY25-季度现金流!BY20),0),0)</f>
        <v>0</v>
      </c>
      <c r="BY25" s="9">
        <f>IF(73&lt;=核心参数输入!$B$9*4,IF(73&lt;核心参数输入!$B$9*4,MAX(0,季度现金流!BZ25-季度现金流!BZ20),0),0)</f>
        <v>0</v>
      </c>
      <c r="BZ25" s="9">
        <f>IF(74&lt;=核心参数输入!$B$9*4,IF(74&lt;核心参数输入!$B$9*4,MAX(0,季度现金流!CA25-季度现金流!CA20),0),0)</f>
        <v>0</v>
      </c>
      <c r="CA25" s="9">
        <f>IF(75&lt;=核心参数输入!$B$9*4,IF(75&lt;核心参数输入!$B$9*4,MAX(0,季度现金流!CB25-季度现金流!CB20),0),0)</f>
        <v>0</v>
      </c>
      <c r="CB25" s="9">
        <f>IF(76&lt;=核心参数输入!$B$9*4,IF(76&lt;核心参数输入!$B$9*4,MAX(0,季度现金流!CC25-季度现金流!CC20),0),0)</f>
        <v>0</v>
      </c>
      <c r="CC25" s="9">
        <f>IF(77&lt;=核心参数输入!$B$9*4,IF(77&lt;核心参数输入!$B$9*4,MAX(0,季度现金流!CD25-季度现金流!CD20),0),0)</f>
        <v>0</v>
      </c>
      <c r="CD25" s="9">
        <f>IF(78&lt;=核心参数输入!$B$9*4,IF(78&lt;核心参数输入!$B$9*4,MAX(0,季度现金流!CE25-季度现金流!CE20),0),0)</f>
        <v>0</v>
      </c>
      <c r="CE25" s="9">
        <f>IF(79&lt;=核心参数输入!$B$9*4,IF(79&lt;核心参数输入!$B$9*4,MAX(0,季度现金流!CF25-季度现金流!CF20),0),0)</f>
        <v>0</v>
      </c>
      <c r="CF25" s="9">
        <f>IF(80&lt;=核心参数输入!$B$9*4,IF(80&lt;核心参数输入!$B$9*4,MAX(0,季度现金流!CG25-季度现金流!CG20),0),0)</f>
        <v>0</v>
      </c>
      <c r="CG25" s="9">
        <f>IF(81&lt;=核心参数输入!$B$9*4,IF(81&lt;核心参数输入!$B$9*4,MAX(0,季度现金流!CH25-季度现金流!CH20),0),0)</f>
        <v>0</v>
      </c>
      <c r="CH25" s="9">
        <f>IF(82&lt;=核心参数输入!$B$9*4,IF(82&lt;核心参数输入!$B$9*4,MAX(0,季度现金流!CI25-季度现金流!CI20),0),0)</f>
        <v>0</v>
      </c>
      <c r="CI25" s="9">
        <f>IF(83&lt;=核心参数输入!$B$9*4,IF(83&lt;核心参数输入!$B$9*4,MAX(0,季度现金流!CJ25-季度现金流!CJ20),0),0)</f>
        <v>0</v>
      </c>
      <c r="CJ25" s="9">
        <f>IF(84&lt;=核心参数输入!$B$9*4,IF(84&lt;核心参数输入!$B$9*4,MAX(0,季度现金流!CK25-季度现金流!CK20),0),0)</f>
        <v>0</v>
      </c>
      <c r="CK25" s="9">
        <f>IF(85&lt;=核心参数输入!$B$9*4,IF(85&lt;核心参数输入!$B$9*4,MAX(0,季度现金流!CL25-季度现金流!CL20),0),0)</f>
        <v>0</v>
      </c>
      <c r="CL25" s="9">
        <f>IF(86&lt;=核心参数输入!$B$9*4,IF(86&lt;核心参数输入!$B$9*4,MAX(0,季度现金流!CM25-季度现金流!CM20),0),0)</f>
        <v>0</v>
      </c>
      <c r="CM25" s="9">
        <f>IF(87&lt;=核心参数输入!$B$9*4,IF(87&lt;核心参数输入!$B$9*4,MAX(0,季度现金流!CN25-季度现金流!CN20),0),0)</f>
        <v>0</v>
      </c>
      <c r="CN25" s="9">
        <f>IF(88&lt;=核心参数输入!$B$9*4,IF(88&lt;核心参数输入!$B$9*4,MAX(0,季度现金流!CO25-季度现金流!CO20),0),0)</f>
        <v>0</v>
      </c>
      <c r="CO25" s="9">
        <f>IF(89&lt;=核心参数输入!$B$9*4,IF(89&lt;核心参数输入!$B$9*4,MAX(0,季度现金流!CP25-季度现金流!CP20),0),0)</f>
        <v>0</v>
      </c>
      <c r="CP25" s="9">
        <f>IF(90&lt;=核心参数输入!$B$9*4,IF(90&lt;核心参数输入!$B$9*4,MAX(0,季度现金流!CQ25-季度现金流!CQ20),0),0)</f>
        <v>0</v>
      </c>
      <c r="CQ25" s="9">
        <f>IF(91&lt;=核心参数输入!$B$9*4,IF(91&lt;核心参数输入!$B$9*4,MAX(0,季度现金流!CR25-季度现金流!CR20),0),0)</f>
        <v>0</v>
      </c>
      <c r="CR25" s="9">
        <f>IF(92&lt;=核心参数输入!$B$9*4,IF(92&lt;核心参数输入!$B$9*4,MAX(0,季度现金流!CS25-季度现金流!CS20),0),0)</f>
        <v>0</v>
      </c>
      <c r="CS25" s="9">
        <f>IF(93&lt;=核心参数输入!$B$9*4,IF(93&lt;核心参数输入!$B$9*4,MAX(0,季度现金流!CT25-季度现金流!CT20),0),0)</f>
        <v>0</v>
      </c>
      <c r="CT25" s="9">
        <f>IF(94&lt;=核心参数输入!$B$9*4,IF(94&lt;核心参数输入!$B$9*4,MAX(0,季度现金流!CU25-季度现金流!CU20),0),0)</f>
        <v>0</v>
      </c>
      <c r="CU25" s="9">
        <f>IF(95&lt;=核心参数输入!$B$9*4,IF(95&lt;核心参数输入!$B$9*4,MAX(0,季度现金流!CV25-季度现金流!CV20),0),0)</f>
        <v>0</v>
      </c>
      <c r="CV25" s="9">
        <f>IF(96&lt;=核心参数输入!$B$9*4,IF(96&lt;核心参数输入!$B$9*4,MAX(0,季度现金流!CW25-季度现金流!CW20),0),0)</f>
        <v>0</v>
      </c>
      <c r="CW25" s="9">
        <f>IF(97&lt;=核心参数输入!$B$9*4,IF(97&lt;核心参数输入!$B$9*4,MAX(0,季度现金流!CX25-季度现金流!CX20),0),0)</f>
        <v>0</v>
      </c>
      <c r="CX25" s="9">
        <f>IF(98&lt;=核心参数输入!$B$9*4,IF(98&lt;核心参数输入!$B$9*4,MAX(0,季度现金流!CY25-季度现金流!CY20),0),0)</f>
        <v>0</v>
      </c>
      <c r="CY25" s="9">
        <f>IF(99&lt;=核心参数输入!$B$9*4,IF(99&lt;核心参数输入!$B$9*4,MAX(0,季度现金流!CZ25-季度现金流!CZ20),0),0)</f>
        <v>0</v>
      </c>
      <c r="CZ25" s="9">
        <f>IF(100&lt;=核心参数输入!$B$9*4,IF(100&lt;核心参数输入!$B$9*4,MAX(0,季度现金流!DA25-季度现金流!DA20),0),0)</f>
        <v>0</v>
      </c>
      <c r="DA25" s="9">
        <f>IF(101&lt;=核心参数输入!$B$9*4,IF(101&lt;核心参数输入!$B$9*4,MAX(0,季度现金流!DB25-季度现金流!DB20),0),0)</f>
        <v>0</v>
      </c>
      <c r="DB25" s="9">
        <f>IF(102&lt;=核心参数输入!$B$9*4,IF(102&lt;核心参数输入!$B$9*4,MAX(0,季度现金流!DC25-季度现金流!DC20),0),0)</f>
        <v>0</v>
      </c>
      <c r="DC25" s="9">
        <f>IF(103&lt;=核心参数输入!$B$9*4,IF(103&lt;核心参数输入!$B$9*4,MAX(0,季度现金流!DD25-季度现金流!DD20),0),0)</f>
        <v>0</v>
      </c>
      <c r="DD25" s="9">
        <f>IF(104&lt;=核心参数输入!$B$9*4,IF(104&lt;核心参数输入!$B$9*4,MAX(0,季度现金流!DE25-季度现金流!DE20),0),0)</f>
        <v>0</v>
      </c>
      <c r="DE25" s="9">
        <f>IF(105&lt;=核心参数输入!$B$9*4,IF(105&lt;核心参数输入!$B$9*4,MAX(0,季度现金流!DF25-季度现金流!DF20),0),0)</f>
        <v>0</v>
      </c>
      <c r="DF25" s="9">
        <f>IF(106&lt;=核心参数输入!$B$9*4,IF(106&lt;核心参数输入!$B$9*4,MAX(0,季度现金流!DG25-季度现金流!DG20),0),0)</f>
        <v>0</v>
      </c>
      <c r="DG25" s="9">
        <f>IF(107&lt;=核心参数输入!$B$9*4,IF(107&lt;核心参数输入!$B$9*4,MAX(0,季度现金流!DH25-季度现金流!DH20),0),0)</f>
        <v>0</v>
      </c>
      <c r="DH25" s="9">
        <f>IF(108&lt;=核心参数输入!$B$9*4,IF(108&lt;核心参数输入!$B$9*4,MAX(0,季度现金流!DI25-季度现金流!DI20),0),0)</f>
        <v>0</v>
      </c>
      <c r="DI25" s="9">
        <f>IF(109&lt;=核心参数输入!$B$9*4,IF(109&lt;核心参数输入!$B$9*4,MAX(0,季度现金流!DJ25-季度现金流!DJ20),0),0)</f>
        <v>0</v>
      </c>
      <c r="DJ25" s="9">
        <f>IF(110&lt;=核心参数输入!$B$9*4,IF(110&lt;核心参数输入!$B$9*4,MAX(0,季度现金流!DK25-季度现金流!DK20),0),0)</f>
        <v>0</v>
      </c>
      <c r="DK25" s="9">
        <f>IF(111&lt;=核心参数输入!$B$9*4,IF(111&lt;核心参数输入!$B$9*4,MAX(0,季度现金流!DL25-季度现金流!DL20),0),0)</f>
        <v>0</v>
      </c>
      <c r="DL25" s="9">
        <f>IF(112&lt;=核心参数输入!$B$9*4,IF(112&lt;核心参数输入!$B$9*4,MAX(0,季度现金流!DM25-季度现金流!DM20),0),0)</f>
        <v>0</v>
      </c>
      <c r="DM25" s="9">
        <f>IF(113&lt;=核心参数输入!$B$9*4,IF(113&lt;核心参数输入!$B$9*4,MAX(0,季度现金流!DN25-季度现金流!DN20),0),0)</f>
        <v>0</v>
      </c>
      <c r="DN25" s="9">
        <f>IF(114&lt;=核心参数输入!$B$9*4,IF(114&lt;核心参数输入!$B$9*4,MAX(0,季度现金流!DO25-季度现金流!DO20),0),0)</f>
        <v>0</v>
      </c>
      <c r="DO25" s="9">
        <f>IF(115&lt;=核心参数输入!$B$9*4,IF(115&lt;核心参数输入!$B$9*4,MAX(0,季度现金流!DP25-季度现金流!DP20),0),0)</f>
        <v>0</v>
      </c>
      <c r="DP25" s="9">
        <f>IF(116&lt;=核心参数输入!$B$9*4,IF(116&lt;核心参数输入!$B$9*4,MAX(0,季度现金流!DQ25-季度现金流!DQ20),0),0)</f>
        <v>0</v>
      </c>
      <c r="DQ25" s="9">
        <f>IF(117&lt;=核心参数输入!$B$9*4,IF(117&lt;核心参数输入!$B$9*4,MAX(0,季度现金流!DR25-季度现金流!DR20),0),0)</f>
        <v>0</v>
      </c>
      <c r="DR25" s="9">
        <f>IF(118&lt;=核心参数输入!$B$9*4,IF(118&lt;核心参数输入!$B$9*4,MAX(0,季度现金流!DS25-季度现金流!DS20),0),0)</f>
        <v>0</v>
      </c>
      <c r="DS25" s="9">
        <f>IF(119&lt;=核心参数输入!$B$9*4,IF(119&lt;核心参数输入!$B$9*4,MAX(0,季度现金流!DT25-季度现金流!DT20),0),0)</f>
        <v>0</v>
      </c>
      <c r="DT25" s="9">
        <f>IF(120&lt;=核心参数输入!$B$9*4,0,0)</f>
        <v>0</v>
      </c>
    </row>
    <row r="26" spans="1:124" ht="21" customHeight="1">
      <c r="A26" s="8" t="s">
        <v>522</v>
      </c>
      <c r="B26" s="8" t="s">
        <v>39</v>
      </c>
      <c r="C26" s="8"/>
      <c r="D26" s="9">
        <f>IF(0&lt;=核心参数输入!$B$9*4,0,0)</f>
        <v>0</v>
      </c>
      <c r="E26" s="9">
        <f>IF(1&lt;=核心参数输入!$B$9*4,季度现金流!D29,0)</f>
        <v>0</v>
      </c>
      <c r="F26" s="9">
        <f>IF(2&lt;=核心参数输入!$B$9*4,季度现金流!E29,0)</f>
        <v>0</v>
      </c>
      <c r="G26" s="9">
        <f>IF(3&lt;=核心参数输入!$B$9*4,季度现金流!F29,0)</f>
        <v>0</v>
      </c>
      <c r="H26" s="9">
        <f>IF(4&lt;=核心参数输入!$B$9*4,季度现金流!G29,0)</f>
        <v>0</v>
      </c>
      <c r="I26" s="9">
        <f>IF(5&lt;=核心参数输入!$B$9*4,季度现金流!H29,0)</f>
        <v>0</v>
      </c>
      <c r="J26" s="9">
        <f>IF(6&lt;=核心参数输入!$B$9*4,季度现金流!I29,0)</f>
        <v>0</v>
      </c>
      <c r="K26" s="9">
        <f>IF(7&lt;=核心参数输入!$B$9*4,季度现金流!J29,0)</f>
        <v>0</v>
      </c>
      <c r="L26" s="9">
        <f>IF(8&lt;=核心参数输入!$B$9*4,季度现金流!K29,0)</f>
        <v>0</v>
      </c>
      <c r="M26" s="9">
        <f>IF(9&lt;=核心参数输入!$B$9*4,季度现金流!L29,0)</f>
        <v>0</v>
      </c>
      <c r="N26" s="9">
        <f>IF(10&lt;=核心参数输入!$B$9*4,季度现金流!M29,0)</f>
        <v>0</v>
      </c>
      <c r="O26" s="9">
        <f>IF(11&lt;=核心参数输入!$B$9*4,季度现金流!N29,0)</f>
        <v>0</v>
      </c>
      <c r="P26" s="9">
        <f>IF(12&lt;=核心参数输入!$B$9*4,季度现金流!O29,0)</f>
        <v>0</v>
      </c>
      <c r="Q26" s="9">
        <f>IF(13&lt;=核心参数输入!$B$9*4,季度现金流!P29,0)</f>
        <v>0</v>
      </c>
      <c r="R26" s="9">
        <f>IF(14&lt;=核心参数输入!$B$9*4,季度现金流!Q29,0)</f>
        <v>0</v>
      </c>
      <c r="S26" s="9">
        <f>IF(15&lt;=核心参数输入!$B$9*4,季度现金流!R29,0)</f>
        <v>0</v>
      </c>
      <c r="T26" s="9">
        <f>IF(16&lt;=核心参数输入!$B$9*4,季度现金流!S29,0)</f>
        <v>1396.0439441049111</v>
      </c>
      <c r="U26" s="9">
        <f>IF(17&lt;=核心参数输入!$B$9*4,季度现金流!T29,0)</f>
        <v>0</v>
      </c>
      <c r="V26" s="9">
        <f>IF(18&lt;=核心参数输入!$B$9*4,季度现金流!U29,0)</f>
        <v>0</v>
      </c>
      <c r="W26" s="9">
        <f>IF(19&lt;=核心参数输入!$B$9*4,季度现金流!V29,0)</f>
        <v>1646.6951831907027</v>
      </c>
      <c r="X26" s="9">
        <f>IF(20&lt;=核心参数输入!$B$9*4,季度现金流!W29,0)</f>
        <v>5807.7050272628276</v>
      </c>
      <c r="Y26" s="9">
        <f>IF(21&lt;=核心参数输入!$B$9*4,季度现金流!X29,0)</f>
        <v>5240.868945569995</v>
      </c>
      <c r="Z26" s="9">
        <f>IF(22&lt;=核心参数输入!$B$9*4,季度现金流!Y29,0)</f>
        <v>8772.0717497241931</v>
      </c>
      <c r="AA26" s="9">
        <f>IF(23&lt;=核心参数输入!$B$9*4,季度现金流!Z29,0)</f>
        <v>11959.301231578202</v>
      </c>
      <c r="AB26" s="9">
        <f>IF(24&lt;=核心参数输入!$B$9*4,季度现金流!AA29,0)</f>
        <v>15161.955365746333</v>
      </c>
      <c r="AC26" s="9">
        <f>IF(25&lt;=核心参数输入!$B$9*4,季度现金流!AB29,0)</f>
        <v>13721.068877349653</v>
      </c>
      <c r="AD26" s="9">
        <f>IF(26&lt;=核心参数输入!$B$9*4,季度现金流!AC29,0)</f>
        <v>14849.426350540474</v>
      </c>
      <c r="AE26" s="9">
        <f>IF(27&lt;=核心参数输入!$B$9*4,季度现金流!AD29,0)</f>
        <v>14902.314921797184</v>
      </c>
      <c r="AF26" s="9">
        <f>IF(28&lt;=核心参数输入!$B$9*4,季度现金流!AE29,0)</f>
        <v>14960.422167086839</v>
      </c>
      <c r="AG26" s="9">
        <f>IF(29&lt;=核心参数输入!$B$9*4,季度现金流!AF29,0)</f>
        <v>10760.533800695153</v>
      </c>
      <c r="AH26" s="9">
        <f>IF(30&lt;=核心参数输入!$B$9*4,季度现金流!AG29,0)</f>
        <v>10878.083609951031</v>
      </c>
      <c r="AI26" s="9">
        <f>IF(31&lt;=核心参数输入!$B$9*4,季度现金流!AH29,0)</f>
        <v>10998.281896278628</v>
      </c>
      <c r="AJ26" s="9">
        <f>IF(32&lt;=核心参数输入!$B$9*4,季度现金流!AI29,0)</f>
        <v>11118.480182606225</v>
      </c>
      <c r="AK26" s="9">
        <f>IF(33&lt;=核心参数输入!$B$9*4,季度现金流!AJ29,0)</f>
        <v>6975.4641832195357</v>
      </c>
      <c r="AL26" s="9">
        <f>IF(34&lt;=核心参数输入!$B$9*4,季度现金流!AK29,0)</f>
        <v>7144.759531782046</v>
      </c>
      <c r="AM26" s="9">
        <f>IF(35&lt;=核心参数输入!$B$9*4,季度现金流!AL29,0)</f>
        <v>7314.0548803445563</v>
      </c>
      <c r="AN26" s="9">
        <f>IF(36&lt;=核心参数输入!$B$9*4,季度现金流!AM29,0)</f>
        <v>7483.3502289070666</v>
      </c>
      <c r="AO26" s="9">
        <f>IF(37&lt;=核心参数输入!$B$9*4,季度现金流!AN29,0)</f>
        <v>3389.4312917552916</v>
      </c>
      <c r="AP26" s="9">
        <f>IF(38&lt;=核心参数输入!$B$9*4,季度现金流!AO29,0)</f>
        <v>3607.8770402450396</v>
      </c>
      <c r="AQ26" s="9">
        <f>IF(39&lt;=核心参数输入!$B$9*4,季度现金流!AP29,0)</f>
        <v>3826.3227887347875</v>
      </c>
      <c r="AR26" s="9">
        <f>IF(40&lt;=核心参数输入!$B$9*4,季度现金流!AQ29,0)</f>
        <v>4044.7685372245355</v>
      </c>
      <c r="AS26" s="9">
        <f>IF(41&lt;=核心参数输入!$B$9*4,季度现金流!AR29,0)</f>
        <v>0</v>
      </c>
      <c r="AT26" s="9">
        <f>IF(42&lt;=核心参数输入!$B$9*4,季度现金流!AS29,0)</f>
        <v>0</v>
      </c>
      <c r="AU26" s="9">
        <f>IF(43&lt;=核心参数输入!$B$9*4,季度现金流!AT29,0)</f>
        <v>0</v>
      </c>
      <c r="AV26" s="9">
        <f>IF(44&lt;=核心参数输入!$B$9*4,季度现金流!AU29,0)</f>
        <v>0</v>
      </c>
      <c r="AW26" s="9">
        <f>IF(45&lt;=核心参数输入!$B$9*4,季度现金流!AV29,0)</f>
        <v>0</v>
      </c>
      <c r="AX26" s="9">
        <f>IF(46&lt;=核心参数输入!$B$9*4,季度现金流!AW29,0)</f>
        <v>0</v>
      </c>
      <c r="AY26" s="9">
        <f>IF(47&lt;=核心参数输入!$B$9*4,季度现金流!AX29,0)</f>
        <v>0</v>
      </c>
      <c r="AZ26" s="9">
        <f>IF(48&lt;=核心参数输入!$B$9*4,季度现金流!AY29,0)</f>
        <v>0</v>
      </c>
      <c r="BA26" s="9">
        <f>IF(49&lt;=核心参数输入!$B$9*4,季度现金流!AZ29,0)</f>
        <v>0</v>
      </c>
      <c r="BB26" s="9">
        <f>IF(50&lt;=核心参数输入!$B$9*4,季度现金流!BA29,0)</f>
        <v>0</v>
      </c>
      <c r="BC26" s="9">
        <f>IF(51&lt;=核心参数输入!$B$9*4,季度现金流!BB29,0)</f>
        <v>0</v>
      </c>
      <c r="BD26" s="9">
        <f>IF(52&lt;=核心参数输入!$B$9*4,季度现金流!BC29,0)</f>
        <v>0</v>
      </c>
      <c r="BE26" s="9">
        <f>IF(53&lt;=核心参数输入!$B$9*4,季度现金流!BD29,0)</f>
        <v>0</v>
      </c>
      <c r="BF26" s="9">
        <f>IF(54&lt;=核心参数输入!$B$9*4,季度现金流!BE29,0)</f>
        <v>0</v>
      </c>
      <c r="BG26" s="9">
        <f>IF(55&lt;=核心参数输入!$B$9*4,季度现金流!BF29,0)</f>
        <v>0</v>
      </c>
      <c r="BH26" s="9">
        <f>IF(56&lt;=核心参数输入!$B$9*4,季度现金流!BG29,0)</f>
        <v>0</v>
      </c>
      <c r="BI26" s="9">
        <f>IF(57&lt;=核心参数输入!$B$9*4,季度现金流!BH29,0)</f>
        <v>0</v>
      </c>
      <c r="BJ26" s="9">
        <f>IF(58&lt;=核心参数输入!$B$9*4,季度现金流!BI29,0)</f>
        <v>0</v>
      </c>
      <c r="BK26" s="9">
        <f>IF(59&lt;=核心参数输入!$B$9*4,季度现金流!BJ29,0)</f>
        <v>0</v>
      </c>
      <c r="BL26" s="9">
        <f>IF(60&lt;=核心参数输入!$B$9*4,季度现金流!BK29,0)</f>
        <v>0</v>
      </c>
      <c r="BM26" s="9">
        <f>IF(61&lt;=核心参数输入!$B$9*4,季度现金流!BL29,0)</f>
        <v>0</v>
      </c>
      <c r="BN26" s="9">
        <f>IF(62&lt;=核心参数输入!$B$9*4,季度现金流!BM29,0)</f>
        <v>0</v>
      </c>
      <c r="BO26" s="9">
        <f>IF(63&lt;=核心参数输入!$B$9*4,季度现金流!BN29,0)</f>
        <v>0</v>
      </c>
      <c r="BP26" s="9">
        <f>IF(64&lt;=核心参数输入!$B$9*4,季度现金流!BO29,0)</f>
        <v>0</v>
      </c>
      <c r="BQ26" s="9">
        <f>IF(65&lt;=核心参数输入!$B$9*4,季度现金流!BP29,0)</f>
        <v>0</v>
      </c>
      <c r="BR26" s="9">
        <f>IF(66&lt;=核心参数输入!$B$9*4,季度现金流!BQ29,0)</f>
        <v>0</v>
      </c>
      <c r="BS26" s="9">
        <f>IF(67&lt;=核心参数输入!$B$9*4,季度现金流!BR29,0)</f>
        <v>0</v>
      </c>
      <c r="BT26" s="9">
        <f>IF(68&lt;=核心参数输入!$B$9*4,季度现金流!BS29,0)</f>
        <v>0</v>
      </c>
      <c r="BU26" s="9">
        <f>IF(69&lt;=核心参数输入!$B$9*4,季度现金流!BT29,0)</f>
        <v>0</v>
      </c>
      <c r="BV26" s="9">
        <f>IF(70&lt;=核心参数输入!$B$9*4,季度现金流!BU29,0)</f>
        <v>0</v>
      </c>
      <c r="BW26" s="9">
        <f>IF(71&lt;=核心参数输入!$B$9*4,季度现金流!BV29,0)</f>
        <v>0</v>
      </c>
      <c r="BX26" s="9">
        <f>IF(72&lt;=核心参数输入!$B$9*4,季度现金流!BW29,0)</f>
        <v>0</v>
      </c>
      <c r="BY26" s="9">
        <f>IF(73&lt;=核心参数输入!$B$9*4,季度现金流!BX29,0)</f>
        <v>0</v>
      </c>
      <c r="BZ26" s="9">
        <f>IF(74&lt;=核心参数输入!$B$9*4,季度现金流!BY29,0)</f>
        <v>0</v>
      </c>
      <c r="CA26" s="9">
        <f>IF(75&lt;=核心参数输入!$B$9*4,季度现金流!BZ29,0)</f>
        <v>0</v>
      </c>
      <c r="CB26" s="9">
        <f>IF(76&lt;=核心参数输入!$B$9*4,季度现金流!CA29,0)</f>
        <v>0</v>
      </c>
      <c r="CC26" s="9">
        <f>IF(77&lt;=核心参数输入!$B$9*4,季度现金流!CB29,0)</f>
        <v>0</v>
      </c>
      <c r="CD26" s="9">
        <f>IF(78&lt;=核心参数输入!$B$9*4,季度现金流!CC29,0)</f>
        <v>0</v>
      </c>
      <c r="CE26" s="9">
        <f>IF(79&lt;=核心参数输入!$B$9*4,季度现金流!CD29,0)</f>
        <v>0</v>
      </c>
      <c r="CF26" s="9">
        <f>IF(80&lt;=核心参数输入!$B$9*4,季度现金流!CE29,0)</f>
        <v>0</v>
      </c>
      <c r="CG26" s="9">
        <f>IF(81&lt;=核心参数输入!$B$9*4,季度现金流!CF29,0)</f>
        <v>0</v>
      </c>
      <c r="CH26" s="9">
        <f>IF(82&lt;=核心参数输入!$B$9*4,季度现金流!CG29,0)</f>
        <v>0</v>
      </c>
      <c r="CI26" s="9">
        <f>IF(83&lt;=核心参数输入!$B$9*4,季度现金流!CH29,0)</f>
        <v>0</v>
      </c>
      <c r="CJ26" s="9">
        <f>IF(84&lt;=核心参数输入!$B$9*4,季度现金流!CI29,0)</f>
        <v>0</v>
      </c>
      <c r="CK26" s="9">
        <f>IF(85&lt;=核心参数输入!$B$9*4,季度现金流!CJ29,0)</f>
        <v>0</v>
      </c>
      <c r="CL26" s="9">
        <f>IF(86&lt;=核心参数输入!$B$9*4,季度现金流!CK29,0)</f>
        <v>0</v>
      </c>
      <c r="CM26" s="9">
        <f>IF(87&lt;=核心参数输入!$B$9*4,季度现金流!CL29,0)</f>
        <v>0</v>
      </c>
      <c r="CN26" s="9">
        <f>IF(88&lt;=核心参数输入!$B$9*4,季度现金流!CM29,0)</f>
        <v>0</v>
      </c>
      <c r="CO26" s="9">
        <f>IF(89&lt;=核心参数输入!$B$9*4,季度现金流!CN29,0)</f>
        <v>0</v>
      </c>
      <c r="CP26" s="9">
        <f>IF(90&lt;=核心参数输入!$B$9*4,季度现金流!CO29,0)</f>
        <v>0</v>
      </c>
      <c r="CQ26" s="9">
        <f>IF(91&lt;=核心参数输入!$B$9*4,季度现金流!CP29,0)</f>
        <v>0</v>
      </c>
      <c r="CR26" s="9">
        <f>IF(92&lt;=核心参数输入!$B$9*4,季度现金流!CQ29,0)</f>
        <v>0</v>
      </c>
      <c r="CS26" s="9">
        <f>IF(93&lt;=核心参数输入!$B$9*4,季度现金流!CR29,0)</f>
        <v>0</v>
      </c>
      <c r="CT26" s="9">
        <f>IF(94&lt;=核心参数输入!$B$9*4,季度现金流!CS29,0)</f>
        <v>0</v>
      </c>
      <c r="CU26" s="9">
        <f>IF(95&lt;=核心参数输入!$B$9*4,季度现金流!CT29,0)</f>
        <v>0</v>
      </c>
      <c r="CV26" s="9">
        <f>IF(96&lt;=核心参数输入!$B$9*4,季度现金流!CU29,0)</f>
        <v>0</v>
      </c>
      <c r="CW26" s="9">
        <f>IF(97&lt;=核心参数输入!$B$9*4,季度现金流!CV29,0)</f>
        <v>0</v>
      </c>
      <c r="CX26" s="9">
        <f>IF(98&lt;=核心参数输入!$B$9*4,季度现金流!CW29,0)</f>
        <v>0</v>
      </c>
      <c r="CY26" s="9">
        <f>IF(99&lt;=核心参数输入!$B$9*4,季度现金流!CX29,0)</f>
        <v>0</v>
      </c>
      <c r="CZ26" s="9">
        <f>IF(100&lt;=核心参数输入!$B$9*4,季度现金流!CY29,0)</f>
        <v>0</v>
      </c>
      <c r="DA26" s="9">
        <f>IF(101&lt;=核心参数输入!$B$9*4,季度现金流!CZ29,0)</f>
        <v>0</v>
      </c>
      <c r="DB26" s="9">
        <f>IF(102&lt;=核心参数输入!$B$9*4,季度现金流!DA29,0)</f>
        <v>0</v>
      </c>
      <c r="DC26" s="9">
        <f>IF(103&lt;=核心参数输入!$B$9*4,季度现金流!DB29,0)</f>
        <v>0</v>
      </c>
      <c r="DD26" s="9">
        <f>IF(104&lt;=核心参数输入!$B$9*4,季度现金流!DC29,0)</f>
        <v>0</v>
      </c>
      <c r="DE26" s="9">
        <f>IF(105&lt;=核心参数输入!$B$9*4,季度现金流!DD29,0)</f>
        <v>0</v>
      </c>
      <c r="DF26" s="9">
        <f>IF(106&lt;=核心参数输入!$B$9*4,季度现金流!DE29,0)</f>
        <v>0</v>
      </c>
      <c r="DG26" s="9">
        <f>IF(107&lt;=核心参数输入!$B$9*4,季度现金流!DF29,0)</f>
        <v>0</v>
      </c>
      <c r="DH26" s="9">
        <f>IF(108&lt;=核心参数输入!$B$9*4,季度现金流!DG29,0)</f>
        <v>0</v>
      </c>
      <c r="DI26" s="9">
        <f>IF(109&lt;=核心参数输入!$B$9*4,季度现金流!DH29,0)</f>
        <v>0</v>
      </c>
      <c r="DJ26" s="9">
        <f>IF(110&lt;=核心参数输入!$B$9*4,季度现金流!DI29,0)</f>
        <v>0</v>
      </c>
      <c r="DK26" s="9">
        <f>IF(111&lt;=核心参数输入!$B$9*4,季度现金流!DJ29,0)</f>
        <v>0</v>
      </c>
      <c r="DL26" s="9">
        <f>IF(112&lt;=核心参数输入!$B$9*4,季度现金流!DK29,0)</f>
        <v>0</v>
      </c>
      <c r="DM26" s="9">
        <f>IF(113&lt;=核心参数输入!$B$9*4,季度现金流!DL29,0)</f>
        <v>0</v>
      </c>
      <c r="DN26" s="9">
        <f>IF(114&lt;=核心参数输入!$B$9*4,季度现金流!DM29,0)</f>
        <v>0</v>
      </c>
      <c r="DO26" s="9">
        <f>IF(115&lt;=核心参数输入!$B$9*4,季度现金流!DN29,0)</f>
        <v>0</v>
      </c>
      <c r="DP26" s="9">
        <f>IF(116&lt;=核心参数输入!$B$9*4,季度现金流!DO29,0)</f>
        <v>0</v>
      </c>
      <c r="DQ26" s="9">
        <f>IF(117&lt;=核心参数输入!$B$9*4,季度现金流!DP29,0)</f>
        <v>0</v>
      </c>
      <c r="DR26" s="9">
        <f>IF(118&lt;=核心参数输入!$B$9*4,季度现金流!DQ29,0)</f>
        <v>0</v>
      </c>
      <c r="DS26" s="9">
        <f>IF(119&lt;=核心参数输入!$B$9*4,季度现金流!DR29,0)</f>
        <v>0</v>
      </c>
      <c r="DT26" s="9">
        <f>IF(120&lt;=核心参数输入!$B$9*4,季度现金流!DS29,0)</f>
        <v>0</v>
      </c>
    </row>
    <row r="27" spans="1:124" ht="21" customHeight="1">
      <c r="A27" s="8" t="s">
        <v>523</v>
      </c>
      <c r="B27" s="8" t="s">
        <v>39</v>
      </c>
      <c r="C27" s="8"/>
      <c r="D27" s="9">
        <f>IF(0&lt;=核心参数输入!$B$9*4,MAX(0,0-(D26+D20)),0)</f>
        <v>8000</v>
      </c>
      <c r="E27" s="9">
        <f>IF(1&lt;=核心参数输入!$B$9*4,MAX(0,核心参数输入!$B$123-(E26+E20)),0)</f>
        <v>1730.8125</v>
      </c>
      <c r="F27" s="9">
        <f>IF(2&lt;=核心参数输入!$B$9*4,MAX(0,核心参数输入!$B$123-(F26+F20)),0)</f>
        <v>1754.4375</v>
      </c>
      <c r="G27" s="9">
        <f>IF(3&lt;=核心参数输入!$B$9*4,MAX(0,核心参数输入!$B$123-(G26+G20)),0)</f>
        <v>1778.0625</v>
      </c>
      <c r="H27" s="9">
        <f>IF(4&lt;=核心参数输入!$B$9*4,MAX(0,核心参数输入!$B$123-(H26+H20)),0)</f>
        <v>1801.6875</v>
      </c>
      <c r="I27" s="9">
        <f>IF(5&lt;=核心参数输入!$B$9*4,MAX(0,核心参数输入!$B$123-(I26+I20)),0)</f>
        <v>2402.25</v>
      </c>
      <c r="J27" s="9">
        <f>IF(6&lt;=核心参数输入!$B$9*4,MAX(0,核心参数输入!$B$123-(J26+J20)),0)</f>
        <v>2433.75</v>
      </c>
      <c r="K27" s="9">
        <f>IF(7&lt;=核心参数输入!$B$9*4,MAX(0,核心参数输入!$B$123-(K26+K20)),0)</f>
        <v>2465.25</v>
      </c>
      <c r="L27" s="9">
        <f>IF(8&lt;=核心参数输入!$B$9*4,MAX(0,核心参数输入!$B$123-(L26+L20)),0)</f>
        <v>2496.75</v>
      </c>
      <c r="M27" s="9">
        <f>IF(9&lt;=核心参数输入!$B$9*4,MAX(0,核心参数输入!$B$123-(M26+M20)),0)</f>
        <v>1951.3125</v>
      </c>
      <c r="N27" s="9">
        <f>IF(10&lt;=核心参数输入!$B$9*4,MAX(0,核心参数输入!$B$123-(N26+N20)),0)</f>
        <v>1974.9375</v>
      </c>
      <c r="O27" s="9">
        <f>IF(11&lt;=核心参数输入!$B$9*4,MAX(0,核心参数输入!$B$123-(O26+O20)),0)</f>
        <v>1998.5625</v>
      </c>
      <c r="P27" s="9">
        <f>IF(12&lt;=核心参数输入!$B$9*4,MAX(0,核心参数输入!$B$123-(P26+P20)),0)</f>
        <v>2022.1875</v>
      </c>
      <c r="Q27" s="9">
        <f>IF(13&lt;=核心参数输入!$B$9*4,MAX(0,核心参数输入!$B$123-(Q26+Q20)),0)</f>
        <v>0</v>
      </c>
      <c r="R27" s="9">
        <f>IF(14&lt;=核心参数输入!$B$9*4,MAX(0,核心参数输入!$B$123-(R26+R20)),0)</f>
        <v>0</v>
      </c>
      <c r="S27" s="9">
        <f>IF(15&lt;=核心参数输入!$B$9*4,MAX(0,核心参数输入!$B$123-(S26+S20)),0)</f>
        <v>0</v>
      </c>
      <c r="T27" s="9">
        <f>IF(16&lt;=核心参数输入!$B$9*4,MAX(0,核心参数输入!$B$123-(T26+T20)),0)</f>
        <v>0</v>
      </c>
      <c r="U27" s="9">
        <f>IF(17&lt;=核心参数输入!$B$9*4,MAX(0,核心参数输入!$B$123-(U26+U20)),0)</f>
        <v>0</v>
      </c>
      <c r="V27" s="9">
        <f>IF(18&lt;=核心参数输入!$B$9*4,MAX(0,核心参数输入!$B$123-(V26+V20)),0)</f>
        <v>0</v>
      </c>
      <c r="W27" s="9">
        <f>IF(19&lt;=核心参数输入!$B$9*4,MAX(0,核心参数输入!$B$123-(W26+W20)),0)</f>
        <v>0</v>
      </c>
      <c r="X27" s="9">
        <f>IF(20&lt;=核心参数输入!$B$9*4,MAX(0,核心参数输入!$B$123-(X26+X20)),0)</f>
        <v>0</v>
      </c>
      <c r="Y27" s="9">
        <f>IF(21&lt;=核心参数输入!$B$9*4,MAX(0,核心参数输入!$B$123-(Y26+Y20)),0)</f>
        <v>0</v>
      </c>
      <c r="Z27" s="9">
        <f>IF(22&lt;=核心参数输入!$B$9*4,MAX(0,核心参数输入!$B$123-(Z26+Z20)),0)</f>
        <v>0</v>
      </c>
      <c r="AA27" s="9">
        <f>IF(23&lt;=核心参数输入!$B$9*4,MAX(0,核心参数输入!$B$123-(AA26+AA20)),0)</f>
        <v>0</v>
      </c>
      <c r="AB27" s="9">
        <f>IF(24&lt;=核心参数输入!$B$9*4,MAX(0,核心参数输入!$B$123-(AB26+AB20)),0)</f>
        <v>0</v>
      </c>
      <c r="AC27" s="9">
        <f>IF(25&lt;=核心参数输入!$B$9*4,MAX(0,核心参数输入!$B$123-(AC26+AC20)),0)</f>
        <v>0</v>
      </c>
      <c r="AD27" s="9">
        <f>IF(26&lt;=核心参数输入!$B$9*4,MAX(0,核心参数输入!$B$123-(AD26+AD20)),0)</f>
        <v>0</v>
      </c>
      <c r="AE27" s="9">
        <f>IF(27&lt;=核心参数输入!$B$9*4,MAX(0,核心参数输入!$B$123-(AE26+AE20)),0)</f>
        <v>0</v>
      </c>
      <c r="AF27" s="9">
        <f>IF(28&lt;=核心参数输入!$B$9*4,MAX(0,核心参数输入!$B$123-(AF26+AF20)),0)</f>
        <v>0</v>
      </c>
      <c r="AG27" s="9">
        <f>IF(29&lt;=核心参数输入!$B$9*4,MAX(0,核心参数输入!$B$123-(AG26+AG20)),0)</f>
        <v>0</v>
      </c>
      <c r="AH27" s="9">
        <f>IF(30&lt;=核心参数输入!$B$9*4,MAX(0,核心参数输入!$B$123-(AH26+AH20)),0)</f>
        <v>0</v>
      </c>
      <c r="AI27" s="9">
        <f>IF(31&lt;=核心参数输入!$B$9*4,MAX(0,核心参数输入!$B$123-(AI26+AI20)),0)</f>
        <v>0</v>
      </c>
      <c r="AJ27" s="9">
        <f>IF(32&lt;=核心参数输入!$B$9*4,MAX(0,核心参数输入!$B$123-(AJ26+AJ20)),0)</f>
        <v>0</v>
      </c>
      <c r="AK27" s="9">
        <f>IF(33&lt;=核心参数输入!$B$9*4,MAX(0,核心参数输入!$B$123-(AK26+AK20)),0)</f>
        <v>0</v>
      </c>
      <c r="AL27" s="9">
        <f>IF(34&lt;=核心参数输入!$B$9*4,MAX(0,核心参数输入!$B$123-(AL26+AL20)),0)</f>
        <v>0</v>
      </c>
      <c r="AM27" s="9">
        <f>IF(35&lt;=核心参数输入!$B$9*4,MAX(0,核心参数输入!$B$123-(AM26+AM20)),0)</f>
        <v>0</v>
      </c>
      <c r="AN27" s="9">
        <f>IF(36&lt;=核心参数输入!$B$9*4,MAX(0,核心参数输入!$B$123-(AN26+AN20)),0)</f>
        <v>0</v>
      </c>
      <c r="AO27" s="9">
        <f>IF(37&lt;=核心参数输入!$B$9*4,MAX(0,核心参数输入!$B$123-(AO26+AO20)),0)</f>
        <v>0</v>
      </c>
      <c r="AP27" s="9">
        <f>IF(38&lt;=核心参数输入!$B$9*4,MAX(0,核心参数输入!$B$123-(AP26+AP20)),0)</f>
        <v>0</v>
      </c>
      <c r="AQ27" s="9">
        <f>IF(39&lt;=核心参数输入!$B$9*4,MAX(0,核心参数输入!$B$123-(AQ26+AQ20)),0)</f>
        <v>0</v>
      </c>
      <c r="AR27" s="9">
        <f>IF(40&lt;=核心参数输入!$B$9*4,MAX(0,核心参数输入!$B$123-(AR26+AR20)),0)</f>
        <v>0</v>
      </c>
      <c r="AS27" s="9">
        <f>IF(41&lt;=核心参数输入!$B$9*4,MAX(0,核心参数输入!$B$123-(AS26+AS20)),0)</f>
        <v>0</v>
      </c>
      <c r="AT27" s="9">
        <f>IF(42&lt;=核心参数输入!$B$9*4,MAX(0,核心参数输入!$B$123-(AT26+AT20)),0)</f>
        <v>0</v>
      </c>
      <c r="AU27" s="9">
        <f>IF(43&lt;=核心参数输入!$B$9*4,MAX(0,核心参数输入!$B$123-(AU26+AU20)),0)</f>
        <v>0</v>
      </c>
      <c r="AV27" s="9">
        <f>IF(44&lt;=核心参数输入!$B$9*4,MAX(0,核心参数输入!$B$123-(AV26+AV20)),0)</f>
        <v>0</v>
      </c>
      <c r="AW27" s="9">
        <f>IF(45&lt;=核心参数输入!$B$9*4,MAX(0,核心参数输入!$B$123-(AW26+AW20)),0)</f>
        <v>0</v>
      </c>
      <c r="AX27" s="9">
        <f>IF(46&lt;=核心参数输入!$B$9*4,MAX(0,核心参数输入!$B$123-(AX26+AX20)),0)</f>
        <v>0</v>
      </c>
      <c r="AY27" s="9">
        <f>IF(47&lt;=核心参数输入!$B$9*4,MAX(0,核心参数输入!$B$123-(AY26+AY20)),0)</f>
        <v>0</v>
      </c>
      <c r="AZ27" s="9">
        <f>IF(48&lt;=核心参数输入!$B$9*4,MAX(0,核心参数输入!$B$123-(AZ26+AZ20)),0)</f>
        <v>0</v>
      </c>
      <c r="BA27" s="9">
        <f>IF(49&lt;=核心参数输入!$B$9*4,MAX(0,核心参数输入!$B$123-(BA26+BA20)),0)</f>
        <v>0</v>
      </c>
      <c r="BB27" s="9">
        <f>IF(50&lt;=核心参数输入!$B$9*4,MAX(0,核心参数输入!$B$123-(BB26+BB20)),0)</f>
        <v>0</v>
      </c>
      <c r="BC27" s="9">
        <f>IF(51&lt;=核心参数输入!$B$9*4,MAX(0,核心参数输入!$B$123-(BC26+BC20)),0)</f>
        <v>0</v>
      </c>
      <c r="BD27" s="9">
        <f>IF(52&lt;=核心参数输入!$B$9*4,MAX(0,核心参数输入!$B$123-(BD26+BD20)),0)</f>
        <v>0</v>
      </c>
      <c r="BE27" s="9">
        <f>IF(53&lt;=核心参数输入!$B$9*4,MAX(0,核心参数输入!$B$123-(BE26+BE20)),0)</f>
        <v>0</v>
      </c>
      <c r="BF27" s="9">
        <f>IF(54&lt;=核心参数输入!$B$9*4,MAX(0,核心参数输入!$B$123-(BF26+BF20)),0)</f>
        <v>0</v>
      </c>
      <c r="BG27" s="9">
        <f>IF(55&lt;=核心参数输入!$B$9*4,MAX(0,核心参数输入!$B$123-(BG26+BG20)),0)</f>
        <v>0</v>
      </c>
      <c r="BH27" s="9">
        <f>IF(56&lt;=核心参数输入!$B$9*4,MAX(0,核心参数输入!$B$123-(BH26+BH20)),0)</f>
        <v>0</v>
      </c>
      <c r="BI27" s="9">
        <f>IF(57&lt;=核心参数输入!$B$9*4,MAX(0,核心参数输入!$B$123-(BI26+BI20)),0)</f>
        <v>0</v>
      </c>
      <c r="BJ27" s="9">
        <f>IF(58&lt;=核心参数输入!$B$9*4,MAX(0,核心参数输入!$B$123-(BJ26+BJ20)),0)</f>
        <v>0</v>
      </c>
      <c r="BK27" s="9">
        <f>IF(59&lt;=核心参数输入!$B$9*4,MAX(0,核心参数输入!$B$123-(BK26+BK20)),0)</f>
        <v>0</v>
      </c>
      <c r="BL27" s="9">
        <f>IF(60&lt;=核心参数输入!$B$9*4,MAX(0,核心参数输入!$B$123-(BL26+BL20)),0)</f>
        <v>0</v>
      </c>
      <c r="BM27" s="9">
        <f>IF(61&lt;=核心参数输入!$B$9*4,MAX(0,核心参数输入!$B$123-(BM26+BM20)),0)</f>
        <v>0</v>
      </c>
      <c r="BN27" s="9">
        <f>IF(62&lt;=核心参数输入!$B$9*4,MAX(0,核心参数输入!$B$123-(BN26+BN20)),0)</f>
        <v>0</v>
      </c>
      <c r="BO27" s="9">
        <f>IF(63&lt;=核心参数输入!$B$9*4,MAX(0,核心参数输入!$B$123-(BO26+BO20)),0)</f>
        <v>0</v>
      </c>
      <c r="BP27" s="9">
        <f>IF(64&lt;=核心参数输入!$B$9*4,MAX(0,核心参数输入!$B$123-(BP26+BP20)),0)</f>
        <v>0</v>
      </c>
      <c r="BQ27" s="9">
        <f>IF(65&lt;=核心参数输入!$B$9*4,MAX(0,核心参数输入!$B$123-(BQ26+BQ20)),0)</f>
        <v>0</v>
      </c>
      <c r="BR27" s="9">
        <f>IF(66&lt;=核心参数输入!$B$9*4,MAX(0,核心参数输入!$B$123-(BR26+BR20)),0)</f>
        <v>0</v>
      </c>
      <c r="BS27" s="9">
        <f>IF(67&lt;=核心参数输入!$B$9*4,MAX(0,核心参数输入!$B$123-(BS26+BS20)),0)</f>
        <v>0</v>
      </c>
      <c r="BT27" s="9">
        <f>IF(68&lt;=核心参数输入!$B$9*4,MAX(0,核心参数输入!$B$123-(BT26+BT20)),0)</f>
        <v>0</v>
      </c>
      <c r="BU27" s="9">
        <f>IF(69&lt;=核心参数输入!$B$9*4,MAX(0,核心参数输入!$B$123-(BU26+BU20)),0)</f>
        <v>0</v>
      </c>
      <c r="BV27" s="9">
        <f>IF(70&lt;=核心参数输入!$B$9*4,MAX(0,核心参数输入!$B$123-(BV26+BV20)),0)</f>
        <v>0</v>
      </c>
      <c r="BW27" s="9">
        <f>IF(71&lt;=核心参数输入!$B$9*4,MAX(0,核心参数输入!$B$123-(BW26+BW20)),0)</f>
        <v>0</v>
      </c>
      <c r="BX27" s="9">
        <f>IF(72&lt;=核心参数输入!$B$9*4,MAX(0,核心参数输入!$B$123-(BX26+BX20)),0)</f>
        <v>0</v>
      </c>
      <c r="BY27" s="9">
        <f>IF(73&lt;=核心参数输入!$B$9*4,MAX(0,核心参数输入!$B$123-(BY26+BY20)),0)</f>
        <v>0</v>
      </c>
      <c r="BZ27" s="9">
        <f>IF(74&lt;=核心参数输入!$B$9*4,MAX(0,核心参数输入!$B$123-(BZ26+BZ20)),0)</f>
        <v>0</v>
      </c>
      <c r="CA27" s="9">
        <f>IF(75&lt;=核心参数输入!$B$9*4,MAX(0,核心参数输入!$B$123-(CA26+CA20)),0)</f>
        <v>0</v>
      </c>
      <c r="CB27" s="9">
        <f>IF(76&lt;=核心参数输入!$B$9*4,MAX(0,核心参数输入!$B$123-(CB26+CB20)),0)</f>
        <v>0</v>
      </c>
      <c r="CC27" s="9">
        <f>IF(77&lt;=核心参数输入!$B$9*4,MAX(0,核心参数输入!$B$123-(CC26+CC20)),0)</f>
        <v>0</v>
      </c>
      <c r="CD27" s="9">
        <f>IF(78&lt;=核心参数输入!$B$9*4,MAX(0,核心参数输入!$B$123-(CD26+CD20)),0)</f>
        <v>0</v>
      </c>
      <c r="CE27" s="9">
        <f>IF(79&lt;=核心参数输入!$B$9*4,MAX(0,核心参数输入!$B$123-(CE26+CE20)),0)</f>
        <v>0</v>
      </c>
      <c r="CF27" s="9">
        <f>IF(80&lt;=核心参数输入!$B$9*4,MAX(0,核心参数输入!$B$123-(CF26+CF20)),0)</f>
        <v>0</v>
      </c>
      <c r="CG27" s="9">
        <f>IF(81&lt;=核心参数输入!$B$9*4,MAX(0,核心参数输入!$B$123-(CG26+CG20)),0)</f>
        <v>0</v>
      </c>
      <c r="CH27" s="9">
        <f>IF(82&lt;=核心参数输入!$B$9*4,MAX(0,核心参数输入!$B$123-(CH26+CH20)),0)</f>
        <v>0</v>
      </c>
      <c r="CI27" s="9">
        <f>IF(83&lt;=核心参数输入!$B$9*4,MAX(0,核心参数输入!$B$123-(CI26+CI20)),0)</f>
        <v>0</v>
      </c>
      <c r="CJ27" s="9">
        <f>IF(84&lt;=核心参数输入!$B$9*4,MAX(0,核心参数输入!$B$123-(CJ26+CJ20)),0)</f>
        <v>0</v>
      </c>
      <c r="CK27" s="9">
        <f>IF(85&lt;=核心参数输入!$B$9*4,MAX(0,核心参数输入!$B$123-(CK26+CK20)),0)</f>
        <v>0</v>
      </c>
      <c r="CL27" s="9">
        <f>IF(86&lt;=核心参数输入!$B$9*4,MAX(0,核心参数输入!$B$123-(CL26+CL20)),0)</f>
        <v>0</v>
      </c>
      <c r="CM27" s="9">
        <f>IF(87&lt;=核心参数输入!$B$9*4,MAX(0,核心参数输入!$B$123-(CM26+CM20)),0)</f>
        <v>0</v>
      </c>
      <c r="CN27" s="9">
        <f>IF(88&lt;=核心参数输入!$B$9*4,MAX(0,核心参数输入!$B$123-(CN26+CN20)),0)</f>
        <v>0</v>
      </c>
      <c r="CO27" s="9">
        <f>IF(89&lt;=核心参数输入!$B$9*4,MAX(0,核心参数输入!$B$123-(CO26+CO20)),0)</f>
        <v>0</v>
      </c>
      <c r="CP27" s="9">
        <f>IF(90&lt;=核心参数输入!$B$9*4,MAX(0,核心参数输入!$B$123-(CP26+CP20)),0)</f>
        <v>0</v>
      </c>
      <c r="CQ27" s="9">
        <f>IF(91&lt;=核心参数输入!$B$9*4,MAX(0,核心参数输入!$B$123-(CQ26+CQ20)),0)</f>
        <v>0</v>
      </c>
      <c r="CR27" s="9">
        <f>IF(92&lt;=核心参数输入!$B$9*4,MAX(0,核心参数输入!$B$123-(CR26+CR20)),0)</f>
        <v>0</v>
      </c>
      <c r="CS27" s="9">
        <f>IF(93&lt;=核心参数输入!$B$9*4,MAX(0,核心参数输入!$B$123-(CS26+CS20)),0)</f>
        <v>0</v>
      </c>
      <c r="CT27" s="9">
        <f>IF(94&lt;=核心参数输入!$B$9*4,MAX(0,核心参数输入!$B$123-(CT26+CT20)),0)</f>
        <v>0</v>
      </c>
      <c r="CU27" s="9">
        <f>IF(95&lt;=核心参数输入!$B$9*4,MAX(0,核心参数输入!$B$123-(CU26+CU20)),0)</f>
        <v>0</v>
      </c>
      <c r="CV27" s="9">
        <f>IF(96&lt;=核心参数输入!$B$9*4,MAX(0,核心参数输入!$B$123-(CV26+CV20)),0)</f>
        <v>0</v>
      </c>
      <c r="CW27" s="9">
        <f>IF(97&lt;=核心参数输入!$B$9*4,MAX(0,核心参数输入!$B$123-(CW26+CW20)),0)</f>
        <v>0</v>
      </c>
      <c r="CX27" s="9">
        <f>IF(98&lt;=核心参数输入!$B$9*4,MAX(0,核心参数输入!$B$123-(CX26+CX20)),0)</f>
        <v>0</v>
      </c>
      <c r="CY27" s="9">
        <f>IF(99&lt;=核心参数输入!$B$9*4,MAX(0,核心参数输入!$B$123-(CY26+CY20)),0)</f>
        <v>0</v>
      </c>
      <c r="CZ27" s="9">
        <f>IF(100&lt;=核心参数输入!$B$9*4,MAX(0,核心参数输入!$B$123-(CZ26+CZ20)),0)</f>
        <v>0</v>
      </c>
      <c r="DA27" s="9">
        <f>IF(101&lt;=核心参数输入!$B$9*4,MAX(0,核心参数输入!$B$123-(DA26+DA20)),0)</f>
        <v>0</v>
      </c>
      <c r="DB27" s="9">
        <f>IF(102&lt;=核心参数输入!$B$9*4,MAX(0,核心参数输入!$B$123-(DB26+DB20)),0)</f>
        <v>0</v>
      </c>
      <c r="DC27" s="9">
        <f>IF(103&lt;=核心参数输入!$B$9*4,MAX(0,核心参数输入!$B$123-(DC26+DC20)),0)</f>
        <v>0</v>
      </c>
      <c r="DD27" s="9">
        <f>IF(104&lt;=核心参数输入!$B$9*4,MAX(0,核心参数输入!$B$123-(DD26+DD20)),0)</f>
        <v>0</v>
      </c>
      <c r="DE27" s="9">
        <f>IF(105&lt;=核心参数输入!$B$9*4,MAX(0,核心参数输入!$B$123-(DE26+DE20)),0)</f>
        <v>0</v>
      </c>
      <c r="DF27" s="9">
        <f>IF(106&lt;=核心参数输入!$B$9*4,MAX(0,核心参数输入!$B$123-(DF26+DF20)),0)</f>
        <v>0</v>
      </c>
      <c r="DG27" s="9">
        <f>IF(107&lt;=核心参数输入!$B$9*4,MAX(0,核心参数输入!$B$123-(DG26+DG20)),0)</f>
        <v>0</v>
      </c>
      <c r="DH27" s="9">
        <f>IF(108&lt;=核心参数输入!$B$9*4,MAX(0,核心参数输入!$B$123-(DH26+DH20)),0)</f>
        <v>0</v>
      </c>
      <c r="DI27" s="9">
        <f>IF(109&lt;=核心参数输入!$B$9*4,MAX(0,核心参数输入!$B$123-(DI26+DI20)),0)</f>
        <v>0</v>
      </c>
      <c r="DJ27" s="9">
        <f>IF(110&lt;=核心参数输入!$B$9*4,MAX(0,核心参数输入!$B$123-(DJ26+DJ20)),0)</f>
        <v>0</v>
      </c>
      <c r="DK27" s="9">
        <f>IF(111&lt;=核心参数输入!$B$9*4,MAX(0,核心参数输入!$B$123-(DK26+DK20)),0)</f>
        <v>0</v>
      </c>
      <c r="DL27" s="9">
        <f>IF(112&lt;=核心参数输入!$B$9*4,MAX(0,核心参数输入!$B$123-(DL26+DL20)),0)</f>
        <v>0</v>
      </c>
      <c r="DM27" s="9">
        <f>IF(113&lt;=核心参数输入!$B$9*4,MAX(0,核心参数输入!$B$123-(DM26+DM20)),0)</f>
        <v>0</v>
      </c>
      <c r="DN27" s="9">
        <f>IF(114&lt;=核心参数输入!$B$9*4,MAX(0,核心参数输入!$B$123-(DN26+DN20)),0)</f>
        <v>0</v>
      </c>
      <c r="DO27" s="9">
        <f>IF(115&lt;=核心参数输入!$B$9*4,MAX(0,核心参数输入!$B$123-(DO26+DO20)),0)</f>
        <v>0</v>
      </c>
      <c r="DP27" s="9">
        <f>IF(116&lt;=核心参数输入!$B$9*4,MAX(0,核心参数输入!$B$123-(DP26+DP20)),0)</f>
        <v>0</v>
      </c>
      <c r="DQ27" s="9">
        <f>IF(117&lt;=核心参数输入!$B$9*4,MAX(0,核心参数输入!$B$123-(DQ26+DQ20)),0)</f>
        <v>0</v>
      </c>
      <c r="DR27" s="9">
        <f>IF(118&lt;=核心参数输入!$B$9*4,MAX(0,核心参数输入!$B$123-(DR26+DR20)),0)</f>
        <v>0</v>
      </c>
      <c r="DS27" s="9">
        <f>IF(119&lt;=核心参数输入!$B$9*4,MAX(0,核心参数输入!$B$123-(DS26+DS20)),0)</f>
        <v>0</v>
      </c>
      <c r="DT27" s="9">
        <f>IF(120&lt;=核心参数输入!$B$9*4,MAX(0,核心参数输入!$B$123-(DT26+DT20)),0)</f>
        <v>0</v>
      </c>
    </row>
    <row r="28" spans="1:124" ht="21" customHeight="1">
      <c r="A28" s="8" t="s">
        <v>524</v>
      </c>
      <c r="B28" s="8" t="s">
        <v>39</v>
      </c>
      <c r="C28" s="8"/>
      <c r="D28" s="9">
        <f>IF(0&lt;=核心参数输入!$B$9*4,MAX(0,D26+D20+D27-D25-核心参数输入!$B$123),0)</f>
        <v>0</v>
      </c>
      <c r="E28" s="9">
        <f>IF(1&lt;=核心参数输入!$B$9*4,MAX(0,E26+E20+E27-E25-核心参数输入!$B$123),0)</f>
        <v>0</v>
      </c>
      <c r="F28" s="9">
        <f>IF(2&lt;=核心参数输入!$B$9*4,MAX(0,F26+F20+F27-F25-核心参数输入!$B$123),0)</f>
        <v>0</v>
      </c>
      <c r="G28" s="9">
        <f>IF(3&lt;=核心参数输入!$B$9*4,MAX(0,G26+G20+G27-G25-核心参数输入!$B$123),0)</f>
        <v>0</v>
      </c>
      <c r="H28" s="9">
        <f>IF(4&lt;=核心参数输入!$B$9*4,MAX(0,H26+H20+H27-H25-核心参数输入!$B$123),0)</f>
        <v>0</v>
      </c>
      <c r="I28" s="9">
        <f>IF(5&lt;=核心参数输入!$B$9*4,MAX(0,I26+I20+I27-I25-核心参数输入!$B$123),0)</f>
        <v>0</v>
      </c>
      <c r="J28" s="9">
        <f>IF(6&lt;=核心参数输入!$B$9*4,MAX(0,J26+J20+J27-J25-核心参数输入!$B$123),0)</f>
        <v>0</v>
      </c>
      <c r="K28" s="9">
        <f>IF(7&lt;=核心参数输入!$B$9*4,MAX(0,K26+K20+K27-K25-核心参数输入!$B$123),0)</f>
        <v>0</v>
      </c>
      <c r="L28" s="9">
        <f>IF(8&lt;=核心参数输入!$B$9*4,MAX(0,L26+L20+L27-L25-核心参数输入!$B$123),0)</f>
        <v>0</v>
      </c>
      <c r="M28" s="9">
        <f>IF(9&lt;=核心参数输入!$B$9*4,MAX(0,M26+M20+M27-M25-核心参数输入!$B$123),0)</f>
        <v>0</v>
      </c>
      <c r="N28" s="9">
        <f>IF(10&lt;=核心参数输入!$B$9*4,MAX(0,N26+N20+N27-N25-核心参数输入!$B$123),0)</f>
        <v>0</v>
      </c>
      <c r="O28" s="9">
        <f>IF(11&lt;=核心参数输入!$B$9*4,MAX(0,O26+O20+O27-O25-核心参数输入!$B$123),0)</f>
        <v>0</v>
      </c>
      <c r="P28" s="9">
        <f>IF(12&lt;=核心参数输入!$B$9*4,MAX(0,P26+P20+P27-P25-核心参数输入!$B$123),0)</f>
        <v>0</v>
      </c>
      <c r="Q28" s="9">
        <f>IF(13&lt;=核心参数输入!$B$9*4,MAX(0,Q26+Q20+Q27-Q25-核心参数输入!$B$123),0)</f>
        <v>1218.7140625000002</v>
      </c>
      <c r="R28" s="9">
        <f>IF(14&lt;=核心参数输入!$B$9*4,MAX(0,R26+R20+R27-R25-核心参数输入!$B$123),0)</f>
        <v>2829.5738458125002</v>
      </c>
      <c r="S28" s="9">
        <f>IF(15&lt;=核心参数输入!$B$9*4,MAX(0,S26+S20+S27-S25-核心参数输入!$B$123),0)</f>
        <v>1483.436968332589</v>
      </c>
      <c r="T28" s="9">
        <f>IF(16&lt;=核心参数输入!$B$9*4,MAX(0,T26+T20+T27-T25-核心参数输入!$B$123),0)</f>
        <v>0</v>
      </c>
      <c r="U28" s="9">
        <f>IF(17&lt;=核心参数输入!$B$9*4,MAX(0,U26+U20+U27-U25-核心参数输入!$B$123),0)</f>
        <v>3743.3198541853121</v>
      </c>
      <c r="V28" s="9">
        <f>IF(18&lt;=核心参数输入!$B$9*4,MAX(0,V26+V20+V27-V25-核心参数输入!$B$123),0)</f>
        <v>2494.0523918316721</v>
      </c>
      <c r="W28" s="9">
        <f>IF(19&lt;=核心参数输入!$B$9*4,MAX(0,W26+W20+W27-W25-核心参数输入!$B$123),0)</f>
        <v>0</v>
      </c>
      <c r="X28" s="9">
        <f>IF(20&lt;=核心参数输入!$B$9*4,MAX(0,X26+X20+X27-X25-核心参数输入!$B$123),0)</f>
        <v>0</v>
      </c>
      <c r="Y28" s="9">
        <f>IF(21&lt;=核心参数输入!$B$9*4,MAX(0,Y26+Y20+Y27-Y25-核心参数输入!$B$123),0)</f>
        <v>0</v>
      </c>
      <c r="Z28" s="9">
        <f>IF(22&lt;=核心参数输入!$B$9*4,MAX(0,Z26+Z20+Z27-Z25-核心参数输入!$B$123),0)</f>
        <v>0</v>
      </c>
      <c r="AA28" s="9">
        <f>IF(23&lt;=核心参数输入!$B$9*4,MAX(0,AA26+AA20+AA27-AA25-核心参数输入!$B$123),0)</f>
        <v>0</v>
      </c>
      <c r="AB28" s="9">
        <f>IF(24&lt;=核心参数输入!$B$9*4,MAX(0,AB26+AB20+AB27-AB25-核心参数输入!$B$123),0)</f>
        <v>0</v>
      </c>
      <c r="AC28" s="9">
        <f>IF(25&lt;=核心参数输入!$B$9*4,MAX(0,AC26+AC20+AC27-AC25-核心参数输入!$B$123),0)</f>
        <v>0</v>
      </c>
      <c r="AD28" s="9">
        <f>IF(26&lt;=核心参数输入!$B$9*4,MAX(0,AD26+AD20+AD27-AD25-核心参数输入!$B$123),0)</f>
        <v>0</v>
      </c>
      <c r="AE28" s="9">
        <f>IF(27&lt;=核心参数输入!$B$9*4,MAX(0,AE26+AE20+AE27-AE25-核心参数输入!$B$123),0)</f>
        <v>0</v>
      </c>
      <c r="AF28" s="9">
        <f>IF(28&lt;=核心参数输入!$B$9*4,MAX(0,AF26+AF20+AF27-AF25-核心参数输入!$B$123),0)</f>
        <v>0</v>
      </c>
      <c r="AG28" s="9">
        <f>IF(29&lt;=核心参数输入!$B$9*4,MAX(0,AG26+AG20+AG27-AG25-核心参数输入!$B$123),0)</f>
        <v>0</v>
      </c>
      <c r="AH28" s="9">
        <f>IF(30&lt;=核心参数输入!$B$9*4,MAX(0,AH26+AH20+AH27-AH25-核心参数输入!$B$123),0)</f>
        <v>0</v>
      </c>
      <c r="AI28" s="9">
        <f>IF(31&lt;=核心参数输入!$B$9*4,MAX(0,AI26+AI20+AI27-AI25-核心参数输入!$B$123),0)</f>
        <v>0</v>
      </c>
      <c r="AJ28" s="9">
        <f>IF(32&lt;=核心参数输入!$B$9*4,MAX(0,AJ26+AJ20+AJ27-AJ25-核心参数输入!$B$123),0)</f>
        <v>0</v>
      </c>
      <c r="AK28" s="9">
        <f>IF(33&lt;=核心参数输入!$B$9*4,MAX(0,AK26+AK20+AK27-AK25-核心参数输入!$B$123),0)</f>
        <v>0</v>
      </c>
      <c r="AL28" s="9">
        <f>IF(34&lt;=核心参数输入!$B$9*4,MAX(0,AL26+AL20+AL27-AL25-核心参数输入!$B$123),0)</f>
        <v>0</v>
      </c>
      <c r="AM28" s="9">
        <f>IF(35&lt;=核心参数输入!$B$9*4,MAX(0,AM26+AM20+AM27-AM25-核心参数输入!$B$123),0)</f>
        <v>0</v>
      </c>
      <c r="AN28" s="9">
        <f>IF(36&lt;=核心参数输入!$B$9*4,MAX(0,AN26+AN20+AN27-AN25-核心参数输入!$B$123),0)</f>
        <v>0</v>
      </c>
      <c r="AO28" s="9">
        <f>IF(37&lt;=核心参数输入!$B$9*4,MAX(0,AO26+AO20+AO27-AO25-核心参数输入!$B$123),0)</f>
        <v>0</v>
      </c>
      <c r="AP28" s="9">
        <f>IF(38&lt;=核心参数输入!$B$9*4,MAX(0,AP26+AP20+AP27-AP25-核心参数输入!$B$123),0)</f>
        <v>0</v>
      </c>
      <c r="AQ28" s="9">
        <f>IF(39&lt;=核心参数输入!$B$9*4,MAX(0,AQ26+AQ20+AQ27-AQ25-核心参数输入!$B$123),0)</f>
        <v>0</v>
      </c>
      <c r="AR28" s="9">
        <f>IF(40&lt;=核心参数输入!$B$9*4,MAX(0,AR26+AR20+AR27-AR25-核心参数输入!$B$123),0)</f>
        <v>0</v>
      </c>
      <c r="AS28" s="9">
        <f>IF(41&lt;=核心参数输入!$B$9*4,MAX(0,AS26+AS20+AS27-AS25-核心参数输入!$B$123),0)</f>
        <v>267.65012380987014</v>
      </c>
      <c r="AT28" s="9">
        <f>IF(42&lt;=核心参数输入!$B$9*4,MAX(0,AT26+AT20+AT27-AT25-核心参数输入!$B$123),0)</f>
        <v>267.65012380987014</v>
      </c>
      <c r="AU28" s="9">
        <f>IF(43&lt;=核心参数输入!$B$9*4,MAX(0,AU26+AU20+AU27-AU25-核心参数输入!$B$123),0)</f>
        <v>267.65012380987014</v>
      </c>
      <c r="AV28" s="9">
        <f>IF(44&lt;=核心参数输入!$B$9*4,MAX(0,AV26+AV20+AV27-AV25-核心参数输入!$B$123),0)</f>
        <v>267.65012380987014</v>
      </c>
      <c r="AW28" s="9">
        <f>IF(45&lt;=核心参数输入!$B$9*4,MAX(0,AW26+AW20+AW27-AW25-核心参数输入!$B$123),0)</f>
        <v>271.90911854164972</v>
      </c>
      <c r="AX28" s="9">
        <f>IF(46&lt;=核心参数输入!$B$9*4,MAX(0,AX26+AX20+AX27-AX25-核心参数输入!$B$123),0)</f>
        <v>271.90911854164972</v>
      </c>
      <c r="AY28" s="9">
        <f>IF(47&lt;=核心参数输入!$B$9*4,MAX(0,AY26+AY20+AY27-AY25-核心参数输入!$B$123),0)</f>
        <v>271.90911854164972</v>
      </c>
      <c r="AZ28" s="9">
        <f>IF(48&lt;=核心参数输入!$B$9*4,MAX(0,AZ26+AZ20+AZ27-AZ25-核心参数输入!$B$123),0)</f>
        <v>271.90911854164972</v>
      </c>
      <c r="BA28" s="9">
        <f>IF(49&lt;=核心参数输入!$B$9*4,MAX(0,BA26+BA20+BA27-BA25-核心参数输入!$B$123),0)</f>
        <v>276.22338305189851</v>
      </c>
      <c r="BB28" s="9">
        <f>IF(50&lt;=核心参数输入!$B$9*4,MAX(0,BB26+BB20+BB27-BB25-核心参数输入!$B$123),0)</f>
        <v>276.22338305189851</v>
      </c>
      <c r="BC28" s="9">
        <f>IF(51&lt;=核心参数输入!$B$9*4,MAX(0,BC26+BC20+BC27-BC25-核心参数输入!$B$123),0)</f>
        <v>276.22338305189851</v>
      </c>
      <c r="BD28" s="9">
        <f>IF(52&lt;=核心参数输入!$B$9*4,MAX(0,BD26+BD20+BD27-BD25-核心参数输入!$B$123),0)</f>
        <v>276.22338305189851</v>
      </c>
      <c r="BE28" s="9">
        <f>IF(53&lt;=核心参数输入!$B$9*4,MAX(0,BE26+BE20+BE27-BE25-核心参数输入!$B$123),0)</f>
        <v>280.59357408444356</v>
      </c>
      <c r="BF28" s="9">
        <f>IF(54&lt;=核心参数输入!$B$9*4,MAX(0,BF26+BF20+BF27-BF25-核心参数输入!$B$123),0)</f>
        <v>280.59357408444356</v>
      </c>
      <c r="BG28" s="9">
        <f>IF(55&lt;=核心参数输入!$B$9*4,MAX(0,BG26+BG20+BG27-BG25-核心参数输入!$B$123),0)</f>
        <v>280.59357408444356</v>
      </c>
      <c r="BH28" s="9">
        <f>IF(56&lt;=核心参数输入!$B$9*4,MAX(0,BH26+BH20+BH27-BH25-核心参数输入!$B$123),0)</f>
        <v>251.60090143748954</v>
      </c>
      <c r="BI28" s="9">
        <f>IF(57&lt;=核心参数输入!$B$9*4,MAX(0,BI26+BI20+BI27-BI25-核心参数输入!$B$123),0)</f>
        <v>285.0203547882121</v>
      </c>
      <c r="BJ28" s="9">
        <f>IF(58&lt;=核心参数输入!$B$9*4,MAX(0,BJ26+BJ20+BJ27-BJ25-核心参数输入!$B$123),0)</f>
        <v>285.0203547882121</v>
      </c>
      <c r="BK28" s="9">
        <f>IF(59&lt;=核心参数输入!$B$9*4,MAX(0,BK26+BK20+BK27-BK25-核心参数输入!$B$123),0)</f>
        <v>285.0203547882121</v>
      </c>
      <c r="BL28" s="9">
        <f>IF(60&lt;=核心参数输入!$B$9*4,MAX(0,BL26+BL20+BL27-BL25-核心参数输入!$B$123),0)</f>
        <v>213.26062499999986</v>
      </c>
      <c r="BM28" s="9">
        <f>IF(61&lt;=核心参数输入!$B$9*4,MAX(0,BM26+BM20+BM27-BM25-核心参数输入!$B$123),0)</f>
        <v>289.50439474438724</v>
      </c>
      <c r="BN28" s="9">
        <f>IF(62&lt;=核心参数输入!$B$9*4,MAX(0,BN26+BN20+BN27-BN25-核心参数输入!$B$123),0)</f>
        <v>289.50439474438724</v>
      </c>
      <c r="BO28" s="9">
        <f>IF(63&lt;=核心参数输入!$B$9*4,MAX(0,BO26+BO20+BO27-BO25-核心参数输入!$B$123),0)</f>
        <v>289.50439474438724</v>
      </c>
      <c r="BP28" s="9">
        <f>IF(64&lt;=核心参数输入!$B$9*4,MAX(0,BP26+BP20+BP27-BP25-核心参数输入!$B$123),0)</f>
        <v>213.26062499999995</v>
      </c>
      <c r="BQ28" s="9">
        <f>IF(65&lt;=核心参数输入!$B$9*4,MAX(0,BQ26+BQ20+BQ27-BQ25-核心参数输入!$B$123),0)</f>
        <v>294.04636999259213</v>
      </c>
      <c r="BR28" s="9">
        <f>IF(66&lt;=核心参数输入!$B$9*4,MAX(0,BR26+BR20+BR27-BR25-核心参数输入!$B$123),0)</f>
        <v>294.04636999259213</v>
      </c>
      <c r="BS28" s="9">
        <f>IF(67&lt;=核心参数输入!$B$9*4,MAX(0,BS26+BS20+BS27-BS25-核心参数输入!$B$123),0)</f>
        <v>294.04636999259213</v>
      </c>
      <c r="BT28" s="9">
        <f>IF(68&lt;=核心参数输入!$B$9*4,MAX(0,BT26+BT20+BT27-BT25-核心参数输入!$B$123),0)</f>
        <v>213.26062499999998</v>
      </c>
      <c r="BU28" s="9">
        <f>IF(69&lt;=核心参数输入!$B$9*4,MAX(0,BU26+BU20+BU27-BU25-核心参数输入!$B$123),0)</f>
        <v>298.64696305606077</v>
      </c>
      <c r="BV28" s="9">
        <f>IF(70&lt;=核心参数输入!$B$9*4,MAX(0,BV26+BV20+BV27-BV25-核心参数输入!$B$123),0)</f>
        <v>298.64696305606077</v>
      </c>
      <c r="BW28" s="9">
        <f>IF(71&lt;=核心参数输入!$B$9*4,MAX(0,BW26+BW20+BW27-BW25-核心参数输入!$B$123),0)</f>
        <v>298.64696305606077</v>
      </c>
      <c r="BX28" s="9">
        <f>IF(72&lt;=核心参数输入!$B$9*4,MAX(0,BX26+BX20+BX27-BX25-核心参数输入!$B$123),0)</f>
        <v>213.26062499999995</v>
      </c>
      <c r="BY28" s="9">
        <f>IF(73&lt;=核心参数输入!$B$9*4,MAX(0,BY26+BY20+BY27-BY25-核心参数输入!$B$123),0)</f>
        <v>303.30686296575288</v>
      </c>
      <c r="BZ28" s="9">
        <f>IF(74&lt;=核心参数输入!$B$9*4,MAX(0,BZ26+BZ20+BZ27-BZ25-核心参数输入!$B$123),0)</f>
        <v>303.30686296575288</v>
      </c>
      <c r="CA28" s="9">
        <f>IF(75&lt;=核心参数输入!$B$9*4,MAX(0,CA26+CA20+CA27-CA25-核心参数输入!$B$123),0)</f>
        <v>303.30686296575288</v>
      </c>
      <c r="CB28" s="9">
        <f>IF(76&lt;=核心参数输入!$B$9*4,MAX(0,CB26+CB20+CB27-CB25-核心参数输入!$B$123),0)</f>
        <v>213.26062499999992</v>
      </c>
      <c r="CC28" s="9">
        <f>IF(77&lt;=核心参数输入!$B$9*4,MAX(0,CC26+CC20+CC27-CC25-核心参数输入!$B$123),0)</f>
        <v>308.02676528336758</v>
      </c>
      <c r="CD28" s="9">
        <f>IF(78&lt;=核心参数输入!$B$9*4,MAX(0,CD26+CD20+CD27-CD25-核心参数输入!$B$123),0)</f>
        <v>308.02676528336758</v>
      </c>
      <c r="CE28" s="9">
        <f>IF(79&lt;=核心参数输入!$B$9*4,MAX(0,CE26+CE20+CE27-CE25-核心参数输入!$B$123),0)</f>
        <v>308.02676528336758</v>
      </c>
      <c r="CF28" s="9">
        <f>IF(80&lt;=核心参数输入!$B$9*4,MAX(0,CF26+CF20+CF27-CF25-核心参数输入!$B$123),0)</f>
        <v>213.260625</v>
      </c>
      <c r="CG28" s="9">
        <f>IF(81&lt;=核心参数输入!$B$9*4,MAX(0,CG26+CG20+CG27-CG25-核心参数输入!$B$123),0)</f>
        <v>0</v>
      </c>
      <c r="CH28" s="9">
        <f>IF(82&lt;=核心参数输入!$B$9*4,MAX(0,CH26+CH20+CH27-CH25-核心参数输入!$B$123),0)</f>
        <v>0</v>
      </c>
      <c r="CI28" s="9">
        <f>IF(83&lt;=核心参数输入!$B$9*4,MAX(0,CI26+CI20+CI27-CI25-核心参数输入!$B$123),0)</f>
        <v>0</v>
      </c>
      <c r="CJ28" s="9">
        <f>IF(84&lt;=核心参数输入!$B$9*4,MAX(0,CJ26+CJ20+CJ27-CJ25-核心参数输入!$B$123),0)</f>
        <v>0</v>
      </c>
      <c r="CK28" s="9">
        <f>IF(85&lt;=核心参数输入!$B$9*4,MAX(0,CK26+CK20+CK27-CK25-核心参数输入!$B$123),0)</f>
        <v>0</v>
      </c>
      <c r="CL28" s="9">
        <f>IF(86&lt;=核心参数输入!$B$9*4,MAX(0,CL26+CL20+CL27-CL25-核心参数输入!$B$123),0)</f>
        <v>0</v>
      </c>
      <c r="CM28" s="9">
        <f>IF(87&lt;=核心参数输入!$B$9*4,MAX(0,CM26+CM20+CM27-CM25-核心参数输入!$B$123),0)</f>
        <v>0</v>
      </c>
      <c r="CN28" s="9">
        <f>IF(88&lt;=核心参数输入!$B$9*4,MAX(0,CN26+CN20+CN27-CN25-核心参数输入!$B$123),0)</f>
        <v>0</v>
      </c>
      <c r="CO28" s="9">
        <f>IF(89&lt;=核心参数输入!$B$9*4,MAX(0,CO26+CO20+CO27-CO25-核心参数输入!$B$123),0)</f>
        <v>0</v>
      </c>
      <c r="CP28" s="9">
        <f>IF(90&lt;=核心参数输入!$B$9*4,MAX(0,CP26+CP20+CP27-CP25-核心参数输入!$B$123),0)</f>
        <v>0</v>
      </c>
      <c r="CQ28" s="9">
        <f>IF(91&lt;=核心参数输入!$B$9*4,MAX(0,CQ26+CQ20+CQ27-CQ25-核心参数输入!$B$123),0)</f>
        <v>0</v>
      </c>
      <c r="CR28" s="9">
        <f>IF(92&lt;=核心参数输入!$B$9*4,MAX(0,CR26+CR20+CR27-CR25-核心参数输入!$B$123),0)</f>
        <v>0</v>
      </c>
      <c r="CS28" s="9">
        <f>IF(93&lt;=核心参数输入!$B$9*4,MAX(0,CS26+CS20+CS27-CS25-核心参数输入!$B$123),0)</f>
        <v>0</v>
      </c>
      <c r="CT28" s="9">
        <f>IF(94&lt;=核心参数输入!$B$9*4,MAX(0,CT26+CT20+CT27-CT25-核心参数输入!$B$123),0)</f>
        <v>0</v>
      </c>
      <c r="CU28" s="9">
        <f>IF(95&lt;=核心参数输入!$B$9*4,MAX(0,CU26+CU20+CU27-CU25-核心参数输入!$B$123),0)</f>
        <v>0</v>
      </c>
      <c r="CV28" s="9">
        <f>IF(96&lt;=核心参数输入!$B$9*4,MAX(0,CV26+CV20+CV27-CV25-核心参数输入!$B$123),0)</f>
        <v>0</v>
      </c>
      <c r="CW28" s="9">
        <f>IF(97&lt;=核心参数输入!$B$9*4,MAX(0,CW26+CW20+CW27-CW25-核心参数输入!$B$123),0)</f>
        <v>0</v>
      </c>
      <c r="CX28" s="9">
        <f>IF(98&lt;=核心参数输入!$B$9*4,MAX(0,CX26+CX20+CX27-CX25-核心参数输入!$B$123),0)</f>
        <v>0</v>
      </c>
      <c r="CY28" s="9">
        <f>IF(99&lt;=核心参数输入!$B$9*4,MAX(0,CY26+CY20+CY27-CY25-核心参数输入!$B$123),0)</f>
        <v>0</v>
      </c>
      <c r="CZ28" s="9">
        <f>IF(100&lt;=核心参数输入!$B$9*4,MAX(0,CZ26+CZ20+CZ27-CZ25-核心参数输入!$B$123),0)</f>
        <v>0</v>
      </c>
      <c r="DA28" s="9">
        <f>IF(101&lt;=核心参数输入!$B$9*4,MAX(0,DA26+DA20+DA27-DA25-核心参数输入!$B$123),0)</f>
        <v>0</v>
      </c>
      <c r="DB28" s="9">
        <f>IF(102&lt;=核心参数输入!$B$9*4,MAX(0,DB26+DB20+DB27-DB25-核心参数输入!$B$123),0)</f>
        <v>0</v>
      </c>
      <c r="DC28" s="9">
        <f>IF(103&lt;=核心参数输入!$B$9*4,MAX(0,DC26+DC20+DC27-DC25-核心参数输入!$B$123),0)</f>
        <v>0</v>
      </c>
      <c r="DD28" s="9">
        <f>IF(104&lt;=核心参数输入!$B$9*4,MAX(0,DD26+DD20+DD27-DD25-核心参数输入!$B$123),0)</f>
        <v>0</v>
      </c>
      <c r="DE28" s="9">
        <f>IF(105&lt;=核心参数输入!$B$9*4,MAX(0,DE26+DE20+DE27-DE25-核心参数输入!$B$123),0)</f>
        <v>0</v>
      </c>
      <c r="DF28" s="9">
        <f>IF(106&lt;=核心参数输入!$B$9*4,MAX(0,DF26+DF20+DF27-DF25-核心参数输入!$B$123),0)</f>
        <v>0</v>
      </c>
      <c r="DG28" s="9">
        <f>IF(107&lt;=核心参数输入!$B$9*4,MAX(0,DG26+DG20+DG27-DG25-核心参数输入!$B$123),0)</f>
        <v>0</v>
      </c>
      <c r="DH28" s="9">
        <f>IF(108&lt;=核心参数输入!$B$9*4,MAX(0,DH26+DH20+DH27-DH25-核心参数输入!$B$123),0)</f>
        <v>0</v>
      </c>
      <c r="DI28" s="9">
        <f>IF(109&lt;=核心参数输入!$B$9*4,MAX(0,DI26+DI20+DI27-DI25-核心参数输入!$B$123),0)</f>
        <v>0</v>
      </c>
      <c r="DJ28" s="9">
        <f>IF(110&lt;=核心参数输入!$B$9*4,MAX(0,DJ26+DJ20+DJ27-DJ25-核心参数输入!$B$123),0)</f>
        <v>0</v>
      </c>
      <c r="DK28" s="9">
        <f>IF(111&lt;=核心参数输入!$B$9*4,MAX(0,DK26+DK20+DK27-DK25-核心参数输入!$B$123),0)</f>
        <v>0</v>
      </c>
      <c r="DL28" s="9">
        <f>IF(112&lt;=核心参数输入!$B$9*4,MAX(0,DL26+DL20+DL27-DL25-核心参数输入!$B$123),0)</f>
        <v>0</v>
      </c>
      <c r="DM28" s="9">
        <f>IF(113&lt;=核心参数输入!$B$9*4,MAX(0,DM26+DM20+DM27-DM25-核心参数输入!$B$123),0)</f>
        <v>0</v>
      </c>
      <c r="DN28" s="9">
        <f>IF(114&lt;=核心参数输入!$B$9*4,MAX(0,DN26+DN20+DN27-DN25-核心参数输入!$B$123),0)</f>
        <v>0</v>
      </c>
      <c r="DO28" s="9">
        <f>IF(115&lt;=核心参数输入!$B$9*4,MAX(0,DO26+DO20+DO27-DO25-核心参数输入!$B$123),0)</f>
        <v>0</v>
      </c>
      <c r="DP28" s="9">
        <f>IF(116&lt;=核心参数输入!$B$9*4,MAX(0,DP26+DP20+DP27-DP25-核心参数输入!$B$123),0)</f>
        <v>0</v>
      </c>
      <c r="DQ28" s="9">
        <f>IF(117&lt;=核心参数输入!$B$9*4,MAX(0,DQ26+DQ20+DQ27-DQ25-核心参数输入!$B$123),0)</f>
        <v>0</v>
      </c>
      <c r="DR28" s="9">
        <f>IF(118&lt;=核心参数输入!$B$9*4,MAX(0,DR26+DR20+DR27-DR25-核心参数输入!$B$123),0)</f>
        <v>0</v>
      </c>
      <c r="DS28" s="9">
        <f>IF(119&lt;=核心参数输入!$B$9*4,MAX(0,DS26+DS20+DS27-DS25-核心参数输入!$B$123),0)</f>
        <v>0</v>
      </c>
      <c r="DT28" s="9">
        <f>IF(120&lt;=核心参数输入!$B$9*4,MAX(0,DT26+DT20+DT27-DT25-核心参数输入!$B$123),0)</f>
        <v>0</v>
      </c>
    </row>
    <row r="29" spans="1:124" ht="21" customHeight="1">
      <c r="A29" s="8" t="s">
        <v>525</v>
      </c>
      <c r="B29" s="8" t="s">
        <v>39</v>
      </c>
      <c r="C29" s="8"/>
      <c r="D29" s="9">
        <f>IF(0&lt;=核心参数输入!$B$9*4,D26+D20+D27-D28,0)</f>
        <v>0</v>
      </c>
      <c r="E29" s="9">
        <f>IF(1&lt;=核心参数输入!$B$9*4,E26+E20+E27-E28,0)</f>
        <v>0</v>
      </c>
      <c r="F29" s="9">
        <f>IF(2&lt;=核心参数输入!$B$9*4,F26+F20+F27-F28,0)</f>
        <v>0</v>
      </c>
      <c r="G29" s="9">
        <f>IF(3&lt;=核心参数输入!$B$9*4,G26+G20+G27-G28,0)</f>
        <v>0</v>
      </c>
      <c r="H29" s="9">
        <f>IF(4&lt;=核心参数输入!$B$9*4,H26+H20+H27-H28,0)</f>
        <v>0</v>
      </c>
      <c r="I29" s="9">
        <f>IF(5&lt;=核心参数输入!$B$9*4,I26+I20+I27-I28,0)</f>
        <v>0</v>
      </c>
      <c r="J29" s="9">
        <f>IF(6&lt;=核心参数输入!$B$9*4,J26+J20+J27-J28,0)</f>
        <v>0</v>
      </c>
      <c r="K29" s="9">
        <f>IF(7&lt;=核心参数输入!$B$9*4,K26+K20+K27-K28,0)</f>
        <v>0</v>
      </c>
      <c r="L29" s="9">
        <f>IF(8&lt;=核心参数输入!$B$9*4,L26+L20+L27-L28,0)</f>
        <v>0</v>
      </c>
      <c r="M29" s="9">
        <f>IF(9&lt;=核心参数输入!$B$9*4,M26+M20+M27-M28,0)</f>
        <v>0</v>
      </c>
      <c r="N29" s="9">
        <f>IF(10&lt;=核心参数输入!$B$9*4,N26+N20+N27-N28,0)</f>
        <v>0</v>
      </c>
      <c r="O29" s="9">
        <f>IF(11&lt;=核心参数输入!$B$9*4,O26+O20+O27-O28,0)</f>
        <v>0</v>
      </c>
      <c r="P29" s="9">
        <f>IF(12&lt;=核心参数输入!$B$9*4,P26+P20+P27-P28,0)</f>
        <v>0</v>
      </c>
      <c r="Q29" s="9">
        <f>IF(13&lt;=核心参数输入!$B$9*4,Q26+Q20+Q27-Q28,0)</f>
        <v>0</v>
      </c>
      <c r="R29" s="9">
        <f>IF(14&lt;=核心参数输入!$B$9*4,R26+R20+R27-R28,0)</f>
        <v>0</v>
      </c>
      <c r="S29" s="9">
        <f>IF(15&lt;=核心参数输入!$B$9*4,S26+S20+S27-S28,0)</f>
        <v>1396.0439441049111</v>
      </c>
      <c r="T29" s="9">
        <f>IF(16&lt;=核心参数输入!$B$9*4,T26+T20+T27-T28,0)</f>
        <v>0</v>
      </c>
      <c r="U29" s="9">
        <f>IF(17&lt;=核心参数输入!$B$9*4,U26+U20+U27-U28,0)</f>
        <v>0</v>
      </c>
      <c r="V29" s="9">
        <f>IF(18&lt;=核心参数输入!$B$9*4,V26+V20+V27-V28,0)</f>
        <v>1646.6951831907027</v>
      </c>
      <c r="W29" s="9">
        <f>IF(19&lt;=核心参数输入!$B$9*4,W26+W20+W27-W28,0)</f>
        <v>5807.7050272628276</v>
      </c>
      <c r="X29" s="9">
        <f>IF(20&lt;=核心参数输入!$B$9*4,X26+X20+X27-X28,0)</f>
        <v>5240.868945569995</v>
      </c>
      <c r="Y29" s="9">
        <f>IF(21&lt;=核心参数输入!$B$9*4,Y26+Y20+Y27-Y28,0)</f>
        <v>8772.0717497241931</v>
      </c>
      <c r="Z29" s="9">
        <f>IF(22&lt;=核心参数输入!$B$9*4,Z26+Z20+Z27-Z28,0)</f>
        <v>11959.301231578202</v>
      </c>
      <c r="AA29" s="9">
        <f>IF(23&lt;=核心参数输入!$B$9*4,AA26+AA20+AA27-AA28,0)</f>
        <v>15161.955365746333</v>
      </c>
      <c r="AB29" s="9">
        <f>IF(24&lt;=核心参数输入!$B$9*4,AB26+AB20+AB27-AB28,0)</f>
        <v>13721.068877349653</v>
      </c>
      <c r="AC29" s="9">
        <f>IF(25&lt;=核心参数输入!$B$9*4,AC26+AC20+AC27-AC28,0)</f>
        <v>14849.426350540474</v>
      </c>
      <c r="AD29" s="9">
        <f>IF(26&lt;=核心参数输入!$B$9*4,AD26+AD20+AD27-AD28,0)</f>
        <v>14902.314921797184</v>
      </c>
      <c r="AE29" s="9">
        <f>IF(27&lt;=核心参数输入!$B$9*4,AE26+AE20+AE27-AE28,0)</f>
        <v>14960.422167086839</v>
      </c>
      <c r="AF29" s="9">
        <f>IF(28&lt;=核心参数输入!$B$9*4,AF26+AF20+AF27-AF28,0)</f>
        <v>10760.533800695153</v>
      </c>
      <c r="AG29" s="9">
        <f>IF(29&lt;=核心参数输入!$B$9*4,AG26+AG20+AG27-AG28,0)</f>
        <v>10878.083609951031</v>
      </c>
      <c r="AH29" s="9">
        <f>IF(30&lt;=核心参数输入!$B$9*4,AH26+AH20+AH27-AH28,0)</f>
        <v>10998.281896278628</v>
      </c>
      <c r="AI29" s="9">
        <f>IF(31&lt;=核心参数输入!$B$9*4,AI26+AI20+AI27-AI28,0)</f>
        <v>11118.480182606225</v>
      </c>
      <c r="AJ29" s="9">
        <f>IF(32&lt;=核心参数输入!$B$9*4,AJ26+AJ20+AJ27-AJ28,0)</f>
        <v>6975.4641832195357</v>
      </c>
      <c r="AK29" s="9">
        <f>IF(33&lt;=核心参数输入!$B$9*4,AK26+AK20+AK27-AK28,0)</f>
        <v>7144.759531782046</v>
      </c>
      <c r="AL29" s="9">
        <f>IF(34&lt;=核心参数输入!$B$9*4,AL26+AL20+AL27-AL28,0)</f>
        <v>7314.0548803445563</v>
      </c>
      <c r="AM29" s="9">
        <f>IF(35&lt;=核心参数输入!$B$9*4,AM26+AM20+AM27-AM28,0)</f>
        <v>7483.3502289070666</v>
      </c>
      <c r="AN29" s="9">
        <f>IF(36&lt;=核心参数输入!$B$9*4,AN26+AN20+AN27-AN28,0)</f>
        <v>3389.4312917552916</v>
      </c>
      <c r="AO29" s="9">
        <f>IF(37&lt;=核心参数输入!$B$9*4,AO26+AO20+AO27-AO28,0)</f>
        <v>3607.8770402450396</v>
      </c>
      <c r="AP29" s="9">
        <f>IF(38&lt;=核心参数输入!$B$9*4,AP26+AP20+AP27-AP28,0)</f>
        <v>3826.3227887347875</v>
      </c>
      <c r="AQ29" s="9">
        <f>IF(39&lt;=核心参数输入!$B$9*4,AQ26+AQ20+AQ27-AQ28,0)</f>
        <v>4044.7685372245355</v>
      </c>
      <c r="AR29" s="9">
        <f>IF(40&lt;=核心参数输入!$B$9*4,AR26+AR20+AR27-AR28,0)</f>
        <v>0</v>
      </c>
      <c r="AS29" s="9">
        <f>IF(41&lt;=核心参数输入!$B$9*4,AS26+AS20+AS27-AS28,0)</f>
        <v>0</v>
      </c>
      <c r="AT29" s="9">
        <f>IF(42&lt;=核心参数输入!$B$9*4,AT26+AT20+AT27-AT28,0)</f>
        <v>0</v>
      </c>
      <c r="AU29" s="9">
        <f>IF(43&lt;=核心参数输入!$B$9*4,AU26+AU20+AU27-AU28,0)</f>
        <v>0</v>
      </c>
      <c r="AV29" s="9">
        <f>IF(44&lt;=核心参数输入!$B$9*4,AV26+AV20+AV27-AV28,0)</f>
        <v>0</v>
      </c>
      <c r="AW29" s="9">
        <f>IF(45&lt;=核心参数输入!$B$9*4,AW26+AW20+AW27-AW28,0)</f>
        <v>0</v>
      </c>
      <c r="AX29" s="9">
        <f>IF(46&lt;=核心参数输入!$B$9*4,AX26+AX20+AX27-AX28,0)</f>
        <v>0</v>
      </c>
      <c r="AY29" s="9">
        <f>IF(47&lt;=核心参数输入!$B$9*4,AY26+AY20+AY27-AY28,0)</f>
        <v>0</v>
      </c>
      <c r="AZ29" s="9">
        <f>IF(48&lt;=核心参数输入!$B$9*4,AZ26+AZ20+AZ27-AZ28,0)</f>
        <v>0</v>
      </c>
      <c r="BA29" s="9">
        <f>IF(49&lt;=核心参数输入!$B$9*4,BA26+BA20+BA27-BA28,0)</f>
        <v>0</v>
      </c>
      <c r="BB29" s="9">
        <f>IF(50&lt;=核心参数输入!$B$9*4,BB26+BB20+BB27-BB28,0)</f>
        <v>0</v>
      </c>
      <c r="BC29" s="9">
        <f>IF(51&lt;=核心参数输入!$B$9*4,BC26+BC20+BC27-BC28,0)</f>
        <v>0</v>
      </c>
      <c r="BD29" s="9">
        <f>IF(52&lt;=核心参数输入!$B$9*4,BD26+BD20+BD27-BD28,0)</f>
        <v>0</v>
      </c>
      <c r="BE29" s="9">
        <f>IF(53&lt;=核心参数输入!$B$9*4,BE26+BE20+BE27-BE28,0)</f>
        <v>0</v>
      </c>
      <c r="BF29" s="9">
        <f>IF(54&lt;=核心参数输入!$B$9*4,BF26+BF20+BF27-BF28,0)</f>
        <v>0</v>
      </c>
      <c r="BG29" s="9">
        <f>IF(55&lt;=核心参数输入!$B$9*4,BG26+BG20+BG27-BG28,0)</f>
        <v>0</v>
      </c>
      <c r="BH29" s="9">
        <f>IF(56&lt;=核心参数输入!$B$9*4,BH26+BH20+BH27-BH28,0)</f>
        <v>0</v>
      </c>
      <c r="BI29" s="9">
        <f>IF(57&lt;=核心参数输入!$B$9*4,BI26+BI20+BI27-BI28,0)</f>
        <v>0</v>
      </c>
      <c r="BJ29" s="9">
        <f>IF(58&lt;=核心参数输入!$B$9*4,BJ26+BJ20+BJ27-BJ28,0)</f>
        <v>0</v>
      </c>
      <c r="BK29" s="9">
        <f>IF(59&lt;=核心参数输入!$B$9*4,BK26+BK20+BK27-BK28,0)</f>
        <v>0</v>
      </c>
      <c r="BL29" s="9">
        <f>IF(60&lt;=核心参数输入!$B$9*4,BL26+BL20+BL27-BL28,0)</f>
        <v>0</v>
      </c>
      <c r="BM29" s="9">
        <f>IF(61&lt;=核心参数输入!$B$9*4,BM26+BM20+BM27-BM28,0)</f>
        <v>0</v>
      </c>
      <c r="BN29" s="9">
        <f>IF(62&lt;=核心参数输入!$B$9*4,BN26+BN20+BN27-BN28,0)</f>
        <v>0</v>
      </c>
      <c r="BO29" s="9">
        <f>IF(63&lt;=核心参数输入!$B$9*4,BO26+BO20+BO27-BO28,0)</f>
        <v>0</v>
      </c>
      <c r="BP29" s="9">
        <f>IF(64&lt;=核心参数输入!$B$9*4,BP26+BP20+BP27-BP28,0)</f>
        <v>0</v>
      </c>
      <c r="BQ29" s="9">
        <f>IF(65&lt;=核心参数输入!$B$9*4,BQ26+BQ20+BQ27-BQ28,0)</f>
        <v>0</v>
      </c>
      <c r="BR29" s="9">
        <f>IF(66&lt;=核心参数输入!$B$9*4,BR26+BR20+BR27-BR28,0)</f>
        <v>0</v>
      </c>
      <c r="BS29" s="9">
        <f>IF(67&lt;=核心参数输入!$B$9*4,BS26+BS20+BS27-BS28,0)</f>
        <v>0</v>
      </c>
      <c r="BT29" s="9">
        <f>IF(68&lt;=核心参数输入!$B$9*4,BT26+BT20+BT27-BT28,0)</f>
        <v>0</v>
      </c>
      <c r="BU29" s="9">
        <f>IF(69&lt;=核心参数输入!$B$9*4,BU26+BU20+BU27-BU28,0)</f>
        <v>0</v>
      </c>
      <c r="BV29" s="9">
        <f>IF(70&lt;=核心参数输入!$B$9*4,BV26+BV20+BV27-BV28,0)</f>
        <v>0</v>
      </c>
      <c r="BW29" s="9">
        <f>IF(71&lt;=核心参数输入!$B$9*4,BW26+BW20+BW27-BW28,0)</f>
        <v>0</v>
      </c>
      <c r="BX29" s="9">
        <f>IF(72&lt;=核心参数输入!$B$9*4,BX26+BX20+BX27-BX28,0)</f>
        <v>0</v>
      </c>
      <c r="BY29" s="9">
        <f>IF(73&lt;=核心参数输入!$B$9*4,BY26+BY20+BY27-BY28,0)</f>
        <v>0</v>
      </c>
      <c r="BZ29" s="9">
        <f>IF(74&lt;=核心参数输入!$B$9*4,BZ26+BZ20+BZ27-BZ28,0)</f>
        <v>0</v>
      </c>
      <c r="CA29" s="9">
        <f>IF(75&lt;=核心参数输入!$B$9*4,CA26+CA20+CA27-CA28,0)</f>
        <v>0</v>
      </c>
      <c r="CB29" s="9">
        <f>IF(76&lt;=核心参数输入!$B$9*4,CB26+CB20+CB27-CB28,0)</f>
        <v>0</v>
      </c>
      <c r="CC29" s="9">
        <f>IF(77&lt;=核心参数输入!$B$9*4,CC26+CC20+CC27-CC28,0)</f>
        <v>0</v>
      </c>
      <c r="CD29" s="9">
        <f>IF(78&lt;=核心参数输入!$B$9*4,CD26+CD20+CD27-CD28,0)</f>
        <v>0</v>
      </c>
      <c r="CE29" s="9">
        <f>IF(79&lt;=核心参数输入!$B$9*4,CE26+CE20+CE27-CE28,0)</f>
        <v>0</v>
      </c>
      <c r="CF29" s="9">
        <f>IF(80&lt;=核心参数输入!$B$9*4,CF26+CF20+CF27-CF28,0)</f>
        <v>0</v>
      </c>
      <c r="CG29" s="9">
        <f>IF(81&lt;=核心参数输入!$B$9*4,CG26+CG20+CG27-CG28,0)</f>
        <v>0</v>
      </c>
      <c r="CH29" s="9">
        <f>IF(82&lt;=核心参数输入!$B$9*4,CH26+CH20+CH27-CH28,0)</f>
        <v>0</v>
      </c>
      <c r="CI29" s="9">
        <f>IF(83&lt;=核心参数输入!$B$9*4,CI26+CI20+CI27-CI28,0)</f>
        <v>0</v>
      </c>
      <c r="CJ29" s="9">
        <f>IF(84&lt;=核心参数输入!$B$9*4,CJ26+CJ20+CJ27-CJ28,0)</f>
        <v>0</v>
      </c>
      <c r="CK29" s="9">
        <f>IF(85&lt;=核心参数输入!$B$9*4,CK26+CK20+CK27-CK28,0)</f>
        <v>0</v>
      </c>
      <c r="CL29" s="9">
        <f>IF(86&lt;=核心参数输入!$B$9*4,CL26+CL20+CL27-CL28,0)</f>
        <v>0</v>
      </c>
      <c r="CM29" s="9">
        <f>IF(87&lt;=核心参数输入!$B$9*4,CM26+CM20+CM27-CM28,0)</f>
        <v>0</v>
      </c>
      <c r="CN29" s="9">
        <f>IF(88&lt;=核心参数输入!$B$9*4,CN26+CN20+CN27-CN28,0)</f>
        <v>0</v>
      </c>
      <c r="CO29" s="9">
        <f>IF(89&lt;=核心参数输入!$B$9*4,CO26+CO20+CO27-CO28,0)</f>
        <v>0</v>
      </c>
      <c r="CP29" s="9">
        <f>IF(90&lt;=核心参数输入!$B$9*4,CP26+CP20+CP27-CP28,0)</f>
        <v>0</v>
      </c>
      <c r="CQ29" s="9">
        <f>IF(91&lt;=核心参数输入!$B$9*4,CQ26+CQ20+CQ27-CQ28,0)</f>
        <v>0</v>
      </c>
      <c r="CR29" s="9">
        <f>IF(92&lt;=核心参数输入!$B$9*4,CR26+CR20+CR27-CR28,0)</f>
        <v>0</v>
      </c>
      <c r="CS29" s="9">
        <f>IF(93&lt;=核心参数输入!$B$9*4,CS26+CS20+CS27-CS28,0)</f>
        <v>0</v>
      </c>
      <c r="CT29" s="9">
        <f>IF(94&lt;=核心参数输入!$B$9*4,CT26+CT20+CT27-CT28,0)</f>
        <v>0</v>
      </c>
      <c r="CU29" s="9">
        <f>IF(95&lt;=核心参数输入!$B$9*4,CU26+CU20+CU27-CU28,0)</f>
        <v>0</v>
      </c>
      <c r="CV29" s="9">
        <f>IF(96&lt;=核心参数输入!$B$9*4,CV26+CV20+CV27-CV28,0)</f>
        <v>0</v>
      </c>
      <c r="CW29" s="9">
        <f>IF(97&lt;=核心参数输入!$B$9*4,CW26+CW20+CW27-CW28,0)</f>
        <v>0</v>
      </c>
      <c r="CX29" s="9">
        <f>IF(98&lt;=核心参数输入!$B$9*4,CX26+CX20+CX27-CX28,0)</f>
        <v>0</v>
      </c>
      <c r="CY29" s="9">
        <f>IF(99&lt;=核心参数输入!$B$9*4,CY26+CY20+CY27-CY28,0)</f>
        <v>0</v>
      </c>
      <c r="CZ29" s="9">
        <f>IF(100&lt;=核心参数输入!$B$9*4,CZ26+CZ20+CZ27-CZ28,0)</f>
        <v>0</v>
      </c>
      <c r="DA29" s="9">
        <f>IF(101&lt;=核心参数输入!$B$9*4,DA26+DA20+DA27-DA28,0)</f>
        <v>0</v>
      </c>
      <c r="DB29" s="9">
        <f>IF(102&lt;=核心参数输入!$B$9*4,DB26+DB20+DB27-DB28,0)</f>
        <v>0</v>
      </c>
      <c r="DC29" s="9">
        <f>IF(103&lt;=核心参数输入!$B$9*4,DC26+DC20+DC27-DC28,0)</f>
        <v>0</v>
      </c>
      <c r="DD29" s="9">
        <f>IF(104&lt;=核心参数输入!$B$9*4,DD26+DD20+DD27-DD28,0)</f>
        <v>0</v>
      </c>
      <c r="DE29" s="9">
        <f>IF(105&lt;=核心参数输入!$B$9*4,DE26+DE20+DE27-DE28,0)</f>
        <v>0</v>
      </c>
      <c r="DF29" s="9">
        <f>IF(106&lt;=核心参数输入!$B$9*4,DF26+DF20+DF27-DF28,0)</f>
        <v>0</v>
      </c>
      <c r="DG29" s="9">
        <f>IF(107&lt;=核心参数输入!$B$9*4,DG26+DG20+DG27-DG28,0)</f>
        <v>0</v>
      </c>
      <c r="DH29" s="9">
        <f>IF(108&lt;=核心参数输入!$B$9*4,DH26+DH20+DH27-DH28,0)</f>
        <v>0</v>
      </c>
      <c r="DI29" s="9">
        <f>IF(109&lt;=核心参数输入!$B$9*4,DI26+DI20+DI27-DI28,0)</f>
        <v>0</v>
      </c>
      <c r="DJ29" s="9">
        <f>IF(110&lt;=核心参数输入!$B$9*4,DJ26+DJ20+DJ27-DJ28,0)</f>
        <v>0</v>
      </c>
      <c r="DK29" s="9">
        <f>IF(111&lt;=核心参数输入!$B$9*4,DK26+DK20+DK27-DK28,0)</f>
        <v>0</v>
      </c>
      <c r="DL29" s="9">
        <f>IF(112&lt;=核心参数输入!$B$9*4,DL26+DL20+DL27-DL28,0)</f>
        <v>0</v>
      </c>
      <c r="DM29" s="9">
        <f>IF(113&lt;=核心参数输入!$B$9*4,DM26+DM20+DM27-DM28,0)</f>
        <v>0</v>
      </c>
      <c r="DN29" s="9">
        <f>IF(114&lt;=核心参数输入!$B$9*4,DN26+DN20+DN27-DN28,0)</f>
        <v>0</v>
      </c>
      <c r="DO29" s="9">
        <f>IF(115&lt;=核心参数输入!$B$9*4,DO26+DO20+DO27-DO28,0)</f>
        <v>0</v>
      </c>
      <c r="DP29" s="9">
        <f>IF(116&lt;=核心参数输入!$B$9*4,DP26+DP20+DP27-DP28,0)</f>
        <v>0</v>
      </c>
      <c r="DQ29" s="9">
        <f>IF(117&lt;=核心参数输入!$B$9*4,DQ26+DQ20+DQ27-DQ28,0)</f>
        <v>0</v>
      </c>
      <c r="DR29" s="9">
        <f>IF(118&lt;=核心参数输入!$B$9*4,DR26+DR20+DR27-DR28,0)</f>
        <v>0</v>
      </c>
      <c r="DS29" s="9">
        <f>IF(119&lt;=核心参数输入!$B$9*4,DS26+DS20+DS27-DS28,0)</f>
        <v>0</v>
      </c>
      <c r="DT29" s="9">
        <f>IF(120&lt;=核心参数输入!$B$9*4,DT26+DT20+DT27-DT28,0)</f>
        <v>0</v>
      </c>
    </row>
    <row r="30" spans="1:124" ht="21" customHeight="1">
      <c r="A30" s="8" t="s">
        <v>526</v>
      </c>
      <c r="B30" s="8" t="s">
        <v>39</v>
      </c>
      <c r="C30" s="8"/>
      <c r="D30" s="9">
        <f>IF(0&lt;=核心参数输入!$B$9*4,SUM($D27:D27),0)</f>
        <v>8000</v>
      </c>
      <c r="E30" s="9">
        <f>IF(1&lt;=核心参数输入!$B$9*4,SUM($D27:E27),0)</f>
        <v>9730.8125</v>
      </c>
      <c r="F30" s="9">
        <f>IF(2&lt;=核心参数输入!$B$9*4,SUM($D27:F27),0)</f>
        <v>11485.25</v>
      </c>
      <c r="G30" s="9">
        <f>IF(3&lt;=核心参数输入!$B$9*4,SUM($D27:G27),0)</f>
        <v>13263.3125</v>
      </c>
      <c r="H30" s="9">
        <f>IF(4&lt;=核心参数输入!$B$9*4,SUM($D27:H27),0)</f>
        <v>15065</v>
      </c>
      <c r="I30" s="9">
        <f>IF(5&lt;=核心参数输入!$B$9*4,SUM($D27:I27),0)</f>
        <v>17467.25</v>
      </c>
      <c r="J30" s="9">
        <f>IF(6&lt;=核心参数输入!$B$9*4,SUM($D27:J27),0)</f>
        <v>19901</v>
      </c>
      <c r="K30" s="9">
        <f>IF(7&lt;=核心参数输入!$B$9*4,SUM($D27:K27),0)</f>
        <v>22366.25</v>
      </c>
      <c r="L30" s="9">
        <f>IF(8&lt;=核心参数输入!$B$9*4,SUM($D27:L27),0)</f>
        <v>24863</v>
      </c>
      <c r="M30" s="9">
        <f>IF(9&lt;=核心参数输入!$B$9*4,SUM($D27:M27),0)</f>
        <v>26814.3125</v>
      </c>
      <c r="N30" s="9">
        <f>IF(10&lt;=核心参数输入!$B$9*4,SUM($D27:N27),0)</f>
        <v>28789.25</v>
      </c>
      <c r="O30" s="9">
        <f>IF(11&lt;=核心参数输入!$B$9*4,SUM($D27:O27),0)</f>
        <v>30787.8125</v>
      </c>
      <c r="P30" s="9">
        <f>IF(12&lt;=核心参数输入!$B$9*4,SUM($D27:P27),0)</f>
        <v>32810</v>
      </c>
      <c r="Q30" s="9">
        <f>IF(13&lt;=核心参数输入!$B$9*4,SUM($D27:Q27),0)</f>
        <v>32810</v>
      </c>
      <c r="R30" s="9">
        <f>IF(14&lt;=核心参数输入!$B$9*4,SUM($D27:R27),0)</f>
        <v>32810</v>
      </c>
      <c r="S30" s="9">
        <f>IF(15&lt;=核心参数输入!$B$9*4,SUM($D27:S27),0)</f>
        <v>32810</v>
      </c>
      <c r="T30" s="9">
        <f>IF(16&lt;=核心参数输入!$B$9*4,SUM($D27:T27),0)</f>
        <v>32810</v>
      </c>
      <c r="U30" s="9">
        <f>IF(17&lt;=核心参数输入!$B$9*4,SUM($D27:U27),0)</f>
        <v>32810</v>
      </c>
      <c r="V30" s="9">
        <f>IF(18&lt;=核心参数输入!$B$9*4,SUM($D27:V27),0)</f>
        <v>32810</v>
      </c>
      <c r="W30" s="9">
        <f>IF(19&lt;=核心参数输入!$B$9*4,SUM($D27:W27),0)</f>
        <v>32810</v>
      </c>
      <c r="X30" s="9">
        <f>IF(20&lt;=核心参数输入!$B$9*4,SUM($D27:X27),0)</f>
        <v>32810</v>
      </c>
      <c r="Y30" s="9">
        <f>IF(21&lt;=核心参数输入!$B$9*4,SUM($D27:Y27),0)</f>
        <v>32810</v>
      </c>
      <c r="Z30" s="9">
        <f>IF(22&lt;=核心参数输入!$B$9*4,SUM($D27:Z27),0)</f>
        <v>32810</v>
      </c>
      <c r="AA30" s="9">
        <f>IF(23&lt;=核心参数输入!$B$9*4,SUM($D27:AA27),0)</f>
        <v>32810</v>
      </c>
      <c r="AB30" s="9">
        <f>IF(24&lt;=核心参数输入!$B$9*4,SUM($D27:AB27),0)</f>
        <v>32810</v>
      </c>
      <c r="AC30" s="9">
        <f>IF(25&lt;=核心参数输入!$B$9*4,SUM($D27:AC27),0)</f>
        <v>32810</v>
      </c>
      <c r="AD30" s="9">
        <f>IF(26&lt;=核心参数输入!$B$9*4,SUM($D27:AD27),0)</f>
        <v>32810</v>
      </c>
      <c r="AE30" s="9">
        <f>IF(27&lt;=核心参数输入!$B$9*4,SUM($D27:AE27),0)</f>
        <v>32810</v>
      </c>
      <c r="AF30" s="9">
        <f>IF(28&lt;=核心参数输入!$B$9*4,SUM($D27:AF27),0)</f>
        <v>32810</v>
      </c>
      <c r="AG30" s="9">
        <f>IF(29&lt;=核心参数输入!$B$9*4,SUM($D27:AG27),0)</f>
        <v>32810</v>
      </c>
      <c r="AH30" s="9">
        <f>IF(30&lt;=核心参数输入!$B$9*4,SUM($D27:AH27),0)</f>
        <v>32810</v>
      </c>
      <c r="AI30" s="9">
        <f>IF(31&lt;=核心参数输入!$B$9*4,SUM($D27:AI27),0)</f>
        <v>32810</v>
      </c>
      <c r="AJ30" s="9">
        <f>IF(32&lt;=核心参数输入!$B$9*4,SUM($D27:AJ27),0)</f>
        <v>32810</v>
      </c>
      <c r="AK30" s="9">
        <f>IF(33&lt;=核心参数输入!$B$9*4,SUM($D27:AK27),0)</f>
        <v>32810</v>
      </c>
      <c r="AL30" s="9">
        <f>IF(34&lt;=核心参数输入!$B$9*4,SUM($D27:AL27),0)</f>
        <v>32810</v>
      </c>
      <c r="AM30" s="9">
        <f>IF(35&lt;=核心参数输入!$B$9*4,SUM($D27:AM27),0)</f>
        <v>32810</v>
      </c>
      <c r="AN30" s="9">
        <f>IF(36&lt;=核心参数输入!$B$9*4,SUM($D27:AN27),0)</f>
        <v>32810</v>
      </c>
      <c r="AO30" s="9">
        <f>IF(37&lt;=核心参数输入!$B$9*4,SUM($D27:AO27),0)</f>
        <v>32810</v>
      </c>
      <c r="AP30" s="9">
        <f>IF(38&lt;=核心参数输入!$B$9*4,SUM($D27:AP27),0)</f>
        <v>32810</v>
      </c>
      <c r="AQ30" s="9">
        <f>IF(39&lt;=核心参数输入!$B$9*4,SUM($D27:AQ27),0)</f>
        <v>32810</v>
      </c>
      <c r="AR30" s="9">
        <f>IF(40&lt;=核心参数输入!$B$9*4,SUM($D27:AR27),0)</f>
        <v>32810</v>
      </c>
      <c r="AS30" s="9">
        <f>IF(41&lt;=核心参数输入!$B$9*4,SUM($D27:AS27),0)</f>
        <v>32810</v>
      </c>
      <c r="AT30" s="9">
        <f>IF(42&lt;=核心参数输入!$B$9*4,SUM($D27:AT27),0)</f>
        <v>32810</v>
      </c>
      <c r="AU30" s="9">
        <f>IF(43&lt;=核心参数输入!$B$9*4,SUM($D27:AU27),0)</f>
        <v>32810</v>
      </c>
      <c r="AV30" s="9">
        <f>IF(44&lt;=核心参数输入!$B$9*4,SUM($D27:AV27),0)</f>
        <v>32810</v>
      </c>
      <c r="AW30" s="9">
        <f>IF(45&lt;=核心参数输入!$B$9*4,SUM($D27:AW27),0)</f>
        <v>32810</v>
      </c>
      <c r="AX30" s="9">
        <f>IF(46&lt;=核心参数输入!$B$9*4,SUM($D27:AX27),0)</f>
        <v>32810</v>
      </c>
      <c r="AY30" s="9">
        <f>IF(47&lt;=核心参数输入!$B$9*4,SUM($D27:AY27),0)</f>
        <v>32810</v>
      </c>
      <c r="AZ30" s="9">
        <f>IF(48&lt;=核心参数输入!$B$9*4,SUM($D27:AZ27),0)</f>
        <v>32810</v>
      </c>
      <c r="BA30" s="9">
        <f>IF(49&lt;=核心参数输入!$B$9*4,SUM($D27:BA27),0)</f>
        <v>32810</v>
      </c>
      <c r="BB30" s="9">
        <f>IF(50&lt;=核心参数输入!$B$9*4,SUM($D27:BB27),0)</f>
        <v>32810</v>
      </c>
      <c r="BC30" s="9">
        <f>IF(51&lt;=核心参数输入!$B$9*4,SUM($D27:BC27),0)</f>
        <v>32810</v>
      </c>
      <c r="BD30" s="9">
        <f>IF(52&lt;=核心参数输入!$B$9*4,SUM($D27:BD27),0)</f>
        <v>32810</v>
      </c>
      <c r="BE30" s="9">
        <f>IF(53&lt;=核心参数输入!$B$9*4,SUM($D27:BE27),0)</f>
        <v>32810</v>
      </c>
      <c r="BF30" s="9">
        <f>IF(54&lt;=核心参数输入!$B$9*4,SUM($D27:BF27),0)</f>
        <v>32810</v>
      </c>
      <c r="BG30" s="9">
        <f>IF(55&lt;=核心参数输入!$B$9*4,SUM($D27:BG27),0)</f>
        <v>32810</v>
      </c>
      <c r="BH30" s="9">
        <f>IF(56&lt;=核心参数输入!$B$9*4,SUM($D27:BH27),0)</f>
        <v>32810</v>
      </c>
      <c r="BI30" s="9">
        <f>IF(57&lt;=核心参数输入!$B$9*4,SUM($D27:BI27),0)</f>
        <v>32810</v>
      </c>
      <c r="BJ30" s="9">
        <f>IF(58&lt;=核心参数输入!$B$9*4,SUM($D27:BJ27),0)</f>
        <v>32810</v>
      </c>
      <c r="BK30" s="9">
        <f>IF(59&lt;=核心参数输入!$B$9*4,SUM($D27:BK27),0)</f>
        <v>32810</v>
      </c>
      <c r="BL30" s="9">
        <f>IF(60&lt;=核心参数输入!$B$9*4,SUM($D27:BL27),0)</f>
        <v>32810</v>
      </c>
      <c r="BM30" s="9">
        <f>IF(61&lt;=核心参数输入!$B$9*4,SUM($D27:BM27),0)</f>
        <v>32810</v>
      </c>
      <c r="BN30" s="9">
        <f>IF(62&lt;=核心参数输入!$B$9*4,SUM($D27:BN27),0)</f>
        <v>32810</v>
      </c>
      <c r="BO30" s="9">
        <f>IF(63&lt;=核心参数输入!$B$9*4,SUM($D27:BO27),0)</f>
        <v>32810</v>
      </c>
      <c r="BP30" s="9">
        <f>IF(64&lt;=核心参数输入!$B$9*4,SUM($D27:BP27),0)</f>
        <v>32810</v>
      </c>
      <c r="BQ30" s="9">
        <f>IF(65&lt;=核心参数输入!$B$9*4,SUM($D27:BQ27),0)</f>
        <v>32810</v>
      </c>
      <c r="BR30" s="9">
        <f>IF(66&lt;=核心参数输入!$B$9*4,SUM($D27:BR27),0)</f>
        <v>32810</v>
      </c>
      <c r="BS30" s="9">
        <f>IF(67&lt;=核心参数输入!$B$9*4,SUM($D27:BS27),0)</f>
        <v>32810</v>
      </c>
      <c r="BT30" s="9">
        <f>IF(68&lt;=核心参数输入!$B$9*4,SUM($D27:BT27),0)</f>
        <v>32810</v>
      </c>
      <c r="BU30" s="9">
        <f>IF(69&lt;=核心参数输入!$B$9*4,SUM($D27:BU27),0)</f>
        <v>32810</v>
      </c>
      <c r="BV30" s="9">
        <f>IF(70&lt;=核心参数输入!$B$9*4,SUM($D27:BV27),0)</f>
        <v>32810</v>
      </c>
      <c r="BW30" s="9">
        <f>IF(71&lt;=核心参数输入!$B$9*4,SUM($D27:BW27),0)</f>
        <v>32810</v>
      </c>
      <c r="BX30" s="9">
        <f>IF(72&lt;=核心参数输入!$B$9*4,SUM($D27:BX27),0)</f>
        <v>32810</v>
      </c>
      <c r="BY30" s="9">
        <f>IF(73&lt;=核心参数输入!$B$9*4,SUM($D27:BY27),0)</f>
        <v>32810</v>
      </c>
      <c r="BZ30" s="9">
        <f>IF(74&lt;=核心参数输入!$B$9*4,SUM($D27:BZ27),0)</f>
        <v>32810</v>
      </c>
      <c r="CA30" s="9">
        <f>IF(75&lt;=核心参数输入!$B$9*4,SUM($D27:CA27),0)</f>
        <v>32810</v>
      </c>
      <c r="CB30" s="9">
        <f>IF(76&lt;=核心参数输入!$B$9*4,SUM($D27:CB27),0)</f>
        <v>32810</v>
      </c>
      <c r="CC30" s="9">
        <f>IF(77&lt;=核心参数输入!$B$9*4,SUM($D27:CC27),0)</f>
        <v>32810</v>
      </c>
      <c r="CD30" s="9">
        <f>IF(78&lt;=核心参数输入!$B$9*4,SUM($D27:CD27),0)</f>
        <v>32810</v>
      </c>
      <c r="CE30" s="9">
        <f>IF(79&lt;=核心参数输入!$B$9*4,SUM($D27:CE27),0)</f>
        <v>32810</v>
      </c>
      <c r="CF30" s="9">
        <f>IF(80&lt;=核心参数输入!$B$9*4,SUM($D27:CF27),0)</f>
        <v>32810</v>
      </c>
      <c r="CG30" s="9">
        <f>IF(81&lt;=核心参数输入!$B$9*4,SUM($D27:CG27),0)</f>
        <v>0</v>
      </c>
      <c r="CH30" s="9">
        <f>IF(82&lt;=核心参数输入!$B$9*4,SUM($D27:CH27),0)</f>
        <v>0</v>
      </c>
      <c r="CI30" s="9">
        <f>IF(83&lt;=核心参数输入!$B$9*4,SUM($D27:CI27),0)</f>
        <v>0</v>
      </c>
      <c r="CJ30" s="9">
        <f>IF(84&lt;=核心参数输入!$B$9*4,SUM($D27:CJ27),0)</f>
        <v>0</v>
      </c>
      <c r="CK30" s="9">
        <f>IF(85&lt;=核心参数输入!$B$9*4,SUM($D27:CK27),0)</f>
        <v>0</v>
      </c>
      <c r="CL30" s="9">
        <f>IF(86&lt;=核心参数输入!$B$9*4,SUM($D27:CL27),0)</f>
        <v>0</v>
      </c>
      <c r="CM30" s="9">
        <f>IF(87&lt;=核心参数输入!$B$9*4,SUM($D27:CM27),0)</f>
        <v>0</v>
      </c>
      <c r="CN30" s="9">
        <f>IF(88&lt;=核心参数输入!$B$9*4,SUM($D27:CN27),0)</f>
        <v>0</v>
      </c>
      <c r="CO30" s="9">
        <f>IF(89&lt;=核心参数输入!$B$9*4,SUM($D27:CO27),0)</f>
        <v>0</v>
      </c>
      <c r="CP30" s="9">
        <f>IF(90&lt;=核心参数输入!$B$9*4,SUM($D27:CP27),0)</f>
        <v>0</v>
      </c>
      <c r="CQ30" s="9">
        <f>IF(91&lt;=核心参数输入!$B$9*4,SUM($D27:CQ27),0)</f>
        <v>0</v>
      </c>
      <c r="CR30" s="9">
        <f>IF(92&lt;=核心参数输入!$B$9*4,SUM($D27:CR27),0)</f>
        <v>0</v>
      </c>
      <c r="CS30" s="9">
        <f>IF(93&lt;=核心参数输入!$B$9*4,SUM($D27:CS27),0)</f>
        <v>0</v>
      </c>
      <c r="CT30" s="9">
        <f>IF(94&lt;=核心参数输入!$B$9*4,SUM($D27:CT27),0)</f>
        <v>0</v>
      </c>
      <c r="CU30" s="9">
        <f>IF(95&lt;=核心参数输入!$B$9*4,SUM($D27:CU27),0)</f>
        <v>0</v>
      </c>
      <c r="CV30" s="9">
        <f>IF(96&lt;=核心参数输入!$B$9*4,SUM($D27:CV27),0)</f>
        <v>0</v>
      </c>
      <c r="CW30" s="9">
        <f>IF(97&lt;=核心参数输入!$B$9*4,SUM($D27:CW27),0)</f>
        <v>0</v>
      </c>
      <c r="CX30" s="9">
        <f>IF(98&lt;=核心参数输入!$B$9*4,SUM($D27:CX27),0)</f>
        <v>0</v>
      </c>
      <c r="CY30" s="9">
        <f>IF(99&lt;=核心参数输入!$B$9*4,SUM($D27:CY27),0)</f>
        <v>0</v>
      </c>
      <c r="CZ30" s="9">
        <f>IF(100&lt;=核心参数输入!$B$9*4,SUM($D27:CZ27),0)</f>
        <v>0</v>
      </c>
      <c r="DA30" s="9">
        <f>IF(101&lt;=核心参数输入!$B$9*4,SUM($D27:DA27),0)</f>
        <v>0</v>
      </c>
      <c r="DB30" s="9">
        <f>IF(102&lt;=核心参数输入!$B$9*4,SUM($D27:DB27),0)</f>
        <v>0</v>
      </c>
      <c r="DC30" s="9">
        <f>IF(103&lt;=核心参数输入!$B$9*4,SUM($D27:DC27),0)</f>
        <v>0</v>
      </c>
      <c r="DD30" s="9">
        <f>IF(104&lt;=核心参数输入!$B$9*4,SUM($D27:DD27),0)</f>
        <v>0</v>
      </c>
      <c r="DE30" s="9">
        <f>IF(105&lt;=核心参数输入!$B$9*4,SUM($D27:DE27),0)</f>
        <v>0</v>
      </c>
      <c r="DF30" s="9">
        <f>IF(106&lt;=核心参数输入!$B$9*4,SUM($D27:DF27),0)</f>
        <v>0</v>
      </c>
      <c r="DG30" s="9">
        <f>IF(107&lt;=核心参数输入!$B$9*4,SUM($D27:DG27),0)</f>
        <v>0</v>
      </c>
      <c r="DH30" s="9">
        <f>IF(108&lt;=核心参数输入!$B$9*4,SUM($D27:DH27),0)</f>
        <v>0</v>
      </c>
      <c r="DI30" s="9">
        <f>IF(109&lt;=核心参数输入!$B$9*4,SUM($D27:DI27),0)</f>
        <v>0</v>
      </c>
      <c r="DJ30" s="9">
        <f>IF(110&lt;=核心参数输入!$B$9*4,SUM($D27:DJ27),0)</f>
        <v>0</v>
      </c>
      <c r="DK30" s="9">
        <f>IF(111&lt;=核心参数输入!$B$9*4,SUM($D27:DK27),0)</f>
        <v>0</v>
      </c>
      <c r="DL30" s="9">
        <f>IF(112&lt;=核心参数输入!$B$9*4,SUM($D27:DL27),0)</f>
        <v>0</v>
      </c>
      <c r="DM30" s="9">
        <f>IF(113&lt;=核心参数输入!$B$9*4,SUM($D27:DM27),0)</f>
        <v>0</v>
      </c>
      <c r="DN30" s="9">
        <f>IF(114&lt;=核心参数输入!$B$9*4,SUM($D27:DN27),0)</f>
        <v>0</v>
      </c>
      <c r="DO30" s="9">
        <f>IF(115&lt;=核心参数输入!$B$9*4,SUM($D27:DO27),0)</f>
        <v>0</v>
      </c>
      <c r="DP30" s="9">
        <f>IF(116&lt;=核心参数输入!$B$9*4,SUM($D27:DP27),0)</f>
        <v>0</v>
      </c>
      <c r="DQ30" s="9">
        <f>IF(117&lt;=核心参数输入!$B$9*4,SUM($D27:DQ27),0)</f>
        <v>0</v>
      </c>
      <c r="DR30" s="9">
        <f>IF(118&lt;=核心参数输入!$B$9*4,SUM($D27:DR27),0)</f>
        <v>0</v>
      </c>
      <c r="DS30" s="9">
        <f>IF(119&lt;=核心参数输入!$B$9*4,SUM($D27:DS27),0)</f>
        <v>0</v>
      </c>
      <c r="DT30" s="9">
        <f>IF(120&lt;=核心参数输入!$B$9*4,SUM($D27:DT27),0)</f>
        <v>0</v>
      </c>
    </row>
    <row r="31" spans="1:124" ht="21" customHeight="1">
      <c r="A31" s="8" t="s">
        <v>527</v>
      </c>
      <c r="B31" s="8" t="s">
        <v>39</v>
      </c>
      <c r="C31" s="8"/>
      <c r="D31" s="9">
        <f>IF(0&lt;=核心参数输入!$B$9*4,D28-D27,0)</f>
        <v>-8000</v>
      </c>
      <c r="E31" s="9">
        <f>IF(1&lt;=核心参数输入!$B$9*4,E28-E27,0)</f>
        <v>-1730.8125</v>
      </c>
      <c r="F31" s="9">
        <f>IF(2&lt;=核心参数输入!$B$9*4,F28-F27,0)</f>
        <v>-1754.4375</v>
      </c>
      <c r="G31" s="9">
        <f>IF(3&lt;=核心参数输入!$B$9*4,G28-G27,0)</f>
        <v>-1778.0625</v>
      </c>
      <c r="H31" s="9">
        <f>IF(4&lt;=核心参数输入!$B$9*4,H28-H27,0)</f>
        <v>-1801.6875</v>
      </c>
      <c r="I31" s="9">
        <f>IF(5&lt;=核心参数输入!$B$9*4,I28-I27,0)</f>
        <v>-2402.25</v>
      </c>
      <c r="J31" s="9">
        <f>IF(6&lt;=核心参数输入!$B$9*4,J28-J27,0)</f>
        <v>-2433.75</v>
      </c>
      <c r="K31" s="9">
        <f>IF(7&lt;=核心参数输入!$B$9*4,K28-K27,0)</f>
        <v>-2465.25</v>
      </c>
      <c r="L31" s="9">
        <f>IF(8&lt;=核心参数输入!$B$9*4,L28-L27,0)</f>
        <v>-2496.75</v>
      </c>
      <c r="M31" s="9">
        <f>IF(9&lt;=核心参数输入!$B$9*4,M28-M27,0)</f>
        <v>-1951.3125</v>
      </c>
      <c r="N31" s="9">
        <f>IF(10&lt;=核心参数输入!$B$9*4,N28-N27,0)</f>
        <v>-1974.9375</v>
      </c>
      <c r="O31" s="9">
        <f>IF(11&lt;=核心参数输入!$B$9*4,O28-O27,0)</f>
        <v>-1998.5625</v>
      </c>
      <c r="P31" s="9">
        <f>IF(12&lt;=核心参数输入!$B$9*4,P28-P27,0)</f>
        <v>-2022.1875</v>
      </c>
      <c r="Q31" s="9">
        <f>IF(13&lt;=核心参数输入!$B$9*4,Q28-Q27,0)</f>
        <v>1218.7140625000002</v>
      </c>
      <c r="R31" s="9">
        <f>IF(14&lt;=核心参数输入!$B$9*4,R28-R27,0)</f>
        <v>2829.5738458125002</v>
      </c>
      <c r="S31" s="9">
        <f>IF(15&lt;=核心参数输入!$B$9*4,S28-S27,0)</f>
        <v>1483.436968332589</v>
      </c>
      <c r="T31" s="9">
        <f>IF(16&lt;=核心参数输入!$B$9*4,T28-T27,0)</f>
        <v>0</v>
      </c>
      <c r="U31" s="9">
        <f>IF(17&lt;=核心参数输入!$B$9*4,U28-U27,0)</f>
        <v>3743.3198541853121</v>
      </c>
      <c r="V31" s="9">
        <f>IF(18&lt;=核心参数输入!$B$9*4,V28-V27,0)</f>
        <v>2494.0523918316721</v>
      </c>
      <c r="W31" s="9">
        <f>IF(19&lt;=核心参数输入!$B$9*4,W28-W27,0)</f>
        <v>0</v>
      </c>
      <c r="X31" s="9">
        <f>IF(20&lt;=核心参数输入!$B$9*4,X28-X27,0)</f>
        <v>0</v>
      </c>
      <c r="Y31" s="9">
        <f>IF(21&lt;=核心参数输入!$B$9*4,Y28-Y27,0)</f>
        <v>0</v>
      </c>
      <c r="Z31" s="9">
        <f>IF(22&lt;=核心参数输入!$B$9*4,Z28-Z27,0)</f>
        <v>0</v>
      </c>
      <c r="AA31" s="9">
        <f>IF(23&lt;=核心参数输入!$B$9*4,AA28-AA27,0)</f>
        <v>0</v>
      </c>
      <c r="AB31" s="9">
        <f>IF(24&lt;=核心参数输入!$B$9*4,AB28-AB27,0)</f>
        <v>0</v>
      </c>
      <c r="AC31" s="9">
        <f>IF(25&lt;=核心参数输入!$B$9*4,AC28-AC27,0)</f>
        <v>0</v>
      </c>
      <c r="AD31" s="9">
        <f>IF(26&lt;=核心参数输入!$B$9*4,AD28-AD27,0)</f>
        <v>0</v>
      </c>
      <c r="AE31" s="9">
        <f>IF(27&lt;=核心参数输入!$B$9*4,AE28-AE27,0)</f>
        <v>0</v>
      </c>
      <c r="AF31" s="9">
        <f>IF(28&lt;=核心参数输入!$B$9*4,AF28-AF27,0)</f>
        <v>0</v>
      </c>
      <c r="AG31" s="9">
        <f>IF(29&lt;=核心参数输入!$B$9*4,AG28-AG27,0)</f>
        <v>0</v>
      </c>
      <c r="AH31" s="9">
        <f>IF(30&lt;=核心参数输入!$B$9*4,AH28-AH27,0)</f>
        <v>0</v>
      </c>
      <c r="AI31" s="9">
        <f>IF(31&lt;=核心参数输入!$B$9*4,AI28-AI27,0)</f>
        <v>0</v>
      </c>
      <c r="AJ31" s="9">
        <f>IF(32&lt;=核心参数输入!$B$9*4,AJ28-AJ27,0)</f>
        <v>0</v>
      </c>
      <c r="AK31" s="9">
        <f>IF(33&lt;=核心参数输入!$B$9*4,AK28-AK27,0)</f>
        <v>0</v>
      </c>
      <c r="AL31" s="9">
        <f>IF(34&lt;=核心参数输入!$B$9*4,AL28-AL27,0)</f>
        <v>0</v>
      </c>
      <c r="AM31" s="9">
        <f>IF(35&lt;=核心参数输入!$B$9*4,AM28-AM27,0)</f>
        <v>0</v>
      </c>
      <c r="AN31" s="9">
        <f>IF(36&lt;=核心参数输入!$B$9*4,AN28-AN27,0)</f>
        <v>0</v>
      </c>
      <c r="AO31" s="9">
        <f>IF(37&lt;=核心参数输入!$B$9*4,AO28-AO27,0)</f>
        <v>0</v>
      </c>
      <c r="AP31" s="9">
        <f>IF(38&lt;=核心参数输入!$B$9*4,AP28-AP27,0)</f>
        <v>0</v>
      </c>
      <c r="AQ31" s="9">
        <f>IF(39&lt;=核心参数输入!$B$9*4,AQ28-AQ27,0)</f>
        <v>0</v>
      </c>
      <c r="AR31" s="9">
        <f>IF(40&lt;=核心参数输入!$B$9*4,AR28-AR27,0)</f>
        <v>0</v>
      </c>
      <c r="AS31" s="9">
        <f>IF(41&lt;=核心参数输入!$B$9*4,AS28-AS27,0)</f>
        <v>267.65012380987014</v>
      </c>
      <c r="AT31" s="9">
        <f>IF(42&lt;=核心参数输入!$B$9*4,AT28-AT27,0)</f>
        <v>267.65012380987014</v>
      </c>
      <c r="AU31" s="9">
        <f>IF(43&lt;=核心参数输入!$B$9*4,AU28-AU27,0)</f>
        <v>267.65012380987014</v>
      </c>
      <c r="AV31" s="9">
        <f>IF(44&lt;=核心参数输入!$B$9*4,AV28-AV27,0)</f>
        <v>267.65012380987014</v>
      </c>
      <c r="AW31" s="9">
        <f>IF(45&lt;=核心参数输入!$B$9*4,AW28-AW27,0)</f>
        <v>271.90911854164972</v>
      </c>
      <c r="AX31" s="9">
        <f>IF(46&lt;=核心参数输入!$B$9*4,AX28-AX27,0)</f>
        <v>271.90911854164972</v>
      </c>
      <c r="AY31" s="9">
        <f>IF(47&lt;=核心参数输入!$B$9*4,AY28-AY27,0)</f>
        <v>271.90911854164972</v>
      </c>
      <c r="AZ31" s="9">
        <f>IF(48&lt;=核心参数输入!$B$9*4,AZ28-AZ27,0)</f>
        <v>271.90911854164972</v>
      </c>
      <c r="BA31" s="9">
        <f>IF(49&lt;=核心参数输入!$B$9*4,BA28-BA27,0)</f>
        <v>276.22338305189851</v>
      </c>
      <c r="BB31" s="9">
        <f>IF(50&lt;=核心参数输入!$B$9*4,BB28-BB27,0)</f>
        <v>276.22338305189851</v>
      </c>
      <c r="BC31" s="9">
        <f>IF(51&lt;=核心参数输入!$B$9*4,BC28-BC27,0)</f>
        <v>276.22338305189851</v>
      </c>
      <c r="BD31" s="9">
        <f>IF(52&lt;=核心参数输入!$B$9*4,BD28-BD27,0)</f>
        <v>276.22338305189851</v>
      </c>
      <c r="BE31" s="9">
        <f>IF(53&lt;=核心参数输入!$B$9*4,BE28-BE27,0)</f>
        <v>280.59357408444356</v>
      </c>
      <c r="BF31" s="9">
        <f>IF(54&lt;=核心参数输入!$B$9*4,BF28-BF27,0)</f>
        <v>280.59357408444356</v>
      </c>
      <c r="BG31" s="9">
        <f>IF(55&lt;=核心参数输入!$B$9*4,BG28-BG27,0)</f>
        <v>280.59357408444356</v>
      </c>
      <c r="BH31" s="9">
        <f>IF(56&lt;=核心参数输入!$B$9*4,BH28-BH27,0)</f>
        <v>251.60090143748954</v>
      </c>
      <c r="BI31" s="9">
        <f>IF(57&lt;=核心参数输入!$B$9*4,BI28-BI27,0)</f>
        <v>285.0203547882121</v>
      </c>
      <c r="BJ31" s="9">
        <f>IF(58&lt;=核心参数输入!$B$9*4,BJ28-BJ27,0)</f>
        <v>285.0203547882121</v>
      </c>
      <c r="BK31" s="9">
        <f>IF(59&lt;=核心参数输入!$B$9*4,BK28-BK27,0)</f>
        <v>285.0203547882121</v>
      </c>
      <c r="BL31" s="9">
        <f>IF(60&lt;=核心参数输入!$B$9*4,BL28-BL27,0)</f>
        <v>213.26062499999986</v>
      </c>
      <c r="BM31" s="9">
        <f>IF(61&lt;=核心参数输入!$B$9*4,BM28-BM27,0)</f>
        <v>289.50439474438724</v>
      </c>
      <c r="BN31" s="9">
        <f>IF(62&lt;=核心参数输入!$B$9*4,BN28-BN27,0)</f>
        <v>289.50439474438724</v>
      </c>
      <c r="BO31" s="9">
        <f>IF(63&lt;=核心参数输入!$B$9*4,BO28-BO27,0)</f>
        <v>289.50439474438724</v>
      </c>
      <c r="BP31" s="9">
        <f>IF(64&lt;=核心参数输入!$B$9*4,BP28-BP27,0)</f>
        <v>213.26062499999995</v>
      </c>
      <c r="BQ31" s="9">
        <f>IF(65&lt;=核心参数输入!$B$9*4,BQ28-BQ27,0)</f>
        <v>294.04636999259213</v>
      </c>
      <c r="BR31" s="9">
        <f>IF(66&lt;=核心参数输入!$B$9*4,BR28-BR27,0)</f>
        <v>294.04636999259213</v>
      </c>
      <c r="BS31" s="9">
        <f>IF(67&lt;=核心参数输入!$B$9*4,BS28-BS27,0)</f>
        <v>294.04636999259213</v>
      </c>
      <c r="BT31" s="9">
        <f>IF(68&lt;=核心参数输入!$B$9*4,BT28-BT27,0)</f>
        <v>213.26062499999998</v>
      </c>
      <c r="BU31" s="9">
        <f>IF(69&lt;=核心参数输入!$B$9*4,BU28-BU27,0)</f>
        <v>298.64696305606077</v>
      </c>
      <c r="BV31" s="9">
        <f>IF(70&lt;=核心参数输入!$B$9*4,BV28-BV27,0)</f>
        <v>298.64696305606077</v>
      </c>
      <c r="BW31" s="9">
        <f>IF(71&lt;=核心参数输入!$B$9*4,BW28-BW27,0)</f>
        <v>298.64696305606077</v>
      </c>
      <c r="BX31" s="9">
        <f>IF(72&lt;=核心参数输入!$B$9*4,BX28-BX27,0)</f>
        <v>213.26062499999995</v>
      </c>
      <c r="BY31" s="9">
        <f>IF(73&lt;=核心参数输入!$B$9*4,BY28-BY27,0)</f>
        <v>303.30686296575288</v>
      </c>
      <c r="BZ31" s="9">
        <f>IF(74&lt;=核心参数输入!$B$9*4,BZ28-BZ27,0)</f>
        <v>303.30686296575288</v>
      </c>
      <c r="CA31" s="9">
        <f>IF(75&lt;=核心参数输入!$B$9*4,CA28-CA27,0)</f>
        <v>303.30686296575288</v>
      </c>
      <c r="CB31" s="9">
        <f>IF(76&lt;=核心参数输入!$B$9*4,CB28-CB27,0)</f>
        <v>213.26062499999992</v>
      </c>
      <c r="CC31" s="9">
        <f>IF(77&lt;=核心参数输入!$B$9*4,CC28-CC27,0)</f>
        <v>308.02676528336758</v>
      </c>
      <c r="CD31" s="9">
        <f>IF(78&lt;=核心参数输入!$B$9*4,CD28-CD27,0)</f>
        <v>308.02676528336758</v>
      </c>
      <c r="CE31" s="9">
        <f>IF(79&lt;=核心参数输入!$B$9*4,CE28-CE27,0)</f>
        <v>308.02676528336758</v>
      </c>
      <c r="CF31" s="9">
        <f>IF(80&lt;=核心参数输入!$B$9*4,CF28-CF27,0)</f>
        <v>213.260625</v>
      </c>
      <c r="CG31" s="9">
        <f>IF(81&lt;=核心参数输入!$B$9*4,CG28-CG27,0)</f>
        <v>0</v>
      </c>
      <c r="CH31" s="9">
        <f>IF(82&lt;=核心参数输入!$B$9*4,CH28-CH27,0)</f>
        <v>0</v>
      </c>
      <c r="CI31" s="9">
        <f>IF(83&lt;=核心参数输入!$B$9*4,CI28-CI27,0)</f>
        <v>0</v>
      </c>
      <c r="CJ31" s="9">
        <f>IF(84&lt;=核心参数输入!$B$9*4,CJ28-CJ27,0)</f>
        <v>0</v>
      </c>
      <c r="CK31" s="9">
        <f>IF(85&lt;=核心参数输入!$B$9*4,CK28-CK27,0)</f>
        <v>0</v>
      </c>
      <c r="CL31" s="9">
        <f>IF(86&lt;=核心参数输入!$B$9*4,CL28-CL27,0)</f>
        <v>0</v>
      </c>
      <c r="CM31" s="9">
        <f>IF(87&lt;=核心参数输入!$B$9*4,CM28-CM27,0)</f>
        <v>0</v>
      </c>
      <c r="CN31" s="9">
        <f>IF(88&lt;=核心参数输入!$B$9*4,CN28-CN27,0)</f>
        <v>0</v>
      </c>
      <c r="CO31" s="9">
        <f>IF(89&lt;=核心参数输入!$B$9*4,CO28-CO27,0)</f>
        <v>0</v>
      </c>
      <c r="CP31" s="9">
        <f>IF(90&lt;=核心参数输入!$B$9*4,CP28-CP27,0)</f>
        <v>0</v>
      </c>
      <c r="CQ31" s="9">
        <f>IF(91&lt;=核心参数输入!$B$9*4,CQ28-CQ27,0)</f>
        <v>0</v>
      </c>
      <c r="CR31" s="9">
        <f>IF(92&lt;=核心参数输入!$B$9*4,CR28-CR27,0)</f>
        <v>0</v>
      </c>
      <c r="CS31" s="9">
        <f>IF(93&lt;=核心参数输入!$B$9*4,CS28-CS27,0)</f>
        <v>0</v>
      </c>
      <c r="CT31" s="9">
        <f>IF(94&lt;=核心参数输入!$B$9*4,CT28-CT27,0)</f>
        <v>0</v>
      </c>
      <c r="CU31" s="9">
        <f>IF(95&lt;=核心参数输入!$B$9*4,CU28-CU27,0)</f>
        <v>0</v>
      </c>
      <c r="CV31" s="9">
        <f>IF(96&lt;=核心参数输入!$B$9*4,CV28-CV27,0)</f>
        <v>0</v>
      </c>
      <c r="CW31" s="9">
        <f>IF(97&lt;=核心参数输入!$B$9*4,CW28-CW27,0)</f>
        <v>0</v>
      </c>
      <c r="CX31" s="9">
        <f>IF(98&lt;=核心参数输入!$B$9*4,CX28-CX27,0)</f>
        <v>0</v>
      </c>
      <c r="CY31" s="9">
        <f>IF(99&lt;=核心参数输入!$B$9*4,CY28-CY27,0)</f>
        <v>0</v>
      </c>
      <c r="CZ31" s="9">
        <f>IF(100&lt;=核心参数输入!$B$9*4,CZ28-CZ27,0)</f>
        <v>0</v>
      </c>
      <c r="DA31" s="9">
        <f>IF(101&lt;=核心参数输入!$B$9*4,DA28-DA27,0)</f>
        <v>0</v>
      </c>
      <c r="DB31" s="9">
        <f>IF(102&lt;=核心参数输入!$B$9*4,DB28-DB27,0)</f>
        <v>0</v>
      </c>
      <c r="DC31" s="9">
        <f>IF(103&lt;=核心参数输入!$B$9*4,DC28-DC27,0)</f>
        <v>0</v>
      </c>
      <c r="DD31" s="9">
        <f>IF(104&lt;=核心参数输入!$B$9*4,DD28-DD27,0)</f>
        <v>0</v>
      </c>
      <c r="DE31" s="9">
        <f>IF(105&lt;=核心参数输入!$B$9*4,DE28-DE27,0)</f>
        <v>0</v>
      </c>
      <c r="DF31" s="9">
        <f>IF(106&lt;=核心参数输入!$B$9*4,DF28-DF27,0)</f>
        <v>0</v>
      </c>
      <c r="DG31" s="9">
        <f>IF(107&lt;=核心参数输入!$B$9*4,DG28-DG27,0)</f>
        <v>0</v>
      </c>
      <c r="DH31" s="9">
        <f>IF(108&lt;=核心参数输入!$B$9*4,DH28-DH27,0)</f>
        <v>0</v>
      </c>
      <c r="DI31" s="9">
        <f>IF(109&lt;=核心参数输入!$B$9*4,DI28-DI27,0)</f>
        <v>0</v>
      </c>
      <c r="DJ31" s="9">
        <f>IF(110&lt;=核心参数输入!$B$9*4,DJ28-DJ27,0)</f>
        <v>0</v>
      </c>
      <c r="DK31" s="9">
        <f>IF(111&lt;=核心参数输入!$B$9*4,DK28-DK27,0)</f>
        <v>0</v>
      </c>
      <c r="DL31" s="9">
        <f>IF(112&lt;=核心参数输入!$B$9*4,DL28-DL27,0)</f>
        <v>0</v>
      </c>
      <c r="DM31" s="9">
        <f>IF(113&lt;=核心参数输入!$B$9*4,DM28-DM27,0)</f>
        <v>0</v>
      </c>
      <c r="DN31" s="9">
        <f>IF(114&lt;=核心参数输入!$B$9*4,DN28-DN27,0)</f>
        <v>0</v>
      </c>
      <c r="DO31" s="9">
        <f>IF(115&lt;=核心参数输入!$B$9*4,DO28-DO27,0)</f>
        <v>0</v>
      </c>
      <c r="DP31" s="9">
        <f>IF(116&lt;=核心参数输入!$B$9*4,DP28-DP27,0)</f>
        <v>0</v>
      </c>
      <c r="DQ31" s="9">
        <f>IF(117&lt;=核心参数输入!$B$9*4,DQ28-DQ27,0)</f>
        <v>0</v>
      </c>
      <c r="DR31" s="9">
        <f>IF(118&lt;=核心参数输入!$B$9*4,DR28-DR27,0)</f>
        <v>0</v>
      </c>
      <c r="DS31" s="9">
        <f>IF(119&lt;=核心参数输入!$B$9*4,DS28-DS27,0)</f>
        <v>0</v>
      </c>
      <c r="DT31" s="9">
        <f>IF(120&lt;=核心参数输入!$B$9*4,DT28-DT27,0)</f>
        <v>0</v>
      </c>
    </row>
    <row r="32" spans="1:124" ht="21" customHeight="1">
      <c r="A32" s="8" t="s">
        <v>528</v>
      </c>
      <c r="B32" s="8" t="s">
        <v>39</v>
      </c>
      <c r="C32" s="8"/>
      <c r="D32" s="9">
        <f>IF(0&lt;=核心参数输入!$B$9*4,D26+D20+D27-D28-D29,0)</f>
        <v>0</v>
      </c>
      <c r="E32" s="9">
        <f>IF(1&lt;=核心参数输入!$B$9*4,E26+E20+E27-E28-E29,0)</f>
        <v>0</v>
      </c>
      <c r="F32" s="9">
        <f>IF(2&lt;=核心参数输入!$B$9*4,F26+F20+F27-F28-F29,0)</f>
        <v>0</v>
      </c>
      <c r="G32" s="9">
        <f>IF(3&lt;=核心参数输入!$B$9*4,G26+G20+G27-G28-G29,0)</f>
        <v>0</v>
      </c>
      <c r="H32" s="9">
        <f>IF(4&lt;=核心参数输入!$B$9*4,H26+H20+H27-H28-H29,0)</f>
        <v>0</v>
      </c>
      <c r="I32" s="9">
        <f>IF(5&lt;=核心参数输入!$B$9*4,I26+I20+I27-I28-I29,0)</f>
        <v>0</v>
      </c>
      <c r="J32" s="9">
        <f>IF(6&lt;=核心参数输入!$B$9*4,J26+J20+J27-J28-J29,0)</f>
        <v>0</v>
      </c>
      <c r="K32" s="9">
        <f>IF(7&lt;=核心参数输入!$B$9*4,K26+K20+K27-K28-K29,0)</f>
        <v>0</v>
      </c>
      <c r="L32" s="9">
        <f>IF(8&lt;=核心参数输入!$B$9*4,L26+L20+L27-L28-L29,0)</f>
        <v>0</v>
      </c>
      <c r="M32" s="9">
        <f>IF(9&lt;=核心参数输入!$B$9*4,M26+M20+M27-M28-M29,0)</f>
        <v>0</v>
      </c>
      <c r="N32" s="9">
        <f>IF(10&lt;=核心参数输入!$B$9*4,N26+N20+N27-N28-N29,0)</f>
        <v>0</v>
      </c>
      <c r="O32" s="9">
        <f>IF(11&lt;=核心参数输入!$B$9*4,O26+O20+O27-O28-O29,0)</f>
        <v>0</v>
      </c>
      <c r="P32" s="9">
        <f>IF(12&lt;=核心参数输入!$B$9*4,P26+P20+P27-P28-P29,0)</f>
        <v>0</v>
      </c>
      <c r="Q32" s="9">
        <f>IF(13&lt;=核心参数输入!$B$9*4,Q26+Q20+Q27-Q28-Q29,0)</f>
        <v>0</v>
      </c>
      <c r="R32" s="9">
        <f>IF(14&lt;=核心参数输入!$B$9*4,R26+R20+R27-R28-R29,0)</f>
        <v>0</v>
      </c>
      <c r="S32" s="9">
        <f>IF(15&lt;=核心参数输入!$B$9*4,S26+S20+S27-S28-S29,0)</f>
        <v>0</v>
      </c>
      <c r="T32" s="9">
        <f>IF(16&lt;=核心参数输入!$B$9*4,T26+T20+T27-T28-T29,0)</f>
        <v>0</v>
      </c>
      <c r="U32" s="9">
        <f>IF(17&lt;=核心参数输入!$B$9*4,U26+U20+U27-U28-U29,0)</f>
        <v>0</v>
      </c>
      <c r="V32" s="9">
        <f>IF(18&lt;=核心参数输入!$B$9*4,V26+V20+V27-V28-V29,0)</f>
        <v>0</v>
      </c>
      <c r="W32" s="9">
        <f>IF(19&lt;=核心参数输入!$B$9*4,W26+W20+W27-W28-W29,0)</f>
        <v>0</v>
      </c>
      <c r="X32" s="9">
        <f>IF(20&lt;=核心参数输入!$B$9*4,X26+X20+X27-X28-X29,0)</f>
        <v>0</v>
      </c>
      <c r="Y32" s="9">
        <f>IF(21&lt;=核心参数输入!$B$9*4,Y26+Y20+Y27-Y28-Y29,0)</f>
        <v>0</v>
      </c>
      <c r="Z32" s="9">
        <f>IF(22&lt;=核心参数输入!$B$9*4,Z26+Z20+Z27-Z28-Z29,0)</f>
        <v>0</v>
      </c>
      <c r="AA32" s="9">
        <f>IF(23&lt;=核心参数输入!$B$9*4,AA26+AA20+AA27-AA28-AA29,0)</f>
        <v>0</v>
      </c>
      <c r="AB32" s="9">
        <f>IF(24&lt;=核心参数输入!$B$9*4,AB26+AB20+AB27-AB28-AB29,0)</f>
        <v>0</v>
      </c>
      <c r="AC32" s="9">
        <f>IF(25&lt;=核心参数输入!$B$9*4,AC26+AC20+AC27-AC28-AC29,0)</f>
        <v>0</v>
      </c>
      <c r="AD32" s="9">
        <f>IF(26&lt;=核心参数输入!$B$9*4,AD26+AD20+AD27-AD28-AD29,0)</f>
        <v>0</v>
      </c>
      <c r="AE32" s="9">
        <f>IF(27&lt;=核心参数输入!$B$9*4,AE26+AE20+AE27-AE28-AE29,0)</f>
        <v>0</v>
      </c>
      <c r="AF32" s="9">
        <f>IF(28&lt;=核心参数输入!$B$9*4,AF26+AF20+AF27-AF28-AF29,0)</f>
        <v>0</v>
      </c>
      <c r="AG32" s="9">
        <f>IF(29&lt;=核心参数输入!$B$9*4,AG26+AG20+AG27-AG28-AG29,0)</f>
        <v>0</v>
      </c>
      <c r="AH32" s="9">
        <f>IF(30&lt;=核心参数输入!$B$9*4,AH26+AH20+AH27-AH28-AH29,0)</f>
        <v>0</v>
      </c>
      <c r="AI32" s="9">
        <f>IF(31&lt;=核心参数输入!$B$9*4,AI26+AI20+AI27-AI28-AI29,0)</f>
        <v>0</v>
      </c>
      <c r="AJ32" s="9">
        <f>IF(32&lt;=核心参数输入!$B$9*4,AJ26+AJ20+AJ27-AJ28-AJ29,0)</f>
        <v>0</v>
      </c>
      <c r="AK32" s="9">
        <f>IF(33&lt;=核心参数输入!$B$9*4,AK26+AK20+AK27-AK28-AK29,0)</f>
        <v>0</v>
      </c>
      <c r="AL32" s="9">
        <f>IF(34&lt;=核心参数输入!$B$9*4,AL26+AL20+AL27-AL28-AL29,0)</f>
        <v>0</v>
      </c>
      <c r="AM32" s="9">
        <f>IF(35&lt;=核心参数输入!$B$9*4,AM26+AM20+AM27-AM28-AM29,0)</f>
        <v>0</v>
      </c>
      <c r="AN32" s="9">
        <f>IF(36&lt;=核心参数输入!$B$9*4,AN26+AN20+AN27-AN28-AN29,0)</f>
        <v>0</v>
      </c>
      <c r="AO32" s="9">
        <f>IF(37&lt;=核心参数输入!$B$9*4,AO26+AO20+AO27-AO28-AO29,0)</f>
        <v>0</v>
      </c>
      <c r="AP32" s="9">
        <f>IF(38&lt;=核心参数输入!$B$9*4,AP26+AP20+AP27-AP28-AP29,0)</f>
        <v>0</v>
      </c>
      <c r="AQ32" s="9">
        <f>IF(39&lt;=核心参数输入!$B$9*4,AQ26+AQ20+AQ27-AQ28-AQ29,0)</f>
        <v>0</v>
      </c>
      <c r="AR32" s="9">
        <f>IF(40&lt;=核心参数输入!$B$9*4,AR26+AR20+AR27-AR28-AR29,0)</f>
        <v>0</v>
      </c>
      <c r="AS32" s="9">
        <f>IF(41&lt;=核心参数输入!$B$9*4,AS26+AS20+AS27-AS28-AS29,0)</f>
        <v>0</v>
      </c>
      <c r="AT32" s="9">
        <f>IF(42&lt;=核心参数输入!$B$9*4,AT26+AT20+AT27-AT28-AT29,0)</f>
        <v>0</v>
      </c>
      <c r="AU32" s="9">
        <f>IF(43&lt;=核心参数输入!$B$9*4,AU26+AU20+AU27-AU28-AU29,0)</f>
        <v>0</v>
      </c>
      <c r="AV32" s="9">
        <f>IF(44&lt;=核心参数输入!$B$9*4,AV26+AV20+AV27-AV28-AV29,0)</f>
        <v>0</v>
      </c>
      <c r="AW32" s="9">
        <f>IF(45&lt;=核心参数输入!$B$9*4,AW26+AW20+AW27-AW28-AW29,0)</f>
        <v>0</v>
      </c>
      <c r="AX32" s="9">
        <f>IF(46&lt;=核心参数输入!$B$9*4,AX26+AX20+AX27-AX28-AX29,0)</f>
        <v>0</v>
      </c>
      <c r="AY32" s="9">
        <f>IF(47&lt;=核心参数输入!$B$9*4,AY26+AY20+AY27-AY28-AY29,0)</f>
        <v>0</v>
      </c>
      <c r="AZ32" s="9">
        <f>IF(48&lt;=核心参数输入!$B$9*4,AZ26+AZ20+AZ27-AZ28-AZ29,0)</f>
        <v>0</v>
      </c>
      <c r="BA32" s="9">
        <f>IF(49&lt;=核心参数输入!$B$9*4,BA26+BA20+BA27-BA28-BA29,0)</f>
        <v>0</v>
      </c>
      <c r="BB32" s="9">
        <f>IF(50&lt;=核心参数输入!$B$9*4,BB26+BB20+BB27-BB28-BB29,0)</f>
        <v>0</v>
      </c>
      <c r="BC32" s="9">
        <f>IF(51&lt;=核心参数输入!$B$9*4,BC26+BC20+BC27-BC28-BC29,0)</f>
        <v>0</v>
      </c>
      <c r="BD32" s="9">
        <f>IF(52&lt;=核心参数输入!$B$9*4,BD26+BD20+BD27-BD28-BD29,0)</f>
        <v>0</v>
      </c>
      <c r="BE32" s="9">
        <f>IF(53&lt;=核心参数输入!$B$9*4,BE26+BE20+BE27-BE28-BE29,0)</f>
        <v>0</v>
      </c>
      <c r="BF32" s="9">
        <f>IF(54&lt;=核心参数输入!$B$9*4,BF26+BF20+BF27-BF28-BF29,0)</f>
        <v>0</v>
      </c>
      <c r="BG32" s="9">
        <f>IF(55&lt;=核心参数输入!$B$9*4,BG26+BG20+BG27-BG28-BG29,0)</f>
        <v>0</v>
      </c>
      <c r="BH32" s="9">
        <f>IF(56&lt;=核心参数输入!$B$9*4,BH26+BH20+BH27-BH28-BH29,0)</f>
        <v>0</v>
      </c>
      <c r="BI32" s="9">
        <f>IF(57&lt;=核心参数输入!$B$9*4,BI26+BI20+BI27-BI28-BI29,0)</f>
        <v>0</v>
      </c>
      <c r="BJ32" s="9">
        <f>IF(58&lt;=核心参数输入!$B$9*4,BJ26+BJ20+BJ27-BJ28-BJ29,0)</f>
        <v>0</v>
      </c>
      <c r="BK32" s="9">
        <f>IF(59&lt;=核心参数输入!$B$9*4,BK26+BK20+BK27-BK28-BK29,0)</f>
        <v>0</v>
      </c>
      <c r="BL32" s="9">
        <f>IF(60&lt;=核心参数输入!$B$9*4,BL26+BL20+BL27-BL28-BL29,0)</f>
        <v>0</v>
      </c>
      <c r="BM32" s="9">
        <f>IF(61&lt;=核心参数输入!$B$9*4,BM26+BM20+BM27-BM28-BM29,0)</f>
        <v>0</v>
      </c>
      <c r="BN32" s="9">
        <f>IF(62&lt;=核心参数输入!$B$9*4,BN26+BN20+BN27-BN28-BN29,0)</f>
        <v>0</v>
      </c>
      <c r="BO32" s="9">
        <f>IF(63&lt;=核心参数输入!$B$9*4,BO26+BO20+BO27-BO28-BO29,0)</f>
        <v>0</v>
      </c>
      <c r="BP32" s="9">
        <f>IF(64&lt;=核心参数输入!$B$9*4,BP26+BP20+BP27-BP28-BP29,0)</f>
        <v>0</v>
      </c>
      <c r="BQ32" s="9">
        <f>IF(65&lt;=核心参数输入!$B$9*4,BQ26+BQ20+BQ27-BQ28-BQ29,0)</f>
        <v>0</v>
      </c>
      <c r="BR32" s="9">
        <f>IF(66&lt;=核心参数输入!$B$9*4,BR26+BR20+BR27-BR28-BR29,0)</f>
        <v>0</v>
      </c>
      <c r="BS32" s="9">
        <f>IF(67&lt;=核心参数输入!$B$9*4,BS26+BS20+BS27-BS28-BS29,0)</f>
        <v>0</v>
      </c>
      <c r="BT32" s="9">
        <f>IF(68&lt;=核心参数输入!$B$9*4,BT26+BT20+BT27-BT28-BT29,0)</f>
        <v>0</v>
      </c>
      <c r="BU32" s="9">
        <f>IF(69&lt;=核心参数输入!$B$9*4,BU26+BU20+BU27-BU28-BU29,0)</f>
        <v>0</v>
      </c>
      <c r="BV32" s="9">
        <f>IF(70&lt;=核心参数输入!$B$9*4,BV26+BV20+BV27-BV28-BV29,0)</f>
        <v>0</v>
      </c>
      <c r="BW32" s="9">
        <f>IF(71&lt;=核心参数输入!$B$9*4,BW26+BW20+BW27-BW28-BW29,0)</f>
        <v>0</v>
      </c>
      <c r="BX32" s="9">
        <f>IF(72&lt;=核心参数输入!$B$9*4,BX26+BX20+BX27-BX28-BX29,0)</f>
        <v>0</v>
      </c>
      <c r="BY32" s="9">
        <f>IF(73&lt;=核心参数输入!$B$9*4,BY26+BY20+BY27-BY28-BY29,0)</f>
        <v>0</v>
      </c>
      <c r="BZ32" s="9">
        <f>IF(74&lt;=核心参数输入!$B$9*4,BZ26+BZ20+BZ27-BZ28-BZ29,0)</f>
        <v>0</v>
      </c>
      <c r="CA32" s="9">
        <f>IF(75&lt;=核心参数输入!$B$9*4,CA26+CA20+CA27-CA28-CA29,0)</f>
        <v>0</v>
      </c>
      <c r="CB32" s="9">
        <f>IF(76&lt;=核心参数输入!$B$9*4,CB26+CB20+CB27-CB28-CB29,0)</f>
        <v>0</v>
      </c>
      <c r="CC32" s="9">
        <f>IF(77&lt;=核心参数输入!$B$9*4,CC26+CC20+CC27-CC28-CC29,0)</f>
        <v>0</v>
      </c>
      <c r="CD32" s="9">
        <f>IF(78&lt;=核心参数输入!$B$9*4,CD26+CD20+CD27-CD28-CD29,0)</f>
        <v>0</v>
      </c>
      <c r="CE32" s="9">
        <f>IF(79&lt;=核心参数输入!$B$9*4,CE26+CE20+CE27-CE28-CE29,0)</f>
        <v>0</v>
      </c>
      <c r="CF32" s="9">
        <f>IF(80&lt;=核心参数输入!$B$9*4,CF26+CF20+CF27-CF28-CF29,0)</f>
        <v>0</v>
      </c>
      <c r="CG32" s="9">
        <f>IF(81&lt;=核心参数输入!$B$9*4,CG26+CG20+CG27-CG28-CG29,0)</f>
        <v>0</v>
      </c>
      <c r="CH32" s="9">
        <f>IF(82&lt;=核心参数输入!$B$9*4,CH26+CH20+CH27-CH28-CH29,0)</f>
        <v>0</v>
      </c>
      <c r="CI32" s="9">
        <f>IF(83&lt;=核心参数输入!$B$9*4,CI26+CI20+CI27-CI28-CI29,0)</f>
        <v>0</v>
      </c>
      <c r="CJ32" s="9">
        <f>IF(84&lt;=核心参数输入!$B$9*4,CJ26+CJ20+CJ27-CJ28-CJ29,0)</f>
        <v>0</v>
      </c>
      <c r="CK32" s="9">
        <f>IF(85&lt;=核心参数输入!$B$9*4,CK26+CK20+CK27-CK28-CK29,0)</f>
        <v>0</v>
      </c>
      <c r="CL32" s="9">
        <f>IF(86&lt;=核心参数输入!$B$9*4,CL26+CL20+CL27-CL28-CL29,0)</f>
        <v>0</v>
      </c>
      <c r="CM32" s="9">
        <f>IF(87&lt;=核心参数输入!$B$9*4,CM26+CM20+CM27-CM28-CM29,0)</f>
        <v>0</v>
      </c>
      <c r="CN32" s="9">
        <f>IF(88&lt;=核心参数输入!$B$9*4,CN26+CN20+CN27-CN28-CN29,0)</f>
        <v>0</v>
      </c>
      <c r="CO32" s="9">
        <f>IF(89&lt;=核心参数输入!$B$9*4,CO26+CO20+CO27-CO28-CO29,0)</f>
        <v>0</v>
      </c>
      <c r="CP32" s="9">
        <f>IF(90&lt;=核心参数输入!$B$9*4,CP26+CP20+CP27-CP28-CP29,0)</f>
        <v>0</v>
      </c>
      <c r="CQ32" s="9">
        <f>IF(91&lt;=核心参数输入!$B$9*4,CQ26+CQ20+CQ27-CQ28-CQ29,0)</f>
        <v>0</v>
      </c>
      <c r="CR32" s="9">
        <f>IF(92&lt;=核心参数输入!$B$9*4,CR26+CR20+CR27-CR28-CR29,0)</f>
        <v>0</v>
      </c>
      <c r="CS32" s="9">
        <f>IF(93&lt;=核心参数输入!$B$9*4,CS26+CS20+CS27-CS28-CS29,0)</f>
        <v>0</v>
      </c>
      <c r="CT32" s="9">
        <f>IF(94&lt;=核心参数输入!$B$9*4,CT26+CT20+CT27-CT28-CT29,0)</f>
        <v>0</v>
      </c>
      <c r="CU32" s="9">
        <f>IF(95&lt;=核心参数输入!$B$9*4,CU26+CU20+CU27-CU28-CU29,0)</f>
        <v>0</v>
      </c>
      <c r="CV32" s="9">
        <f>IF(96&lt;=核心参数输入!$B$9*4,CV26+CV20+CV27-CV28-CV29,0)</f>
        <v>0</v>
      </c>
      <c r="CW32" s="9">
        <f>IF(97&lt;=核心参数输入!$B$9*4,CW26+CW20+CW27-CW28-CW29,0)</f>
        <v>0</v>
      </c>
      <c r="CX32" s="9">
        <f>IF(98&lt;=核心参数输入!$B$9*4,CX26+CX20+CX27-CX28-CX29,0)</f>
        <v>0</v>
      </c>
      <c r="CY32" s="9">
        <f>IF(99&lt;=核心参数输入!$B$9*4,CY26+CY20+CY27-CY28-CY29,0)</f>
        <v>0</v>
      </c>
      <c r="CZ32" s="9">
        <f>IF(100&lt;=核心参数输入!$B$9*4,CZ26+CZ20+CZ27-CZ28-CZ29,0)</f>
        <v>0</v>
      </c>
      <c r="DA32" s="9">
        <f>IF(101&lt;=核心参数输入!$B$9*4,DA26+DA20+DA27-DA28-DA29,0)</f>
        <v>0</v>
      </c>
      <c r="DB32" s="9">
        <f>IF(102&lt;=核心参数输入!$B$9*4,DB26+DB20+DB27-DB28-DB29,0)</f>
        <v>0</v>
      </c>
      <c r="DC32" s="9">
        <f>IF(103&lt;=核心参数输入!$B$9*4,DC26+DC20+DC27-DC28-DC29,0)</f>
        <v>0</v>
      </c>
      <c r="DD32" s="9">
        <f>IF(104&lt;=核心参数输入!$B$9*4,DD26+DD20+DD27-DD28-DD29,0)</f>
        <v>0</v>
      </c>
      <c r="DE32" s="9">
        <f>IF(105&lt;=核心参数输入!$B$9*4,DE26+DE20+DE27-DE28-DE29,0)</f>
        <v>0</v>
      </c>
      <c r="DF32" s="9">
        <f>IF(106&lt;=核心参数输入!$B$9*4,DF26+DF20+DF27-DF28-DF29,0)</f>
        <v>0</v>
      </c>
      <c r="DG32" s="9">
        <f>IF(107&lt;=核心参数输入!$B$9*4,DG26+DG20+DG27-DG28-DG29,0)</f>
        <v>0</v>
      </c>
      <c r="DH32" s="9">
        <f>IF(108&lt;=核心参数输入!$B$9*4,DH26+DH20+DH27-DH28-DH29,0)</f>
        <v>0</v>
      </c>
      <c r="DI32" s="9">
        <f>IF(109&lt;=核心参数输入!$B$9*4,DI26+DI20+DI27-DI28-DI29,0)</f>
        <v>0</v>
      </c>
      <c r="DJ32" s="9">
        <f>IF(110&lt;=核心参数输入!$B$9*4,DJ26+DJ20+DJ27-DJ28-DJ29,0)</f>
        <v>0</v>
      </c>
      <c r="DK32" s="9">
        <f>IF(111&lt;=核心参数输入!$B$9*4,DK26+DK20+DK27-DK28-DK29,0)</f>
        <v>0</v>
      </c>
      <c r="DL32" s="9">
        <f>IF(112&lt;=核心参数输入!$B$9*4,DL26+DL20+DL27-DL28-DL29,0)</f>
        <v>0</v>
      </c>
      <c r="DM32" s="9">
        <f>IF(113&lt;=核心参数输入!$B$9*4,DM26+DM20+DM27-DM28-DM29,0)</f>
        <v>0</v>
      </c>
      <c r="DN32" s="9">
        <f>IF(114&lt;=核心参数输入!$B$9*4,DN26+DN20+DN27-DN28-DN29,0)</f>
        <v>0</v>
      </c>
      <c r="DO32" s="9">
        <f>IF(115&lt;=核心参数输入!$B$9*4,DO26+DO20+DO27-DO28-DO29,0)</f>
        <v>0</v>
      </c>
      <c r="DP32" s="9">
        <f>IF(116&lt;=核心参数输入!$B$9*4,DP26+DP20+DP27-DP28-DP29,0)</f>
        <v>0</v>
      </c>
      <c r="DQ32" s="9">
        <f>IF(117&lt;=核心参数输入!$B$9*4,DQ26+DQ20+DQ27-DQ28-DQ29,0)</f>
        <v>0</v>
      </c>
      <c r="DR32" s="9">
        <f>IF(118&lt;=核心参数输入!$B$9*4,DR26+DR20+DR27-DR28-DR29,0)</f>
        <v>0</v>
      </c>
      <c r="DS32" s="9">
        <f>IF(119&lt;=核心参数输入!$B$9*4,DS26+DS20+DS27-DS28-DS29,0)</f>
        <v>0</v>
      </c>
      <c r="DT32" s="9">
        <f>IF(120&lt;=核心参数输入!$B$9*4,DT26+DT20+DT27-DT28-DT29,0)</f>
        <v>0</v>
      </c>
    </row>
    <row r="33" spans="1:124" ht="21" customHeight="1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</row>
    <row r="34" spans="1:124" ht="21" customHeight="1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</row>
    <row r="35" spans="1:124" ht="21" customHeight="1">
      <c r="A35" s="8" t="s">
        <v>529</v>
      </c>
      <c r="B35" s="8" t="s">
        <v>39</v>
      </c>
      <c r="C35" s="8"/>
      <c r="D35" s="9">
        <f>IF(0&lt;=核心参数输入!$B$9*4,IF(0&lt;核心参数输入!$B$9*4,MAX(0,季度现金流!E35-季度现金流!E21),0),0)</f>
        <v>24810</v>
      </c>
      <c r="E35" s="9">
        <f>IF(1&lt;=核心参数输入!$B$9*4,IF(1&lt;核心参数输入!$B$9*4,MAX(0,季度现金流!F35-季度现金流!F21),0),0)</f>
        <v>23079.1875</v>
      </c>
      <c r="F35" s="9">
        <f>IF(2&lt;=核心参数输入!$B$9*4,IF(2&lt;核心参数输入!$B$9*4,MAX(0,季度现金流!G35-季度现金流!G21),0),0)</f>
        <v>21324.75</v>
      </c>
      <c r="G35" s="9">
        <f>IF(3&lt;=核心参数输入!$B$9*4,IF(3&lt;核心参数输入!$B$9*4,MAX(0,季度现金流!H35-季度现金流!H21),0),0)</f>
        <v>19546.6875</v>
      </c>
      <c r="H35" s="9">
        <f>IF(4&lt;=核心参数输入!$B$9*4,IF(4&lt;核心参数输入!$B$9*4,MAX(0,季度现金流!I35-季度现金流!I21),0),0)</f>
        <v>17745</v>
      </c>
      <c r="I35" s="9">
        <f>IF(5&lt;=核心参数输入!$B$9*4,IF(5&lt;核心参数输入!$B$9*4,MAX(0,季度现金流!J35-季度现金流!J21),0),0)</f>
        <v>15342.75</v>
      </c>
      <c r="J35" s="9">
        <f>IF(6&lt;=核心参数输入!$B$9*4,IF(6&lt;核心参数输入!$B$9*4,MAX(0,季度现金流!K35-季度现金流!K21),0),0)</f>
        <v>12909</v>
      </c>
      <c r="K35" s="9">
        <f>IF(7&lt;=核心参数输入!$B$9*4,IF(7&lt;核心参数输入!$B$9*4,MAX(0,季度现金流!L35-季度现金流!L21),0),0)</f>
        <v>10443.75</v>
      </c>
      <c r="L35" s="9">
        <f>IF(8&lt;=核心参数输入!$B$9*4,IF(8&lt;核心参数输入!$B$9*4,MAX(0,季度现金流!M35-季度现金流!M21),0),0)</f>
        <v>7947</v>
      </c>
      <c r="M35" s="9">
        <f>IF(9&lt;=核心参数输入!$B$9*4,IF(9&lt;核心参数输入!$B$9*4,MAX(0,季度现金流!N35-季度现金流!N21),0),0)</f>
        <v>5995.6875</v>
      </c>
      <c r="N35" s="9">
        <f>IF(10&lt;=核心参数输入!$B$9*4,IF(10&lt;核心参数输入!$B$9*4,MAX(0,季度现金流!O35-季度现金流!O21),0),0)</f>
        <v>4020.75</v>
      </c>
      <c r="O35" s="9">
        <f>IF(11&lt;=核心参数输入!$B$9*4,IF(11&lt;核心参数输入!$B$9*4,MAX(0,季度现金流!P35-季度现金流!P21),0),0)</f>
        <v>2022.1875</v>
      </c>
      <c r="P35" s="9">
        <f>IF(12&lt;=核心参数输入!$B$9*4,IF(12&lt;核心参数输入!$B$9*4,MAX(0,季度现金流!Q35-季度现金流!Q21),0),0)</f>
        <v>0</v>
      </c>
      <c r="Q35" s="9">
        <f>IF(13&lt;=核心参数输入!$B$9*4,IF(13&lt;核心参数输入!$B$9*4,MAX(0,季度现金流!R35-季度现金流!R21),0),0)</f>
        <v>0</v>
      </c>
      <c r="R35" s="9">
        <f>IF(14&lt;=核心参数输入!$B$9*4,IF(14&lt;核心参数输入!$B$9*4,MAX(0,季度现金流!S35-季度现金流!S21),0),0)</f>
        <v>0</v>
      </c>
      <c r="S35" s="9">
        <f>IF(15&lt;=核心参数输入!$B$9*4,IF(15&lt;核心参数输入!$B$9*4,MAX(0,季度现金流!T35-季度现金流!T21),0),0)</f>
        <v>1396.0439441049111</v>
      </c>
      <c r="T35" s="9">
        <f>IF(16&lt;=核心参数输入!$B$9*4,IF(16&lt;核心参数输入!$B$9*4,MAX(0,季度现金流!U35-季度现金流!U21),0),0)</f>
        <v>0</v>
      </c>
      <c r="U35" s="9">
        <f>IF(17&lt;=核心参数输入!$B$9*4,IF(17&lt;核心参数输入!$B$9*4,MAX(0,季度现金流!V35-季度现金流!V21),0),0)</f>
        <v>0</v>
      </c>
      <c r="V35" s="9">
        <f>IF(18&lt;=核心参数输入!$B$9*4,IF(18&lt;核心参数输入!$B$9*4,MAX(0,季度现金流!W35-季度现金流!W21),0),0)</f>
        <v>1646.6951831907027</v>
      </c>
      <c r="W35" s="9">
        <f>IF(19&lt;=核心参数输入!$B$9*4,IF(19&lt;核心参数输入!$B$9*4,MAX(0,季度现金流!X35-季度现金流!X21),0),0)</f>
        <v>5807.7050272628276</v>
      </c>
      <c r="X35" s="9">
        <f>IF(20&lt;=核心参数输入!$B$9*4,IF(20&lt;核心参数输入!$B$9*4,MAX(0,季度现金流!Y35-季度现金流!Y21),0),0)</f>
        <v>5240.868945569996</v>
      </c>
      <c r="Y35" s="9">
        <f>IF(21&lt;=核心参数输入!$B$9*4,IF(21&lt;核心参数输入!$B$9*4,MAX(0,季度现金流!Z35-季度现金流!Z21),0),0)</f>
        <v>8772.0717497241949</v>
      </c>
      <c r="Z35" s="9">
        <f>IF(22&lt;=核心参数输入!$B$9*4,IF(22&lt;核心参数输入!$B$9*4,MAX(0,季度现金流!AA35-季度现金流!AA21),0),0)</f>
        <v>11959.301231578203</v>
      </c>
      <c r="AA35" s="9">
        <f>IF(23&lt;=核心参数输入!$B$9*4,IF(23&lt;核心参数输入!$B$9*4,MAX(0,季度现金流!AB35-季度现金流!AB21),0),0)</f>
        <v>15161.955365746333</v>
      </c>
      <c r="AB35" s="9">
        <f>IF(24&lt;=核心参数输入!$B$9*4,IF(24&lt;核心参数输入!$B$9*4,MAX(0,季度现金流!AC35-季度现金流!AC21),0),0)</f>
        <v>13721.068877349653</v>
      </c>
      <c r="AC35" s="9">
        <f>IF(25&lt;=核心参数输入!$B$9*4,IF(25&lt;核心参数输入!$B$9*4,MAX(0,季度现金流!AD35-季度现金流!AD21),0),0)</f>
        <v>14849.426350540474</v>
      </c>
      <c r="AD35" s="9">
        <f>IF(26&lt;=核心参数输入!$B$9*4,IF(26&lt;核心参数输入!$B$9*4,MAX(0,季度现金流!AE35-季度现金流!AE21),0),0)</f>
        <v>14902.314921797184</v>
      </c>
      <c r="AE35" s="9">
        <f>IF(27&lt;=核心参数输入!$B$9*4,IF(27&lt;核心参数输入!$B$9*4,MAX(0,季度现金流!AF35-季度现金流!AF21),0),0)</f>
        <v>14960.422167086839</v>
      </c>
      <c r="AF35" s="9">
        <f>IF(28&lt;=核心参数输入!$B$9*4,IF(28&lt;核心参数输入!$B$9*4,MAX(0,季度现金流!AG35-季度现金流!AG21),0),0)</f>
        <v>10760.533800695153</v>
      </c>
      <c r="AG35" s="9">
        <f>IF(29&lt;=核心参数输入!$B$9*4,IF(29&lt;核心参数输入!$B$9*4,MAX(0,季度现金流!AH35-季度现金流!AH21),0),0)</f>
        <v>10878.083609951031</v>
      </c>
      <c r="AH35" s="9">
        <f>IF(30&lt;=核心参数输入!$B$9*4,IF(30&lt;核心参数输入!$B$9*4,MAX(0,季度现金流!AI35-季度现金流!AI21),0),0)</f>
        <v>10998.281896278628</v>
      </c>
      <c r="AI35" s="9">
        <f>IF(31&lt;=核心参数输入!$B$9*4,IF(31&lt;核心参数输入!$B$9*4,MAX(0,季度现金流!AJ35-季度现金流!AJ21),0),0)</f>
        <v>11118.480182606225</v>
      </c>
      <c r="AJ35" s="9">
        <f>IF(32&lt;=核心参数输入!$B$9*4,IF(32&lt;核心参数输入!$B$9*4,MAX(0,季度现金流!AK35-季度现金流!AK21),0),0)</f>
        <v>6975.4641832195357</v>
      </c>
      <c r="AK35" s="9">
        <f>IF(33&lt;=核心参数输入!$B$9*4,IF(33&lt;核心参数输入!$B$9*4,MAX(0,季度现金流!AL35-季度现金流!AL21),0),0)</f>
        <v>7144.759531782046</v>
      </c>
      <c r="AL35" s="9">
        <f>IF(34&lt;=核心参数输入!$B$9*4,IF(34&lt;核心参数输入!$B$9*4,MAX(0,季度现金流!AM35-季度现金流!AM21),0),0)</f>
        <v>7314.0548803445563</v>
      </c>
      <c r="AM35" s="9">
        <f>IF(35&lt;=核心参数输入!$B$9*4,IF(35&lt;核心参数输入!$B$9*4,MAX(0,季度现金流!AN35-季度现金流!AN21),0),0)</f>
        <v>7483.3502289070666</v>
      </c>
      <c r="AN35" s="9">
        <f>IF(36&lt;=核心参数输入!$B$9*4,IF(36&lt;核心参数输入!$B$9*4,MAX(0,季度现金流!AO35-季度现金流!AO21),0),0)</f>
        <v>3389.4312917552916</v>
      </c>
      <c r="AO35" s="9">
        <f>IF(37&lt;=核心参数输入!$B$9*4,IF(37&lt;核心参数输入!$B$9*4,MAX(0,季度现金流!AP35-季度现金流!AP21),0),0)</f>
        <v>3607.8770402450396</v>
      </c>
      <c r="AP35" s="9">
        <f>IF(38&lt;=核心参数输入!$B$9*4,IF(38&lt;核心参数输入!$B$9*4,MAX(0,季度现金流!AQ35-季度现金流!AQ21),0),0)</f>
        <v>3826.3227887347875</v>
      </c>
      <c r="AQ35" s="9">
        <f>IF(39&lt;=核心参数输入!$B$9*4,IF(39&lt;核心参数输入!$B$9*4,MAX(0,季度现金流!AR35-季度现金流!AR21),0),0)</f>
        <v>4044.7685372245355</v>
      </c>
      <c r="AR35" s="9">
        <f>IF(40&lt;=核心参数输入!$B$9*4,IF(40&lt;核心参数输入!$B$9*4,MAX(0,季度现金流!AS35-季度现金流!AS21),0),0)</f>
        <v>0</v>
      </c>
      <c r="AS35" s="9">
        <f>IF(41&lt;=核心参数输入!$B$9*4,IF(41&lt;核心参数输入!$B$9*4,MAX(0,季度现金流!AT35-季度现金流!AT21),0),0)</f>
        <v>0</v>
      </c>
      <c r="AT35" s="9">
        <f>IF(42&lt;=核心参数输入!$B$9*4,IF(42&lt;核心参数输入!$B$9*4,MAX(0,季度现金流!AU35-季度现金流!AU21),0),0)</f>
        <v>0</v>
      </c>
      <c r="AU35" s="9">
        <f>IF(43&lt;=核心参数输入!$B$9*4,IF(43&lt;核心参数输入!$B$9*4,MAX(0,季度现金流!AV35-季度现金流!AV21),0),0)</f>
        <v>0</v>
      </c>
      <c r="AV35" s="9">
        <f>IF(44&lt;=核心参数输入!$B$9*4,IF(44&lt;核心参数输入!$B$9*4,MAX(0,季度现金流!AW35-季度现金流!AW21),0),0)</f>
        <v>0</v>
      </c>
      <c r="AW35" s="9">
        <f>IF(45&lt;=核心参数输入!$B$9*4,IF(45&lt;核心参数输入!$B$9*4,MAX(0,季度现金流!AX35-季度现金流!AX21),0),0)</f>
        <v>0</v>
      </c>
      <c r="AX35" s="9">
        <f>IF(46&lt;=核心参数输入!$B$9*4,IF(46&lt;核心参数输入!$B$9*4,MAX(0,季度现金流!AY35-季度现金流!AY21),0),0)</f>
        <v>0</v>
      </c>
      <c r="AY35" s="9">
        <f>IF(47&lt;=核心参数输入!$B$9*4,IF(47&lt;核心参数输入!$B$9*4,MAX(0,季度现金流!AZ35-季度现金流!AZ21),0),0)</f>
        <v>0</v>
      </c>
      <c r="AZ35" s="9">
        <f>IF(48&lt;=核心参数输入!$B$9*4,IF(48&lt;核心参数输入!$B$9*4,MAX(0,季度现金流!BA35-季度现金流!BA21),0),0)</f>
        <v>0</v>
      </c>
      <c r="BA35" s="9">
        <f>IF(49&lt;=核心参数输入!$B$9*4,IF(49&lt;核心参数输入!$B$9*4,MAX(0,季度现金流!BB35-季度现金流!BB21),0),0)</f>
        <v>0</v>
      </c>
      <c r="BB35" s="9">
        <f>IF(50&lt;=核心参数输入!$B$9*4,IF(50&lt;核心参数输入!$B$9*4,MAX(0,季度现金流!BC35-季度现金流!BC21),0),0)</f>
        <v>0</v>
      </c>
      <c r="BC35" s="9">
        <f>IF(51&lt;=核心参数输入!$B$9*4,IF(51&lt;核心参数输入!$B$9*4,MAX(0,季度现金流!BD35-季度现金流!BD21),0),0)</f>
        <v>0</v>
      </c>
      <c r="BD35" s="9">
        <f>IF(52&lt;=核心参数输入!$B$9*4,IF(52&lt;核心参数输入!$B$9*4,MAX(0,季度现金流!BE35-季度现金流!BE21),0),0)</f>
        <v>0</v>
      </c>
      <c r="BE35" s="9">
        <f>IF(53&lt;=核心参数输入!$B$9*4,IF(53&lt;核心参数输入!$B$9*4,MAX(0,季度现金流!BF35-季度现金流!BF21),0),0)</f>
        <v>0</v>
      </c>
      <c r="BF35" s="9">
        <f>IF(54&lt;=核心参数输入!$B$9*4,IF(54&lt;核心参数输入!$B$9*4,MAX(0,季度现金流!BG35-季度现金流!BG21),0),0)</f>
        <v>0</v>
      </c>
      <c r="BG35" s="9">
        <f>IF(55&lt;=核心参数输入!$B$9*4,IF(55&lt;核心参数输入!$B$9*4,MAX(0,季度现金流!BH35-季度现金流!BH21),0),0)</f>
        <v>0</v>
      </c>
      <c r="BH35" s="9">
        <f>IF(56&lt;=核心参数输入!$B$9*4,IF(56&lt;核心参数输入!$B$9*4,MAX(0,季度现金流!BI35-季度现金流!BI21),0),0)</f>
        <v>0</v>
      </c>
      <c r="BI35" s="9">
        <f>IF(57&lt;=核心参数输入!$B$9*4,IF(57&lt;核心参数输入!$B$9*4,MAX(0,季度现金流!BJ35-季度现金流!BJ21),0),0)</f>
        <v>0</v>
      </c>
      <c r="BJ35" s="9">
        <f>IF(58&lt;=核心参数输入!$B$9*4,IF(58&lt;核心参数输入!$B$9*4,MAX(0,季度现金流!BK35-季度现金流!BK21),0),0)</f>
        <v>0</v>
      </c>
      <c r="BK35" s="9">
        <f>IF(59&lt;=核心参数输入!$B$9*4,IF(59&lt;核心参数输入!$B$9*4,MAX(0,季度现金流!BL35-季度现金流!BL21),0),0)</f>
        <v>0</v>
      </c>
      <c r="BL35" s="9">
        <f>IF(60&lt;=核心参数输入!$B$9*4,IF(60&lt;核心参数输入!$B$9*4,MAX(0,季度现金流!BM35-季度现金流!BM21),0),0)</f>
        <v>0</v>
      </c>
      <c r="BM35" s="9">
        <f>IF(61&lt;=核心参数输入!$B$9*4,IF(61&lt;核心参数输入!$B$9*4,MAX(0,季度现金流!BN35-季度现金流!BN21),0),0)</f>
        <v>0</v>
      </c>
      <c r="BN35" s="9">
        <f>IF(62&lt;=核心参数输入!$B$9*4,IF(62&lt;核心参数输入!$B$9*4,MAX(0,季度现金流!BO35-季度现金流!BO21),0),0)</f>
        <v>0</v>
      </c>
      <c r="BO35" s="9">
        <f>IF(63&lt;=核心参数输入!$B$9*4,IF(63&lt;核心参数输入!$B$9*4,MAX(0,季度现金流!BP35-季度现金流!BP21),0),0)</f>
        <v>0</v>
      </c>
      <c r="BP35" s="9">
        <f>IF(64&lt;=核心参数输入!$B$9*4,IF(64&lt;核心参数输入!$B$9*4,MAX(0,季度现金流!BQ35-季度现金流!BQ21),0),0)</f>
        <v>0</v>
      </c>
      <c r="BQ35" s="9">
        <f>IF(65&lt;=核心参数输入!$B$9*4,IF(65&lt;核心参数输入!$B$9*4,MAX(0,季度现金流!BR35-季度现金流!BR21),0),0)</f>
        <v>0</v>
      </c>
      <c r="BR35" s="9">
        <f>IF(66&lt;=核心参数输入!$B$9*4,IF(66&lt;核心参数输入!$B$9*4,MAX(0,季度现金流!BS35-季度现金流!BS21),0),0)</f>
        <v>0</v>
      </c>
      <c r="BS35" s="9">
        <f>IF(67&lt;=核心参数输入!$B$9*4,IF(67&lt;核心参数输入!$B$9*4,MAX(0,季度现金流!BT35-季度现金流!BT21),0),0)</f>
        <v>0</v>
      </c>
      <c r="BT35" s="9">
        <f>IF(68&lt;=核心参数输入!$B$9*4,IF(68&lt;核心参数输入!$B$9*4,MAX(0,季度现金流!BU35-季度现金流!BU21),0),0)</f>
        <v>0</v>
      </c>
      <c r="BU35" s="9">
        <f>IF(69&lt;=核心参数输入!$B$9*4,IF(69&lt;核心参数输入!$B$9*4,MAX(0,季度现金流!BV35-季度现金流!BV21),0),0)</f>
        <v>0</v>
      </c>
      <c r="BV35" s="9">
        <f>IF(70&lt;=核心参数输入!$B$9*4,IF(70&lt;核心参数输入!$B$9*4,MAX(0,季度现金流!BW35-季度现金流!BW21),0),0)</f>
        <v>0</v>
      </c>
      <c r="BW35" s="9">
        <f>IF(71&lt;=核心参数输入!$B$9*4,IF(71&lt;核心参数输入!$B$9*4,MAX(0,季度现金流!BX35-季度现金流!BX21),0),0)</f>
        <v>0</v>
      </c>
      <c r="BX35" s="9">
        <f>IF(72&lt;=核心参数输入!$B$9*4,IF(72&lt;核心参数输入!$B$9*4,MAX(0,季度现金流!BY35-季度现金流!BY21),0),0)</f>
        <v>0</v>
      </c>
      <c r="BY35" s="9">
        <f>IF(73&lt;=核心参数输入!$B$9*4,IF(73&lt;核心参数输入!$B$9*4,MAX(0,季度现金流!BZ35-季度现金流!BZ21),0),0)</f>
        <v>0</v>
      </c>
      <c r="BZ35" s="9">
        <f>IF(74&lt;=核心参数输入!$B$9*4,IF(74&lt;核心参数输入!$B$9*4,MAX(0,季度现金流!CA35-季度现金流!CA21),0),0)</f>
        <v>0</v>
      </c>
      <c r="CA35" s="9">
        <f>IF(75&lt;=核心参数输入!$B$9*4,IF(75&lt;核心参数输入!$B$9*4,MAX(0,季度现金流!CB35-季度现金流!CB21),0),0)</f>
        <v>0</v>
      </c>
      <c r="CB35" s="9">
        <f>IF(76&lt;=核心参数输入!$B$9*4,IF(76&lt;核心参数输入!$B$9*4,MAX(0,季度现金流!CC35-季度现金流!CC21),0),0)</f>
        <v>0</v>
      </c>
      <c r="CC35" s="9">
        <f>IF(77&lt;=核心参数输入!$B$9*4,IF(77&lt;核心参数输入!$B$9*4,MAX(0,季度现金流!CD35-季度现金流!CD21),0),0)</f>
        <v>0</v>
      </c>
      <c r="CD35" s="9">
        <f>IF(78&lt;=核心参数输入!$B$9*4,IF(78&lt;核心参数输入!$B$9*4,MAX(0,季度现金流!CE35-季度现金流!CE21),0),0)</f>
        <v>0</v>
      </c>
      <c r="CE35" s="9">
        <f>IF(79&lt;=核心参数输入!$B$9*4,IF(79&lt;核心参数输入!$B$9*4,MAX(0,季度现金流!CF35-季度现金流!CF21),0),0)</f>
        <v>0</v>
      </c>
      <c r="CF35" s="9">
        <f>IF(80&lt;=核心参数输入!$B$9*4,IF(80&lt;核心参数输入!$B$9*4,MAX(0,季度现金流!CG35-季度现金流!CG21),0),0)</f>
        <v>0</v>
      </c>
      <c r="CG35" s="9">
        <f>IF(81&lt;=核心参数输入!$B$9*4,IF(81&lt;核心参数输入!$B$9*4,MAX(0,季度现金流!CH35-季度现金流!CH21),0),0)</f>
        <v>0</v>
      </c>
      <c r="CH35" s="9">
        <f>IF(82&lt;=核心参数输入!$B$9*4,IF(82&lt;核心参数输入!$B$9*4,MAX(0,季度现金流!CI35-季度现金流!CI21),0),0)</f>
        <v>0</v>
      </c>
      <c r="CI35" s="9">
        <f>IF(83&lt;=核心参数输入!$B$9*4,IF(83&lt;核心参数输入!$B$9*4,MAX(0,季度现金流!CJ35-季度现金流!CJ21),0),0)</f>
        <v>0</v>
      </c>
      <c r="CJ35" s="9">
        <f>IF(84&lt;=核心参数输入!$B$9*4,IF(84&lt;核心参数输入!$B$9*4,MAX(0,季度现金流!CK35-季度现金流!CK21),0),0)</f>
        <v>0</v>
      </c>
      <c r="CK35" s="9">
        <f>IF(85&lt;=核心参数输入!$B$9*4,IF(85&lt;核心参数输入!$B$9*4,MAX(0,季度现金流!CL35-季度现金流!CL21),0),0)</f>
        <v>0</v>
      </c>
      <c r="CL35" s="9">
        <f>IF(86&lt;=核心参数输入!$B$9*4,IF(86&lt;核心参数输入!$B$9*4,MAX(0,季度现金流!CM35-季度现金流!CM21),0),0)</f>
        <v>0</v>
      </c>
      <c r="CM35" s="9">
        <f>IF(87&lt;=核心参数输入!$B$9*4,IF(87&lt;核心参数输入!$B$9*4,MAX(0,季度现金流!CN35-季度现金流!CN21),0),0)</f>
        <v>0</v>
      </c>
      <c r="CN35" s="9">
        <f>IF(88&lt;=核心参数输入!$B$9*4,IF(88&lt;核心参数输入!$B$9*4,MAX(0,季度现金流!CO35-季度现金流!CO21),0),0)</f>
        <v>0</v>
      </c>
      <c r="CO35" s="9">
        <f>IF(89&lt;=核心参数输入!$B$9*4,IF(89&lt;核心参数输入!$B$9*4,MAX(0,季度现金流!CP35-季度现金流!CP21),0),0)</f>
        <v>0</v>
      </c>
      <c r="CP35" s="9">
        <f>IF(90&lt;=核心参数输入!$B$9*4,IF(90&lt;核心参数输入!$B$9*4,MAX(0,季度现金流!CQ35-季度现金流!CQ21),0),0)</f>
        <v>0</v>
      </c>
      <c r="CQ35" s="9">
        <f>IF(91&lt;=核心参数输入!$B$9*4,IF(91&lt;核心参数输入!$B$9*4,MAX(0,季度现金流!CR35-季度现金流!CR21),0),0)</f>
        <v>0</v>
      </c>
      <c r="CR35" s="9">
        <f>IF(92&lt;=核心参数输入!$B$9*4,IF(92&lt;核心参数输入!$B$9*4,MAX(0,季度现金流!CS35-季度现金流!CS21),0),0)</f>
        <v>0</v>
      </c>
      <c r="CS35" s="9">
        <f>IF(93&lt;=核心参数输入!$B$9*4,IF(93&lt;核心参数输入!$B$9*4,MAX(0,季度现金流!CT35-季度现金流!CT21),0),0)</f>
        <v>0</v>
      </c>
      <c r="CT35" s="9">
        <f>IF(94&lt;=核心参数输入!$B$9*4,IF(94&lt;核心参数输入!$B$9*4,MAX(0,季度现金流!CU35-季度现金流!CU21),0),0)</f>
        <v>0</v>
      </c>
      <c r="CU35" s="9">
        <f>IF(95&lt;=核心参数输入!$B$9*4,IF(95&lt;核心参数输入!$B$9*4,MAX(0,季度现金流!CV35-季度现金流!CV21),0),0)</f>
        <v>0</v>
      </c>
      <c r="CV35" s="9">
        <f>IF(96&lt;=核心参数输入!$B$9*4,IF(96&lt;核心参数输入!$B$9*4,MAX(0,季度现金流!CW35-季度现金流!CW21),0),0)</f>
        <v>0</v>
      </c>
      <c r="CW35" s="9">
        <f>IF(97&lt;=核心参数输入!$B$9*4,IF(97&lt;核心参数输入!$B$9*4,MAX(0,季度现金流!CX35-季度现金流!CX21),0),0)</f>
        <v>0</v>
      </c>
      <c r="CX35" s="9">
        <f>IF(98&lt;=核心参数输入!$B$9*4,IF(98&lt;核心参数输入!$B$9*4,MAX(0,季度现金流!CY35-季度现金流!CY21),0),0)</f>
        <v>0</v>
      </c>
      <c r="CY35" s="9">
        <f>IF(99&lt;=核心参数输入!$B$9*4,IF(99&lt;核心参数输入!$B$9*4,MAX(0,季度现金流!CZ35-季度现金流!CZ21),0),0)</f>
        <v>0</v>
      </c>
      <c r="CZ35" s="9">
        <f>IF(100&lt;=核心参数输入!$B$9*4,IF(100&lt;核心参数输入!$B$9*4,MAX(0,季度现金流!DA35-季度现金流!DA21),0),0)</f>
        <v>0</v>
      </c>
      <c r="DA35" s="9">
        <f>IF(101&lt;=核心参数输入!$B$9*4,IF(101&lt;核心参数输入!$B$9*4,MAX(0,季度现金流!DB35-季度现金流!DB21),0),0)</f>
        <v>0</v>
      </c>
      <c r="DB35" s="9">
        <f>IF(102&lt;=核心参数输入!$B$9*4,IF(102&lt;核心参数输入!$B$9*4,MAX(0,季度现金流!DC35-季度现金流!DC21),0),0)</f>
        <v>0</v>
      </c>
      <c r="DC35" s="9">
        <f>IF(103&lt;=核心参数输入!$B$9*4,IF(103&lt;核心参数输入!$B$9*4,MAX(0,季度现金流!DD35-季度现金流!DD21),0),0)</f>
        <v>0</v>
      </c>
      <c r="DD35" s="9">
        <f>IF(104&lt;=核心参数输入!$B$9*4,IF(104&lt;核心参数输入!$B$9*4,MAX(0,季度现金流!DE35-季度现金流!DE21),0),0)</f>
        <v>0</v>
      </c>
      <c r="DE35" s="9">
        <f>IF(105&lt;=核心参数输入!$B$9*4,IF(105&lt;核心参数输入!$B$9*4,MAX(0,季度现金流!DF35-季度现金流!DF21),0),0)</f>
        <v>0</v>
      </c>
      <c r="DF35" s="9">
        <f>IF(106&lt;=核心参数输入!$B$9*4,IF(106&lt;核心参数输入!$B$9*4,MAX(0,季度现金流!DG35-季度现金流!DG21),0),0)</f>
        <v>0</v>
      </c>
      <c r="DG35" s="9">
        <f>IF(107&lt;=核心参数输入!$B$9*4,IF(107&lt;核心参数输入!$B$9*4,MAX(0,季度现金流!DH35-季度现金流!DH21),0),0)</f>
        <v>0</v>
      </c>
      <c r="DH35" s="9">
        <f>IF(108&lt;=核心参数输入!$B$9*4,IF(108&lt;核心参数输入!$B$9*4,MAX(0,季度现金流!DI35-季度现金流!DI21),0),0)</f>
        <v>0</v>
      </c>
      <c r="DI35" s="9">
        <f>IF(109&lt;=核心参数输入!$B$9*4,IF(109&lt;核心参数输入!$B$9*4,MAX(0,季度现金流!DJ35-季度现金流!DJ21),0),0)</f>
        <v>0</v>
      </c>
      <c r="DJ35" s="9">
        <f>IF(110&lt;=核心参数输入!$B$9*4,IF(110&lt;核心参数输入!$B$9*4,MAX(0,季度现金流!DK35-季度现金流!DK21),0),0)</f>
        <v>0</v>
      </c>
      <c r="DK35" s="9">
        <f>IF(111&lt;=核心参数输入!$B$9*4,IF(111&lt;核心参数输入!$B$9*4,MAX(0,季度现金流!DL35-季度现金流!DL21),0),0)</f>
        <v>0</v>
      </c>
      <c r="DL35" s="9">
        <f>IF(112&lt;=核心参数输入!$B$9*4,IF(112&lt;核心参数输入!$B$9*4,MAX(0,季度现金流!DM35-季度现金流!DM21),0),0)</f>
        <v>0</v>
      </c>
      <c r="DM35" s="9">
        <f>IF(113&lt;=核心参数输入!$B$9*4,IF(113&lt;核心参数输入!$B$9*4,MAX(0,季度现金流!DN35-季度现金流!DN21),0),0)</f>
        <v>0</v>
      </c>
      <c r="DN35" s="9">
        <f>IF(114&lt;=核心参数输入!$B$9*4,IF(114&lt;核心参数输入!$B$9*4,MAX(0,季度现金流!DO35-季度现金流!DO21),0),0)</f>
        <v>0</v>
      </c>
      <c r="DO35" s="9">
        <f>IF(115&lt;=核心参数输入!$B$9*4,IF(115&lt;核心参数输入!$B$9*4,MAX(0,季度现金流!DP35-季度现金流!DP21),0),0)</f>
        <v>0</v>
      </c>
      <c r="DP35" s="9">
        <f>IF(116&lt;=核心参数输入!$B$9*4,IF(116&lt;核心参数输入!$B$9*4,MAX(0,季度现金流!DQ35-季度现金流!DQ21),0),0)</f>
        <v>0</v>
      </c>
      <c r="DQ35" s="9">
        <f>IF(117&lt;=核心参数输入!$B$9*4,IF(117&lt;核心参数输入!$B$9*4,MAX(0,季度现金流!DR35-季度现金流!DR21),0),0)</f>
        <v>0</v>
      </c>
      <c r="DR35" s="9">
        <f>IF(118&lt;=核心参数输入!$B$9*4,IF(118&lt;核心参数输入!$B$9*4,MAX(0,季度现金流!DS35-季度现金流!DS21),0),0)</f>
        <v>0</v>
      </c>
      <c r="DS35" s="9">
        <f>IF(119&lt;=核心参数输入!$B$9*4,IF(119&lt;核心参数输入!$B$9*4,MAX(0,季度现金流!DT35-季度现金流!DT21),0),0)</f>
        <v>0</v>
      </c>
      <c r="DT35" s="9">
        <f>IF(120&lt;=核心参数输入!$B$9*4,0,0)</f>
        <v>0</v>
      </c>
    </row>
    <row r="36" spans="1:124" ht="21" customHeight="1">
      <c r="A36" s="8" t="s">
        <v>530</v>
      </c>
      <c r="B36" s="8" t="s">
        <v>39</v>
      </c>
      <c r="C36" s="8"/>
      <c r="D36" s="9">
        <f>IF(0&lt;=核心参数输入!$B$9*4,0,0)</f>
        <v>0</v>
      </c>
      <c r="E36" s="9">
        <f>IF(1&lt;=核心参数输入!$B$9*4,季度现金流!D39,0)</f>
        <v>0</v>
      </c>
      <c r="F36" s="9">
        <f>IF(2&lt;=核心参数输入!$B$9*4,季度现金流!E39,0)</f>
        <v>0</v>
      </c>
      <c r="G36" s="9">
        <f>IF(3&lt;=核心参数输入!$B$9*4,季度现金流!F39,0)</f>
        <v>0</v>
      </c>
      <c r="H36" s="9">
        <f>IF(4&lt;=核心参数输入!$B$9*4,季度现金流!G39,0)</f>
        <v>0</v>
      </c>
      <c r="I36" s="9">
        <f>IF(5&lt;=核心参数输入!$B$9*4,季度现金流!H39,0)</f>
        <v>0</v>
      </c>
      <c r="J36" s="9">
        <f>IF(6&lt;=核心参数输入!$B$9*4,季度现金流!I39,0)</f>
        <v>0</v>
      </c>
      <c r="K36" s="9">
        <f>IF(7&lt;=核心参数输入!$B$9*4,季度现金流!J39,0)</f>
        <v>0</v>
      </c>
      <c r="L36" s="9">
        <f>IF(8&lt;=核心参数输入!$B$9*4,季度现金流!K39,0)</f>
        <v>0</v>
      </c>
      <c r="M36" s="9">
        <f>IF(9&lt;=核心参数输入!$B$9*4,季度现金流!L39,0)</f>
        <v>0</v>
      </c>
      <c r="N36" s="9">
        <f>IF(10&lt;=核心参数输入!$B$9*4,季度现金流!M39,0)</f>
        <v>0</v>
      </c>
      <c r="O36" s="9">
        <f>IF(11&lt;=核心参数输入!$B$9*4,季度现金流!N39,0)</f>
        <v>0</v>
      </c>
      <c r="P36" s="9">
        <f>IF(12&lt;=核心参数输入!$B$9*4,季度现金流!O39,0)</f>
        <v>0</v>
      </c>
      <c r="Q36" s="9">
        <f>IF(13&lt;=核心参数输入!$B$9*4,季度现金流!P39,0)</f>
        <v>0</v>
      </c>
      <c r="R36" s="9">
        <f>IF(14&lt;=核心参数输入!$B$9*4,季度现金流!Q39,0)</f>
        <v>0</v>
      </c>
      <c r="S36" s="9">
        <f>IF(15&lt;=核心参数输入!$B$9*4,季度现金流!R39,0)</f>
        <v>0</v>
      </c>
      <c r="T36" s="9">
        <f>IF(16&lt;=核心参数输入!$B$9*4,季度现金流!S39,0)</f>
        <v>1396.0439441049111</v>
      </c>
      <c r="U36" s="9">
        <f>IF(17&lt;=核心参数输入!$B$9*4,季度现金流!T39,0)</f>
        <v>0</v>
      </c>
      <c r="V36" s="9">
        <f>IF(18&lt;=核心参数输入!$B$9*4,季度现金流!U39,0)</f>
        <v>0</v>
      </c>
      <c r="W36" s="9">
        <f>IF(19&lt;=核心参数输入!$B$9*4,季度现金流!V39,0)</f>
        <v>1646.6951831907027</v>
      </c>
      <c r="X36" s="9">
        <f>IF(20&lt;=核心参数输入!$B$9*4,季度现金流!W39,0)</f>
        <v>5807.7050272628276</v>
      </c>
      <c r="Y36" s="9">
        <f>IF(21&lt;=核心参数输入!$B$9*4,季度现金流!X39,0)</f>
        <v>5240.868945569995</v>
      </c>
      <c r="Z36" s="9">
        <f>IF(22&lt;=核心参数输入!$B$9*4,季度现金流!Y39,0)</f>
        <v>8772.0717497241931</v>
      </c>
      <c r="AA36" s="9">
        <f>IF(23&lt;=核心参数输入!$B$9*4,季度现金流!Z39,0)</f>
        <v>11959.301231578202</v>
      </c>
      <c r="AB36" s="9">
        <f>IF(24&lt;=核心参数输入!$B$9*4,季度现金流!AA39,0)</f>
        <v>15161.955365746333</v>
      </c>
      <c r="AC36" s="9">
        <f>IF(25&lt;=核心参数输入!$B$9*4,季度现金流!AB39,0)</f>
        <v>13721.068877349653</v>
      </c>
      <c r="AD36" s="9">
        <f>IF(26&lt;=核心参数输入!$B$9*4,季度现金流!AC39,0)</f>
        <v>14849.426350540474</v>
      </c>
      <c r="AE36" s="9">
        <f>IF(27&lt;=核心参数输入!$B$9*4,季度现金流!AD39,0)</f>
        <v>14902.314921797184</v>
      </c>
      <c r="AF36" s="9">
        <f>IF(28&lt;=核心参数输入!$B$9*4,季度现金流!AE39,0)</f>
        <v>14960.422167086839</v>
      </c>
      <c r="AG36" s="9">
        <f>IF(29&lt;=核心参数输入!$B$9*4,季度现金流!AF39,0)</f>
        <v>10760.533800695153</v>
      </c>
      <c r="AH36" s="9">
        <f>IF(30&lt;=核心参数输入!$B$9*4,季度现金流!AG39,0)</f>
        <v>10878.083609951031</v>
      </c>
      <c r="AI36" s="9">
        <f>IF(31&lt;=核心参数输入!$B$9*4,季度现金流!AH39,0)</f>
        <v>10998.281896278628</v>
      </c>
      <c r="AJ36" s="9">
        <f>IF(32&lt;=核心参数输入!$B$9*4,季度现金流!AI39,0)</f>
        <v>11118.480182606225</v>
      </c>
      <c r="AK36" s="9">
        <f>IF(33&lt;=核心参数输入!$B$9*4,季度现金流!AJ39,0)</f>
        <v>6975.4641832195357</v>
      </c>
      <c r="AL36" s="9">
        <f>IF(34&lt;=核心参数输入!$B$9*4,季度现金流!AK39,0)</f>
        <v>7144.759531782046</v>
      </c>
      <c r="AM36" s="9">
        <f>IF(35&lt;=核心参数输入!$B$9*4,季度现金流!AL39,0)</f>
        <v>7314.0548803445563</v>
      </c>
      <c r="AN36" s="9">
        <f>IF(36&lt;=核心参数输入!$B$9*4,季度现金流!AM39,0)</f>
        <v>7483.3502289070666</v>
      </c>
      <c r="AO36" s="9">
        <f>IF(37&lt;=核心参数输入!$B$9*4,季度现金流!AN39,0)</f>
        <v>3389.4312917552916</v>
      </c>
      <c r="AP36" s="9">
        <f>IF(38&lt;=核心参数输入!$B$9*4,季度现金流!AO39,0)</f>
        <v>3607.8770402450396</v>
      </c>
      <c r="AQ36" s="9">
        <f>IF(39&lt;=核心参数输入!$B$9*4,季度现金流!AP39,0)</f>
        <v>3826.3227887347875</v>
      </c>
      <c r="AR36" s="9">
        <f>IF(40&lt;=核心参数输入!$B$9*4,季度现金流!AQ39,0)</f>
        <v>4044.7685372245355</v>
      </c>
      <c r="AS36" s="9">
        <f>IF(41&lt;=核心参数输入!$B$9*4,季度现金流!AR39,0)</f>
        <v>0</v>
      </c>
      <c r="AT36" s="9">
        <f>IF(42&lt;=核心参数输入!$B$9*4,季度现金流!AS39,0)</f>
        <v>0</v>
      </c>
      <c r="AU36" s="9">
        <f>IF(43&lt;=核心参数输入!$B$9*4,季度现金流!AT39,0)</f>
        <v>0</v>
      </c>
      <c r="AV36" s="9">
        <f>IF(44&lt;=核心参数输入!$B$9*4,季度现金流!AU39,0)</f>
        <v>0</v>
      </c>
      <c r="AW36" s="9">
        <f>IF(45&lt;=核心参数输入!$B$9*4,季度现金流!AV39,0)</f>
        <v>0</v>
      </c>
      <c r="AX36" s="9">
        <f>IF(46&lt;=核心参数输入!$B$9*4,季度现金流!AW39,0)</f>
        <v>0</v>
      </c>
      <c r="AY36" s="9">
        <f>IF(47&lt;=核心参数输入!$B$9*4,季度现金流!AX39,0)</f>
        <v>0</v>
      </c>
      <c r="AZ36" s="9">
        <f>IF(48&lt;=核心参数输入!$B$9*4,季度现金流!AY39,0)</f>
        <v>0</v>
      </c>
      <c r="BA36" s="9">
        <f>IF(49&lt;=核心参数输入!$B$9*4,季度现金流!AZ39,0)</f>
        <v>0</v>
      </c>
      <c r="BB36" s="9">
        <f>IF(50&lt;=核心参数输入!$B$9*4,季度现金流!BA39,0)</f>
        <v>0</v>
      </c>
      <c r="BC36" s="9">
        <f>IF(51&lt;=核心参数输入!$B$9*4,季度现金流!BB39,0)</f>
        <v>0</v>
      </c>
      <c r="BD36" s="9">
        <f>IF(52&lt;=核心参数输入!$B$9*4,季度现金流!BC39,0)</f>
        <v>0</v>
      </c>
      <c r="BE36" s="9">
        <f>IF(53&lt;=核心参数输入!$B$9*4,季度现金流!BD39,0)</f>
        <v>0</v>
      </c>
      <c r="BF36" s="9">
        <f>IF(54&lt;=核心参数输入!$B$9*4,季度现金流!BE39,0)</f>
        <v>0</v>
      </c>
      <c r="BG36" s="9">
        <f>IF(55&lt;=核心参数输入!$B$9*4,季度现金流!BF39,0)</f>
        <v>0</v>
      </c>
      <c r="BH36" s="9">
        <f>IF(56&lt;=核心参数输入!$B$9*4,季度现金流!BG39,0)</f>
        <v>0</v>
      </c>
      <c r="BI36" s="9">
        <f>IF(57&lt;=核心参数输入!$B$9*4,季度现金流!BH39,0)</f>
        <v>0</v>
      </c>
      <c r="BJ36" s="9">
        <f>IF(58&lt;=核心参数输入!$B$9*4,季度现金流!BI39,0)</f>
        <v>0</v>
      </c>
      <c r="BK36" s="9">
        <f>IF(59&lt;=核心参数输入!$B$9*4,季度现金流!BJ39,0)</f>
        <v>0</v>
      </c>
      <c r="BL36" s="9">
        <f>IF(60&lt;=核心参数输入!$B$9*4,季度现金流!BK39,0)</f>
        <v>0</v>
      </c>
      <c r="BM36" s="9">
        <f>IF(61&lt;=核心参数输入!$B$9*4,季度现金流!BL39,0)</f>
        <v>0</v>
      </c>
      <c r="BN36" s="9">
        <f>IF(62&lt;=核心参数输入!$B$9*4,季度现金流!BM39,0)</f>
        <v>0</v>
      </c>
      <c r="BO36" s="9">
        <f>IF(63&lt;=核心参数输入!$B$9*4,季度现金流!BN39,0)</f>
        <v>0</v>
      </c>
      <c r="BP36" s="9">
        <f>IF(64&lt;=核心参数输入!$B$9*4,季度现金流!BO39,0)</f>
        <v>0</v>
      </c>
      <c r="BQ36" s="9">
        <f>IF(65&lt;=核心参数输入!$B$9*4,季度现金流!BP39,0)</f>
        <v>0</v>
      </c>
      <c r="BR36" s="9">
        <f>IF(66&lt;=核心参数输入!$B$9*4,季度现金流!BQ39,0)</f>
        <v>0</v>
      </c>
      <c r="BS36" s="9">
        <f>IF(67&lt;=核心参数输入!$B$9*4,季度现金流!BR39,0)</f>
        <v>0</v>
      </c>
      <c r="BT36" s="9">
        <f>IF(68&lt;=核心参数输入!$B$9*4,季度现金流!BS39,0)</f>
        <v>0</v>
      </c>
      <c r="BU36" s="9">
        <f>IF(69&lt;=核心参数输入!$B$9*4,季度现金流!BT39,0)</f>
        <v>0</v>
      </c>
      <c r="BV36" s="9">
        <f>IF(70&lt;=核心参数输入!$B$9*4,季度现金流!BU39,0)</f>
        <v>0</v>
      </c>
      <c r="BW36" s="9">
        <f>IF(71&lt;=核心参数输入!$B$9*4,季度现金流!BV39,0)</f>
        <v>0</v>
      </c>
      <c r="BX36" s="9">
        <f>IF(72&lt;=核心参数输入!$B$9*4,季度现金流!BW39,0)</f>
        <v>0</v>
      </c>
      <c r="BY36" s="9">
        <f>IF(73&lt;=核心参数输入!$B$9*4,季度现金流!BX39,0)</f>
        <v>0</v>
      </c>
      <c r="BZ36" s="9">
        <f>IF(74&lt;=核心参数输入!$B$9*4,季度现金流!BY39,0)</f>
        <v>0</v>
      </c>
      <c r="CA36" s="9">
        <f>IF(75&lt;=核心参数输入!$B$9*4,季度现金流!BZ39,0)</f>
        <v>0</v>
      </c>
      <c r="CB36" s="9">
        <f>IF(76&lt;=核心参数输入!$B$9*4,季度现金流!CA39,0)</f>
        <v>0</v>
      </c>
      <c r="CC36" s="9">
        <f>IF(77&lt;=核心参数输入!$B$9*4,季度现金流!CB39,0)</f>
        <v>0</v>
      </c>
      <c r="CD36" s="9">
        <f>IF(78&lt;=核心参数输入!$B$9*4,季度现金流!CC39,0)</f>
        <v>0</v>
      </c>
      <c r="CE36" s="9">
        <f>IF(79&lt;=核心参数输入!$B$9*4,季度现金流!CD39,0)</f>
        <v>0</v>
      </c>
      <c r="CF36" s="9">
        <f>IF(80&lt;=核心参数输入!$B$9*4,季度现金流!CE39,0)</f>
        <v>0</v>
      </c>
      <c r="CG36" s="9">
        <f>IF(81&lt;=核心参数输入!$B$9*4,季度现金流!CF39,0)</f>
        <v>0</v>
      </c>
      <c r="CH36" s="9">
        <f>IF(82&lt;=核心参数输入!$B$9*4,季度现金流!CG39,0)</f>
        <v>0</v>
      </c>
      <c r="CI36" s="9">
        <f>IF(83&lt;=核心参数输入!$B$9*4,季度现金流!CH39,0)</f>
        <v>0</v>
      </c>
      <c r="CJ36" s="9">
        <f>IF(84&lt;=核心参数输入!$B$9*4,季度现金流!CI39,0)</f>
        <v>0</v>
      </c>
      <c r="CK36" s="9">
        <f>IF(85&lt;=核心参数输入!$B$9*4,季度现金流!CJ39,0)</f>
        <v>0</v>
      </c>
      <c r="CL36" s="9">
        <f>IF(86&lt;=核心参数输入!$B$9*4,季度现金流!CK39,0)</f>
        <v>0</v>
      </c>
      <c r="CM36" s="9">
        <f>IF(87&lt;=核心参数输入!$B$9*4,季度现金流!CL39,0)</f>
        <v>0</v>
      </c>
      <c r="CN36" s="9">
        <f>IF(88&lt;=核心参数输入!$B$9*4,季度现金流!CM39,0)</f>
        <v>0</v>
      </c>
      <c r="CO36" s="9">
        <f>IF(89&lt;=核心参数输入!$B$9*4,季度现金流!CN39,0)</f>
        <v>0</v>
      </c>
      <c r="CP36" s="9">
        <f>IF(90&lt;=核心参数输入!$B$9*4,季度现金流!CO39,0)</f>
        <v>0</v>
      </c>
      <c r="CQ36" s="9">
        <f>IF(91&lt;=核心参数输入!$B$9*4,季度现金流!CP39,0)</f>
        <v>0</v>
      </c>
      <c r="CR36" s="9">
        <f>IF(92&lt;=核心参数输入!$B$9*4,季度现金流!CQ39,0)</f>
        <v>0</v>
      </c>
      <c r="CS36" s="9">
        <f>IF(93&lt;=核心参数输入!$B$9*4,季度现金流!CR39,0)</f>
        <v>0</v>
      </c>
      <c r="CT36" s="9">
        <f>IF(94&lt;=核心参数输入!$B$9*4,季度现金流!CS39,0)</f>
        <v>0</v>
      </c>
      <c r="CU36" s="9">
        <f>IF(95&lt;=核心参数输入!$B$9*4,季度现金流!CT39,0)</f>
        <v>0</v>
      </c>
      <c r="CV36" s="9">
        <f>IF(96&lt;=核心参数输入!$B$9*4,季度现金流!CU39,0)</f>
        <v>0</v>
      </c>
      <c r="CW36" s="9">
        <f>IF(97&lt;=核心参数输入!$B$9*4,季度现金流!CV39,0)</f>
        <v>0</v>
      </c>
      <c r="CX36" s="9">
        <f>IF(98&lt;=核心参数输入!$B$9*4,季度现金流!CW39,0)</f>
        <v>0</v>
      </c>
      <c r="CY36" s="9">
        <f>IF(99&lt;=核心参数输入!$B$9*4,季度现金流!CX39,0)</f>
        <v>0</v>
      </c>
      <c r="CZ36" s="9">
        <f>IF(100&lt;=核心参数输入!$B$9*4,季度现金流!CY39,0)</f>
        <v>0</v>
      </c>
      <c r="DA36" s="9">
        <f>IF(101&lt;=核心参数输入!$B$9*4,季度现金流!CZ39,0)</f>
        <v>0</v>
      </c>
      <c r="DB36" s="9">
        <f>IF(102&lt;=核心参数输入!$B$9*4,季度现金流!DA39,0)</f>
        <v>0</v>
      </c>
      <c r="DC36" s="9">
        <f>IF(103&lt;=核心参数输入!$B$9*4,季度现金流!DB39,0)</f>
        <v>0</v>
      </c>
      <c r="DD36" s="9">
        <f>IF(104&lt;=核心参数输入!$B$9*4,季度现金流!DC39,0)</f>
        <v>0</v>
      </c>
      <c r="DE36" s="9">
        <f>IF(105&lt;=核心参数输入!$B$9*4,季度现金流!DD39,0)</f>
        <v>0</v>
      </c>
      <c r="DF36" s="9">
        <f>IF(106&lt;=核心参数输入!$B$9*4,季度现金流!DE39,0)</f>
        <v>0</v>
      </c>
      <c r="DG36" s="9">
        <f>IF(107&lt;=核心参数输入!$B$9*4,季度现金流!DF39,0)</f>
        <v>0</v>
      </c>
      <c r="DH36" s="9">
        <f>IF(108&lt;=核心参数输入!$B$9*4,季度现金流!DG39,0)</f>
        <v>0</v>
      </c>
      <c r="DI36" s="9">
        <f>IF(109&lt;=核心参数输入!$B$9*4,季度现金流!DH39,0)</f>
        <v>0</v>
      </c>
      <c r="DJ36" s="9">
        <f>IF(110&lt;=核心参数输入!$B$9*4,季度现金流!DI39,0)</f>
        <v>0</v>
      </c>
      <c r="DK36" s="9">
        <f>IF(111&lt;=核心参数输入!$B$9*4,季度现金流!DJ39,0)</f>
        <v>0</v>
      </c>
      <c r="DL36" s="9">
        <f>IF(112&lt;=核心参数输入!$B$9*4,季度现金流!DK39,0)</f>
        <v>0</v>
      </c>
      <c r="DM36" s="9">
        <f>IF(113&lt;=核心参数输入!$B$9*4,季度现金流!DL39,0)</f>
        <v>0</v>
      </c>
      <c r="DN36" s="9">
        <f>IF(114&lt;=核心参数输入!$B$9*4,季度现金流!DM39,0)</f>
        <v>0</v>
      </c>
      <c r="DO36" s="9">
        <f>IF(115&lt;=核心参数输入!$B$9*4,季度现金流!DN39,0)</f>
        <v>0</v>
      </c>
      <c r="DP36" s="9">
        <f>IF(116&lt;=核心参数输入!$B$9*4,季度现金流!DO39,0)</f>
        <v>0</v>
      </c>
      <c r="DQ36" s="9">
        <f>IF(117&lt;=核心参数输入!$B$9*4,季度现金流!DP39,0)</f>
        <v>0</v>
      </c>
      <c r="DR36" s="9">
        <f>IF(118&lt;=核心参数输入!$B$9*4,季度现金流!DQ39,0)</f>
        <v>0</v>
      </c>
      <c r="DS36" s="9">
        <f>IF(119&lt;=核心参数输入!$B$9*4,季度现金流!DR39,0)</f>
        <v>0</v>
      </c>
      <c r="DT36" s="9">
        <f>IF(120&lt;=核心参数输入!$B$9*4,季度现金流!DS39,0)</f>
        <v>0</v>
      </c>
    </row>
    <row r="37" spans="1:124" ht="21" customHeight="1">
      <c r="A37" s="8" t="s">
        <v>531</v>
      </c>
      <c r="B37" s="8" t="s">
        <v>39</v>
      </c>
      <c r="C37" s="8"/>
      <c r="D37" s="9">
        <f>IF(0&lt;=核心参数输入!$B$9*4,MAX(0,0-(D36+D21)),0)</f>
        <v>8000</v>
      </c>
      <c r="E37" s="9">
        <f>IF(1&lt;=核心参数输入!$B$9*4,MAX(0,IF(1=核心参数输入!$B$9*4,0,核心参数输入!$B$123)-(E36+E21)),0)</f>
        <v>1730.8125</v>
      </c>
      <c r="F37" s="9">
        <f>IF(2&lt;=核心参数输入!$B$9*4,MAX(0,IF(2=核心参数输入!$B$9*4,0,核心参数输入!$B$123)-(F36+F21)),0)</f>
        <v>1754.4375</v>
      </c>
      <c r="G37" s="9">
        <f>IF(3&lt;=核心参数输入!$B$9*4,MAX(0,IF(3=核心参数输入!$B$9*4,0,核心参数输入!$B$123)-(G36+G21)),0)</f>
        <v>1778.0625</v>
      </c>
      <c r="H37" s="9">
        <f>IF(4&lt;=核心参数输入!$B$9*4,MAX(0,IF(4=核心参数输入!$B$9*4,0,核心参数输入!$B$123)-(H36+H21)),0)</f>
        <v>1801.6875</v>
      </c>
      <c r="I37" s="9">
        <f>IF(5&lt;=核心参数输入!$B$9*4,MAX(0,IF(5=核心参数输入!$B$9*4,0,核心参数输入!$B$123)-(I36+I21)),0)</f>
        <v>2402.25</v>
      </c>
      <c r="J37" s="9">
        <f>IF(6&lt;=核心参数输入!$B$9*4,MAX(0,IF(6=核心参数输入!$B$9*4,0,核心参数输入!$B$123)-(J36+J21)),0)</f>
        <v>2433.75</v>
      </c>
      <c r="K37" s="9">
        <f>IF(7&lt;=核心参数输入!$B$9*4,MAX(0,IF(7=核心参数输入!$B$9*4,0,核心参数输入!$B$123)-(K36+K21)),0)</f>
        <v>2465.25</v>
      </c>
      <c r="L37" s="9">
        <f>IF(8&lt;=核心参数输入!$B$9*4,MAX(0,IF(8=核心参数输入!$B$9*4,0,核心参数输入!$B$123)-(L36+L21)),0)</f>
        <v>2496.75</v>
      </c>
      <c r="M37" s="9">
        <f>IF(9&lt;=核心参数输入!$B$9*4,MAX(0,IF(9=核心参数输入!$B$9*4,0,核心参数输入!$B$123)-(M36+M21)),0)</f>
        <v>1951.3125</v>
      </c>
      <c r="N37" s="9">
        <f>IF(10&lt;=核心参数输入!$B$9*4,MAX(0,IF(10=核心参数输入!$B$9*4,0,核心参数输入!$B$123)-(N36+N21)),0)</f>
        <v>1974.9375</v>
      </c>
      <c r="O37" s="9">
        <f>IF(11&lt;=核心参数输入!$B$9*4,MAX(0,IF(11=核心参数输入!$B$9*4,0,核心参数输入!$B$123)-(O36+O21)),0)</f>
        <v>1998.5625</v>
      </c>
      <c r="P37" s="9">
        <f>IF(12&lt;=核心参数输入!$B$9*4,MAX(0,IF(12=核心参数输入!$B$9*4,0,核心参数输入!$B$123)-(P36+P21)),0)</f>
        <v>2022.1875</v>
      </c>
      <c r="Q37" s="9">
        <f>IF(13&lt;=核心参数输入!$B$9*4,MAX(0,IF(13=核心参数输入!$B$9*4,0,核心参数输入!$B$123)-(Q36+Q21)),0)</f>
        <v>0</v>
      </c>
      <c r="R37" s="9">
        <f>IF(14&lt;=核心参数输入!$B$9*4,MAX(0,IF(14=核心参数输入!$B$9*4,0,核心参数输入!$B$123)-(R36+R21)),0)</f>
        <v>0</v>
      </c>
      <c r="S37" s="9">
        <f>IF(15&lt;=核心参数输入!$B$9*4,MAX(0,IF(15=核心参数输入!$B$9*4,0,核心参数输入!$B$123)-(S36+S21)),0)</f>
        <v>0</v>
      </c>
      <c r="T37" s="9">
        <f>IF(16&lt;=核心参数输入!$B$9*4,MAX(0,IF(16=核心参数输入!$B$9*4,0,核心参数输入!$B$123)-(T36+T21)),0)</f>
        <v>0</v>
      </c>
      <c r="U37" s="9">
        <f>IF(17&lt;=核心参数输入!$B$9*4,MAX(0,IF(17=核心参数输入!$B$9*4,0,核心参数输入!$B$123)-(U36+U21)),0)</f>
        <v>0</v>
      </c>
      <c r="V37" s="9">
        <f>IF(18&lt;=核心参数输入!$B$9*4,MAX(0,IF(18=核心参数输入!$B$9*4,0,核心参数输入!$B$123)-(V36+V21)),0)</f>
        <v>0</v>
      </c>
      <c r="W37" s="9">
        <f>IF(19&lt;=核心参数输入!$B$9*4,MAX(0,IF(19=核心参数输入!$B$9*4,0,核心参数输入!$B$123)-(W36+W21)),0)</f>
        <v>0</v>
      </c>
      <c r="X37" s="9">
        <f>IF(20&lt;=核心参数输入!$B$9*4,MAX(0,IF(20=核心参数输入!$B$9*4,0,核心参数输入!$B$123)-(X36+X21)),0)</f>
        <v>0</v>
      </c>
      <c r="Y37" s="9">
        <f>IF(21&lt;=核心参数输入!$B$9*4,MAX(0,IF(21=核心参数输入!$B$9*4,0,核心参数输入!$B$123)-(Y36+Y21)),0)</f>
        <v>0</v>
      </c>
      <c r="Z37" s="9">
        <f>IF(22&lt;=核心参数输入!$B$9*4,MAX(0,IF(22=核心参数输入!$B$9*4,0,核心参数输入!$B$123)-(Z36+Z21)),0)</f>
        <v>0</v>
      </c>
      <c r="AA37" s="9">
        <f>IF(23&lt;=核心参数输入!$B$9*4,MAX(0,IF(23=核心参数输入!$B$9*4,0,核心参数输入!$B$123)-(AA36+AA21)),0)</f>
        <v>0</v>
      </c>
      <c r="AB37" s="9">
        <f>IF(24&lt;=核心参数输入!$B$9*4,MAX(0,IF(24=核心参数输入!$B$9*4,0,核心参数输入!$B$123)-(AB36+AB21)),0)</f>
        <v>0</v>
      </c>
      <c r="AC37" s="9">
        <f>IF(25&lt;=核心参数输入!$B$9*4,MAX(0,IF(25=核心参数输入!$B$9*4,0,核心参数输入!$B$123)-(AC36+AC21)),0)</f>
        <v>0</v>
      </c>
      <c r="AD37" s="9">
        <f>IF(26&lt;=核心参数输入!$B$9*4,MAX(0,IF(26=核心参数输入!$B$9*4,0,核心参数输入!$B$123)-(AD36+AD21)),0)</f>
        <v>0</v>
      </c>
      <c r="AE37" s="9">
        <f>IF(27&lt;=核心参数输入!$B$9*4,MAX(0,IF(27=核心参数输入!$B$9*4,0,核心参数输入!$B$123)-(AE36+AE21)),0)</f>
        <v>0</v>
      </c>
      <c r="AF37" s="9">
        <f>IF(28&lt;=核心参数输入!$B$9*4,MAX(0,IF(28=核心参数输入!$B$9*4,0,核心参数输入!$B$123)-(AF36+AF21)),0)</f>
        <v>0</v>
      </c>
      <c r="AG37" s="9">
        <f>IF(29&lt;=核心参数输入!$B$9*4,MAX(0,IF(29=核心参数输入!$B$9*4,0,核心参数输入!$B$123)-(AG36+AG21)),0)</f>
        <v>0</v>
      </c>
      <c r="AH37" s="9">
        <f>IF(30&lt;=核心参数输入!$B$9*4,MAX(0,IF(30=核心参数输入!$B$9*4,0,核心参数输入!$B$123)-(AH36+AH21)),0)</f>
        <v>0</v>
      </c>
      <c r="AI37" s="9">
        <f>IF(31&lt;=核心参数输入!$B$9*4,MAX(0,IF(31=核心参数输入!$B$9*4,0,核心参数输入!$B$123)-(AI36+AI21)),0)</f>
        <v>0</v>
      </c>
      <c r="AJ37" s="9">
        <f>IF(32&lt;=核心参数输入!$B$9*4,MAX(0,IF(32=核心参数输入!$B$9*4,0,核心参数输入!$B$123)-(AJ36+AJ21)),0)</f>
        <v>0</v>
      </c>
      <c r="AK37" s="9">
        <f>IF(33&lt;=核心参数输入!$B$9*4,MAX(0,IF(33=核心参数输入!$B$9*4,0,核心参数输入!$B$123)-(AK36+AK21)),0)</f>
        <v>0</v>
      </c>
      <c r="AL37" s="9">
        <f>IF(34&lt;=核心参数输入!$B$9*4,MAX(0,IF(34=核心参数输入!$B$9*4,0,核心参数输入!$B$123)-(AL36+AL21)),0)</f>
        <v>0</v>
      </c>
      <c r="AM37" s="9">
        <f>IF(35&lt;=核心参数输入!$B$9*4,MAX(0,IF(35=核心参数输入!$B$9*4,0,核心参数输入!$B$123)-(AM36+AM21)),0)</f>
        <v>0</v>
      </c>
      <c r="AN37" s="9">
        <f>IF(36&lt;=核心参数输入!$B$9*4,MAX(0,IF(36=核心参数输入!$B$9*4,0,核心参数输入!$B$123)-(AN36+AN21)),0)</f>
        <v>0</v>
      </c>
      <c r="AO37" s="9">
        <f>IF(37&lt;=核心参数输入!$B$9*4,MAX(0,IF(37=核心参数输入!$B$9*4,0,核心参数输入!$B$123)-(AO36+AO21)),0)</f>
        <v>0</v>
      </c>
      <c r="AP37" s="9">
        <f>IF(38&lt;=核心参数输入!$B$9*4,MAX(0,IF(38=核心参数输入!$B$9*4,0,核心参数输入!$B$123)-(AP36+AP21)),0)</f>
        <v>0</v>
      </c>
      <c r="AQ37" s="9">
        <f>IF(39&lt;=核心参数输入!$B$9*4,MAX(0,IF(39=核心参数输入!$B$9*4,0,核心参数输入!$B$123)-(AQ36+AQ21)),0)</f>
        <v>0</v>
      </c>
      <c r="AR37" s="9">
        <f>IF(40&lt;=核心参数输入!$B$9*4,MAX(0,IF(40=核心参数输入!$B$9*4,0,核心参数输入!$B$123)-(AR36+AR21)),0)</f>
        <v>0</v>
      </c>
      <c r="AS37" s="9">
        <f>IF(41&lt;=核心参数输入!$B$9*4,MAX(0,IF(41=核心参数输入!$B$9*4,0,核心参数输入!$B$123)-(AS36+AS21)),0)</f>
        <v>0</v>
      </c>
      <c r="AT37" s="9">
        <f>IF(42&lt;=核心参数输入!$B$9*4,MAX(0,IF(42=核心参数输入!$B$9*4,0,核心参数输入!$B$123)-(AT36+AT21)),0)</f>
        <v>0</v>
      </c>
      <c r="AU37" s="9">
        <f>IF(43&lt;=核心参数输入!$B$9*4,MAX(0,IF(43=核心参数输入!$B$9*4,0,核心参数输入!$B$123)-(AU36+AU21)),0)</f>
        <v>0</v>
      </c>
      <c r="AV37" s="9">
        <f>IF(44&lt;=核心参数输入!$B$9*4,MAX(0,IF(44=核心参数输入!$B$9*4,0,核心参数输入!$B$123)-(AV36+AV21)),0)</f>
        <v>0</v>
      </c>
      <c r="AW37" s="9">
        <f>IF(45&lt;=核心参数输入!$B$9*4,MAX(0,IF(45=核心参数输入!$B$9*4,0,核心参数输入!$B$123)-(AW36+AW21)),0)</f>
        <v>0</v>
      </c>
      <c r="AX37" s="9">
        <f>IF(46&lt;=核心参数输入!$B$9*4,MAX(0,IF(46=核心参数输入!$B$9*4,0,核心参数输入!$B$123)-(AX36+AX21)),0)</f>
        <v>0</v>
      </c>
      <c r="AY37" s="9">
        <f>IF(47&lt;=核心参数输入!$B$9*4,MAX(0,IF(47=核心参数输入!$B$9*4,0,核心参数输入!$B$123)-(AY36+AY21)),0)</f>
        <v>0</v>
      </c>
      <c r="AZ37" s="9">
        <f>IF(48&lt;=核心参数输入!$B$9*4,MAX(0,IF(48=核心参数输入!$B$9*4,0,核心参数输入!$B$123)-(AZ36+AZ21)),0)</f>
        <v>0</v>
      </c>
      <c r="BA37" s="9">
        <f>IF(49&lt;=核心参数输入!$B$9*4,MAX(0,IF(49=核心参数输入!$B$9*4,0,核心参数输入!$B$123)-(BA36+BA21)),0)</f>
        <v>0</v>
      </c>
      <c r="BB37" s="9">
        <f>IF(50&lt;=核心参数输入!$B$9*4,MAX(0,IF(50=核心参数输入!$B$9*4,0,核心参数输入!$B$123)-(BB36+BB21)),0)</f>
        <v>0</v>
      </c>
      <c r="BC37" s="9">
        <f>IF(51&lt;=核心参数输入!$B$9*4,MAX(0,IF(51=核心参数输入!$B$9*4,0,核心参数输入!$B$123)-(BC36+BC21)),0)</f>
        <v>0</v>
      </c>
      <c r="BD37" s="9">
        <f>IF(52&lt;=核心参数输入!$B$9*4,MAX(0,IF(52=核心参数输入!$B$9*4,0,核心参数输入!$B$123)-(BD36+BD21)),0)</f>
        <v>0</v>
      </c>
      <c r="BE37" s="9">
        <f>IF(53&lt;=核心参数输入!$B$9*4,MAX(0,IF(53=核心参数输入!$B$9*4,0,核心参数输入!$B$123)-(BE36+BE21)),0)</f>
        <v>0</v>
      </c>
      <c r="BF37" s="9">
        <f>IF(54&lt;=核心参数输入!$B$9*4,MAX(0,IF(54=核心参数输入!$B$9*4,0,核心参数输入!$B$123)-(BF36+BF21)),0)</f>
        <v>0</v>
      </c>
      <c r="BG37" s="9">
        <f>IF(55&lt;=核心参数输入!$B$9*4,MAX(0,IF(55=核心参数输入!$B$9*4,0,核心参数输入!$B$123)-(BG36+BG21)),0)</f>
        <v>0</v>
      </c>
      <c r="BH37" s="9">
        <f>IF(56&lt;=核心参数输入!$B$9*4,MAX(0,IF(56=核心参数输入!$B$9*4,0,核心参数输入!$B$123)-(BH36+BH21)),0)</f>
        <v>0</v>
      </c>
      <c r="BI37" s="9">
        <f>IF(57&lt;=核心参数输入!$B$9*4,MAX(0,IF(57=核心参数输入!$B$9*4,0,核心参数输入!$B$123)-(BI36+BI21)),0)</f>
        <v>0</v>
      </c>
      <c r="BJ37" s="9">
        <f>IF(58&lt;=核心参数输入!$B$9*4,MAX(0,IF(58=核心参数输入!$B$9*4,0,核心参数输入!$B$123)-(BJ36+BJ21)),0)</f>
        <v>0</v>
      </c>
      <c r="BK37" s="9">
        <f>IF(59&lt;=核心参数输入!$B$9*4,MAX(0,IF(59=核心参数输入!$B$9*4,0,核心参数输入!$B$123)-(BK36+BK21)),0)</f>
        <v>0</v>
      </c>
      <c r="BL37" s="9">
        <f>IF(60&lt;=核心参数输入!$B$9*4,MAX(0,IF(60=核心参数输入!$B$9*4,0,核心参数输入!$B$123)-(BL36+BL21)),0)</f>
        <v>0</v>
      </c>
      <c r="BM37" s="9">
        <f>IF(61&lt;=核心参数输入!$B$9*4,MAX(0,IF(61=核心参数输入!$B$9*4,0,核心参数输入!$B$123)-(BM36+BM21)),0)</f>
        <v>0</v>
      </c>
      <c r="BN37" s="9">
        <f>IF(62&lt;=核心参数输入!$B$9*4,MAX(0,IF(62=核心参数输入!$B$9*4,0,核心参数输入!$B$123)-(BN36+BN21)),0)</f>
        <v>0</v>
      </c>
      <c r="BO37" s="9">
        <f>IF(63&lt;=核心参数输入!$B$9*4,MAX(0,IF(63=核心参数输入!$B$9*4,0,核心参数输入!$B$123)-(BO36+BO21)),0)</f>
        <v>0</v>
      </c>
      <c r="BP37" s="9">
        <f>IF(64&lt;=核心参数输入!$B$9*4,MAX(0,IF(64=核心参数输入!$B$9*4,0,核心参数输入!$B$123)-(BP36+BP21)),0)</f>
        <v>0</v>
      </c>
      <c r="BQ37" s="9">
        <f>IF(65&lt;=核心参数输入!$B$9*4,MAX(0,IF(65=核心参数输入!$B$9*4,0,核心参数输入!$B$123)-(BQ36+BQ21)),0)</f>
        <v>0</v>
      </c>
      <c r="BR37" s="9">
        <f>IF(66&lt;=核心参数输入!$B$9*4,MAX(0,IF(66=核心参数输入!$B$9*4,0,核心参数输入!$B$123)-(BR36+BR21)),0)</f>
        <v>0</v>
      </c>
      <c r="BS37" s="9">
        <f>IF(67&lt;=核心参数输入!$B$9*4,MAX(0,IF(67=核心参数输入!$B$9*4,0,核心参数输入!$B$123)-(BS36+BS21)),0)</f>
        <v>0</v>
      </c>
      <c r="BT37" s="9">
        <f>IF(68&lt;=核心参数输入!$B$9*4,MAX(0,IF(68=核心参数输入!$B$9*4,0,核心参数输入!$B$123)-(BT36+BT21)),0)</f>
        <v>0</v>
      </c>
      <c r="BU37" s="9">
        <f>IF(69&lt;=核心参数输入!$B$9*4,MAX(0,IF(69=核心参数输入!$B$9*4,0,核心参数输入!$B$123)-(BU36+BU21)),0)</f>
        <v>0</v>
      </c>
      <c r="BV37" s="9">
        <f>IF(70&lt;=核心参数输入!$B$9*4,MAX(0,IF(70=核心参数输入!$B$9*4,0,核心参数输入!$B$123)-(BV36+BV21)),0)</f>
        <v>0</v>
      </c>
      <c r="BW37" s="9">
        <f>IF(71&lt;=核心参数输入!$B$9*4,MAX(0,IF(71=核心参数输入!$B$9*4,0,核心参数输入!$B$123)-(BW36+BW21)),0)</f>
        <v>0</v>
      </c>
      <c r="BX37" s="9">
        <f>IF(72&lt;=核心参数输入!$B$9*4,MAX(0,IF(72=核心参数输入!$B$9*4,0,核心参数输入!$B$123)-(BX36+BX21)),0)</f>
        <v>0</v>
      </c>
      <c r="BY37" s="9">
        <f>IF(73&lt;=核心参数输入!$B$9*4,MAX(0,IF(73=核心参数输入!$B$9*4,0,核心参数输入!$B$123)-(BY36+BY21)),0)</f>
        <v>0</v>
      </c>
      <c r="BZ37" s="9">
        <f>IF(74&lt;=核心参数输入!$B$9*4,MAX(0,IF(74=核心参数输入!$B$9*4,0,核心参数输入!$B$123)-(BZ36+BZ21)),0)</f>
        <v>0</v>
      </c>
      <c r="CA37" s="9">
        <f>IF(75&lt;=核心参数输入!$B$9*4,MAX(0,IF(75=核心参数输入!$B$9*4,0,核心参数输入!$B$123)-(CA36+CA21)),0)</f>
        <v>0</v>
      </c>
      <c r="CB37" s="9">
        <f>IF(76&lt;=核心参数输入!$B$9*4,MAX(0,IF(76=核心参数输入!$B$9*4,0,核心参数输入!$B$123)-(CB36+CB21)),0)</f>
        <v>0</v>
      </c>
      <c r="CC37" s="9">
        <f>IF(77&lt;=核心参数输入!$B$9*4,MAX(0,IF(77=核心参数输入!$B$9*4,0,核心参数输入!$B$123)-(CC36+CC21)),0)</f>
        <v>0</v>
      </c>
      <c r="CD37" s="9">
        <f>IF(78&lt;=核心参数输入!$B$9*4,MAX(0,IF(78=核心参数输入!$B$9*4,0,核心参数输入!$B$123)-(CD36+CD21)),0)</f>
        <v>0</v>
      </c>
      <c r="CE37" s="9">
        <f>IF(79&lt;=核心参数输入!$B$9*4,MAX(0,IF(79=核心参数输入!$B$9*4,0,核心参数输入!$B$123)-(CE36+CE21)),0)</f>
        <v>0</v>
      </c>
      <c r="CF37" s="9">
        <f>IF(80&lt;=核心参数输入!$B$9*4,MAX(0,IF(80=核心参数输入!$B$9*4,0,核心参数输入!$B$123)-(CF36+CF21)),0)</f>
        <v>0</v>
      </c>
      <c r="CG37" s="9">
        <f>IF(81&lt;=核心参数输入!$B$9*4,MAX(0,IF(81=核心参数输入!$B$9*4,0,核心参数输入!$B$123)-(CG36+CG21)),0)</f>
        <v>0</v>
      </c>
      <c r="CH37" s="9">
        <f>IF(82&lt;=核心参数输入!$B$9*4,MAX(0,IF(82=核心参数输入!$B$9*4,0,核心参数输入!$B$123)-(CH36+CH21)),0)</f>
        <v>0</v>
      </c>
      <c r="CI37" s="9">
        <f>IF(83&lt;=核心参数输入!$B$9*4,MAX(0,IF(83=核心参数输入!$B$9*4,0,核心参数输入!$B$123)-(CI36+CI21)),0)</f>
        <v>0</v>
      </c>
      <c r="CJ37" s="9">
        <f>IF(84&lt;=核心参数输入!$B$9*4,MAX(0,IF(84=核心参数输入!$B$9*4,0,核心参数输入!$B$123)-(CJ36+CJ21)),0)</f>
        <v>0</v>
      </c>
      <c r="CK37" s="9">
        <f>IF(85&lt;=核心参数输入!$B$9*4,MAX(0,IF(85=核心参数输入!$B$9*4,0,核心参数输入!$B$123)-(CK36+CK21)),0)</f>
        <v>0</v>
      </c>
      <c r="CL37" s="9">
        <f>IF(86&lt;=核心参数输入!$B$9*4,MAX(0,IF(86=核心参数输入!$B$9*4,0,核心参数输入!$B$123)-(CL36+CL21)),0)</f>
        <v>0</v>
      </c>
      <c r="CM37" s="9">
        <f>IF(87&lt;=核心参数输入!$B$9*4,MAX(0,IF(87=核心参数输入!$B$9*4,0,核心参数输入!$B$123)-(CM36+CM21)),0)</f>
        <v>0</v>
      </c>
      <c r="CN37" s="9">
        <f>IF(88&lt;=核心参数输入!$B$9*4,MAX(0,IF(88=核心参数输入!$B$9*4,0,核心参数输入!$B$123)-(CN36+CN21)),0)</f>
        <v>0</v>
      </c>
      <c r="CO37" s="9">
        <f>IF(89&lt;=核心参数输入!$B$9*4,MAX(0,IF(89=核心参数输入!$B$9*4,0,核心参数输入!$B$123)-(CO36+CO21)),0)</f>
        <v>0</v>
      </c>
      <c r="CP37" s="9">
        <f>IF(90&lt;=核心参数输入!$B$9*4,MAX(0,IF(90=核心参数输入!$B$9*4,0,核心参数输入!$B$123)-(CP36+CP21)),0)</f>
        <v>0</v>
      </c>
      <c r="CQ37" s="9">
        <f>IF(91&lt;=核心参数输入!$B$9*4,MAX(0,IF(91=核心参数输入!$B$9*4,0,核心参数输入!$B$123)-(CQ36+CQ21)),0)</f>
        <v>0</v>
      </c>
      <c r="CR37" s="9">
        <f>IF(92&lt;=核心参数输入!$B$9*4,MAX(0,IF(92=核心参数输入!$B$9*4,0,核心参数输入!$B$123)-(CR36+CR21)),0)</f>
        <v>0</v>
      </c>
      <c r="CS37" s="9">
        <f>IF(93&lt;=核心参数输入!$B$9*4,MAX(0,IF(93=核心参数输入!$B$9*4,0,核心参数输入!$B$123)-(CS36+CS21)),0)</f>
        <v>0</v>
      </c>
      <c r="CT37" s="9">
        <f>IF(94&lt;=核心参数输入!$B$9*4,MAX(0,IF(94=核心参数输入!$B$9*4,0,核心参数输入!$B$123)-(CT36+CT21)),0)</f>
        <v>0</v>
      </c>
      <c r="CU37" s="9">
        <f>IF(95&lt;=核心参数输入!$B$9*4,MAX(0,IF(95=核心参数输入!$B$9*4,0,核心参数输入!$B$123)-(CU36+CU21)),0)</f>
        <v>0</v>
      </c>
      <c r="CV37" s="9">
        <f>IF(96&lt;=核心参数输入!$B$9*4,MAX(0,IF(96=核心参数输入!$B$9*4,0,核心参数输入!$B$123)-(CV36+CV21)),0)</f>
        <v>0</v>
      </c>
      <c r="CW37" s="9">
        <f>IF(97&lt;=核心参数输入!$B$9*4,MAX(0,IF(97=核心参数输入!$B$9*4,0,核心参数输入!$B$123)-(CW36+CW21)),0)</f>
        <v>0</v>
      </c>
      <c r="CX37" s="9">
        <f>IF(98&lt;=核心参数输入!$B$9*4,MAX(0,IF(98=核心参数输入!$B$9*4,0,核心参数输入!$B$123)-(CX36+CX21)),0)</f>
        <v>0</v>
      </c>
      <c r="CY37" s="9">
        <f>IF(99&lt;=核心参数输入!$B$9*4,MAX(0,IF(99=核心参数输入!$B$9*4,0,核心参数输入!$B$123)-(CY36+CY21)),0)</f>
        <v>0</v>
      </c>
      <c r="CZ37" s="9">
        <f>IF(100&lt;=核心参数输入!$B$9*4,MAX(0,IF(100=核心参数输入!$B$9*4,0,核心参数输入!$B$123)-(CZ36+CZ21)),0)</f>
        <v>0</v>
      </c>
      <c r="DA37" s="9">
        <f>IF(101&lt;=核心参数输入!$B$9*4,MAX(0,IF(101=核心参数输入!$B$9*4,0,核心参数输入!$B$123)-(DA36+DA21)),0)</f>
        <v>0</v>
      </c>
      <c r="DB37" s="9">
        <f>IF(102&lt;=核心参数输入!$B$9*4,MAX(0,IF(102=核心参数输入!$B$9*4,0,核心参数输入!$B$123)-(DB36+DB21)),0)</f>
        <v>0</v>
      </c>
      <c r="DC37" s="9">
        <f>IF(103&lt;=核心参数输入!$B$9*4,MAX(0,IF(103=核心参数输入!$B$9*4,0,核心参数输入!$B$123)-(DC36+DC21)),0)</f>
        <v>0</v>
      </c>
      <c r="DD37" s="9">
        <f>IF(104&lt;=核心参数输入!$B$9*4,MAX(0,IF(104=核心参数输入!$B$9*4,0,核心参数输入!$B$123)-(DD36+DD21)),0)</f>
        <v>0</v>
      </c>
      <c r="DE37" s="9">
        <f>IF(105&lt;=核心参数输入!$B$9*4,MAX(0,IF(105=核心参数输入!$B$9*4,0,核心参数输入!$B$123)-(DE36+DE21)),0)</f>
        <v>0</v>
      </c>
      <c r="DF37" s="9">
        <f>IF(106&lt;=核心参数输入!$B$9*4,MAX(0,IF(106=核心参数输入!$B$9*4,0,核心参数输入!$B$123)-(DF36+DF21)),0)</f>
        <v>0</v>
      </c>
      <c r="DG37" s="9">
        <f>IF(107&lt;=核心参数输入!$B$9*4,MAX(0,IF(107=核心参数输入!$B$9*4,0,核心参数输入!$B$123)-(DG36+DG21)),0)</f>
        <v>0</v>
      </c>
      <c r="DH37" s="9">
        <f>IF(108&lt;=核心参数输入!$B$9*4,MAX(0,IF(108=核心参数输入!$B$9*4,0,核心参数输入!$B$123)-(DH36+DH21)),0)</f>
        <v>0</v>
      </c>
      <c r="DI37" s="9">
        <f>IF(109&lt;=核心参数输入!$B$9*4,MAX(0,IF(109=核心参数输入!$B$9*4,0,核心参数输入!$B$123)-(DI36+DI21)),0)</f>
        <v>0</v>
      </c>
      <c r="DJ37" s="9">
        <f>IF(110&lt;=核心参数输入!$B$9*4,MAX(0,IF(110=核心参数输入!$B$9*4,0,核心参数输入!$B$123)-(DJ36+DJ21)),0)</f>
        <v>0</v>
      </c>
      <c r="DK37" s="9">
        <f>IF(111&lt;=核心参数输入!$B$9*4,MAX(0,IF(111=核心参数输入!$B$9*4,0,核心参数输入!$B$123)-(DK36+DK21)),0)</f>
        <v>0</v>
      </c>
      <c r="DL37" s="9">
        <f>IF(112&lt;=核心参数输入!$B$9*4,MAX(0,IF(112=核心参数输入!$B$9*4,0,核心参数输入!$B$123)-(DL36+DL21)),0)</f>
        <v>0</v>
      </c>
      <c r="DM37" s="9">
        <f>IF(113&lt;=核心参数输入!$B$9*4,MAX(0,IF(113=核心参数输入!$B$9*4,0,核心参数输入!$B$123)-(DM36+DM21)),0)</f>
        <v>0</v>
      </c>
      <c r="DN37" s="9">
        <f>IF(114&lt;=核心参数输入!$B$9*4,MAX(0,IF(114=核心参数输入!$B$9*4,0,核心参数输入!$B$123)-(DN36+DN21)),0)</f>
        <v>0</v>
      </c>
      <c r="DO37" s="9">
        <f>IF(115&lt;=核心参数输入!$B$9*4,MAX(0,IF(115=核心参数输入!$B$9*4,0,核心参数输入!$B$123)-(DO36+DO21)),0)</f>
        <v>0</v>
      </c>
      <c r="DP37" s="9">
        <f>IF(116&lt;=核心参数输入!$B$9*4,MAX(0,IF(116=核心参数输入!$B$9*4,0,核心参数输入!$B$123)-(DP36+DP21)),0)</f>
        <v>0</v>
      </c>
      <c r="DQ37" s="9">
        <f>IF(117&lt;=核心参数输入!$B$9*4,MAX(0,IF(117=核心参数输入!$B$9*4,0,核心参数输入!$B$123)-(DQ36+DQ21)),0)</f>
        <v>0</v>
      </c>
      <c r="DR37" s="9">
        <f>IF(118&lt;=核心参数输入!$B$9*4,MAX(0,IF(118=核心参数输入!$B$9*4,0,核心参数输入!$B$123)-(DR36+DR21)),0)</f>
        <v>0</v>
      </c>
      <c r="DS37" s="9">
        <f>IF(119&lt;=核心参数输入!$B$9*4,MAX(0,IF(119=核心参数输入!$B$9*4,0,核心参数输入!$B$123)-(DS36+DS21)),0)</f>
        <v>0</v>
      </c>
      <c r="DT37" s="9">
        <f>IF(120&lt;=核心参数输入!$B$9*4,MAX(0,IF(120=核心参数输入!$B$9*4,0,核心参数输入!$B$123)-(DT36+DT21)),0)</f>
        <v>0</v>
      </c>
    </row>
    <row r="38" spans="1:124" ht="21" customHeight="1">
      <c r="A38" s="8" t="s">
        <v>532</v>
      </c>
      <c r="B38" s="8" t="s">
        <v>39</v>
      </c>
      <c r="C38" s="8"/>
      <c r="D38" s="9">
        <f>IF(0&lt;=核心参数输入!$B$9*4,MAX(0,D36+D21+D37-D35-IF(0=核心参数输入!$B$9*4,0,核心参数输入!$B$123)),0)</f>
        <v>0</v>
      </c>
      <c r="E38" s="9">
        <f>IF(1&lt;=核心参数输入!$B$9*4,MAX(0,E36+E21+E37-E35-IF(1=核心参数输入!$B$9*4,0,核心参数输入!$B$123)),0)</f>
        <v>0</v>
      </c>
      <c r="F38" s="9">
        <f>IF(2&lt;=核心参数输入!$B$9*4,MAX(0,F36+F21+F37-F35-IF(2=核心参数输入!$B$9*4,0,核心参数输入!$B$123)),0)</f>
        <v>0</v>
      </c>
      <c r="G38" s="9">
        <f>IF(3&lt;=核心参数输入!$B$9*4,MAX(0,G36+G21+G37-G35-IF(3=核心参数输入!$B$9*4,0,核心参数输入!$B$123)),0)</f>
        <v>0</v>
      </c>
      <c r="H38" s="9">
        <f>IF(4&lt;=核心参数输入!$B$9*4,MAX(0,H36+H21+H37-H35-IF(4=核心参数输入!$B$9*4,0,核心参数输入!$B$123)),0)</f>
        <v>0</v>
      </c>
      <c r="I38" s="9">
        <f>IF(5&lt;=核心参数输入!$B$9*4,MAX(0,I36+I21+I37-I35-IF(5=核心参数输入!$B$9*4,0,核心参数输入!$B$123)),0)</f>
        <v>0</v>
      </c>
      <c r="J38" s="9">
        <f>IF(6&lt;=核心参数输入!$B$9*4,MAX(0,J36+J21+J37-J35-IF(6=核心参数输入!$B$9*4,0,核心参数输入!$B$123)),0)</f>
        <v>0</v>
      </c>
      <c r="K38" s="9">
        <f>IF(7&lt;=核心参数输入!$B$9*4,MAX(0,K36+K21+K37-K35-IF(7=核心参数输入!$B$9*4,0,核心参数输入!$B$123)),0)</f>
        <v>0</v>
      </c>
      <c r="L38" s="9">
        <f>IF(8&lt;=核心参数输入!$B$9*4,MAX(0,L36+L21+L37-L35-IF(8=核心参数输入!$B$9*4,0,核心参数输入!$B$123)),0)</f>
        <v>0</v>
      </c>
      <c r="M38" s="9">
        <f>IF(9&lt;=核心参数输入!$B$9*4,MAX(0,M36+M21+M37-M35-IF(9=核心参数输入!$B$9*4,0,核心参数输入!$B$123)),0)</f>
        <v>0</v>
      </c>
      <c r="N38" s="9">
        <f>IF(10&lt;=核心参数输入!$B$9*4,MAX(0,N36+N21+N37-N35-IF(10=核心参数输入!$B$9*4,0,核心参数输入!$B$123)),0)</f>
        <v>0</v>
      </c>
      <c r="O38" s="9">
        <f>IF(11&lt;=核心参数输入!$B$9*4,MAX(0,O36+O21+O37-O35-IF(11=核心参数输入!$B$9*4,0,核心参数输入!$B$123)),0)</f>
        <v>0</v>
      </c>
      <c r="P38" s="9">
        <f>IF(12&lt;=核心参数输入!$B$9*4,MAX(0,P36+P21+P37-P35-IF(12=核心参数输入!$B$9*4,0,核心参数输入!$B$123)),0)</f>
        <v>0</v>
      </c>
      <c r="Q38" s="9">
        <f>IF(13&lt;=核心参数输入!$B$9*4,MAX(0,Q36+Q21+Q37-Q35-IF(13=核心参数输入!$B$9*4,0,核心参数输入!$B$123)),0)</f>
        <v>1218.7140625000002</v>
      </c>
      <c r="R38" s="9">
        <f>IF(14&lt;=核心参数输入!$B$9*4,MAX(0,R36+R21+R37-R35-IF(14=核心参数输入!$B$9*4,0,核心参数输入!$B$123)),0)</f>
        <v>2829.5738458125002</v>
      </c>
      <c r="S38" s="9">
        <f>IF(15&lt;=核心参数输入!$B$9*4,MAX(0,S36+S21+S37-S35-IF(15=核心参数输入!$B$9*4,0,核心参数输入!$B$123)),0)</f>
        <v>1483.436968332589</v>
      </c>
      <c r="T38" s="9">
        <f>IF(16&lt;=核心参数输入!$B$9*4,MAX(0,T36+T21+T37-T35-IF(16=核心参数输入!$B$9*4,0,核心参数输入!$B$123)),0)</f>
        <v>0</v>
      </c>
      <c r="U38" s="9">
        <f>IF(17&lt;=核心参数输入!$B$9*4,MAX(0,U36+U21+U37-U35-IF(17=核心参数输入!$B$9*4,0,核心参数输入!$B$123)),0)</f>
        <v>3743.3198541853121</v>
      </c>
      <c r="V38" s="9">
        <f>IF(18&lt;=核心参数输入!$B$9*4,MAX(0,V36+V21+V37-V35-IF(18=核心参数输入!$B$9*4,0,核心参数输入!$B$123)),0)</f>
        <v>2494.0523918316721</v>
      </c>
      <c r="W38" s="9">
        <f>IF(19&lt;=核心参数输入!$B$9*4,MAX(0,W36+W21+W37-W35-IF(19=核心参数输入!$B$9*4,0,核心参数输入!$B$123)),0)</f>
        <v>0</v>
      </c>
      <c r="X38" s="9">
        <f>IF(20&lt;=核心参数输入!$B$9*4,MAX(0,X36+X21+X37-X35-IF(20=核心参数输入!$B$9*4,0,核心参数输入!$B$123)),0)</f>
        <v>0</v>
      </c>
      <c r="Y38" s="9">
        <f>IF(21&lt;=核心参数输入!$B$9*4,MAX(0,Y36+Y21+Y37-Y35-IF(21=核心参数输入!$B$9*4,0,核心参数输入!$B$123)),0)</f>
        <v>0</v>
      </c>
      <c r="Z38" s="9">
        <f>IF(22&lt;=核心参数输入!$B$9*4,MAX(0,Z36+Z21+Z37-Z35-IF(22=核心参数输入!$B$9*4,0,核心参数输入!$B$123)),0)</f>
        <v>0</v>
      </c>
      <c r="AA38" s="9">
        <f>IF(23&lt;=核心参数输入!$B$9*4,MAX(0,AA36+AA21+AA37-AA35-IF(23=核心参数输入!$B$9*4,0,核心参数输入!$B$123)),0)</f>
        <v>0</v>
      </c>
      <c r="AB38" s="9">
        <f>IF(24&lt;=核心参数输入!$B$9*4,MAX(0,AB36+AB21+AB37-AB35-IF(24=核心参数输入!$B$9*4,0,核心参数输入!$B$123)),0)</f>
        <v>0</v>
      </c>
      <c r="AC38" s="9">
        <f>IF(25&lt;=核心参数输入!$B$9*4,MAX(0,AC36+AC21+AC37-AC35-IF(25=核心参数输入!$B$9*4,0,核心参数输入!$B$123)),0)</f>
        <v>0</v>
      </c>
      <c r="AD38" s="9">
        <f>IF(26&lt;=核心参数输入!$B$9*4,MAX(0,AD36+AD21+AD37-AD35-IF(26=核心参数输入!$B$9*4,0,核心参数输入!$B$123)),0)</f>
        <v>0</v>
      </c>
      <c r="AE38" s="9">
        <f>IF(27&lt;=核心参数输入!$B$9*4,MAX(0,AE36+AE21+AE37-AE35-IF(27=核心参数输入!$B$9*4,0,核心参数输入!$B$123)),0)</f>
        <v>0</v>
      </c>
      <c r="AF38" s="9">
        <f>IF(28&lt;=核心参数输入!$B$9*4,MAX(0,AF36+AF21+AF37-AF35-IF(28=核心参数输入!$B$9*4,0,核心参数输入!$B$123)),0)</f>
        <v>0</v>
      </c>
      <c r="AG38" s="9">
        <f>IF(29&lt;=核心参数输入!$B$9*4,MAX(0,AG36+AG21+AG37-AG35-IF(29=核心参数输入!$B$9*4,0,核心参数输入!$B$123)),0)</f>
        <v>0</v>
      </c>
      <c r="AH38" s="9">
        <f>IF(30&lt;=核心参数输入!$B$9*4,MAX(0,AH36+AH21+AH37-AH35-IF(30=核心参数输入!$B$9*4,0,核心参数输入!$B$123)),0)</f>
        <v>0</v>
      </c>
      <c r="AI38" s="9">
        <f>IF(31&lt;=核心参数输入!$B$9*4,MAX(0,AI36+AI21+AI37-AI35-IF(31=核心参数输入!$B$9*4,0,核心参数输入!$B$123)),0)</f>
        <v>0</v>
      </c>
      <c r="AJ38" s="9">
        <f>IF(32&lt;=核心参数输入!$B$9*4,MAX(0,AJ36+AJ21+AJ37-AJ35-IF(32=核心参数输入!$B$9*4,0,核心参数输入!$B$123)),0)</f>
        <v>0</v>
      </c>
      <c r="AK38" s="9">
        <f>IF(33&lt;=核心参数输入!$B$9*4,MAX(0,AK36+AK21+AK37-AK35-IF(33=核心参数输入!$B$9*4,0,核心参数输入!$B$123)),0)</f>
        <v>0</v>
      </c>
      <c r="AL38" s="9">
        <f>IF(34&lt;=核心参数输入!$B$9*4,MAX(0,AL36+AL21+AL37-AL35-IF(34=核心参数输入!$B$9*4,0,核心参数输入!$B$123)),0)</f>
        <v>0</v>
      </c>
      <c r="AM38" s="9">
        <f>IF(35&lt;=核心参数输入!$B$9*4,MAX(0,AM36+AM21+AM37-AM35-IF(35=核心参数输入!$B$9*4,0,核心参数输入!$B$123)),0)</f>
        <v>0</v>
      </c>
      <c r="AN38" s="9">
        <f>IF(36&lt;=核心参数输入!$B$9*4,MAX(0,AN36+AN21+AN37-AN35-IF(36=核心参数输入!$B$9*4,0,核心参数输入!$B$123)),0)</f>
        <v>0</v>
      </c>
      <c r="AO38" s="9">
        <f>IF(37&lt;=核心参数输入!$B$9*4,MAX(0,AO36+AO21+AO37-AO35-IF(37=核心参数输入!$B$9*4,0,核心参数输入!$B$123)),0)</f>
        <v>0</v>
      </c>
      <c r="AP38" s="9">
        <f>IF(38&lt;=核心参数输入!$B$9*4,MAX(0,AP36+AP21+AP37-AP35-IF(38=核心参数输入!$B$9*4,0,核心参数输入!$B$123)),0)</f>
        <v>0</v>
      </c>
      <c r="AQ38" s="9">
        <f>IF(39&lt;=核心参数输入!$B$9*4,MAX(0,AQ36+AQ21+AQ37-AQ35-IF(39=核心参数输入!$B$9*4,0,核心参数输入!$B$123)),0)</f>
        <v>0</v>
      </c>
      <c r="AR38" s="9">
        <f>IF(40&lt;=核心参数输入!$B$9*4,MAX(0,AR36+AR21+AR37-AR35-IF(40=核心参数输入!$B$9*4,0,核心参数输入!$B$123)),0)</f>
        <v>0</v>
      </c>
      <c r="AS38" s="9">
        <f>IF(41&lt;=核心参数输入!$B$9*4,MAX(0,AS36+AS21+AS37-AS35-IF(41=核心参数输入!$B$9*4,0,核心参数输入!$B$123)),0)</f>
        <v>267.65012380987014</v>
      </c>
      <c r="AT38" s="9">
        <f>IF(42&lt;=核心参数输入!$B$9*4,MAX(0,AT36+AT21+AT37-AT35-IF(42=核心参数输入!$B$9*4,0,核心参数输入!$B$123)),0)</f>
        <v>267.65012380987014</v>
      </c>
      <c r="AU38" s="9">
        <f>IF(43&lt;=核心参数输入!$B$9*4,MAX(0,AU36+AU21+AU37-AU35-IF(43=核心参数输入!$B$9*4,0,核心参数输入!$B$123)),0)</f>
        <v>267.65012380987014</v>
      </c>
      <c r="AV38" s="9">
        <f>IF(44&lt;=核心参数输入!$B$9*4,MAX(0,AV36+AV21+AV37-AV35-IF(44=核心参数输入!$B$9*4,0,核心参数输入!$B$123)),0)</f>
        <v>267.65012380987014</v>
      </c>
      <c r="AW38" s="9">
        <f>IF(45&lt;=核心参数输入!$B$9*4,MAX(0,AW36+AW21+AW37-AW35-IF(45=核心参数输入!$B$9*4,0,核心参数输入!$B$123)),0)</f>
        <v>271.90911854164972</v>
      </c>
      <c r="AX38" s="9">
        <f>IF(46&lt;=核心参数输入!$B$9*4,MAX(0,AX36+AX21+AX37-AX35-IF(46=核心参数输入!$B$9*4,0,核心参数输入!$B$123)),0)</f>
        <v>271.90911854164972</v>
      </c>
      <c r="AY38" s="9">
        <f>IF(47&lt;=核心参数输入!$B$9*4,MAX(0,AY36+AY21+AY37-AY35-IF(47=核心参数输入!$B$9*4,0,核心参数输入!$B$123)),0)</f>
        <v>271.90911854164972</v>
      </c>
      <c r="AZ38" s="9">
        <f>IF(48&lt;=核心参数输入!$B$9*4,MAX(0,AZ36+AZ21+AZ37-AZ35-IF(48=核心参数输入!$B$9*4,0,核心参数输入!$B$123)),0)</f>
        <v>271.90911854164972</v>
      </c>
      <c r="BA38" s="9">
        <f>IF(49&lt;=核心参数输入!$B$9*4,MAX(0,BA36+BA21+BA37-BA35-IF(49=核心参数输入!$B$9*4,0,核心参数输入!$B$123)),0)</f>
        <v>276.22338305189851</v>
      </c>
      <c r="BB38" s="9">
        <f>IF(50&lt;=核心参数输入!$B$9*4,MAX(0,BB36+BB21+BB37-BB35-IF(50=核心参数输入!$B$9*4,0,核心参数输入!$B$123)),0)</f>
        <v>276.22338305189851</v>
      </c>
      <c r="BC38" s="9">
        <f>IF(51&lt;=核心参数输入!$B$9*4,MAX(0,BC36+BC21+BC37-BC35-IF(51=核心参数输入!$B$9*4,0,核心参数输入!$B$123)),0)</f>
        <v>276.22338305189851</v>
      </c>
      <c r="BD38" s="9">
        <f>IF(52&lt;=核心参数输入!$B$9*4,MAX(0,BD36+BD21+BD37-BD35-IF(52=核心参数输入!$B$9*4,0,核心参数输入!$B$123)),0)</f>
        <v>276.22338305189851</v>
      </c>
      <c r="BE38" s="9">
        <f>IF(53&lt;=核心参数输入!$B$9*4,MAX(0,BE36+BE21+BE37-BE35-IF(53=核心参数输入!$B$9*4,0,核心参数输入!$B$123)),0)</f>
        <v>280.59357408444356</v>
      </c>
      <c r="BF38" s="9">
        <f>IF(54&lt;=核心参数输入!$B$9*4,MAX(0,BF36+BF21+BF37-BF35-IF(54=核心参数输入!$B$9*4,0,核心参数输入!$B$123)),0)</f>
        <v>280.59357408444356</v>
      </c>
      <c r="BG38" s="9">
        <f>IF(55&lt;=核心参数输入!$B$9*4,MAX(0,BG36+BG21+BG37-BG35-IF(55=核心参数输入!$B$9*4,0,核心参数输入!$B$123)),0)</f>
        <v>280.59357408444356</v>
      </c>
      <c r="BH38" s="9">
        <f>IF(56&lt;=核心参数输入!$B$9*4,MAX(0,BH36+BH21+BH37-BH35-IF(56=核心参数输入!$B$9*4,0,核心参数输入!$B$123)),0)</f>
        <v>251.60090143748954</v>
      </c>
      <c r="BI38" s="9">
        <f>IF(57&lt;=核心参数输入!$B$9*4,MAX(0,BI36+BI21+BI37-BI35-IF(57=核心参数输入!$B$9*4,0,核心参数输入!$B$123)),0)</f>
        <v>285.0203547882121</v>
      </c>
      <c r="BJ38" s="9">
        <f>IF(58&lt;=核心参数输入!$B$9*4,MAX(0,BJ36+BJ21+BJ37-BJ35-IF(58=核心参数输入!$B$9*4,0,核心参数输入!$B$123)),0)</f>
        <v>285.0203547882121</v>
      </c>
      <c r="BK38" s="9">
        <f>IF(59&lt;=核心参数输入!$B$9*4,MAX(0,BK36+BK21+BK37-BK35-IF(59=核心参数输入!$B$9*4,0,核心参数输入!$B$123)),0)</f>
        <v>285.0203547882121</v>
      </c>
      <c r="BL38" s="9">
        <f>IF(60&lt;=核心参数输入!$B$9*4,MAX(0,BL36+BL21+BL37-BL35-IF(60=核心参数输入!$B$9*4,0,核心参数输入!$B$123)),0)</f>
        <v>213.26062499999986</v>
      </c>
      <c r="BM38" s="9">
        <f>IF(61&lt;=核心参数输入!$B$9*4,MAX(0,BM36+BM21+BM37-BM35-IF(61=核心参数输入!$B$9*4,0,核心参数输入!$B$123)),0)</f>
        <v>289.50439474438724</v>
      </c>
      <c r="BN38" s="9">
        <f>IF(62&lt;=核心参数输入!$B$9*4,MAX(0,BN36+BN21+BN37-BN35-IF(62=核心参数输入!$B$9*4,0,核心参数输入!$B$123)),0)</f>
        <v>289.50439474438724</v>
      </c>
      <c r="BO38" s="9">
        <f>IF(63&lt;=核心参数输入!$B$9*4,MAX(0,BO36+BO21+BO37-BO35-IF(63=核心参数输入!$B$9*4,0,核心参数输入!$B$123)),0)</f>
        <v>289.50439474438724</v>
      </c>
      <c r="BP38" s="9">
        <f>IF(64&lt;=核心参数输入!$B$9*4,MAX(0,BP36+BP21+BP37-BP35-IF(64=核心参数输入!$B$9*4,0,核心参数输入!$B$123)),0)</f>
        <v>213.26062499999995</v>
      </c>
      <c r="BQ38" s="9">
        <f>IF(65&lt;=核心参数输入!$B$9*4,MAX(0,BQ36+BQ21+BQ37-BQ35-IF(65=核心参数输入!$B$9*4,0,核心参数输入!$B$123)),0)</f>
        <v>294.04636999259213</v>
      </c>
      <c r="BR38" s="9">
        <f>IF(66&lt;=核心参数输入!$B$9*4,MAX(0,BR36+BR21+BR37-BR35-IF(66=核心参数输入!$B$9*4,0,核心参数输入!$B$123)),0)</f>
        <v>294.04636999259213</v>
      </c>
      <c r="BS38" s="9">
        <f>IF(67&lt;=核心参数输入!$B$9*4,MAX(0,BS36+BS21+BS37-BS35-IF(67=核心参数输入!$B$9*4,0,核心参数输入!$B$123)),0)</f>
        <v>294.04636999259213</v>
      </c>
      <c r="BT38" s="9">
        <f>IF(68&lt;=核心参数输入!$B$9*4,MAX(0,BT36+BT21+BT37-BT35-IF(68=核心参数输入!$B$9*4,0,核心参数输入!$B$123)),0)</f>
        <v>213.26062499999998</v>
      </c>
      <c r="BU38" s="9">
        <f>IF(69&lt;=核心参数输入!$B$9*4,MAX(0,BU36+BU21+BU37-BU35-IF(69=核心参数输入!$B$9*4,0,核心参数输入!$B$123)),0)</f>
        <v>298.64696305606077</v>
      </c>
      <c r="BV38" s="9">
        <f>IF(70&lt;=核心参数输入!$B$9*4,MAX(0,BV36+BV21+BV37-BV35-IF(70=核心参数输入!$B$9*4,0,核心参数输入!$B$123)),0)</f>
        <v>298.64696305606077</v>
      </c>
      <c r="BW38" s="9">
        <f>IF(71&lt;=核心参数输入!$B$9*4,MAX(0,BW36+BW21+BW37-BW35-IF(71=核心参数输入!$B$9*4,0,核心参数输入!$B$123)),0)</f>
        <v>298.64696305606077</v>
      </c>
      <c r="BX38" s="9">
        <f>IF(72&lt;=核心参数输入!$B$9*4,MAX(0,BX36+BX21+BX37-BX35-IF(72=核心参数输入!$B$9*4,0,核心参数输入!$B$123)),0)</f>
        <v>213.26062499999995</v>
      </c>
      <c r="BY38" s="9">
        <f>IF(73&lt;=核心参数输入!$B$9*4,MAX(0,BY36+BY21+BY37-BY35-IF(73=核心参数输入!$B$9*4,0,核心参数输入!$B$123)),0)</f>
        <v>303.30686296575288</v>
      </c>
      <c r="BZ38" s="9">
        <f>IF(74&lt;=核心参数输入!$B$9*4,MAX(0,BZ36+BZ21+BZ37-BZ35-IF(74=核心参数输入!$B$9*4,0,核心参数输入!$B$123)),0)</f>
        <v>303.30686296575288</v>
      </c>
      <c r="CA38" s="9">
        <f>IF(75&lt;=核心参数输入!$B$9*4,MAX(0,CA36+CA21+CA37-CA35-IF(75=核心参数输入!$B$9*4,0,核心参数输入!$B$123)),0)</f>
        <v>303.30686296575288</v>
      </c>
      <c r="CB38" s="9">
        <f>IF(76&lt;=核心参数输入!$B$9*4,MAX(0,CB36+CB21+CB37-CB35-IF(76=核心参数输入!$B$9*4,0,核心参数输入!$B$123)),0)</f>
        <v>213.26062499999992</v>
      </c>
      <c r="CC38" s="9">
        <f>IF(77&lt;=核心参数输入!$B$9*4,MAX(0,CC36+CC21+CC37-CC35-IF(77=核心参数输入!$B$9*4,0,核心参数输入!$B$123)),0)</f>
        <v>308.02676528336758</v>
      </c>
      <c r="CD38" s="9">
        <f>IF(78&lt;=核心参数输入!$B$9*4,MAX(0,CD36+CD21+CD37-CD35-IF(78=核心参数输入!$B$9*4,0,核心参数输入!$B$123)),0)</f>
        <v>308.02676528336758</v>
      </c>
      <c r="CE38" s="9">
        <f>IF(79&lt;=核心参数输入!$B$9*4,MAX(0,CE36+CE21+CE37-CE35-IF(79=核心参数输入!$B$9*4,0,核心参数输入!$B$123)),0)</f>
        <v>308.02676528336758</v>
      </c>
      <c r="CF38" s="9">
        <f>IF(80&lt;=核心参数输入!$B$9*4,MAX(0,CF36+CF21+CF37-CF35-IF(80=核心参数输入!$B$9*4,0,核心参数输入!$B$123)),0)</f>
        <v>25978.954999999994</v>
      </c>
      <c r="CG38" s="9">
        <f>IF(81&lt;=核心参数输入!$B$9*4,MAX(0,CG36+CG21+CG37-CG35-IF(81=核心参数输入!$B$9*4,0,核心参数输入!$B$123)),0)</f>
        <v>0</v>
      </c>
      <c r="CH38" s="9">
        <f>IF(82&lt;=核心参数输入!$B$9*4,MAX(0,CH36+CH21+CH37-CH35-IF(82=核心参数输入!$B$9*4,0,核心参数输入!$B$123)),0)</f>
        <v>0</v>
      </c>
      <c r="CI38" s="9">
        <f>IF(83&lt;=核心参数输入!$B$9*4,MAX(0,CI36+CI21+CI37-CI35-IF(83=核心参数输入!$B$9*4,0,核心参数输入!$B$123)),0)</f>
        <v>0</v>
      </c>
      <c r="CJ38" s="9">
        <f>IF(84&lt;=核心参数输入!$B$9*4,MAX(0,CJ36+CJ21+CJ37-CJ35-IF(84=核心参数输入!$B$9*4,0,核心参数输入!$B$123)),0)</f>
        <v>0</v>
      </c>
      <c r="CK38" s="9">
        <f>IF(85&lt;=核心参数输入!$B$9*4,MAX(0,CK36+CK21+CK37-CK35-IF(85=核心参数输入!$B$9*4,0,核心参数输入!$B$123)),0)</f>
        <v>0</v>
      </c>
      <c r="CL38" s="9">
        <f>IF(86&lt;=核心参数输入!$B$9*4,MAX(0,CL36+CL21+CL37-CL35-IF(86=核心参数输入!$B$9*4,0,核心参数输入!$B$123)),0)</f>
        <v>0</v>
      </c>
      <c r="CM38" s="9">
        <f>IF(87&lt;=核心参数输入!$B$9*4,MAX(0,CM36+CM21+CM37-CM35-IF(87=核心参数输入!$B$9*4,0,核心参数输入!$B$123)),0)</f>
        <v>0</v>
      </c>
      <c r="CN38" s="9">
        <f>IF(88&lt;=核心参数输入!$B$9*4,MAX(0,CN36+CN21+CN37-CN35-IF(88=核心参数输入!$B$9*4,0,核心参数输入!$B$123)),0)</f>
        <v>0</v>
      </c>
      <c r="CO38" s="9">
        <f>IF(89&lt;=核心参数输入!$B$9*4,MAX(0,CO36+CO21+CO37-CO35-IF(89=核心参数输入!$B$9*4,0,核心参数输入!$B$123)),0)</f>
        <v>0</v>
      </c>
      <c r="CP38" s="9">
        <f>IF(90&lt;=核心参数输入!$B$9*4,MAX(0,CP36+CP21+CP37-CP35-IF(90=核心参数输入!$B$9*4,0,核心参数输入!$B$123)),0)</f>
        <v>0</v>
      </c>
      <c r="CQ38" s="9">
        <f>IF(91&lt;=核心参数输入!$B$9*4,MAX(0,CQ36+CQ21+CQ37-CQ35-IF(91=核心参数输入!$B$9*4,0,核心参数输入!$B$123)),0)</f>
        <v>0</v>
      </c>
      <c r="CR38" s="9">
        <f>IF(92&lt;=核心参数输入!$B$9*4,MAX(0,CR36+CR21+CR37-CR35-IF(92=核心参数输入!$B$9*4,0,核心参数输入!$B$123)),0)</f>
        <v>0</v>
      </c>
      <c r="CS38" s="9">
        <f>IF(93&lt;=核心参数输入!$B$9*4,MAX(0,CS36+CS21+CS37-CS35-IF(93=核心参数输入!$B$9*4,0,核心参数输入!$B$123)),0)</f>
        <v>0</v>
      </c>
      <c r="CT38" s="9">
        <f>IF(94&lt;=核心参数输入!$B$9*4,MAX(0,CT36+CT21+CT37-CT35-IF(94=核心参数输入!$B$9*4,0,核心参数输入!$B$123)),0)</f>
        <v>0</v>
      </c>
      <c r="CU38" s="9">
        <f>IF(95&lt;=核心参数输入!$B$9*4,MAX(0,CU36+CU21+CU37-CU35-IF(95=核心参数输入!$B$9*4,0,核心参数输入!$B$123)),0)</f>
        <v>0</v>
      </c>
      <c r="CV38" s="9">
        <f>IF(96&lt;=核心参数输入!$B$9*4,MAX(0,CV36+CV21+CV37-CV35-IF(96=核心参数输入!$B$9*4,0,核心参数输入!$B$123)),0)</f>
        <v>0</v>
      </c>
      <c r="CW38" s="9">
        <f>IF(97&lt;=核心参数输入!$B$9*4,MAX(0,CW36+CW21+CW37-CW35-IF(97=核心参数输入!$B$9*4,0,核心参数输入!$B$123)),0)</f>
        <v>0</v>
      </c>
      <c r="CX38" s="9">
        <f>IF(98&lt;=核心参数输入!$B$9*4,MAX(0,CX36+CX21+CX37-CX35-IF(98=核心参数输入!$B$9*4,0,核心参数输入!$B$123)),0)</f>
        <v>0</v>
      </c>
      <c r="CY38" s="9">
        <f>IF(99&lt;=核心参数输入!$B$9*4,MAX(0,CY36+CY21+CY37-CY35-IF(99=核心参数输入!$B$9*4,0,核心参数输入!$B$123)),0)</f>
        <v>0</v>
      </c>
      <c r="CZ38" s="9">
        <f>IF(100&lt;=核心参数输入!$B$9*4,MAX(0,CZ36+CZ21+CZ37-CZ35-IF(100=核心参数输入!$B$9*4,0,核心参数输入!$B$123)),0)</f>
        <v>0</v>
      </c>
      <c r="DA38" s="9">
        <f>IF(101&lt;=核心参数输入!$B$9*4,MAX(0,DA36+DA21+DA37-DA35-IF(101=核心参数输入!$B$9*4,0,核心参数输入!$B$123)),0)</f>
        <v>0</v>
      </c>
      <c r="DB38" s="9">
        <f>IF(102&lt;=核心参数输入!$B$9*4,MAX(0,DB36+DB21+DB37-DB35-IF(102=核心参数输入!$B$9*4,0,核心参数输入!$B$123)),0)</f>
        <v>0</v>
      </c>
      <c r="DC38" s="9">
        <f>IF(103&lt;=核心参数输入!$B$9*4,MAX(0,DC36+DC21+DC37-DC35-IF(103=核心参数输入!$B$9*4,0,核心参数输入!$B$123)),0)</f>
        <v>0</v>
      </c>
      <c r="DD38" s="9">
        <f>IF(104&lt;=核心参数输入!$B$9*4,MAX(0,DD36+DD21+DD37-DD35-IF(104=核心参数输入!$B$9*4,0,核心参数输入!$B$123)),0)</f>
        <v>0</v>
      </c>
      <c r="DE38" s="9">
        <f>IF(105&lt;=核心参数输入!$B$9*4,MAX(0,DE36+DE21+DE37-DE35-IF(105=核心参数输入!$B$9*4,0,核心参数输入!$B$123)),0)</f>
        <v>0</v>
      </c>
      <c r="DF38" s="9">
        <f>IF(106&lt;=核心参数输入!$B$9*4,MAX(0,DF36+DF21+DF37-DF35-IF(106=核心参数输入!$B$9*4,0,核心参数输入!$B$123)),0)</f>
        <v>0</v>
      </c>
      <c r="DG38" s="9">
        <f>IF(107&lt;=核心参数输入!$B$9*4,MAX(0,DG36+DG21+DG37-DG35-IF(107=核心参数输入!$B$9*4,0,核心参数输入!$B$123)),0)</f>
        <v>0</v>
      </c>
      <c r="DH38" s="9">
        <f>IF(108&lt;=核心参数输入!$B$9*4,MAX(0,DH36+DH21+DH37-DH35-IF(108=核心参数输入!$B$9*4,0,核心参数输入!$B$123)),0)</f>
        <v>0</v>
      </c>
      <c r="DI38" s="9">
        <f>IF(109&lt;=核心参数输入!$B$9*4,MAX(0,DI36+DI21+DI37-DI35-IF(109=核心参数输入!$B$9*4,0,核心参数输入!$B$123)),0)</f>
        <v>0</v>
      </c>
      <c r="DJ38" s="9">
        <f>IF(110&lt;=核心参数输入!$B$9*4,MAX(0,DJ36+DJ21+DJ37-DJ35-IF(110=核心参数输入!$B$9*4,0,核心参数输入!$B$123)),0)</f>
        <v>0</v>
      </c>
      <c r="DK38" s="9">
        <f>IF(111&lt;=核心参数输入!$B$9*4,MAX(0,DK36+DK21+DK37-DK35-IF(111=核心参数输入!$B$9*4,0,核心参数输入!$B$123)),0)</f>
        <v>0</v>
      </c>
      <c r="DL38" s="9">
        <f>IF(112&lt;=核心参数输入!$B$9*4,MAX(0,DL36+DL21+DL37-DL35-IF(112=核心参数输入!$B$9*4,0,核心参数输入!$B$123)),0)</f>
        <v>0</v>
      </c>
      <c r="DM38" s="9">
        <f>IF(113&lt;=核心参数输入!$B$9*4,MAX(0,DM36+DM21+DM37-DM35-IF(113=核心参数输入!$B$9*4,0,核心参数输入!$B$123)),0)</f>
        <v>0</v>
      </c>
      <c r="DN38" s="9">
        <f>IF(114&lt;=核心参数输入!$B$9*4,MAX(0,DN36+DN21+DN37-DN35-IF(114=核心参数输入!$B$9*4,0,核心参数输入!$B$123)),0)</f>
        <v>0</v>
      </c>
      <c r="DO38" s="9">
        <f>IF(115&lt;=核心参数输入!$B$9*4,MAX(0,DO36+DO21+DO37-DO35-IF(115=核心参数输入!$B$9*4,0,核心参数输入!$B$123)),0)</f>
        <v>0</v>
      </c>
      <c r="DP38" s="9">
        <f>IF(116&lt;=核心参数输入!$B$9*4,MAX(0,DP36+DP21+DP37-DP35-IF(116=核心参数输入!$B$9*4,0,核心参数输入!$B$123)),0)</f>
        <v>0</v>
      </c>
      <c r="DQ38" s="9">
        <f>IF(117&lt;=核心参数输入!$B$9*4,MAX(0,DQ36+DQ21+DQ37-DQ35-IF(117=核心参数输入!$B$9*4,0,核心参数输入!$B$123)),0)</f>
        <v>0</v>
      </c>
      <c r="DR38" s="9">
        <f>IF(118&lt;=核心参数输入!$B$9*4,MAX(0,DR36+DR21+DR37-DR35-IF(118=核心参数输入!$B$9*4,0,核心参数输入!$B$123)),0)</f>
        <v>0</v>
      </c>
      <c r="DS38" s="9">
        <f>IF(119&lt;=核心参数输入!$B$9*4,MAX(0,DS36+DS21+DS37-DS35-IF(119=核心参数输入!$B$9*4,0,核心参数输入!$B$123)),0)</f>
        <v>0</v>
      </c>
      <c r="DT38" s="9">
        <f>IF(120&lt;=核心参数输入!$B$9*4,MAX(0,DT36+DT21+DT37-DT35-IF(120=核心参数输入!$B$9*4,0,核心参数输入!$B$123)),0)</f>
        <v>0</v>
      </c>
    </row>
    <row r="39" spans="1:124" ht="21" customHeight="1">
      <c r="A39" s="8" t="s">
        <v>533</v>
      </c>
      <c r="B39" s="8" t="s">
        <v>39</v>
      </c>
      <c r="C39" s="8"/>
      <c r="D39" s="9">
        <f>IF(0&lt;=核心参数输入!$B$9*4,D36+D21+D37-D38,0)</f>
        <v>0</v>
      </c>
      <c r="E39" s="9">
        <f>IF(1&lt;=核心参数输入!$B$9*4,E36+E21+E37-E38,0)</f>
        <v>0</v>
      </c>
      <c r="F39" s="9">
        <f>IF(2&lt;=核心参数输入!$B$9*4,F36+F21+F37-F38,0)</f>
        <v>0</v>
      </c>
      <c r="G39" s="9">
        <f>IF(3&lt;=核心参数输入!$B$9*4,G36+G21+G37-G38,0)</f>
        <v>0</v>
      </c>
      <c r="H39" s="9">
        <f>IF(4&lt;=核心参数输入!$B$9*4,H36+H21+H37-H38,0)</f>
        <v>0</v>
      </c>
      <c r="I39" s="9">
        <f>IF(5&lt;=核心参数输入!$B$9*4,I36+I21+I37-I38,0)</f>
        <v>0</v>
      </c>
      <c r="J39" s="9">
        <f>IF(6&lt;=核心参数输入!$B$9*4,J36+J21+J37-J38,0)</f>
        <v>0</v>
      </c>
      <c r="K39" s="9">
        <f>IF(7&lt;=核心参数输入!$B$9*4,K36+K21+K37-K38,0)</f>
        <v>0</v>
      </c>
      <c r="L39" s="9">
        <f>IF(8&lt;=核心参数输入!$B$9*4,L36+L21+L37-L38,0)</f>
        <v>0</v>
      </c>
      <c r="M39" s="9">
        <f>IF(9&lt;=核心参数输入!$B$9*4,M36+M21+M37-M38,0)</f>
        <v>0</v>
      </c>
      <c r="N39" s="9">
        <f>IF(10&lt;=核心参数输入!$B$9*4,N36+N21+N37-N38,0)</f>
        <v>0</v>
      </c>
      <c r="O39" s="9">
        <f>IF(11&lt;=核心参数输入!$B$9*4,O36+O21+O37-O38,0)</f>
        <v>0</v>
      </c>
      <c r="P39" s="9">
        <f>IF(12&lt;=核心参数输入!$B$9*4,P36+P21+P37-P38,0)</f>
        <v>0</v>
      </c>
      <c r="Q39" s="9">
        <f>IF(13&lt;=核心参数输入!$B$9*4,Q36+Q21+Q37-Q38,0)</f>
        <v>0</v>
      </c>
      <c r="R39" s="9">
        <f>IF(14&lt;=核心参数输入!$B$9*4,R36+R21+R37-R38,0)</f>
        <v>0</v>
      </c>
      <c r="S39" s="9">
        <f>IF(15&lt;=核心参数输入!$B$9*4,S36+S21+S37-S38,0)</f>
        <v>1396.0439441049111</v>
      </c>
      <c r="T39" s="9">
        <f>IF(16&lt;=核心参数输入!$B$9*4,T36+T21+T37-T38,0)</f>
        <v>0</v>
      </c>
      <c r="U39" s="9">
        <f>IF(17&lt;=核心参数输入!$B$9*4,U36+U21+U37-U38,0)</f>
        <v>0</v>
      </c>
      <c r="V39" s="9">
        <f>IF(18&lt;=核心参数输入!$B$9*4,V36+V21+V37-V38,0)</f>
        <v>1646.6951831907027</v>
      </c>
      <c r="W39" s="9">
        <f>IF(19&lt;=核心参数输入!$B$9*4,W36+W21+W37-W38,0)</f>
        <v>5807.7050272628276</v>
      </c>
      <c r="X39" s="9">
        <f>IF(20&lt;=核心参数输入!$B$9*4,X36+X21+X37-X38,0)</f>
        <v>5240.868945569995</v>
      </c>
      <c r="Y39" s="9">
        <f>IF(21&lt;=核心参数输入!$B$9*4,Y36+Y21+Y37-Y38,0)</f>
        <v>8772.0717497241931</v>
      </c>
      <c r="Z39" s="9">
        <f>IF(22&lt;=核心参数输入!$B$9*4,Z36+Z21+Z37-Z38,0)</f>
        <v>11959.301231578202</v>
      </c>
      <c r="AA39" s="9">
        <f>IF(23&lt;=核心参数输入!$B$9*4,AA36+AA21+AA37-AA38,0)</f>
        <v>15161.955365746333</v>
      </c>
      <c r="AB39" s="9">
        <f>IF(24&lt;=核心参数输入!$B$9*4,AB36+AB21+AB37-AB38,0)</f>
        <v>13721.068877349653</v>
      </c>
      <c r="AC39" s="9">
        <f>IF(25&lt;=核心参数输入!$B$9*4,AC36+AC21+AC37-AC38,0)</f>
        <v>14849.426350540474</v>
      </c>
      <c r="AD39" s="9">
        <f>IF(26&lt;=核心参数输入!$B$9*4,AD36+AD21+AD37-AD38,0)</f>
        <v>14902.314921797184</v>
      </c>
      <c r="AE39" s="9">
        <f>IF(27&lt;=核心参数输入!$B$9*4,AE36+AE21+AE37-AE38,0)</f>
        <v>14960.422167086839</v>
      </c>
      <c r="AF39" s="9">
        <f>IF(28&lt;=核心参数输入!$B$9*4,AF36+AF21+AF37-AF38,0)</f>
        <v>10760.533800695153</v>
      </c>
      <c r="AG39" s="9">
        <f>IF(29&lt;=核心参数输入!$B$9*4,AG36+AG21+AG37-AG38,0)</f>
        <v>10878.083609951031</v>
      </c>
      <c r="AH39" s="9">
        <f>IF(30&lt;=核心参数输入!$B$9*4,AH36+AH21+AH37-AH38,0)</f>
        <v>10998.281896278628</v>
      </c>
      <c r="AI39" s="9">
        <f>IF(31&lt;=核心参数输入!$B$9*4,AI36+AI21+AI37-AI38,0)</f>
        <v>11118.480182606225</v>
      </c>
      <c r="AJ39" s="9">
        <f>IF(32&lt;=核心参数输入!$B$9*4,AJ36+AJ21+AJ37-AJ38,0)</f>
        <v>6975.4641832195357</v>
      </c>
      <c r="AK39" s="9">
        <f>IF(33&lt;=核心参数输入!$B$9*4,AK36+AK21+AK37-AK38,0)</f>
        <v>7144.759531782046</v>
      </c>
      <c r="AL39" s="9">
        <f>IF(34&lt;=核心参数输入!$B$9*4,AL36+AL21+AL37-AL38,0)</f>
        <v>7314.0548803445563</v>
      </c>
      <c r="AM39" s="9">
        <f>IF(35&lt;=核心参数输入!$B$9*4,AM36+AM21+AM37-AM38,0)</f>
        <v>7483.3502289070666</v>
      </c>
      <c r="AN39" s="9">
        <f>IF(36&lt;=核心参数输入!$B$9*4,AN36+AN21+AN37-AN38,0)</f>
        <v>3389.4312917552916</v>
      </c>
      <c r="AO39" s="9">
        <f>IF(37&lt;=核心参数输入!$B$9*4,AO36+AO21+AO37-AO38,0)</f>
        <v>3607.8770402450396</v>
      </c>
      <c r="AP39" s="9">
        <f>IF(38&lt;=核心参数输入!$B$9*4,AP36+AP21+AP37-AP38,0)</f>
        <v>3826.3227887347875</v>
      </c>
      <c r="AQ39" s="9">
        <f>IF(39&lt;=核心参数输入!$B$9*4,AQ36+AQ21+AQ37-AQ38,0)</f>
        <v>4044.7685372245355</v>
      </c>
      <c r="AR39" s="9">
        <f>IF(40&lt;=核心参数输入!$B$9*4,AR36+AR21+AR37-AR38,0)</f>
        <v>0</v>
      </c>
      <c r="AS39" s="9">
        <f>IF(41&lt;=核心参数输入!$B$9*4,AS36+AS21+AS37-AS38,0)</f>
        <v>0</v>
      </c>
      <c r="AT39" s="9">
        <f>IF(42&lt;=核心参数输入!$B$9*4,AT36+AT21+AT37-AT38,0)</f>
        <v>0</v>
      </c>
      <c r="AU39" s="9">
        <f>IF(43&lt;=核心参数输入!$B$9*4,AU36+AU21+AU37-AU38,0)</f>
        <v>0</v>
      </c>
      <c r="AV39" s="9">
        <f>IF(44&lt;=核心参数输入!$B$9*4,AV36+AV21+AV37-AV38,0)</f>
        <v>0</v>
      </c>
      <c r="AW39" s="9">
        <f>IF(45&lt;=核心参数输入!$B$9*4,AW36+AW21+AW37-AW38,0)</f>
        <v>0</v>
      </c>
      <c r="AX39" s="9">
        <f>IF(46&lt;=核心参数输入!$B$9*4,AX36+AX21+AX37-AX38,0)</f>
        <v>0</v>
      </c>
      <c r="AY39" s="9">
        <f>IF(47&lt;=核心参数输入!$B$9*4,AY36+AY21+AY37-AY38,0)</f>
        <v>0</v>
      </c>
      <c r="AZ39" s="9">
        <f>IF(48&lt;=核心参数输入!$B$9*4,AZ36+AZ21+AZ37-AZ38,0)</f>
        <v>0</v>
      </c>
      <c r="BA39" s="9">
        <f>IF(49&lt;=核心参数输入!$B$9*4,BA36+BA21+BA37-BA38,0)</f>
        <v>0</v>
      </c>
      <c r="BB39" s="9">
        <f>IF(50&lt;=核心参数输入!$B$9*4,BB36+BB21+BB37-BB38,0)</f>
        <v>0</v>
      </c>
      <c r="BC39" s="9">
        <f>IF(51&lt;=核心参数输入!$B$9*4,BC36+BC21+BC37-BC38,0)</f>
        <v>0</v>
      </c>
      <c r="BD39" s="9">
        <f>IF(52&lt;=核心参数输入!$B$9*4,BD36+BD21+BD37-BD38,0)</f>
        <v>0</v>
      </c>
      <c r="BE39" s="9">
        <f>IF(53&lt;=核心参数输入!$B$9*4,BE36+BE21+BE37-BE38,0)</f>
        <v>0</v>
      </c>
      <c r="BF39" s="9">
        <f>IF(54&lt;=核心参数输入!$B$9*4,BF36+BF21+BF37-BF38,0)</f>
        <v>0</v>
      </c>
      <c r="BG39" s="9">
        <f>IF(55&lt;=核心参数输入!$B$9*4,BG36+BG21+BG37-BG38,0)</f>
        <v>0</v>
      </c>
      <c r="BH39" s="9">
        <f>IF(56&lt;=核心参数输入!$B$9*4,BH36+BH21+BH37-BH38,0)</f>
        <v>0</v>
      </c>
      <c r="BI39" s="9">
        <f>IF(57&lt;=核心参数输入!$B$9*4,BI36+BI21+BI37-BI38,0)</f>
        <v>0</v>
      </c>
      <c r="BJ39" s="9">
        <f>IF(58&lt;=核心参数输入!$B$9*4,BJ36+BJ21+BJ37-BJ38,0)</f>
        <v>0</v>
      </c>
      <c r="BK39" s="9">
        <f>IF(59&lt;=核心参数输入!$B$9*4,BK36+BK21+BK37-BK38,0)</f>
        <v>0</v>
      </c>
      <c r="BL39" s="9">
        <f>IF(60&lt;=核心参数输入!$B$9*4,BL36+BL21+BL37-BL38,0)</f>
        <v>0</v>
      </c>
      <c r="BM39" s="9">
        <f>IF(61&lt;=核心参数输入!$B$9*4,BM36+BM21+BM37-BM38,0)</f>
        <v>0</v>
      </c>
      <c r="BN39" s="9">
        <f>IF(62&lt;=核心参数输入!$B$9*4,BN36+BN21+BN37-BN38,0)</f>
        <v>0</v>
      </c>
      <c r="BO39" s="9">
        <f>IF(63&lt;=核心参数输入!$B$9*4,BO36+BO21+BO37-BO38,0)</f>
        <v>0</v>
      </c>
      <c r="BP39" s="9">
        <f>IF(64&lt;=核心参数输入!$B$9*4,BP36+BP21+BP37-BP38,0)</f>
        <v>0</v>
      </c>
      <c r="BQ39" s="9">
        <f>IF(65&lt;=核心参数输入!$B$9*4,BQ36+BQ21+BQ37-BQ38,0)</f>
        <v>0</v>
      </c>
      <c r="BR39" s="9">
        <f>IF(66&lt;=核心参数输入!$B$9*4,BR36+BR21+BR37-BR38,0)</f>
        <v>0</v>
      </c>
      <c r="BS39" s="9">
        <f>IF(67&lt;=核心参数输入!$B$9*4,BS36+BS21+BS37-BS38,0)</f>
        <v>0</v>
      </c>
      <c r="BT39" s="9">
        <f>IF(68&lt;=核心参数输入!$B$9*4,BT36+BT21+BT37-BT38,0)</f>
        <v>0</v>
      </c>
      <c r="BU39" s="9">
        <f>IF(69&lt;=核心参数输入!$B$9*4,BU36+BU21+BU37-BU38,0)</f>
        <v>0</v>
      </c>
      <c r="BV39" s="9">
        <f>IF(70&lt;=核心参数输入!$B$9*4,BV36+BV21+BV37-BV38,0)</f>
        <v>0</v>
      </c>
      <c r="BW39" s="9">
        <f>IF(71&lt;=核心参数输入!$B$9*4,BW36+BW21+BW37-BW38,0)</f>
        <v>0</v>
      </c>
      <c r="BX39" s="9">
        <f>IF(72&lt;=核心参数输入!$B$9*4,BX36+BX21+BX37-BX38,0)</f>
        <v>0</v>
      </c>
      <c r="BY39" s="9">
        <f>IF(73&lt;=核心参数输入!$B$9*4,BY36+BY21+BY37-BY38,0)</f>
        <v>0</v>
      </c>
      <c r="BZ39" s="9">
        <f>IF(74&lt;=核心参数输入!$B$9*4,BZ36+BZ21+BZ37-BZ38,0)</f>
        <v>0</v>
      </c>
      <c r="CA39" s="9">
        <f>IF(75&lt;=核心参数输入!$B$9*4,CA36+CA21+CA37-CA38,0)</f>
        <v>0</v>
      </c>
      <c r="CB39" s="9">
        <f>IF(76&lt;=核心参数输入!$B$9*4,CB36+CB21+CB37-CB38,0)</f>
        <v>0</v>
      </c>
      <c r="CC39" s="9">
        <f>IF(77&lt;=核心参数输入!$B$9*4,CC36+CC21+CC37-CC38,0)</f>
        <v>0</v>
      </c>
      <c r="CD39" s="9">
        <f>IF(78&lt;=核心参数输入!$B$9*4,CD36+CD21+CD37-CD38,0)</f>
        <v>0</v>
      </c>
      <c r="CE39" s="9">
        <f>IF(79&lt;=核心参数输入!$B$9*4,CE36+CE21+CE37-CE38,0)</f>
        <v>0</v>
      </c>
      <c r="CF39" s="9">
        <f>IF(80&lt;=核心参数输入!$B$9*4,CF36+CF21+CF37-CF38,0)</f>
        <v>0</v>
      </c>
      <c r="CG39" s="9">
        <f>IF(81&lt;=核心参数输入!$B$9*4,CG36+CG21+CG37-CG38,0)</f>
        <v>0</v>
      </c>
      <c r="CH39" s="9">
        <f>IF(82&lt;=核心参数输入!$B$9*4,CH36+CH21+CH37-CH38,0)</f>
        <v>0</v>
      </c>
      <c r="CI39" s="9">
        <f>IF(83&lt;=核心参数输入!$B$9*4,CI36+CI21+CI37-CI38,0)</f>
        <v>0</v>
      </c>
      <c r="CJ39" s="9">
        <f>IF(84&lt;=核心参数输入!$B$9*4,CJ36+CJ21+CJ37-CJ38,0)</f>
        <v>0</v>
      </c>
      <c r="CK39" s="9">
        <f>IF(85&lt;=核心参数输入!$B$9*4,CK36+CK21+CK37-CK38,0)</f>
        <v>0</v>
      </c>
      <c r="CL39" s="9">
        <f>IF(86&lt;=核心参数输入!$B$9*4,CL36+CL21+CL37-CL38,0)</f>
        <v>0</v>
      </c>
      <c r="CM39" s="9">
        <f>IF(87&lt;=核心参数输入!$B$9*4,CM36+CM21+CM37-CM38,0)</f>
        <v>0</v>
      </c>
      <c r="CN39" s="9">
        <f>IF(88&lt;=核心参数输入!$B$9*4,CN36+CN21+CN37-CN38,0)</f>
        <v>0</v>
      </c>
      <c r="CO39" s="9">
        <f>IF(89&lt;=核心参数输入!$B$9*4,CO36+CO21+CO37-CO38,0)</f>
        <v>0</v>
      </c>
      <c r="CP39" s="9">
        <f>IF(90&lt;=核心参数输入!$B$9*4,CP36+CP21+CP37-CP38,0)</f>
        <v>0</v>
      </c>
      <c r="CQ39" s="9">
        <f>IF(91&lt;=核心参数输入!$B$9*4,CQ36+CQ21+CQ37-CQ38,0)</f>
        <v>0</v>
      </c>
      <c r="CR39" s="9">
        <f>IF(92&lt;=核心参数输入!$B$9*4,CR36+CR21+CR37-CR38,0)</f>
        <v>0</v>
      </c>
      <c r="CS39" s="9">
        <f>IF(93&lt;=核心参数输入!$B$9*4,CS36+CS21+CS37-CS38,0)</f>
        <v>0</v>
      </c>
      <c r="CT39" s="9">
        <f>IF(94&lt;=核心参数输入!$B$9*4,CT36+CT21+CT37-CT38,0)</f>
        <v>0</v>
      </c>
      <c r="CU39" s="9">
        <f>IF(95&lt;=核心参数输入!$B$9*4,CU36+CU21+CU37-CU38,0)</f>
        <v>0</v>
      </c>
      <c r="CV39" s="9">
        <f>IF(96&lt;=核心参数输入!$B$9*4,CV36+CV21+CV37-CV38,0)</f>
        <v>0</v>
      </c>
      <c r="CW39" s="9">
        <f>IF(97&lt;=核心参数输入!$B$9*4,CW36+CW21+CW37-CW38,0)</f>
        <v>0</v>
      </c>
      <c r="CX39" s="9">
        <f>IF(98&lt;=核心参数输入!$B$9*4,CX36+CX21+CX37-CX38,0)</f>
        <v>0</v>
      </c>
      <c r="CY39" s="9">
        <f>IF(99&lt;=核心参数输入!$B$9*4,CY36+CY21+CY37-CY38,0)</f>
        <v>0</v>
      </c>
      <c r="CZ39" s="9">
        <f>IF(100&lt;=核心参数输入!$B$9*4,CZ36+CZ21+CZ37-CZ38,0)</f>
        <v>0</v>
      </c>
      <c r="DA39" s="9">
        <f>IF(101&lt;=核心参数输入!$B$9*4,DA36+DA21+DA37-DA38,0)</f>
        <v>0</v>
      </c>
      <c r="DB39" s="9">
        <f>IF(102&lt;=核心参数输入!$B$9*4,DB36+DB21+DB37-DB38,0)</f>
        <v>0</v>
      </c>
      <c r="DC39" s="9">
        <f>IF(103&lt;=核心参数输入!$B$9*4,DC36+DC21+DC37-DC38,0)</f>
        <v>0</v>
      </c>
      <c r="DD39" s="9">
        <f>IF(104&lt;=核心参数输入!$B$9*4,DD36+DD21+DD37-DD38,0)</f>
        <v>0</v>
      </c>
      <c r="DE39" s="9">
        <f>IF(105&lt;=核心参数输入!$B$9*4,DE36+DE21+DE37-DE38,0)</f>
        <v>0</v>
      </c>
      <c r="DF39" s="9">
        <f>IF(106&lt;=核心参数输入!$B$9*4,DF36+DF21+DF37-DF38,0)</f>
        <v>0</v>
      </c>
      <c r="DG39" s="9">
        <f>IF(107&lt;=核心参数输入!$B$9*4,DG36+DG21+DG37-DG38,0)</f>
        <v>0</v>
      </c>
      <c r="DH39" s="9">
        <f>IF(108&lt;=核心参数输入!$B$9*4,DH36+DH21+DH37-DH38,0)</f>
        <v>0</v>
      </c>
      <c r="DI39" s="9">
        <f>IF(109&lt;=核心参数输入!$B$9*4,DI36+DI21+DI37-DI38,0)</f>
        <v>0</v>
      </c>
      <c r="DJ39" s="9">
        <f>IF(110&lt;=核心参数输入!$B$9*4,DJ36+DJ21+DJ37-DJ38,0)</f>
        <v>0</v>
      </c>
      <c r="DK39" s="9">
        <f>IF(111&lt;=核心参数输入!$B$9*4,DK36+DK21+DK37-DK38,0)</f>
        <v>0</v>
      </c>
      <c r="DL39" s="9">
        <f>IF(112&lt;=核心参数输入!$B$9*4,DL36+DL21+DL37-DL38,0)</f>
        <v>0</v>
      </c>
      <c r="DM39" s="9">
        <f>IF(113&lt;=核心参数输入!$B$9*4,DM36+DM21+DM37-DM38,0)</f>
        <v>0</v>
      </c>
      <c r="DN39" s="9">
        <f>IF(114&lt;=核心参数输入!$B$9*4,DN36+DN21+DN37-DN38,0)</f>
        <v>0</v>
      </c>
      <c r="DO39" s="9">
        <f>IF(115&lt;=核心参数输入!$B$9*4,DO36+DO21+DO37-DO38,0)</f>
        <v>0</v>
      </c>
      <c r="DP39" s="9">
        <f>IF(116&lt;=核心参数输入!$B$9*4,DP36+DP21+DP37-DP38,0)</f>
        <v>0</v>
      </c>
      <c r="DQ39" s="9">
        <f>IF(117&lt;=核心参数输入!$B$9*4,DQ36+DQ21+DQ37-DQ38,0)</f>
        <v>0</v>
      </c>
      <c r="DR39" s="9">
        <f>IF(118&lt;=核心参数输入!$B$9*4,DR36+DR21+DR37-DR38,0)</f>
        <v>0</v>
      </c>
      <c r="DS39" s="9">
        <f>IF(119&lt;=核心参数输入!$B$9*4,DS36+DS21+DS37-DS38,0)</f>
        <v>0</v>
      </c>
      <c r="DT39" s="9">
        <f>IF(120&lt;=核心参数输入!$B$9*4,DT36+DT21+DT37-DT38,0)</f>
        <v>0</v>
      </c>
    </row>
    <row r="40" spans="1:124" ht="21" customHeight="1">
      <c r="A40" s="8" t="s">
        <v>534</v>
      </c>
      <c r="B40" s="8" t="s">
        <v>39</v>
      </c>
      <c r="C40" s="8"/>
      <c r="D40" s="9">
        <f>IF(0&lt;=核心参数输入!$B$9*4,SUM($D37:D37),0)</f>
        <v>8000</v>
      </c>
      <c r="E40" s="9">
        <f>IF(1&lt;=核心参数输入!$B$9*4,SUM($D37:E37),0)</f>
        <v>9730.8125</v>
      </c>
      <c r="F40" s="9">
        <f>IF(2&lt;=核心参数输入!$B$9*4,SUM($D37:F37),0)</f>
        <v>11485.25</v>
      </c>
      <c r="G40" s="9">
        <f>IF(3&lt;=核心参数输入!$B$9*4,SUM($D37:G37),0)</f>
        <v>13263.3125</v>
      </c>
      <c r="H40" s="9">
        <f>IF(4&lt;=核心参数输入!$B$9*4,SUM($D37:H37),0)</f>
        <v>15065</v>
      </c>
      <c r="I40" s="9">
        <f>IF(5&lt;=核心参数输入!$B$9*4,SUM($D37:I37),0)</f>
        <v>17467.25</v>
      </c>
      <c r="J40" s="9">
        <f>IF(6&lt;=核心参数输入!$B$9*4,SUM($D37:J37),0)</f>
        <v>19901</v>
      </c>
      <c r="K40" s="9">
        <f>IF(7&lt;=核心参数输入!$B$9*4,SUM($D37:K37),0)</f>
        <v>22366.25</v>
      </c>
      <c r="L40" s="9">
        <f>IF(8&lt;=核心参数输入!$B$9*4,SUM($D37:L37),0)</f>
        <v>24863</v>
      </c>
      <c r="M40" s="9">
        <f>IF(9&lt;=核心参数输入!$B$9*4,SUM($D37:M37),0)</f>
        <v>26814.3125</v>
      </c>
      <c r="N40" s="9">
        <f>IF(10&lt;=核心参数输入!$B$9*4,SUM($D37:N37),0)</f>
        <v>28789.25</v>
      </c>
      <c r="O40" s="9">
        <f>IF(11&lt;=核心参数输入!$B$9*4,SUM($D37:O37),0)</f>
        <v>30787.8125</v>
      </c>
      <c r="P40" s="9">
        <f>IF(12&lt;=核心参数输入!$B$9*4,SUM($D37:P37),0)</f>
        <v>32810</v>
      </c>
      <c r="Q40" s="9">
        <f>IF(13&lt;=核心参数输入!$B$9*4,SUM($D37:Q37),0)</f>
        <v>32810</v>
      </c>
      <c r="R40" s="9">
        <f>IF(14&lt;=核心参数输入!$B$9*4,SUM($D37:R37),0)</f>
        <v>32810</v>
      </c>
      <c r="S40" s="9">
        <f>IF(15&lt;=核心参数输入!$B$9*4,SUM($D37:S37),0)</f>
        <v>32810</v>
      </c>
      <c r="T40" s="9">
        <f>IF(16&lt;=核心参数输入!$B$9*4,SUM($D37:T37),0)</f>
        <v>32810</v>
      </c>
      <c r="U40" s="9">
        <f>IF(17&lt;=核心参数输入!$B$9*4,SUM($D37:U37),0)</f>
        <v>32810</v>
      </c>
      <c r="V40" s="9">
        <f>IF(18&lt;=核心参数输入!$B$9*4,SUM($D37:V37),0)</f>
        <v>32810</v>
      </c>
      <c r="W40" s="9">
        <f>IF(19&lt;=核心参数输入!$B$9*4,SUM($D37:W37),0)</f>
        <v>32810</v>
      </c>
      <c r="X40" s="9">
        <f>IF(20&lt;=核心参数输入!$B$9*4,SUM($D37:X37),0)</f>
        <v>32810</v>
      </c>
      <c r="Y40" s="9">
        <f>IF(21&lt;=核心参数输入!$B$9*4,SUM($D37:Y37),0)</f>
        <v>32810</v>
      </c>
      <c r="Z40" s="9">
        <f>IF(22&lt;=核心参数输入!$B$9*4,SUM($D37:Z37),0)</f>
        <v>32810</v>
      </c>
      <c r="AA40" s="9">
        <f>IF(23&lt;=核心参数输入!$B$9*4,SUM($D37:AA37),0)</f>
        <v>32810</v>
      </c>
      <c r="AB40" s="9">
        <f>IF(24&lt;=核心参数输入!$B$9*4,SUM($D37:AB37),0)</f>
        <v>32810</v>
      </c>
      <c r="AC40" s="9">
        <f>IF(25&lt;=核心参数输入!$B$9*4,SUM($D37:AC37),0)</f>
        <v>32810</v>
      </c>
      <c r="AD40" s="9">
        <f>IF(26&lt;=核心参数输入!$B$9*4,SUM($D37:AD37),0)</f>
        <v>32810</v>
      </c>
      <c r="AE40" s="9">
        <f>IF(27&lt;=核心参数输入!$B$9*4,SUM($D37:AE37),0)</f>
        <v>32810</v>
      </c>
      <c r="AF40" s="9">
        <f>IF(28&lt;=核心参数输入!$B$9*4,SUM($D37:AF37),0)</f>
        <v>32810</v>
      </c>
      <c r="AG40" s="9">
        <f>IF(29&lt;=核心参数输入!$B$9*4,SUM($D37:AG37),0)</f>
        <v>32810</v>
      </c>
      <c r="AH40" s="9">
        <f>IF(30&lt;=核心参数输入!$B$9*4,SUM($D37:AH37),0)</f>
        <v>32810</v>
      </c>
      <c r="AI40" s="9">
        <f>IF(31&lt;=核心参数输入!$B$9*4,SUM($D37:AI37),0)</f>
        <v>32810</v>
      </c>
      <c r="AJ40" s="9">
        <f>IF(32&lt;=核心参数输入!$B$9*4,SUM($D37:AJ37),0)</f>
        <v>32810</v>
      </c>
      <c r="AK40" s="9">
        <f>IF(33&lt;=核心参数输入!$B$9*4,SUM($D37:AK37),0)</f>
        <v>32810</v>
      </c>
      <c r="AL40" s="9">
        <f>IF(34&lt;=核心参数输入!$B$9*4,SUM($D37:AL37),0)</f>
        <v>32810</v>
      </c>
      <c r="AM40" s="9">
        <f>IF(35&lt;=核心参数输入!$B$9*4,SUM($D37:AM37),0)</f>
        <v>32810</v>
      </c>
      <c r="AN40" s="9">
        <f>IF(36&lt;=核心参数输入!$B$9*4,SUM($D37:AN37),0)</f>
        <v>32810</v>
      </c>
      <c r="AO40" s="9">
        <f>IF(37&lt;=核心参数输入!$B$9*4,SUM($D37:AO37),0)</f>
        <v>32810</v>
      </c>
      <c r="AP40" s="9">
        <f>IF(38&lt;=核心参数输入!$B$9*4,SUM($D37:AP37),0)</f>
        <v>32810</v>
      </c>
      <c r="AQ40" s="9">
        <f>IF(39&lt;=核心参数输入!$B$9*4,SUM($D37:AQ37),0)</f>
        <v>32810</v>
      </c>
      <c r="AR40" s="9">
        <f>IF(40&lt;=核心参数输入!$B$9*4,SUM($D37:AR37),0)</f>
        <v>32810</v>
      </c>
      <c r="AS40" s="9">
        <f>IF(41&lt;=核心参数输入!$B$9*4,SUM($D37:AS37),0)</f>
        <v>32810</v>
      </c>
      <c r="AT40" s="9">
        <f>IF(42&lt;=核心参数输入!$B$9*4,SUM($D37:AT37),0)</f>
        <v>32810</v>
      </c>
      <c r="AU40" s="9">
        <f>IF(43&lt;=核心参数输入!$B$9*4,SUM($D37:AU37),0)</f>
        <v>32810</v>
      </c>
      <c r="AV40" s="9">
        <f>IF(44&lt;=核心参数输入!$B$9*4,SUM($D37:AV37),0)</f>
        <v>32810</v>
      </c>
      <c r="AW40" s="9">
        <f>IF(45&lt;=核心参数输入!$B$9*4,SUM($D37:AW37),0)</f>
        <v>32810</v>
      </c>
      <c r="AX40" s="9">
        <f>IF(46&lt;=核心参数输入!$B$9*4,SUM($D37:AX37),0)</f>
        <v>32810</v>
      </c>
      <c r="AY40" s="9">
        <f>IF(47&lt;=核心参数输入!$B$9*4,SUM($D37:AY37),0)</f>
        <v>32810</v>
      </c>
      <c r="AZ40" s="9">
        <f>IF(48&lt;=核心参数输入!$B$9*4,SUM($D37:AZ37),0)</f>
        <v>32810</v>
      </c>
      <c r="BA40" s="9">
        <f>IF(49&lt;=核心参数输入!$B$9*4,SUM($D37:BA37),0)</f>
        <v>32810</v>
      </c>
      <c r="BB40" s="9">
        <f>IF(50&lt;=核心参数输入!$B$9*4,SUM($D37:BB37),0)</f>
        <v>32810</v>
      </c>
      <c r="BC40" s="9">
        <f>IF(51&lt;=核心参数输入!$B$9*4,SUM($D37:BC37),0)</f>
        <v>32810</v>
      </c>
      <c r="BD40" s="9">
        <f>IF(52&lt;=核心参数输入!$B$9*4,SUM($D37:BD37),0)</f>
        <v>32810</v>
      </c>
      <c r="BE40" s="9">
        <f>IF(53&lt;=核心参数输入!$B$9*4,SUM($D37:BE37),0)</f>
        <v>32810</v>
      </c>
      <c r="BF40" s="9">
        <f>IF(54&lt;=核心参数输入!$B$9*4,SUM($D37:BF37),0)</f>
        <v>32810</v>
      </c>
      <c r="BG40" s="9">
        <f>IF(55&lt;=核心参数输入!$B$9*4,SUM($D37:BG37),0)</f>
        <v>32810</v>
      </c>
      <c r="BH40" s="9">
        <f>IF(56&lt;=核心参数输入!$B$9*4,SUM($D37:BH37),0)</f>
        <v>32810</v>
      </c>
      <c r="BI40" s="9">
        <f>IF(57&lt;=核心参数输入!$B$9*4,SUM($D37:BI37),0)</f>
        <v>32810</v>
      </c>
      <c r="BJ40" s="9">
        <f>IF(58&lt;=核心参数输入!$B$9*4,SUM($D37:BJ37),0)</f>
        <v>32810</v>
      </c>
      <c r="BK40" s="9">
        <f>IF(59&lt;=核心参数输入!$B$9*4,SUM($D37:BK37),0)</f>
        <v>32810</v>
      </c>
      <c r="BL40" s="9">
        <f>IF(60&lt;=核心参数输入!$B$9*4,SUM($D37:BL37),0)</f>
        <v>32810</v>
      </c>
      <c r="BM40" s="9">
        <f>IF(61&lt;=核心参数输入!$B$9*4,SUM($D37:BM37),0)</f>
        <v>32810</v>
      </c>
      <c r="BN40" s="9">
        <f>IF(62&lt;=核心参数输入!$B$9*4,SUM($D37:BN37),0)</f>
        <v>32810</v>
      </c>
      <c r="BO40" s="9">
        <f>IF(63&lt;=核心参数输入!$B$9*4,SUM($D37:BO37),0)</f>
        <v>32810</v>
      </c>
      <c r="BP40" s="9">
        <f>IF(64&lt;=核心参数输入!$B$9*4,SUM($D37:BP37),0)</f>
        <v>32810</v>
      </c>
      <c r="BQ40" s="9">
        <f>IF(65&lt;=核心参数输入!$B$9*4,SUM($D37:BQ37),0)</f>
        <v>32810</v>
      </c>
      <c r="BR40" s="9">
        <f>IF(66&lt;=核心参数输入!$B$9*4,SUM($D37:BR37),0)</f>
        <v>32810</v>
      </c>
      <c r="BS40" s="9">
        <f>IF(67&lt;=核心参数输入!$B$9*4,SUM($D37:BS37),0)</f>
        <v>32810</v>
      </c>
      <c r="BT40" s="9">
        <f>IF(68&lt;=核心参数输入!$B$9*4,SUM($D37:BT37),0)</f>
        <v>32810</v>
      </c>
      <c r="BU40" s="9">
        <f>IF(69&lt;=核心参数输入!$B$9*4,SUM($D37:BU37),0)</f>
        <v>32810</v>
      </c>
      <c r="BV40" s="9">
        <f>IF(70&lt;=核心参数输入!$B$9*4,SUM($D37:BV37),0)</f>
        <v>32810</v>
      </c>
      <c r="BW40" s="9">
        <f>IF(71&lt;=核心参数输入!$B$9*4,SUM($D37:BW37),0)</f>
        <v>32810</v>
      </c>
      <c r="BX40" s="9">
        <f>IF(72&lt;=核心参数输入!$B$9*4,SUM($D37:BX37),0)</f>
        <v>32810</v>
      </c>
      <c r="BY40" s="9">
        <f>IF(73&lt;=核心参数输入!$B$9*4,SUM($D37:BY37),0)</f>
        <v>32810</v>
      </c>
      <c r="BZ40" s="9">
        <f>IF(74&lt;=核心参数输入!$B$9*4,SUM($D37:BZ37),0)</f>
        <v>32810</v>
      </c>
      <c r="CA40" s="9">
        <f>IF(75&lt;=核心参数输入!$B$9*4,SUM($D37:CA37),0)</f>
        <v>32810</v>
      </c>
      <c r="CB40" s="9">
        <f>IF(76&lt;=核心参数输入!$B$9*4,SUM($D37:CB37),0)</f>
        <v>32810</v>
      </c>
      <c r="CC40" s="9">
        <f>IF(77&lt;=核心参数输入!$B$9*4,SUM($D37:CC37),0)</f>
        <v>32810</v>
      </c>
      <c r="CD40" s="9">
        <f>IF(78&lt;=核心参数输入!$B$9*4,SUM($D37:CD37),0)</f>
        <v>32810</v>
      </c>
      <c r="CE40" s="9">
        <f>IF(79&lt;=核心参数输入!$B$9*4,SUM($D37:CE37),0)</f>
        <v>32810</v>
      </c>
      <c r="CF40" s="9">
        <f>IF(80&lt;=核心参数输入!$B$9*4,SUM($D37:CF37),0)</f>
        <v>32810</v>
      </c>
      <c r="CG40" s="9">
        <f>IF(81&lt;=核心参数输入!$B$9*4,SUM($D37:CG37),0)</f>
        <v>0</v>
      </c>
      <c r="CH40" s="9">
        <f>IF(82&lt;=核心参数输入!$B$9*4,SUM($D37:CH37),0)</f>
        <v>0</v>
      </c>
      <c r="CI40" s="9">
        <f>IF(83&lt;=核心参数输入!$B$9*4,SUM($D37:CI37),0)</f>
        <v>0</v>
      </c>
      <c r="CJ40" s="9">
        <f>IF(84&lt;=核心参数输入!$B$9*4,SUM($D37:CJ37),0)</f>
        <v>0</v>
      </c>
      <c r="CK40" s="9">
        <f>IF(85&lt;=核心参数输入!$B$9*4,SUM($D37:CK37),0)</f>
        <v>0</v>
      </c>
      <c r="CL40" s="9">
        <f>IF(86&lt;=核心参数输入!$B$9*4,SUM($D37:CL37),0)</f>
        <v>0</v>
      </c>
      <c r="CM40" s="9">
        <f>IF(87&lt;=核心参数输入!$B$9*4,SUM($D37:CM37),0)</f>
        <v>0</v>
      </c>
      <c r="CN40" s="9">
        <f>IF(88&lt;=核心参数输入!$B$9*4,SUM($D37:CN37),0)</f>
        <v>0</v>
      </c>
      <c r="CO40" s="9">
        <f>IF(89&lt;=核心参数输入!$B$9*4,SUM($D37:CO37),0)</f>
        <v>0</v>
      </c>
      <c r="CP40" s="9">
        <f>IF(90&lt;=核心参数输入!$B$9*4,SUM($D37:CP37),0)</f>
        <v>0</v>
      </c>
      <c r="CQ40" s="9">
        <f>IF(91&lt;=核心参数输入!$B$9*4,SUM($D37:CQ37),0)</f>
        <v>0</v>
      </c>
      <c r="CR40" s="9">
        <f>IF(92&lt;=核心参数输入!$B$9*4,SUM($D37:CR37),0)</f>
        <v>0</v>
      </c>
      <c r="CS40" s="9">
        <f>IF(93&lt;=核心参数输入!$B$9*4,SUM($D37:CS37),0)</f>
        <v>0</v>
      </c>
      <c r="CT40" s="9">
        <f>IF(94&lt;=核心参数输入!$B$9*4,SUM($D37:CT37),0)</f>
        <v>0</v>
      </c>
      <c r="CU40" s="9">
        <f>IF(95&lt;=核心参数输入!$B$9*4,SUM($D37:CU37),0)</f>
        <v>0</v>
      </c>
      <c r="CV40" s="9">
        <f>IF(96&lt;=核心参数输入!$B$9*4,SUM($D37:CV37),0)</f>
        <v>0</v>
      </c>
      <c r="CW40" s="9">
        <f>IF(97&lt;=核心参数输入!$B$9*4,SUM($D37:CW37),0)</f>
        <v>0</v>
      </c>
      <c r="CX40" s="9">
        <f>IF(98&lt;=核心参数输入!$B$9*4,SUM($D37:CX37),0)</f>
        <v>0</v>
      </c>
      <c r="CY40" s="9">
        <f>IF(99&lt;=核心参数输入!$B$9*4,SUM($D37:CY37),0)</f>
        <v>0</v>
      </c>
      <c r="CZ40" s="9">
        <f>IF(100&lt;=核心参数输入!$B$9*4,SUM($D37:CZ37),0)</f>
        <v>0</v>
      </c>
      <c r="DA40" s="9">
        <f>IF(101&lt;=核心参数输入!$B$9*4,SUM($D37:DA37),0)</f>
        <v>0</v>
      </c>
      <c r="DB40" s="9">
        <f>IF(102&lt;=核心参数输入!$B$9*4,SUM($D37:DB37),0)</f>
        <v>0</v>
      </c>
      <c r="DC40" s="9">
        <f>IF(103&lt;=核心参数输入!$B$9*4,SUM($D37:DC37),0)</f>
        <v>0</v>
      </c>
      <c r="DD40" s="9">
        <f>IF(104&lt;=核心参数输入!$B$9*4,SUM($D37:DD37),0)</f>
        <v>0</v>
      </c>
      <c r="DE40" s="9">
        <f>IF(105&lt;=核心参数输入!$B$9*4,SUM($D37:DE37),0)</f>
        <v>0</v>
      </c>
      <c r="DF40" s="9">
        <f>IF(106&lt;=核心参数输入!$B$9*4,SUM($D37:DF37),0)</f>
        <v>0</v>
      </c>
      <c r="DG40" s="9">
        <f>IF(107&lt;=核心参数输入!$B$9*4,SUM($D37:DG37),0)</f>
        <v>0</v>
      </c>
      <c r="DH40" s="9">
        <f>IF(108&lt;=核心参数输入!$B$9*4,SUM($D37:DH37),0)</f>
        <v>0</v>
      </c>
      <c r="DI40" s="9">
        <f>IF(109&lt;=核心参数输入!$B$9*4,SUM($D37:DI37),0)</f>
        <v>0</v>
      </c>
      <c r="DJ40" s="9">
        <f>IF(110&lt;=核心参数输入!$B$9*4,SUM($D37:DJ37),0)</f>
        <v>0</v>
      </c>
      <c r="DK40" s="9">
        <f>IF(111&lt;=核心参数输入!$B$9*4,SUM($D37:DK37),0)</f>
        <v>0</v>
      </c>
      <c r="DL40" s="9">
        <f>IF(112&lt;=核心参数输入!$B$9*4,SUM($D37:DL37),0)</f>
        <v>0</v>
      </c>
      <c r="DM40" s="9">
        <f>IF(113&lt;=核心参数输入!$B$9*4,SUM($D37:DM37),0)</f>
        <v>0</v>
      </c>
      <c r="DN40" s="9">
        <f>IF(114&lt;=核心参数输入!$B$9*4,SUM($D37:DN37),0)</f>
        <v>0</v>
      </c>
      <c r="DO40" s="9">
        <f>IF(115&lt;=核心参数输入!$B$9*4,SUM($D37:DO37),0)</f>
        <v>0</v>
      </c>
      <c r="DP40" s="9">
        <f>IF(116&lt;=核心参数输入!$B$9*4,SUM($D37:DP37),0)</f>
        <v>0</v>
      </c>
      <c r="DQ40" s="9">
        <f>IF(117&lt;=核心参数输入!$B$9*4,SUM($D37:DQ37),0)</f>
        <v>0</v>
      </c>
      <c r="DR40" s="9">
        <f>IF(118&lt;=核心参数输入!$B$9*4,SUM($D37:DR37),0)</f>
        <v>0</v>
      </c>
      <c r="DS40" s="9">
        <f>IF(119&lt;=核心参数输入!$B$9*4,SUM($D37:DS37),0)</f>
        <v>0</v>
      </c>
      <c r="DT40" s="9">
        <f>IF(120&lt;=核心参数输入!$B$9*4,SUM($D37:DT37),0)</f>
        <v>0</v>
      </c>
    </row>
    <row r="41" spans="1:124" ht="21" customHeight="1">
      <c r="A41" s="8" t="s">
        <v>535</v>
      </c>
      <c r="B41" s="8" t="s">
        <v>39</v>
      </c>
      <c r="C41" s="8"/>
      <c r="D41" s="9">
        <f>IF(0&lt;=核心参数输入!$B$9*4,D38-D37,0)</f>
        <v>-8000</v>
      </c>
      <c r="E41" s="9">
        <f>IF(1&lt;=核心参数输入!$B$9*4,E38-E37,0)</f>
        <v>-1730.8125</v>
      </c>
      <c r="F41" s="9">
        <f>IF(2&lt;=核心参数输入!$B$9*4,F38-F37,0)</f>
        <v>-1754.4375</v>
      </c>
      <c r="G41" s="9">
        <f>IF(3&lt;=核心参数输入!$B$9*4,G38-G37,0)</f>
        <v>-1778.0625</v>
      </c>
      <c r="H41" s="9">
        <f>IF(4&lt;=核心参数输入!$B$9*4,H38-H37,0)</f>
        <v>-1801.6875</v>
      </c>
      <c r="I41" s="9">
        <f>IF(5&lt;=核心参数输入!$B$9*4,I38-I37,0)</f>
        <v>-2402.25</v>
      </c>
      <c r="J41" s="9">
        <f>IF(6&lt;=核心参数输入!$B$9*4,J38-J37,0)</f>
        <v>-2433.75</v>
      </c>
      <c r="K41" s="9">
        <f>IF(7&lt;=核心参数输入!$B$9*4,K38-K37,0)</f>
        <v>-2465.25</v>
      </c>
      <c r="L41" s="9">
        <f>IF(8&lt;=核心参数输入!$B$9*4,L38-L37,0)</f>
        <v>-2496.75</v>
      </c>
      <c r="M41" s="9">
        <f>IF(9&lt;=核心参数输入!$B$9*4,M38-M37,0)</f>
        <v>-1951.3125</v>
      </c>
      <c r="N41" s="9">
        <f>IF(10&lt;=核心参数输入!$B$9*4,N38-N37,0)</f>
        <v>-1974.9375</v>
      </c>
      <c r="O41" s="9">
        <f>IF(11&lt;=核心参数输入!$B$9*4,O38-O37,0)</f>
        <v>-1998.5625</v>
      </c>
      <c r="P41" s="9">
        <f>IF(12&lt;=核心参数输入!$B$9*4,P38-P37,0)</f>
        <v>-2022.1875</v>
      </c>
      <c r="Q41" s="9">
        <f>IF(13&lt;=核心参数输入!$B$9*4,Q38-Q37,0)</f>
        <v>1218.7140625000002</v>
      </c>
      <c r="R41" s="9">
        <f>IF(14&lt;=核心参数输入!$B$9*4,R38-R37,0)</f>
        <v>2829.5738458125002</v>
      </c>
      <c r="S41" s="9">
        <f>IF(15&lt;=核心参数输入!$B$9*4,S38-S37,0)</f>
        <v>1483.436968332589</v>
      </c>
      <c r="T41" s="9">
        <f>IF(16&lt;=核心参数输入!$B$9*4,T38-T37,0)</f>
        <v>0</v>
      </c>
      <c r="U41" s="9">
        <f>IF(17&lt;=核心参数输入!$B$9*4,U38-U37,0)</f>
        <v>3743.3198541853121</v>
      </c>
      <c r="V41" s="9">
        <f>IF(18&lt;=核心参数输入!$B$9*4,V38-V37,0)</f>
        <v>2494.0523918316721</v>
      </c>
      <c r="W41" s="9">
        <f>IF(19&lt;=核心参数输入!$B$9*4,W38-W37,0)</f>
        <v>0</v>
      </c>
      <c r="X41" s="9">
        <f>IF(20&lt;=核心参数输入!$B$9*4,X38-X37,0)</f>
        <v>0</v>
      </c>
      <c r="Y41" s="9">
        <f>IF(21&lt;=核心参数输入!$B$9*4,Y38-Y37,0)</f>
        <v>0</v>
      </c>
      <c r="Z41" s="9">
        <f>IF(22&lt;=核心参数输入!$B$9*4,Z38-Z37,0)</f>
        <v>0</v>
      </c>
      <c r="AA41" s="9">
        <f>IF(23&lt;=核心参数输入!$B$9*4,AA38-AA37,0)</f>
        <v>0</v>
      </c>
      <c r="AB41" s="9">
        <f>IF(24&lt;=核心参数输入!$B$9*4,AB38-AB37,0)</f>
        <v>0</v>
      </c>
      <c r="AC41" s="9">
        <f>IF(25&lt;=核心参数输入!$B$9*4,AC38-AC37,0)</f>
        <v>0</v>
      </c>
      <c r="AD41" s="9">
        <f>IF(26&lt;=核心参数输入!$B$9*4,AD38-AD37,0)</f>
        <v>0</v>
      </c>
      <c r="AE41" s="9">
        <f>IF(27&lt;=核心参数输入!$B$9*4,AE38-AE37,0)</f>
        <v>0</v>
      </c>
      <c r="AF41" s="9">
        <f>IF(28&lt;=核心参数输入!$B$9*4,AF38-AF37,0)</f>
        <v>0</v>
      </c>
      <c r="AG41" s="9">
        <f>IF(29&lt;=核心参数输入!$B$9*4,AG38-AG37,0)</f>
        <v>0</v>
      </c>
      <c r="AH41" s="9">
        <f>IF(30&lt;=核心参数输入!$B$9*4,AH38-AH37,0)</f>
        <v>0</v>
      </c>
      <c r="AI41" s="9">
        <f>IF(31&lt;=核心参数输入!$B$9*4,AI38-AI37,0)</f>
        <v>0</v>
      </c>
      <c r="AJ41" s="9">
        <f>IF(32&lt;=核心参数输入!$B$9*4,AJ38-AJ37,0)</f>
        <v>0</v>
      </c>
      <c r="AK41" s="9">
        <f>IF(33&lt;=核心参数输入!$B$9*4,AK38-AK37,0)</f>
        <v>0</v>
      </c>
      <c r="AL41" s="9">
        <f>IF(34&lt;=核心参数输入!$B$9*4,AL38-AL37,0)</f>
        <v>0</v>
      </c>
      <c r="AM41" s="9">
        <f>IF(35&lt;=核心参数输入!$B$9*4,AM38-AM37,0)</f>
        <v>0</v>
      </c>
      <c r="AN41" s="9">
        <f>IF(36&lt;=核心参数输入!$B$9*4,AN38-AN37,0)</f>
        <v>0</v>
      </c>
      <c r="AO41" s="9">
        <f>IF(37&lt;=核心参数输入!$B$9*4,AO38-AO37,0)</f>
        <v>0</v>
      </c>
      <c r="AP41" s="9">
        <f>IF(38&lt;=核心参数输入!$B$9*4,AP38-AP37,0)</f>
        <v>0</v>
      </c>
      <c r="AQ41" s="9">
        <f>IF(39&lt;=核心参数输入!$B$9*4,AQ38-AQ37,0)</f>
        <v>0</v>
      </c>
      <c r="AR41" s="9">
        <f>IF(40&lt;=核心参数输入!$B$9*4,AR38-AR37,0)</f>
        <v>0</v>
      </c>
      <c r="AS41" s="9">
        <f>IF(41&lt;=核心参数输入!$B$9*4,AS38-AS37,0)</f>
        <v>267.65012380987014</v>
      </c>
      <c r="AT41" s="9">
        <f>IF(42&lt;=核心参数输入!$B$9*4,AT38-AT37,0)</f>
        <v>267.65012380987014</v>
      </c>
      <c r="AU41" s="9">
        <f>IF(43&lt;=核心参数输入!$B$9*4,AU38-AU37,0)</f>
        <v>267.65012380987014</v>
      </c>
      <c r="AV41" s="9">
        <f>IF(44&lt;=核心参数输入!$B$9*4,AV38-AV37,0)</f>
        <v>267.65012380987014</v>
      </c>
      <c r="AW41" s="9">
        <f>IF(45&lt;=核心参数输入!$B$9*4,AW38-AW37,0)</f>
        <v>271.90911854164972</v>
      </c>
      <c r="AX41" s="9">
        <f>IF(46&lt;=核心参数输入!$B$9*4,AX38-AX37,0)</f>
        <v>271.90911854164972</v>
      </c>
      <c r="AY41" s="9">
        <f>IF(47&lt;=核心参数输入!$B$9*4,AY38-AY37,0)</f>
        <v>271.90911854164972</v>
      </c>
      <c r="AZ41" s="9">
        <f>IF(48&lt;=核心参数输入!$B$9*4,AZ38-AZ37,0)</f>
        <v>271.90911854164972</v>
      </c>
      <c r="BA41" s="9">
        <f>IF(49&lt;=核心参数输入!$B$9*4,BA38-BA37,0)</f>
        <v>276.22338305189851</v>
      </c>
      <c r="BB41" s="9">
        <f>IF(50&lt;=核心参数输入!$B$9*4,BB38-BB37,0)</f>
        <v>276.22338305189851</v>
      </c>
      <c r="BC41" s="9">
        <f>IF(51&lt;=核心参数输入!$B$9*4,BC38-BC37,0)</f>
        <v>276.22338305189851</v>
      </c>
      <c r="BD41" s="9">
        <f>IF(52&lt;=核心参数输入!$B$9*4,BD38-BD37,0)</f>
        <v>276.22338305189851</v>
      </c>
      <c r="BE41" s="9">
        <f>IF(53&lt;=核心参数输入!$B$9*4,BE38-BE37,0)</f>
        <v>280.59357408444356</v>
      </c>
      <c r="BF41" s="9">
        <f>IF(54&lt;=核心参数输入!$B$9*4,BF38-BF37,0)</f>
        <v>280.59357408444356</v>
      </c>
      <c r="BG41" s="9">
        <f>IF(55&lt;=核心参数输入!$B$9*4,BG38-BG37,0)</f>
        <v>280.59357408444356</v>
      </c>
      <c r="BH41" s="9">
        <f>IF(56&lt;=核心参数输入!$B$9*4,BH38-BH37,0)</f>
        <v>251.60090143748954</v>
      </c>
      <c r="BI41" s="9">
        <f>IF(57&lt;=核心参数输入!$B$9*4,BI38-BI37,0)</f>
        <v>285.0203547882121</v>
      </c>
      <c r="BJ41" s="9">
        <f>IF(58&lt;=核心参数输入!$B$9*4,BJ38-BJ37,0)</f>
        <v>285.0203547882121</v>
      </c>
      <c r="BK41" s="9">
        <f>IF(59&lt;=核心参数输入!$B$9*4,BK38-BK37,0)</f>
        <v>285.0203547882121</v>
      </c>
      <c r="BL41" s="9">
        <f>IF(60&lt;=核心参数输入!$B$9*4,BL38-BL37,0)</f>
        <v>213.26062499999986</v>
      </c>
      <c r="BM41" s="9">
        <f>IF(61&lt;=核心参数输入!$B$9*4,BM38-BM37,0)</f>
        <v>289.50439474438724</v>
      </c>
      <c r="BN41" s="9">
        <f>IF(62&lt;=核心参数输入!$B$9*4,BN38-BN37,0)</f>
        <v>289.50439474438724</v>
      </c>
      <c r="BO41" s="9">
        <f>IF(63&lt;=核心参数输入!$B$9*4,BO38-BO37,0)</f>
        <v>289.50439474438724</v>
      </c>
      <c r="BP41" s="9">
        <f>IF(64&lt;=核心参数输入!$B$9*4,BP38-BP37,0)</f>
        <v>213.26062499999995</v>
      </c>
      <c r="BQ41" s="9">
        <f>IF(65&lt;=核心参数输入!$B$9*4,BQ38-BQ37,0)</f>
        <v>294.04636999259213</v>
      </c>
      <c r="BR41" s="9">
        <f>IF(66&lt;=核心参数输入!$B$9*4,BR38-BR37,0)</f>
        <v>294.04636999259213</v>
      </c>
      <c r="BS41" s="9">
        <f>IF(67&lt;=核心参数输入!$B$9*4,BS38-BS37,0)</f>
        <v>294.04636999259213</v>
      </c>
      <c r="BT41" s="9">
        <f>IF(68&lt;=核心参数输入!$B$9*4,BT38-BT37,0)</f>
        <v>213.26062499999998</v>
      </c>
      <c r="BU41" s="9">
        <f>IF(69&lt;=核心参数输入!$B$9*4,BU38-BU37,0)</f>
        <v>298.64696305606077</v>
      </c>
      <c r="BV41" s="9">
        <f>IF(70&lt;=核心参数输入!$B$9*4,BV38-BV37,0)</f>
        <v>298.64696305606077</v>
      </c>
      <c r="BW41" s="9">
        <f>IF(71&lt;=核心参数输入!$B$9*4,BW38-BW37,0)</f>
        <v>298.64696305606077</v>
      </c>
      <c r="BX41" s="9">
        <f>IF(72&lt;=核心参数输入!$B$9*4,BX38-BX37,0)</f>
        <v>213.26062499999995</v>
      </c>
      <c r="BY41" s="9">
        <f>IF(73&lt;=核心参数输入!$B$9*4,BY38-BY37,0)</f>
        <v>303.30686296575288</v>
      </c>
      <c r="BZ41" s="9">
        <f>IF(74&lt;=核心参数输入!$B$9*4,BZ38-BZ37,0)</f>
        <v>303.30686296575288</v>
      </c>
      <c r="CA41" s="9">
        <f>IF(75&lt;=核心参数输入!$B$9*4,CA38-CA37,0)</f>
        <v>303.30686296575288</v>
      </c>
      <c r="CB41" s="9">
        <f>IF(76&lt;=核心参数输入!$B$9*4,CB38-CB37,0)</f>
        <v>213.26062499999992</v>
      </c>
      <c r="CC41" s="9">
        <f>IF(77&lt;=核心参数输入!$B$9*4,CC38-CC37,0)</f>
        <v>308.02676528336758</v>
      </c>
      <c r="CD41" s="9">
        <f>IF(78&lt;=核心参数输入!$B$9*4,CD38-CD37,0)</f>
        <v>308.02676528336758</v>
      </c>
      <c r="CE41" s="9">
        <f>IF(79&lt;=核心参数输入!$B$9*4,CE38-CE37,0)</f>
        <v>308.02676528336758</v>
      </c>
      <c r="CF41" s="9">
        <f>IF(80&lt;=核心参数输入!$B$9*4,CF38-CF37,0)</f>
        <v>25978.954999999994</v>
      </c>
      <c r="CG41" s="9">
        <f>IF(81&lt;=核心参数输入!$B$9*4,CG38-CG37,0)</f>
        <v>0</v>
      </c>
      <c r="CH41" s="9">
        <f>IF(82&lt;=核心参数输入!$B$9*4,CH38-CH37,0)</f>
        <v>0</v>
      </c>
      <c r="CI41" s="9">
        <f>IF(83&lt;=核心参数输入!$B$9*4,CI38-CI37,0)</f>
        <v>0</v>
      </c>
      <c r="CJ41" s="9">
        <f>IF(84&lt;=核心参数输入!$B$9*4,CJ38-CJ37,0)</f>
        <v>0</v>
      </c>
      <c r="CK41" s="9">
        <f>IF(85&lt;=核心参数输入!$B$9*4,CK38-CK37,0)</f>
        <v>0</v>
      </c>
      <c r="CL41" s="9">
        <f>IF(86&lt;=核心参数输入!$B$9*4,CL38-CL37,0)</f>
        <v>0</v>
      </c>
      <c r="CM41" s="9">
        <f>IF(87&lt;=核心参数输入!$B$9*4,CM38-CM37,0)</f>
        <v>0</v>
      </c>
      <c r="CN41" s="9">
        <f>IF(88&lt;=核心参数输入!$B$9*4,CN38-CN37,0)</f>
        <v>0</v>
      </c>
      <c r="CO41" s="9">
        <f>IF(89&lt;=核心参数输入!$B$9*4,CO38-CO37,0)</f>
        <v>0</v>
      </c>
      <c r="CP41" s="9">
        <f>IF(90&lt;=核心参数输入!$B$9*4,CP38-CP37,0)</f>
        <v>0</v>
      </c>
      <c r="CQ41" s="9">
        <f>IF(91&lt;=核心参数输入!$B$9*4,CQ38-CQ37,0)</f>
        <v>0</v>
      </c>
      <c r="CR41" s="9">
        <f>IF(92&lt;=核心参数输入!$B$9*4,CR38-CR37,0)</f>
        <v>0</v>
      </c>
      <c r="CS41" s="9">
        <f>IF(93&lt;=核心参数输入!$B$9*4,CS38-CS37,0)</f>
        <v>0</v>
      </c>
      <c r="CT41" s="9">
        <f>IF(94&lt;=核心参数输入!$B$9*4,CT38-CT37,0)</f>
        <v>0</v>
      </c>
      <c r="CU41" s="9">
        <f>IF(95&lt;=核心参数输入!$B$9*4,CU38-CU37,0)</f>
        <v>0</v>
      </c>
      <c r="CV41" s="9">
        <f>IF(96&lt;=核心参数输入!$B$9*4,CV38-CV37,0)</f>
        <v>0</v>
      </c>
      <c r="CW41" s="9">
        <f>IF(97&lt;=核心参数输入!$B$9*4,CW38-CW37,0)</f>
        <v>0</v>
      </c>
      <c r="CX41" s="9">
        <f>IF(98&lt;=核心参数输入!$B$9*4,CX38-CX37,0)</f>
        <v>0</v>
      </c>
      <c r="CY41" s="9">
        <f>IF(99&lt;=核心参数输入!$B$9*4,CY38-CY37,0)</f>
        <v>0</v>
      </c>
      <c r="CZ41" s="9">
        <f>IF(100&lt;=核心参数输入!$B$9*4,CZ38-CZ37,0)</f>
        <v>0</v>
      </c>
      <c r="DA41" s="9">
        <f>IF(101&lt;=核心参数输入!$B$9*4,DA38-DA37,0)</f>
        <v>0</v>
      </c>
      <c r="DB41" s="9">
        <f>IF(102&lt;=核心参数输入!$B$9*4,DB38-DB37,0)</f>
        <v>0</v>
      </c>
      <c r="DC41" s="9">
        <f>IF(103&lt;=核心参数输入!$B$9*4,DC38-DC37,0)</f>
        <v>0</v>
      </c>
      <c r="DD41" s="9">
        <f>IF(104&lt;=核心参数输入!$B$9*4,DD38-DD37,0)</f>
        <v>0</v>
      </c>
      <c r="DE41" s="9">
        <f>IF(105&lt;=核心参数输入!$B$9*4,DE38-DE37,0)</f>
        <v>0</v>
      </c>
      <c r="DF41" s="9">
        <f>IF(106&lt;=核心参数输入!$B$9*4,DF38-DF37,0)</f>
        <v>0</v>
      </c>
      <c r="DG41" s="9">
        <f>IF(107&lt;=核心参数输入!$B$9*4,DG38-DG37,0)</f>
        <v>0</v>
      </c>
      <c r="DH41" s="9">
        <f>IF(108&lt;=核心参数输入!$B$9*4,DH38-DH37,0)</f>
        <v>0</v>
      </c>
      <c r="DI41" s="9">
        <f>IF(109&lt;=核心参数输入!$B$9*4,DI38-DI37,0)</f>
        <v>0</v>
      </c>
      <c r="DJ41" s="9">
        <f>IF(110&lt;=核心参数输入!$B$9*4,DJ38-DJ37,0)</f>
        <v>0</v>
      </c>
      <c r="DK41" s="9">
        <f>IF(111&lt;=核心参数输入!$B$9*4,DK38-DK37,0)</f>
        <v>0</v>
      </c>
      <c r="DL41" s="9">
        <f>IF(112&lt;=核心参数输入!$B$9*4,DL38-DL37,0)</f>
        <v>0</v>
      </c>
      <c r="DM41" s="9">
        <f>IF(113&lt;=核心参数输入!$B$9*4,DM38-DM37,0)</f>
        <v>0</v>
      </c>
      <c r="DN41" s="9">
        <f>IF(114&lt;=核心参数输入!$B$9*4,DN38-DN37,0)</f>
        <v>0</v>
      </c>
      <c r="DO41" s="9">
        <f>IF(115&lt;=核心参数输入!$B$9*4,DO38-DO37,0)</f>
        <v>0</v>
      </c>
      <c r="DP41" s="9">
        <f>IF(116&lt;=核心参数输入!$B$9*4,DP38-DP37,0)</f>
        <v>0</v>
      </c>
      <c r="DQ41" s="9">
        <f>IF(117&lt;=核心参数输入!$B$9*4,DQ38-DQ37,0)</f>
        <v>0</v>
      </c>
      <c r="DR41" s="9">
        <f>IF(118&lt;=核心参数输入!$B$9*4,DR38-DR37,0)</f>
        <v>0</v>
      </c>
      <c r="DS41" s="9">
        <f>IF(119&lt;=核心参数输入!$B$9*4,DS38-DS37,0)</f>
        <v>0</v>
      </c>
      <c r="DT41" s="9">
        <f>IF(120&lt;=核心参数输入!$B$9*4,DT38-DT37,0)</f>
        <v>0</v>
      </c>
    </row>
    <row r="42" spans="1:124" ht="21" customHeight="1">
      <c r="A42" s="8" t="s">
        <v>536</v>
      </c>
      <c r="B42" s="8" t="s">
        <v>39</v>
      </c>
      <c r="C42" s="8"/>
      <c r="D42" s="9">
        <f>IF(0&lt;=核心参数输入!$B$9*4,D36+D21+D37-D38-D39,0)</f>
        <v>0</v>
      </c>
      <c r="E42" s="9">
        <f>IF(1&lt;=核心参数输入!$B$9*4,E36+E21+E37-E38-E39,0)</f>
        <v>0</v>
      </c>
      <c r="F42" s="9">
        <f>IF(2&lt;=核心参数输入!$B$9*4,F36+F21+F37-F38-F39,0)</f>
        <v>0</v>
      </c>
      <c r="G42" s="9">
        <f>IF(3&lt;=核心参数输入!$B$9*4,G36+G21+G37-G38-G39,0)</f>
        <v>0</v>
      </c>
      <c r="H42" s="9">
        <f>IF(4&lt;=核心参数输入!$B$9*4,H36+H21+H37-H38-H39,0)</f>
        <v>0</v>
      </c>
      <c r="I42" s="9">
        <f>IF(5&lt;=核心参数输入!$B$9*4,I36+I21+I37-I38-I39,0)</f>
        <v>0</v>
      </c>
      <c r="J42" s="9">
        <f>IF(6&lt;=核心参数输入!$B$9*4,J36+J21+J37-J38-J39,0)</f>
        <v>0</v>
      </c>
      <c r="K42" s="9">
        <f>IF(7&lt;=核心参数输入!$B$9*4,K36+K21+K37-K38-K39,0)</f>
        <v>0</v>
      </c>
      <c r="L42" s="9">
        <f>IF(8&lt;=核心参数输入!$B$9*4,L36+L21+L37-L38-L39,0)</f>
        <v>0</v>
      </c>
      <c r="M42" s="9">
        <f>IF(9&lt;=核心参数输入!$B$9*4,M36+M21+M37-M38-M39,0)</f>
        <v>0</v>
      </c>
      <c r="N42" s="9">
        <f>IF(10&lt;=核心参数输入!$B$9*4,N36+N21+N37-N38-N39,0)</f>
        <v>0</v>
      </c>
      <c r="O42" s="9">
        <f>IF(11&lt;=核心参数输入!$B$9*4,O36+O21+O37-O38-O39,0)</f>
        <v>0</v>
      </c>
      <c r="P42" s="9">
        <f>IF(12&lt;=核心参数输入!$B$9*4,P36+P21+P37-P38-P39,0)</f>
        <v>0</v>
      </c>
      <c r="Q42" s="9">
        <f>IF(13&lt;=核心参数输入!$B$9*4,Q36+Q21+Q37-Q38-Q39,0)</f>
        <v>0</v>
      </c>
      <c r="R42" s="9">
        <f>IF(14&lt;=核心参数输入!$B$9*4,R36+R21+R37-R38-R39,0)</f>
        <v>0</v>
      </c>
      <c r="S42" s="9">
        <f>IF(15&lt;=核心参数输入!$B$9*4,S36+S21+S37-S38-S39,0)</f>
        <v>0</v>
      </c>
      <c r="T42" s="9">
        <f>IF(16&lt;=核心参数输入!$B$9*4,T36+T21+T37-T38-T39,0)</f>
        <v>0</v>
      </c>
      <c r="U42" s="9">
        <f>IF(17&lt;=核心参数输入!$B$9*4,U36+U21+U37-U38-U39,0)</f>
        <v>0</v>
      </c>
      <c r="V42" s="9">
        <f>IF(18&lt;=核心参数输入!$B$9*4,V36+V21+V37-V38-V39,0)</f>
        <v>0</v>
      </c>
      <c r="W42" s="9">
        <f>IF(19&lt;=核心参数输入!$B$9*4,W36+W21+W37-W38-W39,0)</f>
        <v>0</v>
      </c>
      <c r="X42" s="9">
        <f>IF(20&lt;=核心参数输入!$B$9*4,X36+X21+X37-X38-X39,0)</f>
        <v>0</v>
      </c>
      <c r="Y42" s="9">
        <f>IF(21&lt;=核心参数输入!$B$9*4,Y36+Y21+Y37-Y38-Y39,0)</f>
        <v>0</v>
      </c>
      <c r="Z42" s="9">
        <f>IF(22&lt;=核心参数输入!$B$9*4,Z36+Z21+Z37-Z38-Z39,0)</f>
        <v>0</v>
      </c>
      <c r="AA42" s="9">
        <f>IF(23&lt;=核心参数输入!$B$9*4,AA36+AA21+AA37-AA38-AA39,0)</f>
        <v>0</v>
      </c>
      <c r="AB42" s="9">
        <f>IF(24&lt;=核心参数输入!$B$9*4,AB36+AB21+AB37-AB38-AB39,0)</f>
        <v>0</v>
      </c>
      <c r="AC42" s="9">
        <f>IF(25&lt;=核心参数输入!$B$9*4,AC36+AC21+AC37-AC38-AC39,0)</f>
        <v>0</v>
      </c>
      <c r="AD42" s="9">
        <f>IF(26&lt;=核心参数输入!$B$9*4,AD36+AD21+AD37-AD38-AD39,0)</f>
        <v>0</v>
      </c>
      <c r="AE42" s="9">
        <f>IF(27&lt;=核心参数输入!$B$9*4,AE36+AE21+AE37-AE38-AE39,0)</f>
        <v>0</v>
      </c>
      <c r="AF42" s="9">
        <f>IF(28&lt;=核心参数输入!$B$9*4,AF36+AF21+AF37-AF38-AF39,0)</f>
        <v>0</v>
      </c>
      <c r="AG42" s="9">
        <f>IF(29&lt;=核心参数输入!$B$9*4,AG36+AG21+AG37-AG38-AG39,0)</f>
        <v>0</v>
      </c>
      <c r="AH42" s="9">
        <f>IF(30&lt;=核心参数输入!$B$9*4,AH36+AH21+AH37-AH38-AH39,0)</f>
        <v>0</v>
      </c>
      <c r="AI42" s="9">
        <f>IF(31&lt;=核心参数输入!$B$9*4,AI36+AI21+AI37-AI38-AI39,0)</f>
        <v>0</v>
      </c>
      <c r="AJ42" s="9">
        <f>IF(32&lt;=核心参数输入!$B$9*4,AJ36+AJ21+AJ37-AJ38-AJ39,0)</f>
        <v>0</v>
      </c>
      <c r="AK42" s="9">
        <f>IF(33&lt;=核心参数输入!$B$9*4,AK36+AK21+AK37-AK38-AK39,0)</f>
        <v>0</v>
      </c>
      <c r="AL42" s="9">
        <f>IF(34&lt;=核心参数输入!$B$9*4,AL36+AL21+AL37-AL38-AL39,0)</f>
        <v>0</v>
      </c>
      <c r="AM42" s="9">
        <f>IF(35&lt;=核心参数输入!$B$9*4,AM36+AM21+AM37-AM38-AM39,0)</f>
        <v>0</v>
      </c>
      <c r="AN42" s="9">
        <f>IF(36&lt;=核心参数输入!$B$9*4,AN36+AN21+AN37-AN38-AN39,0)</f>
        <v>0</v>
      </c>
      <c r="AO42" s="9">
        <f>IF(37&lt;=核心参数输入!$B$9*4,AO36+AO21+AO37-AO38-AO39,0)</f>
        <v>0</v>
      </c>
      <c r="AP42" s="9">
        <f>IF(38&lt;=核心参数输入!$B$9*4,AP36+AP21+AP37-AP38-AP39,0)</f>
        <v>0</v>
      </c>
      <c r="AQ42" s="9">
        <f>IF(39&lt;=核心参数输入!$B$9*4,AQ36+AQ21+AQ37-AQ38-AQ39,0)</f>
        <v>0</v>
      </c>
      <c r="AR42" s="9">
        <f>IF(40&lt;=核心参数输入!$B$9*4,AR36+AR21+AR37-AR38-AR39,0)</f>
        <v>0</v>
      </c>
      <c r="AS42" s="9">
        <f>IF(41&lt;=核心参数输入!$B$9*4,AS36+AS21+AS37-AS38-AS39,0)</f>
        <v>0</v>
      </c>
      <c r="AT42" s="9">
        <f>IF(42&lt;=核心参数输入!$B$9*4,AT36+AT21+AT37-AT38-AT39,0)</f>
        <v>0</v>
      </c>
      <c r="AU42" s="9">
        <f>IF(43&lt;=核心参数输入!$B$9*4,AU36+AU21+AU37-AU38-AU39,0)</f>
        <v>0</v>
      </c>
      <c r="AV42" s="9">
        <f>IF(44&lt;=核心参数输入!$B$9*4,AV36+AV21+AV37-AV38-AV39,0)</f>
        <v>0</v>
      </c>
      <c r="AW42" s="9">
        <f>IF(45&lt;=核心参数输入!$B$9*4,AW36+AW21+AW37-AW38-AW39,0)</f>
        <v>0</v>
      </c>
      <c r="AX42" s="9">
        <f>IF(46&lt;=核心参数输入!$B$9*4,AX36+AX21+AX37-AX38-AX39,0)</f>
        <v>0</v>
      </c>
      <c r="AY42" s="9">
        <f>IF(47&lt;=核心参数输入!$B$9*4,AY36+AY21+AY37-AY38-AY39,0)</f>
        <v>0</v>
      </c>
      <c r="AZ42" s="9">
        <f>IF(48&lt;=核心参数输入!$B$9*4,AZ36+AZ21+AZ37-AZ38-AZ39,0)</f>
        <v>0</v>
      </c>
      <c r="BA42" s="9">
        <f>IF(49&lt;=核心参数输入!$B$9*4,BA36+BA21+BA37-BA38-BA39,0)</f>
        <v>0</v>
      </c>
      <c r="BB42" s="9">
        <f>IF(50&lt;=核心参数输入!$B$9*4,BB36+BB21+BB37-BB38-BB39,0)</f>
        <v>0</v>
      </c>
      <c r="BC42" s="9">
        <f>IF(51&lt;=核心参数输入!$B$9*4,BC36+BC21+BC37-BC38-BC39,0)</f>
        <v>0</v>
      </c>
      <c r="BD42" s="9">
        <f>IF(52&lt;=核心参数输入!$B$9*4,BD36+BD21+BD37-BD38-BD39,0)</f>
        <v>0</v>
      </c>
      <c r="BE42" s="9">
        <f>IF(53&lt;=核心参数输入!$B$9*4,BE36+BE21+BE37-BE38-BE39,0)</f>
        <v>0</v>
      </c>
      <c r="BF42" s="9">
        <f>IF(54&lt;=核心参数输入!$B$9*4,BF36+BF21+BF37-BF38-BF39,0)</f>
        <v>0</v>
      </c>
      <c r="BG42" s="9">
        <f>IF(55&lt;=核心参数输入!$B$9*4,BG36+BG21+BG37-BG38-BG39,0)</f>
        <v>0</v>
      </c>
      <c r="BH42" s="9">
        <f>IF(56&lt;=核心参数输入!$B$9*4,BH36+BH21+BH37-BH38-BH39,0)</f>
        <v>0</v>
      </c>
      <c r="BI42" s="9">
        <f>IF(57&lt;=核心参数输入!$B$9*4,BI36+BI21+BI37-BI38-BI39,0)</f>
        <v>0</v>
      </c>
      <c r="BJ42" s="9">
        <f>IF(58&lt;=核心参数输入!$B$9*4,BJ36+BJ21+BJ37-BJ38-BJ39,0)</f>
        <v>0</v>
      </c>
      <c r="BK42" s="9">
        <f>IF(59&lt;=核心参数输入!$B$9*4,BK36+BK21+BK37-BK38-BK39,0)</f>
        <v>0</v>
      </c>
      <c r="BL42" s="9">
        <f>IF(60&lt;=核心参数输入!$B$9*4,BL36+BL21+BL37-BL38-BL39,0)</f>
        <v>0</v>
      </c>
      <c r="BM42" s="9">
        <f>IF(61&lt;=核心参数输入!$B$9*4,BM36+BM21+BM37-BM38-BM39,0)</f>
        <v>0</v>
      </c>
      <c r="BN42" s="9">
        <f>IF(62&lt;=核心参数输入!$B$9*4,BN36+BN21+BN37-BN38-BN39,0)</f>
        <v>0</v>
      </c>
      <c r="BO42" s="9">
        <f>IF(63&lt;=核心参数输入!$B$9*4,BO36+BO21+BO37-BO38-BO39,0)</f>
        <v>0</v>
      </c>
      <c r="BP42" s="9">
        <f>IF(64&lt;=核心参数输入!$B$9*4,BP36+BP21+BP37-BP38-BP39,0)</f>
        <v>0</v>
      </c>
      <c r="BQ42" s="9">
        <f>IF(65&lt;=核心参数输入!$B$9*4,BQ36+BQ21+BQ37-BQ38-BQ39,0)</f>
        <v>0</v>
      </c>
      <c r="BR42" s="9">
        <f>IF(66&lt;=核心参数输入!$B$9*4,BR36+BR21+BR37-BR38-BR39,0)</f>
        <v>0</v>
      </c>
      <c r="BS42" s="9">
        <f>IF(67&lt;=核心参数输入!$B$9*4,BS36+BS21+BS37-BS38-BS39,0)</f>
        <v>0</v>
      </c>
      <c r="BT42" s="9">
        <f>IF(68&lt;=核心参数输入!$B$9*4,BT36+BT21+BT37-BT38-BT39,0)</f>
        <v>0</v>
      </c>
      <c r="BU42" s="9">
        <f>IF(69&lt;=核心参数输入!$B$9*4,BU36+BU21+BU37-BU38-BU39,0)</f>
        <v>0</v>
      </c>
      <c r="BV42" s="9">
        <f>IF(70&lt;=核心参数输入!$B$9*4,BV36+BV21+BV37-BV38-BV39,0)</f>
        <v>0</v>
      </c>
      <c r="BW42" s="9">
        <f>IF(71&lt;=核心参数输入!$B$9*4,BW36+BW21+BW37-BW38-BW39,0)</f>
        <v>0</v>
      </c>
      <c r="BX42" s="9">
        <f>IF(72&lt;=核心参数输入!$B$9*4,BX36+BX21+BX37-BX38-BX39,0)</f>
        <v>0</v>
      </c>
      <c r="BY42" s="9">
        <f>IF(73&lt;=核心参数输入!$B$9*4,BY36+BY21+BY37-BY38-BY39,0)</f>
        <v>0</v>
      </c>
      <c r="BZ42" s="9">
        <f>IF(74&lt;=核心参数输入!$B$9*4,BZ36+BZ21+BZ37-BZ38-BZ39,0)</f>
        <v>0</v>
      </c>
      <c r="CA42" s="9">
        <f>IF(75&lt;=核心参数输入!$B$9*4,CA36+CA21+CA37-CA38-CA39,0)</f>
        <v>0</v>
      </c>
      <c r="CB42" s="9">
        <f>IF(76&lt;=核心参数输入!$B$9*4,CB36+CB21+CB37-CB38-CB39,0)</f>
        <v>0</v>
      </c>
      <c r="CC42" s="9">
        <f>IF(77&lt;=核心参数输入!$B$9*4,CC36+CC21+CC37-CC38-CC39,0)</f>
        <v>0</v>
      </c>
      <c r="CD42" s="9">
        <f>IF(78&lt;=核心参数输入!$B$9*4,CD36+CD21+CD37-CD38-CD39,0)</f>
        <v>0</v>
      </c>
      <c r="CE42" s="9">
        <f>IF(79&lt;=核心参数输入!$B$9*4,CE36+CE21+CE37-CE38-CE39,0)</f>
        <v>0</v>
      </c>
      <c r="CF42" s="9">
        <f>IF(80&lt;=核心参数输入!$B$9*4,CF36+CF21+CF37-CF38-CF39,0)</f>
        <v>0</v>
      </c>
      <c r="CG42" s="9">
        <f>IF(81&lt;=核心参数输入!$B$9*4,CG36+CG21+CG37-CG38-CG39,0)</f>
        <v>0</v>
      </c>
      <c r="CH42" s="9">
        <f>IF(82&lt;=核心参数输入!$B$9*4,CH36+CH21+CH37-CH38-CH39,0)</f>
        <v>0</v>
      </c>
      <c r="CI42" s="9">
        <f>IF(83&lt;=核心参数输入!$B$9*4,CI36+CI21+CI37-CI38-CI39,0)</f>
        <v>0</v>
      </c>
      <c r="CJ42" s="9">
        <f>IF(84&lt;=核心参数输入!$B$9*4,CJ36+CJ21+CJ37-CJ38-CJ39,0)</f>
        <v>0</v>
      </c>
      <c r="CK42" s="9">
        <f>IF(85&lt;=核心参数输入!$B$9*4,CK36+CK21+CK37-CK38-CK39,0)</f>
        <v>0</v>
      </c>
      <c r="CL42" s="9">
        <f>IF(86&lt;=核心参数输入!$B$9*4,CL36+CL21+CL37-CL38-CL39,0)</f>
        <v>0</v>
      </c>
      <c r="CM42" s="9">
        <f>IF(87&lt;=核心参数输入!$B$9*4,CM36+CM21+CM37-CM38-CM39,0)</f>
        <v>0</v>
      </c>
      <c r="CN42" s="9">
        <f>IF(88&lt;=核心参数输入!$B$9*4,CN36+CN21+CN37-CN38-CN39,0)</f>
        <v>0</v>
      </c>
      <c r="CO42" s="9">
        <f>IF(89&lt;=核心参数输入!$B$9*4,CO36+CO21+CO37-CO38-CO39,0)</f>
        <v>0</v>
      </c>
      <c r="CP42" s="9">
        <f>IF(90&lt;=核心参数输入!$B$9*4,CP36+CP21+CP37-CP38-CP39,0)</f>
        <v>0</v>
      </c>
      <c r="CQ42" s="9">
        <f>IF(91&lt;=核心参数输入!$B$9*4,CQ36+CQ21+CQ37-CQ38-CQ39,0)</f>
        <v>0</v>
      </c>
      <c r="CR42" s="9">
        <f>IF(92&lt;=核心参数输入!$B$9*4,CR36+CR21+CR37-CR38-CR39,0)</f>
        <v>0</v>
      </c>
      <c r="CS42" s="9">
        <f>IF(93&lt;=核心参数输入!$B$9*4,CS36+CS21+CS37-CS38-CS39,0)</f>
        <v>0</v>
      </c>
      <c r="CT42" s="9">
        <f>IF(94&lt;=核心参数输入!$B$9*4,CT36+CT21+CT37-CT38-CT39,0)</f>
        <v>0</v>
      </c>
      <c r="CU42" s="9">
        <f>IF(95&lt;=核心参数输入!$B$9*4,CU36+CU21+CU37-CU38-CU39,0)</f>
        <v>0</v>
      </c>
      <c r="CV42" s="9">
        <f>IF(96&lt;=核心参数输入!$B$9*4,CV36+CV21+CV37-CV38-CV39,0)</f>
        <v>0</v>
      </c>
      <c r="CW42" s="9">
        <f>IF(97&lt;=核心参数输入!$B$9*4,CW36+CW21+CW37-CW38-CW39,0)</f>
        <v>0</v>
      </c>
      <c r="CX42" s="9">
        <f>IF(98&lt;=核心参数输入!$B$9*4,CX36+CX21+CX37-CX38-CX39,0)</f>
        <v>0</v>
      </c>
      <c r="CY42" s="9">
        <f>IF(99&lt;=核心参数输入!$B$9*4,CY36+CY21+CY37-CY38-CY39,0)</f>
        <v>0</v>
      </c>
      <c r="CZ42" s="9">
        <f>IF(100&lt;=核心参数输入!$B$9*4,CZ36+CZ21+CZ37-CZ38-CZ39,0)</f>
        <v>0</v>
      </c>
      <c r="DA42" s="9">
        <f>IF(101&lt;=核心参数输入!$B$9*4,DA36+DA21+DA37-DA38-DA39,0)</f>
        <v>0</v>
      </c>
      <c r="DB42" s="9">
        <f>IF(102&lt;=核心参数输入!$B$9*4,DB36+DB21+DB37-DB38-DB39,0)</f>
        <v>0</v>
      </c>
      <c r="DC42" s="9">
        <f>IF(103&lt;=核心参数输入!$B$9*4,DC36+DC21+DC37-DC38-DC39,0)</f>
        <v>0</v>
      </c>
      <c r="DD42" s="9">
        <f>IF(104&lt;=核心参数输入!$B$9*4,DD36+DD21+DD37-DD38-DD39,0)</f>
        <v>0</v>
      </c>
      <c r="DE42" s="9">
        <f>IF(105&lt;=核心参数输入!$B$9*4,DE36+DE21+DE37-DE38-DE39,0)</f>
        <v>0</v>
      </c>
      <c r="DF42" s="9">
        <f>IF(106&lt;=核心参数输入!$B$9*4,DF36+DF21+DF37-DF38-DF39,0)</f>
        <v>0</v>
      </c>
      <c r="DG42" s="9">
        <f>IF(107&lt;=核心参数输入!$B$9*4,DG36+DG21+DG37-DG38-DG39,0)</f>
        <v>0</v>
      </c>
      <c r="DH42" s="9">
        <f>IF(108&lt;=核心参数输入!$B$9*4,DH36+DH21+DH37-DH38-DH39,0)</f>
        <v>0</v>
      </c>
      <c r="DI42" s="9">
        <f>IF(109&lt;=核心参数输入!$B$9*4,DI36+DI21+DI37-DI38-DI39,0)</f>
        <v>0</v>
      </c>
      <c r="DJ42" s="9">
        <f>IF(110&lt;=核心参数输入!$B$9*4,DJ36+DJ21+DJ37-DJ38-DJ39,0)</f>
        <v>0</v>
      </c>
      <c r="DK42" s="9">
        <f>IF(111&lt;=核心参数输入!$B$9*4,DK36+DK21+DK37-DK38-DK39,0)</f>
        <v>0</v>
      </c>
      <c r="DL42" s="9">
        <f>IF(112&lt;=核心参数输入!$B$9*4,DL36+DL21+DL37-DL38-DL39,0)</f>
        <v>0</v>
      </c>
      <c r="DM42" s="9">
        <f>IF(113&lt;=核心参数输入!$B$9*4,DM36+DM21+DM37-DM38-DM39,0)</f>
        <v>0</v>
      </c>
      <c r="DN42" s="9">
        <f>IF(114&lt;=核心参数输入!$B$9*4,DN36+DN21+DN37-DN38-DN39,0)</f>
        <v>0</v>
      </c>
      <c r="DO42" s="9">
        <f>IF(115&lt;=核心参数输入!$B$9*4,DO36+DO21+DO37-DO38-DO39,0)</f>
        <v>0</v>
      </c>
      <c r="DP42" s="9">
        <f>IF(116&lt;=核心参数输入!$B$9*4,DP36+DP21+DP37-DP38-DP39,0)</f>
        <v>0</v>
      </c>
      <c r="DQ42" s="9">
        <f>IF(117&lt;=核心参数输入!$B$9*4,DQ36+DQ21+DQ37-DQ38-DQ39,0)</f>
        <v>0</v>
      </c>
      <c r="DR42" s="9">
        <f>IF(118&lt;=核心参数输入!$B$9*4,DR36+DR21+DR37-DR38-DR39,0)</f>
        <v>0</v>
      </c>
      <c r="DS42" s="9">
        <f>IF(119&lt;=核心参数输入!$B$9*4,DS36+DS21+DS37-DS38-DS39,0)</f>
        <v>0</v>
      </c>
      <c r="DT42" s="9">
        <f>IF(120&lt;=核心参数输入!$B$9*4,DT36+DT21+DT37-DT38-DT39,0)</f>
        <v>0</v>
      </c>
    </row>
    <row r="43" spans="1:124" ht="21" customHeight="1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</row>
    <row r="44" spans="1:124" ht="21" customHeight="1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</row>
    <row r="45" spans="1:124" ht="21" customHeight="1">
      <c r="A45" s="8" t="s">
        <v>537</v>
      </c>
      <c r="B45" s="8" t="s">
        <v>39</v>
      </c>
      <c r="C45" s="8"/>
      <c r="D45" s="9">
        <f>IF(0&lt;=核心参数输入!$B$9*4,IF(核心参数输入!$B$64=1,D19,D18),0)</f>
        <v>-8000</v>
      </c>
      <c r="E45" s="9">
        <f>IF(1&lt;=核心参数输入!$B$9*4,IF(核心参数输入!$B$64=1,E19,E18),0)</f>
        <v>-3969</v>
      </c>
      <c r="F45" s="9">
        <f>IF(2&lt;=核心参数输入!$B$9*4,IF(核心参数输入!$B$64=1,F19,F18),0)</f>
        <v>-3969</v>
      </c>
      <c r="G45" s="9">
        <f>IF(3&lt;=核心参数输入!$B$9*4,IF(核心参数输入!$B$64=1,G19,G18),0)</f>
        <v>-3969</v>
      </c>
      <c r="H45" s="9">
        <f>IF(4&lt;=核心参数输入!$B$9*4,IF(核心参数输入!$B$64=1,H19,H18),0)</f>
        <v>-3969</v>
      </c>
      <c r="I45" s="9">
        <f>IF(5&lt;=核心参数输入!$B$9*4,IF(核心参数输入!$B$64=1,I19,I18),0)</f>
        <v>-5292</v>
      </c>
      <c r="J45" s="9">
        <f>IF(6&lt;=核心参数输入!$B$9*4,IF(核心参数输入!$B$64=1,J19,J18),0)</f>
        <v>-5292</v>
      </c>
      <c r="K45" s="9">
        <f>IF(7&lt;=核心参数输入!$B$9*4,IF(核心参数输入!$B$64=1,K19,K18),0)</f>
        <v>-5292</v>
      </c>
      <c r="L45" s="9">
        <f>IF(8&lt;=核心参数输入!$B$9*4,IF(核心参数输入!$B$64=1,L19,L18),0)</f>
        <v>-5292</v>
      </c>
      <c r="M45" s="9">
        <f>IF(9&lt;=核心参数输入!$B$9*4,IF(核心参数输入!$B$64=1,M19,M18),0)</f>
        <v>-3969</v>
      </c>
      <c r="N45" s="9">
        <f>IF(10&lt;=核心参数输入!$B$9*4,IF(核心参数输入!$B$64=1,N19,N18),0)</f>
        <v>-3969</v>
      </c>
      <c r="O45" s="9">
        <f>IF(11&lt;=核心参数输入!$B$9*4,IF(核心参数输入!$B$64=1,O19,O18),0)</f>
        <v>-3969</v>
      </c>
      <c r="P45" s="9">
        <f>IF(12&lt;=核心参数输入!$B$9*4,IF(核心参数输入!$B$64=1,P19,P18),0)</f>
        <v>-3969</v>
      </c>
      <c r="Q45" s="9">
        <f>IF(13&lt;=核心参数输入!$B$9*4,IF(核心参数输入!$B$64=1,Q19,Q18),0)</f>
        <v>1533.7140625000002</v>
      </c>
      <c r="R45" s="9">
        <f>IF(14&lt;=核心参数输入!$B$9*4,IF(核心参数输入!$B$64=1,R19,R18),0)</f>
        <v>3144.5738458125002</v>
      </c>
      <c r="S45" s="9">
        <f>IF(15&lt;=核心参数输入!$B$9*4,IF(核心参数输入!$B$64=1,S19,S18),0)</f>
        <v>3194.4809124375001</v>
      </c>
      <c r="T45" s="9">
        <f>IF(16&lt;=核心参数输入!$B$9*4,IF(核心参数输入!$B$64=1,T19,T18),0)</f>
        <v>2788.0997166093744</v>
      </c>
      <c r="U45" s="9">
        <f>IF(17&lt;=核心参数输入!$B$9*4,IF(核心参数输入!$B$64=1,U19,U18),0)</f>
        <v>4013.3198541853121</v>
      </c>
      <c r="V45" s="9">
        <f>IF(18&lt;=核心参数输入!$B$9*4,IF(核心参数输入!$B$64=1,V19,V18),0)</f>
        <v>4410.7475750223748</v>
      </c>
      <c r="W45" s="9">
        <f>IF(19&lt;=核心参数输入!$B$9*4,IF(核心参数输入!$B$64=1,W19,W18),0)</f>
        <v>4431.0098440721249</v>
      </c>
      <c r="X45" s="9">
        <f>IF(20&lt;=核心参数输入!$B$9*4,IF(核心参数输入!$B$64=1,X19,X18),0)</f>
        <v>3591.3200790214532</v>
      </c>
      <c r="Y45" s="9">
        <f>IF(21&lt;=核心参数输入!$B$9*4,IF(核心参数输入!$B$64=1,Y19,Y18),0)</f>
        <v>3756.2028041541989</v>
      </c>
      <c r="Z45" s="9">
        <f>IF(22&lt;=核心参数输入!$B$9*4,IF(核心参数输入!$B$64=1,Z19,Z18),0)</f>
        <v>3412.2294818540086</v>
      </c>
      <c r="AA45" s="9">
        <f>IF(23&lt;=核心参数输入!$B$9*4,IF(核心参数输入!$B$64=1,AA19,AA18),0)</f>
        <v>3427.6541341681304</v>
      </c>
      <c r="AB45" s="9">
        <f>IF(24&lt;=核心参数输入!$B$9*4,IF(核心参数输入!$B$64=1,AB19,AB18),0)</f>
        <v>2743.2571723176052</v>
      </c>
      <c r="AC45" s="9">
        <f>IF(25&lt;=核心参数输入!$B$9*4,IF(核心参数输入!$B$64=1,AC19,AC18),0)</f>
        <v>1308.3574731908209</v>
      </c>
      <c r="AD45" s="9">
        <f>IF(26&lt;=核心参数输入!$B$9*4,IF(核心参数输入!$B$64=1,AD19,AD18),0)</f>
        <v>232.88857125670998</v>
      </c>
      <c r="AE45" s="9">
        <f>IF(27&lt;=核心参数输入!$B$9*4,IF(核心参数输入!$B$64=1,AE19,AE18),0)</f>
        <v>238.10724528965466</v>
      </c>
      <c r="AF45" s="9">
        <f>IF(28&lt;=核心参数输入!$B$9*4,IF(核心参数输入!$B$64=1,AF19,AF18),0)</f>
        <v>215.66017955765309</v>
      </c>
      <c r="AG45" s="9">
        <f>IF(29&lt;=核心参数输入!$B$9*4,IF(核心参数输入!$B$64=1,AG19,AG18),0)</f>
        <v>252.54980925587711</v>
      </c>
      <c r="AH45" s="9">
        <f>IF(30&lt;=核心参数输入!$B$9*4,IF(核心参数输入!$B$64=1,AH19,AH18),0)</f>
        <v>255.19828632759649</v>
      </c>
      <c r="AI45" s="9">
        <f>IF(31&lt;=核心参数输入!$B$9*4,IF(核心参数输入!$B$64=1,AI19,AI18),0)</f>
        <v>255.19828632759649</v>
      </c>
      <c r="AJ45" s="9">
        <f>IF(32&lt;=核心参数输入!$B$9*4,IF(核心参数输入!$B$64=1,AJ19,AJ18),0)</f>
        <v>207.18961926792983</v>
      </c>
      <c r="AK45" s="9">
        <f>IF(33&lt;=核心参数输入!$B$9*4,IF(核心参数输入!$B$64=1,AK19,AK18),0)</f>
        <v>259.29534856251041</v>
      </c>
      <c r="AL45" s="9">
        <f>IF(34&lt;=核心参数输入!$B$9*4,IF(核心参数输入!$B$64=1,AL19,AL18),0)</f>
        <v>259.29534856251041</v>
      </c>
      <c r="AM45" s="9">
        <f>IF(35&lt;=核心参数输入!$B$9*4,IF(核心参数输入!$B$64=1,AM19,AM18),0)</f>
        <v>259.29534856251041</v>
      </c>
      <c r="AN45" s="9">
        <f>IF(36&lt;=核心参数输入!$B$9*4,IF(核心参数输入!$B$64=1,AN19,AN18),0)</f>
        <v>206.52750000000003</v>
      </c>
      <c r="AO45" s="9">
        <f>IF(37&lt;=核心参数输入!$B$9*4,IF(核心参数输入!$B$64=1,AO19,AO18),0)</f>
        <v>263.44574848974798</v>
      </c>
      <c r="AP45" s="9">
        <f>IF(38&lt;=核心参数输入!$B$9*4,IF(核心参数输入!$B$64=1,AP19,AP18),0)</f>
        <v>263.44574848974798</v>
      </c>
      <c r="AQ45" s="9">
        <f>IF(39&lt;=核心参数输入!$B$9*4,IF(核心参数输入!$B$64=1,AQ19,AQ18),0)</f>
        <v>263.44574848974798</v>
      </c>
      <c r="AR45" s="9">
        <f>IF(40&lt;=核心参数输入!$B$9*4,IF(核心参数输入!$B$64=1,AR19,AR18),0)</f>
        <v>206.5275</v>
      </c>
      <c r="AS45" s="9">
        <f>IF(41&lt;=核心参数输入!$B$9*4,IF(核心参数输入!$B$64=1,AS19,AS18),0)</f>
        <v>267.65012380987014</v>
      </c>
      <c r="AT45" s="9">
        <f>IF(42&lt;=核心参数输入!$B$9*4,IF(核心参数输入!$B$64=1,AT19,AT18),0)</f>
        <v>267.65012380987014</v>
      </c>
      <c r="AU45" s="9">
        <f>IF(43&lt;=核心参数输入!$B$9*4,IF(核心参数输入!$B$64=1,AU19,AU18),0)</f>
        <v>267.65012380987014</v>
      </c>
      <c r="AV45" s="9">
        <f>IF(44&lt;=核心参数输入!$B$9*4,IF(核心参数输入!$B$64=1,AV19,AV18),0)</f>
        <v>206.52749999999995</v>
      </c>
      <c r="AW45" s="9">
        <f>IF(45&lt;=核心参数输入!$B$9*4,IF(核心参数输入!$B$64=1,AW19,AW18),0)</f>
        <v>271.90911854164972</v>
      </c>
      <c r="AX45" s="9">
        <f>IF(46&lt;=核心参数输入!$B$9*4,IF(核心参数输入!$B$64=1,AX19,AX18),0)</f>
        <v>271.90911854164972</v>
      </c>
      <c r="AY45" s="9">
        <f>IF(47&lt;=核心参数输入!$B$9*4,IF(核心参数输入!$B$64=1,AY19,AY18),0)</f>
        <v>271.90911854164972</v>
      </c>
      <c r="AZ45" s="9">
        <f>IF(48&lt;=核心参数输入!$B$9*4,IF(核心参数输入!$B$64=1,AZ19,AZ18),0)</f>
        <v>206.52750000000003</v>
      </c>
      <c r="BA45" s="9">
        <f>IF(49&lt;=核心参数输入!$B$9*4,IF(核心参数输入!$B$64=1,BA19,BA18),0)</f>
        <v>276.22338305189851</v>
      </c>
      <c r="BB45" s="9">
        <f>IF(50&lt;=核心参数输入!$B$9*4,IF(核心参数输入!$B$64=1,BB19,BB18),0)</f>
        <v>276.22338305189851</v>
      </c>
      <c r="BC45" s="9">
        <f>IF(51&lt;=核心参数输入!$B$9*4,IF(核心参数输入!$B$64=1,BC19,BC18),0)</f>
        <v>276.22338305189851</v>
      </c>
      <c r="BD45" s="9">
        <f>IF(52&lt;=核心参数输入!$B$9*4,IF(核心参数输入!$B$64=1,BD19,BD18),0)</f>
        <v>206.52749999999995</v>
      </c>
      <c r="BE45" s="9">
        <f>IF(53&lt;=核心参数输入!$B$9*4,IF(核心参数输入!$B$64=1,BE19,BE18),0)</f>
        <v>280.59357408444356</v>
      </c>
      <c r="BF45" s="9">
        <f>IF(54&lt;=核心参数输入!$B$9*4,IF(核心参数输入!$B$64=1,BF19,BF18),0)</f>
        <v>280.59357408444356</v>
      </c>
      <c r="BG45" s="9">
        <f>IF(55&lt;=核心参数输入!$B$9*4,IF(核心参数输入!$B$64=1,BG19,BG18),0)</f>
        <v>280.59357408444356</v>
      </c>
      <c r="BH45" s="9">
        <f>IF(56&lt;=核心参数输入!$B$9*4,IF(核心参数输入!$B$64=1,BH19,BH18),0)</f>
        <v>206.52749999999997</v>
      </c>
      <c r="BI45" s="9">
        <f>IF(57&lt;=核心参数输入!$B$9*4,IF(核心参数输入!$B$64=1,BI19,BI18),0)</f>
        <v>285.0203547882121</v>
      </c>
      <c r="BJ45" s="9">
        <f>IF(58&lt;=核心参数输入!$B$9*4,IF(核心参数输入!$B$64=1,BJ19,BJ18),0)</f>
        <v>285.0203547882121</v>
      </c>
      <c r="BK45" s="9">
        <f>IF(59&lt;=核心参数输入!$B$9*4,IF(核心参数输入!$B$64=1,BK19,BK18),0)</f>
        <v>285.0203547882121</v>
      </c>
      <c r="BL45" s="9">
        <f>IF(60&lt;=核心参数输入!$B$9*4,IF(核心参数输入!$B$64=1,BL19,BL18),0)</f>
        <v>206.52749999999989</v>
      </c>
      <c r="BM45" s="9">
        <f>IF(61&lt;=核心参数输入!$B$9*4,IF(核心参数输入!$B$64=1,BM19,BM18),0)</f>
        <v>289.50439474438724</v>
      </c>
      <c r="BN45" s="9">
        <f>IF(62&lt;=核心参数输入!$B$9*4,IF(核心参数输入!$B$64=1,BN19,BN18),0)</f>
        <v>289.50439474438724</v>
      </c>
      <c r="BO45" s="9">
        <f>IF(63&lt;=核心参数输入!$B$9*4,IF(核心参数输入!$B$64=1,BO19,BO18),0)</f>
        <v>289.50439474438724</v>
      </c>
      <c r="BP45" s="9">
        <f>IF(64&lt;=核心参数输入!$B$9*4,IF(核心参数输入!$B$64=1,BP19,BP18),0)</f>
        <v>206.52750000000003</v>
      </c>
      <c r="BQ45" s="9">
        <f>IF(65&lt;=核心参数输入!$B$9*4,IF(核心参数输入!$B$64=1,BQ19,BQ18),0)</f>
        <v>294.04636999259213</v>
      </c>
      <c r="BR45" s="9">
        <f>IF(66&lt;=核心参数输入!$B$9*4,IF(核心参数输入!$B$64=1,BR19,BR18),0)</f>
        <v>294.04636999259213</v>
      </c>
      <c r="BS45" s="9">
        <f>IF(67&lt;=核心参数输入!$B$9*4,IF(核心参数输入!$B$64=1,BS19,BS18),0)</f>
        <v>294.04636999259213</v>
      </c>
      <c r="BT45" s="9">
        <f>IF(68&lt;=核心参数输入!$B$9*4,IF(核心参数输入!$B$64=1,BT19,BT18),0)</f>
        <v>206.5275</v>
      </c>
      <c r="BU45" s="9">
        <f>IF(69&lt;=核心参数输入!$B$9*4,IF(核心参数输入!$B$64=1,BU19,BU18),0)</f>
        <v>298.64696305606077</v>
      </c>
      <c r="BV45" s="9">
        <f>IF(70&lt;=核心参数输入!$B$9*4,IF(核心参数输入!$B$64=1,BV19,BV18),0)</f>
        <v>298.64696305606077</v>
      </c>
      <c r="BW45" s="9">
        <f>IF(71&lt;=核心参数输入!$B$9*4,IF(核心参数输入!$B$64=1,BW19,BW18),0)</f>
        <v>298.64696305606077</v>
      </c>
      <c r="BX45" s="9">
        <f>IF(72&lt;=核心参数输入!$B$9*4,IF(核心参数输入!$B$64=1,BX19,BX18),0)</f>
        <v>206.52749999999997</v>
      </c>
      <c r="BY45" s="9">
        <f>IF(73&lt;=核心参数输入!$B$9*4,IF(核心参数输入!$B$64=1,BY19,BY18),0)</f>
        <v>303.30686296575288</v>
      </c>
      <c r="BZ45" s="9">
        <f>IF(74&lt;=核心参数输入!$B$9*4,IF(核心参数输入!$B$64=1,BZ19,BZ18),0)</f>
        <v>303.30686296575288</v>
      </c>
      <c r="CA45" s="9">
        <f>IF(75&lt;=核心参数输入!$B$9*4,IF(核心参数输入!$B$64=1,CA19,CA18),0)</f>
        <v>303.30686296575288</v>
      </c>
      <c r="CB45" s="9">
        <f>IF(76&lt;=核心参数输入!$B$9*4,IF(核心参数输入!$B$64=1,CB19,CB18),0)</f>
        <v>206.52749999999989</v>
      </c>
      <c r="CC45" s="9">
        <f>IF(77&lt;=核心参数输入!$B$9*4,IF(核心参数输入!$B$64=1,CC19,CC18),0)</f>
        <v>308.02676528336758</v>
      </c>
      <c r="CD45" s="9">
        <f>IF(78&lt;=核心参数输入!$B$9*4,IF(核心参数输入!$B$64=1,CD19,CD18),0)</f>
        <v>308.02676528336758</v>
      </c>
      <c r="CE45" s="9">
        <f>IF(79&lt;=核心参数输入!$B$9*4,IF(核心参数输入!$B$64=1,CE19,CE18),0)</f>
        <v>308.02676528336758</v>
      </c>
      <c r="CF45" s="9">
        <f>IF(80&lt;=核心参数输入!$B$9*4,IF(核心参数输入!$B$64=1,CF19,CF18),0)</f>
        <v>206.52750000000009</v>
      </c>
      <c r="CG45" s="9">
        <f>IF(81&lt;=核心参数输入!$B$9*4,IF(核心参数输入!$B$64=1,CG19,CG18),0)</f>
        <v>0</v>
      </c>
      <c r="CH45" s="9">
        <f>IF(82&lt;=核心参数输入!$B$9*4,IF(核心参数输入!$B$64=1,CH19,CH18),0)</f>
        <v>0</v>
      </c>
      <c r="CI45" s="9">
        <f>IF(83&lt;=核心参数输入!$B$9*4,IF(核心参数输入!$B$64=1,CI19,CI18),0)</f>
        <v>0</v>
      </c>
      <c r="CJ45" s="9">
        <f>IF(84&lt;=核心参数输入!$B$9*4,IF(核心参数输入!$B$64=1,CJ19,CJ18),0)</f>
        <v>0</v>
      </c>
      <c r="CK45" s="9">
        <f>IF(85&lt;=核心参数输入!$B$9*4,IF(核心参数输入!$B$64=1,CK19,CK18),0)</f>
        <v>0</v>
      </c>
      <c r="CL45" s="9">
        <f>IF(86&lt;=核心参数输入!$B$9*4,IF(核心参数输入!$B$64=1,CL19,CL18),0)</f>
        <v>0</v>
      </c>
      <c r="CM45" s="9">
        <f>IF(87&lt;=核心参数输入!$B$9*4,IF(核心参数输入!$B$64=1,CM19,CM18),0)</f>
        <v>0</v>
      </c>
      <c r="CN45" s="9">
        <f>IF(88&lt;=核心参数输入!$B$9*4,IF(核心参数输入!$B$64=1,CN19,CN18),0)</f>
        <v>0</v>
      </c>
      <c r="CO45" s="9">
        <f>IF(89&lt;=核心参数输入!$B$9*4,IF(核心参数输入!$B$64=1,CO19,CO18),0)</f>
        <v>0</v>
      </c>
      <c r="CP45" s="9">
        <f>IF(90&lt;=核心参数输入!$B$9*4,IF(核心参数输入!$B$64=1,CP19,CP18),0)</f>
        <v>0</v>
      </c>
      <c r="CQ45" s="9">
        <f>IF(91&lt;=核心参数输入!$B$9*4,IF(核心参数输入!$B$64=1,CQ19,CQ18),0)</f>
        <v>0</v>
      </c>
      <c r="CR45" s="9">
        <f>IF(92&lt;=核心参数输入!$B$9*4,IF(核心参数输入!$B$64=1,CR19,CR18),0)</f>
        <v>0</v>
      </c>
      <c r="CS45" s="9">
        <f>IF(93&lt;=核心参数输入!$B$9*4,IF(核心参数输入!$B$64=1,CS19,CS18),0)</f>
        <v>0</v>
      </c>
      <c r="CT45" s="9">
        <f>IF(94&lt;=核心参数输入!$B$9*4,IF(核心参数输入!$B$64=1,CT19,CT18),0)</f>
        <v>0</v>
      </c>
      <c r="CU45" s="9">
        <f>IF(95&lt;=核心参数输入!$B$9*4,IF(核心参数输入!$B$64=1,CU19,CU18),0)</f>
        <v>0</v>
      </c>
      <c r="CV45" s="9">
        <f>IF(96&lt;=核心参数输入!$B$9*4,IF(核心参数输入!$B$64=1,CV19,CV18),0)</f>
        <v>0</v>
      </c>
      <c r="CW45" s="9">
        <f>IF(97&lt;=核心参数输入!$B$9*4,IF(核心参数输入!$B$64=1,CW19,CW18),0)</f>
        <v>0</v>
      </c>
      <c r="CX45" s="9">
        <f>IF(98&lt;=核心参数输入!$B$9*4,IF(核心参数输入!$B$64=1,CX19,CX18),0)</f>
        <v>0</v>
      </c>
      <c r="CY45" s="9">
        <f>IF(99&lt;=核心参数输入!$B$9*4,IF(核心参数输入!$B$64=1,CY19,CY18),0)</f>
        <v>0</v>
      </c>
      <c r="CZ45" s="9">
        <f>IF(100&lt;=核心参数输入!$B$9*4,IF(核心参数输入!$B$64=1,CZ19,CZ18),0)</f>
        <v>0</v>
      </c>
      <c r="DA45" s="9">
        <f>IF(101&lt;=核心参数输入!$B$9*4,IF(核心参数输入!$B$64=1,DA19,DA18),0)</f>
        <v>0</v>
      </c>
      <c r="DB45" s="9">
        <f>IF(102&lt;=核心参数输入!$B$9*4,IF(核心参数输入!$B$64=1,DB19,DB18),0)</f>
        <v>0</v>
      </c>
      <c r="DC45" s="9">
        <f>IF(103&lt;=核心参数输入!$B$9*4,IF(核心参数输入!$B$64=1,DC19,DC18),0)</f>
        <v>0</v>
      </c>
      <c r="DD45" s="9">
        <f>IF(104&lt;=核心参数输入!$B$9*4,IF(核心参数输入!$B$64=1,DD19,DD18),0)</f>
        <v>0</v>
      </c>
      <c r="DE45" s="9">
        <f>IF(105&lt;=核心参数输入!$B$9*4,IF(核心参数输入!$B$64=1,DE19,DE18),0)</f>
        <v>0</v>
      </c>
      <c r="DF45" s="9">
        <f>IF(106&lt;=核心参数输入!$B$9*4,IF(核心参数输入!$B$64=1,DF19,DF18),0)</f>
        <v>0</v>
      </c>
      <c r="DG45" s="9">
        <f>IF(107&lt;=核心参数输入!$B$9*4,IF(核心参数输入!$B$64=1,DG19,DG18),0)</f>
        <v>0</v>
      </c>
      <c r="DH45" s="9">
        <f>IF(108&lt;=核心参数输入!$B$9*4,IF(核心参数输入!$B$64=1,DH19,DH18),0)</f>
        <v>0</v>
      </c>
      <c r="DI45" s="9">
        <f>IF(109&lt;=核心参数输入!$B$9*4,IF(核心参数输入!$B$64=1,DI19,DI18),0)</f>
        <v>0</v>
      </c>
      <c r="DJ45" s="9">
        <f>IF(110&lt;=核心参数输入!$B$9*4,IF(核心参数输入!$B$64=1,DJ19,DJ18),0)</f>
        <v>0</v>
      </c>
      <c r="DK45" s="9">
        <f>IF(111&lt;=核心参数输入!$B$9*4,IF(核心参数输入!$B$64=1,DK19,DK18),0)</f>
        <v>0</v>
      </c>
      <c r="DL45" s="9">
        <f>IF(112&lt;=核心参数输入!$B$9*4,IF(核心参数输入!$B$64=1,DL19,DL18),0)</f>
        <v>0</v>
      </c>
      <c r="DM45" s="9">
        <f>IF(113&lt;=核心参数输入!$B$9*4,IF(核心参数输入!$B$64=1,DM19,DM18),0)</f>
        <v>0</v>
      </c>
      <c r="DN45" s="9">
        <f>IF(114&lt;=核心参数输入!$B$9*4,IF(核心参数输入!$B$64=1,DN19,DN18),0)</f>
        <v>0</v>
      </c>
      <c r="DO45" s="9">
        <f>IF(115&lt;=核心参数输入!$B$9*4,IF(核心参数输入!$B$64=1,DO19,DO18),0)</f>
        <v>0</v>
      </c>
      <c r="DP45" s="9">
        <f>IF(116&lt;=核心参数输入!$B$9*4,IF(核心参数输入!$B$64=1,DP19,DP18),0)</f>
        <v>0</v>
      </c>
      <c r="DQ45" s="9">
        <f>IF(117&lt;=核心参数输入!$B$9*4,IF(核心参数输入!$B$64=1,DQ19,DQ18),0)</f>
        <v>0</v>
      </c>
      <c r="DR45" s="9">
        <f>IF(118&lt;=核心参数输入!$B$9*4,IF(核心参数输入!$B$64=1,DR19,DR18),0)</f>
        <v>0</v>
      </c>
      <c r="DS45" s="9">
        <f>IF(119&lt;=核心参数输入!$B$9*4,IF(核心参数输入!$B$64=1,DS19,DS18),0)</f>
        <v>0</v>
      </c>
      <c r="DT45" s="9">
        <f>IF(120&lt;=核心参数输入!$B$9*4,IF(核心参数输入!$B$64=1,DT19,DT18),0)</f>
        <v>0</v>
      </c>
    </row>
    <row r="46" spans="1:124" ht="21" customHeight="1">
      <c r="A46" s="8" t="s">
        <v>538</v>
      </c>
      <c r="B46" s="8" t="s">
        <v>39</v>
      </c>
      <c r="C46" s="8"/>
      <c r="D46" s="9">
        <f>IF(0&lt;=核心参数输入!$B$9*4,IF(核心参数输入!$B$64=1,D21,D20),0)</f>
        <v>-8000</v>
      </c>
      <c r="E46" s="9">
        <f>IF(1&lt;=核心参数输入!$B$9*4,IF(核心参数输入!$B$64=1,E21,E20),0)</f>
        <v>-1730.8125</v>
      </c>
      <c r="F46" s="9">
        <f>IF(2&lt;=核心参数输入!$B$9*4,IF(核心参数输入!$B$64=1,F21,F20),0)</f>
        <v>-1754.4375</v>
      </c>
      <c r="G46" s="9">
        <f>IF(3&lt;=核心参数输入!$B$9*4,IF(核心参数输入!$B$64=1,G21,G20),0)</f>
        <v>-1778.0625</v>
      </c>
      <c r="H46" s="9">
        <f>IF(4&lt;=核心参数输入!$B$9*4,IF(核心参数输入!$B$64=1,H21,H20),0)</f>
        <v>-1801.6875</v>
      </c>
      <c r="I46" s="9">
        <f>IF(5&lt;=核心参数输入!$B$9*4,IF(核心参数输入!$B$64=1,I21,I20),0)</f>
        <v>-2402.25</v>
      </c>
      <c r="J46" s="9">
        <f>IF(6&lt;=核心参数输入!$B$9*4,IF(核心参数输入!$B$64=1,J21,J20),0)</f>
        <v>-2433.75</v>
      </c>
      <c r="K46" s="9">
        <f>IF(7&lt;=核心参数输入!$B$9*4,IF(核心参数输入!$B$64=1,K21,K20),0)</f>
        <v>-2465.25</v>
      </c>
      <c r="L46" s="9">
        <f>IF(8&lt;=核心参数输入!$B$9*4,IF(核心参数输入!$B$64=1,L21,L20),0)</f>
        <v>-2496.75</v>
      </c>
      <c r="M46" s="9">
        <f>IF(9&lt;=核心参数输入!$B$9*4,IF(核心参数输入!$B$64=1,M21,M20),0)</f>
        <v>-1951.3125</v>
      </c>
      <c r="N46" s="9">
        <f>IF(10&lt;=核心参数输入!$B$9*4,IF(核心参数输入!$B$64=1,N21,N20),0)</f>
        <v>-1974.9375</v>
      </c>
      <c r="O46" s="9">
        <f>IF(11&lt;=核心参数输入!$B$9*4,IF(核心参数输入!$B$64=1,O21,O20),0)</f>
        <v>-1998.5625</v>
      </c>
      <c r="P46" s="9">
        <f>IF(12&lt;=核心参数输入!$B$9*4,IF(核心参数输入!$B$64=1,P21,P20),0)</f>
        <v>-2022.1875</v>
      </c>
      <c r="Q46" s="9">
        <f>IF(13&lt;=核心参数输入!$B$9*4,IF(核心参数输入!$B$64=1,Q21,Q20),0)</f>
        <v>1218.7140625000002</v>
      </c>
      <c r="R46" s="9">
        <f>IF(14&lt;=核心参数输入!$B$9*4,IF(核心参数输入!$B$64=1,R21,R20),0)</f>
        <v>2829.5738458125002</v>
      </c>
      <c r="S46" s="9">
        <f>IF(15&lt;=核心参数输入!$B$9*4,IF(核心参数输入!$B$64=1,S21,S20),0)</f>
        <v>2879.4809124375001</v>
      </c>
      <c r="T46" s="9">
        <f>IF(16&lt;=核心参数输入!$B$9*4,IF(核心参数输入!$B$64=1,T21,T20),0)</f>
        <v>-1396.0439441049111</v>
      </c>
      <c r="U46" s="9">
        <f>IF(17&lt;=核心参数输入!$B$9*4,IF(核心参数输入!$B$64=1,U21,U20),0)</f>
        <v>3743.3198541853121</v>
      </c>
      <c r="V46" s="9">
        <f>IF(18&lt;=核心参数输入!$B$9*4,IF(核心参数输入!$B$64=1,V21,V20),0)</f>
        <v>4140.7475750223748</v>
      </c>
      <c r="W46" s="9">
        <f>IF(19&lt;=核心参数输入!$B$9*4,IF(核心参数输入!$B$64=1,W21,W20),0)</f>
        <v>4161.0098440721249</v>
      </c>
      <c r="X46" s="9">
        <f>IF(20&lt;=核心参数输入!$B$9*4,IF(核心参数输入!$B$64=1,X21,X20),0)</f>
        <v>-566.83608169283207</v>
      </c>
      <c r="Y46" s="9">
        <f>IF(21&lt;=核心参数输入!$B$9*4,IF(核心参数输入!$B$64=1,Y21,Y20),0)</f>
        <v>3531.2028041541989</v>
      </c>
      <c r="Z46" s="9">
        <f>IF(22&lt;=核心参数输入!$B$9*4,IF(核心参数输入!$B$64=1,Z21,Z20),0)</f>
        <v>3187.2294818540086</v>
      </c>
      <c r="AA46" s="9">
        <f>IF(23&lt;=核心参数输入!$B$9*4,IF(核心参数输入!$B$64=1,AA21,AA20),0)</f>
        <v>3202.6541341681304</v>
      </c>
      <c r="AB46" s="9">
        <f>IF(24&lt;=核心参数输入!$B$9*4,IF(核心参数输入!$B$64=1,AB21,AB20),0)</f>
        <v>-1440.8864883966799</v>
      </c>
      <c r="AC46" s="9">
        <f>IF(25&lt;=核心参数输入!$B$9*4,IF(核心参数输入!$B$64=1,AC21,AC20),0)</f>
        <v>1128.3574731908209</v>
      </c>
      <c r="AD46" s="9">
        <f>IF(26&lt;=核心参数输入!$B$9*4,IF(核心参数输入!$B$64=1,AD21,AD20),0)</f>
        <v>52.88857125670998</v>
      </c>
      <c r="AE46" s="9">
        <f>IF(27&lt;=核心参数输入!$B$9*4,IF(核心参数输入!$B$64=1,AE21,AE20),0)</f>
        <v>58.107245289654657</v>
      </c>
      <c r="AF46" s="9">
        <f>IF(28&lt;=核心参数输入!$B$9*4,IF(核心参数输入!$B$64=1,AF21,AF20),0)</f>
        <v>-4199.8883663916858</v>
      </c>
      <c r="AG46" s="9">
        <f>IF(29&lt;=核心参数输入!$B$9*4,IF(核心参数输入!$B$64=1,AG21,AG20),0)</f>
        <v>117.54980925587711</v>
      </c>
      <c r="AH46" s="9">
        <f>IF(30&lt;=核心参数输入!$B$9*4,IF(核心参数输入!$B$64=1,AH21,AH20),0)</f>
        <v>120.19828632759649</v>
      </c>
      <c r="AI46" s="9">
        <f>IF(31&lt;=核心参数输入!$B$9*4,IF(核心参数输入!$B$64=1,AI21,AI20),0)</f>
        <v>120.19828632759649</v>
      </c>
      <c r="AJ46" s="9">
        <f>IF(32&lt;=核心参数输入!$B$9*4,IF(核心参数输入!$B$64=1,AJ21,AJ20),0)</f>
        <v>-4143.0159993866891</v>
      </c>
      <c r="AK46" s="9">
        <f>IF(33&lt;=核心参数输入!$B$9*4,IF(核心参数输入!$B$64=1,AK21,AK20),0)</f>
        <v>169.29534856251044</v>
      </c>
      <c r="AL46" s="9">
        <f>IF(34&lt;=核心参数输入!$B$9*4,IF(核心参数输入!$B$64=1,AL21,AL20),0)</f>
        <v>169.29534856251044</v>
      </c>
      <c r="AM46" s="9">
        <f>IF(35&lt;=核心参数输入!$B$9*4,IF(核心参数输入!$B$64=1,AM21,AM20),0)</f>
        <v>169.29534856251044</v>
      </c>
      <c r="AN46" s="9">
        <f>IF(36&lt;=核心参数输入!$B$9*4,IF(核心参数输入!$B$64=1,AN21,AN20),0)</f>
        <v>-4093.918937151775</v>
      </c>
      <c r="AO46" s="9">
        <f>IF(37&lt;=核心参数输入!$B$9*4,IF(核心参数输入!$B$64=1,AO21,AO20),0)</f>
        <v>218.44574848974801</v>
      </c>
      <c r="AP46" s="9">
        <f>IF(38&lt;=核心参数输入!$B$9*4,IF(核心参数输入!$B$64=1,AP21,AP20),0)</f>
        <v>218.44574848974801</v>
      </c>
      <c r="AQ46" s="9">
        <f>IF(39&lt;=核心参数输入!$B$9*4,IF(核心参数输入!$B$64=1,AQ21,AQ20),0)</f>
        <v>218.44574848974801</v>
      </c>
      <c r="AR46" s="9">
        <f>IF(40&lt;=核心参数输入!$B$9*4,IF(核心参数输入!$B$64=1,AR21,AR20),0)</f>
        <v>-4044.7685372245355</v>
      </c>
      <c r="AS46" s="9">
        <f>IF(41&lt;=核心参数输入!$B$9*4,IF(核心参数输入!$B$64=1,AS21,AS20),0)</f>
        <v>267.65012380987014</v>
      </c>
      <c r="AT46" s="9">
        <f>IF(42&lt;=核心参数输入!$B$9*4,IF(核心参数输入!$B$64=1,AT21,AT20),0)</f>
        <v>267.65012380987014</v>
      </c>
      <c r="AU46" s="9">
        <f>IF(43&lt;=核心参数输入!$B$9*4,IF(核心参数输入!$B$64=1,AU21,AU20),0)</f>
        <v>267.65012380987014</v>
      </c>
      <c r="AV46" s="9">
        <f>IF(44&lt;=核心参数输入!$B$9*4,IF(核心参数输入!$B$64=1,AV21,AV20),0)</f>
        <v>267.65012380987014</v>
      </c>
      <c r="AW46" s="9">
        <f>IF(45&lt;=核心参数输入!$B$9*4,IF(核心参数输入!$B$64=1,AW21,AW20),0)</f>
        <v>271.90911854164972</v>
      </c>
      <c r="AX46" s="9">
        <f>IF(46&lt;=核心参数输入!$B$9*4,IF(核心参数输入!$B$64=1,AX21,AX20),0)</f>
        <v>271.90911854164972</v>
      </c>
      <c r="AY46" s="9">
        <f>IF(47&lt;=核心参数输入!$B$9*4,IF(核心参数输入!$B$64=1,AY21,AY20),0)</f>
        <v>271.90911854164972</v>
      </c>
      <c r="AZ46" s="9">
        <f>IF(48&lt;=核心参数输入!$B$9*4,IF(核心参数输入!$B$64=1,AZ21,AZ20),0)</f>
        <v>271.90911854164972</v>
      </c>
      <c r="BA46" s="9">
        <f>IF(49&lt;=核心参数输入!$B$9*4,IF(核心参数输入!$B$64=1,BA21,BA20),0)</f>
        <v>276.22338305189851</v>
      </c>
      <c r="BB46" s="9">
        <f>IF(50&lt;=核心参数输入!$B$9*4,IF(核心参数输入!$B$64=1,BB21,BB20),0)</f>
        <v>276.22338305189851</v>
      </c>
      <c r="BC46" s="9">
        <f>IF(51&lt;=核心参数输入!$B$9*4,IF(核心参数输入!$B$64=1,BC21,BC20),0)</f>
        <v>276.22338305189851</v>
      </c>
      <c r="BD46" s="9">
        <f>IF(52&lt;=核心参数输入!$B$9*4,IF(核心参数输入!$B$64=1,BD21,BD20),0)</f>
        <v>276.22338305189851</v>
      </c>
      <c r="BE46" s="9">
        <f>IF(53&lt;=核心参数输入!$B$9*4,IF(核心参数输入!$B$64=1,BE21,BE20),0)</f>
        <v>280.59357408444356</v>
      </c>
      <c r="BF46" s="9">
        <f>IF(54&lt;=核心参数输入!$B$9*4,IF(核心参数输入!$B$64=1,BF21,BF20),0)</f>
        <v>280.59357408444356</v>
      </c>
      <c r="BG46" s="9">
        <f>IF(55&lt;=核心参数输入!$B$9*4,IF(核心参数输入!$B$64=1,BG21,BG20),0)</f>
        <v>280.59357408444356</v>
      </c>
      <c r="BH46" s="9">
        <f>IF(56&lt;=核心参数输入!$B$9*4,IF(核心参数输入!$B$64=1,BH21,BH20),0)</f>
        <v>251.60090143748954</v>
      </c>
      <c r="BI46" s="9">
        <f>IF(57&lt;=核心参数输入!$B$9*4,IF(核心参数输入!$B$64=1,BI21,BI20),0)</f>
        <v>285.0203547882121</v>
      </c>
      <c r="BJ46" s="9">
        <f>IF(58&lt;=核心参数输入!$B$9*4,IF(核心参数输入!$B$64=1,BJ21,BJ20),0)</f>
        <v>285.0203547882121</v>
      </c>
      <c r="BK46" s="9">
        <f>IF(59&lt;=核心参数输入!$B$9*4,IF(核心参数输入!$B$64=1,BK21,BK20),0)</f>
        <v>285.0203547882121</v>
      </c>
      <c r="BL46" s="9">
        <f>IF(60&lt;=核心参数输入!$B$9*4,IF(核心参数输入!$B$64=1,BL21,BL20),0)</f>
        <v>213.26062499999986</v>
      </c>
      <c r="BM46" s="9">
        <f>IF(61&lt;=核心参数输入!$B$9*4,IF(核心参数输入!$B$64=1,BM21,BM20),0)</f>
        <v>289.50439474438724</v>
      </c>
      <c r="BN46" s="9">
        <f>IF(62&lt;=核心参数输入!$B$9*4,IF(核心参数输入!$B$64=1,BN21,BN20),0)</f>
        <v>289.50439474438724</v>
      </c>
      <c r="BO46" s="9">
        <f>IF(63&lt;=核心参数输入!$B$9*4,IF(核心参数输入!$B$64=1,BO21,BO20),0)</f>
        <v>289.50439474438724</v>
      </c>
      <c r="BP46" s="9">
        <f>IF(64&lt;=核心参数输入!$B$9*4,IF(核心参数输入!$B$64=1,BP21,BP20),0)</f>
        <v>213.26062499999995</v>
      </c>
      <c r="BQ46" s="9">
        <f>IF(65&lt;=核心参数输入!$B$9*4,IF(核心参数输入!$B$64=1,BQ21,BQ20),0)</f>
        <v>294.04636999259213</v>
      </c>
      <c r="BR46" s="9">
        <f>IF(66&lt;=核心参数输入!$B$9*4,IF(核心参数输入!$B$64=1,BR21,BR20),0)</f>
        <v>294.04636999259213</v>
      </c>
      <c r="BS46" s="9">
        <f>IF(67&lt;=核心参数输入!$B$9*4,IF(核心参数输入!$B$64=1,BS21,BS20),0)</f>
        <v>294.04636999259213</v>
      </c>
      <c r="BT46" s="9">
        <f>IF(68&lt;=核心参数输入!$B$9*4,IF(核心参数输入!$B$64=1,BT21,BT20),0)</f>
        <v>213.26062499999998</v>
      </c>
      <c r="BU46" s="9">
        <f>IF(69&lt;=核心参数输入!$B$9*4,IF(核心参数输入!$B$64=1,BU21,BU20),0)</f>
        <v>298.64696305606077</v>
      </c>
      <c r="BV46" s="9">
        <f>IF(70&lt;=核心参数输入!$B$9*4,IF(核心参数输入!$B$64=1,BV21,BV20),0)</f>
        <v>298.64696305606077</v>
      </c>
      <c r="BW46" s="9">
        <f>IF(71&lt;=核心参数输入!$B$9*4,IF(核心参数输入!$B$64=1,BW21,BW20),0)</f>
        <v>298.64696305606077</v>
      </c>
      <c r="BX46" s="9">
        <f>IF(72&lt;=核心参数输入!$B$9*4,IF(核心参数输入!$B$64=1,BX21,BX20),0)</f>
        <v>213.26062499999995</v>
      </c>
      <c r="BY46" s="9">
        <f>IF(73&lt;=核心参数输入!$B$9*4,IF(核心参数输入!$B$64=1,BY21,BY20),0)</f>
        <v>303.30686296575288</v>
      </c>
      <c r="BZ46" s="9">
        <f>IF(74&lt;=核心参数输入!$B$9*4,IF(核心参数输入!$B$64=1,BZ21,BZ20),0)</f>
        <v>303.30686296575288</v>
      </c>
      <c r="CA46" s="9">
        <f>IF(75&lt;=核心参数输入!$B$9*4,IF(核心参数输入!$B$64=1,CA21,CA20),0)</f>
        <v>303.30686296575288</v>
      </c>
      <c r="CB46" s="9">
        <f>IF(76&lt;=核心参数输入!$B$9*4,IF(核心参数输入!$B$64=1,CB21,CB20),0)</f>
        <v>213.26062499999992</v>
      </c>
      <c r="CC46" s="9">
        <f>IF(77&lt;=核心参数输入!$B$9*4,IF(核心参数输入!$B$64=1,CC21,CC20),0)</f>
        <v>308.02676528336758</v>
      </c>
      <c r="CD46" s="9">
        <f>IF(78&lt;=核心参数输入!$B$9*4,IF(核心参数输入!$B$64=1,CD21,CD20),0)</f>
        <v>308.02676528336758</v>
      </c>
      <c r="CE46" s="9">
        <f>IF(79&lt;=核心参数输入!$B$9*4,IF(核心参数输入!$B$64=1,CE21,CE20),0)</f>
        <v>308.02676528336758</v>
      </c>
      <c r="CF46" s="9">
        <f>IF(80&lt;=核心参数输入!$B$9*4,IF(核心参数输入!$B$64=1,CF21,CF20),0)</f>
        <v>213.260625</v>
      </c>
      <c r="CG46" s="9">
        <f>IF(81&lt;=核心参数输入!$B$9*4,IF(核心参数输入!$B$64=1,CG21,CG20),0)</f>
        <v>0</v>
      </c>
      <c r="CH46" s="9">
        <f>IF(82&lt;=核心参数输入!$B$9*4,IF(核心参数输入!$B$64=1,CH21,CH20),0)</f>
        <v>0</v>
      </c>
      <c r="CI46" s="9">
        <f>IF(83&lt;=核心参数输入!$B$9*4,IF(核心参数输入!$B$64=1,CI21,CI20),0)</f>
        <v>0</v>
      </c>
      <c r="CJ46" s="9">
        <f>IF(84&lt;=核心参数输入!$B$9*4,IF(核心参数输入!$B$64=1,CJ21,CJ20),0)</f>
        <v>0</v>
      </c>
      <c r="CK46" s="9">
        <f>IF(85&lt;=核心参数输入!$B$9*4,IF(核心参数输入!$B$64=1,CK21,CK20),0)</f>
        <v>0</v>
      </c>
      <c r="CL46" s="9">
        <f>IF(86&lt;=核心参数输入!$B$9*4,IF(核心参数输入!$B$64=1,CL21,CL20),0)</f>
        <v>0</v>
      </c>
      <c r="CM46" s="9">
        <f>IF(87&lt;=核心参数输入!$B$9*4,IF(核心参数输入!$B$64=1,CM21,CM20),0)</f>
        <v>0</v>
      </c>
      <c r="CN46" s="9">
        <f>IF(88&lt;=核心参数输入!$B$9*4,IF(核心参数输入!$B$64=1,CN21,CN20),0)</f>
        <v>0</v>
      </c>
      <c r="CO46" s="9">
        <f>IF(89&lt;=核心参数输入!$B$9*4,IF(核心参数输入!$B$64=1,CO21,CO20),0)</f>
        <v>0</v>
      </c>
      <c r="CP46" s="9">
        <f>IF(90&lt;=核心参数输入!$B$9*4,IF(核心参数输入!$B$64=1,CP21,CP20),0)</f>
        <v>0</v>
      </c>
      <c r="CQ46" s="9">
        <f>IF(91&lt;=核心参数输入!$B$9*4,IF(核心参数输入!$B$64=1,CQ21,CQ20),0)</f>
        <v>0</v>
      </c>
      <c r="CR46" s="9">
        <f>IF(92&lt;=核心参数输入!$B$9*4,IF(核心参数输入!$B$64=1,CR21,CR20),0)</f>
        <v>0</v>
      </c>
      <c r="CS46" s="9">
        <f>IF(93&lt;=核心参数输入!$B$9*4,IF(核心参数输入!$B$64=1,CS21,CS20),0)</f>
        <v>0</v>
      </c>
      <c r="CT46" s="9">
        <f>IF(94&lt;=核心参数输入!$B$9*4,IF(核心参数输入!$B$64=1,CT21,CT20),0)</f>
        <v>0</v>
      </c>
      <c r="CU46" s="9">
        <f>IF(95&lt;=核心参数输入!$B$9*4,IF(核心参数输入!$B$64=1,CU21,CU20),0)</f>
        <v>0</v>
      </c>
      <c r="CV46" s="9">
        <f>IF(96&lt;=核心参数输入!$B$9*4,IF(核心参数输入!$B$64=1,CV21,CV20),0)</f>
        <v>0</v>
      </c>
      <c r="CW46" s="9">
        <f>IF(97&lt;=核心参数输入!$B$9*4,IF(核心参数输入!$B$64=1,CW21,CW20),0)</f>
        <v>0</v>
      </c>
      <c r="CX46" s="9">
        <f>IF(98&lt;=核心参数输入!$B$9*4,IF(核心参数输入!$B$64=1,CX21,CX20),0)</f>
        <v>0</v>
      </c>
      <c r="CY46" s="9">
        <f>IF(99&lt;=核心参数输入!$B$9*4,IF(核心参数输入!$B$64=1,CY21,CY20),0)</f>
        <v>0</v>
      </c>
      <c r="CZ46" s="9">
        <f>IF(100&lt;=核心参数输入!$B$9*4,IF(核心参数输入!$B$64=1,CZ21,CZ20),0)</f>
        <v>0</v>
      </c>
      <c r="DA46" s="9">
        <f>IF(101&lt;=核心参数输入!$B$9*4,IF(核心参数输入!$B$64=1,DA21,DA20),0)</f>
        <v>0</v>
      </c>
      <c r="DB46" s="9">
        <f>IF(102&lt;=核心参数输入!$B$9*4,IF(核心参数输入!$B$64=1,DB21,DB20),0)</f>
        <v>0</v>
      </c>
      <c r="DC46" s="9">
        <f>IF(103&lt;=核心参数输入!$B$9*4,IF(核心参数输入!$B$64=1,DC21,DC20),0)</f>
        <v>0</v>
      </c>
      <c r="DD46" s="9">
        <f>IF(104&lt;=核心参数输入!$B$9*4,IF(核心参数输入!$B$64=1,DD21,DD20),0)</f>
        <v>0</v>
      </c>
      <c r="DE46" s="9">
        <f>IF(105&lt;=核心参数输入!$B$9*4,IF(核心参数输入!$B$64=1,DE21,DE20),0)</f>
        <v>0</v>
      </c>
      <c r="DF46" s="9">
        <f>IF(106&lt;=核心参数输入!$B$9*4,IF(核心参数输入!$B$64=1,DF21,DF20),0)</f>
        <v>0</v>
      </c>
      <c r="DG46" s="9">
        <f>IF(107&lt;=核心参数输入!$B$9*4,IF(核心参数输入!$B$64=1,DG21,DG20),0)</f>
        <v>0</v>
      </c>
      <c r="DH46" s="9">
        <f>IF(108&lt;=核心参数输入!$B$9*4,IF(核心参数输入!$B$64=1,DH21,DH20),0)</f>
        <v>0</v>
      </c>
      <c r="DI46" s="9">
        <f>IF(109&lt;=核心参数输入!$B$9*4,IF(核心参数输入!$B$64=1,DI21,DI20),0)</f>
        <v>0</v>
      </c>
      <c r="DJ46" s="9">
        <f>IF(110&lt;=核心参数输入!$B$9*4,IF(核心参数输入!$B$64=1,DJ21,DJ20),0)</f>
        <v>0</v>
      </c>
      <c r="DK46" s="9">
        <f>IF(111&lt;=核心参数输入!$B$9*4,IF(核心参数输入!$B$64=1,DK21,DK20),0)</f>
        <v>0</v>
      </c>
      <c r="DL46" s="9">
        <f>IF(112&lt;=核心参数输入!$B$9*4,IF(核心参数输入!$B$64=1,DL21,DL20),0)</f>
        <v>0</v>
      </c>
      <c r="DM46" s="9">
        <f>IF(113&lt;=核心参数输入!$B$9*4,IF(核心参数输入!$B$64=1,DM21,DM20),0)</f>
        <v>0</v>
      </c>
      <c r="DN46" s="9">
        <f>IF(114&lt;=核心参数输入!$B$9*4,IF(核心参数输入!$B$64=1,DN21,DN20),0)</f>
        <v>0</v>
      </c>
      <c r="DO46" s="9">
        <f>IF(115&lt;=核心参数输入!$B$9*4,IF(核心参数输入!$B$64=1,DO21,DO20),0)</f>
        <v>0</v>
      </c>
      <c r="DP46" s="9">
        <f>IF(116&lt;=核心参数输入!$B$9*4,IF(核心参数输入!$B$64=1,DP21,DP20),0)</f>
        <v>0</v>
      </c>
      <c r="DQ46" s="9">
        <f>IF(117&lt;=核心参数输入!$B$9*4,IF(核心参数输入!$B$64=1,DQ21,DQ20),0)</f>
        <v>0</v>
      </c>
      <c r="DR46" s="9">
        <f>IF(118&lt;=核心参数输入!$B$9*4,IF(核心参数输入!$B$64=1,DR21,DR20),0)</f>
        <v>0</v>
      </c>
      <c r="DS46" s="9">
        <f>IF(119&lt;=核心参数输入!$B$9*4,IF(核心参数输入!$B$64=1,DS21,DS20),0)</f>
        <v>0</v>
      </c>
      <c r="DT46" s="9">
        <f>IF(120&lt;=核心参数输入!$B$9*4,IF(核心参数输入!$B$64=1,DT21,DT20),0)</f>
        <v>0</v>
      </c>
    </row>
    <row r="47" spans="1:124" ht="21" customHeight="1">
      <c r="A47" s="8" t="s">
        <v>539</v>
      </c>
      <c r="B47" s="8" t="s">
        <v>39</v>
      </c>
      <c r="C47" s="8"/>
      <c r="D47" s="9">
        <f>IF(0&lt;=核心参数输入!$B$9*4,IF(核心参数输入!$B$64=1,D41,D31),0)</f>
        <v>-8000</v>
      </c>
      <c r="E47" s="9">
        <f>IF(1&lt;=核心参数输入!$B$9*4,IF(核心参数输入!$B$64=1,E41,E31),0)</f>
        <v>-1730.8125</v>
      </c>
      <c r="F47" s="9">
        <f>IF(2&lt;=核心参数输入!$B$9*4,IF(核心参数输入!$B$64=1,F41,F31),0)</f>
        <v>-1754.4375</v>
      </c>
      <c r="G47" s="9">
        <f>IF(3&lt;=核心参数输入!$B$9*4,IF(核心参数输入!$B$64=1,G41,G31),0)</f>
        <v>-1778.0625</v>
      </c>
      <c r="H47" s="9">
        <f>IF(4&lt;=核心参数输入!$B$9*4,IF(核心参数输入!$B$64=1,H41,H31),0)</f>
        <v>-1801.6875</v>
      </c>
      <c r="I47" s="9">
        <f>IF(5&lt;=核心参数输入!$B$9*4,IF(核心参数输入!$B$64=1,I41,I31),0)</f>
        <v>-2402.25</v>
      </c>
      <c r="J47" s="9">
        <f>IF(6&lt;=核心参数输入!$B$9*4,IF(核心参数输入!$B$64=1,J41,J31),0)</f>
        <v>-2433.75</v>
      </c>
      <c r="K47" s="9">
        <f>IF(7&lt;=核心参数输入!$B$9*4,IF(核心参数输入!$B$64=1,K41,K31),0)</f>
        <v>-2465.25</v>
      </c>
      <c r="L47" s="9">
        <f>IF(8&lt;=核心参数输入!$B$9*4,IF(核心参数输入!$B$64=1,L41,L31),0)</f>
        <v>-2496.75</v>
      </c>
      <c r="M47" s="9">
        <f>IF(9&lt;=核心参数输入!$B$9*4,IF(核心参数输入!$B$64=1,M41,M31),0)</f>
        <v>-1951.3125</v>
      </c>
      <c r="N47" s="9">
        <f>IF(10&lt;=核心参数输入!$B$9*4,IF(核心参数输入!$B$64=1,N41,N31),0)</f>
        <v>-1974.9375</v>
      </c>
      <c r="O47" s="9">
        <f>IF(11&lt;=核心参数输入!$B$9*4,IF(核心参数输入!$B$64=1,O41,O31),0)</f>
        <v>-1998.5625</v>
      </c>
      <c r="P47" s="9">
        <f>IF(12&lt;=核心参数输入!$B$9*4,IF(核心参数输入!$B$64=1,P41,P31),0)</f>
        <v>-2022.1875</v>
      </c>
      <c r="Q47" s="9">
        <f>IF(13&lt;=核心参数输入!$B$9*4,IF(核心参数输入!$B$64=1,Q41,Q31),0)</f>
        <v>1218.7140625000002</v>
      </c>
      <c r="R47" s="9">
        <f>IF(14&lt;=核心参数输入!$B$9*4,IF(核心参数输入!$B$64=1,R41,R31),0)</f>
        <v>2829.5738458125002</v>
      </c>
      <c r="S47" s="9">
        <f>IF(15&lt;=核心参数输入!$B$9*4,IF(核心参数输入!$B$64=1,S41,S31),0)</f>
        <v>1483.436968332589</v>
      </c>
      <c r="T47" s="9">
        <f>IF(16&lt;=核心参数输入!$B$9*4,IF(核心参数输入!$B$64=1,T41,T31),0)</f>
        <v>0</v>
      </c>
      <c r="U47" s="9">
        <f>IF(17&lt;=核心参数输入!$B$9*4,IF(核心参数输入!$B$64=1,U41,U31),0)</f>
        <v>3743.3198541853121</v>
      </c>
      <c r="V47" s="9">
        <f>IF(18&lt;=核心参数输入!$B$9*4,IF(核心参数输入!$B$64=1,V41,V31),0)</f>
        <v>2494.0523918316721</v>
      </c>
      <c r="W47" s="9">
        <f>IF(19&lt;=核心参数输入!$B$9*4,IF(核心参数输入!$B$64=1,W41,W31),0)</f>
        <v>0</v>
      </c>
      <c r="X47" s="9">
        <f>IF(20&lt;=核心参数输入!$B$9*4,IF(核心参数输入!$B$64=1,X41,X31),0)</f>
        <v>0</v>
      </c>
      <c r="Y47" s="9">
        <f>IF(21&lt;=核心参数输入!$B$9*4,IF(核心参数输入!$B$64=1,Y41,Y31),0)</f>
        <v>0</v>
      </c>
      <c r="Z47" s="9">
        <f>IF(22&lt;=核心参数输入!$B$9*4,IF(核心参数输入!$B$64=1,Z41,Z31),0)</f>
        <v>0</v>
      </c>
      <c r="AA47" s="9">
        <f>IF(23&lt;=核心参数输入!$B$9*4,IF(核心参数输入!$B$64=1,AA41,AA31),0)</f>
        <v>0</v>
      </c>
      <c r="AB47" s="9">
        <f>IF(24&lt;=核心参数输入!$B$9*4,IF(核心参数输入!$B$64=1,AB41,AB31),0)</f>
        <v>0</v>
      </c>
      <c r="AC47" s="9">
        <f>IF(25&lt;=核心参数输入!$B$9*4,IF(核心参数输入!$B$64=1,AC41,AC31),0)</f>
        <v>0</v>
      </c>
      <c r="AD47" s="9">
        <f>IF(26&lt;=核心参数输入!$B$9*4,IF(核心参数输入!$B$64=1,AD41,AD31),0)</f>
        <v>0</v>
      </c>
      <c r="AE47" s="9">
        <f>IF(27&lt;=核心参数输入!$B$9*4,IF(核心参数输入!$B$64=1,AE41,AE31),0)</f>
        <v>0</v>
      </c>
      <c r="AF47" s="9">
        <f>IF(28&lt;=核心参数输入!$B$9*4,IF(核心参数输入!$B$64=1,AF41,AF31),0)</f>
        <v>0</v>
      </c>
      <c r="AG47" s="9">
        <f>IF(29&lt;=核心参数输入!$B$9*4,IF(核心参数输入!$B$64=1,AG41,AG31),0)</f>
        <v>0</v>
      </c>
      <c r="AH47" s="9">
        <f>IF(30&lt;=核心参数输入!$B$9*4,IF(核心参数输入!$B$64=1,AH41,AH31),0)</f>
        <v>0</v>
      </c>
      <c r="AI47" s="9">
        <f>IF(31&lt;=核心参数输入!$B$9*4,IF(核心参数输入!$B$64=1,AI41,AI31),0)</f>
        <v>0</v>
      </c>
      <c r="AJ47" s="9">
        <f>IF(32&lt;=核心参数输入!$B$9*4,IF(核心参数输入!$B$64=1,AJ41,AJ31),0)</f>
        <v>0</v>
      </c>
      <c r="AK47" s="9">
        <f>IF(33&lt;=核心参数输入!$B$9*4,IF(核心参数输入!$B$64=1,AK41,AK31),0)</f>
        <v>0</v>
      </c>
      <c r="AL47" s="9">
        <f>IF(34&lt;=核心参数输入!$B$9*4,IF(核心参数输入!$B$64=1,AL41,AL31),0)</f>
        <v>0</v>
      </c>
      <c r="AM47" s="9">
        <f>IF(35&lt;=核心参数输入!$B$9*4,IF(核心参数输入!$B$64=1,AM41,AM31),0)</f>
        <v>0</v>
      </c>
      <c r="AN47" s="9">
        <f>IF(36&lt;=核心参数输入!$B$9*4,IF(核心参数输入!$B$64=1,AN41,AN31),0)</f>
        <v>0</v>
      </c>
      <c r="AO47" s="9">
        <f>IF(37&lt;=核心参数输入!$B$9*4,IF(核心参数输入!$B$64=1,AO41,AO31),0)</f>
        <v>0</v>
      </c>
      <c r="AP47" s="9">
        <f>IF(38&lt;=核心参数输入!$B$9*4,IF(核心参数输入!$B$64=1,AP41,AP31),0)</f>
        <v>0</v>
      </c>
      <c r="AQ47" s="9">
        <f>IF(39&lt;=核心参数输入!$B$9*4,IF(核心参数输入!$B$64=1,AQ41,AQ31),0)</f>
        <v>0</v>
      </c>
      <c r="AR47" s="9">
        <f>IF(40&lt;=核心参数输入!$B$9*4,IF(核心参数输入!$B$64=1,AR41,AR31),0)</f>
        <v>0</v>
      </c>
      <c r="AS47" s="9">
        <f>IF(41&lt;=核心参数输入!$B$9*4,IF(核心参数输入!$B$64=1,AS41,AS31),0)</f>
        <v>267.65012380987014</v>
      </c>
      <c r="AT47" s="9">
        <f>IF(42&lt;=核心参数输入!$B$9*4,IF(核心参数输入!$B$64=1,AT41,AT31),0)</f>
        <v>267.65012380987014</v>
      </c>
      <c r="AU47" s="9">
        <f>IF(43&lt;=核心参数输入!$B$9*4,IF(核心参数输入!$B$64=1,AU41,AU31),0)</f>
        <v>267.65012380987014</v>
      </c>
      <c r="AV47" s="9">
        <f>IF(44&lt;=核心参数输入!$B$9*4,IF(核心参数输入!$B$64=1,AV41,AV31),0)</f>
        <v>267.65012380987014</v>
      </c>
      <c r="AW47" s="9">
        <f>IF(45&lt;=核心参数输入!$B$9*4,IF(核心参数输入!$B$64=1,AW41,AW31),0)</f>
        <v>271.90911854164972</v>
      </c>
      <c r="AX47" s="9">
        <f>IF(46&lt;=核心参数输入!$B$9*4,IF(核心参数输入!$B$64=1,AX41,AX31),0)</f>
        <v>271.90911854164972</v>
      </c>
      <c r="AY47" s="9">
        <f>IF(47&lt;=核心参数输入!$B$9*4,IF(核心参数输入!$B$64=1,AY41,AY31),0)</f>
        <v>271.90911854164972</v>
      </c>
      <c r="AZ47" s="9">
        <f>IF(48&lt;=核心参数输入!$B$9*4,IF(核心参数输入!$B$64=1,AZ41,AZ31),0)</f>
        <v>271.90911854164972</v>
      </c>
      <c r="BA47" s="9">
        <f>IF(49&lt;=核心参数输入!$B$9*4,IF(核心参数输入!$B$64=1,BA41,BA31),0)</f>
        <v>276.22338305189851</v>
      </c>
      <c r="BB47" s="9">
        <f>IF(50&lt;=核心参数输入!$B$9*4,IF(核心参数输入!$B$64=1,BB41,BB31),0)</f>
        <v>276.22338305189851</v>
      </c>
      <c r="BC47" s="9">
        <f>IF(51&lt;=核心参数输入!$B$9*4,IF(核心参数输入!$B$64=1,BC41,BC31),0)</f>
        <v>276.22338305189851</v>
      </c>
      <c r="BD47" s="9">
        <f>IF(52&lt;=核心参数输入!$B$9*4,IF(核心参数输入!$B$64=1,BD41,BD31),0)</f>
        <v>276.22338305189851</v>
      </c>
      <c r="BE47" s="9">
        <f>IF(53&lt;=核心参数输入!$B$9*4,IF(核心参数输入!$B$64=1,BE41,BE31),0)</f>
        <v>280.59357408444356</v>
      </c>
      <c r="BF47" s="9">
        <f>IF(54&lt;=核心参数输入!$B$9*4,IF(核心参数输入!$B$64=1,BF41,BF31),0)</f>
        <v>280.59357408444356</v>
      </c>
      <c r="BG47" s="9">
        <f>IF(55&lt;=核心参数输入!$B$9*4,IF(核心参数输入!$B$64=1,BG41,BG31),0)</f>
        <v>280.59357408444356</v>
      </c>
      <c r="BH47" s="9">
        <f>IF(56&lt;=核心参数输入!$B$9*4,IF(核心参数输入!$B$64=1,BH41,BH31),0)</f>
        <v>251.60090143748954</v>
      </c>
      <c r="BI47" s="9">
        <f>IF(57&lt;=核心参数输入!$B$9*4,IF(核心参数输入!$B$64=1,BI41,BI31),0)</f>
        <v>285.0203547882121</v>
      </c>
      <c r="BJ47" s="9">
        <f>IF(58&lt;=核心参数输入!$B$9*4,IF(核心参数输入!$B$64=1,BJ41,BJ31),0)</f>
        <v>285.0203547882121</v>
      </c>
      <c r="BK47" s="9">
        <f>IF(59&lt;=核心参数输入!$B$9*4,IF(核心参数输入!$B$64=1,BK41,BK31),0)</f>
        <v>285.0203547882121</v>
      </c>
      <c r="BL47" s="9">
        <f>IF(60&lt;=核心参数输入!$B$9*4,IF(核心参数输入!$B$64=1,BL41,BL31),0)</f>
        <v>213.26062499999986</v>
      </c>
      <c r="BM47" s="9">
        <f>IF(61&lt;=核心参数输入!$B$9*4,IF(核心参数输入!$B$64=1,BM41,BM31),0)</f>
        <v>289.50439474438724</v>
      </c>
      <c r="BN47" s="9">
        <f>IF(62&lt;=核心参数输入!$B$9*4,IF(核心参数输入!$B$64=1,BN41,BN31),0)</f>
        <v>289.50439474438724</v>
      </c>
      <c r="BO47" s="9">
        <f>IF(63&lt;=核心参数输入!$B$9*4,IF(核心参数输入!$B$64=1,BO41,BO31),0)</f>
        <v>289.50439474438724</v>
      </c>
      <c r="BP47" s="9">
        <f>IF(64&lt;=核心参数输入!$B$9*4,IF(核心参数输入!$B$64=1,BP41,BP31),0)</f>
        <v>213.26062499999995</v>
      </c>
      <c r="BQ47" s="9">
        <f>IF(65&lt;=核心参数输入!$B$9*4,IF(核心参数输入!$B$64=1,BQ41,BQ31),0)</f>
        <v>294.04636999259213</v>
      </c>
      <c r="BR47" s="9">
        <f>IF(66&lt;=核心参数输入!$B$9*4,IF(核心参数输入!$B$64=1,BR41,BR31),0)</f>
        <v>294.04636999259213</v>
      </c>
      <c r="BS47" s="9">
        <f>IF(67&lt;=核心参数输入!$B$9*4,IF(核心参数输入!$B$64=1,BS41,BS31),0)</f>
        <v>294.04636999259213</v>
      </c>
      <c r="BT47" s="9">
        <f>IF(68&lt;=核心参数输入!$B$9*4,IF(核心参数输入!$B$64=1,BT41,BT31),0)</f>
        <v>213.26062499999998</v>
      </c>
      <c r="BU47" s="9">
        <f>IF(69&lt;=核心参数输入!$B$9*4,IF(核心参数输入!$B$64=1,BU41,BU31),0)</f>
        <v>298.64696305606077</v>
      </c>
      <c r="BV47" s="9">
        <f>IF(70&lt;=核心参数输入!$B$9*4,IF(核心参数输入!$B$64=1,BV41,BV31),0)</f>
        <v>298.64696305606077</v>
      </c>
      <c r="BW47" s="9">
        <f>IF(71&lt;=核心参数输入!$B$9*4,IF(核心参数输入!$B$64=1,BW41,BW31),0)</f>
        <v>298.64696305606077</v>
      </c>
      <c r="BX47" s="9">
        <f>IF(72&lt;=核心参数输入!$B$9*4,IF(核心参数输入!$B$64=1,BX41,BX31),0)</f>
        <v>213.26062499999995</v>
      </c>
      <c r="BY47" s="9">
        <f>IF(73&lt;=核心参数输入!$B$9*4,IF(核心参数输入!$B$64=1,BY41,BY31),0)</f>
        <v>303.30686296575288</v>
      </c>
      <c r="BZ47" s="9">
        <f>IF(74&lt;=核心参数输入!$B$9*4,IF(核心参数输入!$B$64=1,BZ41,BZ31),0)</f>
        <v>303.30686296575288</v>
      </c>
      <c r="CA47" s="9">
        <f>IF(75&lt;=核心参数输入!$B$9*4,IF(核心参数输入!$B$64=1,CA41,CA31),0)</f>
        <v>303.30686296575288</v>
      </c>
      <c r="CB47" s="9">
        <f>IF(76&lt;=核心参数输入!$B$9*4,IF(核心参数输入!$B$64=1,CB41,CB31),0)</f>
        <v>213.26062499999992</v>
      </c>
      <c r="CC47" s="9">
        <f>IF(77&lt;=核心参数输入!$B$9*4,IF(核心参数输入!$B$64=1,CC41,CC31),0)</f>
        <v>308.02676528336758</v>
      </c>
      <c r="CD47" s="9">
        <f>IF(78&lt;=核心参数输入!$B$9*4,IF(核心参数输入!$B$64=1,CD41,CD31),0)</f>
        <v>308.02676528336758</v>
      </c>
      <c r="CE47" s="9">
        <f>IF(79&lt;=核心参数输入!$B$9*4,IF(核心参数输入!$B$64=1,CE41,CE31),0)</f>
        <v>308.02676528336758</v>
      </c>
      <c r="CF47" s="9">
        <f>IF(80&lt;=核心参数输入!$B$9*4,IF(核心参数输入!$B$64=1,CF41,CF31),0)</f>
        <v>213.260625</v>
      </c>
      <c r="CG47" s="9">
        <f>IF(81&lt;=核心参数输入!$B$9*4,IF(核心参数输入!$B$64=1,CG41,CG31),0)</f>
        <v>0</v>
      </c>
      <c r="CH47" s="9">
        <f>IF(82&lt;=核心参数输入!$B$9*4,IF(核心参数输入!$B$64=1,CH41,CH31),0)</f>
        <v>0</v>
      </c>
      <c r="CI47" s="9">
        <f>IF(83&lt;=核心参数输入!$B$9*4,IF(核心参数输入!$B$64=1,CI41,CI31),0)</f>
        <v>0</v>
      </c>
      <c r="CJ47" s="9">
        <f>IF(84&lt;=核心参数输入!$B$9*4,IF(核心参数输入!$B$64=1,CJ41,CJ31),0)</f>
        <v>0</v>
      </c>
      <c r="CK47" s="9">
        <f>IF(85&lt;=核心参数输入!$B$9*4,IF(核心参数输入!$B$64=1,CK41,CK31),0)</f>
        <v>0</v>
      </c>
      <c r="CL47" s="9">
        <f>IF(86&lt;=核心参数输入!$B$9*4,IF(核心参数输入!$B$64=1,CL41,CL31),0)</f>
        <v>0</v>
      </c>
      <c r="CM47" s="9">
        <f>IF(87&lt;=核心参数输入!$B$9*4,IF(核心参数输入!$B$64=1,CM41,CM31),0)</f>
        <v>0</v>
      </c>
      <c r="CN47" s="9">
        <f>IF(88&lt;=核心参数输入!$B$9*4,IF(核心参数输入!$B$64=1,CN41,CN31),0)</f>
        <v>0</v>
      </c>
      <c r="CO47" s="9">
        <f>IF(89&lt;=核心参数输入!$B$9*4,IF(核心参数输入!$B$64=1,CO41,CO31),0)</f>
        <v>0</v>
      </c>
      <c r="CP47" s="9">
        <f>IF(90&lt;=核心参数输入!$B$9*4,IF(核心参数输入!$B$64=1,CP41,CP31),0)</f>
        <v>0</v>
      </c>
      <c r="CQ47" s="9">
        <f>IF(91&lt;=核心参数输入!$B$9*4,IF(核心参数输入!$B$64=1,CQ41,CQ31),0)</f>
        <v>0</v>
      </c>
      <c r="CR47" s="9">
        <f>IF(92&lt;=核心参数输入!$B$9*4,IF(核心参数输入!$B$64=1,CR41,CR31),0)</f>
        <v>0</v>
      </c>
      <c r="CS47" s="9">
        <f>IF(93&lt;=核心参数输入!$B$9*4,IF(核心参数输入!$B$64=1,CS41,CS31),0)</f>
        <v>0</v>
      </c>
      <c r="CT47" s="9">
        <f>IF(94&lt;=核心参数输入!$B$9*4,IF(核心参数输入!$B$64=1,CT41,CT31),0)</f>
        <v>0</v>
      </c>
      <c r="CU47" s="9">
        <f>IF(95&lt;=核心参数输入!$B$9*4,IF(核心参数输入!$B$64=1,CU41,CU31),0)</f>
        <v>0</v>
      </c>
      <c r="CV47" s="9">
        <f>IF(96&lt;=核心参数输入!$B$9*4,IF(核心参数输入!$B$64=1,CV41,CV31),0)</f>
        <v>0</v>
      </c>
      <c r="CW47" s="9">
        <f>IF(97&lt;=核心参数输入!$B$9*4,IF(核心参数输入!$B$64=1,CW41,CW31),0)</f>
        <v>0</v>
      </c>
      <c r="CX47" s="9">
        <f>IF(98&lt;=核心参数输入!$B$9*4,IF(核心参数输入!$B$64=1,CX41,CX31),0)</f>
        <v>0</v>
      </c>
      <c r="CY47" s="9">
        <f>IF(99&lt;=核心参数输入!$B$9*4,IF(核心参数输入!$B$64=1,CY41,CY31),0)</f>
        <v>0</v>
      </c>
      <c r="CZ47" s="9">
        <f>IF(100&lt;=核心参数输入!$B$9*4,IF(核心参数输入!$B$64=1,CZ41,CZ31),0)</f>
        <v>0</v>
      </c>
      <c r="DA47" s="9">
        <f>IF(101&lt;=核心参数输入!$B$9*4,IF(核心参数输入!$B$64=1,DA41,DA31),0)</f>
        <v>0</v>
      </c>
      <c r="DB47" s="9">
        <f>IF(102&lt;=核心参数输入!$B$9*4,IF(核心参数输入!$B$64=1,DB41,DB31),0)</f>
        <v>0</v>
      </c>
      <c r="DC47" s="9">
        <f>IF(103&lt;=核心参数输入!$B$9*4,IF(核心参数输入!$B$64=1,DC41,DC31),0)</f>
        <v>0</v>
      </c>
      <c r="DD47" s="9">
        <f>IF(104&lt;=核心参数输入!$B$9*4,IF(核心参数输入!$B$64=1,DD41,DD31),0)</f>
        <v>0</v>
      </c>
      <c r="DE47" s="9">
        <f>IF(105&lt;=核心参数输入!$B$9*4,IF(核心参数输入!$B$64=1,DE41,DE31),0)</f>
        <v>0</v>
      </c>
      <c r="DF47" s="9">
        <f>IF(106&lt;=核心参数输入!$B$9*4,IF(核心参数输入!$B$64=1,DF41,DF31),0)</f>
        <v>0</v>
      </c>
      <c r="DG47" s="9">
        <f>IF(107&lt;=核心参数输入!$B$9*4,IF(核心参数输入!$B$64=1,DG41,DG31),0)</f>
        <v>0</v>
      </c>
      <c r="DH47" s="9">
        <f>IF(108&lt;=核心参数输入!$B$9*4,IF(核心参数输入!$B$64=1,DH41,DH31),0)</f>
        <v>0</v>
      </c>
      <c r="DI47" s="9">
        <f>IF(109&lt;=核心参数输入!$B$9*4,IF(核心参数输入!$B$64=1,DI41,DI31),0)</f>
        <v>0</v>
      </c>
      <c r="DJ47" s="9">
        <f>IF(110&lt;=核心参数输入!$B$9*4,IF(核心参数输入!$B$64=1,DJ41,DJ31),0)</f>
        <v>0</v>
      </c>
      <c r="DK47" s="9">
        <f>IF(111&lt;=核心参数输入!$B$9*4,IF(核心参数输入!$B$64=1,DK41,DK31),0)</f>
        <v>0</v>
      </c>
      <c r="DL47" s="9">
        <f>IF(112&lt;=核心参数输入!$B$9*4,IF(核心参数输入!$B$64=1,DL41,DL31),0)</f>
        <v>0</v>
      </c>
      <c r="DM47" s="9">
        <f>IF(113&lt;=核心参数输入!$B$9*4,IF(核心参数输入!$B$64=1,DM41,DM31),0)</f>
        <v>0</v>
      </c>
      <c r="DN47" s="9">
        <f>IF(114&lt;=核心参数输入!$B$9*4,IF(核心参数输入!$B$64=1,DN41,DN31),0)</f>
        <v>0</v>
      </c>
      <c r="DO47" s="9">
        <f>IF(115&lt;=核心参数输入!$B$9*4,IF(核心参数输入!$B$64=1,DO41,DO31),0)</f>
        <v>0</v>
      </c>
      <c r="DP47" s="9">
        <f>IF(116&lt;=核心参数输入!$B$9*4,IF(核心参数输入!$B$64=1,DP41,DP31),0)</f>
        <v>0</v>
      </c>
      <c r="DQ47" s="9">
        <f>IF(117&lt;=核心参数输入!$B$9*4,IF(核心参数输入!$B$64=1,DQ41,DQ31),0)</f>
        <v>0</v>
      </c>
      <c r="DR47" s="9">
        <f>IF(118&lt;=核心参数输入!$B$9*4,IF(核心参数输入!$B$64=1,DR41,DR31),0)</f>
        <v>0</v>
      </c>
      <c r="DS47" s="9">
        <f>IF(119&lt;=核心参数输入!$B$9*4,IF(核心参数输入!$B$64=1,DS41,DS31),0)</f>
        <v>0</v>
      </c>
      <c r="DT47" s="9">
        <f>IF(120&lt;=核心参数输入!$B$9*4,IF(核心参数输入!$B$64=1,DT41,DT31),0)</f>
        <v>0</v>
      </c>
    </row>
    <row r="48" spans="1:124" ht="21" customHeight="1">
      <c r="A48" s="8" t="s">
        <v>540</v>
      </c>
      <c r="B48" s="8" t="s">
        <v>39</v>
      </c>
      <c r="C48" s="8"/>
      <c r="D48" s="9">
        <f>IF(0&lt;=核心参数输入!$B$9*4,IF(核心参数输入!$B$64=1,D35,D25),0)</f>
        <v>24810</v>
      </c>
      <c r="E48" s="9">
        <f>IF(1&lt;=核心参数输入!$B$9*4,IF(核心参数输入!$B$64=1,E35,E25),0)</f>
        <v>23079.1875</v>
      </c>
      <c r="F48" s="9">
        <f>IF(2&lt;=核心参数输入!$B$9*4,IF(核心参数输入!$B$64=1,F35,F25),0)</f>
        <v>21324.75</v>
      </c>
      <c r="G48" s="9">
        <f>IF(3&lt;=核心参数输入!$B$9*4,IF(核心参数输入!$B$64=1,G35,G25),0)</f>
        <v>19546.6875</v>
      </c>
      <c r="H48" s="9">
        <f>IF(4&lt;=核心参数输入!$B$9*4,IF(核心参数输入!$B$64=1,H35,H25),0)</f>
        <v>17745</v>
      </c>
      <c r="I48" s="9">
        <f>IF(5&lt;=核心参数输入!$B$9*4,IF(核心参数输入!$B$64=1,I35,I25),0)</f>
        <v>15342.75</v>
      </c>
      <c r="J48" s="9">
        <f>IF(6&lt;=核心参数输入!$B$9*4,IF(核心参数输入!$B$64=1,J35,J25),0)</f>
        <v>12909</v>
      </c>
      <c r="K48" s="9">
        <f>IF(7&lt;=核心参数输入!$B$9*4,IF(核心参数输入!$B$64=1,K35,K25),0)</f>
        <v>10443.75</v>
      </c>
      <c r="L48" s="9">
        <f>IF(8&lt;=核心参数输入!$B$9*4,IF(核心参数输入!$B$64=1,L35,L25),0)</f>
        <v>7947</v>
      </c>
      <c r="M48" s="9">
        <f>IF(9&lt;=核心参数输入!$B$9*4,IF(核心参数输入!$B$64=1,M35,M25),0)</f>
        <v>5995.6875</v>
      </c>
      <c r="N48" s="9">
        <f>IF(10&lt;=核心参数输入!$B$9*4,IF(核心参数输入!$B$64=1,N35,N25),0)</f>
        <v>4020.75</v>
      </c>
      <c r="O48" s="9">
        <f>IF(11&lt;=核心参数输入!$B$9*4,IF(核心参数输入!$B$64=1,O35,O25),0)</f>
        <v>2022.1875</v>
      </c>
      <c r="P48" s="9">
        <f>IF(12&lt;=核心参数输入!$B$9*4,IF(核心参数输入!$B$64=1,P35,P25),0)</f>
        <v>0</v>
      </c>
      <c r="Q48" s="9">
        <f>IF(13&lt;=核心参数输入!$B$9*4,IF(核心参数输入!$B$64=1,Q35,Q25),0)</f>
        <v>0</v>
      </c>
      <c r="R48" s="9">
        <f>IF(14&lt;=核心参数输入!$B$9*4,IF(核心参数输入!$B$64=1,R35,R25),0)</f>
        <v>0</v>
      </c>
      <c r="S48" s="9">
        <f>IF(15&lt;=核心参数输入!$B$9*4,IF(核心参数输入!$B$64=1,S35,S25),0)</f>
        <v>1396.0439441049111</v>
      </c>
      <c r="T48" s="9">
        <f>IF(16&lt;=核心参数输入!$B$9*4,IF(核心参数输入!$B$64=1,T35,T25),0)</f>
        <v>0</v>
      </c>
      <c r="U48" s="9">
        <f>IF(17&lt;=核心参数输入!$B$9*4,IF(核心参数输入!$B$64=1,U35,U25),0)</f>
        <v>0</v>
      </c>
      <c r="V48" s="9">
        <f>IF(18&lt;=核心参数输入!$B$9*4,IF(核心参数输入!$B$64=1,V35,V25),0)</f>
        <v>1646.6951831907027</v>
      </c>
      <c r="W48" s="9">
        <f>IF(19&lt;=核心参数输入!$B$9*4,IF(核心参数输入!$B$64=1,W35,W25),0)</f>
        <v>5807.7050272628276</v>
      </c>
      <c r="X48" s="9">
        <f>IF(20&lt;=核心参数输入!$B$9*4,IF(核心参数输入!$B$64=1,X35,X25),0)</f>
        <v>5240.868945569996</v>
      </c>
      <c r="Y48" s="9">
        <f>IF(21&lt;=核心参数输入!$B$9*4,IF(核心参数输入!$B$64=1,Y35,Y25),0)</f>
        <v>8772.0717497241949</v>
      </c>
      <c r="Z48" s="9">
        <f>IF(22&lt;=核心参数输入!$B$9*4,IF(核心参数输入!$B$64=1,Z35,Z25),0)</f>
        <v>11959.301231578203</v>
      </c>
      <c r="AA48" s="9">
        <f>IF(23&lt;=核心参数输入!$B$9*4,IF(核心参数输入!$B$64=1,AA35,AA25),0)</f>
        <v>15161.955365746333</v>
      </c>
      <c r="AB48" s="9">
        <f>IF(24&lt;=核心参数输入!$B$9*4,IF(核心参数输入!$B$64=1,AB35,AB25),0)</f>
        <v>13721.068877349653</v>
      </c>
      <c r="AC48" s="9">
        <f>IF(25&lt;=核心参数输入!$B$9*4,IF(核心参数输入!$B$64=1,AC35,AC25),0)</f>
        <v>14849.426350540474</v>
      </c>
      <c r="AD48" s="9">
        <f>IF(26&lt;=核心参数输入!$B$9*4,IF(核心参数输入!$B$64=1,AD35,AD25),0)</f>
        <v>14902.314921797184</v>
      </c>
      <c r="AE48" s="9">
        <f>IF(27&lt;=核心参数输入!$B$9*4,IF(核心参数输入!$B$64=1,AE35,AE25),0)</f>
        <v>14960.422167086839</v>
      </c>
      <c r="AF48" s="9">
        <f>IF(28&lt;=核心参数输入!$B$9*4,IF(核心参数输入!$B$64=1,AF35,AF25),0)</f>
        <v>10760.533800695153</v>
      </c>
      <c r="AG48" s="9">
        <f>IF(29&lt;=核心参数输入!$B$9*4,IF(核心参数输入!$B$64=1,AG35,AG25),0)</f>
        <v>10878.083609951031</v>
      </c>
      <c r="AH48" s="9">
        <f>IF(30&lt;=核心参数输入!$B$9*4,IF(核心参数输入!$B$64=1,AH35,AH25),0)</f>
        <v>10998.281896278628</v>
      </c>
      <c r="AI48" s="9">
        <f>IF(31&lt;=核心参数输入!$B$9*4,IF(核心参数输入!$B$64=1,AI35,AI25),0)</f>
        <v>11118.480182606225</v>
      </c>
      <c r="AJ48" s="9">
        <f>IF(32&lt;=核心参数输入!$B$9*4,IF(核心参数输入!$B$64=1,AJ35,AJ25),0)</f>
        <v>6975.4641832195357</v>
      </c>
      <c r="AK48" s="9">
        <f>IF(33&lt;=核心参数输入!$B$9*4,IF(核心参数输入!$B$64=1,AK35,AK25),0)</f>
        <v>7144.759531782046</v>
      </c>
      <c r="AL48" s="9">
        <f>IF(34&lt;=核心参数输入!$B$9*4,IF(核心参数输入!$B$64=1,AL35,AL25),0)</f>
        <v>7314.0548803445563</v>
      </c>
      <c r="AM48" s="9">
        <f>IF(35&lt;=核心参数输入!$B$9*4,IF(核心参数输入!$B$64=1,AM35,AM25),0)</f>
        <v>7483.3502289070666</v>
      </c>
      <c r="AN48" s="9">
        <f>IF(36&lt;=核心参数输入!$B$9*4,IF(核心参数输入!$B$64=1,AN35,AN25),0)</f>
        <v>3389.4312917552916</v>
      </c>
      <c r="AO48" s="9">
        <f>IF(37&lt;=核心参数输入!$B$9*4,IF(核心参数输入!$B$64=1,AO35,AO25),0)</f>
        <v>3607.8770402450396</v>
      </c>
      <c r="AP48" s="9">
        <f>IF(38&lt;=核心参数输入!$B$9*4,IF(核心参数输入!$B$64=1,AP35,AP25),0)</f>
        <v>3826.3227887347875</v>
      </c>
      <c r="AQ48" s="9">
        <f>IF(39&lt;=核心参数输入!$B$9*4,IF(核心参数输入!$B$64=1,AQ35,AQ25),0)</f>
        <v>4044.7685372245355</v>
      </c>
      <c r="AR48" s="9">
        <f>IF(40&lt;=核心参数输入!$B$9*4,IF(核心参数输入!$B$64=1,AR35,AR25),0)</f>
        <v>0</v>
      </c>
      <c r="AS48" s="9">
        <f>IF(41&lt;=核心参数输入!$B$9*4,IF(核心参数输入!$B$64=1,AS35,AS25),0)</f>
        <v>0</v>
      </c>
      <c r="AT48" s="9">
        <f>IF(42&lt;=核心参数输入!$B$9*4,IF(核心参数输入!$B$64=1,AT35,AT25),0)</f>
        <v>0</v>
      </c>
      <c r="AU48" s="9">
        <f>IF(43&lt;=核心参数输入!$B$9*4,IF(核心参数输入!$B$64=1,AU35,AU25),0)</f>
        <v>0</v>
      </c>
      <c r="AV48" s="9">
        <f>IF(44&lt;=核心参数输入!$B$9*4,IF(核心参数输入!$B$64=1,AV35,AV25),0)</f>
        <v>0</v>
      </c>
      <c r="AW48" s="9">
        <f>IF(45&lt;=核心参数输入!$B$9*4,IF(核心参数输入!$B$64=1,AW35,AW25),0)</f>
        <v>0</v>
      </c>
      <c r="AX48" s="9">
        <f>IF(46&lt;=核心参数输入!$B$9*4,IF(核心参数输入!$B$64=1,AX35,AX25),0)</f>
        <v>0</v>
      </c>
      <c r="AY48" s="9">
        <f>IF(47&lt;=核心参数输入!$B$9*4,IF(核心参数输入!$B$64=1,AY35,AY25),0)</f>
        <v>0</v>
      </c>
      <c r="AZ48" s="9">
        <f>IF(48&lt;=核心参数输入!$B$9*4,IF(核心参数输入!$B$64=1,AZ35,AZ25),0)</f>
        <v>0</v>
      </c>
      <c r="BA48" s="9">
        <f>IF(49&lt;=核心参数输入!$B$9*4,IF(核心参数输入!$B$64=1,BA35,BA25),0)</f>
        <v>0</v>
      </c>
      <c r="BB48" s="9">
        <f>IF(50&lt;=核心参数输入!$B$9*4,IF(核心参数输入!$B$64=1,BB35,BB25),0)</f>
        <v>0</v>
      </c>
      <c r="BC48" s="9">
        <f>IF(51&lt;=核心参数输入!$B$9*4,IF(核心参数输入!$B$64=1,BC35,BC25),0)</f>
        <v>0</v>
      </c>
      <c r="BD48" s="9">
        <f>IF(52&lt;=核心参数输入!$B$9*4,IF(核心参数输入!$B$64=1,BD35,BD25),0)</f>
        <v>0</v>
      </c>
      <c r="BE48" s="9">
        <f>IF(53&lt;=核心参数输入!$B$9*4,IF(核心参数输入!$B$64=1,BE35,BE25),0)</f>
        <v>0</v>
      </c>
      <c r="BF48" s="9">
        <f>IF(54&lt;=核心参数输入!$B$9*4,IF(核心参数输入!$B$64=1,BF35,BF25),0)</f>
        <v>0</v>
      </c>
      <c r="BG48" s="9">
        <f>IF(55&lt;=核心参数输入!$B$9*4,IF(核心参数输入!$B$64=1,BG35,BG25),0)</f>
        <v>0</v>
      </c>
      <c r="BH48" s="9">
        <f>IF(56&lt;=核心参数输入!$B$9*4,IF(核心参数输入!$B$64=1,BH35,BH25),0)</f>
        <v>0</v>
      </c>
      <c r="BI48" s="9">
        <f>IF(57&lt;=核心参数输入!$B$9*4,IF(核心参数输入!$B$64=1,BI35,BI25),0)</f>
        <v>0</v>
      </c>
      <c r="BJ48" s="9">
        <f>IF(58&lt;=核心参数输入!$B$9*4,IF(核心参数输入!$B$64=1,BJ35,BJ25),0)</f>
        <v>0</v>
      </c>
      <c r="BK48" s="9">
        <f>IF(59&lt;=核心参数输入!$B$9*4,IF(核心参数输入!$B$64=1,BK35,BK25),0)</f>
        <v>0</v>
      </c>
      <c r="BL48" s="9">
        <f>IF(60&lt;=核心参数输入!$B$9*4,IF(核心参数输入!$B$64=1,BL35,BL25),0)</f>
        <v>0</v>
      </c>
      <c r="BM48" s="9">
        <f>IF(61&lt;=核心参数输入!$B$9*4,IF(核心参数输入!$B$64=1,BM35,BM25),0)</f>
        <v>0</v>
      </c>
      <c r="BN48" s="9">
        <f>IF(62&lt;=核心参数输入!$B$9*4,IF(核心参数输入!$B$64=1,BN35,BN25),0)</f>
        <v>0</v>
      </c>
      <c r="BO48" s="9">
        <f>IF(63&lt;=核心参数输入!$B$9*4,IF(核心参数输入!$B$64=1,BO35,BO25),0)</f>
        <v>0</v>
      </c>
      <c r="BP48" s="9">
        <f>IF(64&lt;=核心参数输入!$B$9*4,IF(核心参数输入!$B$64=1,BP35,BP25),0)</f>
        <v>0</v>
      </c>
      <c r="BQ48" s="9">
        <f>IF(65&lt;=核心参数输入!$B$9*4,IF(核心参数输入!$B$64=1,BQ35,BQ25),0)</f>
        <v>0</v>
      </c>
      <c r="BR48" s="9">
        <f>IF(66&lt;=核心参数输入!$B$9*4,IF(核心参数输入!$B$64=1,BR35,BR25),0)</f>
        <v>0</v>
      </c>
      <c r="BS48" s="9">
        <f>IF(67&lt;=核心参数输入!$B$9*4,IF(核心参数输入!$B$64=1,BS35,BS25),0)</f>
        <v>0</v>
      </c>
      <c r="BT48" s="9">
        <f>IF(68&lt;=核心参数输入!$B$9*4,IF(核心参数输入!$B$64=1,BT35,BT25),0)</f>
        <v>0</v>
      </c>
      <c r="BU48" s="9">
        <f>IF(69&lt;=核心参数输入!$B$9*4,IF(核心参数输入!$B$64=1,BU35,BU25),0)</f>
        <v>0</v>
      </c>
      <c r="BV48" s="9">
        <f>IF(70&lt;=核心参数输入!$B$9*4,IF(核心参数输入!$B$64=1,BV35,BV25),0)</f>
        <v>0</v>
      </c>
      <c r="BW48" s="9">
        <f>IF(71&lt;=核心参数输入!$B$9*4,IF(核心参数输入!$B$64=1,BW35,BW25),0)</f>
        <v>0</v>
      </c>
      <c r="BX48" s="9">
        <f>IF(72&lt;=核心参数输入!$B$9*4,IF(核心参数输入!$B$64=1,BX35,BX25),0)</f>
        <v>0</v>
      </c>
      <c r="BY48" s="9">
        <f>IF(73&lt;=核心参数输入!$B$9*4,IF(核心参数输入!$B$64=1,BY35,BY25),0)</f>
        <v>0</v>
      </c>
      <c r="BZ48" s="9">
        <f>IF(74&lt;=核心参数输入!$B$9*4,IF(核心参数输入!$B$64=1,BZ35,BZ25),0)</f>
        <v>0</v>
      </c>
      <c r="CA48" s="9">
        <f>IF(75&lt;=核心参数输入!$B$9*4,IF(核心参数输入!$B$64=1,CA35,CA25),0)</f>
        <v>0</v>
      </c>
      <c r="CB48" s="9">
        <f>IF(76&lt;=核心参数输入!$B$9*4,IF(核心参数输入!$B$64=1,CB35,CB25),0)</f>
        <v>0</v>
      </c>
      <c r="CC48" s="9">
        <f>IF(77&lt;=核心参数输入!$B$9*4,IF(核心参数输入!$B$64=1,CC35,CC25),0)</f>
        <v>0</v>
      </c>
      <c r="CD48" s="9">
        <f>IF(78&lt;=核心参数输入!$B$9*4,IF(核心参数输入!$B$64=1,CD35,CD25),0)</f>
        <v>0</v>
      </c>
      <c r="CE48" s="9">
        <f>IF(79&lt;=核心参数输入!$B$9*4,IF(核心参数输入!$B$64=1,CE35,CE25),0)</f>
        <v>0</v>
      </c>
      <c r="CF48" s="9">
        <f>IF(80&lt;=核心参数输入!$B$9*4,IF(核心参数输入!$B$64=1,CF35,CF25),0)</f>
        <v>0</v>
      </c>
      <c r="CG48" s="9">
        <f>IF(81&lt;=核心参数输入!$B$9*4,IF(核心参数输入!$B$64=1,CG35,CG25),0)</f>
        <v>0</v>
      </c>
      <c r="CH48" s="9">
        <f>IF(82&lt;=核心参数输入!$B$9*4,IF(核心参数输入!$B$64=1,CH35,CH25),0)</f>
        <v>0</v>
      </c>
      <c r="CI48" s="9">
        <f>IF(83&lt;=核心参数输入!$B$9*4,IF(核心参数输入!$B$64=1,CI35,CI25),0)</f>
        <v>0</v>
      </c>
      <c r="CJ48" s="9">
        <f>IF(84&lt;=核心参数输入!$B$9*4,IF(核心参数输入!$B$64=1,CJ35,CJ25),0)</f>
        <v>0</v>
      </c>
      <c r="CK48" s="9">
        <f>IF(85&lt;=核心参数输入!$B$9*4,IF(核心参数输入!$B$64=1,CK35,CK25),0)</f>
        <v>0</v>
      </c>
      <c r="CL48" s="9">
        <f>IF(86&lt;=核心参数输入!$B$9*4,IF(核心参数输入!$B$64=1,CL35,CL25),0)</f>
        <v>0</v>
      </c>
      <c r="CM48" s="9">
        <f>IF(87&lt;=核心参数输入!$B$9*4,IF(核心参数输入!$B$64=1,CM35,CM25),0)</f>
        <v>0</v>
      </c>
      <c r="CN48" s="9">
        <f>IF(88&lt;=核心参数输入!$B$9*4,IF(核心参数输入!$B$64=1,CN35,CN25),0)</f>
        <v>0</v>
      </c>
      <c r="CO48" s="9">
        <f>IF(89&lt;=核心参数输入!$B$9*4,IF(核心参数输入!$B$64=1,CO35,CO25),0)</f>
        <v>0</v>
      </c>
      <c r="CP48" s="9">
        <f>IF(90&lt;=核心参数输入!$B$9*4,IF(核心参数输入!$B$64=1,CP35,CP25),0)</f>
        <v>0</v>
      </c>
      <c r="CQ48" s="9">
        <f>IF(91&lt;=核心参数输入!$B$9*4,IF(核心参数输入!$B$64=1,CQ35,CQ25),0)</f>
        <v>0</v>
      </c>
      <c r="CR48" s="9">
        <f>IF(92&lt;=核心参数输入!$B$9*4,IF(核心参数输入!$B$64=1,CR35,CR25),0)</f>
        <v>0</v>
      </c>
      <c r="CS48" s="9">
        <f>IF(93&lt;=核心参数输入!$B$9*4,IF(核心参数输入!$B$64=1,CS35,CS25),0)</f>
        <v>0</v>
      </c>
      <c r="CT48" s="9">
        <f>IF(94&lt;=核心参数输入!$B$9*4,IF(核心参数输入!$B$64=1,CT35,CT25),0)</f>
        <v>0</v>
      </c>
      <c r="CU48" s="9">
        <f>IF(95&lt;=核心参数输入!$B$9*4,IF(核心参数输入!$B$64=1,CU35,CU25),0)</f>
        <v>0</v>
      </c>
      <c r="CV48" s="9">
        <f>IF(96&lt;=核心参数输入!$B$9*4,IF(核心参数输入!$B$64=1,CV35,CV25),0)</f>
        <v>0</v>
      </c>
      <c r="CW48" s="9">
        <f>IF(97&lt;=核心参数输入!$B$9*4,IF(核心参数输入!$B$64=1,CW35,CW25),0)</f>
        <v>0</v>
      </c>
      <c r="CX48" s="9">
        <f>IF(98&lt;=核心参数输入!$B$9*4,IF(核心参数输入!$B$64=1,CX35,CX25),0)</f>
        <v>0</v>
      </c>
      <c r="CY48" s="9">
        <f>IF(99&lt;=核心参数输入!$B$9*4,IF(核心参数输入!$B$64=1,CY35,CY25),0)</f>
        <v>0</v>
      </c>
      <c r="CZ48" s="9">
        <f>IF(100&lt;=核心参数输入!$B$9*4,IF(核心参数输入!$B$64=1,CZ35,CZ25),0)</f>
        <v>0</v>
      </c>
      <c r="DA48" s="9">
        <f>IF(101&lt;=核心参数输入!$B$9*4,IF(核心参数输入!$B$64=1,DA35,DA25),0)</f>
        <v>0</v>
      </c>
      <c r="DB48" s="9">
        <f>IF(102&lt;=核心参数输入!$B$9*4,IF(核心参数输入!$B$64=1,DB35,DB25),0)</f>
        <v>0</v>
      </c>
      <c r="DC48" s="9">
        <f>IF(103&lt;=核心参数输入!$B$9*4,IF(核心参数输入!$B$64=1,DC35,DC25),0)</f>
        <v>0</v>
      </c>
      <c r="DD48" s="9">
        <f>IF(104&lt;=核心参数输入!$B$9*4,IF(核心参数输入!$B$64=1,DD35,DD25),0)</f>
        <v>0</v>
      </c>
      <c r="DE48" s="9">
        <f>IF(105&lt;=核心参数输入!$B$9*4,IF(核心参数输入!$B$64=1,DE35,DE25),0)</f>
        <v>0</v>
      </c>
      <c r="DF48" s="9">
        <f>IF(106&lt;=核心参数输入!$B$9*4,IF(核心参数输入!$B$64=1,DF35,DF25),0)</f>
        <v>0</v>
      </c>
      <c r="DG48" s="9">
        <f>IF(107&lt;=核心参数输入!$B$9*4,IF(核心参数输入!$B$64=1,DG35,DG25),0)</f>
        <v>0</v>
      </c>
      <c r="DH48" s="9">
        <f>IF(108&lt;=核心参数输入!$B$9*4,IF(核心参数输入!$B$64=1,DH35,DH25),0)</f>
        <v>0</v>
      </c>
      <c r="DI48" s="9">
        <f>IF(109&lt;=核心参数输入!$B$9*4,IF(核心参数输入!$B$64=1,DI35,DI25),0)</f>
        <v>0</v>
      </c>
      <c r="DJ48" s="9">
        <f>IF(110&lt;=核心参数输入!$B$9*4,IF(核心参数输入!$B$64=1,DJ35,DJ25),0)</f>
        <v>0</v>
      </c>
      <c r="DK48" s="9">
        <f>IF(111&lt;=核心参数输入!$B$9*4,IF(核心参数输入!$B$64=1,DK35,DK25),0)</f>
        <v>0</v>
      </c>
      <c r="DL48" s="9">
        <f>IF(112&lt;=核心参数输入!$B$9*4,IF(核心参数输入!$B$64=1,DL35,DL25),0)</f>
        <v>0</v>
      </c>
      <c r="DM48" s="9">
        <f>IF(113&lt;=核心参数输入!$B$9*4,IF(核心参数输入!$B$64=1,DM35,DM25),0)</f>
        <v>0</v>
      </c>
      <c r="DN48" s="9">
        <f>IF(114&lt;=核心参数输入!$B$9*4,IF(核心参数输入!$B$64=1,DN35,DN25),0)</f>
        <v>0</v>
      </c>
      <c r="DO48" s="9">
        <f>IF(115&lt;=核心参数输入!$B$9*4,IF(核心参数输入!$B$64=1,DO35,DO25),0)</f>
        <v>0</v>
      </c>
      <c r="DP48" s="9">
        <f>IF(116&lt;=核心参数输入!$B$9*4,IF(核心参数输入!$B$64=1,DP35,DP25),0)</f>
        <v>0</v>
      </c>
      <c r="DQ48" s="9">
        <f>IF(117&lt;=核心参数输入!$B$9*4,IF(核心参数输入!$B$64=1,DQ35,DQ25),0)</f>
        <v>0</v>
      </c>
      <c r="DR48" s="9">
        <f>IF(118&lt;=核心参数输入!$B$9*4,IF(核心参数输入!$B$64=1,DR35,DR25),0)</f>
        <v>0</v>
      </c>
      <c r="DS48" s="9">
        <f>IF(119&lt;=核心参数输入!$B$9*4,IF(核心参数输入!$B$64=1,DS35,DS25),0)</f>
        <v>0</v>
      </c>
      <c r="DT48" s="9">
        <f>IF(120&lt;=核心参数输入!$B$9*4,IF(核心参数输入!$B$64=1,DT35,DT25),0)</f>
        <v>0</v>
      </c>
    </row>
    <row r="49" spans="1:124" ht="21" customHeight="1">
      <c r="A49" s="8" t="s">
        <v>541</v>
      </c>
      <c r="B49" s="8" t="s">
        <v>39</v>
      </c>
      <c r="C49" s="8"/>
      <c r="D49" s="9">
        <f>IF(0&lt;=核心参数输入!$B$9*4,IF(核心参数输入!$B$64=1,D37,D27),0)</f>
        <v>8000</v>
      </c>
      <c r="E49" s="9">
        <f>IF(1&lt;=核心参数输入!$B$9*4,IF(核心参数输入!$B$64=1,E37,E27),0)</f>
        <v>1730.8125</v>
      </c>
      <c r="F49" s="9">
        <f>IF(2&lt;=核心参数输入!$B$9*4,IF(核心参数输入!$B$64=1,F37,F27),0)</f>
        <v>1754.4375</v>
      </c>
      <c r="G49" s="9">
        <f>IF(3&lt;=核心参数输入!$B$9*4,IF(核心参数输入!$B$64=1,G37,G27),0)</f>
        <v>1778.0625</v>
      </c>
      <c r="H49" s="9">
        <f>IF(4&lt;=核心参数输入!$B$9*4,IF(核心参数输入!$B$64=1,H37,H27),0)</f>
        <v>1801.6875</v>
      </c>
      <c r="I49" s="9">
        <f>IF(5&lt;=核心参数输入!$B$9*4,IF(核心参数输入!$B$64=1,I37,I27),0)</f>
        <v>2402.25</v>
      </c>
      <c r="J49" s="9">
        <f>IF(6&lt;=核心参数输入!$B$9*4,IF(核心参数输入!$B$64=1,J37,J27),0)</f>
        <v>2433.75</v>
      </c>
      <c r="K49" s="9">
        <f>IF(7&lt;=核心参数输入!$B$9*4,IF(核心参数输入!$B$64=1,K37,K27),0)</f>
        <v>2465.25</v>
      </c>
      <c r="L49" s="9">
        <f>IF(8&lt;=核心参数输入!$B$9*4,IF(核心参数输入!$B$64=1,L37,L27),0)</f>
        <v>2496.75</v>
      </c>
      <c r="M49" s="9">
        <f>IF(9&lt;=核心参数输入!$B$9*4,IF(核心参数输入!$B$64=1,M37,M27),0)</f>
        <v>1951.3125</v>
      </c>
      <c r="N49" s="9">
        <f>IF(10&lt;=核心参数输入!$B$9*4,IF(核心参数输入!$B$64=1,N37,N27),0)</f>
        <v>1974.9375</v>
      </c>
      <c r="O49" s="9">
        <f>IF(11&lt;=核心参数输入!$B$9*4,IF(核心参数输入!$B$64=1,O37,O27),0)</f>
        <v>1998.5625</v>
      </c>
      <c r="P49" s="9">
        <f>IF(12&lt;=核心参数输入!$B$9*4,IF(核心参数输入!$B$64=1,P37,P27),0)</f>
        <v>2022.1875</v>
      </c>
      <c r="Q49" s="9">
        <f>IF(13&lt;=核心参数输入!$B$9*4,IF(核心参数输入!$B$64=1,Q37,Q27),0)</f>
        <v>0</v>
      </c>
      <c r="R49" s="9">
        <f>IF(14&lt;=核心参数输入!$B$9*4,IF(核心参数输入!$B$64=1,R37,R27),0)</f>
        <v>0</v>
      </c>
      <c r="S49" s="9">
        <f>IF(15&lt;=核心参数输入!$B$9*4,IF(核心参数输入!$B$64=1,S37,S27),0)</f>
        <v>0</v>
      </c>
      <c r="T49" s="9">
        <f>IF(16&lt;=核心参数输入!$B$9*4,IF(核心参数输入!$B$64=1,T37,T27),0)</f>
        <v>0</v>
      </c>
      <c r="U49" s="9">
        <f>IF(17&lt;=核心参数输入!$B$9*4,IF(核心参数输入!$B$64=1,U37,U27),0)</f>
        <v>0</v>
      </c>
      <c r="V49" s="9">
        <f>IF(18&lt;=核心参数输入!$B$9*4,IF(核心参数输入!$B$64=1,V37,V27),0)</f>
        <v>0</v>
      </c>
      <c r="W49" s="9">
        <f>IF(19&lt;=核心参数输入!$B$9*4,IF(核心参数输入!$B$64=1,W37,W27),0)</f>
        <v>0</v>
      </c>
      <c r="X49" s="9">
        <f>IF(20&lt;=核心参数输入!$B$9*4,IF(核心参数输入!$B$64=1,X37,X27),0)</f>
        <v>0</v>
      </c>
      <c r="Y49" s="9">
        <f>IF(21&lt;=核心参数输入!$B$9*4,IF(核心参数输入!$B$64=1,Y37,Y27),0)</f>
        <v>0</v>
      </c>
      <c r="Z49" s="9">
        <f>IF(22&lt;=核心参数输入!$B$9*4,IF(核心参数输入!$B$64=1,Z37,Z27),0)</f>
        <v>0</v>
      </c>
      <c r="AA49" s="9">
        <f>IF(23&lt;=核心参数输入!$B$9*4,IF(核心参数输入!$B$64=1,AA37,AA27),0)</f>
        <v>0</v>
      </c>
      <c r="AB49" s="9">
        <f>IF(24&lt;=核心参数输入!$B$9*4,IF(核心参数输入!$B$64=1,AB37,AB27),0)</f>
        <v>0</v>
      </c>
      <c r="AC49" s="9">
        <f>IF(25&lt;=核心参数输入!$B$9*4,IF(核心参数输入!$B$64=1,AC37,AC27),0)</f>
        <v>0</v>
      </c>
      <c r="AD49" s="9">
        <f>IF(26&lt;=核心参数输入!$B$9*4,IF(核心参数输入!$B$64=1,AD37,AD27),0)</f>
        <v>0</v>
      </c>
      <c r="AE49" s="9">
        <f>IF(27&lt;=核心参数输入!$B$9*4,IF(核心参数输入!$B$64=1,AE37,AE27),0)</f>
        <v>0</v>
      </c>
      <c r="AF49" s="9">
        <f>IF(28&lt;=核心参数输入!$B$9*4,IF(核心参数输入!$B$64=1,AF37,AF27),0)</f>
        <v>0</v>
      </c>
      <c r="AG49" s="9">
        <f>IF(29&lt;=核心参数输入!$B$9*4,IF(核心参数输入!$B$64=1,AG37,AG27),0)</f>
        <v>0</v>
      </c>
      <c r="AH49" s="9">
        <f>IF(30&lt;=核心参数输入!$B$9*4,IF(核心参数输入!$B$64=1,AH37,AH27),0)</f>
        <v>0</v>
      </c>
      <c r="AI49" s="9">
        <f>IF(31&lt;=核心参数输入!$B$9*4,IF(核心参数输入!$B$64=1,AI37,AI27),0)</f>
        <v>0</v>
      </c>
      <c r="AJ49" s="9">
        <f>IF(32&lt;=核心参数输入!$B$9*4,IF(核心参数输入!$B$64=1,AJ37,AJ27),0)</f>
        <v>0</v>
      </c>
      <c r="AK49" s="9">
        <f>IF(33&lt;=核心参数输入!$B$9*4,IF(核心参数输入!$B$64=1,AK37,AK27),0)</f>
        <v>0</v>
      </c>
      <c r="AL49" s="9">
        <f>IF(34&lt;=核心参数输入!$B$9*4,IF(核心参数输入!$B$64=1,AL37,AL27),0)</f>
        <v>0</v>
      </c>
      <c r="AM49" s="9">
        <f>IF(35&lt;=核心参数输入!$B$9*4,IF(核心参数输入!$B$64=1,AM37,AM27),0)</f>
        <v>0</v>
      </c>
      <c r="AN49" s="9">
        <f>IF(36&lt;=核心参数输入!$B$9*4,IF(核心参数输入!$B$64=1,AN37,AN27),0)</f>
        <v>0</v>
      </c>
      <c r="AO49" s="9">
        <f>IF(37&lt;=核心参数输入!$B$9*4,IF(核心参数输入!$B$64=1,AO37,AO27),0)</f>
        <v>0</v>
      </c>
      <c r="AP49" s="9">
        <f>IF(38&lt;=核心参数输入!$B$9*4,IF(核心参数输入!$B$64=1,AP37,AP27),0)</f>
        <v>0</v>
      </c>
      <c r="AQ49" s="9">
        <f>IF(39&lt;=核心参数输入!$B$9*4,IF(核心参数输入!$B$64=1,AQ37,AQ27),0)</f>
        <v>0</v>
      </c>
      <c r="AR49" s="9">
        <f>IF(40&lt;=核心参数输入!$B$9*4,IF(核心参数输入!$B$64=1,AR37,AR27),0)</f>
        <v>0</v>
      </c>
      <c r="AS49" s="9">
        <f>IF(41&lt;=核心参数输入!$B$9*4,IF(核心参数输入!$B$64=1,AS37,AS27),0)</f>
        <v>0</v>
      </c>
      <c r="AT49" s="9">
        <f>IF(42&lt;=核心参数输入!$B$9*4,IF(核心参数输入!$B$64=1,AT37,AT27),0)</f>
        <v>0</v>
      </c>
      <c r="AU49" s="9">
        <f>IF(43&lt;=核心参数输入!$B$9*4,IF(核心参数输入!$B$64=1,AU37,AU27),0)</f>
        <v>0</v>
      </c>
      <c r="AV49" s="9">
        <f>IF(44&lt;=核心参数输入!$B$9*4,IF(核心参数输入!$B$64=1,AV37,AV27),0)</f>
        <v>0</v>
      </c>
      <c r="AW49" s="9">
        <f>IF(45&lt;=核心参数输入!$B$9*4,IF(核心参数输入!$B$64=1,AW37,AW27),0)</f>
        <v>0</v>
      </c>
      <c r="AX49" s="9">
        <f>IF(46&lt;=核心参数输入!$B$9*4,IF(核心参数输入!$B$64=1,AX37,AX27),0)</f>
        <v>0</v>
      </c>
      <c r="AY49" s="9">
        <f>IF(47&lt;=核心参数输入!$B$9*4,IF(核心参数输入!$B$64=1,AY37,AY27),0)</f>
        <v>0</v>
      </c>
      <c r="AZ49" s="9">
        <f>IF(48&lt;=核心参数输入!$B$9*4,IF(核心参数输入!$B$64=1,AZ37,AZ27),0)</f>
        <v>0</v>
      </c>
      <c r="BA49" s="9">
        <f>IF(49&lt;=核心参数输入!$B$9*4,IF(核心参数输入!$B$64=1,BA37,BA27),0)</f>
        <v>0</v>
      </c>
      <c r="BB49" s="9">
        <f>IF(50&lt;=核心参数输入!$B$9*4,IF(核心参数输入!$B$64=1,BB37,BB27),0)</f>
        <v>0</v>
      </c>
      <c r="BC49" s="9">
        <f>IF(51&lt;=核心参数输入!$B$9*4,IF(核心参数输入!$B$64=1,BC37,BC27),0)</f>
        <v>0</v>
      </c>
      <c r="BD49" s="9">
        <f>IF(52&lt;=核心参数输入!$B$9*4,IF(核心参数输入!$B$64=1,BD37,BD27),0)</f>
        <v>0</v>
      </c>
      <c r="BE49" s="9">
        <f>IF(53&lt;=核心参数输入!$B$9*4,IF(核心参数输入!$B$64=1,BE37,BE27),0)</f>
        <v>0</v>
      </c>
      <c r="BF49" s="9">
        <f>IF(54&lt;=核心参数输入!$B$9*4,IF(核心参数输入!$B$64=1,BF37,BF27),0)</f>
        <v>0</v>
      </c>
      <c r="BG49" s="9">
        <f>IF(55&lt;=核心参数输入!$B$9*4,IF(核心参数输入!$B$64=1,BG37,BG27),0)</f>
        <v>0</v>
      </c>
      <c r="BH49" s="9">
        <f>IF(56&lt;=核心参数输入!$B$9*4,IF(核心参数输入!$B$64=1,BH37,BH27),0)</f>
        <v>0</v>
      </c>
      <c r="BI49" s="9">
        <f>IF(57&lt;=核心参数输入!$B$9*4,IF(核心参数输入!$B$64=1,BI37,BI27),0)</f>
        <v>0</v>
      </c>
      <c r="BJ49" s="9">
        <f>IF(58&lt;=核心参数输入!$B$9*4,IF(核心参数输入!$B$64=1,BJ37,BJ27),0)</f>
        <v>0</v>
      </c>
      <c r="BK49" s="9">
        <f>IF(59&lt;=核心参数输入!$B$9*4,IF(核心参数输入!$B$64=1,BK37,BK27),0)</f>
        <v>0</v>
      </c>
      <c r="BL49" s="9">
        <f>IF(60&lt;=核心参数输入!$B$9*4,IF(核心参数输入!$B$64=1,BL37,BL27),0)</f>
        <v>0</v>
      </c>
      <c r="BM49" s="9">
        <f>IF(61&lt;=核心参数输入!$B$9*4,IF(核心参数输入!$B$64=1,BM37,BM27),0)</f>
        <v>0</v>
      </c>
      <c r="BN49" s="9">
        <f>IF(62&lt;=核心参数输入!$B$9*4,IF(核心参数输入!$B$64=1,BN37,BN27),0)</f>
        <v>0</v>
      </c>
      <c r="BO49" s="9">
        <f>IF(63&lt;=核心参数输入!$B$9*4,IF(核心参数输入!$B$64=1,BO37,BO27),0)</f>
        <v>0</v>
      </c>
      <c r="BP49" s="9">
        <f>IF(64&lt;=核心参数输入!$B$9*4,IF(核心参数输入!$B$64=1,BP37,BP27),0)</f>
        <v>0</v>
      </c>
      <c r="BQ49" s="9">
        <f>IF(65&lt;=核心参数输入!$B$9*4,IF(核心参数输入!$B$64=1,BQ37,BQ27),0)</f>
        <v>0</v>
      </c>
      <c r="BR49" s="9">
        <f>IF(66&lt;=核心参数输入!$B$9*4,IF(核心参数输入!$B$64=1,BR37,BR27),0)</f>
        <v>0</v>
      </c>
      <c r="BS49" s="9">
        <f>IF(67&lt;=核心参数输入!$B$9*4,IF(核心参数输入!$B$64=1,BS37,BS27),0)</f>
        <v>0</v>
      </c>
      <c r="BT49" s="9">
        <f>IF(68&lt;=核心参数输入!$B$9*4,IF(核心参数输入!$B$64=1,BT37,BT27),0)</f>
        <v>0</v>
      </c>
      <c r="BU49" s="9">
        <f>IF(69&lt;=核心参数输入!$B$9*4,IF(核心参数输入!$B$64=1,BU37,BU27),0)</f>
        <v>0</v>
      </c>
      <c r="BV49" s="9">
        <f>IF(70&lt;=核心参数输入!$B$9*4,IF(核心参数输入!$B$64=1,BV37,BV27),0)</f>
        <v>0</v>
      </c>
      <c r="BW49" s="9">
        <f>IF(71&lt;=核心参数输入!$B$9*4,IF(核心参数输入!$B$64=1,BW37,BW27),0)</f>
        <v>0</v>
      </c>
      <c r="BX49" s="9">
        <f>IF(72&lt;=核心参数输入!$B$9*4,IF(核心参数输入!$B$64=1,BX37,BX27),0)</f>
        <v>0</v>
      </c>
      <c r="BY49" s="9">
        <f>IF(73&lt;=核心参数输入!$B$9*4,IF(核心参数输入!$B$64=1,BY37,BY27),0)</f>
        <v>0</v>
      </c>
      <c r="BZ49" s="9">
        <f>IF(74&lt;=核心参数输入!$B$9*4,IF(核心参数输入!$B$64=1,BZ37,BZ27),0)</f>
        <v>0</v>
      </c>
      <c r="CA49" s="9">
        <f>IF(75&lt;=核心参数输入!$B$9*4,IF(核心参数输入!$B$64=1,CA37,CA27),0)</f>
        <v>0</v>
      </c>
      <c r="CB49" s="9">
        <f>IF(76&lt;=核心参数输入!$B$9*4,IF(核心参数输入!$B$64=1,CB37,CB27),0)</f>
        <v>0</v>
      </c>
      <c r="CC49" s="9">
        <f>IF(77&lt;=核心参数输入!$B$9*4,IF(核心参数输入!$B$64=1,CC37,CC27),0)</f>
        <v>0</v>
      </c>
      <c r="CD49" s="9">
        <f>IF(78&lt;=核心参数输入!$B$9*4,IF(核心参数输入!$B$64=1,CD37,CD27),0)</f>
        <v>0</v>
      </c>
      <c r="CE49" s="9">
        <f>IF(79&lt;=核心参数输入!$B$9*4,IF(核心参数输入!$B$64=1,CE37,CE27),0)</f>
        <v>0</v>
      </c>
      <c r="CF49" s="9">
        <f>IF(80&lt;=核心参数输入!$B$9*4,IF(核心参数输入!$B$64=1,CF37,CF27),0)</f>
        <v>0</v>
      </c>
      <c r="CG49" s="9">
        <f>IF(81&lt;=核心参数输入!$B$9*4,IF(核心参数输入!$B$64=1,CG37,CG27),0)</f>
        <v>0</v>
      </c>
      <c r="CH49" s="9">
        <f>IF(82&lt;=核心参数输入!$B$9*4,IF(核心参数输入!$B$64=1,CH37,CH27),0)</f>
        <v>0</v>
      </c>
      <c r="CI49" s="9">
        <f>IF(83&lt;=核心参数输入!$B$9*4,IF(核心参数输入!$B$64=1,CI37,CI27),0)</f>
        <v>0</v>
      </c>
      <c r="CJ49" s="9">
        <f>IF(84&lt;=核心参数输入!$B$9*4,IF(核心参数输入!$B$64=1,CJ37,CJ27),0)</f>
        <v>0</v>
      </c>
      <c r="CK49" s="9">
        <f>IF(85&lt;=核心参数输入!$B$9*4,IF(核心参数输入!$B$64=1,CK37,CK27),0)</f>
        <v>0</v>
      </c>
      <c r="CL49" s="9">
        <f>IF(86&lt;=核心参数输入!$B$9*4,IF(核心参数输入!$B$64=1,CL37,CL27),0)</f>
        <v>0</v>
      </c>
      <c r="CM49" s="9">
        <f>IF(87&lt;=核心参数输入!$B$9*4,IF(核心参数输入!$B$64=1,CM37,CM27),0)</f>
        <v>0</v>
      </c>
      <c r="CN49" s="9">
        <f>IF(88&lt;=核心参数输入!$B$9*4,IF(核心参数输入!$B$64=1,CN37,CN27),0)</f>
        <v>0</v>
      </c>
      <c r="CO49" s="9">
        <f>IF(89&lt;=核心参数输入!$B$9*4,IF(核心参数输入!$B$64=1,CO37,CO27),0)</f>
        <v>0</v>
      </c>
      <c r="CP49" s="9">
        <f>IF(90&lt;=核心参数输入!$B$9*4,IF(核心参数输入!$B$64=1,CP37,CP27),0)</f>
        <v>0</v>
      </c>
      <c r="CQ49" s="9">
        <f>IF(91&lt;=核心参数输入!$B$9*4,IF(核心参数输入!$B$64=1,CQ37,CQ27),0)</f>
        <v>0</v>
      </c>
      <c r="CR49" s="9">
        <f>IF(92&lt;=核心参数输入!$B$9*4,IF(核心参数输入!$B$64=1,CR37,CR27),0)</f>
        <v>0</v>
      </c>
      <c r="CS49" s="9">
        <f>IF(93&lt;=核心参数输入!$B$9*4,IF(核心参数输入!$B$64=1,CS37,CS27),0)</f>
        <v>0</v>
      </c>
      <c r="CT49" s="9">
        <f>IF(94&lt;=核心参数输入!$B$9*4,IF(核心参数输入!$B$64=1,CT37,CT27),0)</f>
        <v>0</v>
      </c>
      <c r="CU49" s="9">
        <f>IF(95&lt;=核心参数输入!$B$9*4,IF(核心参数输入!$B$64=1,CU37,CU27),0)</f>
        <v>0</v>
      </c>
      <c r="CV49" s="9">
        <f>IF(96&lt;=核心参数输入!$B$9*4,IF(核心参数输入!$B$64=1,CV37,CV27),0)</f>
        <v>0</v>
      </c>
      <c r="CW49" s="9">
        <f>IF(97&lt;=核心参数输入!$B$9*4,IF(核心参数输入!$B$64=1,CW37,CW27),0)</f>
        <v>0</v>
      </c>
      <c r="CX49" s="9">
        <f>IF(98&lt;=核心参数输入!$B$9*4,IF(核心参数输入!$B$64=1,CX37,CX27),0)</f>
        <v>0</v>
      </c>
      <c r="CY49" s="9">
        <f>IF(99&lt;=核心参数输入!$B$9*4,IF(核心参数输入!$B$64=1,CY37,CY27),0)</f>
        <v>0</v>
      </c>
      <c r="CZ49" s="9">
        <f>IF(100&lt;=核心参数输入!$B$9*4,IF(核心参数输入!$B$64=1,CZ37,CZ27),0)</f>
        <v>0</v>
      </c>
      <c r="DA49" s="9">
        <f>IF(101&lt;=核心参数输入!$B$9*4,IF(核心参数输入!$B$64=1,DA37,DA27),0)</f>
        <v>0</v>
      </c>
      <c r="DB49" s="9">
        <f>IF(102&lt;=核心参数输入!$B$9*4,IF(核心参数输入!$B$64=1,DB37,DB27),0)</f>
        <v>0</v>
      </c>
      <c r="DC49" s="9">
        <f>IF(103&lt;=核心参数输入!$B$9*4,IF(核心参数输入!$B$64=1,DC37,DC27),0)</f>
        <v>0</v>
      </c>
      <c r="DD49" s="9">
        <f>IF(104&lt;=核心参数输入!$B$9*4,IF(核心参数输入!$B$64=1,DD37,DD27),0)</f>
        <v>0</v>
      </c>
      <c r="DE49" s="9">
        <f>IF(105&lt;=核心参数输入!$B$9*4,IF(核心参数输入!$B$64=1,DE37,DE27),0)</f>
        <v>0</v>
      </c>
      <c r="DF49" s="9">
        <f>IF(106&lt;=核心参数输入!$B$9*4,IF(核心参数输入!$B$64=1,DF37,DF27),0)</f>
        <v>0</v>
      </c>
      <c r="DG49" s="9">
        <f>IF(107&lt;=核心参数输入!$B$9*4,IF(核心参数输入!$B$64=1,DG37,DG27),0)</f>
        <v>0</v>
      </c>
      <c r="DH49" s="9">
        <f>IF(108&lt;=核心参数输入!$B$9*4,IF(核心参数输入!$B$64=1,DH37,DH27),0)</f>
        <v>0</v>
      </c>
      <c r="DI49" s="9">
        <f>IF(109&lt;=核心参数输入!$B$9*4,IF(核心参数输入!$B$64=1,DI37,DI27),0)</f>
        <v>0</v>
      </c>
      <c r="DJ49" s="9">
        <f>IF(110&lt;=核心参数输入!$B$9*4,IF(核心参数输入!$B$64=1,DJ37,DJ27),0)</f>
        <v>0</v>
      </c>
      <c r="DK49" s="9">
        <f>IF(111&lt;=核心参数输入!$B$9*4,IF(核心参数输入!$B$64=1,DK37,DK27),0)</f>
        <v>0</v>
      </c>
      <c r="DL49" s="9">
        <f>IF(112&lt;=核心参数输入!$B$9*4,IF(核心参数输入!$B$64=1,DL37,DL27),0)</f>
        <v>0</v>
      </c>
      <c r="DM49" s="9">
        <f>IF(113&lt;=核心参数输入!$B$9*4,IF(核心参数输入!$B$64=1,DM37,DM27),0)</f>
        <v>0</v>
      </c>
      <c r="DN49" s="9">
        <f>IF(114&lt;=核心参数输入!$B$9*4,IF(核心参数输入!$B$64=1,DN37,DN27),0)</f>
        <v>0</v>
      </c>
      <c r="DO49" s="9">
        <f>IF(115&lt;=核心参数输入!$B$9*4,IF(核心参数输入!$B$64=1,DO37,DO27),0)</f>
        <v>0</v>
      </c>
      <c r="DP49" s="9">
        <f>IF(116&lt;=核心参数输入!$B$9*4,IF(核心参数输入!$B$64=1,DP37,DP27),0)</f>
        <v>0</v>
      </c>
      <c r="DQ49" s="9">
        <f>IF(117&lt;=核心参数输入!$B$9*4,IF(核心参数输入!$B$64=1,DQ37,DQ27),0)</f>
        <v>0</v>
      </c>
      <c r="DR49" s="9">
        <f>IF(118&lt;=核心参数输入!$B$9*4,IF(核心参数输入!$B$64=1,DR37,DR27),0)</f>
        <v>0</v>
      </c>
      <c r="DS49" s="9">
        <f>IF(119&lt;=核心参数输入!$B$9*4,IF(核心参数输入!$B$64=1,DS37,DS27),0)</f>
        <v>0</v>
      </c>
      <c r="DT49" s="9">
        <f>IF(120&lt;=核心参数输入!$B$9*4,IF(核心参数输入!$B$64=1,DT37,DT27),0)</f>
        <v>0</v>
      </c>
    </row>
    <row r="50" spans="1:124" ht="21" customHeight="1">
      <c r="A50" s="8" t="s">
        <v>542</v>
      </c>
      <c r="B50" s="8" t="s">
        <v>39</v>
      </c>
      <c r="C50" s="8"/>
      <c r="D50" s="9">
        <f>IF(0&lt;=核心参数输入!$B$9*4,IF(核心参数输入!$B$64=1,D38,D28),0)</f>
        <v>0</v>
      </c>
      <c r="E50" s="9">
        <f>IF(1&lt;=核心参数输入!$B$9*4,IF(核心参数输入!$B$64=1,E38,E28),0)</f>
        <v>0</v>
      </c>
      <c r="F50" s="9">
        <f>IF(2&lt;=核心参数输入!$B$9*4,IF(核心参数输入!$B$64=1,F38,F28),0)</f>
        <v>0</v>
      </c>
      <c r="G50" s="9">
        <f>IF(3&lt;=核心参数输入!$B$9*4,IF(核心参数输入!$B$64=1,G38,G28),0)</f>
        <v>0</v>
      </c>
      <c r="H50" s="9">
        <f>IF(4&lt;=核心参数输入!$B$9*4,IF(核心参数输入!$B$64=1,H38,H28),0)</f>
        <v>0</v>
      </c>
      <c r="I50" s="9">
        <f>IF(5&lt;=核心参数输入!$B$9*4,IF(核心参数输入!$B$64=1,I38,I28),0)</f>
        <v>0</v>
      </c>
      <c r="J50" s="9">
        <f>IF(6&lt;=核心参数输入!$B$9*4,IF(核心参数输入!$B$64=1,J38,J28),0)</f>
        <v>0</v>
      </c>
      <c r="K50" s="9">
        <f>IF(7&lt;=核心参数输入!$B$9*4,IF(核心参数输入!$B$64=1,K38,K28),0)</f>
        <v>0</v>
      </c>
      <c r="L50" s="9">
        <f>IF(8&lt;=核心参数输入!$B$9*4,IF(核心参数输入!$B$64=1,L38,L28),0)</f>
        <v>0</v>
      </c>
      <c r="M50" s="9">
        <f>IF(9&lt;=核心参数输入!$B$9*4,IF(核心参数输入!$B$64=1,M38,M28),0)</f>
        <v>0</v>
      </c>
      <c r="N50" s="9">
        <f>IF(10&lt;=核心参数输入!$B$9*4,IF(核心参数输入!$B$64=1,N38,N28),0)</f>
        <v>0</v>
      </c>
      <c r="O50" s="9">
        <f>IF(11&lt;=核心参数输入!$B$9*4,IF(核心参数输入!$B$64=1,O38,O28),0)</f>
        <v>0</v>
      </c>
      <c r="P50" s="9">
        <f>IF(12&lt;=核心参数输入!$B$9*4,IF(核心参数输入!$B$64=1,P38,P28),0)</f>
        <v>0</v>
      </c>
      <c r="Q50" s="9">
        <f>IF(13&lt;=核心参数输入!$B$9*4,IF(核心参数输入!$B$64=1,Q38,Q28),0)</f>
        <v>1218.7140625000002</v>
      </c>
      <c r="R50" s="9">
        <f>IF(14&lt;=核心参数输入!$B$9*4,IF(核心参数输入!$B$64=1,R38,R28),0)</f>
        <v>2829.5738458125002</v>
      </c>
      <c r="S50" s="9">
        <f>IF(15&lt;=核心参数输入!$B$9*4,IF(核心参数输入!$B$64=1,S38,S28),0)</f>
        <v>1483.436968332589</v>
      </c>
      <c r="T50" s="9">
        <f>IF(16&lt;=核心参数输入!$B$9*4,IF(核心参数输入!$B$64=1,T38,T28),0)</f>
        <v>0</v>
      </c>
      <c r="U50" s="9">
        <f>IF(17&lt;=核心参数输入!$B$9*4,IF(核心参数输入!$B$64=1,U38,U28),0)</f>
        <v>3743.3198541853121</v>
      </c>
      <c r="V50" s="9">
        <f>IF(18&lt;=核心参数输入!$B$9*4,IF(核心参数输入!$B$64=1,V38,V28),0)</f>
        <v>2494.0523918316721</v>
      </c>
      <c r="W50" s="9">
        <f>IF(19&lt;=核心参数输入!$B$9*4,IF(核心参数输入!$B$64=1,W38,W28),0)</f>
        <v>0</v>
      </c>
      <c r="X50" s="9">
        <f>IF(20&lt;=核心参数输入!$B$9*4,IF(核心参数输入!$B$64=1,X38,X28),0)</f>
        <v>0</v>
      </c>
      <c r="Y50" s="9">
        <f>IF(21&lt;=核心参数输入!$B$9*4,IF(核心参数输入!$B$64=1,Y38,Y28),0)</f>
        <v>0</v>
      </c>
      <c r="Z50" s="9">
        <f>IF(22&lt;=核心参数输入!$B$9*4,IF(核心参数输入!$B$64=1,Z38,Z28),0)</f>
        <v>0</v>
      </c>
      <c r="AA50" s="9">
        <f>IF(23&lt;=核心参数输入!$B$9*4,IF(核心参数输入!$B$64=1,AA38,AA28),0)</f>
        <v>0</v>
      </c>
      <c r="AB50" s="9">
        <f>IF(24&lt;=核心参数输入!$B$9*4,IF(核心参数输入!$B$64=1,AB38,AB28),0)</f>
        <v>0</v>
      </c>
      <c r="AC50" s="9">
        <f>IF(25&lt;=核心参数输入!$B$9*4,IF(核心参数输入!$B$64=1,AC38,AC28),0)</f>
        <v>0</v>
      </c>
      <c r="AD50" s="9">
        <f>IF(26&lt;=核心参数输入!$B$9*4,IF(核心参数输入!$B$64=1,AD38,AD28),0)</f>
        <v>0</v>
      </c>
      <c r="AE50" s="9">
        <f>IF(27&lt;=核心参数输入!$B$9*4,IF(核心参数输入!$B$64=1,AE38,AE28),0)</f>
        <v>0</v>
      </c>
      <c r="AF50" s="9">
        <f>IF(28&lt;=核心参数输入!$B$9*4,IF(核心参数输入!$B$64=1,AF38,AF28),0)</f>
        <v>0</v>
      </c>
      <c r="AG50" s="9">
        <f>IF(29&lt;=核心参数输入!$B$9*4,IF(核心参数输入!$B$64=1,AG38,AG28),0)</f>
        <v>0</v>
      </c>
      <c r="AH50" s="9">
        <f>IF(30&lt;=核心参数输入!$B$9*4,IF(核心参数输入!$B$64=1,AH38,AH28),0)</f>
        <v>0</v>
      </c>
      <c r="AI50" s="9">
        <f>IF(31&lt;=核心参数输入!$B$9*4,IF(核心参数输入!$B$64=1,AI38,AI28),0)</f>
        <v>0</v>
      </c>
      <c r="AJ50" s="9">
        <f>IF(32&lt;=核心参数输入!$B$9*4,IF(核心参数输入!$B$64=1,AJ38,AJ28),0)</f>
        <v>0</v>
      </c>
      <c r="AK50" s="9">
        <f>IF(33&lt;=核心参数输入!$B$9*4,IF(核心参数输入!$B$64=1,AK38,AK28),0)</f>
        <v>0</v>
      </c>
      <c r="AL50" s="9">
        <f>IF(34&lt;=核心参数输入!$B$9*4,IF(核心参数输入!$B$64=1,AL38,AL28),0)</f>
        <v>0</v>
      </c>
      <c r="AM50" s="9">
        <f>IF(35&lt;=核心参数输入!$B$9*4,IF(核心参数输入!$B$64=1,AM38,AM28),0)</f>
        <v>0</v>
      </c>
      <c r="AN50" s="9">
        <f>IF(36&lt;=核心参数输入!$B$9*4,IF(核心参数输入!$B$64=1,AN38,AN28),0)</f>
        <v>0</v>
      </c>
      <c r="AO50" s="9">
        <f>IF(37&lt;=核心参数输入!$B$9*4,IF(核心参数输入!$B$64=1,AO38,AO28),0)</f>
        <v>0</v>
      </c>
      <c r="AP50" s="9">
        <f>IF(38&lt;=核心参数输入!$B$9*4,IF(核心参数输入!$B$64=1,AP38,AP28),0)</f>
        <v>0</v>
      </c>
      <c r="AQ50" s="9">
        <f>IF(39&lt;=核心参数输入!$B$9*4,IF(核心参数输入!$B$64=1,AQ38,AQ28),0)</f>
        <v>0</v>
      </c>
      <c r="AR50" s="9">
        <f>IF(40&lt;=核心参数输入!$B$9*4,IF(核心参数输入!$B$64=1,AR38,AR28),0)</f>
        <v>0</v>
      </c>
      <c r="AS50" s="9">
        <f>IF(41&lt;=核心参数输入!$B$9*4,IF(核心参数输入!$B$64=1,AS38,AS28),0)</f>
        <v>267.65012380987014</v>
      </c>
      <c r="AT50" s="9">
        <f>IF(42&lt;=核心参数输入!$B$9*4,IF(核心参数输入!$B$64=1,AT38,AT28),0)</f>
        <v>267.65012380987014</v>
      </c>
      <c r="AU50" s="9">
        <f>IF(43&lt;=核心参数输入!$B$9*4,IF(核心参数输入!$B$64=1,AU38,AU28),0)</f>
        <v>267.65012380987014</v>
      </c>
      <c r="AV50" s="9">
        <f>IF(44&lt;=核心参数输入!$B$9*4,IF(核心参数输入!$B$64=1,AV38,AV28),0)</f>
        <v>267.65012380987014</v>
      </c>
      <c r="AW50" s="9">
        <f>IF(45&lt;=核心参数输入!$B$9*4,IF(核心参数输入!$B$64=1,AW38,AW28),0)</f>
        <v>271.90911854164972</v>
      </c>
      <c r="AX50" s="9">
        <f>IF(46&lt;=核心参数输入!$B$9*4,IF(核心参数输入!$B$64=1,AX38,AX28),0)</f>
        <v>271.90911854164972</v>
      </c>
      <c r="AY50" s="9">
        <f>IF(47&lt;=核心参数输入!$B$9*4,IF(核心参数输入!$B$64=1,AY38,AY28),0)</f>
        <v>271.90911854164972</v>
      </c>
      <c r="AZ50" s="9">
        <f>IF(48&lt;=核心参数输入!$B$9*4,IF(核心参数输入!$B$64=1,AZ38,AZ28),0)</f>
        <v>271.90911854164972</v>
      </c>
      <c r="BA50" s="9">
        <f>IF(49&lt;=核心参数输入!$B$9*4,IF(核心参数输入!$B$64=1,BA38,BA28),0)</f>
        <v>276.22338305189851</v>
      </c>
      <c r="BB50" s="9">
        <f>IF(50&lt;=核心参数输入!$B$9*4,IF(核心参数输入!$B$64=1,BB38,BB28),0)</f>
        <v>276.22338305189851</v>
      </c>
      <c r="BC50" s="9">
        <f>IF(51&lt;=核心参数输入!$B$9*4,IF(核心参数输入!$B$64=1,BC38,BC28),0)</f>
        <v>276.22338305189851</v>
      </c>
      <c r="BD50" s="9">
        <f>IF(52&lt;=核心参数输入!$B$9*4,IF(核心参数输入!$B$64=1,BD38,BD28),0)</f>
        <v>276.22338305189851</v>
      </c>
      <c r="BE50" s="9">
        <f>IF(53&lt;=核心参数输入!$B$9*4,IF(核心参数输入!$B$64=1,BE38,BE28),0)</f>
        <v>280.59357408444356</v>
      </c>
      <c r="BF50" s="9">
        <f>IF(54&lt;=核心参数输入!$B$9*4,IF(核心参数输入!$B$64=1,BF38,BF28),0)</f>
        <v>280.59357408444356</v>
      </c>
      <c r="BG50" s="9">
        <f>IF(55&lt;=核心参数输入!$B$9*4,IF(核心参数输入!$B$64=1,BG38,BG28),0)</f>
        <v>280.59357408444356</v>
      </c>
      <c r="BH50" s="9">
        <f>IF(56&lt;=核心参数输入!$B$9*4,IF(核心参数输入!$B$64=1,BH38,BH28),0)</f>
        <v>251.60090143748954</v>
      </c>
      <c r="BI50" s="9">
        <f>IF(57&lt;=核心参数输入!$B$9*4,IF(核心参数输入!$B$64=1,BI38,BI28),0)</f>
        <v>285.0203547882121</v>
      </c>
      <c r="BJ50" s="9">
        <f>IF(58&lt;=核心参数输入!$B$9*4,IF(核心参数输入!$B$64=1,BJ38,BJ28),0)</f>
        <v>285.0203547882121</v>
      </c>
      <c r="BK50" s="9">
        <f>IF(59&lt;=核心参数输入!$B$9*4,IF(核心参数输入!$B$64=1,BK38,BK28),0)</f>
        <v>285.0203547882121</v>
      </c>
      <c r="BL50" s="9">
        <f>IF(60&lt;=核心参数输入!$B$9*4,IF(核心参数输入!$B$64=1,BL38,BL28),0)</f>
        <v>213.26062499999986</v>
      </c>
      <c r="BM50" s="9">
        <f>IF(61&lt;=核心参数输入!$B$9*4,IF(核心参数输入!$B$64=1,BM38,BM28),0)</f>
        <v>289.50439474438724</v>
      </c>
      <c r="BN50" s="9">
        <f>IF(62&lt;=核心参数输入!$B$9*4,IF(核心参数输入!$B$64=1,BN38,BN28),0)</f>
        <v>289.50439474438724</v>
      </c>
      <c r="BO50" s="9">
        <f>IF(63&lt;=核心参数输入!$B$9*4,IF(核心参数输入!$B$64=1,BO38,BO28),0)</f>
        <v>289.50439474438724</v>
      </c>
      <c r="BP50" s="9">
        <f>IF(64&lt;=核心参数输入!$B$9*4,IF(核心参数输入!$B$64=1,BP38,BP28),0)</f>
        <v>213.26062499999995</v>
      </c>
      <c r="BQ50" s="9">
        <f>IF(65&lt;=核心参数输入!$B$9*4,IF(核心参数输入!$B$64=1,BQ38,BQ28),0)</f>
        <v>294.04636999259213</v>
      </c>
      <c r="BR50" s="9">
        <f>IF(66&lt;=核心参数输入!$B$9*4,IF(核心参数输入!$B$64=1,BR38,BR28),0)</f>
        <v>294.04636999259213</v>
      </c>
      <c r="BS50" s="9">
        <f>IF(67&lt;=核心参数输入!$B$9*4,IF(核心参数输入!$B$64=1,BS38,BS28),0)</f>
        <v>294.04636999259213</v>
      </c>
      <c r="BT50" s="9">
        <f>IF(68&lt;=核心参数输入!$B$9*4,IF(核心参数输入!$B$64=1,BT38,BT28),0)</f>
        <v>213.26062499999998</v>
      </c>
      <c r="BU50" s="9">
        <f>IF(69&lt;=核心参数输入!$B$9*4,IF(核心参数输入!$B$64=1,BU38,BU28),0)</f>
        <v>298.64696305606077</v>
      </c>
      <c r="BV50" s="9">
        <f>IF(70&lt;=核心参数输入!$B$9*4,IF(核心参数输入!$B$64=1,BV38,BV28),0)</f>
        <v>298.64696305606077</v>
      </c>
      <c r="BW50" s="9">
        <f>IF(71&lt;=核心参数输入!$B$9*4,IF(核心参数输入!$B$64=1,BW38,BW28),0)</f>
        <v>298.64696305606077</v>
      </c>
      <c r="BX50" s="9">
        <f>IF(72&lt;=核心参数输入!$B$9*4,IF(核心参数输入!$B$64=1,BX38,BX28),0)</f>
        <v>213.26062499999995</v>
      </c>
      <c r="BY50" s="9">
        <f>IF(73&lt;=核心参数输入!$B$9*4,IF(核心参数输入!$B$64=1,BY38,BY28),0)</f>
        <v>303.30686296575288</v>
      </c>
      <c r="BZ50" s="9">
        <f>IF(74&lt;=核心参数输入!$B$9*4,IF(核心参数输入!$B$64=1,BZ38,BZ28),0)</f>
        <v>303.30686296575288</v>
      </c>
      <c r="CA50" s="9">
        <f>IF(75&lt;=核心参数输入!$B$9*4,IF(核心参数输入!$B$64=1,CA38,CA28),0)</f>
        <v>303.30686296575288</v>
      </c>
      <c r="CB50" s="9">
        <f>IF(76&lt;=核心参数输入!$B$9*4,IF(核心参数输入!$B$64=1,CB38,CB28),0)</f>
        <v>213.26062499999992</v>
      </c>
      <c r="CC50" s="9">
        <f>IF(77&lt;=核心参数输入!$B$9*4,IF(核心参数输入!$B$64=1,CC38,CC28),0)</f>
        <v>308.02676528336758</v>
      </c>
      <c r="CD50" s="9">
        <f>IF(78&lt;=核心参数输入!$B$9*4,IF(核心参数输入!$B$64=1,CD38,CD28),0)</f>
        <v>308.02676528336758</v>
      </c>
      <c r="CE50" s="9">
        <f>IF(79&lt;=核心参数输入!$B$9*4,IF(核心参数输入!$B$64=1,CE38,CE28),0)</f>
        <v>308.02676528336758</v>
      </c>
      <c r="CF50" s="9">
        <f>IF(80&lt;=核心参数输入!$B$9*4,IF(核心参数输入!$B$64=1,CF38,CF28),0)</f>
        <v>213.260625</v>
      </c>
      <c r="CG50" s="9">
        <f>IF(81&lt;=核心参数输入!$B$9*4,IF(核心参数输入!$B$64=1,CG38,CG28),0)</f>
        <v>0</v>
      </c>
      <c r="CH50" s="9">
        <f>IF(82&lt;=核心参数输入!$B$9*4,IF(核心参数输入!$B$64=1,CH38,CH28),0)</f>
        <v>0</v>
      </c>
      <c r="CI50" s="9">
        <f>IF(83&lt;=核心参数输入!$B$9*4,IF(核心参数输入!$B$64=1,CI38,CI28),0)</f>
        <v>0</v>
      </c>
      <c r="CJ50" s="9">
        <f>IF(84&lt;=核心参数输入!$B$9*4,IF(核心参数输入!$B$64=1,CJ38,CJ28),0)</f>
        <v>0</v>
      </c>
      <c r="CK50" s="9">
        <f>IF(85&lt;=核心参数输入!$B$9*4,IF(核心参数输入!$B$64=1,CK38,CK28),0)</f>
        <v>0</v>
      </c>
      <c r="CL50" s="9">
        <f>IF(86&lt;=核心参数输入!$B$9*4,IF(核心参数输入!$B$64=1,CL38,CL28),0)</f>
        <v>0</v>
      </c>
      <c r="CM50" s="9">
        <f>IF(87&lt;=核心参数输入!$B$9*4,IF(核心参数输入!$B$64=1,CM38,CM28),0)</f>
        <v>0</v>
      </c>
      <c r="CN50" s="9">
        <f>IF(88&lt;=核心参数输入!$B$9*4,IF(核心参数输入!$B$64=1,CN38,CN28),0)</f>
        <v>0</v>
      </c>
      <c r="CO50" s="9">
        <f>IF(89&lt;=核心参数输入!$B$9*4,IF(核心参数输入!$B$64=1,CO38,CO28),0)</f>
        <v>0</v>
      </c>
      <c r="CP50" s="9">
        <f>IF(90&lt;=核心参数输入!$B$9*4,IF(核心参数输入!$B$64=1,CP38,CP28),0)</f>
        <v>0</v>
      </c>
      <c r="CQ50" s="9">
        <f>IF(91&lt;=核心参数输入!$B$9*4,IF(核心参数输入!$B$64=1,CQ38,CQ28),0)</f>
        <v>0</v>
      </c>
      <c r="CR50" s="9">
        <f>IF(92&lt;=核心参数输入!$B$9*4,IF(核心参数输入!$B$64=1,CR38,CR28),0)</f>
        <v>0</v>
      </c>
      <c r="CS50" s="9">
        <f>IF(93&lt;=核心参数输入!$B$9*4,IF(核心参数输入!$B$64=1,CS38,CS28),0)</f>
        <v>0</v>
      </c>
      <c r="CT50" s="9">
        <f>IF(94&lt;=核心参数输入!$B$9*4,IF(核心参数输入!$B$64=1,CT38,CT28),0)</f>
        <v>0</v>
      </c>
      <c r="CU50" s="9">
        <f>IF(95&lt;=核心参数输入!$B$9*4,IF(核心参数输入!$B$64=1,CU38,CU28),0)</f>
        <v>0</v>
      </c>
      <c r="CV50" s="9">
        <f>IF(96&lt;=核心参数输入!$B$9*4,IF(核心参数输入!$B$64=1,CV38,CV28),0)</f>
        <v>0</v>
      </c>
      <c r="CW50" s="9">
        <f>IF(97&lt;=核心参数输入!$B$9*4,IF(核心参数输入!$B$64=1,CW38,CW28),0)</f>
        <v>0</v>
      </c>
      <c r="CX50" s="9">
        <f>IF(98&lt;=核心参数输入!$B$9*4,IF(核心参数输入!$B$64=1,CX38,CX28),0)</f>
        <v>0</v>
      </c>
      <c r="CY50" s="9">
        <f>IF(99&lt;=核心参数输入!$B$9*4,IF(核心参数输入!$B$64=1,CY38,CY28),0)</f>
        <v>0</v>
      </c>
      <c r="CZ50" s="9">
        <f>IF(100&lt;=核心参数输入!$B$9*4,IF(核心参数输入!$B$64=1,CZ38,CZ28),0)</f>
        <v>0</v>
      </c>
      <c r="DA50" s="9">
        <f>IF(101&lt;=核心参数输入!$B$9*4,IF(核心参数输入!$B$64=1,DA38,DA28),0)</f>
        <v>0</v>
      </c>
      <c r="DB50" s="9">
        <f>IF(102&lt;=核心参数输入!$B$9*4,IF(核心参数输入!$B$64=1,DB38,DB28),0)</f>
        <v>0</v>
      </c>
      <c r="DC50" s="9">
        <f>IF(103&lt;=核心参数输入!$B$9*4,IF(核心参数输入!$B$64=1,DC38,DC28),0)</f>
        <v>0</v>
      </c>
      <c r="DD50" s="9">
        <f>IF(104&lt;=核心参数输入!$B$9*4,IF(核心参数输入!$B$64=1,DD38,DD28),0)</f>
        <v>0</v>
      </c>
      <c r="DE50" s="9">
        <f>IF(105&lt;=核心参数输入!$B$9*4,IF(核心参数输入!$B$64=1,DE38,DE28),0)</f>
        <v>0</v>
      </c>
      <c r="DF50" s="9">
        <f>IF(106&lt;=核心参数输入!$B$9*4,IF(核心参数输入!$B$64=1,DF38,DF28),0)</f>
        <v>0</v>
      </c>
      <c r="DG50" s="9">
        <f>IF(107&lt;=核心参数输入!$B$9*4,IF(核心参数输入!$B$64=1,DG38,DG28),0)</f>
        <v>0</v>
      </c>
      <c r="DH50" s="9">
        <f>IF(108&lt;=核心参数输入!$B$9*4,IF(核心参数输入!$B$64=1,DH38,DH28),0)</f>
        <v>0</v>
      </c>
      <c r="DI50" s="9">
        <f>IF(109&lt;=核心参数输入!$B$9*4,IF(核心参数输入!$B$64=1,DI38,DI28),0)</f>
        <v>0</v>
      </c>
      <c r="DJ50" s="9">
        <f>IF(110&lt;=核心参数输入!$B$9*4,IF(核心参数输入!$B$64=1,DJ38,DJ28),0)</f>
        <v>0</v>
      </c>
      <c r="DK50" s="9">
        <f>IF(111&lt;=核心参数输入!$B$9*4,IF(核心参数输入!$B$64=1,DK38,DK28),0)</f>
        <v>0</v>
      </c>
      <c r="DL50" s="9">
        <f>IF(112&lt;=核心参数输入!$B$9*4,IF(核心参数输入!$B$64=1,DL38,DL28),0)</f>
        <v>0</v>
      </c>
      <c r="DM50" s="9">
        <f>IF(113&lt;=核心参数输入!$B$9*4,IF(核心参数输入!$B$64=1,DM38,DM28),0)</f>
        <v>0</v>
      </c>
      <c r="DN50" s="9">
        <f>IF(114&lt;=核心参数输入!$B$9*4,IF(核心参数输入!$B$64=1,DN38,DN28),0)</f>
        <v>0</v>
      </c>
      <c r="DO50" s="9">
        <f>IF(115&lt;=核心参数输入!$B$9*4,IF(核心参数输入!$B$64=1,DO38,DO28),0)</f>
        <v>0</v>
      </c>
      <c r="DP50" s="9">
        <f>IF(116&lt;=核心参数输入!$B$9*4,IF(核心参数输入!$B$64=1,DP38,DP28),0)</f>
        <v>0</v>
      </c>
      <c r="DQ50" s="9">
        <f>IF(117&lt;=核心参数输入!$B$9*4,IF(核心参数输入!$B$64=1,DQ38,DQ28),0)</f>
        <v>0</v>
      </c>
      <c r="DR50" s="9">
        <f>IF(118&lt;=核心参数输入!$B$9*4,IF(核心参数输入!$B$64=1,DR38,DR28),0)</f>
        <v>0</v>
      </c>
      <c r="DS50" s="9">
        <f>IF(119&lt;=核心参数输入!$B$9*4,IF(核心参数输入!$B$64=1,DS38,DS28),0)</f>
        <v>0</v>
      </c>
      <c r="DT50" s="9">
        <f>IF(120&lt;=核心参数输入!$B$9*4,IF(核心参数输入!$B$64=1,DT38,DT28),0)</f>
        <v>0</v>
      </c>
    </row>
    <row r="51" spans="1:124" ht="21" customHeight="1">
      <c r="A51" s="8" t="s">
        <v>543</v>
      </c>
      <c r="B51" s="8" t="s">
        <v>39</v>
      </c>
      <c r="C51" s="8"/>
      <c r="D51" s="9">
        <f>IF(0&lt;=核心参数输入!$B$9*4,IF(核心参数输入!$B$64=1,D39,D29),0)</f>
        <v>0</v>
      </c>
      <c r="E51" s="9">
        <f>IF(1&lt;=核心参数输入!$B$9*4,IF(核心参数输入!$B$64=1,E39,E29),0)</f>
        <v>0</v>
      </c>
      <c r="F51" s="9">
        <f>IF(2&lt;=核心参数输入!$B$9*4,IF(核心参数输入!$B$64=1,F39,F29),0)</f>
        <v>0</v>
      </c>
      <c r="G51" s="9">
        <f>IF(3&lt;=核心参数输入!$B$9*4,IF(核心参数输入!$B$64=1,G39,G29),0)</f>
        <v>0</v>
      </c>
      <c r="H51" s="9">
        <f>IF(4&lt;=核心参数输入!$B$9*4,IF(核心参数输入!$B$64=1,H39,H29),0)</f>
        <v>0</v>
      </c>
      <c r="I51" s="9">
        <f>IF(5&lt;=核心参数输入!$B$9*4,IF(核心参数输入!$B$64=1,I39,I29),0)</f>
        <v>0</v>
      </c>
      <c r="J51" s="9">
        <f>IF(6&lt;=核心参数输入!$B$9*4,IF(核心参数输入!$B$64=1,J39,J29),0)</f>
        <v>0</v>
      </c>
      <c r="K51" s="9">
        <f>IF(7&lt;=核心参数输入!$B$9*4,IF(核心参数输入!$B$64=1,K39,K29),0)</f>
        <v>0</v>
      </c>
      <c r="L51" s="9">
        <f>IF(8&lt;=核心参数输入!$B$9*4,IF(核心参数输入!$B$64=1,L39,L29),0)</f>
        <v>0</v>
      </c>
      <c r="M51" s="9">
        <f>IF(9&lt;=核心参数输入!$B$9*4,IF(核心参数输入!$B$64=1,M39,M29),0)</f>
        <v>0</v>
      </c>
      <c r="N51" s="9">
        <f>IF(10&lt;=核心参数输入!$B$9*4,IF(核心参数输入!$B$64=1,N39,N29),0)</f>
        <v>0</v>
      </c>
      <c r="O51" s="9">
        <f>IF(11&lt;=核心参数输入!$B$9*4,IF(核心参数输入!$B$64=1,O39,O29),0)</f>
        <v>0</v>
      </c>
      <c r="P51" s="9">
        <f>IF(12&lt;=核心参数输入!$B$9*4,IF(核心参数输入!$B$64=1,P39,P29),0)</f>
        <v>0</v>
      </c>
      <c r="Q51" s="9">
        <f>IF(13&lt;=核心参数输入!$B$9*4,IF(核心参数输入!$B$64=1,Q39,Q29),0)</f>
        <v>0</v>
      </c>
      <c r="R51" s="9">
        <f>IF(14&lt;=核心参数输入!$B$9*4,IF(核心参数输入!$B$64=1,R39,R29),0)</f>
        <v>0</v>
      </c>
      <c r="S51" s="9">
        <f>IF(15&lt;=核心参数输入!$B$9*4,IF(核心参数输入!$B$64=1,S39,S29),0)</f>
        <v>1396.0439441049111</v>
      </c>
      <c r="T51" s="9">
        <f>IF(16&lt;=核心参数输入!$B$9*4,IF(核心参数输入!$B$64=1,T39,T29),0)</f>
        <v>0</v>
      </c>
      <c r="U51" s="9">
        <f>IF(17&lt;=核心参数输入!$B$9*4,IF(核心参数输入!$B$64=1,U39,U29),0)</f>
        <v>0</v>
      </c>
      <c r="V51" s="9">
        <f>IF(18&lt;=核心参数输入!$B$9*4,IF(核心参数输入!$B$64=1,V39,V29),0)</f>
        <v>1646.6951831907027</v>
      </c>
      <c r="W51" s="9">
        <f>IF(19&lt;=核心参数输入!$B$9*4,IF(核心参数输入!$B$64=1,W39,W29),0)</f>
        <v>5807.7050272628276</v>
      </c>
      <c r="X51" s="9">
        <f>IF(20&lt;=核心参数输入!$B$9*4,IF(核心参数输入!$B$64=1,X39,X29),0)</f>
        <v>5240.868945569995</v>
      </c>
      <c r="Y51" s="9">
        <f>IF(21&lt;=核心参数输入!$B$9*4,IF(核心参数输入!$B$64=1,Y39,Y29),0)</f>
        <v>8772.0717497241931</v>
      </c>
      <c r="Z51" s="9">
        <f>IF(22&lt;=核心参数输入!$B$9*4,IF(核心参数输入!$B$64=1,Z39,Z29),0)</f>
        <v>11959.301231578202</v>
      </c>
      <c r="AA51" s="9">
        <f>IF(23&lt;=核心参数输入!$B$9*4,IF(核心参数输入!$B$64=1,AA39,AA29),0)</f>
        <v>15161.955365746333</v>
      </c>
      <c r="AB51" s="9">
        <f>IF(24&lt;=核心参数输入!$B$9*4,IF(核心参数输入!$B$64=1,AB39,AB29),0)</f>
        <v>13721.068877349653</v>
      </c>
      <c r="AC51" s="9">
        <f>IF(25&lt;=核心参数输入!$B$9*4,IF(核心参数输入!$B$64=1,AC39,AC29),0)</f>
        <v>14849.426350540474</v>
      </c>
      <c r="AD51" s="9">
        <f>IF(26&lt;=核心参数输入!$B$9*4,IF(核心参数输入!$B$64=1,AD39,AD29),0)</f>
        <v>14902.314921797184</v>
      </c>
      <c r="AE51" s="9">
        <f>IF(27&lt;=核心参数输入!$B$9*4,IF(核心参数输入!$B$64=1,AE39,AE29),0)</f>
        <v>14960.422167086839</v>
      </c>
      <c r="AF51" s="9">
        <f>IF(28&lt;=核心参数输入!$B$9*4,IF(核心参数输入!$B$64=1,AF39,AF29),0)</f>
        <v>10760.533800695153</v>
      </c>
      <c r="AG51" s="9">
        <f>IF(29&lt;=核心参数输入!$B$9*4,IF(核心参数输入!$B$64=1,AG39,AG29),0)</f>
        <v>10878.083609951031</v>
      </c>
      <c r="AH51" s="9">
        <f>IF(30&lt;=核心参数输入!$B$9*4,IF(核心参数输入!$B$64=1,AH39,AH29),0)</f>
        <v>10998.281896278628</v>
      </c>
      <c r="AI51" s="9">
        <f>IF(31&lt;=核心参数输入!$B$9*4,IF(核心参数输入!$B$64=1,AI39,AI29),0)</f>
        <v>11118.480182606225</v>
      </c>
      <c r="AJ51" s="9">
        <f>IF(32&lt;=核心参数输入!$B$9*4,IF(核心参数输入!$B$64=1,AJ39,AJ29),0)</f>
        <v>6975.4641832195357</v>
      </c>
      <c r="AK51" s="9">
        <f>IF(33&lt;=核心参数输入!$B$9*4,IF(核心参数输入!$B$64=1,AK39,AK29),0)</f>
        <v>7144.759531782046</v>
      </c>
      <c r="AL51" s="9">
        <f>IF(34&lt;=核心参数输入!$B$9*4,IF(核心参数输入!$B$64=1,AL39,AL29),0)</f>
        <v>7314.0548803445563</v>
      </c>
      <c r="AM51" s="9">
        <f>IF(35&lt;=核心参数输入!$B$9*4,IF(核心参数输入!$B$64=1,AM39,AM29),0)</f>
        <v>7483.3502289070666</v>
      </c>
      <c r="AN51" s="9">
        <f>IF(36&lt;=核心参数输入!$B$9*4,IF(核心参数输入!$B$64=1,AN39,AN29),0)</f>
        <v>3389.4312917552916</v>
      </c>
      <c r="AO51" s="9">
        <f>IF(37&lt;=核心参数输入!$B$9*4,IF(核心参数输入!$B$64=1,AO39,AO29),0)</f>
        <v>3607.8770402450396</v>
      </c>
      <c r="AP51" s="9">
        <f>IF(38&lt;=核心参数输入!$B$9*4,IF(核心参数输入!$B$64=1,AP39,AP29),0)</f>
        <v>3826.3227887347875</v>
      </c>
      <c r="AQ51" s="9">
        <f>IF(39&lt;=核心参数输入!$B$9*4,IF(核心参数输入!$B$64=1,AQ39,AQ29),0)</f>
        <v>4044.7685372245355</v>
      </c>
      <c r="AR51" s="9">
        <f>IF(40&lt;=核心参数输入!$B$9*4,IF(核心参数输入!$B$64=1,AR39,AR29),0)</f>
        <v>0</v>
      </c>
      <c r="AS51" s="9">
        <f>IF(41&lt;=核心参数输入!$B$9*4,IF(核心参数输入!$B$64=1,AS39,AS29),0)</f>
        <v>0</v>
      </c>
      <c r="AT51" s="9">
        <f>IF(42&lt;=核心参数输入!$B$9*4,IF(核心参数输入!$B$64=1,AT39,AT29),0)</f>
        <v>0</v>
      </c>
      <c r="AU51" s="9">
        <f>IF(43&lt;=核心参数输入!$B$9*4,IF(核心参数输入!$B$64=1,AU39,AU29),0)</f>
        <v>0</v>
      </c>
      <c r="AV51" s="9">
        <f>IF(44&lt;=核心参数输入!$B$9*4,IF(核心参数输入!$B$64=1,AV39,AV29),0)</f>
        <v>0</v>
      </c>
      <c r="AW51" s="9">
        <f>IF(45&lt;=核心参数输入!$B$9*4,IF(核心参数输入!$B$64=1,AW39,AW29),0)</f>
        <v>0</v>
      </c>
      <c r="AX51" s="9">
        <f>IF(46&lt;=核心参数输入!$B$9*4,IF(核心参数输入!$B$64=1,AX39,AX29),0)</f>
        <v>0</v>
      </c>
      <c r="AY51" s="9">
        <f>IF(47&lt;=核心参数输入!$B$9*4,IF(核心参数输入!$B$64=1,AY39,AY29),0)</f>
        <v>0</v>
      </c>
      <c r="AZ51" s="9">
        <f>IF(48&lt;=核心参数输入!$B$9*4,IF(核心参数输入!$B$64=1,AZ39,AZ29),0)</f>
        <v>0</v>
      </c>
      <c r="BA51" s="9">
        <f>IF(49&lt;=核心参数输入!$B$9*4,IF(核心参数输入!$B$64=1,BA39,BA29),0)</f>
        <v>0</v>
      </c>
      <c r="BB51" s="9">
        <f>IF(50&lt;=核心参数输入!$B$9*4,IF(核心参数输入!$B$64=1,BB39,BB29),0)</f>
        <v>0</v>
      </c>
      <c r="BC51" s="9">
        <f>IF(51&lt;=核心参数输入!$B$9*4,IF(核心参数输入!$B$64=1,BC39,BC29),0)</f>
        <v>0</v>
      </c>
      <c r="BD51" s="9">
        <f>IF(52&lt;=核心参数输入!$B$9*4,IF(核心参数输入!$B$64=1,BD39,BD29),0)</f>
        <v>0</v>
      </c>
      <c r="BE51" s="9">
        <f>IF(53&lt;=核心参数输入!$B$9*4,IF(核心参数输入!$B$64=1,BE39,BE29),0)</f>
        <v>0</v>
      </c>
      <c r="BF51" s="9">
        <f>IF(54&lt;=核心参数输入!$B$9*4,IF(核心参数输入!$B$64=1,BF39,BF29),0)</f>
        <v>0</v>
      </c>
      <c r="BG51" s="9">
        <f>IF(55&lt;=核心参数输入!$B$9*4,IF(核心参数输入!$B$64=1,BG39,BG29),0)</f>
        <v>0</v>
      </c>
      <c r="BH51" s="9">
        <f>IF(56&lt;=核心参数输入!$B$9*4,IF(核心参数输入!$B$64=1,BH39,BH29),0)</f>
        <v>0</v>
      </c>
      <c r="BI51" s="9">
        <f>IF(57&lt;=核心参数输入!$B$9*4,IF(核心参数输入!$B$64=1,BI39,BI29),0)</f>
        <v>0</v>
      </c>
      <c r="BJ51" s="9">
        <f>IF(58&lt;=核心参数输入!$B$9*4,IF(核心参数输入!$B$64=1,BJ39,BJ29),0)</f>
        <v>0</v>
      </c>
      <c r="BK51" s="9">
        <f>IF(59&lt;=核心参数输入!$B$9*4,IF(核心参数输入!$B$64=1,BK39,BK29),0)</f>
        <v>0</v>
      </c>
      <c r="BL51" s="9">
        <f>IF(60&lt;=核心参数输入!$B$9*4,IF(核心参数输入!$B$64=1,BL39,BL29),0)</f>
        <v>0</v>
      </c>
      <c r="BM51" s="9">
        <f>IF(61&lt;=核心参数输入!$B$9*4,IF(核心参数输入!$B$64=1,BM39,BM29),0)</f>
        <v>0</v>
      </c>
      <c r="BN51" s="9">
        <f>IF(62&lt;=核心参数输入!$B$9*4,IF(核心参数输入!$B$64=1,BN39,BN29),0)</f>
        <v>0</v>
      </c>
      <c r="BO51" s="9">
        <f>IF(63&lt;=核心参数输入!$B$9*4,IF(核心参数输入!$B$64=1,BO39,BO29),0)</f>
        <v>0</v>
      </c>
      <c r="BP51" s="9">
        <f>IF(64&lt;=核心参数输入!$B$9*4,IF(核心参数输入!$B$64=1,BP39,BP29),0)</f>
        <v>0</v>
      </c>
      <c r="BQ51" s="9">
        <f>IF(65&lt;=核心参数输入!$B$9*4,IF(核心参数输入!$B$64=1,BQ39,BQ29),0)</f>
        <v>0</v>
      </c>
      <c r="BR51" s="9">
        <f>IF(66&lt;=核心参数输入!$B$9*4,IF(核心参数输入!$B$64=1,BR39,BR29),0)</f>
        <v>0</v>
      </c>
      <c r="BS51" s="9">
        <f>IF(67&lt;=核心参数输入!$B$9*4,IF(核心参数输入!$B$64=1,BS39,BS29),0)</f>
        <v>0</v>
      </c>
      <c r="BT51" s="9">
        <f>IF(68&lt;=核心参数输入!$B$9*4,IF(核心参数输入!$B$64=1,BT39,BT29),0)</f>
        <v>0</v>
      </c>
      <c r="BU51" s="9">
        <f>IF(69&lt;=核心参数输入!$B$9*4,IF(核心参数输入!$B$64=1,BU39,BU29),0)</f>
        <v>0</v>
      </c>
      <c r="BV51" s="9">
        <f>IF(70&lt;=核心参数输入!$B$9*4,IF(核心参数输入!$B$64=1,BV39,BV29),0)</f>
        <v>0</v>
      </c>
      <c r="BW51" s="9">
        <f>IF(71&lt;=核心参数输入!$B$9*4,IF(核心参数输入!$B$64=1,BW39,BW29),0)</f>
        <v>0</v>
      </c>
      <c r="BX51" s="9">
        <f>IF(72&lt;=核心参数输入!$B$9*4,IF(核心参数输入!$B$64=1,BX39,BX29),0)</f>
        <v>0</v>
      </c>
      <c r="BY51" s="9">
        <f>IF(73&lt;=核心参数输入!$B$9*4,IF(核心参数输入!$B$64=1,BY39,BY29),0)</f>
        <v>0</v>
      </c>
      <c r="BZ51" s="9">
        <f>IF(74&lt;=核心参数输入!$B$9*4,IF(核心参数输入!$B$64=1,BZ39,BZ29),0)</f>
        <v>0</v>
      </c>
      <c r="CA51" s="9">
        <f>IF(75&lt;=核心参数输入!$B$9*4,IF(核心参数输入!$B$64=1,CA39,CA29),0)</f>
        <v>0</v>
      </c>
      <c r="CB51" s="9">
        <f>IF(76&lt;=核心参数输入!$B$9*4,IF(核心参数输入!$B$64=1,CB39,CB29),0)</f>
        <v>0</v>
      </c>
      <c r="CC51" s="9">
        <f>IF(77&lt;=核心参数输入!$B$9*4,IF(核心参数输入!$B$64=1,CC39,CC29),0)</f>
        <v>0</v>
      </c>
      <c r="CD51" s="9">
        <f>IF(78&lt;=核心参数输入!$B$9*4,IF(核心参数输入!$B$64=1,CD39,CD29),0)</f>
        <v>0</v>
      </c>
      <c r="CE51" s="9">
        <f>IF(79&lt;=核心参数输入!$B$9*4,IF(核心参数输入!$B$64=1,CE39,CE29),0)</f>
        <v>0</v>
      </c>
      <c r="CF51" s="9">
        <f>IF(80&lt;=核心参数输入!$B$9*4,IF(核心参数输入!$B$64=1,CF39,CF29),0)</f>
        <v>0</v>
      </c>
      <c r="CG51" s="9">
        <f>IF(81&lt;=核心参数输入!$B$9*4,IF(核心参数输入!$B$64=1,CG39,CG29),0)</f>
        <v>0</v>
      </c>
      <c r="CH51" s="9">
        <f>IF(82&lt;=核心参数输入!$B$9*4,IF(核心参数输入!$B$64=1,CH39,CH29),0)</f>
        <v>0</v>
      </c>
      <c r="CI51" s="9">
        <f>IF(83&lt;=核心参数输入!$B$9*4,IF(核心参数输入!$B$64=1,CI39,CI29),0)</f>
        <v>0</v>
      </c>
      <c r="CJ51" s="9">
        <f>IF(84&lt;=核心参数输入!$B$9*4,IF(核心参数输入!$B$64=1,CJ39,CJ29),0)</f>
        <v>0</v>
      </c>
      <c r="CK51" s="9">
        <f>IF(85&lt;=核心参数输入!$B$9*4,IF(核心参数输入!$B$64=1,CK39,CK29),0)</f>
        <v>0</v>
      </c>
      <c r="CL51" s="9">
        <f>IF(86&lt;=核心参数输入!$B$9*4,IF(核心参数输入!$B$64=1,CL39,CL29),0)</f>
        <v>0</v>
      </c>
      <c r="CM51" s="9">
        <f>IF(87&lt;=核心参数输入!$B$9*4,IF(核心参数输入!$B$64=1,CM39,CM29),0)</f>
        <v>0</v>
      </c>
      <c r="CN51" s="9">
        <f>IF(88&lt;=核心参数输入!$B$9*4,IF(核心参数输入!$B$64=1,CN39,CN29),0)</f>
        <v>0</v>
      </c>
      <c r="CO51" s="9">
        <f>IF(89&lt;=核心参数输入!$B$9*4,IF(核心参数输入!$B$64=1,CO39,CO29),0)</f>
        <v>0</v>
      </c>
      <c r="CP51" s="9">
        <f>IF(90&lt;=核心参数输入!$B$9*4,IF(核心参数输入!$B$64=1,CP39,CP29),0)</f>
        <v>0</v>
      </c>
      <c r="CQ51" s="9">
        <f>IF(91&lt;=核心参数输入!$B$9*4,IF(核心参数输入!$B$64=1,CQ39,CQ29),0)</f>
        <v>0</v>
      </c>
      <c r="CR51" s="9">
        <f>IF(92&lt;=核心参数输入!$B$9*4,IF(核心参数输入!$B$64=1,CR39,CR29),0)</f>
        <v>0</v>
      </c>
      <c r="CS51" s="9">
        <f>IF(93&lt;=核心参数输入!$B$9*4,IF(核心参数输入!$B$64=1,CS39,CS29),0)</f>
        <v>0</v>
      </c>
      <c r="CT51" s="9">
        <f>IF(94&lt;=核心参数输入!$B$9*4,IF(核心参数输入!$B$64=1,CT39,CT29),0)</f>
        <v>0</v>
      </c>
      <c r="CU51" s="9">
        <f>IF(95&lt;=核心参数输入!$B$9*4,IF(核心参数输入!$B$64=1,CU39,CU29),0)</f>
        <v>0</v>
      </c>
      <c r="CV51" s="9">
        <f>IF(96&lt;=核心参数输入!$B$9*4,IF(核心参数输入!$B$64=1,CV39,CV29),0)</f>
        <v>0</v>
      </c>
      <c r="CW51" s="9">
        <f>IF(97&lt;=核心参数输入!$B$9*4,IF(核心参数输入!$B$64=1,CW39,CW29),0)</f>
        <v>0</v>
      </c>
      <c r="CX51" s="9">
        <f>IF(98&lt;=核心参数输入!$B$9*4,IF(核心参数输入!$B$64=1,CX39,CX29),0)</f>
        <v>0</v>
      </c>
      <c r="CY51" s="9">
        <f>IF(99&lt;=核心参数输入!$B$9*4,IF(核心参数输入!$B$64=1,CY39,CY29),0)</f>
        <v>0</v>
      </c>
      <c r="CZ51" s="9">
        <f>IF(100&lt;=核心参数输入!$B$9*4,IF(核心参数输入!$B$64=1,CZ39,CZ29),0)</f>
        <v>0</v>
      </c>
      <c r="DA51" s="9">
        <f>IF(101&lt;=核心参数输入!$B$9*4,IF(核心参数输入!$B$64=1,DA39,DA29),0)</f>
        <v>0</v>
      </c>
      <c r="DB51" s="9">
        <f>IF(102&lt;=核心参数输入!$B$9*4,IF(核心参数输入!$B$64=1,DB39,DB29),0)</f>
        <v>0</v>
      </c>
      <c r="DC51" s="9">
        <f>IF(103&lt;=核心参数输入!$B$9*4,IF(核心参数输入!$B$64=1,DC39,DC29),0)</f>
        <v>0</v>
      </c>
      <c r="DD51" s="9">
        <f>IF(104&lt;=核心参数输入!$B$9*4,IF(核心参数输入!$B$64=1,DD39,DD29),0)</f>
        <v>0</v>
      </c>
      <c r="DE51" s="9">
        <f>IF(105&lt;=核心参数输入!$B$9*4,IF(核心参数输入!$B$64=1,DE39,DE29),0)</f>
        <v>0</v>
      </c>
      <c r="DF51" s="9">
        <f>IF(106&lt;=核心参数输入!$B$9*4,IF(核心参数输入!$B$64=1,DF39,DF29),0)</f>
        <v>0</v>
      </c>
      <c r="DG51" s="9">
        <f>IF(107&lt;=核心参数输入!$B$9*4,IF(核心参数输入!$B$64=1,DG39,DG29),0)</f>
        <v>0</v>
      </c>
      <c r="DH51" s="9">
        <f>IF(108&lt;=核心参数输入!$B$9*4,IF(核心参数输入!$B$64=1,DH39,DH29),0)</f>
        <v>0</v>
      </c>
      <c r="DI51" s="9">
        <f>IF(109&lt;=核心参数输入!$B$9*4,IF(核心参数输入!$B$64=1,DI39,DI29),0)</f>
        <v>0</v>
      </c>
      <c r="DJ51" s="9">
        <f>IF(110&lt;=核心参数输入!$B$9*4,IF(核心参数输入!$B$64=1,DJ39,DJ29),0)</f>
        <v>0</v>
      </c>
      <c r="DK51" s="9">
        <f>IF(111&lt;=核心参数输入!$B$9*4,IF(核心参数输入!$B$64=1,DK39,DK29),0)</f>
        <v>0</v>
      </c>
      <c r="DL51" s="9">
        <f>IF(112&lt;=核心参数输入!$B$9*4,IF(核心参数输入!$B$64=1,DL39,DL29),0)</f>
        <v>0</v>
      </c>
      <c r="DM51" s="9">
        <f>IF(113&lt;=核心参数输入!$B$9*4,IF(核心参数输入!$B$64=1,DM39,DM29),0)</f>
        <v>0</v>
      </c>
      <c r="DN51" s="9">
        <f>IF(114&lt;=核心参数输入!$B$9*4,IF(核心参数输入!$B$64=1,DN39,DN29),0)</f>
        <v>0</v>
      </c>
      <c r="DO51" s="9">
        <f>IF(115&lt;=核心参数输入!$B$9*4,IF(核心参数输入!$B$64=1,DO39,DO29),0)</f>
        <v>0</v>
      </c>
      <c r="DP51" s="9">
        <f>IF(116&lt;=核心参数输入!$B$9*4,IF(核心参数输入!$B$64=1,DP39,DP29),0)</f>
        <v>0</v>
      </c>
      <c r="DQ51" s="9">
        <f>IF(117&lt;=核心参数输入!$B$9*4,IF(核心参数输入!$B$64=1,DQ39,DQ29),0)</f>
        <v>0</v>
      </c>
      <c r="DR51" s="9">
        <f>IF(118&lt;=核心参数输入!$B$9*4,IF(核心参数输入!$B$64=1,DR39,DR29),0)</f>
        <v>0</v>
      </c>
      <c r="DS51" s="9">
        <f>IF(119&lt;=核心参数输入!$B$9*4,IF(核心参数输入!$B$64=1,DS39,DS29),0)</f>
        <v>0</v>
      </c>
      <c r="DT51" s="9">
        <f>IF(120&lt;=核心参数输入!$B$9*4,IF(核心参数输入!$B$64=1,DT39,DT29),0)</f>
        <v>0</v>
      </c>
    </row>
    <row r="52" spans="1:124" ht="21" customHeight="1">
      <c r="A52" s="8" t="s">
        <v>544</v>
      </c>
      <c r="B52" s="8" t="s">
        <v>39</v>
      </c>
      <c r="C52" s="8"/>
      <c r="D52" s="9">
        <f>IF(0&lt;=核心参数输入!$B$9*4,0,0)</f>
        <v>0</v>
      </c>
      <c r="E52" s="9">
        <f>IF(1&lt;=核心参数输入!$B$9*4,季度现金流!D57,0)</f>
        <v>0</v>
      </c>
      <c r="F52" s="9">
        <f>IF(2&lt;=核心参数输入!$B$9*4,季度现金流!E57,0)</f>
        <v>0</v>
      </c>
      <c r="G52" s="9">
        <f>IF(3&lt;=核心参数输入!$B$9*4,季度现金流!F57,0)</f>
        <v>0</v>
      </c>
      <c r="H52" s="9">
        <f>IF(4&lt;=核心参数输入!$B$9*4,季度现金流!G57,0)</f>
        <v>0</v>
      </c>
      <c r="I52" s="9">
        <f>IF(5&lt;=核心参数输入!$B$9*4,季度现金流!H57,0)</f>
        <v>0</v>
      </c>
      <c r="J52" s="9">
        <f>IF(6&lt;=核心参数输入!$B$9*4,季度现金流!I57,0)</f>
        <v>0</v>
      </c>
      <c r="K52" s="9">
        <f>IF(7&lt;=核心参数输入!$B$9*4,季度现金流!J57,0)</f>
        <v>0</v>
      </c>
      <c r="L52" s="9">
        <f>IF(8&lt;=核心参数输入!$B$9*4,季度现金流!K57,0)</f>
        <v>0</v>
      </c>
      <c r="M52" s="9">
        <f>IF(9&lt;=核心参数输入!$B$9*4,季度现金流!L57,0)</f>
        <v>0</v>
      </c>
      <c r="N52" s="9">
        <f>IF(10&lt;=核心参数输入!$B$9*4,季度现金流!M57,0)</f>
        <v>0</v>
      </c>
      <c r="O52" s="9">
        <f>IF(11&lt;=核心参数输入!$B$9*4,季度现金流!N57,0)</f>
        <v>0</v>
      </c>
      <c r="P52" s="9">
        <f>IF(12&lt;=核心参数输入!$B$9*4,季度现金流!O57,0)</f>
        <v>0</v>
      </c>
      <c r="Q52" s="9">
        <f>IF(13&lt;=核心参数输入!$B$9*4,季度现金流!P57,0)</f>
        <v>0</v>
      </c>
      <c r="R52" s="9">
        <f>IF(14&lt;=核心参数输入!$B$9*4,季度现金流!Q57,0)</f>
        <v>0</v>
      </c>
      <c r="S52" s="9">
        <f>IF(15&lt;=核心参数输入!$B$9*4,季度现金流!R57,0)</f>
        <v>0</v>
      </c>
      <c r="T52" s="9">
        <f>IF(16&lt;=核心参数输入!$B$9*4,季度现金流!S57,0)</f>
        <v>1396.0439441049111</v>
      </c>
      <c r="U52" s="9">
        <f>IF(17&lt;=核心参数输入!$B$9*4,季度现金流!T57,0)</f>
        <v>0</v>
      </c>
      <c r="V52" s="9">
        <f>IF(18&lt;=核心参数输入!$B$9*4,季度现金流!U57,0)</f>
        <v>0</v>
      </c>
      <c r="W52" s="9">
        <f>IF(19&lt;=核心参数输入!$B$9*4,季度现金流!V57,0)</f>
        <v>1646.6951831907027</v>
      </c>
      <c r="X52" s="9">
        <f>IF(20&lt;=核心参数输入!$B$9*4,季度现金流!W57,0)</f>
        <v>5807.7050272628276</v>
      </c>
      <c r="Y52" s="9">
        <f>IF(21&lt;=核心参数输入!$B$9*4,季度现金流!X57,0)</f>
        <v>5240.868945569995</v>
      </c>
      <c r="Z52" s="9">
        <f>IF(22&lt;=核心参数输入!$B$9*4,季度现金流!Y57,0)</f>
        <v>8772.0717497241931</v>
      </c>
      <c r="AA52" s="9">
        <f>IF(23&lt;=核心参数输入!$B$9*4,季度现金流!Z57,0)</f>
        <v>11959.301231578202</v>
      </c>
      <c r="AB52" s="9">
        <f>IF(24&lt;=核心参数输入!$B$9*4,季度现金流!AA57,0)</f>
        <v>15161.955365746333</v>
      </c>
      <c r="AC52" s="9">
        <f>IF(25&lt;=核心参数输入!$B$9*4,季度现金流!AB57,0)</f>
        <v>13721.068877349653</v>
      </c>
      <c r="AD52" s="9">
        <f>IF(26&lt;=核心参数输入!$B$9*4,季度现金流!AC57,0)</f>
        <v>14849.426350540474</v>
      </c>
      <c r="AE52" s="9">
        <f>IF(27&lt;=核心参数输入!$B$9*4,季度现金流!AD57,0)</f>
        <v>14902.314921797184</v>
      </c>
      <c r="AF52" s="9">
        <f>IF(28&lt;=核心参数输入!$B$9*4,季度现金流!AE57,0)</f>
        <v>14960.422167086839</v>
      </c>
      <c r="AG52" s="9">
        <f>IF(29&lt;=核心参数输入!$B$9*4,季度现金流!AF57,0)</f>
        <v>10760.533800695153</v>
      </c>
      <c r="AH52" s="9">
        <f>IF(30&lt;=核心参数输入!$B$9*4,季度现金流!AG57,0)</f>
        <v>10878.083609951031</v>
      </c>
      <c r="AI52" s="9">
        <f>IF(31&lt;=核心参数输入!$B$9*4,季度现金流!AH57,0)</f>
        <v>10998.281896278628</v>
      </c>
      <c r="AJ52" s="9">
        <f>IF(32&lt;=核心参数输入!$B$9*4,季度现金流!AI57,0)</f>
        <v>11118.480182606225</v>
      </c>
      <c r="AK52" s="9">
        <f>IF(33&lt;=核心参数输入!$B$9*4,季度现金流!AJ57,0)</f>
        <v>6975.4641832195357</v>
      </c>
      <c r="AL52" s="9">
        <f>IF(34&lt;=核心参数输入!$B$9*4,季度现金流!AK57,0)</f>
        <v>7144.759531782046</v>
      </c>
      <c r="AM52" s="9">
        <f>IF(35&lt;=核心参数输入!$B$9*4,季度现金流!AL57,0)</f>
        <v>7314.0548803445563</v>
      </c>
      <c r="AN52" s="9">
        <f>IF(36&lt;=核心参数输入!$B$9*4,季度现金流!AM57,0)</f>
        <v>7483.3502289070666</v>
      </c>
      <c r="AO52" s="9">
        <f>IF(37&lt;=核心参数输入!$B$9*4,季度现金流!AN57,0)</f>
        <v>3389.4312917552916</v>
      </c>
      <c r="AP52" s="9">
        <f>IF(38&lt;=核心参数输入!$B$9*4,季度现金流!AO57,0)</f>
        <v>3607.8770402450396</v>
      </c>
      <c r="AQ52" s="9">
        <f>IF(39&lt;=核心参数输入!$B$9*4,季度现金流!AP57,0)</f>
        <v>3826.3227887347875</v>
      </c>
      <c r="AR52" s="9">
        <f>IF(40&lt;=核心参数输入!$B$9*4,季度现金流!AQ57,0)</f>
        <v>4044.7685372245355</v>
      </c>
      <c r="AS52" s="9">
        <f>IF(41&lt;=核心参数输入!$B$9*4,季度现金流!AR57,0)</f>
        <v>0</v>
      </c>
      <c r="AT52" s="9">
        <f>IF(42&lt;=核心参数输入!$B$9*4,季度现金流!AS57,0)</f>
        <v>0</v>
      </c>
      <c r="AU52" s="9">
        <f>IF(43&lt;=核心参数输入!$B$9*4,季度现金流!AT57,0)</f>
        <v>0</v>
      </c>
      <c r="AV52" s="9">
        <f>IF(44&lt;=核心参数输入!$B$9*4,季度现金流!AU57,0)</f>
        <v>0</v>
      </c>
      <c r="AW52" s="9">
        <f>IF(45&lt;=核心参数输入!$B$9*4,季度现金流!AV57,0)</f>
        <v>0</v>
      </c>
      <c r="AX52" s="9">
        <f>IF(46&lt;=核心参数输入!$B$9*4,季度现金流!AW57,0)</f>
        <v>0</v>
      </c>
      <c r="AY52" s="9">
        <f>IF(47&lt;=核心参数输入!$B$9*4,季度现金流!AX57,0)</f>
        <v>0</v>
      </c>
      <c r="AZ52" s="9">
        <f>IF(48&lt;=核心参数输入!$B$9*4,季度现金流!AY57,0)</f>
        <v>0</v>
      </c>
      <c r="BA52" s="9">
        <f>IF(49&lt;=核心参数输入!$B$9*4,季度现金流!AZ57,0)</f>
        <v>0</v>
      </c>
      <c r="BB52" s="9">
        <f>IF(50&lt;=核心参数输入!$B$9*4,季度现金流!BA57,0)</f>
        <v>0</v>
      </c>
      <c r="BC52" s="9">
        <f>IF(51&lt;=核心参数输入!$B$9*4,季度现金流!BB57,0)</f>
        <v>0</v>
      </c>
      <c r="BD52" s="9">
        <f>IF(52&lt;=核心参数输入!$B$9*4,季度现金流!BC57,0)</f>
        <v>0</v>
      </c>
      <c r="BE52" s="9">
        <f>IF(53&lt;=核心参数输入!$B$9*4,季度现金流!BD57,0)</f>
        <v>0</v>
      </c>
      <c r="BF52" s="9">
        <f>IF(54&lt;=核心参数输入!$B$9*4,季度现金流!BE57,0)</f>
        <v>0</v>
      </c>
      <c r="BG52" s="9">
        <f>IF(55&lt;=核心参数输入!$B$9*4,季度现金流!BF57,0)</f>
        <v>0</v>
      </c>
      <c r="BH52" s="9">
        <f>IF(56&lt;=核心参数输入!$B$9*4,季度现金流!BG57,0)</f>
        <v>0</v>
      </c>
      <c r="BI52" s="9">
        <f>IF(57&lt;=核心参数输入!$B$9*4,季度现金流!BH57,0)</f>
        <v>0</v>
      </c>
      <c r="BJ52" s="9">
        <f>IF(58&lt;=核心参数输入!$B$9*4,季度现金流!BI57,0)</f>
        <v>0</v>
      </c>
      <c r="BK52" s="9">
        <f>IF(59&lt;=核心参数输入!$B$9*4,季度现金流!BJ57,0)</f>
        <v>0</v>
      </c>
      <c r="BL52" s="9">
        <f>IF(60&lt;=核心参数输入!$B$9*4,季度现金流!BK57,0)</f>
        <v>0</v>
      </c>
      <c r="BM52" s="9">
        <f>IF(61&lt;=核心参数输入!$B$9*4,季度现金流!BL57,0)</f>
        <v>0</v>
      </c>
      <c r="BN52" s="9">
        <f>IF(62&lt;=核心参数输入!$B$9*4,季度现金流!BM57,0)</f>
        <v>0</v>
      </c>
      <c r="BO52" s="9">
        <f>IF(63&lt;=核心参数输入!$B$9*4,季度现金流!BN57,0)</f>
        <v>0</v>
      </c>
      <c r="BP52" s="9">
        <f>IF(64&lt;=核心参数输入!$B$9*4,季度现金流!BO57,0)</f>
        <v>0</v>
      </c>
      <c r="BQ52" s="9">
        <f>IF(65&lt;=核心参数输入!$B$9*4,季度现金流!BP57,0)</f>
        <v>0</v>
      </c>
      <c r="BR52" s="9">
        <f>IF(66&lt;=核心参数输入!$B$9*4,季度现金流!BQ57,0)</f>
        <v>0</v>
      </c>
      <c r="BS52" s="9">
        <f>IF(67&lt;=核心参数输入!$B$9*4,季度现金流!BR57,0)</f>
        <v>0</v>
      </c>
      <c r="BT52" s="9">
        <f>IF(68&lt;=核心参数输入!$B$9*4,季度现金流!BS57,0)</f>
        <v>0</v>
      </c>
      <c r="BU52" s="9">
        <f>IF(69&lt;=核心参数输入!$B$9*4,季度现金流!BT57,0)</f>
        <v>0</v>
      </c>
      <c r="BV52" s="9">
        <f>IF(70&lt;=核心参数输入!$B$9*4,季度现金流!BU57,0)</f>
        <v>0</v>
      </c>
      <c r="BW52" s="9">
        <f>IF(71&lt;=核心参数输入!$B$9*4,季度现金流!BV57,0)</f>
        <v>0</v>
      </c>
      <c r="BX52" s="9">
        <f>IF(72&lt;=核心参数输入!$B$9*4,季度现金流!BW57,0)</f>
        <v>0</v>
      </c>
      <c r="BY52" s="9">
        <f>IF(73&lt;=核心参数输入!$B$9*4,季度现金流!BX57,0)</f>
        <v>0</v>
      </c>
      <c r="BZ52" s="9">
        <f>IF(74&lt;=核心参数输入!$B$9*4,季度现金流!BY57,0)</f>
        <v>0</v>
      </c>
      <c r="CA52" s="9">
        <f>IF(75&lt;=核心参数输入!$B$9*4,季度现金流!BZ57,0)</f>
        <v>0</v>
      </c>
      <c r="CB52" s="9">
        <f>IF(76&lt;=核心参数输入!$B$9*4,季度现金流!CA57,0)</f>
        <v>0</v>
      </c>
      <c r="CC52" s="9">
        <f>IF(77&lt;=核心参数输入!$B$9*4,季度现金流!CB57,0)</f>
        <v>0</v>
      </c>
      <c r="CD52" s="9">
        <f>IF(78&lt;=核心参数输入!$B$9*4,季度现金流!CC57,0)</f>
        <v>0</v>
      </c>
      <c r="CE52" s="9">
        <f>IF(79&lt;=核心参数输入!$B$9*4,季度现金流!CD57,0)</f>
        <v>0</v>
      </c>
      <c r="CF52" s="9">
        <f>IF(80&lt;=核心参数输入!$B$9*4,季度现金流!CE57,0)</f>
        <v>0</v>
      </c>
      <c r="CG52" s="9">
        <f>IF(81&lt;=核心参数输入!$B$9*4,季度现金流!CF57,0)</f>
        <v>0</v>
      </c>
      <c r="CH52" s="9">
        <f>IF(82&lt;=核心参数输入!$B$9*4,季度现金流!CG57,0)</f>
        <v>0</v>
      </c>
      <c r="CI52" s="9">
        <f>IF(83&lt;=核心参数输入!$B$9*4,季度现金流!CH57,0)</f>
        <v>0</v>
      </c>
      <c r="CJ52" s="9">
        <f>IF(84&lt;=核心参数输入!$B$9*4,季度现金流!CI57,0)</f>
        <v>0</v>
      </c>
      <c r="CK52" s="9">
        <f>IF(85&lt;=核心参数输入!$B$9*4,季度现金流!CJ57,0)</f>
        <v>0</v>
      </c>
      <c r="CL52" s="9">
        <f>IF(86&lt;=核心参数输入!$B$9*4,季度现金流!CK57,0)</f>
        <v>0</v>
      </c>
      <c r="CM52" s="9">
        <f>IF(87&lt;=核心参数输入!$B$9*4,季度现金流!CL57,0)</f>
        <v>0</v>
      </c>
      <c r="CN52" s="9">
        <f>IF(88&lt;=核心参数输入!$B$9*4,季度现金流!CM57,0)</f>
        <v>0</v>
      </c>
      <c r="CO52" s="9">
        <f>IF(89&lt;=核心参数输入!$B$9*4,季度现金流!CN57,0)</f>
        <v>0</v>
      </c>
      <c r="CP52" s="9">
        <f>IF(90&lt;=核心参数输入!$B$9*4,季度现金流!CO57,0)</f>
        <v>0</v>
      </c>
      <c r="CQ52" s="9">
        <f>IF(91&lt;=核心参数输入!$B$9*4,季度现金流!CP57,0)</f>
        <v>0</v>
      </c>
      <c r="CR52" s="9">
        <f>IF(92&lt;=核心参数输入!$B$9*4,季度现金流!CQ57,0)</f>
        <v>0</v>
      </c>
      <c r="CS52" s="9">
        <f>IF(93&lt;=核心参数输入!$B$9*4,季度现金流!CR57,0)</f>
        <v>0</v>
      </c>
      <c r="CT52" s="9">
        <f>IF(94&lt;=核心参数输入!$B$9*4,季度现金流!CS57,0)</f>
        <v>0</v>
      </c>
      <c r="CU52" s="9">
        <f>IF(95&lt;=核心参数输入!$B$9*4,季度现金流!CT57,0)</f>
        <v>0</v>
      </c>
      <c r="CV52" s="9">
        <f>IF(96&lt;=核心参数输入!$B$9*4,季度现金流!CU57,0)</f>
        <v>0</v>
      </c>
      <c r="CW52" s="9">
        <f>IF(97&lt;=核心参数输入!$B$9*4,季度现金流!CV57,0)</f>
        <v>0</v>
      </c>
      <c r="CX52" s="9">
        <f>IF(98&lt;=核心参数输入!$B$9*4,季度现金流!CW57,0)</f>
        <v>0</v>
      </c>
      <c r="CY52" s="9">
        <f>IF(99&lt;=核心参数输入!$B$9*4,季度现金流!CX57,0)</f>
        <v>0</v>
      </c>
      <c r="CZ52" s="9">
        <f>IF(100&lt;=核心参数输入!$B$9*4,季度现金流!CY57,0)</f>
        <v>0</v>
      </c>
      <c r="DA52" s="9">
        <f>IF(101&lt;=核心参数输入!$B$9*4,季度现金流!CZ57,0)</f>
        <v>0</v>
      </c>
      <c r="DB52" s="9">
        <f>IF(102&lt;=核心参数输入!$B$9*4,季度现金流!DA57,0)</f>
        <v>0</v>
      </c>
      <c r="DC52" s="9">
        <f>IF(103&lt;=核心参数输入!$B$9*4,季度现金流!DB57,0)</f>
        <v>0</v>
      </c>
      <c r="DD52" s="9">
        <f>IF(104&lt;=核心参数输入!$B$9*4,季度现金流!DC57,0)</f>
        <v>0</v>
      </c>
      <c r="DE52" s="9">
        <f>IF(105&lt;=核心参数输入!$B$9*4,季度现金流!DD57,0)</f>
        <v>0</v>
      </c>
      <c r="DF52" s="9">
        <f>IF(106&lt;=核心参数输入!$B$9*4,季度现金流!DE57,0)</f>
        <v>0</v>
      </c>
      <c r="DG52" s="9">
        <f>IF(107&lt;=核心参数输入!$B$9*4,季度现金流!DF57,0)</f>
        <v>0</v>
      </c>
      <c r="DH52" s="9">
        <f>IF(108&lt;=核心参数输入!$B$9*4,季度现金流!DG57,0)</f>
        <v>0</v>
      </c>
      <c r="DI52" s="9">
        <f>IF(109&lt;=核心参数输入!$B$9*4,季度现金流!DH57,0)</f>
        <v>0</v>
      </c>
      <c r="DJ52" s="9">
        <f>IF(110&lt;=核心参数输入!$B$9*4,季度现金流!DI57,0)</f>
        <v>0</v>
      </c>
      <c r="DK52" s="9">
        <f>IF(111&lt;=核心参数输入!$B$9*4,季度现金流!DJ57,0)</f>
        <v>0</v>
      </c>
      <c r="DL52" s="9">
        <f>IF(112&lt;=核心参数输入!$B$9*4,季度现金流!DK57,0)</f>
        <v>0</v>
      </c>
      <c r="DM52" s="9">
        <f>IF(113&lt;=核心参数输入!$B$9*4,季度现金流!DL57,0)</f>
        <v>0</v>
      </c>
      <c r="DN52" s="9">
        <f>IF(114&lt;=核心参数输入!$B$9*4,季度现金流!DM57,0)</f>
        <v>0</v>
      </c>
      <c r="DO52" s="9">
        <f>IF(115&lt;=核心参数输入!$B$9*4,季度现金流!DN57,0)</f>
        <v>0</v>
      </c>
      <c r="DP52" s="9">
        <f>IF(116&lt;=核心参数输入!$B$9*4,季度现金流!DO57,0)</f>
        <v>0</v>
      </c>
      <c r="DQ52" s="9">
        <f>IF(117&lt;=核心参数输入!$B$9*4,季度现金流!DP57,0)</f>
        <v>0</v>
      </c>
      <c r="DR52" s="9">
        <f>IF(118&lt;=核心参数输入!$B$9*4,季度现金流!DQ57,0)</f>
        <v>0</v>
      </c>
      <c r="DS52" s="9">
        <f>IF(119&lt;=核心参数输入!$B$9*4,季度现金流!DR57,0)</f>
        <v>0</v>
      </c>
      <c r="DT52" s="9">
        <f>IF(120&lt;=核心参数输入!$B$9*4,季度现金流!DS57,0)</f>
        <v>0</v>
      </c>
    </row>
    <row r="53" spans="1:124" ht="21" customHeight="1">
      <c r="A53" s="8" t="s">
        <v>545</v>
      </c>
      <c r="B53" s="8" t="s">
        <v>39</v>
      </c>
      <c r="C53" s="8"/>
      <c r="D53" s="9">
        <f>IF(0&lt;=核心参数输入!$B$9*4,0,0)</f>
        <v>0</v>
      </c>
      <c r="E53" s="9">
        <f>IF(1&lt;=核心参数输入!$B$9*4,季度现金流!D58,0)</f>
        <v>0</v>
      </c>
      <c r="F53" s="9">
        <f>IF(2&lt;=核心参数输入!$B$9*4,季度现金流!E58,0)</f>
        <v>0</v>
      </c>
      <c r="G53" s="9">
        <f>IF(3&lt;=核心参数输入!$B$9*4,季度现金流!F58,0)</f>
        <v>0</v>
      </c>
      <c r="H53" s="9">
        <f>IF(4&lt;=核心参数输入!$B$9*4,季度现金流!G58,0)</f>
        <v>0</v>
      </c>
      <c r="I53" s="9">
        <f>IF(5&lt;=核心参数输入!$B$9*4,季度现金流!H58,0)</f>
        <v>0</v>
      </c>
      <c r="J53" s="9">
        <f>IF(6&lt;=核心参数输入!$B$9*4,季度现金流!I58,0)</f>
        <v>0</v>
      </c>
      <c r="K53" s="9">
        <f>IF(7&lt;=核心参数输入!$B$9*4,季度现金流!J58,0)</f>
        <v>0</v>
      </c>
      <c r="L53" s="9">
        <f>IF(8&lt;=核心参数输入!$B$9*4,季度现金流!K58,0)</f>
        <v>0</v>
      </c>
      <c r="M53" s="9">
        <f>IF(9&lt;=核心参数输入!$B$9*4,季度现金流!L58,0)</f>
        <v>0</v>
      </c>
      <c r="N53" s="9">
        <f>IF(10&lt;=核心参数输入!$B$9*4,季度现金流!M58,0)</f>
        <v>0</v>
      </c>
      <c r="O53" s="9">
        <f>IF(11&lt;=核心参数输入!$B$9*4,季度现金流!N58,0)</f>
        <v>0</v>
      </c>
      <c r="P53" s="9">
        <f>IF(12&lt;=核心参数输入!$B$9*4,季度现金流!O58,0)</f>
        <v>0</v>
      </c>
      <c r="Q53" s="9">
        <f>IF(13&lt;=核心参数输入!$B$9*4,季度现金流!P58,0)</f>
        <v>0</v>
      </c>
      <c r="R53" s="9">
        <f>IF(14&lt;=核心参数输入!$B$9*4,季度现金流!Q58,0)</f>
        <v>0</v>
      </c>
      <c r="S53" s="9">
        <f>IF(15&lt;=核心参数输入!$B$9*4,季度现金流!R58,0)</f>
        <v>0</v>
      </c>
      <c r="T53" s="9">
        <f>IF(16&lt;=核心参数输入!$B$9*4,季度现金流!S58,0)</f>
        <v>0</v>
      </c>
      <c r="U53" s="9">
        <f>IF(17&lt;=核心参数输入!$B$9*4,季度现金流!T58,0)</f>
        <v>0</v>
      </c>
      <c r="V53" s="9">
        <f>IF(18&lt;=核心参数输入!$B$9*4,季度现金流!U58,0)</f>
        <v>0</v>
      </c>
      <c r="W53" s="9">
        <f>IF(19&lt;=核心参数输入!$B$9*4,季度现金流!V58,0)</f>
        <v>0</v>
      </c>
      <c r="X53" s="9">
        <f>IF(20&lt;=核心参数输入!$B$9*4,季度现金流!W58,0)</f>
        <v>0</v>
      </c>
      <c r="Y53" s="9">
        <f>IF(21&lt;=核心参数输入!$B$9*4,季度现金流!X58,0)</f>
        <v>0</v>
      </c>
      <c r="Z53" s="9">
        <f>IF(22&lt;=核心参数输入!$B$9*4,季度现金流!Y58,0)</f>
        <v>0</v>
      </c>
      <c r="AA53" s="9">
        <f>IF(23&lt;=核心参数输入!$B$9*4,季度现金流!Z58,0)</f>
        <v>0</v>
      </c>
      <c r="AB53" s="9">
        <f>IF(24&lt;=核心参数输入!$B$9*4,季度现金流!AA58,0)</f>
        <v>0</v>
      </c>
      <c r="AC53" s="9">
        <f>IF(25&lt;=核心参数输入!$B$9*4,季度现金流!AB58,0)</f>
        <v>0</v>
      </c>
      <c r="AD53" s="9">
        <f>IF(26&lt;=核心参数输入!$B$9*4,季度现金流!AC58,0)</f>
        <v>0</v>
      </c>
      <c r="AE53" s="9">
        <f>IF(27&lt;=核心参数输入!$B$9*4,季度现金流!AD58,0)</f>
        <v>0</v>
      </c>
      <c r="AF53" s="9">
        <f>IF(28&lt;=核心参数输入!$B$9*4,季度现金流!AE58,0)</f>
        <v>0</v>
      </c>
      <c r="AG53" s="9">
        <f>IF(29&lt;=核心参数输入!$B$9*4,季度现金流!AF58,0)</f>
        <v>0</v>
      </c>
      <c r="AH53" s="9">
        <f>IF(30&lt;=核心参数输入!$B$9*4,季度现金流!AG58,0)</f>
        <v>0</v>
      </c>
      <c r="AI53" s="9">
        <f>IF(31&lt;=核心参数输入!$B$9*4,季度现金流!AH58,0)</f>
        <v>0</v>
      </c>
      <c r="AJ53" s="9">
        <f>IF(32&lt;=核心参数输入!$B$9*4,季度现金流!AI58,0)</f>
        <v>0</v>
      </c>
      <c r="AK53" s="9">
        <f>IF(33&lt;=核心参数输入!$B$9*4,季度现金流!AJ58,0)</f>
        <v>0</v>
      </c>
      <c r="AL53" s="9">
        <f>IF(34&lt;=核心参数输入!$B$9*4,季度现金流!AK58,0)</f>
        <v>0</v>
      </c>
      <c r="AM53" s="9">
        <f>IF(35&lt;=核心参数输入!$B$9*4,季度现金流!AL58,0)</f>
        <v>0</v>
      </c>
      <c r="AN53" s="9">
        <f>IF(36&lt;=核心参数输入!$B$9*4,季度现金流!AM58,0)</f>
        <v>0</v>
      </c>
      <c r="AO53" s="9">
        <f>IF(37&lt;=核心参数输入!$B$9*4,季度现金流!AN58,0)</f>
        <v>0</v>
      </c>
      <c r="AP53" s="9">
        <f>IF(38&lt;=核心参数输入!$B$9*4,季度现金流!AO58,0)</f>
        <v>0</v>
      </c>
      <c r="AQ53" s="9">
        <f>IF(39&lt;=核心参数输入!$B$9*4,季度现金流!AP58,0)</f>
        <v>0</v>
      </c>
      <c r="AR53" s="9">
        <f>IF(40&lt;=核心参数输入!$B$9*4,季度现金流!AQ58,0)</f>
        <v>0</v>
      </c>
      <c r="AS53" s="9">
        <f>IF(41&lt;=核心参数输入!$B$9*4,季度现金流!AR58,0)</f>
        <v>0</v>
      </c>
      <c r="AT53" s="9">
        <f>IF(42&lt;=核心参数输入!$B$9*4,季度现金流!AS58,0)</f>
        <v>0</v>
      </c>
      <c r="AU53" s="9">
        <f>IF(43&lt;=核心参数输入!$B$9*4,季度现金流!AT58,0)</f>
        <v>0</v>
      </c>
      <c r="AV53" s="9">
        <f>IF(44&lt;=核心参数输入!$B$9*4,季度现金流!AU58,0)</f>
        <v>0</v>
      </c>
      <c r="AW53" s="9">
        <f>IF(45&lt;=核心参数输入!$B$9*4,季度现金流!AV58,0)</f>
        <v>0</v>
      </c>
      <c r="AX53" s="9">
        <f>IF(46&lt;=核心参数输入!$B$9*4,季度现金流!AW58,0)</f>
        <v>0</v>
      </c>
      <c r="AY53" s="9">
        <f>IF(47&lt;=核心参数输入!$B$9*4,季度现金流!AX58,0)</f>
        <v>0</v>
      </c>
      <c r="AZ53" s="9">
        <f>IF(48&lt;=核心参数输入!$B$9*4,季度现金流!AY58,0)</f>
        <v>0</v>
      </c>
      <c r="BA53" s="9">
        <f>IF(49&lt;=核心参数输入!$B$9*4,季度现金流!AZ58,0)</f>
        <v>0</v>
      </c>
      <c r="BB53" s="9">
        <f>IF(50&lt;=核心参数输入!$B$9*4,季度现金流!BA58,0)</f>
        <v>0</v>
      </c>
      <c r="BC53" s="9">
        <f>IF(51&lt;=核心参数输入!$B$9*4,季度现金流!BB58,0)</f>
        <v>0</v>
      </c>
      <c r="BD53" s="9">
        <f>IF(52&lt;=核心参数输入!$B$9*4,季度现金流!BC58,0)</f>
        <v>0</v>
      </c>
      <c r="BE53" s="9">
        <f>IF(53&lt;=核心参数输入!$B$9*4,季度现金流!BD58,0)</f>
        <v>0</v>
      </c>
      <c r="BF53" s="9">
        <f>IF(54&lt;=核心参数输入!$B$9*4,季度现金流!BE58,0)</f>
        <v>0</v>
      </c>
      <c r="BG53" s="9">
        <f>IF(55&lt;=核心参数输入!$B$9*4,季度现金流!BF58,0)</f>
        <v>0</v>
      </c>
      <c r="BH53" s="9">
        <f>IF(56&lt;=核心参数输入!$B$9*4,季度现金流!BG58,0)</f>
        <v>0</v>
      </c>
      <c r="BI53" s="9">
        <f>IF(57&lt;=核心参数输入!$B$9*4,季度现金流!BH58,0)</f>
        <v>0</v>
      </c>
      <c r="BJ53" s="9">
        <f>IF(58&lt;=核心参数输入!$B$9*4,季度现金流!BI58,0)</f>
        <v>0</v>
      </c>
      <c r="BK53" s="9">
        <f>IF(59&lt;=核心参数输入!$B$9*4,季度现金流!BJ58,0)</f>
        <v>0</v>
      </c>
      <c r="BL53" s="9">
        <f>IF(60&lt;=核心参数输入!$B$9*4,季度现金流!BK58,0)</f>
        <v>0</v>
      </c>
      <c r="BM53" s="9">
        <f>IF(61&lt;=核心参数输入!$B$9*4,季度现金流!BL58,0)</f>
        <v>0</v>
      </c>
      <c r="BN53" s="9">
        <f>IF(62&lt;=核心参数输入!$B$9*4,季度现金流!BM58,0)</f>
        <v>0</v>
      </c>
      <c r="BO53" s="9">
        <f>IF(63&lt;=核心参数输入!$B$9*4,季度现金流!BN58,0)</f>
        <v>0</v>
      </c>
      <c r="BP53" s="9">
        <f>IF(64&lt;=核心参数输入!$B$9*4,季度现金流!BO58,0)</f>
        <v>0</v>
      </c>
      <c r="BQ53" s="9">
        <f>IF(65&lt;=核心参数输入!$B$9*4,季度现金流!BP58,0)</f>
        <v>0</v>
      </c>
      <c r="BR53" s="9">
        <f>IF(66&lt;=核心参数输入!$B$9*4,季度现金流!BQ58,0)</f>
        <v>0</v>
      </c>
      <c r="BS53" s="9">
        <f>IF(67&lt;=核心参数输入!$B$9*4,季度现金流!BR58,0)</f>
        <v>0</v>
      </c>
      <c r="BT53" s="9">
        <f>IF(68&lt;=核心参数输入!$B$9*4,季度现金流!BS58,0)</f>
        <v>0</v>
      </c>
      <c r="BU53" s="9">
        <f>IF(69&lt;=核心参数输入!$B$9*4,季度现金流!BT58,0)</f>
        <v>0</v>
      </c>
      <c r="BV53" s="9">
        <f>IF(70&lt;=核心参数输入!$B$9*4,季度现金流!BU58,0)</f>
        <v>0</v>
      </c>
      <c r="BW53" s="9">
        <f>IF(71&lt;=核心参数输入!$B$9*4,季度现金流!BV58,0)</f>
        <v>0</v>
      </c>
      <c r="BX53" s="9">
        <f>IF(72&lt;=核心参数输入!$B$9*4,季度现金流!BW58,0)</f>
        <v>0</v>
      </c>
      <c r="BY53" s="9">
        <f>IF(73&lt;=核心参数输入!$B$9*4,季度现金流!BX58,0)</f>
        <v>0</v>
      </c>
      <c r="BZ53" s="9">
        <f>IF(74&lt;=核心参数输入!$B$9*4,季度现金流!BY58,0)</f>
        <v>0</v>
      </c>
      <c r="CA53" s="9">
        <f>IF(75&lt;=核心参数输入!$B$9*4,季度现金流!BZ58,0)</f>
        <v>0</v>
      </c>
      <c r="CB53" s="9">
        <f>IF(76&lt;=核心参数输入!$B$9*4,季度现金流!CA58,0)</f>
        <v>0</v>
      </c>
      <c r="CC53" s="9">
        <f>IF(77&lt;=核心参数输入!$B$9*4,季度现金流!CB58,0)</f>
        <v>0</v>
      </c>
      <c r="CD53" s="9">
        <f>IF(78&lt;=核心参数输入!$B$9*4,季度现金流!CC58,0)</f>
        <v>0</v>
      </c>
      <c r="CE53" s="9">
        <f>IF(79&lt;=核心参数输入!$B$9*4,季度现金流!CD58,0)</f>
        <v>0</v>
      </c>
      <c r="CF53" s="9">
        <f>IF(80&lt;=核心参数输入!$B$9*4,季度现金流!CE58,0)</f>
        <v>0</v>
      </c>
      <c r="CG53" s="9">
        <f>IF(81&lt;=核心参数输入!$B$9*4,季度现金流!CF58,0)</f>
        <v>0</v>
      </c>
      <c r="CH53" s="9">
        <f>IF(82&lt;=核心参数输入!$B$9*4,季度现金流!CG58,0)</f>
        <v>0</v>
      </c>
      <c r="CI53" s="9">
        <f>IF(83&lt;=核心参数输入!$B$9*4,季度现金流!CH58,0)</f>
        <v>0</v>
      </c>
      <c r="CJ53" s="9">
        <f>IF(84&lt;=核心参数输入!$B$9*4,季度现金流!CI58,0)</f>
        <v>0</v>
      </c>
      <c r="CK53" s="9">
        <f>IF(85&lt;=核心参数输入!$B$9*4,季度现金流!CJ58,0)</f>
        <v>0</v>
      </c>
      <c r="CL53" s="9">
        <f>IF(86&lt;=核心参数输入!$B$9*4,季度现金流!CK58,0)</f>
        <v>0</v>
      </c>
      <c r="CM53" s="9">
        <f>IF(87&lt;=核心参数输入!$B$9*4,季度现金流!CL58,0)</f>
        <v>0</v>
      </c>
      <c r="CN53" s="9">
        <f>IF(88&lt;=核心参数输入!$B$9*4,季度现金流!CM58,0)</f>
        <v>0</v>
      </c>
      <c r="CO53" s="9">
        <f>IF(89&lt;=核心参数输入!$B$9*4,季度现金流!CN58,0)</f>
        <v>0</v>
      </c>
      <c r="CP53" s="9">
        <f>IF(90&lt;=核心参数输入!$B$9*4,季度现金流!CO58,0)</f>
        <v>0</v>
      </c>
      <c r="CQ53" s="9">
        <f>IF(91&lt;=核心参数输入!$B$9*4,季度现金流!CP58,0)</f>
        <v>0</v>
      </c>
      <c r="CR53" s="9">
        <f>IF(92&lt;=核心参数输入!$B$9*4,季度现金流!CQ58,0)</f>
        <v>0</v>
      </c>
      <c r="CS53" s="9">
        <f>IF(93&lt;=核心参数输入!$B$9*4,季度现金流!CR58,0)</f>
        <v>0</v>
      </c>
      <c r="CT53" s="9">
        <f>IF(94&lt;=核心参数输入!$B$9*4,季度现金流!CS58,0)</f>
        <v>0</v>
      </c>
      <c r="CU53" s="9">
        <f>IF(95&lt;=核心参数输入!$B$9*4,季度现金流!CT58,0)</f>
        <v>0</v>
      </c>
      <c r="CV53" s="9">
        <f>IF(96&lt;=核心参数输入!$B$9*4,季度现金流!CU58,0)</f>
        <v>0</v>
      </c>
      <c r="CW53" s="9">
        <f>IF(97&lt;=核心参数输入!$B$9*4,季度现金流!CV58,0)</f>
        <v>0</v>
      </c>
      <c r="CX53" s="9">
        <f>IF(98&lt;=核心参数输入!$B$9*4,季度现金流!CW58,0)</f>
        <v>0</v>
      </c>
      <c r="CY53" s="9">
        <f>IF(99&lt;=核心参数输入!$B$9*4,季度现金流!CX58,0)</f>
        <v>0</v>
      </c>
      <c r="CZ53" s="9">
        <f>IF(100&lt;=核心参数输入!$B$9*4,季度现金流!CY58,0)</f>
        <v>0</v>
      </c>
      <c r="DA53" s="9">
        <f>IF(101&lt;=核心参数输入!$B$9*4,季度现金流!CZ58,0)</f>
        <v>0</v>
      </c>
      <c r="DB53" s="9">
        <f>IF(102&lt;=核心参数输入!$B$9*4,季度现金流!DA58,0)</f>
        <v>0</v>
      </c>
      <c r="DC53" s="9">
        <f>IF(103&lt;=核心参数输入!$B$9*4,季度现金流!DB58,0)</f>
        <v>0</v>
      </c>
      <c r="DD53" s="9">
        <f>IF(104&lt;=核心参数输入!$B$9*4,季度现金流!DC58,0)</f>
        <v>0</v>
      </c>
      <c r="DE53" s="9">
        <f>IF(105&lt;=核心参数输入!$B$9*4,季度现金流!DD58,0)</f>
        <v>0</v>
      </c>
      <c r="DF53" s="9">
        <f>IF(106&lt;=核心参数输入!$B$9*4,季度现金流!DE58,0)</f>
        <v>0</v>
      </c>
      <c r="DG53" s="9">
        <f>IF(107&lt;=核心参数输入!$B$9*4,季度现金流!DF58,0)</f>
        <v>0</v>
      </c>
      <c r="DH53" s="9">
        <f>IF(108&lt;=核心参数输入!$B$9*4,季度现金流!DG58,0)</f>
        <v>0</v>
      </c>
      <c r="DI53" s="9">
        <f>IF(109&lt;=核心参数输入!$B$9*4,季度现金流!DH58,0)</f>
        <v>0</v>
      </c>
      <c r="DJ53" s="9">
        <f>IF(110&lt;=核心参数输入!$B$9*4,季度现金流!DI58,0)</f>
        <v>0</v>
      </c>
      <c r="DK53" s="9">
        <f>IF(111&lt;=核心参数输入!$B$9*4,季度现金流!DJ58,0)</f>
        <v>0</v>
      </c>
      <c r="DL53" s="9">
        <f>IF(112&lt;=核心参数输入!$B$9*4,季度现金流!DK58,0)</f>
        <v>0</v>
      </c>
      <c r="DM53" s="9">
        <f>IF(113&lt;=核心参数输入!$B$9*4,季度现金流!DL58,0)</f>
        <v>0</v>
      </c>
      <c r="DN53" s="9">
        <f>IF(114&lt;=核心参数输入!$B$9*4,季度现金流!DM58,0)</f>
        <v>0</v>
      </c>
      <c r="DO53" s="9">
        <f>IF(115&lt;=核心参数输入!$B$9*4,季度现金流!DN58,0)</f>
        <v>0</v>
      </c>
      <c r="DP53" s="9">
        <f>IF(116&lt;=核心参数输入!$B$9*4,季度现金流!DO58,0)</f>
        <v>0</v>
      </c>
      <c r="DQ53" s="9">
        <f>IF(117&lt;=核心参数输入!$B$9*4,季度现金流!DP58,0)</f>
        <v>0</v>
      </c>
      <c r="DR53" s="9">
        <f>IF(118&lt;=核心参数输入!$B$9*4,季度现金流!DQ58,0)</f>
        <v>0</v>
      </c>
      <c r="DS53" s="9">
        <f>IF(119&lt;=核心参数输入!$B$9*4,季度现金流!DR58,0)</f>
        <v>0</v>
      </c>
      <c r="DT53" s="9">
        <f>IF(120&lt;=核心参数输入!$B$9*4,季度现金流!DS58,0)</f>
        <v>0</v>
      </c>
    </row>
    <row r="54" spans="1:124" ht="21" customHeight="1">
      <c r="A54" s="8" t="s">
        <v>546</v>
      </c>
      <c r="B54" s="8" t="s">
        <v>39</v>
      </c>
      <c r="C54" s="8"/>
      <c r="D54" s="9">
        <f>IF(0&lt;=核心参数输入!$B$9*4,MAX(0,-(D52+D46-D53)+IF(AND(0&gt;0,OR(核心参数输入!$B$64=0,0&lt;核心参数输入!$B$9*4)),核心参数输入!$B$123,0)),0)</f>
        <v>8000</v>
      </c>
      <c r="E54" s="9">
        <f>IF(1&lt;=核心参数输入!$B$9*4,MAX(0,-(E52+E46-E53)+IF(AND(1&gt;0,OR(核心参数输入!$B$64=0,1&lt;核心参数输入!$B$9*4)),核心参数输入!$B$123,0)),0)</f>
        <v>1730.8125</v>
      </c>
      <c r="F54" s="9">
        <f>IF(2&lt;=核心参数输入!$B$9*4,MAX(0,-(F52+F46-F53)+IF(AND(2&gt;0,OR(核心参数输入!$B$64=0,2&lt;核心参数输入!$B$9*4)),核心参数输入!$B$123,0)),0)</f>
        <v>1754.4375</v>
      </c>
      <c r="G54" s="9">
        <f>IF(3&lt;=核心参数输入!$B$9*4,MAX(0,-(G52+G46-G53)+IF(AND(3&gt;0,OR(核心参数输入!$B$64=0,3&lt;核心参数输入!$B$9*4)),核心参数输入!$B$123,0)),0)</f>
        <v>1778.0625</v>
      </c>
      <c r="H54" s="9">
        <f>IF(4&lt;=核心参数输入!$B$9*4,MAX(0,-(H52+H46-H53)+IF(AND(4&gt;0,OR(核心参数输入!$B$64=0,4&lt;核心参数输入!$B$9*4)),核心参数输入!$B$123,0)),0)</f>
        <v>1801.6875</v>
      </c>
      <c r="I54" s="9">
        <f>IF(5&lt;=核心参数输入!$B$9*4,MAX(0,-(I52+I46-I53)+IF(AND(5&gt;0,OR(核心参数输入!$B$64=0,5&lt;核心参数输入!$B$9*4)),核心参数输入!$B$123,0)),0)</f>
        <v>2402.25</v>
      </c>
      <c r="J54" s="9">
        <f>IF(6&lt;=核心参数输入!$B$9*4,MAX(0,-(J52+J46-J53)+IF(AND(6&gt;0,OR(核心参数输入!$B$64=0,6&lt;核心参数输入!$B$9*4)),核心参数输入!$B$123,0)),0)</f>
        <v>2433.75</v>
      </c>
      <c r="K54" s="9">
        <f>IF(7&lt;=核心参数输入!$B$9*4,MAX(0,-(K52+K46-K53)+IF(AND(7&gt;0,OR(核心参数输入!$B$64=0,7&lt;核心参数输入!$B$9*4)),核心参数输入!$B$123,0)),0)</f>
        <v>2465.25</v>
      </c>
      <c r="L54" s="9">
        <f>IF(8&lt;=核心参数输入!$B$9*4,MAX(0,-(L52+L46-L53)+IF(AND(8&gt;0,OR(核心参数输入!$B$64=0,8&lt;核心参数输入!$B$9*4)),核心参数输入!$B$123,0)),0)</f>
        <v>2496.75</v>
      </c>
      <c r="M54" s="9">
        <f>IF(9&lt;=核心参数输入!$B$9*4,MAX(0,-(M52+M46-M53)+IF(AND(9&gt;0,OR(核心参数输入!$B$64=0,9&lt;核心参数输入!$B$9*4)),核心参数输入!$B$123,0)),0)</f>
        <v>1951.3125</v>
      </c>
      <c r="N54" s="9">
        <f>IF(10&lt;=核心参数输入!$B$9*4,MAX(0,-(N52+N46-N53)+IF(AND(10&gt;0,OR(核心参数输入!$B$64=0,10&lt;核心参数输入!$B$9*4)),核心参数输入!$B$123,0)),0)</f>
        <v>1974.9375</v>
      </c>
      <c r="O54" s="9">
        <f>IF(11&lt;=核心参数输入!$B$9*4,MAX(0,-(O52+O46-O53)+IF(AND(11&gt;0,OR(核心参数输入!$B$64=0,11&lt;核心参数输入!$B$9*4)),核心参数输入!$B$123,0)),0)</f>
        <v>1998.5625</v>
      </c>
      <c r="P54" s="9">
        <f>IF(12&lt;=核心参数输入!$B$9*4,MAX(0,-(P52+P46-P53)+IF(AND(12&gt;0,OR(核心参数输入!$B$64=0,12&lt;核心参数输入!$B$9*4)),核心参数输入!$B$123,0)),0)</f>
        <v>2022.1875</v>
      </c>
      <c r="Q54" s="9">
        <f>IF(13&lt;=核心参数输入!$B$9*4,MAX(0,-(Q52+Q46-Q53)+IF(AND(13&gt;0,OR(核心参数输入!$B$64=0,13&lt;核心参数输入!$B$9*4)),核心参数输入!$B$123,0)),0)</f>
        <v>0</v>
      </c>
      <c r="R54" s="9">
        <f>IF(14&lt;=核心参数输入!$B$9*4,MAX(0,-(R52+R46-R53)+IF(AND(14&gt;0,OR(核心参数输入!$B$64=0,14&lt;核心参数输入!$B$9*4)),核心参数输入!$B$123,0)),0)</f>
        <v>0</v>
      </c>
      <c r="S54" s="9">
        <f>IF(15&lt;=核心参数输入!$B$9*4,MAX(0,-(S52+S46-S53)+IF(AND(15&gt;0,OR(核心参数输入!$B$64=0,15&lt;核心参数输入!$B$9*4)),核心参数输入!$B$123,0)),0)</f>
        <v>0</v>
      </c>
      <c r="T54" s="9">
        <f>IF(16&lt;=核心参数输入!$B$9*4,MAX(0,-(T52+T46-T53)+IF(AND(16&gt;0,OR(核心参数输入!$B$64=0,16&lt;核心参数输入!$B$9*4)),核心参数输入!$B$123,0)),0)</f>
        <v>0</v>
      </c>
      <c r="U54" s="9">
        <f>IF(17&lt;=核心参数输入!$B$9*4,MAX(0,-(U52+U46-U53)+IF(AND(17&gt;0,OR(核心参数输入!$B$64=0,17&lt;核心参数输入!$B$9*4)),核心参数输入!$B$123,0)),0)</f>
        <v>0</v>
      </c>
      <c r="V54" s="9">
        <f>IF(18&lt;=核心参数输入!$B$9*4,MAX(0,-(V52+V46-V53)+IF(AND(18&gt;0,OR(核心参数输入!$B$64=0,18&lt;核心参数输入!$B$9*4)),核心参数输入!$B$123,0)),0)</f>
        <v>0</v>
      </c>
      <c r="W54" s="9">
        <f>IF(19&lt;=核心参数输入!$B$9*4,MAX(0,-(W52+W46-W53)+IF(AND(19&gt;0,OR(核心参数输入!$B$64=0,19&lt;核心参数输入!$B$9*4)),核心参数输入!$B$123,0)),0)</f>
        <v>0</v>
      </c>
      <c r="X54" s="9">
        <f>IF(20&lt;=核心参数输入!$B$9*4,MAX(0,-(X52+X46-X53)+IF(AND(20&gt;0,OR(核心参数输入!$B$64=0,20&lt;核心参数输入!$B$9*4)),核心参数输入!$B$123,0)),0)</f>
        <v>0</v>
      </c>
      <c r="Y54" s="9">
        <f>IF(21&lt;=核心参数输入!$B$9*4,MAX(0,-(Y52+Y46-Y53)+IF(AND(21&gt;0,OR(核心参数输入!$B$64=0,21&lt;核心参数输入!$B$9*4)),核心参数输入!$B$123,0)),0)</f>
        <v>0</v>
      </c>
      <c r="Z54" s="9">
        <f>IF(22&lt;=核心参数输入!$B$9*4,MAX(0,-(Z52+Z46-Z53)+IF(AND(22&gt;0,OR(核心参数输入!$B$64=0,22&lt;核心参数输入!$B$9*4)),核心参数输入!$B$123,0)),0)</f>
        <v>0</v>
      </c>
      <c r="AA54" s="9">
        <f>IF(23&lt;=核心参数输入!$B$9*4,MAX(0,-(AA52+AA46-AA53)+IF(AND(23&gt;0,OR(核心参数输入!$B$64=0,23&lt;核心参数输入!$B$9*4)),核心参数输入!$B$123,0)),0)</f>
        <v>0</v>
      </c>
      <c r="AB54" s="9">
        <f>IF(24&lt;=核心参数输入!$B$9*4,MAX(0,-(AB52+AB46-AB53)+IF(AND(24&gt;0,OR(核心参数输入!$B$64=0,24&lt;核心参数输入!$B$9*4)),核心参数输入!$B$123,0)),0)</f>
        <v>0</v>
      </c>
      <c r="AC54" s="9">
        <f>IF(25&lt;=核心参数输入!$B$9*4,MAX(0,-(AC52+AC46-AC53)+IF(AND(25&gt;0,OR(核心参数输入!$B$64=0,25&lt;核心参数输入!$B$9*4)),核心参数输入!$B$123,0)),0)</f>
        <v>0</v>
      </c>
      <c r="AD54" s="9">
        <f>IF(26&lt;=核心参数输入!$B$9*4,MAX(0,-(AD52+AD46-AD53)+IF(AND(26&gt;0,OR(核心参数输入!$B$64=0,26&lt;核心参数输入!$B$9*4)),核心参数输入!$B$123,0)),0)</f>
        <v>0</v>
      </c>
      <c r="AE54" s="9">
        <f>IF(27&lt;=核心参数输入!$B$9*4,MAX(0,-(AE52+AE46-AE53)+IF(AND(27&gt;0,OR(核心参数输入!$B$64=0,27&lt;核心参数输入!$B$9*4)),核心参数输入!$B$123,0)),0)</f>
        <v>0</v>
      </c>
      <c r="AF54" s="9">
        <f>IF(28&lt;=核心参数输入!$B$9*4,MAX(0,-(AF52+AF46-AF53)+IF(AND(28&gt;0,OR(核心参数输入!$B$64=0,28&lt;核心参数输入!$B$9*4)),核心参数输入!$B$123,0)),0)</f>
        <v>0</v>
      </c>
      <c r="AG54" s="9">
        <f>IF(29&lt;=核心参数输入!$B$9*4,MAX(0,-(AG52+AG46-AG53)+IF(AND(29&gt;0,OR(核心参数输入!$B$64=0,29&lt;核心参数输入!$B$9*4)),核心参数输入!$B$123,0)),0)</f>
        <v>0</v>
      </c>
      <c r="AH54" s="9">
        <f>IF(30&lt;=核心参数输入!$B$9*4,MAX(0,-(AH52+AH46-AH53)+IF(AND(30&gt;0,OR(核心参数输入!$B$64=0,30&lt;核心参数输入!$B$9*4)),核心参数输入!$B$123,0)),0)</f>
        <v>0</v>
      </c>
      <c r="AI54" s="9">
        <f>IF(31&lt;=核心参数输入!$B$9*4,MAX(0,-(AI52+AI46-AI53)+IF(AND(31&gt;0,OR(核心参数输入!$B$64=0,31&lt;核心参数输入!$B$9*4)),核心参数输入!$B$123,0)),0)</f>
        <v>0</v>
      </c>
      <c r="AJ54" s="9">
        <f>IF(32&lt;=核心参数输入!$B$9*4,MAX(0,-(AJ52+AJ46-AJ53)+IF(AND(32&gt;0,OR(核心参数输入!$B$64=0,32&lt;核心参数输入!$B$9*4)),核心参数输入!$B$123,0)),0)</f>
        <v>0</v>
      </c>
      <c r="AK54" s="9">
        <f>IF(33&lt;=核心参数输入!$B$9*4,MAX(0,-(AK52+AK46-AK53)+IF(AND(33&gt;0,OR(核心参数输入!$B$64=0,33&lt;核心参数输入!$B$9*4)),核心参数输入!$B$123,0)),0)</f>
        <v>0</v>
      </c>
      <c r="AL54" s="9">
        <f>IF(34&lt;=核心参数输入!$B$9*4,MAX(0,-(AL52+AL46-AL53)+IF(AND(34&gt;0,OR(核心参数输入!$B$64=0,34&lt;核心参数输入!$B$9*4)),核心参数输入!$B$123,0)),0)</f>
        <v>0</v>
      </c>
      <c r="AM54" s="9">
        <f>IF(35&lt;=核心参数输入!$B$9*4,MAX(0,-(AM52+AM46-AM53)+IF(AND(35&gt;0,OR(核心参数输入!$B$64=0,35&lt;核心参数输入!$B$9*4)),核心参数输入!$B$123,0)),0)</f>
        <v>0</v>
      </c>
      <c r="AN54" s="9">
        <f>IF(36&lt;=核心参数输入!$B$9*4,MAX(0,-(AN52+AN46-AN53)+IF(AND(36&gt;0,OR(核心参数输入!$B$64=0,36&lt;核心参数输入!$B$9*4)),核心参数输入!$B$123,0)),0)</f>
        <v>0</v>
      </c>
      <c r="AO54" s="9">
        <f>IF(37&lt;=核心参数输入!$B$9*4,MAX(0,-(AO52+AO46-AO53)+IF(AND(37&gt;0,OR(核心参数输入!$B$64=0,37&lt;核心参数输入!$B$9*4)),核心参数输入!$B$123,0)),0)</f>
        <v>0</v>
      </c>
      <c r="AP54" s="9">
        <f>IF(38&lt;=核心参数输入!$B$9*4,MAX(0,-(AP52+AP46-AP53)+IF(AND(38&gt;0,OR(核心参数输入!$B$64=0,38&lt;核心参数输入!$B$9*4)),核心参数输入!$B$123,0)),0)</f>
        <v>0</v>
      </c>
      <c r="AQ54" s="9">
        <f>IF(39&lt;=核心参数输入!$B$9*4,MAX(0,-(AQ52+AQ46-AQ53)+IF(AND(39&gt;0,OR(核心参数输入!$B$64=0,39&lt;核心参数输入!$B$9*4)),核心参数输入!$B$123,0)),0)</f>
        <v>0</v>
      </c>
      <c r="AR54" s="9">
        <f>IF(40&lt;=核心参数输入!$B$9*4,MAX(0,-(AR52+AR46-AR53)+IF(AND(40&gt;0,OR(核心参数输入!$B$64=0,40&lt;核心参数输入!$B$9*4)),核心参数输入!$B$123,0)),0)</f>
        <v>0</v>
      </c>
      <c r="AS54" s="9">
        <f>IF(41&lt;=核心参数输入!$B$9*4,MAX(0,-(AS52+AS46-AS53)+IF(AND(41&gt;0,OR(核心参数输入!$B$64=0,41&lt;核心参数输入!$B$9*4)),核心参数输入!$B$123,0)),0)</f>
        <v>0</v>
      </c>
      <c r="AT54" s="9">
        <f>IF(42&lt;=核心参数输入!$B$9*4,MAX(0,-(AT52+AT46-AT53)+IF(AND(42&gt;0,OR(核心参数输入!$B$64=0,42&lt;核心参数输入!$B$9*4)),核心参数输入!$B$123,0)),0)</f>
        <v>0</v>
      </c>
      <c r="AU54" s="9">
        <f>IF(43&lt;=核心参数输入!$B$9*4,MAX(0,-(AU52+AU46-AU53)+IF(AND(43&gt;0,OR(核心参数输入!$B$64=0,43&lt;核心参数输入!$B$9*4)),核心参数输入!$B$123,0)),0)</f>
        <v>0</v>
      </c>
      <c r="AV54" s="9">
        <f>IF(44&lt;=核心参数输入!$B$9*4,MAX(0,-(AV52+AV46-AV53)+IF(AND(44&gt;0,OR(核心参数输入!$B$64=0,44&lt;核心参数输入!$B$9*4)),核心参数输入!$B$123,0)),0)</f>
        <v>0</v>
      </c>
      <c r="AW54" s="9">
        <f>IF(45&lt;=核心参数输入!$B$9*4,MAX(0,-(AW52+AW46-AW53)+IF(AND(45&gt;0,OR(核心参数输入!$B$64=0,45&lt;核心参数输入!$B$9*4)),核心参数输入!$B$123,0)),0)</f>
        <v>0</v>
      </c>
      <c r="AX54" s="9">
        <f>IF(46&lt;=核心参数输入!$B$9*4,MAX(0,-(AX52+AX46-AX53)+IF(AND(46&gt;0,OR(核心参数输入!$B$64=0,46&lt;核心参数输入!$B$9*4)),核心参数输入!$B$123,0)),0)</f>
        <v>0</v>
      </c>
      <c r="AY54" s="9">
        <f>IF(47&lt;=核心参数输入!$B$9*4,MAX(0,-(AY52+AY46-AY53)+IF(AND(47&gt;0,OR(核心参数输入!$B$64=0,47&lt;核心参数输入!$B$9*4)),核心参数输入!$B$123,0)),0)</f>
        <v>0</v>
      </c>
      <c r="AZ54" s="9">
        <f>IF(48&lt;=核心参数输入!$B$9*4,MAX(0,-(AZ52+AZ46-AZ53)+IF(AND(48&gt;0,OR(核心参数输入!$B$64=0,48&lt;核心参数输入!$B$9*4)),核心参数输入!$B$123,0)),0)</f>
        <v>0</v>
      </c>
      <c r="BA54" s="9">
        <f>IF(49&lt;=核心参数输入!$B$9*4,MAX(0,-(BA52+BA46-BA53)+IF(AND(49&gt;0,OR(核心参数输入!$B$64=0,49&lt;核心参数输入!$B$9*4)),核心参数输入!$B$123,0)),0)</f>
        <v>0</v>
      </c>
      <c r="BB54" s="9">
        <f>IF(50&lt;=核心参数输入!$B$9*4,MAX(0,-(BB52+BB46-BB53)+IF(AND(50&gt;0,OR(核心参数输入!$B$64=0,50&lt;核心参数输入!$B$9*4)),核心参数输入!$B$123,0)),0)</f>
        <v>0</v>
      </c>
      <c r="BC54" s="9">
        <f>IF(51&lt;=核心参数输入!$B$9*4,MAX(0,-(BC52+BC46-BC53)+IF(AND(51&gt;0,OR(核心参数输入!$B$64=0,51&lt;核心参数输入!$B$9*4)),核心参数输入!$B$123,0)),0)</f>
        <v>0</v>
      </c>
      <c r="BD54" s="9">
        <f>IF(52&lt;=核心参数输入!$B$9*4,MAX(0,-(BD52+BD46-BD53)+IF(AND(52&gt;0,OR(核心参数输入!$B$64=0,52&lt;核心参数输入!$B$9*4)),核心参数输入!$B$123,0)),0)</f>
        <v>0</v>
      </c>
      <c r="BE54" s="9">
        <f>IF(53&lt;=核心参数输入!$B$9*4,MAX(0,-(BE52+BE46-BE53)+IF(AND(53&gt;0,OR(核心参数输入!$B$64=0,53&lt;核心参数输入!$B$9*4)),核心参数输入!$B$123,0)),0)</f>
        <v>0</v>
      </c>
      <c r="BF54" s="9">
        <f>IF(54&lt;=核心参数输入!$B$9*4,MAX(0,-(BF52+BF46-BF53)+IF(AND(54&gt;0,OR(核心参数输入!$B$64=0,54&lt;核心参数输入!$B$9*4)),核心参数输入!$B$123,0)),0)</f>
        <v>0</v>
      </c>
      <c r="BG54" s="9">
        <f>IF(55&lt;=核心参数输入!$B$9*4,MAX(0,-(BG52+BG46-BG53)+IF(AND(55&gt;0,OR(核心参数输入!$B$64=0,55&lt;核心参数输入!$B$9*4)),核心参数输入!$B$123,0)),0)</f>
        <v>0</v>
      </c>
      <c r="BH54" s="9">
        <f>IF(56&lt;=核心参数输入!$B$9*4,MAX(0,-(BH52+BH46-BH53)+IF(AND(56&gt;0,OR(核心参数输入!$B$64=0,56&lt;核心参数输入!$B$9*4)),核心参数输入!$B$123,0)),0)</f>
        <v>0</v>
      </c>
      <c r="BI54" s="9">
        <f>IF(57&lt;=核心参数输入!$B$9*4,MAX(0,-(BI52+BI46-BI53)+IF(AND(57&gt;0,OR(核心参数输入!$B$64=0,57&lt;核心参数输入!$B$9*4)),核心参数输入!$B$123,0)),0)</f>
        <v>0</v>
      </c>
      <c r="BJ54" s="9">
        <f>IF(58&lt;=核心参数输入!$B$9*4,MAX(0,-(BJ52+BJ46-BJ53)+IF(AND(58&gt;0,OR(核心参数输入!$B$64=0,58&lt;核心参数输入!$B$9*4)),核心参数输入!$B$123,0)),0)</f>
        <v>0</v>
      </c>
      <c r="BK54" s="9">
        <f>IF(59&lt;=核心参数输入!$B$9*4,MAX(0,-(BK52+BK46-BK53)+IF(AND(59&gt;0,OR(核心参数输入!$B$64=0,59&lt;核心参数输入!$B$9*4)),核心参数输入!$B$123,0)),0)</f>
        <v>0</v>
      </c>
      <c r="BL54" s="9">
        <f>IF(60&lt;=核心参数输入!$B$9*4,MAX(0,-(BL52+BL46-BL53)+IF(AND(60&gt;0,OR(核心参数输入!$B$64=0,60&lt;核心参数输入!$B$9*4)),核心参数输入!$B$123,0)),0)</f>
        <v>0</v>
      </c>
      <c r="BM54" s="9">
        <f>IF(61&lt;=核心参数输入!$B$9*4,MAX(0,-(BM52+BM46-BM53)+IF(AND(61&gt;0,OR(核心参数输入!$B$64=0,61&lt;核心参数输入!$B$9*4)),核心参数输入!$B$123,0)),0)</f>
        <v>0</v>
      </c>
      <c r="BN54" s="9">
        <f>IF(62&lt;=核心参数输入!$B$9*4,MAX(0,-(BN52+BN46-BN53)+IF(AND(62&gt;0,OR(核心参数输入!$B$64=0,62&lt;核心参数输入!$B$9*4)),核心参数输入!$B$123,0)),0)</f>
        <v>0</v>
      </c>
      <c r="BO54" s="9">
        <f>IF(63&lt;=核心参数输入!$B$9*4,MAX(0,-(BO52+BO46-BO53)+IF(AND(63&gt;0,OR(核心参数输入!$B$64=0,63&lt;核心参数输入!$B$9*4)),核心参数输入!$B$123,0)),0)</f>
        <v>0</v>
      </c>
      <c r="BP54" s="9">
        <f>IF(64&lt;=核心参数输入!$B$9*4,MAX(0,-(BP52+BP46-BP53)+IF(AND(64&gt;0,OR(核心参数输入!$B$64=0,64&lt;核心参数输入!$B$9*4)),核心参数输入!$B$123,0)),0)</f>
        <v>0</v>
      </c>
      <c r="BQ54" s="9">
        <f>IF(65&lt;=核心参数输入!$B$9*4,MAX(0,-(BQ52+BQ46-BQ53)+IF(AND(65&gt;0,OR(核心参数输入!$B$64=0,65&lt;核心参数输入!$B$9*4)),核心参数输入!$B$123,0)),0)</f>
        <v>0</v>
      </c>
      <c r="BR54" s="9">
        <f>IF(66&lt;=核心参数输入!$B$9*4,MAX(0,-(BR52+BR46-BR53)+IF(AND(66&gt;0,OR(核心参数输入!$B$64=0,66&lt;核心参数输入!$B$9*4)),核心参数输入!$B$123,0)),0)</f>
        <v>0</v>
      </c>
      <c r="BS54" s="9">
        <f>IF(67&lt;=核心参数输入!$B$9*4,MAX(0,-(BS52+BS46-BS53)+IF(AND(67&gt;0,OR(核心参数输入!$B$64=0,67&lt;核心参数输入!$B$9*4)),核心参数输入!$B$123,0)),0)</f>
        <v>0</v>
      </c>
      <c r="BT54" s="9">
        <f>IF(68&lt;=核心参数输入!$B$9*4,MAX(0,-(BT52+BT46-BT53)+IF(AND(68&gt;0,OR(核心参数输入!$B$64=0,68&lt;核心参数输入!$B$9*4)),核心参数输入!$B$123,0)),0)</f>
        <v>0</v>
      </c>
      <c r="BU54" s="9">
        <f>IF(69&lt;=核心参数输入!$B$9*4,MAX(0,-(BU52+BU46-BU53)+IF(AND(69&gt;0,OR(核心参数输入!$B$64=0,69&lt;核心参数输入!$B$9*4)),核心参数输入!$B$123,0)),0)</f>
        <v>0</v>
      </c>
      <c r="BV54" s="9">
        <f>IF(70&lt;=核心参数输入!$B$9*4,MAX(0,-(BV52+BV46-BV53)+IF(AND(70&gt;0,OR(核心参数输入!$B$64=0,70&lt;核心参数输入!$B$9*4)),核心参数输入!$B$123,0)),0)</f>
        <v>0</v>
      </c>
      <c r="BW54" s="9">
        <f>IF(71&lt;=核心参数输入!$B$9*4,MAX(0,-(BW52+BW46-BW53)+IF(AND(71&gt;0,OR(核心参数输入!$B$64=0,71&lt;核心参数输入!$B$9*4)),核心参数输入!$B$123,0)),0)</f>
        <v>0</v>
      </c>
      <c r="BX54" s="9">
        <f>IF(72&lt;=核心参数输入!$B$9*4,MAX(0,-(BX52+BX46-BX53)+IF(AND(72&gt;0,OR(核心参数输入!$B$64=0,72&lt;核心参数输入!$B$9*4)),核心参数输入!$B$123,0)),0)</f>
        <v>0</v>
      </c>
      <c r="BY54" s="9">
        <f>IF(73&lt;=核心参数输入!$B$9*4,MAX(0,-(BY52+BY46-BY53)+IF(AND(73&gt;0,OR(核心参数输入!$B$64=0,73&lt;核心参数输入!$B$9*4)),核心参数输入!$B$123,0)),0)</f>
        <v>0</v>
      </c>
      <c r="BZ54" s="9">
        <f>IF(74&lt;=核心参数输入!$B$9*4,MAX(0,-(BZ52+BZ46-BZ53)+IF(AND(74&gt;0,OR(核心参数输入!$B$64=0,74&lt;核心参数输入!$B$9*4)),核心参数输入!$B$123,0)),0)</f>
        <v>0</v>
      </c>
      <c r="CA54" s="9">
        <f>IF(75&lt;=核心参数输入!$B$9*4,MAX(0,-(CA52+CA46-CA53)+IF(AND(75&gt;0,OR(核心参数输入!$B$64=0,75&lt;核心参数输入!$B$9*4)),核心参数输入!$B$123,0)),0)</f>
        <v>0</v>
      </c>
      <c r="CB54" s="9">
        <f>IF(76&lt;=核心参数输入!$B$9*4,MAX(0,-(CB52+CB46-CB53)+IF(AND(76&gt;0,OR(核心参数输入!$B$64=0,76&lt;核心参数输入!$B$9*4)),核心参数输入!$B$123,0)),0)</f>
        <v>0</v>
      </c>
      <c r="CC54" s="9">
        <f>IF(77&lt;=核心参数输入!$B$9*4,MAX(0,-(CC52+CC46-CC53)+IF(AND(77&gt;0,OR(核心参数输入!$B$64=0,77&lt;核心参数输入!$B$9*4)),核心参数输入!$B$123,0)),0)</f>
        <v>0</v>
      </c>
      <c r="CD54" s="9">
        <f>IF(78&lt;=核心参数输入!$B$9*4,MAX(0,-(CD52+CD46-CD53)+IF(AND(78&gt;0,OR(核心参数输入!$B$64=0,78&lt;核心参数输入!$B$9*4)),核心参数输入!$B$123,0)),0)</f>
        <v>0</v>
      </c>
      <c r="CE54" s="9">
        <f>IF(79&lt;=核心参数输入!$B$9*4,MAX(0,-(CE52+CE46-CE53)+IF(AND(79&gt;0,OR(核心参数输入!$B$64=0,79&lt;核心参数输入!$B$9*4)),核心参数输入!$B$123,0)),0)</f>
        <v>0</v>
      </c>
      <c r="CF54" s="9">
        <f>IF(80&lt;=核心参数输入!$B$9*4,MAX(0,-(CF52+CF46-CF53)+IF(AND(80&gt;0,OR(核心参数输入!$B$64=0,80&lt;核心参数输入!$B$9*4)),核心参数输入!$B$123,0)),0)</f>
        <v>0</v>
      </c>
      <c r="CG54" s="9">
        <f>IF(81&lt;=核心参数输入!$B$9*4,MAX(0,-(CG52+CG46-CG53)+IF(AND(81&gt;0,OR(核心参数输入!$B$64=0,81&lt;核心参数输入!$B$9*4)),核心参数输入!$B$123,0)),0)</f>
        <v>0</v>
      </c>
      <c r="CH54" s="9">
        <f>IF(82&lt;=核心参数输入!$B$9*4,MAX(0,-(CH52+CH46-CH53)+IF(AND(82&gt;0,OR(核心参数输入!$B$64=0,82&lt;核心参数输入!$B$9*4)),核心参数输入!$B$123,0)),0)</f>
        <v>0</v>
      </c>
      <c r="CI54" s="9">
        <f>IF(83&lt;=核心参数输入!$B$9*4,MAX(0,-(CI52+CI46-CI53)+IF(AND(83&gt;0,OR(核心参数输入!$B$64=0,83&lt;核心参数输入!$B$9*4)),核心参数输入!$B$123,0)),0)</f>
        <v>0</v>
      </c>
      <c r="CJ54" s="9">
        <f>IF(84&lt;=核心参数输入!$B$9*4,MAX(0,-(CJ52+CJ46-CJ53)+IF(AND(84&gt;0,OR(核心参数输入!$B$64=0,84&lt;核心参数输入!$B$9*4)),核心参数输入!$B$123,0)),0)</f>
        <v>0</v>
      </c>
      <c r="CK54" s="9">
        <f>IF(85&lt;=核心参数输入!$B$9*4,MAX(0,-(CK52+CK46-CK53)+IF(AND(85&gt;0,OR(核心参数输入!$B$64=0,85&lt;核心参数输入!$B$9*4)),核心参数输入!$B$123,0)),0)</f>
        <v>0</v>
      </c>
      <c r="CL54" s="9">
        <f>IF(86&lt;=核心参数输入!$B$9*4,MAX(0,-(CL52+CL46-CL53)+IF(AND(86&gt;0,OR(核心参数输入!$B$64=0,86&lt;核心参数输入!$B$9*4)),核心参数输入!$B$123,0)),0)</f>
        <v>0</v>
      </c>
      <c r="CM54" s="9">
        <f>IF(87&lt;=核心参数输入!$B$9*4,MAX(0,-(CM52+CM46-CM53)+IF(AND(87&gt;0,OR(核心参数输入!$B$64=0,87&lt;核心参数输入!$B$9*4)),核心参数输入!$B$123,0)),0)</f>
        <v>0</v>
      </c>
      <c r="CN54" s="9">
        <f>IF(88&lt;=核心参数输入!$B$9*4,MAX(0,-(CN52+CN46-CN53)+IF(AND(88&gt;0,OR(核心参数输入!$B$64=0,88&lt;核心参数输入!$B$9*4)),核心参数输入!$B$123,0)),0)</f>
        <v>0</v>
      </c>
      <c r="CO54" s="9">
        <f>IF(89&lt;=核心参数输入!$B$9*4,MAX(0,-(CO52+CO46-CO53)+IF(AND(89&gt;0,OR(核心参数输入!$B$64=0,89&lt;核心参数输入!$B$9*4)),核心参数输入!$B$123,0)),0)</f>
        <v>0</v>
      </c>
      <c r="CP54" s="9">
        <f>IF(90&lt;=核心参数输入!$B$9*4,MAX(0,-(CP52+CP46-CP53)+IF(AND(90&gt;0,OR(核心参数输入!$B$64=0,90&lt;核心参数输入!$B$9*4)),核心参数输入!$B$123,0)),0)</f>
        <v>0</v>
      </c>
      <c r="CQ54" s="9">
        <f>IF(91&lt;=核心参数输入!$B$9*4,MAX(0,-(CQ52+CQ46-CQ53)+IF(AND(91&gt;0,OR(核心参数输入!$B$64=0,91&lt;核心参数输入!$B$9*4)),核心参数输入!$B$123,0)),0)</f>
        <v>0</v>
      </c>
      <c r="CR54" s="9">
        <f>IF(92&lt;=核心参数输入!$B$9*4,MAX(0,-(CR52+CR46-CR53)+IF(AND(92&gt;0,OR(核心参数输入!$B$64=0,92&lt;核心参数输入!$B$9*4)),核心参数输入!$B$123,0)),0)</f>
        <v>0</v>
      </c>
      <c r="CS54" s="9">
        <f>IF(93&lt;=核心参数输入!$B$9*4,MAX(0,-(CS52+CS46-CS53)+IF(AND(93&gt;0,OR(核心参数输入!$B$64=0,93&lt;核心参数输入!$B$9*4)),核心参数输入!$B$123,0)),0)</f>
        <v>0</v>
      </c>
      <c r="CT54" s="9">
        <f>IF(94&lt;=核心参数输入!$B$9*4,MAX(0,-(CT52+CT46-CT53)+IF(AND(94&gt;0,OR(核心参数输入!$B$64=0,94&lt;核心参数输入!$B$9*4)),核心参数输入!$B$123,0)),0)</f>
        <v>0</v>
      </c>
      <c r="CU54" s="9">
        <f>IF(95&lt;=核心参数输入!$B$9*4,MAX(0,-(CU52+CU46-CU53)+IF(AND(95&gt;0,OR(核心参数输入!$B$64=0,95&lt;核心参数输入!$B$9*4)),核心参数输入!$B$123,0)),0)</f>
        <v>0</v>
      </c>
      <c r="CV54" s="9">
        <f>IF(96&lt;=核心参数输入!$B$9*4,MAX(0,-(CV52+CV46-CV53)+IF(AND(96&gt;0,OR(核心参数输入!$B$64=0,96&lt;核心参数输入!$B$9*4)),核心参数输入!$B$123,0)),0)</f>
        <v>0</v>
      </c>
      <c r="CW54" s="9">
        <f>IF(97&lt;=核心参数输入!$B$9*4,MAX(0,-(CW52+CW46-CW53)+IF(AND(97&gt;0,OR(核心参数输入!$B$64=0,97&lt;核心参数输入!$B$9*4)),核心参数输入!$B$123,0)),0)</f>
        <v>0</v>
      </c>
      <c r="CX54" s="9">
        <f>IF(98&lt;=核心参数输入!$B$9*4,MAX(0,-(CX52+CX46-CX53)+IF(AND(98&gt;0,OR(核心参数输入!$B$64=0,98&lt;核心参数输入!$B$9*4)),核心参数输入!$B$123,0)),0)</f>
        <v>0</v>
      </c>
      <c r="CY54" s="9">
        <f>IF(99&lt;=核心参数输入!$B$9*4,MAX(0,-(CY52+CY46-CY53)+IF(AND(99&gt;0,OR(核心参数输入!$B$64=0,99&lt;核心参数输入!$B$9*4)),核心参数输入!$B$123,0)),0)</f>
        <v>0</v>
      </c>
      <c r="CZ54" s="9">
        <f>IF(100&lt;=核心参数输入!$B$9*4,MAX(0,-(CZ52+CZ46-CZ53)+IF(AND(100&gt;0,OR(核心参数输入!$B$64=0,100&lt;核心参数输入!$B$9*4)),核心参数输入!$B$123,0)),0)</f>
        <v>0</v>
      </c>
      <c r="DA54" s="9">
        <f>IF(101&lt;=核心参数输入!$B$9*4,MAX(0,-(DA52+DA46-DA53)+IF(AND(101&gt;0,OR(核心参数输入!$B$64=0,101&lt;核心参数输入!$B$9*4)),核心参数输入!$B$123,0)),0)</f>
        <v>0</v>
      </c>
      <c r="DB54" s="9">
        <f>IF(102&lt;=核心参数输入!$B$9*4,MAX(0,-(DB52+DB46-DB53)+IF(AND(102&gt;0,OR(核心参数输入!$B$64=0,102&lt;核心参数输入!$B$9*4)),核心参数输入!$B$123,0)),0)</f>
        <v>0</v>
      </c>
      <c r="DC54" s="9">
        <f>IF(103&lt;=核心参数输入!$B$9*4,MAX(0,-(DC52+DC46-DC53)+IF(AND(103&gt;0,OR(核心参数输入!$B$64=0,103&lt;核心参数输入!$B$9*4)),核心参数输入!$B$123,0)),0)</f>
        <v>0</v>
      </c>
      <c r="DD54" s="9">
        <f>IF(104&lt;=核心参数输入!$B$9*4,MAX(0,-(DD52+DD46-DD53)+IF(AND(104&gt;0,OR(核心参数输入!$B$64=0,104&lt;核心参数输入!$B$9*4)),核心参数输入!$B$123,0)),0)</f>
        <v>0</v>
      </c>
      <c r="DE54" s="9">
        <f>IF(105&lt;=核心参数输入!$B$9*4,MAX(0,-(DE52+DE46-DE53)+IF(AND(105&gt;0,OR(核心参数输入!$B$64=0,105&lt;核心参数输入!$B$9*4)),核心参数输入!$B$123,0)),0)</f>
        <v>0</v>
      </c>
      <c r="DF54" s="9">
        <f>IF(106&lt;=核心参数输入!$B$9*4,MAX(0,-(DF52+DF46-DF53)+IF(AND(106&gt;0,OR(核心参数输入!$B$64=0,106&lt;核心参数输入!$B$9*4)),核心参数输入!$B$123,0)),0)</f>
        <v>0</v>
      </c>
      <c r="DG54" s="9">
        <f>IF(107&lt;=核心参数输入!$B$9*4,MAX(0,-(DG52+DG46-DG53)+IF(AND(107&gt;0,OR(核心参数输入!$B$64=0,107&lt;核心参数输入!$B$9*4)),核心参数输入!$B$123,0)),0)</f>
        <v>0</v>
      </c>
      <c r="DH54" s="9">
        <f>IF(108&lt;=核心参数输入!$B$9*4,MAX(0,-(DH52+DH46-DH53)+IF(AND(108&gt;0,OR(核心参数输入!$B$64=0,108&lt;核心参数输入!$B$9*4)),核心参数输入!$B$123,0)),0)</f>
        <v>0</v>
      </c>
      <c r="DI54" s="9">
        <f>IF(109&lt;=核心参数输入!$B$9*4,MAX(0,-(DI52+DI46-DI53)+IF(AND(109&gt;0,OR(核心参数输入!$B$64=0,109&lt;核心参数输入!$B$9*4)),核心参数输入!$B$123,0)),0)</f>
        <v>0</v>
      </c>
      <c r="DJ54" s="9">
        <f>IF(110&lt;=核心参数输入!$B$9*4,MAX(0,-(DJ52+DJ46-DJ53)+IF(AND(110&gt;0,OR(核心参数输入!$B$64=0,110&lt;核心参数输入!$B$9*4)),核心参数输入!$B$123,0)),0)</f>
        <v>0</v>
      </c>
      <c r="DK54" s="9">
        <f>IF(111&lt;=核心参数输入!$B$9*4,MAX(0,-(DK52+DK46-DK53)+IF(AND(111&gt;0,OR(核心参数输入!$B$64=0,111&lt;核心参数输入!$B$9*4)),核心参数输入!$B$123,0)),0)</f>
        <v>0</v>
      </c>
      <c r="DL54" s="9">
        <f>IF(112&lt;=核心参数输入!$B$9*4,MAX(0,-(DL52+DL46-DL53)+IF(AND(112&gt;0,OR(核心参数输入!$B$64=0,112&lt;核心参数输入!$B$9*4)),核心参数输入!$B$123,0)),0)</f>
        <v>0</v>
      </c>
      <c r="DM54" s="9">
        <f>IF(113&lt;=核心参数输入!$B$9*4,MAX(0,-(DM52+DM46-DM53)+IF(AND(113&gt;0,OR(核心参数输入!$B$64=0,113&lt;核心参数输入!$B$9*4)),核心参数输入!$B$123,0)),0)</f>
        <v>0</v>
      </c>
      <c r="DN54" s="9">
        <f>IF(114&lt;=核心参数输入!$B$9*4,MAX(0,-(DN52+DN46-DN53)+IF(AND(114&gt;0,OR(核心参数输入!$B$64=0,114&lt;核心参数输入!$B$9*4)),核心参数输入!$B$123,0)),0)</f>
        <v>0</v>
      </c>
      <c r="DO54" s="9">
        <f>IF(115&lt;=核心参数输入!$B$9*4,MAX(0,-(DO52+DO46-DO53)+IF(AND(115&gt;0,OR(核心参数输入!$B$64=0,115&lt;核心参数输入!$B$9*4)),核心参数输入!$B$123,0)),0)</f>
        <v>0</v>
      </c>
      <c r="DP54" s="9">
        <f>IF(116&lt;=核心参数输入!$B$9*4,MAX(0,-(DP52+DP46-DP53)+IF(AND(116&gt;0,OR(核心参数输入!$B$64=0,116&lt;核心参数输入!$B$9*4)),核心参数输入!$B$123,0)),0)</f>
        <v>0</v>
      </c>
      <c r="DQ54" s="9">
        <f>IF(117&lt;=核心参数输入!$B$9*4,MAX(0,-(DQ52+DQ46-DQ53)+IF(AND(117&gt;0,OR(核心参数输入!$B$64=0,117&lt;核心参数输入!$B$9*4)),核心参数输入!$B$123,0)),0)</f>
        <v>0</v>
      </c>
      <c r="DR54" s="9">
        <f>IF(118&lt;=核心参数输入!$B$9*4,MAX(0,-(DR52+DR46-DR53)+IF(AND(118&gt;0,OR(核心参数输入!$B$64=0,118&lt;核心参数输入!$B$9*4)),核心参数输入!$B$123,0)),0)</f>
        <v>0</v>
      </c>
      <c r="DS54" s="9">
        <f>IF(119&lt;=核心参数输入!$B$9*4,MAX(0,-(DS52+DS46-DS53)+IF(AND(119&gt;0,OR(核心参数输入!$B$64=0,119&lt;核心参数输入!$B$9*4)),核心参数输入!$B$123,0)),0)</f>
        <v>0</v>
      </c>
      <c r="DT54" s="9">
        <f>IF(120&lt;=核心参数输入!$B$9*4,MAX(0,-(DT52+DT46-DT53)+IF(AND(120&gt;0,OR(核心参数输入!$B$64=0,120&lt;核心参数输入!$B$9*4)),核心参数输入!$B$123,0)),0)</f>
        <v>0</v>
      </c>
    </row>
    <row r="55" spans="1:124" ht="21" customHeight="1">
      <c r="A55" s="8" t="s">
        <v>547</v>
      </c>
      <c r="B55" s="8" t="s">
        <v>39</v>
      </c>
      <c r="C55" s="8"/>
      <c r="D55" s="9">
        <f>IF(0&lt;=核心参数输入!$B$9*4,MIN(D54,MAX(0,核心参数输入!$B$61-0)),0)</f>
        <v>8000</v>
      </c>
      <c r="E55" s="9">
        <f>IF(1&lt;=核心参数输入!$B$9*4,MIN(E54,MAX(0,核心参数输入!$B$61-季度现金流!D60)),0)</f>
        <v>1730.8125</v>
      </c>
      <c r="F55" s="9">
        <f>IF(2&lt;=核心参数输入!$B$9*4,MIN(F54,MAX(0,核心参数输入!$B$61-季度现金流!E60)),0)</f>
        <v>1754.4375</v>
      </c>
      <c r="G55" s="9">
        <f>IF(3&lt;=核心参数输入!$B$9*4,MIN(G54,MAX(0,核心参数输入!$B$61-季度现金流!F60)),0)</f>
        <v>1778.0625</v>
      </c>
      <c r="H55" s="9">
        <f>IF(4&lt;=核心参数输入!$B$9*4,MIN(H54,MAX(0,核心参数输入!$B$61-季度现金流!G60)),0)</f>
        <v>1801.6875</v>
      </c>
      <c r="I55" s="9">
        <f>IF(5&lt;=核心参数输入!$B$9*4,MIN(I54,MAX(0,核心参数输入!$B$61-季度现金流!H60)),0)</f>
        <v>2402.25</v>
      </c>
      <c r="J55" s="9">
        <f>IF(6&lt;=核心参数输入!$B$9*4,MIN(J54,MAX(0,核心参数输入!$B$61-季度现金流!I60)),0)</f>
        <v>2433.75</v>
      </c>
      <c r="K55" s="9">
        <f>IF(7&lt;=核心参数输入!$B$9*4,MIN(K54,MAX(0,核心参数输入!$B$61-季度现金流!J60)),0)</f>
        <v>2465.25</v>
      </c>
      <c r="L55" s="9">
        <f>IF(8&lt;=核心参数输入!$B$9*4,MIN(L54,MAX(0,核心参数输入!$B$61-季度现金流!K60)),0)</f>
        <v>2496.75</v>
      </c>
      <c r="M55" s="9">
        <f>IF(9&lt;=核心参数输入!$B$9*4,MIN(M54,MAX(0,核心参数输入!$B$61-季度现金流!L60)),0)</f>
        <v>1951.3125</v>
      </c>
      <c r="N55" s="9">
        <f>IF(10&lt;=核心参数输入!$B$9*4,MIN(N54,MAX(0,核心参数输入!$B$61-季度现金流!M60)),0)</f>
        <v>1974.9375</v>
      </c>
      <c r="O55" s="9">
        <f>IF(11&lt;=核心参数输入!$B$9*4,MIN(O54,MAX(0,核心参数输入!$B$61-季度现金流!N60)),0)</f>
        <v>1998.5625</v>
      </c>
      <c r="P55" s="9">
        <f>IF(12&lt;=核心参数输入!$B$9*4,MIN(P54,MAX(0,核心参数输入!$B$61-季度现金流!O60)),0)</f>
        <v>2022.1875</v>
      </c>
      <c r="Q55" s="9">
        <f>IF(13&lt;=核心参数输入!$B$9*4,MIN(Q54,MAX(0,核心参数输入!$B$61-季度现金流!P60)),0)</f>
        <v>0</v>
      </c>
      <c r="R55" s="9">
        <f>IF(14&lt;=核心参数输入!$B$9*4,MIN(R54,MAX(0,核心参数输入!$B$61-季度现金流!Q60)),0)</f>
        <v>0</v>
      </c>
      <c r="S55" s="9">
        <f>IF(15&lt;=核心参数输入!$B$9*4,MIN(S54,MAX(0,核心参数输入!$B$61-季度现金流!R60)),0)</f>
        <v>0</v>
      </c>
      <c r="T55" s="9">
        <f>IF(16&lt;=核心参数输入!$B$9*4,MIN(T54,MAX(0,核心参数输入!$B$61-季度现金流!S60)),0)</f>
        <v>0</v>
      </c>
      <c r="U55" s="9">
        <f>IF(17&lt;=核心参数输入!$B$9*4,MIN(U54,MAX(0,核心参数输入!$B$61-季度现金流!T60)),0)</f>
        <v>0</v>
      </c>
      <c r="V55" s="9">
        <f>IF(18&lt;=核心参数输入!$B$9*4,MIN(V54,MAX(0,核心参数输入!$B$61-季度现金流!U60)),0)</f>
        <v>0</v>
      </c>
      <c r="W55" s="9">
        <f>IF(19&lt;=核心参数输入!$B$9*4,MIN(W54,MAX(0,核心参数输入!$B$61-季度现金流!V60)),0)</f>
        <v>0</v>
      </c>
      <c r="X55" s="9">
        <f>IF(20&lt;=核心参数输入!$B$9*4,MIN(X54,MAX(0,核心参数输入!$B$61-季度现金流!W60)),0)</f>
        <v>0</v>
      </c>
      <c r="Y55" s="9">
        <f>IF(21&lt;=核心参数输入!$B$9*4,MIN(Y54,MAX(0,核心参数输入!$B$61-季度现金流!X60)),0)</f>
        <v>0</v>
      </c>
      <c r="Z55" s="9">
        <f>IF(22&lt;=核心参数输入!$B$9*4,MIN(Z54,MAX(0,核心参数输入!$B$61-季度现金流!Y60)),0)</f>
        <v>0</v>
      </c>
      <c r="AA55" s="9">
        <f>IF(23&lt;=核心参数输入!$B$9*4,MIN(AA54,MAX(0,核心参数输入!$B$61-季度现金流!Z60)),0)</f>
        <v>0</v>
      </c>
      <c r="AB55" s="9">
        <f>IF(24&lt;=核心参数输入!$B$9*4,MIN(AB54,MAX(0,核心参数输入!$B$61-季度现金流!AA60)),0)</f>
        <v>0</v>
      </c>
      <c r="AC55" s="9">
        <f>IF(25&lt;=核心参数输入!$B$9*4,MIN(AC54,MAX(0,核心参数输入!$B$61-季度现金流!AB60)),0)</f>
        <v>0</v>
      </c>
      <c r="AD55" s="9">
        <f>IF(26&lt;=核心参数输入!$B$9*4,MIN(AD54,MAX(0,核心参数输入!$B$61-季度现金流!AC60)),0)</f>
        <v>0</v>
      </c>
      <c r="AE55" s="9">
        <f>IF(27&lt;=核心参数输入!$B$9*4,MIN(AE54,MAX(0,核心参数输入!$B$61-季度现金流!AD60)),0)</f>
        <v>0</v>
      </c>
      <c r="AF55" s="9">
        <f>IF(28&lt;=核心参数输入!$B$9*4,MIN(AF54,MAX(0,核心参数输入!$B$61-季度现金流!AE60)),0)</f>
        <v>0</v>
      </c>
      <c r="AG55" s="9">
        <f>IF(29&lt;=核心参数输入!$B$9*4,MIN(AG54,MAX(0,核心参数输入!$B$61-季度现金流!AF60)),0)</f>
        <v>0</v>
      </c>
      <c r="AH55" s="9">
        <f>IF(30&lt;=核心参数输入!$B$9*4,MIN(AH54,MAX(0,核心参数输入!$B$61-季度现金流!AG60)),0)</f>
        <v>0</v>
      </c>
      <c r="AI55" s="9">
        <f>IF(31&lt;=核心参数输入!$B$9*4,MIN(AI54,MAX(0,核心参数输入!$B$61-季度现金流!AH60)),0)</f>
        <v>0</v>
      </c>
      <c r="AJ55" s="9">
        <f>IF(32&lt;=核心参数输入!$B$9*4,MIN(AJ54,MAX(0,核心参数输入!$B$61-季度现金流!AI60)),0)</f>
        <v>0</v>
      </c>
      <c r="AK55" s="9">
        <f>IF(33&lt;=核心参数输入!$B$9*4,MIN(AK54,MAX(0,核心参数输入!$B$61-季度现金流!AJ60)),0)</f>
        <v>0</v>
      </c>
      <c r="AL55" s="9">
        <f>IF(34&lt;=核心参数输入!$B$9*4,MIN(AL54,MAX(0,核心参数输入!$B$61-季度现金流!AK60)),0)</f>
        <v>0</v>
      </c>
      <c r="AM55" s="9">
        <f>IF(35&lt;=核心参数输入!$B$9*4,MIN(AM54,MAX(0,核心参数输入!$B$61-季度现金流!AL60)),0)</f>
        <v>0</v>
      </c>
      <c r="AN55" s="9">
        <f>IF(36&lt;=核心参数输入!$B$9*4,MIN(AN54,MAX(0,核心参数输入!$B$61-季度现金流!AM60)),0)</f>
        <v>0</v>
      </c>
      <c r="AO55" s="9">
        <f>IF(37&lt;=核心参数输入!$B$9*4,MIN(AO54,MAX(0,核心参数输入!$B$61-季度现金流!AN60)),0)</f>
        <v>0</v>
      </c>
      <c r="AP55" s="9">
        <f>IF(38&lt;=核心参数输入!$B$9*4,MIN(AP54,MAX(0,核心参数输入!$B$61-季度现金流!AO60)),0)</f>
        <v>0</v>
      </c>
      <c r="AQ55" s="9">
        <f>IF(39&lt;=核心参数输入!$B$9*4,MIN(AQ54,MAX(0,核心参数输入!$B$61-季度现金流!AP60)),0)</f>
        <v>0</v>
      </c>
      <c r="AR55" s="9">
        <f>IF(40&lt;=核心参数输入!$B$9*4,MIN(AR54,MAX(0,核心参数输入!$B$61-季度现金流!AQ60)),0)</f>
        <v>0</v>
      </c>
      <c r="AS55" s="9">
        <f>IF(41&lt;=核心参数输入!$B$9*4,MIN(AS54,MAX(0,核心参数输入!$B$61-季度现金流!AR60)),0)</f>
        <v>0</v>
      </c>
      <c r="AT55" s="9">
        <f>IF(42&lt;=核心参数输入!$B$9*4,MIN(AT54,MAX(0,核心参数输入!$B$61-季度现金流!AS60)),0)</f>
        <v>0</v>
      </c>
      <c r="AU55" s="9">
        <f>IF(43&lt;=核心参数输入!$B$9*4,MIN(AU54,MAX(0,核心参数输入!$B$61-季度现金流!AT60)),0)</f>
        <v>0</v>
      </c>
      <c r="AV55" s="9">
        <f>IF(44&lt;=核心参数输入!$B$9*4,MIN(AV54,MAX(0,核心参数输入!$B$61-季度现金流!AU60)),0)</f>
        <v>0</v>
      </c>
      <c r="AW55" s="9">
        <f>IF(45&lt;=核心参数输入!$B$9*4,MIN(AW54,MAX(0,核心参数输入!$B$61-季度现金流!AV60)),0)</f>
        <v>0</v>
      </c>
      <c r="AX55" s="9">
        <f>IF(46&lt;=核心参数输入!$B$9*4,MIN(AX54,MAX(0,核心参数输入!$B$61-季度现金流!AW60)),0)</f>
        <v>0</v>
      </c>
      <c r="AY55" s="9">
        <f>IF(47&lt;=核心参数输入!$B$9*4,MIN(AY54,MAX(0,核心参数输入!$B$61-季度现金流!AX60)),0)</f>
        <v>0</v>
      </c>
      <c r="AZ55" s="9">
        <f>IF(48&lt;=核心参数输入!$B$9*4,MIN(AZ54,MAX(0,核心参数输入!$B$61-季度现金流!AY60)),0)</f>
        <v>0</v>
      </c>
      <c r="BA55" s="9">
        <f>IF(49&lt;=核心参数输入!$B$9*4,MIN(BA54,MAX(0,核心参数输入!$B$61-季度现金流!AZ60)),0)</f>
        <v>0</v>
      </c>
      <c r="BB55" s="9">
        <f>IF(50&lt;=核心参数输入!$B$9*4,MIN(BB54,MAX(0,核心参数输入!$B$61-季度现金流!BA60)),0)</f>
        <v>0</v>
      </c>
      <c r="BC55" s="9">
        <f>IF(51&lt;=核心参数输入!$B$9*4,MIN(BC54,MAX(0,核心参数输入!$B$61-季度现金流!BB60)),0)</f>
        <v>0</v>
      </c>
      <c r="BD55" s="9">
        <f>IF(52&lt;=核心参数输入!$B$9*4,MIN(BD54,MAX(0,核心参数输入!$B$61-季度现金流!BC60)),0)</f>
        <v>0</v>
      </c>
      <c r="BE55" s="9">
        <f>IF(53&lt;=核心参数输入!$B$9*4,MIN(BE54,MAX(0,核心参数输入!$B$61-季度现金流!BD60)),0)</f>
        <v>0</v>
      </c>
      <c r="BF55" s="9">
        <f>IF(54&lt;=核心参数输入!$B$9*4,MIN(BF54,MAX(0,核心参数输入!$B$61-季度现金流!BE60)),0)</f>
        <v>0</v>
      </c>
      <c r="BG55" s="9">
        <f>IF(55&lt;=核心参数输入!$B$9*4,MIN(BG54,MAX(0,核心参数输入!$B$61-季度现金流!BF60)),0)</f>
        <v>0</v>
      </c>
      <c r="BH55" s="9">
        <f>IF(56&lt;=核心参数输入!$B$9*4,MIN(BH54,MAX(0,核心参数输入!$B$61-季度现金流!BG60)),0)</f>
        <v>0</v>
      </c>
      <c r="BI55" s="9">
        <f>IF(57&lt;=核心参数输入!$B$9*4,MIN(BI54,MAX(0,核心参数输入!$B$61-季度现金流!BH60)),0)</f>
        <v>0</v>
      </c>
      <c r="BJ55" s="9">
        <f>IF(58&lt;=核心参数输入!$B$9*4,MIN(BJ54,MAX(0,核心参数输入!$B$61-季度现金流!BI60)),0)</f>
        <v>0</v>
      </c>
      <c r="BK55" s="9">
        <f>IF(59&lt;=核心参数输入!$B$9*4,MIN(BK54,MAX(0,核心参数输入!$B$61-季度现金流!BJ60)),0)</f>
        <v>0</v>
      </c>
      <c r="BL55" s="9">
        <f>IF(60&lt;=核心参数输入!$B$9*4,MIN(BL54,MAX(0,核心参数输入!$B$61-季度现金流!BK60)),0)</f>
        <v>0</v>
      </c>
      <c r="BM55" s="9">
        <f>IF(61&lt;=核心参数输入!$B$9*4,MIN(BM54,MAX(0,核心参数输入!$B$61-季度现金流!BL60)),0)</f>
        <v>0</v>
      </c>
      <c r="BN55" s="9">
        <f>IF(62&lt;=核心参数输入!$B$9*4,MIN(BN54,MAX(0,核心参数输入!$B$61-季度现金流!BM60)),0)</f>
        <v>0</v>
      </c>
      <c r="BO55" s="9">
        <f>IF(63&lt;=核心参数输入!$B$9*4,MIN(BO54,MAX(0,核心参数输入!$B$61-季度现金流!BN60)),0)</f>
        <v>0</v>
      </c>
      <c r="BP55" s="9">
        <f>IF(64&lt;=核心参数输入!$B$9*4,MIN(BP54,MAX(0,核心参数输入!$B$61-季度现金流!BO60)),0)</f>
        <v>0</v>
      </c>
      <c r="BQ55" s="9">
        <f>IF(65&lt;=核心参数输入!$B$9*4,MIN(BQ54,MAX(0,核心参数输入!$B$61-季度现金流!BP60)),0)</f>
        <v>0</v>
      </c>
      <c r="BR55" s="9">
        <f>IF(66&lt;=核心参数输入!$B$9*4,MIN(BR54,MAX(0,核心参数输入!$B$61-季度现金流!BQ60)),0)</f>
        <v>0</v>
      </c>
      <c r="BS55" s="9">
        <f>IF(67&lt;=核心参数输入!$B$9*4,MIN(BS54,MAX(0,核心参数输入!$B$61-季度现金流!BR60)),0)</f>
        <v>0</v>
      </c>
      <c r="BT55" s="9">
        <f>IF(68&lt;=核心参数输入!$B$9*4,MIN(BT54,MAX(0,核心参数输入!$B$61-季度现金流!BS60)),0)</f>
        <v>0</v>
      </c>
      <c r="BU55" s="9">
        <f>IF(69&lt;=核心参数输入!$B$9*4,MIN(BU54,MAX(0,核心参数输入!$B$61-季度现金流!BT60)),0)</f>
        <v>0</v>
      </c>
      <c r="BV55" s="9">
        <f>IF(70&lt;=核心参数输入!$B$9*4,MIN(BV54,MAX(0,核心参数输入!$B$61-季度现金流!BU60)),0)</f>
        <v>0</v>
      </c>
      <c r="BW55" s="9">
        <f>IF(71&lt;=核心参数输入!$B$9*4,MIN(BW54,MAX(0,核心参数输入!$B$61-季度现金流!BV60)),0)</f>
        <v>0</v>
      </c>
      <c r="BX55" s="9">
        <f>IF(72&lt;=核心参数输入!$B$9*4,MIN(BX54,MAX(0,核心参数输入!$B$61-季度现金流!BW60)),0)</f>
        <v>0</v>
      </c>
      <c r="BY55" s="9">
        <f>IF(73&lt;=核心参数输入!$B$9*4,MIN(BY54,MAX(0,核心参数输入!$B$61-季度现金流!BX60)),0)</f>
        <v>0</v>
      </c>
      <c r="BZ55" s="9">
        <f>IF(74&lt;=核心参数输入!$B$9*4,MIN(BZ54,MAX(0,核心参数输入!$B$61-季度现金流!BY60)),0)</f>
        <v>0</v>
      </c>
      <c r="CA55" s="9">
        <f>IF(75&lt;=核心参数输入!$B$9*4,MIN(CA54,MAX(0,核心参数输入!$B$61-季度现金流!BZ60)),0)</f>
        <v>0</v>
      </c>
      <c r="CB55" s="9">
        <f>IF(76&lt;=核心参数输入!$B$9*4,MIN(CB54,MAX(0,核心参数输入!$B$61-季度现金流!CA60)),0)</f>
        <v>0</v>
      </c>
      <c r="CC55" s="9">
        <f>IF(77&lt;=核心参数输入!$B$9*4,MIN(CC54,MAX(0,核心参数输入!$B$61-季度现金流!CB60)),0)</f>
        <v>0</v>
      </c>
      <c r="CD55" s="9">
        <f>IF(78&lt;=核心参数输入!$B$9*4,MIN(CD54,MAX(0,核心参数输入!$B$61-季度现金流!CC60)),0)</f>
        <v>0</v>
      </c>
      <c r="CE55" s="9">
        <f>IF(79&lt;=核心参数输入!$B$9*4,MIN(CE54,MAX(0,核心参数输入!$B$61-季度现金流!CD60)),0)</f>
        <v>0</v>
      </c>
      <c r="CF55" s="9">
        <f>IF(80&lt;=核心参数输入!$B$9*4,MIN(CF54,MAX(0,核心参数输入!$B$61-季度现金流!CE60)),0)</f>
        <v>0</v>
      </c>
      <c r="CG55" s="9">
        <f>IF(81&lt;=核心参数输入!$B$9*4,MIN(CG54,MAX(0,核心参数输入!$B$61-季度现金流!CF60)),0)</f>
        <v>0</v>
      </c>
      <c r="CH55" s="9">
        <f>IF(82&lt;=核心参数输入!$B$9*4,MIN(CH54,MAX(0,核心参数输入!$B$61-季度现金流!CG60)),0)</f>
        <v>0</v>
      </c>
      <c r="CI55" s="9">
        <f>IF(83&lt;=核心参数输入!$B$9*4,MIN(CI54,MAX(0,核心参数输入!$B$61-季度现金流!CH60)),0)</f>
        <v>0</v>
      </c>
      <c r="CJ55" s="9">
        <f>IF(84&lt;=核心参数输入!$B$9*4,MIN(CJ54,MAX(0,核心参数输入!$B$61-季度现金流!CI60)),0)</f>
        <v>0</v>
      </c>
      <c r="CK55" s="9">
        <f>IF(85&lt;=核心参数输入!$B$9*4,MIN(CK54,MAX(0,核心参数输入!$B$61-季度现金流!CJ60)),0)</f>
        <v>0</v>
      </c>
      <c r="CL55" s="9">
        <f>IF(86&lt;=核心参数输入!$B$9*4,MIN(CL54,MAX(0,核心参数输入!$B$61-季度现金流!CK60)),0)</f>
        <v>0</v>
      </c>
      <c r="CM55" s="9">
        <f>IF(87&lt;=核心参数输入!$B$9*4,MIN(CM54,MAX(0,核心参数输入!$B$61-季度现金流!CL60)),0)</f>
        <v>0</v>
      </c>
      <c r="CN55" s="9">
        <f>IF(88&lt;=核心参数输入!$B$9*4,MIN(CN54,MAX(0,核心参数输入!$B$61-季度现金流!CM60)),0)</f>
        <v>0</v>
      </c>
      <c r="CO55" s="9">
        <f>IF(89&lt;=核心参数输入!$B$9*4,MIN(CO54,MAX(0,核心参数输入!$B$61-季度现金流!CN60)),0)</f>
        <v>0</v>
      </c>
      <c r="CP55" s="9">
        <f>IF(90&lt;=核心参数输入!$B$9*4,MIN(CP54,MAX(0,核心参数输入!$B$61-季度现金流!CO60)),0)</f>
        <v>0</v>
      </c>
      <c r="CQ55" s="9">
        <f>IF(91&lt;=核心参数输入!$B$9*4,MIN(CQ54,MAX(0,核心参数输入!$B$61-季度现金流!CP60)),0)</f>
        <v>0</v>
      </c>
      <c r="CR55" s="9">
        <f>IF(92&lt;=核心参数输入!$B$9*4,MIN(CR54,MAX(0,核心参数输入!$B$61-季度现金流!CQ60)),0)</f>
        <v>0</v>
      </c>
      <c r="CS55" s="9">
        <f>IF(93&lt;=核心参数输入!$B$9*4,MIN(CS54,MAX(0,核心参数输入!$B$61-季度现金流!CR60)),0)</f>
        <v>0</v>
      </c>
      <c r="CT55" s="9">
        <f>IF(94&lt;=核心参数输入!$B$9*4,MIN(CT54,MAX(0,核心参数输入!$B$61-季度现金流!CS60)),0)</f>
        <v>0</v>
      </c>
      <c r="CU55" s="9">
        <f>IF(95&lt;=核心参数输入!$B$9*4,MIN(CU54,MAX(0,核心参数输入!$B$61-季度现金流!CT60)),0)</f>
        <v>0</v>
      </c>
      <c r="CV55" s="9">
        <f>IF(96&lt;=核心参数输入!$B$9*4,MIN(CV54,MAX(0,核心参数输入!$B$61-季度现金流!CU60)),0)</f>
        <v>0</v>
      </c>
      <c r="CW55" s="9">
        <f>IF(97&lt;=核心参数输入!$B$9*4,MIN(CW54,MAX(0,核心参数输入!$B$61-季度现金流!CV60)),0)</f>
        <v>0</v>
      </c>
      <c r="CX55" s="9">
        <f>IF(98&lt;=核心参数输入!$B$9*4,MIN(CX54,MAX(0,核心参数输入!$B$61-季度现金流!CW60)),0)</f>
        <v>0</v>
      </c>
      <c r="CY55" s="9">
        <f>IF(99&lt;=核心参数输入!$B$9*4,MIN(CY54,MAX(0,核心参数输入!$B$61-季度现金流!CX60)),0)</f>
        <v>0</v>
      </c>
      <c r="CZ55" s="9">
        <f>IF(100&lt;=核心参数输入!$B$9*4,MIN(CZ54,MAX(0,核心参数输入!$B$61-季度现金流!CY60)),0)</f>
        <v>0</v>
      </c>
      <c r="DA55" s="9">
        <f>IF(101&lt;=核心参数输入!$B$9*4,MIN(DA54,MAX(0,核心参数输入!$B$61-季度现金流!CZ60)),0)</f>
        <v>0</v>
      </c>
      <c r="DB55" s="9">
        <f>IF(102&lt;=核心参数输入!$B$9*4,MIN(DB54,MAX(0,核心参数输入!$B$61-季度现金流!DA60)),0)</f>
        <v>0</v>
      </c>
      <c r="DC55" s="9">
        <f>IF(103&lt;=核心参数输入!$B$9*4,MIN(DC54,MAX(0,核心参数输入!$B$61-季度现金流!DB60)),0)</f>
        <v>0</v>
      </c>
      <c r="DD55" s="9">
        <f>IF(104&lt;=核心参数输入!$B$9*4,MIN(DD54,MAX(0,核心参数输入!$B$61-季度现金流!DC60)),0)</f>
        <v>0</v>
      </c>
      <c r="DE55" s="9">
        <f>IF(105&lt;=核心参数输入!$B$9*4,MIN(DE54,MAX(0,核心参数输入!$B$61-季度现金流!DD60)),0)</f>
        <v>0</v>
      </c>
      <c r="DF55" s="9">
        <f>IF(106&lt;=核心参数输入!$B$9*4,MIN(DF54,MAX(0,核心参数输入!$B$61-季度现金流!DE60)),0)</f>
        <v>0</v>
      </c>
      <c r="DG55" s="9">
        <f>IF(107&lt;=核心参数输入!$B$9*4,MIN(DG54,MAX(0,核心参数输入!$B$61-季度现金流!DF60)),0)</f>
        <v>0</v>
      </c>
      <c r="DH55" s="9">
        <f>IF(108&lt;=核心参数输入!$B$9*4,MIN(DH54,MAX(0,核心参数输入!$B$61-季度现金流!DG60)),0)</f>
        <v>0</v>
      </c>
      <c r="DI55" s="9">
        <f>IF(109&lt;=核心参数输入!$B$9*4,MIN(DI54,MAX(0,核心参数输入!$B$61-季度现金流!DH60)),0)</f>
        <v>0</v>
      </c>
      <c r="DJ55" s="9">
        <f>IF(110&lt;=核心参数输入!$B$9*4,MIN(DJ54,MAX(0,核心参数输入!$B$61-季度现金流!DI60)),0)</f>
        <v>0</v>
      </c>
      <c r="DK55" s="9">
        <f>IF(111&lt;=核心参数输入!$B$9*4,MIN(DK54,MAX(0,核心参数输入!$B$61-季度现金流!DJ60)),0)</f>
        <v>0</v>
      </c>
      <c r="DL55" s="9">
        <f>IF(112&lt;=核心参数输入!$B$9*4,MIN(DL54,MAX(0,核心参数输入!$B$61-季度现金流!DK60)),0)</f>
        <v>0</v>
      </c>
      <c r="DM55" s="9">
        <f>IF(113&lt;=核心参数输入!$B$9*4,MIN(DM54,MAX(0,核心参数输入!$B$61-季度现金流!DL60)),0)</f>
        <v>0</v>
      </c>
      <c r="DN55" s="9">
        <f>IF(114&lt;=核心参数输入!$B$9*4,MIN(DN54,MAX(0,核心参数输入!$B$61-季度现金流!DM60)),0)</f>
        <v>0</v>
      </c>
      <c r="DO55" s="9">
        <f>IF(115&lt;=核心参数输入!$B$9*4,MIN(DO54,MAX(0,核心参数输入!$B$61-季度现金流!DN60)),0)</f>
        <v>0</v>
      </c>
      <c r="DP55" s="9">
        <f>IF(116&lt;=核心参数输入!$B$9*4,MIN(DP54,MAX(0,核心参数输入!$B$61-季度现金流!DO60)),0)</f>
        <v>0</v>
      </c>
      <c r="DQ55" s="9">
        <f>IF(117&lt;=核心参数输入!$B$9*4,MIN(DQ54,MAX(0,核心参数输入!$B$61-季度现金流!DP60)),0)</f>
        <v>0</v>
      </c>
      <c r="DR55" s="9">
        <f>IF(118&lt;=核心参数输入!$B$9*4,MIN(DR54,MAX(0,核心参数输入!$B$61-季度现金流!DQ60)),0)</f>
        <v>0</v>
      </c>
      <c r="DS55" s="9">
        <f>IF(119&lt;=核心参数输入!$B$9*4,MIN(DS54,MAX(0,核心参数输入!$B$61-季度现金流!DR60)),0)</f>
        <v>0</v>
      </c>
      <c r="DT55" s="9">
        <f>IF(120&lt;=核心参数输入!$B$9*4,MIN(DT54,MAX(0,核心参数输入!$B$61-季度现金流!DS60)),0)</f>
        <v>0</v>
      </c>
    </row>
    <row r="56" spans="1:124" ht="21" customHeight="1">
      <c r="A56" s="8" t="s">
        <v>548</v>
      </c>
      <c r="B56" s="8" t="s">
        <v>39</v>
      </c>
      <c r="C56" s="8"/>
      <c r="D56" s="9">
        <f>IF(0&lt;=核心参数输入!$B$9*4,IF(D59&gt;0.01,0,MAX(0,D52+D46-D53+D55-D48-IF(OR(核心参数输入!$B$64=0,0&lt;核心参数输入!$B$9*4),核心参数输入!$B$123,0))),0)</f>
        <v>0</v>
      </c>
      <c r="E56" s="9">
        <f>IF(1&lt;=核心参数输入!$B$9*4,IF(E59&gt;0.01,0,MAX(0,E52+E46-E53+E55-E48-IF(OR(核心参数输入!$B$64=0,1&lt;核心参数输入!$B$9*4),核心参数输入!$B$123,0))),0)</f>
        <v>0</v>
      </c>
      <c r="F56" s="9">
        <f>IF(2&lt;=核心参数输入!$B$9*4,IF(F59&gt;0.01,0,MAX(0,F52+F46-F53+F55-F48-IF(OR(核心参数输入!$B$64=0,2&lt;核心参数输入!$B$9*4),核心参数输入!$B$123,0))),0)</f>
        <v>0</v>
      </c>
      <c r="G56" s="9">
        <f>IF(3&lt;=核心参数输入!$B$9*4,IF(G59&gt;0.01,0,MAX(0,G52+G46-G53+G55-G48-IF(OR(核心参数输入!$B$64=0,3&lt;核心参数输入!$B$9*4),核心参数输入!$B$123,0))),0)</f>
        <v>0</v>
      </c>
      <c r="H56" s="9">
        <f>IF(4&lt;=核心参数输入!$B$9*4,IF(H59&gt;0.01,0,MAX(0,H52+H46-H53+H55-H48-IF(OR(核心参数输入!$B$64=0,4&lt;核心参数输入!$B$9*4),核心参数输入!$B$123,0))),0)</f>
        <v>0</v>
      </c>
      <c r="I56" s="9">
        <f>IF(5&lt;=核心参数输入!$B$9*4,IF(I59&gt;0.01,0,MAX(0,I52+I46-I53+I55-I48-IF(OR(核心参数输入!$B$64=0,5&lt;核心参数输入!$B$9*4),核心参数输入!$B$123,0))),0)</f>
        <v>0</v>
      </c>
      <c r="J56" s="9">
        <f>IF(6&lt;=核心参数输入!$B$9*4,IF(J59&gt;0.01,0,MAX(0,J52+J46-J53+J55-J48-IF(OR(核心参数输入!$B$64=0,6&lt;核心参数输入!$B$9*4),核心参数输入!$B$123,0))),0)</f>
        <v>0</v>
      </c>
      <c r="K56" s="9">
        <f>IF(7&lt;=核心参数输入!$B$9*4,IF(K59&gt;0.01,0,MAX(0,K52+K46-K53+K55-K48-IF(OR(核心参数输入!$B$64=0,7&lt;核心参数输入!$B$9*4),核心参数输入!$B$123,0))),0)</f>
        <v>0</v>
      </c>
      <c r="L56" s="9">
        <f>IF(8&lt;=核心参数输入!$B$9*4,IF(L59&gt;0.01,0,MAX(0,L52+L46-L53+L55-L48-IF(OR(核心参数输入!$B$64=0,8&lt;核心参数输入!$B$9*4),核心参数输入!$B$123,0))),0)</f>
        <v>0</v>
      </c>
      <c r="M56" s="9">
        <f>IF(9&lt;=核心参数输入!$B$9*4,IF(M59&gt;0.01,0,MAX(0,M52+M46-M53+M55-M48-IF(OR(核心参数输入!$B$64=0,9&lt;核心参数输入!$B$9*4),核心参数输入!$B$123,0))),0)</f>
        <v>0</v>
      </c>
      <c r="N56" s="9">
        <f>IF(10&lt;=核心参数输入!$B$9*4,IF(N59&gt;0.01,0,MAX(0,N52+N46-N53+N55-N48-IF(OR(核心参数输入!$B$64=0,10&lt;核心参数输入!$B$9*4),核心参数输入!$B$123,0))),0)</f>
        <v>0</v>
      </c>
      <c r="O56" s="9">
        <f>IF(11&lt;=核心参数输入!$B$9*4,IF(O59&gt;0.01,0,MAX(0,O52+O46-O53+O55-O48-IF(OR(核心参数输入!$B$64=0,11&lt;核心参数输入!$B$9*4),核心参数输入!$B$123,0))),0)</f>
        <v>0</v>
      </c>
      <c r="P56" s="9">
        <f>IF(12&lt;=核心参数输入!$B$9*4,IF(P59&gt;0.01,0,MAX(0,P52+P46-P53+P55-P48-IF(OR(核心参数输入!$B$64=0,12&lt;核心参数输入!$B$9*4),核心参数输入!$B$123,0))),0)</f>
        <v>0</v>
      </c>
      <c r="Q56" s="9">
        <f>IF(13&lt;=核心参数输入!$B$9*4,IF(Q59&gt;0.01,0,MAX(0,Q52+Q46-Q53+Q55-Q48-IF(OR(核心参数输入!$B$64=0,13&lt;核心参数输入!$B$9*4),核心参数输入!$B$123,0))),0)</f>
        <v>1218.7140625000002</v>
      </c>
      <c r="R56" s="9">
        <f>IF(14&lt;=核心参数输入!$B$9*4,IF(R59&gt;0.01,0,MAX(0,R52+R46-R53+R55-R48-IF(OR(核心参数输入!$B$64=0,14&lt;核心参数输入!$B$9*4),核心参数输入!$B$123,0))),0)</f>
        <v>2829.5738458125002</v>
      </c>
      <c r="S56" s="9">
        <f>IF(15&lt;=核心参数输入!$B$9*4,IF(S59&gt;0.01,0,MAX(0,S52+S46-S53+S55-S48-IF(OR(核心参数输入!$B$64=0,15&lt;核心参数输入!$B$9*4),核心参数输入!$B$123,0))),0)</f>
        <v>1483.436968332589</v>
      </c>
      <c r="T56" s="9">
        <f>IF(16&lt;=核心参数输入!$B$9*4,IF(T59&gt;0.01,0,MAX(0,T52+T46-T53+T55-T48-IF(OR(核心参数输入!$B$64=0,16&lt;核心参数输入!$B$9*4),核心参数输入!$B$123,0))),0)</f>
        <v>0</v>
      </c>
      <c r="U56" s="9">
        <f>IF(17&lt;=核心参数输入!$B$9*4,IF(U59&gt;0.01,0,MAX(0,U52+U46-U53+U55-U48-IF(OR(核心参数输入!$B$64=0,17&lt;核心参数输入!$B$9*4),核心参数输入!$B$123,0))),0)</f>
        <v>3743.3198541853121</v>
      </c>
      <c r="V56" s="9">
        <f>IF(18&lt;=核心参数输入!$B$9*4,IF(V59&gt;0.01,0,MAX(0,V52+V46-V53+V55-V48-IF(OR(核心参数输入!$B$64=0,18&lt;核心参数输入!$B$9*4),核心参数输入!$B$123,0))),0)</f>
        <v>2494.0523918316721</v>
      </c>
      <c r="W56" s="9">
        <f>IF(19&lt;=核心参数输入!$B$9*4,IF(W59&gt;0.01,0,MAX(0,W52+W46-W53+W55-W48-IF(OR(核心参数输入!$B$64=0,19&lt;核心参数输入!$B$9*4),核心参数输入!$B$123,0))),0)</f>
        <v>0</v>
      </c>
      <c r="X56" s="9">
        <f>IF(20&lt;=核心参数输入!$B$9*4,IF(X59&gt;0.01,0,MAX(0,X52+X46-X53+X55-X48-IF(OR(核心参数输入!$B$64=0,20&lt;核心参数输入!$B$9*4),核心参数输入!$B$123,0))),0)</f>
        <v>0</v>
      </c>
      <c r="Y56" s="9">
        <f>IF(21&lt;=核心参数输入!$B$9*4,IF(Y59&gt;0.01,0,MAX(0,Y52+Y46-Y53+Y55-Y48-IF(OR(核心参数输入!$B$64=0,21&lt;核心参数输入!$B$9*4),核心参数输入!$B$123,0))),0)</f>
        <v>0</v>
      </c>
      <c r="Z56" s="9">
        <f>IF(22&lt;=核心参数输入!$B$9*4,IF(Z59&gt;0.01,0,MAX(0,Z52+Z46-Z53+Z55-Z48-IF(OR(核心参数输入!$B$64=0,22&lt;核心参数输入!$B$9*4),核心参数输入!$B$123,0))),0)</f>
        <v>0</v>
      </c>
      <c r="AA56" s="9">
        <f>IF(23&lt;=核心参数输入!$B$9*4,IF(AA59&gt;0.01,0,MAX(0,AA52+AA46-AA53+AA55-AA48-IF(OR(核心参数输入!$B$64=0,23&lt;核心参数输入!$B$9*4),核心参数输入!$B$123,0))),0)</f>
        <v>0</v>
      </c>
      <c r="AB56" s="9">
        <f>IF(24&lt;=核心参数输入!$B$9*4,IF(AB59&gt;0.01,0,MAX(0,AB52+AB46-AB53+AB55-AB48-IF(OR(核心参数输入!$B$64=0,24&lt;核心参数输入!$B$9*4),核心参数输入!$B$123,0))),0)</f>
        <v>0</v>
      </c>
      <c r="AC56" s="9">
        <f>IF(25&lt;=核心参数输入!$B$9*4,IF(AC59&gt;0.01,0,MAX(0,AC52+AC46-AC53+AC55-AC48-IF(OR(核心参数输入!$B$64=0,25&lt;核心参数输入!$B$9*4),核心参数输入!$B$123,0))),0)</f>
        <v>0</v>
      </c>
      <c r="AD56" s="9">
        <f>IF(26&lt;=核心参数输入!$B$9*4,IF(AD59&gt;0.01,0,MAX(0,AD52+AD46-AD53+AD55-AD48-IF(OR(核心参数输入!$B$64=0,26&lt;核心参数输入!$B$9*4),核心参数输入!$B$123,0))),0)</f>
        <v>0</v>
      </c>
      <c r="AE56" s="9">
        <f>IF(27&lt;=核心参数输入!$B$9*4,IF(AE59&gt;0.01,0,MAX(0,AE52+AE46-AE53+AE55-AE48-IF(OR(核心参数输入!$B$64=0,27&lt;核心参数输入!$B$9*4),核心参数输入!$B$123,0))),0)</f>
        <v>0</v>
      </c>
      <c r="AF56" s="9">
        <f>IF(28&lt;=核心参数输入!$B$9*4,IF(AF59&gt;0.01,0,MAX(0,AF52+AF46-AF53+AF55-AF48-IF(OR(核心参数输入!$B$64=0,28&lt;核心参数输入!$B$9*4),核心参数输入!$B$123,0))),0)</f>
        <v>0</v>
      </c>
      <c r="AG56" s="9">
        <f>IF(29&lt;=核心参数输入!$B$9*4,IF(AG59&gt;0.01,0,MAX(0,AG52+AG46-AG53+AG55-AG48-IF(OR(核心参数输入!$B$64=0,29&lt;核心参数输入!$B$9*4),核心参数输入!$B$123,0))),0)</f>
        <v>0</v>
      </c>
      <c r="AH56" s="9">
        <f>IF(30&lt;=核心参数输入!$B$9*4,IF(AH59&gt;0.01,0,MAX(0,AH52+AH46-AH53+AH55-AH48-IF(OR(核心参数输入!$B$64=0,30&lt;核心参数输入!$B$9*4),核心参数输入!$B$123,0))),0)</f>
        <v>0</v>
      </c>
      <c r="AI56" s="9">
        <f>IF(31&lt;=核心参数输入!$B$9*4,IF(AI59&gt;0.01,0,MAX(0,AI52+AI46-AI53+AI55-AI48-IF(OR(核心参数输入!$B$64=0,31&lt;核心参数输入!$B$9*4),核心参数输入!$B$123,0))),0)</f>
        <v>0</v>
      </c>
      <c r="AJ56" s="9">
        <f>IF(32&lt;=核心参数输入!$B$9*4,IF(AJ59&gt;0.01,0,MAX(0,AJ52+AJ46-AJ53+AJ55-AJ48-IF(OR(核心参数输入!$B$64=0,32&lt;核心参数输入!$B$9*4),核心参数输入!$B$123,0))),0)</f>
        <v>0</v>
      </c>
      <c r="AK56" s="9">
        <f>IF(33&lt;=核心参数输入!$B$9*4,IF(AK59&gt;0.01,0,MAX(0,AK52+AK46-AK53+AK55-AK48-IF(OR(核心参数输入!$B$64=0,33&lt;核心参数输入!$B$9*4),核心参数输入!$B$123,0))),0)</f>
        <v>0</v>
      </c>
      <c r="AL56" s="9">
        <f>IF(34&lt;=核心参数输入!$B$9*4,IF(AL59&gt;0.01,0,MAX(0,AL52+AL46-AL53+AL55-AL48-IF(OR(核心参数输入!$B$64=0,34&lt;核心参数输入!$B$9*4),核心参数输入!$B$123,0))),0)</f>
        <v>0</v>
      </c>
      <c r="AM56" s="9">
        <f>IF(35&lt;=核心参数输入!$B$9*4,IF(AM59&gt;0.01,0,MAX(0,AM52+AM46-AM53+AM55-AM48-IF(OR(核心参数输入!$B$64=0,35&lt;核心参数输入!$B$9*4),核心参数输入!$B$123,0))),0)</f>
        <v>0</v>
      </c>
      <c r="AN56" s="9">
        <f>IF(36&lt;=核心参数输入!$B$9*4,IF(AN59&gt;0.01,0,MAX(0,AN52+AN46-AN53+AN55-AN48-IF(OR(核心参数输入!$B$64=0,36&lt;核心参数输入!$B$9*4),核心参数输入!$B$123,0))),0)</f>
        <v>0</v>
      </c>
      <c r="AO56" s="9">
        <f>IF(37&lt;=核心参数输入!$B$9*4,IF(AO59&gt;0.01,0,MAX(0,AO52+AO46-AO53+AO55-AO48-IF(OR(核心参数输入!$B$64=0,37&lt;核心参数输入!$B$9*4),核心参数输入!$B$123,0))),0)</f>
        <v>0</v>
      </c>
      <c r="AP56" s="9">
        <f>IF(38&lt;=核心参数输入!$B$9*4,IF(AP59&gt;0.01,0,MAX(0,AP52+AP46-AP53+AP55-AP48-IF(OR(核心参数输入!$B$64=0,38&lt;核心参数输入!$B$9*4),核心参数输入!$B$123,0))),0)</f>
        <v>0</v>
      </c>
      <c r="AQ56" s="9">
        <f>IF(39&lt;=核心参数输入!$B$9*4,IF(AQ59&gt;0.01,0,MAX(0,AQ52+AQ46-AQ53+AQ55-AQ48-IF(OR(核心参数输入!$B$64=0,39&lt;核心参数输入!$B$9*4),核心参数输入!$B$123,0))),0)</f>
        <v>0</v>
      </c>
      <c r="AR56" s="9">
        <f>IF(40&lt;=核心参数输入!$B$9*4,IF(AR59&gt;0.01,0,MAX(0,AR52+AR46-AR53+AR55-AR48-IF(OR(核心参数输入!$B$64=0,40&lt;核心参数输入!$B$9*4),核心参数输入!$B$123,0))),0)</f>
        <v>0</v>
      </c>
      <c r="AS56" s="9">
        <f>IF(41&lt;=核心参数输入!$B$9*4,IF(AS59&gt;0.01,0,MAX(0,AS52+AS46-AS53+AS55-AS48-IF(OR(核心参数输入!$B$64=0,41&lt;核心参数输入!$B$9*4),核心参数输入!$B$123,0))),0)</f>
        <v>267.65012380987014</v>
      </c>
      <c r="AT56" s="9">
        <f>IF(42&lt;=核心参数输入!$B$9*4,IF(AT59&gt;0.01,0,MAX(0,AT52+AT46-AT53+AT55-AT48-IF(OR(核心参数输入!$B$64=0,42&lt;核心参数输入!$B$9*4),核心参数输入!$B$123,0))),0)</f>
        <v>267.65012380987014</v>
      </c>
      <c r="AU56" s="9">
        <f>IF(43&lt;=核心参数输入!$B$9*4,IF(AU59&gt;0.01,0,MAX(0,AU52+AU46-AU53+AU55-AU48-IF(OR(核心参数输入!$B$64=0,43&lt;核心参数输入!$B$9*4),核心参数输入!$B$123,0))),0)</f>
        <v>267.65012380987014</v>
      </c>
      <c r="AV56" s="9">
        <f>IF(44&lt;=核心参数输入!$B$9*4,IF(AV59&gt;0.01,0,MAX(0,AV52+AV46-AV53+AV55-AV48-IF(OR(核心参数输入!$B$64=0,44&lt;核心参数输入!$B$9*4),核心参数输入!$B$123,0))),0)</f>
        <v>267.65012380987014</v>
      </c>
      <c r="AW56" s="9">
        <f>IF(45&lt;=核心参数输入!$B$9*4,IF(AW59&gt;0.01,0,MAX(0,AW52+AW46-AW53+AW55-AW48-IF(OR(核心参数输入!$B$64=0,45&lt;核心参数输入!$B$9*4),核心参数输入!$B$123,0))),0)</f>
        <v>271.90911854164972</v>
      </c>
      <c r="AX56" s="9">
        <f>IF(46&lt;=核心参数输入!$B$9*4,IF(AX59&gt;0.01,0,MAX(0,AX52+AX46-AX53+AX55-AX48-IF(OR(核心参数输入!$B$64=0,46&lt;核心参数输入!$B$9*4),核心参数输入!$B$123,0))),0)</f>
        <v>271.90911854164972</v>
      </c>
      <c r="AY56" s="9">
        <f>IF(47&lt;=核心参数输入!$B$9*4,IF(AY59&gt;0.01,0,MAX(0,AY52+AY46-AY53+AY55-AY48-IF(OR(核心参数输入!$B$64=0,47&lt;核心参数输入!$B$9*4),核心参数输入!$B$123,0))),0)</f>
        <v>271.90911854164972</v>
      </c>
      <c r="AZ56" s="9">
        <f>IF(48&lt;=核心参数输入!$B$9*4,IF(AZ59&gt;0.01,0,MAX(0,AZ52+AZ46-AZ53+AZ55-AZ48-IF(OR(核心参数输入!$B$64=0,48&lt;核心参数输入!$B$9*4),核心参数输入!$B$123,0))),0)</f>
        <v>271.90911854164972</v>
      </c>
      <c r="BA56" s="9">
        <f>IF(49&lt;=核心参数输入!$B$9*4,IF(BA59&gt;0.01,0,MAX(0,BA52+BA46-BA53+BA55-BA48-IF(OR(核心参数输入!$B$64=0,49&lt;核心参数输入!$B$9*4),核心参数输入!$B$123,0))),0)</f>
        <v>276.22338305189851</v>
      </c>
      <c r="BB56" s="9">
        <f>IF(50&lt;=核心参数输入!$B$9*4,IF(BB59&gt;0.01,0,MAX(0,BB52+BB46-BB53+BB55-BB48-IF(OR(核心参数输入!$B$64=0,50&lt;核心参数输入!$B$9*4),核心参数输入!$B$123,0))),0)</f>
        <v>276.22338305189851</v>
      </c>
      <c r="BC56" s="9">
        <f>IF(51&lt;=核心参数输入!$B$9*4,IF(BC59&gt;0.01,0,MAX(0,BC52+BC46-BC53+BC55-BC48-IF(OR(核心参数输入!$B$64=0,51&lt;核心参数输入!$B$9*4),核心参数输入!$B$123,0))),0)</f>
        <v>276.22338305189851</v>
      </c>
      <c r="BD56" s="9">
        <f>IF(52&lt;=核心参数输入!$B$9*4,IF(BD59&gt;0.01,0,MAX(0,BD52+BD46-BD53+BD55-BD48-IF(OR(核心参数输入!$B$64=0,52&lt;核心参数输入!$B$9*4),核心参数输入!$B$123,0))),0)</f>
        <v>276.22338305189851</v>
      </c>
      <c r="BE56" s="9">
        <f>IF(53&lt;=核心参数输入!$B$9*4,IF(BE59&gt;0.01,0,MAX(0,BE52+BE46-BE53+BE55-BE48-IF(OR(核心参数输入!$B$64=0,53&lt;核心参数输入!$B$9*4),核心参数输入!$B$123,0))),0)</f>
        <v>280.59357408444356</v>
      </c>
      <c r="BF56" s="9">
        <f>IF(54&lt;=核心参数输入!$B$9*4,IF(BF59&gt;0.01,0,MAX(0,BF52+BF46-BF53+BF55-BF48-IF(OR(核心参数输入!$B$64=0,54&lt;核心参数输入!$B$9*4),核心参数输入!$B$123,0))),0)</f>
        <v>280.59357408444356</v>
      </c>
      <c r="BG56" s="9">
        <f>IF(55&lt;=核心参数输入!$B$9*4,IF(BG59&gt;0.01,0,MAX(0,BG52+BG46-BG53+BG55-BG48-IF(OR(核心参数输入!$B$64=0,55&lt;核心参数输入!$B$9*4),核心参数输入!$B$123,0))),0)</f>
        <v>280.59357408444356</v>
      </c>
      <c r="BH56" s="9">
        <f>IF(56&lt;=核心参数输入!$B$9*4,IF(BH59&gt;0.01,0,MAX(0,BH52+BH46-BH53+BH55-BH48-IF(OR(核心参数输入!$B$64=0,56&lt;核心参数输入!$B$9*4),核心参数输入!$B$123,0))),0)</f>
        <v>251.60090143748954</v>
      </c>
      <c r="BI56" s="9">
        <f>IF(57&lt;=核心参数输入!$B$9*4,IF(BI59&gt;0.01,0,MAX(0,BI52+BI46-BI53+BI55-BI48-IF(OR(核心参数输入!$B$64=0,57&lt;核心参数输入!$B$9*4),核心参数输入!$B$123,0))),0)</f>
        <v>285.0203547882121</v>
      </c>
      <c r="BJ56" s="9">
        <f>IF(58&lt;=核心参数输入!$B$9*4,IF(BJ59&gt;0.01,0,MAX(0,BJ52+BJ46-BJ53+BJ55-BJ48-IF(OR(核心参数输入!$B$64=0,58&lt;核心参数输入!$B$9*4),核心参数输入!$B$123,0))),0)</f>
        <v>285.0203547882121</v>
      </c>
      <c r="BK56" s="9">
        <f>IF(59&lt;=核心参数输入!$B$9*4,IF(BK59&gt;0.01,0,MAX(0,BK52+BK46-BK53+BK55-BK48-IF(OR(核心参数输入!$B$64=0,59&lt;核心参数输入!$B$9*4),核心参数输入!$B$123,0))),0)</f>
        <v>285.0203547882121</v>
      </c>
      <c r="BL56" s="9">
        <f>IF(60&lt;=核心参数输入!$B$9*4,IF(BL59&gt;0.01,0,MAX(0,BL52+BL46-BL53+BL55-BL48-IF(OR(核心参数输入!$B$64=0,60&lt;核心参数输入!$B$9*4),核心参数输入!$B$123,0))),0)</f>
        <v>213.26062499999986</v>
      </c>
      <c r="BM56" s="9">
        <f>IF(61&lt;=核心参数输入!$B$9*4,IF(BM59&gt;0.01,0,MAX(0,BM52+BM46-BM53+BM55-BM48-IF(OR(核心参数输入!$B$64=0,61&lt;核心参数输入!$B$9*4),核心参数输入!$B$123,0))),0)</f>
        <v>289.50439474438724</v>
      </c>
      <c r="BN56" s="9">
        <f>IF(62&lt;=核心参数输入!$B$9*4,IF(BN59&gt;0.01,0,MAX(0,BN52+BN46-BN53+BN55-BN48-IF(OR(核心参数输入!$B$64=0,62&lt;核心参数输入!$B$9*4),核心参数输入!$B$123,0))),0)</f>
        <v>289.50439474438724</v>
      </c>
      <c r="BO56" s="9">
        <f>IF(63&lt;=核心参数输入!$B$9*4,IF(BO59&gt;0.01,0,MAX(0,BO52+BO46-BO53+BO55-BO48-IF(OR(核心参数输入!$B$64=0,63&lt;核心参数输入!$B$9*4),核心参数输入!$B$123,0))),0)</f>
        <v>289.50439474438724</v>
      </c>
      <c r="BP56" s="9">
        <f>IF(64&lt;=核心参数输入!$B$9*4,IF(BP59&gt;0.01,0,MAX(0,BP52+BP46-BP53+BP55-BP48-IF(OR(核心参数输入!$B$64=0,64&lt;核心参数输入!$B$9*4),核心参数输入!$B$123,0))),0)</f>
        <v>213.26062499999995</v>
      </c>
      <c r="BQ56" s="9">
        <f>IF(65&lt;=核心参数输入!$B$9*4,IF(BQ59&gt;0.01,0,MAX(0,BQ52+BQ46-BQ53+BQ55-BQ48-IF(OR(核心参数输入!$B$64=0,65&lt;核心参数输入!$B$9*4),核心参数输入!$B$123,0))),0)</f>
        <v>294.04636999259213</v>
      </c>
      <c r="BR56" s="9">
        <f>IF(66&lt;=核心参数输入!$B$9*4,IF(BR59&gt;0.01,0,MAX(0,BR52+BR46-BR53+BR55-BR48-IF(OR(核心参数输入!$B$64=0,66&lt;核心参数输入!$B$9*4),核心参数输入!$B$123,0))),0)</f>
        <v>294.04636999259213</v>
      </c>
      <c r="BS56" s="9">
        <f>IF(67&lt;=核心参数输入!$B$9*4,IF(BS59&gt;0.01,0,MAX(0,BS52+BS46-BS53+BS55-BS48-IF(OR(核心参数输入!$B$64=0,67&lt;核心参数输入!$B$9*4),核心参数输入!$B$123,0))),0)</f>
        <v>294.04636999259213</v>
      </c>
      <c r="BT56" s="9">
        <f>IF(68&lt;=核心参数输入!$B$9*4,IF(BT59&gt;0.01,0,MAX(0,BT52+BT46-BT53+BT55-BT48-IF(OR(核心参数输入!$B$64=0,68&lt;核心参数输入!$B$9*4),核心参数输入!$B$123,0))),0)</f>
        <v>213.26062499999998</v>
      </c>
      <c r="BU56" s="9">
        <f>IF(69&lt;=核心参数输入!$B$9*4,IF(BU59&gt;0.01,0,MAX(0,BU52+BU46-BU53+BU55-BU48-IF(OR(核心参数输入!$B$64=0,69&lt;核心参数输入!$B$9*4),核心参数输入!$B$123,0))),0)</f>
        <v>298.64696305606077</v>
      </c>
      <c r="BV56" s="9">
        <f>IF(70&lt;=核心参数输入!$B$9*4,IF(BV59&gt;0.01,0,MAX(0,BV52+BV46-BV53+BV55-BV48-IF(OR(核心参数输入!$B$64=0,70&lt;核心参数输入!$B$9*4),核心参数输入!$B$123,0))),0)</f>
        <v>298.64696305606077</v>
      </c>
      <c r="BW56" s="9">
        <f>IF(71&lt;=核心参数输入!$B$9*4,IF(BW59&gt;0.01,0,MAX(0,BW52+BW46-BW53+BW55-BW48-IF(OR(核心参数输入!$B$64=0,71&lt;核心参数输入!$B$9*4),核心参数输入!$B$123,0))),0)</f>
        <v>298.64696305606077</v>
      </c>
      <c r="BX56" s="9">
        <f>IF(72&lt;=核心参数输入!$B$9*4,IF(BX59&gt;0.01,0,MAX(0,BX52+BX46-BX53+BX55-BX48-IF(OR(核心参数输入!$B$64=0,72&lt;核心参数输入!$B$9*4),核心参数输入!$B$123,0))),0)</f>
        <v>213.26062499999995</v>
      </c>
      <c r="BY56" s="9">
        <f>IF(73&lt;=核心参数输入!$B$9*4,IF(BY59&gt;0.01,0,MAX(0,BY52+BY46-BY53+BY55-BY48-IF(OR(核心参数输入!$B$64=0,73&lt;核心参数输入!$B$9*4),核心参数输入!$B$123,0))),0)</f>
        <v>303.30686296575288</v>
      </c>
      <c r="BZ56" s="9">
        <f>IF(74&lt;=核心参数输入!$B$9*4,IF(BZ59&gt;0.01,0,MAX(0,BZ52+BZ46-BZ53+BZ55-BZ48-IF(OR(核心参数输入!$B$64=0,74&lt;核心参数输入!$B$9*4),核心参数输入!$B$123,0))),0)</f>
        <v>303.30686296575288</v>
      </c>
      <c r="CA56" s="9">
        <f>IF(75&lt;=核心参数输入!$B$9*4,IF(CA59&gt;0.01,0,MAX(0,CA52+CA46-CA53+CA55-CA48-IF(OR(核心参数输入!$B$64=0,75&lt;核心参数输入!$B$9*4),核心参数输入!$B$123,0))),0)</f>
        <v>303.30686296575288</v>
      </c>
      <c r="CB56" s="9">
        <f>IF(76&lt;=核心参数输入!$B$9*4,IF(CB59&gt;0.01,0,MAX(0,CB52+CB46-CB53+CB55-CB48-IF(OR(核心参数输入!$B$64=0,76&lt;核心参数输入!$B$9*4),核心参数输入!$B$123,0))),0)</f>
        <v>213.26062499999992</v>
      </c>
      <c r="CC56" s="9">
        <f>IF(77&lt;=核心参数输入!$B$9*4,IF(CC59&gt;0.01,0,MAX(0,CC52+CC46-CC53+CC55-CC48-IF(OR(核心参数输入!$B$64=0,77&lt;核心参数输入!$B$9*4),核心参数输入!$B$123,0))),0)</f>
        <v>308.02676528336758</v>
      </c>
      <c r="CD56" s="9">
        <f>IF(78&lt;=核心参数输入!$B$9*4,IF(CD59&gt;0.01,0,MAX(0,CD52+CD46-CD53+CD55-CD48-IF(OR(核心参数输入!$B$64=0,78&lt;核心参数输入!$B$9*4),核心参数输入!$B$123,0))),0)</f>
        <v>308.02676528336758</v>
      </c>
      <c r="CE56" s="9">
        <f>IF(79&lt;=核心参数输入!$B$9*4,IF(CE59&gt;0.01,0,MAX(0,CE52+CE46-CE53+CE55-CE48-IF(OR(核心参数输入!$B$64=0,79&lt;核心参数输入!$B$9*4),核心参数输入!$B$123,0))),0)</f>
        <v>308.02676528336758</v>
      </c>
      <c r="CF56" s="9">
        <f>IF(80&lt;=核心参数输入!$B$9*4,IF(CF59&gt;0.01,0,MAX(0,CF52+CF46-CF53+CF55-CF48-IF(OR(核心参数输入!$B$64=0,80&lt;核心参数输入!$B$9*4),核心参数输入!$B$123,0))),0)</f>
        <v>213.260625</v>
      </c>
      <c r="CG56" s="9">
        <f>IF(81&lt;=核心参数输入!$B$9*4,IF(CG59&gt;0.01,0,MAX(0,CG52+CG46-CG53+CG55-CG48-IF(OR(核心参数输入!$B$64=0,81&lt;核心参数输入!$B$9*4),核心参数输入!$B$123,0))),0)</f>
        <v>0</v>
      </c>
      <c r="CH56" s="9">
        <f>IF(82&lt;=核心参数输入!$B$9*4,IF(CH59&gt;0.01,0,MAX(0,CH52+CH46-CH53+CH55-CH48-IF(OR(核心参数输入!$B$64=0,82&lt;核心参数输入!$B$9*4),核心参数输入!$B$123,0))),0)</f>
        <v>0</v>
      </c>
      <c r="CI56" s="9">
        <f>IF(83&lt;=核心参数输入!$B$9*4,IF(CI59&gt;0.01,0,MAX(0,CI52+CI46-CI53+CI55-CI48-IF(OR(核心参数输入!$B$64=0,83&lt;核心参数输入!$B$9*4),核心参数输入!$B$123,0))),0)</f>
        <v>0</v>
      </c>
      <c r="CJ56" s="9">
        <f>IF(84&lt;=核心参数输入!$B$9*4,IF(CJ59&gt;0.01,0,MAX(0,CJ52+CJ46-CJ53+CJ55-CJ48-IF(OR(核心参数输入!$B$64=0,84&lt;核心参数输入!$B$9*4),核心参数输入!$B$123,0))),0)</f>
        <v>0</v>
      </c>
      <c r="CK56" s="9">
        <f>IF(85&lt;=核心参数输入!$B$9*4,IF(CK59&gt;0.01,0,MAX(0,CK52+CK46-CK53+CK55-CK48-IF(OR(核心参数输入!$B$64=0,85&lt;核心参数输入!$B$9*4),核心参数输入!$B$123,0))),0)</f>
        <v>0</v>
      </c>
      <c r="CL56" s="9">
        <f>IF(86&lt;=核心参数输入!$B$9*4,IF(CL59&gt;0.01,0,MAX(0,CL52+CL46-CL53+CL55-CL48-IF(OR(核心参数输入!$B$64=0,86&lt;核心参数输入!$B$9*4),核心参数输入!$B$123,0))),0)</f>
        <v>0</v>
      </c>
      <c r="CM56" s="9">
        <f>IF(87&lt;=核心参数输入!$B$9*4,IF(CM59&gt;0.01,0,MAX(0,CM52+CM46-CM53+CM55-CM48-IF(OR(核心参数输入!$B$64=0,87&lt;核心参数输入!$B$9*4),核心参数输入!$B$123,0))),0)</f>
        <v>0</v>
      </c>
      <c r="CN56" s="9">
        <f>IF(88&lt;=核心参数输入!$B$9*4,IF(CN59&gt;0.01,0,MAX(0,CN52+CN46-CN53+CN55-CN48-IF(OR(核心参数输入!$B$64=0,88&lt;核心参数输入!$B$9*4),核心参数输入!$B$123,0))),0)</f>
        <v>0</v>
      </c>
      <c r="CO56" s="9">
        <f>IF(89&lt;=核心参数输入!$B$9*4,IF(CO59&gt;0.01,0,MAX(0,CO52+CO46-CO53+CO55-CO48-IF(OR(核心参数输入!$B$64=0,89&lt;核心参数输入!$B$9*4),核心参数输入!$B$123,0))),0)</f>
        <v>0</v>
      </c>
      <c r="CP56" s="9">
        <f>IF(90&lt;=核心参数输入!$B$9*4,IF(CP59&gt;0.01,0,MAX(0,CP52+CP46-CP53+CP55-CP48-IF(OR(核心参数输入!$B$64=0,90&lt;核心参数输入!$B$9*4),核心参数输入!$B$123,0))),0)</f>
        <v>0</v>
      </c>
      <c r="CQ56" s="9">
        <f>IF(91&lt;=核心参数输入!$B$9*4,IF(CQ59&gt;0.01,0,MAX(0,CQ52+CQ46-CQ53+CQ55-CQ48-IF(OR(核心参数输入!$B$64=0,91&lt;核心参数输入!$B$9*4),核心参数输入!$B$123,0))),0)</f>
        <v>0</v>
      </c>
      <c r="CR56" s="9">
        <f>IF(92&lt;=核心参数输入!$B$9*4,IF(CR59&gt;0.01,0,MAX(0,CR52+CR46-CR53+CR55-CR48-IF(OR(核心参数输入!$B$64=0,92&lt;核心参数输入!$B$9*4),核心参数输入!$B$123,0))),0)</f>
        <v>0</v>
      </c>
      <c r="CS56" s="9">
        <f>IF(93&lt;=核心参数输入!$B$9*4,IF(CS59&gt;0.01,0,MAX(0,CS52+CS46-CS53+CS55-CS48-IF(OR(核心参数输入!$B$64=0,93&lt;核心参数输入!$B$9*4),核心参数输入!$B$123,0))),0)</f>
        <v>0</v>
      </c>
      <c r="CT56" s="9">
        <f>IF(94&lt;=核心参数输入!$B$9*4,IF(CT59&gt;0.01,0,MAX(0,CT52+CT46-CT53+CT55-CT48-IF(OR(核心参数输入!$B$64=0,94&lt;核心参数输入!$B$9*4),核心参数输入!$B$123,0))),0)</f>
        <v>0</v>
      </c>
      <c r="CU56" s="9">
        <f>IF(95&lt;=核心参数输入!$B$9*4,IF(CU59&gt;0.01,0,MAX(0,CU52+CU46-CU53+CU55-CU48-IF(OR(核心参数输入!$B$64=0,95&lt;核心参数输入!$B$9*4),核心参数输入!$B$123,0))),0)</f>
        <v>0</v>
      </c>
      <c r="CV56" s="9">
        <f>IF(96&lt;=核心参数输入!$B$9*4,IF(CV59&gt;0.01,0,MAX(0,CV52+CV46-CV53+CV55-CV48-IF(OR(核心参数输入!$B$64=0,96&lt;核心参数输入!$B$9*4),核心参数输入!$B$123,0))),0)</f>
        <v>0</v>
      </c>
      <c r="CW56" s="9">
        <f>IF(97&lt;=核心参数输入!$B$9*4,IF(CW59&gt;0.01,0,MAX(0,CW52+CW46-CW53+CW55-CW48-IF(OR(核心参数输入!$B$64=0,97&lt;核心参数输入!$B$9*4),核心参数输入!$B$123,0))),0)</f>
        <v>0</v>
      </c>
      <c r="CX56" s="9">
        <f>IF(98&lt;=核心参数输入!$B$9*4,IF(CX59&gt;0.01,0,MAX(0,CX52+CX46-CX53+CX55-CX48-IF(OR(核心参数输入!$B$64=0,98&lt;核心参数输入!$B$9*4),核心参数输入!$B$123,0))),0)</f>
        <v>0</v>
      </c>
      <c r="CY56" s="9">
        <f>IF(99&lt;=核心参数输入!$B$9*4,IF(CY59&gt;0.01,0,MAX(0,CY52+CY46-CY53+CY55-CY48-IF(OR(核心参数输入!$B$64=0,99&lt;核心参数输入!$B$9*4),核心参数输入!$B$123,0))),0)</f>
        <v>0</v>
      </c>
      <c r="CZ56" s="9">
        <f>IF(100&lt;=核心参数输入!$B$9*4,IF(CZ59&gt;0.01,0,MAX(0,CZ52+CZ46-CZ53+CZ55-CZ48-IF(OR(核心参数输入!$B$64=0,100&lt;核心参数输入!$B$9*4),核心参数输入!$B$123,0))),0)</f>
        <v>0</v>
      </c>
      <c r="DA56" s="9">
        <f>IF(101&lt;=核心参数输入!$B$9*4,IF(DA59&gt;0.01,0,MAX(0,DA52+DA46-DA53+DA55-DA48-IF(OR(核心参数输入!$B$64=0,101&lt;核心参数输入!$B$9*4),核心参数输入!$B$123,0))),0)</f>
        <v>0</v>
      </c>
      <c r="DB56" s="9">
        <f>IF(102&lt;=核心参数输入!$B$9*4,IF(DB59&gt;0.01,0,MAX(0,DB52+DB46-DB53+DB55-DB48-IF(OR(核心参数输入!$B$64=0,102&lt;核心参数输入!$B$9*4),核心参数输入!$B$123,0))),0)</f>
        <v>0</v>
      </c>
      <c r="DC56" s="9">
        <f>IF(103&lt;=核心参数输入!$B$9*4,IF(DC59&gt;0.01,0,MAX(0,DC52+DC46-DC53+DC55-DC48-IF(OR(核心参数输入!$B$64=0,103&lt;核心参数输入!$B$9*4),核心参数输入!$B$123,0))),0)</f>
        <v>0</v>
      </c>
      <c r="DD56" s="9">
        <f>IF(104&lt;=核心参数输入!$B$9*4,IF(DD59&gt;0.01,0,MAX(0,DD52+DD46-DD53+DD55-DD48-IF(OR(核心参数输入!$B$64=0,104&lt;核心参数输入!$B$9*4),核心参数输入!$B$123,0))),0)</f>
        <v>0</v>
      </c>
      <c r="DE56" s="9">
        <f>IF(105&lt;=核心参数输入!$B$9*4,IF(DE59&gt;0.01,0,MAX(0,DE52+DE46-DE53+DE55-DE48-IF(OR(核心参数输入!$B$64=0,105&lt;核心参数输入!$B$9*4),核心参数输入!$B$123,0))),0)</f>
        <v>0</v>
      </c>
      <c r="DF56" s="9">
        <f>IF(106&lt;=核心参数输入!$B$9*4,IF(DF59&gt;0.01,0,MAX(0,DF52+DF46-DF53+DF55-DF48-IF(OR(核心参数输入!$B$64=0,106&lt;核心参数输入!$B$9*4),核心参数输入!$B$123,0))),0)</f>
        <v>0</v>
      </c>
      <c r="DG56" s="9">
        <f>IF(107&lt;=核心参数输入!$B$9*4,IF(DG59&gt;0.01,0,MAX(0,DG52+DG46-DG53+DG55-DG48-IF(OR(核心参数输入!$B$64=0,107&lt;核心参数输入!$B$9*4),核心参数输入!$B$123,0))),0)</f>
        <v>0</v>
      </c>
      <c r="DH56" s="9">
        <f>IF(108&lt;=核心参数输入!$B$9*4,IF(DH59&gt;0.01,0,MAX(0,DH52+DH46-DH53+DH55-DH48-IF(OR(核心参数输入!$B$64=0,108&lt;核心参数输入!$B$9*4),核心参数输入!$B$123,0))),0)</f>
        <v>0</v>
      </c>
      <c r="DI56" s="9">
        <f>IF(109&lt;=核心参数输入!$B$9*4,IF(DI59&gt;0.01,0,MAX(0,DI52+DI46-DI53+DI55-DI48-IF(OR(核心参数输入!$B$64=0,109&lt;核心参数输入!$B$9*4),核心参数输入!$B$123,0))),0)</f>
        <v>0</v>
      </c>
      <c r="DJ56" s="9">
        <f>IF(110&lt;=核心参数输入!$B$9*4,IF(DJ59&gt;0.01,0,MAX(0,DJ52+DJ46-DJ53+DJ55-DJ48-IF(OR(核心参数输入!$B$64=0,110&lt;核心参数输入!$B$9*4),核心参数输入!$B$123,0))),0)</f>
        <v>0</v>
      </c>
      <c r="DK56" s="9">
        <f>IF(111&lt;=核心参数输入!$B$9*4,IF(DK59&gt;0.01,0,MAX(0,DK52+DK46-DK53+DK55-DK48-IF(OR(核心参数输入!$B$64=0,111&lt;核心参数输入!$B$9*4),核心参数输入!$B$123,0))),0)</f>
        <v>0</v>
      </c>
      <c r="DL56" s="9">
        <f>IF(112&lt;=核心参数输入!$B$9*4,IF(DL59&gt;0.01,0,MAX(0,DL52+DL46-DL53+DL55-DL48-IF(OR(核心参数输入!$B$64=0,112&lt;核心参数输入!$B$9*4),核心参数输入!$B$123,0))),0)</f>
        <v>0</v>
      </c>
      <c r="DM56" s="9">
        <f>IF(113&lt;=核心参数输入!$B$9*4,IF(DM59&gt;0.01,0,MAX(0,DM52+DM46-DM53+DM55-DM48-IF(OR(核心参数输入!$B$64=0,113&lt;核心参数输入!$B$9*4),核心参数输入!$B$123,0))),0)</f>
        <v>0</v>
      </c>
      <c r="DN56" s="9">
        <f>IF(114&lt;=核心参数输入!$B$9*4,IF(DN59&gt;0.01,0,MAX(0,DN52+DN46-DN53+DN55-DN48-IF(OR(核心参数输入!$B$64=0,114&lt;核心参数输入!$B$9*4),核心参数输入!$B$123,0))),0)</f>
        <v>0</v>
      </c>
      <c r="DO56" s="9">
        <f>IF(115&lt;=核心参数输入!$B$9*4,IF(DO59&gt;0.01,0,MAX(0,DO52+DO46-DO53+DO55-DO48-IF(OR(核心参数输入!$B$64=0,115&lt;核心参数输入!$B$9*4),核心参数输入!$B$123,0))),0)</f>
        <v>0</v>
      </c>
      <c r="DP56" s="9">
        <f>IF(116&lt;=核心参数输入!$B$9*4,IF(DP59&gt;0.01,0,MAX(0,DP52+DP46-DP53+DP55-DP48-IF(OR(核心参数输入!$B$64=0,116&lt;核心参数输入!$B$9*4),核心参数输入!$B$123,0))),0)</f>
        <v>0</v>
      </c>
      <c r="DQ56" s="9">
        <f>IF(117&lt;=核心参数输入!$B$9*4,IF(DQ59&gt;0.01,0,MAX(0,DQ52+DQ46-DQ53+DQ55-DQ48-IF(OR(核心参数输入!$B$64=0,117&lt;核心参数输入!$B$9*4),核心参数输入!$B$123,0))),0)</f>
        <v>0</v>
      </c>
      <c r="DR56" s="9">
        <f>IF(118&lt;=核心参数输入!$B$9*4,IF(DR59&gt;0.01,0,MAX(0,DR52+DR46-DR53+DR55-DR48-IF(OR(核心参数输入!$B$64=0,118&lt;核心参数输入!$B$9*4),核心参数输入!$B$123,0))),0)</f>
        <v>0</v>
      </c>
      <c r="DS56" s="9">
        <f>IF(119&lt;=核心参数输入!$B$9*4,IF(DS59&gt;0.01,0,MAX(0,DS52+DS46-DS53+DS55-DS48-IF(OR(核心参数输入!$B$64=0,119&lt;核心参数输入!$B$9*4),核心参数输入!$B$123,0))),0)</f>
        <v>0</v>
      </c>
      <c r="DT56" s="9">
        <f>IF(120&lt;=核心参数输入!$B$9*4,IF(DT59&gt;0.01,0,MAX(0,DT52+DT46-DT53+DT55-DT48-IF(OR(核心参数输入!$B$64=0,120&lt;核心参数输入!$B$9*4),核心参数输入!$B$123,0))),0)</f>
        <v>0</v>
      </c>
    </row>
    <row r="57" spans="1:124" ht="21" customHeight="1">
      <c r="A57" s="8" t="s">
        <v>549</v>
      </c>
      <c r="B57" s="8" t="s">
        <v>39</v>
      </c>
      <c r="C57" s="8"/>
      <c r="D57" s="9">
        <f>IF(0&lt;=核心参数输入!$B$9*4,MAX(0,D52+D46-D53+D55)-D56,0)</f>
        <v>0</v>
      </c>
      <c r="E57" s="9">
        <f>IF(1&lt;=核心参数输入!$B$9*4,MAX(0,E52+E46-E53+E55)-E56,0)</f>
        <v>0</v>
      </c>
      <c r="F57" s="9">
        <f>IF(2&lt;=核心参数输入!$B$9*4,MAX(0,F52+F46-F53+F55)-F56,0)</f>
        <v>0</v>
      </c>
      <c r="G57" s="9">
        <f>IF(3&lt;=核心参数输入!$B$9*4,MAX(0,G52+G46-G53+G55)-G56,0)</f>
        <v>0</v>
      </c>
      <c r="H57" s="9">
        <f>IF(4&lt;=核心参数输入!$B$9*4,MAX(0,H52+H46-H53+H55)-H56,0)</f>
        <v>0</v>
      </c>
      <c r="I57" s="9">
        <f>IF(5&lt;=核心参数输入!$B$9*4,MAX(0,I52+I46-I53+I55)-I56,0)</f>
        <v>0</v>
      </c>
      <c r="J57" s="9">
        <f>IF(6&lt;=核心参数输入!$B$9*4,MAX(0,J52+J46-J53+J55)-J56,0)</f>
        <v>0</v>
      </c>
      <c r="K57" s="9">
        <f>IF(7&lt;=核心参数输入!$B$9*4,MAX(0,K52+K46-K53+K55)-K56,0)</f>
        <v>0</v>
      </c>
      <c r="L57" s="9">
        <f>IF(8&lt;=核心参数输入!$B$9*4,MAX(0,L52+L46-L53+L55)-L56,0)</f>
        <v>0</v>
      </c>
      <c r="M57" s="9">
        <f>IF(9&lt;=核心参数输入!$B$9*4,MAX(0,M52+M46-M53+M55)-M56,0)</f>
        <v>0</v>
      </c>
      <c r="N57" s="9">
        <f>IF(10&lt;=核心参数输入!$B$9*4,MAX(0,N52+N46-N53+N55)-N56,0)</f>
        <v>0</v>
      </c>
      <c r="O57" s="9">
        <f>IF(11&lt;=核心参数输入!$B$9*4,MAX(0,O52+O46-O53+O55)-O56,0)</f>
        <v>0</v>
      </c>
      <c r="P57" s="9">
        <f>IF(12&lt;=核心参数输入!$B$9*4,MAX(0,P52+P46-P53+P55)-P56,0)</f>
        <v>0</v>
      </c>
      <c r="Q57" s="9">
        <f>IF(13&lt;=核心参数输入!$B$9*4,MAX(0,Q52+Q46-Q53+Q55)-Q56,0)</f>
        <v>0</v>
      </c>
      <c r="R57" s="9">
        <f>IF(14&lt;=核心参数输入!$B$9*4,MAX(0,R52+R46-R53+R55)-R56,0)</f>
        <v>0</v>
      </c>
      <c r="S57" s="9">
        <f>IF(15&lt;=核心参数输入!$B$9*4,MAX(0,S52+S46-S53+S55)-S56,0)</f>
        <v>1396.0439441049111</v>
      </c>
      <c r="T57" s="9">
        <f>IF(16&lt;=核心参数输入!$B$9*4,MAX(0,T52+T46-T53+T55)-T56,0)</f>
        <v>0</v>
      </c>
      <c r="U57" s="9">
        <f>IF(17&lt;=核心参数输入!$B$9*4,MAX(0,U52+U46-U53+U55)-U56,0)</f>
        <v>0</v>
      </c>
      <c r="V57" s="9">
        <f>IF(18&lt;=核心参数输入!$B$9*4,MAX(0,V52+V46-V53+V55)-V56,0)</f>
        <v>1646.6951831907027</v>
      </c>
      <c r="W57" s="9">
        <f>IF(19&lt;=核心参数输入!$B$9*4,MAX(0,W52+W46-W53+W55)-W56,0)</f>
        <v>5807.7050272628276</v>
      </c>
      <c r="X57" s="9">
        <f>IF(20&lt;=核心参数输入!$B$9*4,MAX(0,X52+X46-X53+X55)-X56,0)</f>
        <v>5240.868945569995</v>
      </c>
      <c r="Y57" s="9">
        <f>IF(21&lt;=核心参数输入!$B$9*4,MAX(0,Y52+Y46-Y53+Y55)-Y56,0)</f>
        <v>8772.0717497241931</v>
      </c>
      <c r="Z57" s="9">
        <f>IF(22&lt;=核心参数输入!$B$9*4,MAX(0,Z52+Z46-Z53+Z55)-Z56,0)</f>
        <v>11959.301231578202</v>
      </c>
      <c r="AA57" s="9">
        <f>IF(23&lt;=核心参数输入!$B$9*4,MAX(0,AA52+AA46-AA53+AA55)-AA56,0)</f>
        <v>15161.955365746333</v>
      </c>
      <c r="AB57" s="9">
        <f>IF(24&lt;=核心参数输入!$B$9*4,MAX(0,AB52+AB46-AB53+AB55)-AB56,0)</f>
        <v>13721.068877349653</v>
      </c>
      <c r="AC57" s="9">
        <f>IF(25&lt;=核心参数输入!$B$9*4,MAX(0,AC52+AC46-AC53+AC55)-AC56,0)</f>
        <v>14849.426350540474</v>
      </c>
      <c r="AD57" s="9">
        <f>IF(26&lt;=核心参数输入!$B$9*4,MAX(0,AD52+AD46-AD53+AD55)-AD56,0)</f>
        <v>14902.314921797184</v>
      </c>
      <c r="AE57" s="9">
        <f>IF(27&lt;=核心参数输入!$B$9*4,MAX(0,AE52+AE46-AE53+AE55)-AE56,0)</f>
        <v>14960.422167086839</v>
      </c>
      <c r="AF57" s="9">
        <f>IF(28&lt;=核心参数输入!$B$9*4,MAX(0,AF52+AF46-AF53+AF55)-AF56,0)</f>
        <v>10760.533800695153</v>
      </c>
      <c r="AG57" s="9">
        <f>IF(29&lt;=核心参数输入!$B$9*4,MAX(0,AG52+AG46-AG53+AG55)-AG56,0)</f>
        <v>10878.083609951031</v>
      </c>
      <c r="AH57" s="9">
        <f>IF(30&lt;=核心参数输入!$B$9*4,MAX(0,AH52+AH46-AH53+AH55)-AH56,0)</f>
        <v>10998.281896278628</v>
      </c>
      <c r="AI57" s="9">
        <f>IF(31&lt;=核心参数输入!$B$9*4,MAX(0,AI52+AI46-AI53+AI55)-AI56,0)</f>
        <v>11118.480182606225</v>
      </c>
      <c r="AJ57" s="9">
        <f>IF(32&lt;=核心参数输入!$B$9*4,MAX(0,AJ52+AJ46-AJ53+AJ55)-AJ56,0)</f>
        <v>6975.4641832195357</v>
      </c>
      <c r="AK57" s="9">
        <f>IF(33&lt;=核心参数输入!$B$9*4,MAX(0,AK52+AK46-AK53+AK55)-AK56,0)</f>
        <v>7144.759531782046</v>
      </c>
      <c r="AL57" s="9">
        <f>IF(34&lt;=核心参数输入!$B$9*4,MAX(0,AL52+AL46-AL53+AL55)-AL56,0)</f>
        <v>7314.0548803445563</v>
      </c>
      <c r="AM57" s="9">
        <f>IF(35&lt;=核心参数输入!$B$9*4,MAX(0,AM52+AM46-AM53+AM55)-AM56,0)</f>
        <v>7483.3502289070666</v>
      </c>
      <c r="AN57" s="9">
        <f>IF(36&lt;=核心参数输入!$B$9*4,MAX(0,AN52+AN46-AN53+AN55)-AN56,0)</f>
        <v>3389.4312917552916</v>
      </c>
      <c r="AO57" s="9">
        <f>IF(37&lt;=核心参数输入!$B$9*4,MAX(0,AO52+AO46-AO53+AO55)-AO56,0)</f>
        <v>3607.8770402450396</v>
      </c>
      <c r="AP57" s="9">
        <f>IF(38&lt;=核心参数输入!$B$9*4,MAX(0,AP52+AP46-AP53+AP55)-AP56,0)</f>
        <v>3826.3227887347875</v>
      </c>
      <c r="AQ57" s="9">
        <f>IF(39&lt;=核心参数输入!$B$9*4,MAX(0,AQ52+AQ46-AQ53+AQ55)-AQ56,0)</f>
        <v>4044.7685372245355</v>
      </c>
      <c r="AR57" s="9">
        <f>IF(40&lt;=核心参数输入!$B$9*4,MAX(0,AR52+AR46-AR53+AR55)-AR56,0)</f>
        <v>0</v>
      </c>
      <c r="AS57" s="9">
        <f>IF(41&lt;=核心参数输入!$B$9*4,MAX(0,AS52+AS46-AS53+AS55)-AS56,0)</f>
        <v>0</v>
      </c>
      <c r="AT57" s="9">
        <f>IF(42&lt;=核心参数输入!$B$9*4,MAX(0,AT52+AT46-AT53+AT55)-AT56,0)</f>
        <v>0</v>
      </c>
      <c r="AU57" s="9">
        <f>IF(43&lt;=核心参数输入!$B$9*4,MAX(0,AU52+AU46-AU53+AU55)-AU56,0)</f>
        <v>0</v>
      </c>
      <c r="AV57" s="9">
        <f>IF(44&lt;=核心参数输入!$B$9*4,MAX(0,AV52+AV46-AV53+AV55)-AV56,0)</f>
        <v>0</v>
      </c>
      <c r="AW57" s="9">
        <f>IF(45&lt;=核心参数输入!$B$9*4,MAX(0,AW52+AW46-AW53+AW55)-AW56,0)</f>
        <v>0</v>
      </c>
      <c r="AX57" s="9">
        <f>IF(46&lt;=核心参数输入!$B$9*4,MAX(0,AX52+AX46-AX53+AX55)-AX56,0)</f>
        <v>0</v>
      </c>
      <c r="AY57" s="9">
        <f>IF(47&lt;=核心参数输入!$B$9*4,MAX(0,AY52+AY46-AY53+AY55)-AY56,0)</f>
        <v>0</v>
      </c>
      <c r="AZ57" s="9">
        <f>IF(48&lt;=核心参数输入!$B$9*4,MAX(0,AZ52+AZ46-AZ53+AZ55)-AZ56,0)</f>
        <v>0</v>
      </c>
      <c r="BA57" s="9">
        <f>IF(49&lt;=核心参数输入!$B$9*4,MAX(0,BA52+BA46-BA53+BA55)-BA56,0)</f>
        <v>0</v>
      </c>
      <c r="BB57" s="9">
        <f>IF(50&lt;=核心参数输入!$B$9*4,MAX(0,BB52+BB46-BB53+BB55)-BB56,0)</f>
        <v>0</v>
      </c>
      <c r="BC57" s="9">
        <f>IF(51&lt;=核心参数输入!$B$9*4,MAX(0,BC52+BC46-BC53+BC55)-BC56,0)</f>
        <v>0</v>
      </c>
      <c r="BD57" s="9">
        <f>IF(52&lt;=核心参数输入!$B$9*4,MAX(0,BD52+BD46-BD53+BD55)-BD56,0)</f>
        <v>0</v>
      </c>
      <c r="BE57" s="9">
        <f>IF(53&lt;=核心参数输入!$B$9*4,MAX(0,BE52+BE46-BE53+BE55)-BE56,0)</f>
        <v>0</v>
      </c>
      <c r="BF57" s="9">
        <f>IF(54&lt;=核心参数输入!$B$9*4,MAX(0,BF52+BF46-BF53+BF55)-BF56,0)</f>
        <v>0</v>
      </c>
      <c r="BG57" s="9">
        <f>IF(55&lt;=核心参数输入!$B$9*4,MAX(0,BG52+BG46-BG53+BG55)-BG56,0)</f>
        <v>0</v>
      </c>
      <c r="BH57" s="9">
        <f>IF(56&lt;=核心参数输入!$B$9*4,MAX(0,BH52+BH46-BH53+BH55)-BH56,0)</f>
        <v>0</v>
      </c>
      <c r="BI57" s="9">
        <f>IF(57&lt;=核心参数输入!$B$9*4,MAX(0,BI52+BI46-BI53+BI55)-BI56,0)</f>
        <v>0</v>
      </c>
      <c r="BJ57" s="9">
        <f>IF(58&lt;=核心参数输入!$B$9*4,MAX(0,BJ52+BJ46-BJ53+BJ55)-BJ56,0)</f>
        <v>0</v>
      </c>
      <c r="BK57" s="9">
        <f>IF(59&lt;=核心参数输入!$B$9*4,MAX(0,BK52+BK46-BK53+BK55)-BK56,0)</f>
        <v>0</v>
      </c>
      <c r="BL57" s="9">
        <f>IF(60&lt;=核心参数输入!$B$9*4,MAX(0,BL52+BL46-BL53+BL55)-BL56,0)</f>
        <v>0</v>
      </c>
      <c r="BM57" s="9">
        <f>IF(61&lt;=核心参数输入!$B$9*4,MAX(0,BM52+BM46-BM53+BM55)-BM56,0)</f>
        <v>0</v>
      </c>
      <c r="BN57" s="9">
        <f>IF(62&lt;=核心参数输入!$B$9*4,MAX(0,BN52+BN46-BN53+BN55)-BN56,0)</f>
        <v>0</v>
      </c>
      <c r="BO57" s="9">
        <f>IF(63&lt;=核心参数输入!$B$9*4,MAX(0,BO52+BO46-BO53+BO55)-BO56,0)</f>
        <v>0</v>
      </c>
      <c r="BP57" s="9">
        <f>IF(64&lt;=核心参数输入!$B$9*4,MAX(0,BP52+BP46-BP53+BP55)-BP56,0)</f>
        <v>0</v>
      </c>
      <c r="BQ57" s="9">
        <f>IF(65&lt;=核心参数输入!$B$9*4,MAX(0,BQ52+BQ46-BQ53+BQ55)-BQ56,0)</f>
        <v>0</v>
      </c>
      <c r="BR57" s="9">
        <f>IF(66&lt;=核心参数输入!$B$9*4,MAX(0,BR52+BR46-BR53+BR55)-BR56,0)</f>
        <v>0</v>
      </c>
      <c r="BS57" s="9">
        <f>IF(67&lt;=核心参数输入!$B$9*4,MAX(0,BS52+BS46-BS53+BS55)-BS56,0)</f>
        <v>0</v>
      </c>
      <c r="BT57" s="9">
        <f>IF(68&lt;=核心参数输入!$B$9*4,MAX(0,BT52+BT46-BT53+BT55)-BT56,0)</f>
        <v>0</v>
      </c>
      <c r="BU57" s="9">
        <f>IF(69&lt;=核心参数输入!$B$9*4,MAX(0,BU52+BU46-BU53+BU55)-BU56,0)</f>
        <v>0</v>
      </c>
      <c r="BV57" s="9">
        <f>IF(70&lt;=核心参数输入!$B$9*4,MAX(0,BV52+BV46-BV53+BV55)-BV56,0)</f>
        <v>0</v>
      </c>
      <c r="BW57" s="9">
        <f>IF(71&lt;=核心参数输入!$B$9*4,MAX(0,BW52+BW46-BW53+BW55)-BW56,0)</f>
        <v>0</v>
      </c>
      <c r="BX57" s="9">
        <f>IF(72&lt;=核心参数输入!$B$9*4,MAX(0,BX52+BX46-BX53+BX55)-BX56,0)</f>
        <v>0</v>
      </c>
      <c r="BY57" s="9">
        <f>IF(73&lt;=核心参数输入!$B$9*4,MAX(0,BY52+BY46-BY53+BY55)-BY56,0)</f>
        <v>0</v>
      </c>
      <c r="BZ57" s="9">
        <f>IF(74&lt;=核心参数输入!$B$9*4,MAX(0,BZ52+BZ46-BZ53+BZ55)-BZ56,0)</f>
        <v>0</v>
      </c>
      <c r="CA57" s="9">
        <f>IF(75&lt;=核心参数输入!$B$9*4,MAX(0,CA52+CA46-CA53+CA55)-CA56,0)</f>
        <v>0</v>
      </c>
      <c r="CB57" s="9">
        <f>IF(76&lt;=核心参数输入!$B$9*4,MAX(0,CB52+CB46-CB53+CB55)-CB56,0)</f>
        <v>0</v>
      </c>
      <c r="CC57" s="9">
        <f>IF(77&lt;=核心参数输入!$B$9*4,MAX(0,CC52+CC46-CC53+CC55)-CC56,0)</f>
        <v>0</v>
      </c>
      <c r="CD57" s="9">
        <f>IF(78&lt;=核心参数输入!$B$9*4,MAX(0,CD52+CD46-CD53+CD55)-CD56,0)</f>
        <v>0</v>
      </c>
      <c r="CE57" s="9">
        <f>IF(79&lt;=核心参数输入!$B$9*4,MAX(0,CE52+CE46-CE53+CE55)-CE56,0)</f>
        <v>0</v>
      </c>
      <c r="CF57" s="9">
        <f>IF(80&lt;=核心参数输入!$B$9*4,MAX(0,CF52+CF46-CF53+CF55)-CF56,0)</f>
        <v>0</v>
      </c>
      <c r="CG57" s="9">
        <f>IF(81&lt;=核心参数输入!$B$9*4,MAX(0,CG52+CG46-CG53+CG55)-CG56,0)</f>
        <v>0</v>
      </c>
      <c r="CH57" s="9">
        <f>IF(82&lt;=核心参数输入!$B$9*4,MAX(0,CH52+CH46-CH53+CH55)-CH56,0)</f>
        <v>0</v>
      </c>
      <c r="CI57" s="9">
        <f>IF(83&lt;=核心参数输入!$B$9*4,MAX(0,CI52+CI46-CI53+CI55)-CI56,0)</f>
        <v>0</v>
      </c>
      <c r="CJ57" s="9">
        <f>IF(84&lt;=核心参数输入!$B$9*4,MAX(0,CJ52+CJ46-CJ53+CJ55)-CJ56,0)</f>
        <v>0</v>
      </c>
      <c r="CK57" s="9">
        <f>IF(85&lt;=核心参数输入!$B$9*4,MAX(0,CK52+CK46-CK53+CK55)-CK56,0)</f>
        <v>0</v>
      </c>
      <c r="CL57" s="9">
        <f>IF(86&lt;=核心参数输入!$B$9*4,MAX(0,CL52+CL46-CL53+CL55)-CL56,0)</f>
        <v>0</v>
      </c>
      <c r="CM57" s="9">
        <f>IF(87&lt;=核心参数输入!$B$9*4,MAX(0,CM52+CM46-CM53+CM55)-CM56,0)</f>
        <v>0</v>
      </c>
      <c r="CN57" s="9">
        <f>IF(88&lt;=核心参数输入!$B$9*4,MAX(0,CN52+CN46-CN53+CN55)-CN56,0)</f>
        <v>0</v>
      </c>
      <c r="CO57" s="9">
        <f>IF(89&lt;=核心参数输入!$B$9*4,MAX(0,CO52+CO46-CO53+CO55)-CO56,0)</f>
        <v>0</v>
      </c>
      <c r="CP57" s="9">
        <f>IF(90&lt;=核心参数输入!$B$9*4,MAX(0,CP52+CP46-CP53+CP55)-CP56,0)</f>
        <v>0</v>
      </c>
      <c r="CQ57" s="9">
        <f>IF(91&lt;=核心参数输入!$B$9*4,MAX(0,CQ52+CQ46-CQ53+CQ55)-CQ56,0)</f>
        <v>0</v>
      </c>
      <c r="CR57" s="9">
        <f>IF(92&lt;=核心参数输入!$B$9*4,MAX(0,CR52+CR46-CR53+CR55)-CR56,0)</f>
        <v>0</v>
      </c>
      <c r="CS57" s="9">
        <f>IF(93&lt;=核心参数输入!$B$9*4,MAX(0,CS52+CS46-CS53+CS55)-CS56,0)</f>
        <v>0</v>
      </c>
      <c r="CT57" s="9">
        <f>IF(94&lt;=核心参数输入!$B$9*4,MAX(0,CT52+CT46-CT53+CT55)-CT56,0)</f>
        <v>0</v>
      </c>
      <c r="CU57" s="9">
        <f>IF(95&lt;=核心参数输入!$B$9*4,MAX(0,CU52+CU46-CU53+CU55)-CU56,0)</f>
        <v>0</v>
      </c>
      <c r="CV57" s="9">
        <f>IF(96&lt;=核心参数输入!$B$9*4,MAX(0,CV52+CV46-CV53+CV55)-CV56,0)</f>
        <v>0</v>
      </c>
      <c r="CW57" s="9">
        <f>IF(97&lt;=核心参数输入!$B$9*4,MAX(0,CW52+CW46-CW53+CW55)-CW56,0)</f>
        <v>0</v>
      </c>
      <c r="CX57" s="9">
        <f>IF(98&lt;=核心参数输入!$B$9*4,MAX(0,CX52+CX46-CX53+CX55)-CX56,0)</f>
        <v>0</v>
      </c>
      <c r="CY57" s="9">
        <f>IF(99&lt;=核心参数输入!$B$9*4,MAX(0,CY52+CY46-CY53+CY55)-CY56,0)</f>
        <v>0</v>
      </c>
      <c r="CZ57" s="9">
        <f>IF(100&lt;=核心参数输入!$B$9*4,MAX(0,CZ52+CZ46-CZ53+CZ55)-CZ56,0)</f>
        <v>0</v>
      </c>
      <c r="DA57" s="9">
        <f>IF(101&lt;=核心参数输入!$B$9*4,MAX(0,DA52+DA46-DA53+DA55)-DA56,0)</f>
        <v>0</v>
      </c>
      <c r="DB57" s="9">
        <f>IF(102&lt;=核心参数输入!$B$9*4,MAX(0,DB52+DB46-DB53+DB55)-DB56,0)</f>
        <v>0</v>
      </c>
      <c r="DC57" s="9">
        <f>IF(103&lt;=核心参数输入!$B$9*4,MAX(0,DC52+DC46-DC53+DC55)-DC56,0)</f>
        <v>0</v>
      </c>
      <c r="DD57" s="9">
        <f>IF(104&lt;=核心参数输入!$B$9*4,MAX(0,DD52+DD46-DD53+DD55)-DD56,0)</f>
        <v>0</v>
      </c>
      <c r="DE57" s="9">
        <f>IF(105&lt;=核心参数输入!$B$9*4,MAX(0,DE52+DE46-DE53+DE55)-DE56,0)</f>
        <v>0</v>
      </c>
      <c r="DF57" s="9">
        <f>IF(106&lt;=核心参数输入!$B$9*4,MAX(0,DF52+DF46-DF53+DF55)-DF56,0)</f>
        <v>0</v>
      </c>
      <c r="DG57" s="9">
        <f>IF(107&lt;=核心参数输入!$B$9*4,MAX(0,DG52+DG46-DG53+DG55)-DG56,0)</f>
        <v>0</v>
      </c>
      <c r="DH57" s="9">
        <f>IF(108&lt;=核心参数输入!$B$9*4,MAX(0,DH52+DH46-DH53+DH55)-DH56,0)</f>
        <v>0</v>
      </c>
      <c r="DI57" s="9">
        <f>IF(109&lt;=核心参数输入!$B$9*4,MAX(0,DI52+DI46-DI53+DI55)-DI56,0)</f>
        <v>0</v>
      </c>
      <c r="DJ57" s="9">
        <f>IF(110&lt;=核心参数输入!$B$9*4,MAX(0,DJ52+DJ46-DJ53+DJ55)-DJ56,0)</f>
        <v>0</v>
      </c>
      <c r="DK57" s="9">
        <f>IF(111&lt;=核心参数输入!$B$9*4,MAX(0,DK52+DK46-DK53+DK55)-DK56,0)</f>
        <v>0</v>
      </c>
      <c r="DL57" s="9">
        <f>IF(112&lt;=核心参数输入!$B$9*4,MAX(0,DL52+DL46-DL53+DL55)-DL56,0)</f>
        <v>0</v>
      </c>
      <c r="DM57" s="9">
        <f>IF(113&lt;=核心参数输入!$B$9*4,MAX(0,DM52+DM46-DM53+DM55)-DM56,0)</f>
        <v>0</v>
      </c>
      <c r="DN57" s="9">
        <f>IF(114&lt;=核心参数输入!$B$9*4,MAX(0,DN52+DN46-DN53+DN55)-DN56,0)</f>
        <v>0</v>
      </c>
      <c r="DO57" s="9">
        <f>IF(115&lt;=核心参数输入!$B$9*4,MAX(0,DO52+DO46-DO53+DO55)-DO56,0)</f>
        <v>0</v>
      </c>
      <c r="DP57" s="9">
        <f>IF(116&lt;=核心参数输入!$B$9*4,MAX(0,DP52+DP46-DP53+DP55)-DP56,0)</f>
        <v>0</v>
      </c>
      <c r="DQ57" s="9">
        <f>IF(117&lt;=核心参数输入!$B$9*4,MAX(0,DQ52+DQ46-DQ53+DQ55)-DQ56,0)</f>
        <v>0</v>
      </c>
      <c r="DR57" s="9">
        <f>IF(118&lt;=核心参数输入!$B$9*4,MAX(0,DR52+DR46-DR53+DR55)-DR56,0)</f>
        <v>0</v>
      </c>
      <c r="DS57" s="9">
        <f>IF(119&lt;=核心参数输入!$B$9*4,MAX(0,DS52+DS46-DS53+DS55)-DS56,0)</f>
        <v>0</v>
      </c>
      <c r="DT57" s="9">
        <f>IF(120&lt;=核心参数输入!$B$9*4,MAX(0,DT52+DT46-DT53+DT55)-DT56,0)</f>
        <v>0</v>
      </c>
    </row>
    <row r="58" spans="1:124" ht="21" customHeight="1">
      <c r="A58" s="8" t="s">
        <v>550</v>
      </c>
      <c r="B58" s="8" t="s">
        <v>39</v>
      </c>
      <c r="C58" s="8"/>
      <c r="D58" s="9">
        <f>IF(0&lt;=核心参数输入!$B$9*4,MAX(0,-(D52+D46-D53+D55)),0)</f>
        <v>0</v>
      </c>
      <c r="E58" s="9">
        <f>IF(1&lt;=核心参数输入!$B$9*4,MAX(0,-(E52+E46-E53+E55)),0)</f>
        <v>0</v>
      </c>
      <c r="F58" s="9">
        <f>IF(2&lt;=核心参数输入!$B$9*4,MAX(0,-(F52+F46-F53+F55)),0)</f>
        <v>0</v>
      </c>
      <c r="G58" s="9">
        <f>IF(3&lt;=核心参数输入!$B$9*4,MAX(0,-(G52+G46-G53+G55)),0)</f>
        <v>0</v>
      </c>
      <c r="H58" s="9">
        <f>IF(4&lt;=核心参数输入!$B$9*4,MAX(0,-(H52+H46-H53+H55)),0)</f>
        <v>0</v>
      </c>
      <c r="I58" s="9">
        <f>IF(5&lt;=核心参数输入!$B$9*4,MAX(0,-(I52+I46-I53+I55)),0)</f>
        <v>0</v>
      </c>
      <c r="J58" s="9">
        <f>IF(6&lt;=核心参数输入!$B$9*4,MAX(0,-(J52+J46-J53+J55)),0)</f>
        <v>0</v>
      </c>
      <c r="K58" s="9">
        <f>IF(7&lt;=核心参数输入!$B$9*4,MAX(0,-(K52+K46-K53+K55)),0)</f>
        <v>0</v>
      </c>
      <c r="L58" s="9">
        <f>IF(8&lt;=核心参数输入!$B$9*4,MAX(0,-(L52+L46-L53+L55)),0)</f>
        <v>0</v>
      </c>
      <c r="M58" s="9">
        <f>IF(9&lt;=核心参数输入!$B$9*4,MAX(0,-(M52+M46-M53+M55)),0)</f>
        <v>0</v>
      </c>
      <c r="N58" s="9">
        <f>IF(10&lt;=核心参数输入!$B$9*4,MAX(0,-(N52+N46-N53+N55)),0)</f>
        <v>0</v>
      </c>
      <c r="O58" s="9">
        <f>IF(11&lt;=核心参数输入!$B$9*4,MAX(0,-(O52+O46-O53+O55)),0)</f>
        <v>0</v>
      </c>
      <c r="P58" s="9">
        <f>IF(12&lt;=核心参数输入!$B$9*4,MAX(0,-(P52+P46-P53+P55)),0)</f>
        <v>0</v>
      </c>
      <c r="Q58" s="9">
        <f>IF(13&lt;=核心参数输入!$B$9*4,MAX(0,-(Q52+Q46-Q53+Q55)),0)</f>
        <v>0</v>
      </c>
      <c r="R58" s="9">
        <f>IF(14&lt;=核心参数输入!$B$9*4,MAX(0,-(R52+R46-R53+R55)),0)</f>
        <v>0</v>
      </c>
      <c r="S58" s="9">
        <f>IF(15&lt;=核心参数输入!$B$9*4,MAX(0,-(S52+S46-S53+S55)),0)</f>
        <v>0</v>
      </c>
      <c r="T58" s="9">
        <f>IF(16&lt;=核心参数输入!$B$9*4,MAX(0,-(T52+T46-T53+T55)),0)</f>
        <v>0</v>
      </c>
      <c r="U58" s="9">
        <f>IF(17&lt;=核心参数输入!$B$9*4,MAX(0,-(U52+U46-U53+U55)),0)</f>
        <v>0</v>
      </c>
      <c r="V58" s="9">
        <f>IF(18&lt;=核心参数输入!$B$9*4,MAX(0,-(V52+V46-V53+V55)),0)</f>
        <v>0</v>
      </c>
      <c r="W58" s="9">
        <f>IF(19&lt;=核心参数输入!$B$9*4,MAX(0,-(W52+W46-W53+W55)),0)</f>
        <v>0</v>
      </c>
      <c r="X58" s="9">
        <f>IF(20&lt;=核心参数输入!$B$9*4,MAX(0,-(X52+X46-X53+X55)),0)</f>
        <v>0</v>
      </c>
      <c r="Y58" s="9">
        <f>IF(21&lt;=核心参数输入!$B$9*4,MAX(0,-(Y52+Y46-Y53+Y55)),0)</f>
        <v>0</v>
      </c>
      <c r="Z58" s="9">
        <f>IF(22&lt;=核心参数输入!$B$9*4,MAX(0,-(Z52+Z46-Z53+Z55)),0)</f>
        <v>0</v>
      </c>
      <c r="AA58" s="9">
        <f>IF(23&lt;=核心参数输入!$B$9*4,MAX(0,-(AA52+AA46-AA53+AA55)),0)</f>
        <v>0</v>
      </c>
      <c r="AB58" s="9">
        <f>IF(24&lt;=核心参数输入!$B$9*4,MAX(0,-(AB52+AB46-AB53+AB55)),0)</f>
        <v>0</v>
      </c>
      <c r="AC58" s="9">
        <f>IF(25&lt;=核心参数输入!$B$9*4,MAX(0,-(AC52+AC46-AC53+AC55)),0)</f>
        <v>0</v>
      </c>
      <c r="AD58" s="9">
        <f>IF(26&lt;=核心参数输入!$B$9*4,MAX(0,-(AD52+AD46-AD53+AD55)),0)</f>
        <v>0</v>
      </c>
      <c r="AE58" s="9">
        <f>IF(27&lt;=核心参数输入!$B$9*4,MAX(0,-(AE52+AE46-AE53+AE55)),0)</f>
        <v>0</v>
      </c>
      <c r="AF58" s="9">
        <f>IF(28&lt;=核心参数输入!$B$9*4,MAX(0,-(AF52+AF46-AF53+AF55)),0)</f>
        <v>0</v>
      </c>
      <c r="AG58" s="9">
        <f>IF(29&lt;=核心参数输入!$B$9*4,MAX(0,-(AG52+AG46-AG53+AG55)),0)</f>
        <v>0</v>
      </c>
      <c r="AH58" s="9">
        <f>IF(30&lt;=核心参数输入!$B$9*4,MAX(0,-(AH52+AH46-AH53+AH55)),0)</f>
        <v>0</v>
      </c>
      <c r="AI58" s="9">
        <f>IF(31&lt;=核心参数输入!$B$9*4,MAX(0,-(AI52+AI46-AI53+AI55)),0)</f>
        <v>0</v>
      </c>
      <c r="AJ58" s="9">
        <f>IF(32&lt;=核心参数输入!$B$9*4,MAX(0,-(AJ52+AJ46-AJ53+AJ55)),0)</f>
        <v>0</v>
      </c>
      <c r="AK58" s="9">
        <f>IF(33&lt;=核心参数输入!$B$9*4,MAX(0,-(AK52+AK46-AK53+AK55)),0)</f>
        <v>0</v>
      </c>
      <c r="AL58" s="9">
        <f>IF(34&lt;=核心参数输入!$B$9*4,MAX(0,-(AL52+AL46-AL53+AL55)),0)</f>
        <v>0</v>
      </c>
      <c r="AM58" s="9">
        <f>IF(35&lt;=核心参数输入!$B$9*4,MAX(0,-(AM52+AM46-AM53+AM55)),0)</f>
        <v>0</v>
      </c>
      <c r="AN58" s="9">
        <f>IF(36&lt;=核心参数输入!$B$9*4,MAX(0,-(AN52+AN46-AN53+AN55)),0)</f>
        <v>0</v>
      </c>
      <c r="AO58" s="9">
        <f>IF(37&lt;=核心参数输入!$B$9*4,MAX(0,-(AO52+AO46-AO53+AO55)),0)</f>
        <v>0</v>
      </c>
      <c r="AP58" s="9">
        <f>IF(38&lt;=核心参数输入!$B$9*4,MAX(0,-(AP52+AP46-AP53+AP55)),0)</f>
        <v>0</v>
      </c>
      <c r="AQ58" s="9">
        <f>IF(39&lt;=核心参数输入!$B$9*4,MAX(0,-(AQ52+AQ46-AQ53+AQ55)),0)</f>
        <v>0</v>
      </c>
      <c r="AR58" s="9">
        <f>IF(40&lt;=核心参数输入!$B$9*4,MAX(0,-(AR52+AR46-AR53+AR55)),0)</f>
        <v>0</v>
      </c>
      <c r="AS58" s="9">
        <f>IF(41&lt;=核心参数输入!$B$9*4,MAX(0,-(AS52+AS46-AS53+AS55)),0)</f>
        <v>0</v>
      </c>
      <c r="AT58" s="9">
        <f>IF(42&lt;=核心参数输入!$B$9*4,MAX(0,-(AT52+AT46-AT53+AT55)),0)</f>
        <v>0</v>
      </c>
      <c r="AU58" s="9">
        <f>IF(43&lt;=核心参数输入!$B$9*4,MAX(0,-(AU52+AU46-AU53+AU55)),0)</f>
        <v>0</v>
      </c>
      <c r="AV58" s="9">
        <f>IF(44&lt;=核心参数输入!$B$9*4,MAX(0,-(AV52+AV46-AV53+AV55)),0)</f>
        <v>0</v>
      </c>
      <c r="AW58" s="9">
        <f>IF(45&lt;=核心参数输入!$B$9*4,MAX(0,-(AW52+AW46-AW53+AW55)),0)</f>
        <v>0</v>
      </c>
      <c r="AX58" s="9">
        <f>IF(46&lt;=核心参数输入!$B$9*4,MAX(0,-(AX52+AX46-AX53+AX55)),0)</f>
        <v>0</v>
      </c>
      <c r="AY58" s="9">
        <f>IF(47&lt;=核心参数输入!$B$9*4,MAX(0,-(AY52+AY46-AY53+AY55)),0)</f>
        <v>0</v>
      </c>
      <c r="AZ58" s="9">
        <f>IF(48&lt;=核心参数输入!$B$9*4,MAX(0,-(AZ52+AZ46-AZ53+AZ55)),0)</f>
        <v>0</v>
      </c>
      <c r="BA58" s="9">
        <f>IF(49&lt;=核心参数输入!$B$9*4,MAX(0,-(BA52+BA46-BA53+BA55)),0)</f>
        <v>0</v>
      </c>
      <c r="BB58" s="9">
        <f>IF(50&lt;=核心参数输入!$B$9*4,MAX(0,-(BB52+BB46-BB53+BB55)),0)</f>
        <v>0</v>
      </c>
      <c r="BC58" s="9">
        <f>IF(51&lt;=核心参数输入!$B$9*4,MAX(0,-(BC52+BC46-BC53+BC55)),0)</f>
        <v>0</v>
      </c>
      <c r="BD58" s="9">
        <f>IF(52&lt;=核心参数输入!$B$9*4,MAX(0,-(BD52+BD46-BD53+BD55)),0)</f>
        <v>0</v>
      </c>
      <c r="BE58" s="9">
        <f>IF(53&lt;=核心参数输入!$B$9*4,MAX(0,-(BE52+BE46-BE53+BE55)),0)</f>
        <v>0</v>
      </c>
      <c r="BF58" s="9">
        <f>IF(54&lt;=核心参数输入!$B$9*4,MAX(0,-(BF52+BF46-BF53+BF55)),0)</f>
        <v>0</v>
      </c>
      <c r="BG58" s="9">
        <f>IF(55&lt;=核心参数输入!$B$9*4,MAX(0,-(BG52+BG46-BG53+BG55)),0)</f>
        <v>0</v>
      </c>
      <c r="BH58" s="9">
        <f>IF(56&lt;=核心参数输入!$B$9*4,MAX(0,-(BH52+BH46-BH53+BH55)),0)</f>
        <v>0</v>
      </c>
      <c r="BI58" s="9">
        <f>IF(57&lt;=核心参数输入!$B$9*4,MAX(0,-(BI52+BI46-BI53+BI55)),0)</f>
        <v>0</v>
      </c>
      <c r="BJ58" s="9">
        <f>IF(58&lt;=核心参数输入!$B$9*4,MAX(0,-(BJ52+BJ46-BJ53+BJ55)),0)</f>
        <v>0</v>
      </c>
      <c r="BK58" s="9">
        <f>IF(59&lt;=核心参数输入!$B$9*4,MAX(0,-(BK52+BK46-BK53+BK55)),0)</f>
        <v>0</v>
      </c>
      <c r="BL58" s="9">
        <f>IF(60&lt;=核心参数输入!$B$9*4,MAX(0,-(BL52+BL46-BL53+BL55)),0)</f>
        <v>0</v>
      </c>
      <c r="BM58" s="9">
        <f>IF(61&lt;=核心参数输入!$B$9*4,MAX(0,-(BM52+BM46-BM53+BM55)),0)</f>
        <v>0</v>
      </c>
      <c r="BN58" s="9">
        <f>IF(62&lt;=核心参数输入!$B$9*4,MAX(0,-(BN52+BN46-BN53+BN55)),0)</f>
        <v>0</v>
      </c>
      <c r="BO58" s="9">
        <f>IF(63&lt;=核心参数输入!$B$9*4,MAX(0,-(BO52+BO46-BO53+BO55)),0)</f>
        <v>0</v>
      </c>
      <c r="BP58" s="9">
        <f>IF(64&lt;=核心参数输入!$B$9*4,MAX(0,-(BP52+BP46-BP53+BP55)),0)</f>
        <v>0</v>
      </c>
      <c r="BQ58" s="9">
        <f>IF(65&lt;=核心参数输入!$B$9*4,MAX(0,-(BQ52+BQ46-BQ53+BQ55)),0)</f>
        <v>0</v>
      </c>
      <c r="BR58" s="9">
        <f>IF(66&lt;=核心参数输入!$B$9*4,MAX(0,-(BR52+BR46-BR53+BR55)),0)</f>
        <v>0</v>
      </c>
      <c r="BS58" s="9">
        <f>IF(67&lt;=核心参数输入!$B$9*4,MAX(0,-(BS52+BS46-BS53+BS55)),0)</f>
        <v>0</v>
      </c>
      <c r="BT58" s="9">
        <f>IF(68&lt;=核心参数输入!$B$9*4,MAX(0,-(BT52+BT46-BT53+BT55)),0)</f>
        <v>0</v>
      </c>
      <c r="BU58" s="9">
        <f>IF(69&lt;=核心参数输入!$B$9*4,MAX(0,-(BU52+BU46-BU53+BU55)),0)</f>
        <v>0</v>
      </c>
      <c r="BV58" s="9">
        <f>IF(70&lt;=核心参数输入!$B$9*4,MAX(0,-(BV52+BV46-BV53+BV55)),0)</f>
        <v>0</v>
      </c>
      <c r="BW58" s="9">
        <f>IF(71&lt;=核心参数输入!$B$9*4,MAX(0,-(BW52+BW46-BW53+BW55)),0)</f>
        <v>0</v>
      </c>
      <c r="BX58" s="9">
        <f>IF(72&lt;=核心参数输入!$B$9*4,MAX(0,-(BX52+BX46-BX53+BX55)),0)</f>
        <v>0</v>
      </c>
      <c r="BY58" s="9">
        <f>IF(73&lt;=核心参数输入!$B$9*4,MAX(0,-(BY52+BY46-BY53+BY55)),0)</f>
        <v>0</v>
      </c>
      <c r="BZ58" s="9">
        <f>IF(74&lt;=核心参数输入!$B$9*4,MAX(0,-(BZ52+BZ46-BZ53+BZ55)),0)</f>
        <v>0</v>
      </c>
      <c r="CA58" s="9">
        <f>IF(75&lt;=核心参数输入!$B$9*4,MAX(0,-(CA52+CA46-CA53+CA55)),0)</f>
        <v>0</v>
      </c>
      <c r="CB58" s="9">
        <f>IF(76&lt;=核心参数输入!$B$9*4,MAX(0,-(CB52+CB46-CB53+CB55)),0)</f>
        <v>0</v>
      </c>
      <c r="CC58" s="9">
        <f>IF(77&lt;=核心参数输入!$B$9*4,MAX(0,-(CC52+CC46-CC53+CC55)),0)</f>
        <v>0</v>
      </c>
      <c r="CD58" s="9">
        <f>IF(78&lt;=核心参数输入!$B$9*4,MAX(0,-(CD52+CD46-CD53+CD55)),0)</f>
        <v>0</v>
      </c>
      <c r="CE58" s="9">
        <f>IF(79&lt;=核心参数输入!$B$9*4,MAX(0,-(CE52+CE46-CE53+CE55)),0)</f>
        <v>0</v>
      </c>
      <c r="CF58" s="9">
        <f>IF(80&lt;=核心参数输入!$B$9*4,MAX(0,-(CF52+CF46-CF53+CF55)),0)</f>
        <v>0</v>
      </c>
      <c r="CG58" s="9">
        <f>IF(81&lt;=核心参数输入!$B$9*4,MAX(0,-(CG52+CG46-CG53+CG55)),0)</f>
        <v>0</v>
      </c>
      <c r="CH58" s="9">
        <f>IF(82&lt;=核心参数输入!$B$9*4,MAX(0,-(CH52+CH46-CH53+CH55)),0)</f>
        <v>0</v>
      </c>
      <c r="CI58" s="9">
        <f>IF(83&lt;=核心参数输入!$B$9*4,MAX(0,-(CI52+CI46-CI53+CI55)),0)</f>
        <v>0</v>
      </c>
      <c r="CJ58" s="9">
        <f>IF(84&lt;=核心参数输入!$B$9*4,MAX(0,-(CJ52+CJ46-CJ53+CJ55)),0)</f>
        <v>0</v>
      </c>
      <c r="CK58" s="9">
        <f>IF(85&lt;=核心参数输入!$B$9*4,MAX(0,-(CK52+CK46-CK53+CK55)),0)</f>
        <v>0</v>
      </c>
      <c r="CL58" s="9">
        <f>IF(86&lt;=核心参数输入!$B$9*4,MAX(0,-(CL52+CL46-CL53+CL55)),0)</f>
        <v>0</v>
      </c>
      <c r="CM58" s="9">
        <f>IF(87&lt;=核心参数输入!$B$9*4,MAX(0,-(CM52+CM46-CM53+CM55)),0)</f>
        <v>0</v>
      </c>
      <c r="CN58" s="9">
        <f>IF(88&lt;=核心参数输入!$B$9*4,MAX(0,-(CN52+CN46-CN53+CN55)),0)</f>
        <v>0</v>
      </c>
      <c r="CO58" s="9">
        <f>IF(89&lt;=核心参数输入!$B$9*4,MAX(0,-(CO52+CO46-CO53+CO55)),0)</f>
        <v>0</v>
      </c>
      <c r="CP58" s="9">
        <f>IF(90&lt;=核心参数输入!$B$9*4,MAX(0,-(CP52+CP46-CP53+CP55)),0)</f>
        <v>0</v>
      </c>
      <c r="CQ58" s="9">
        <f>IF(91&lt;=核心参数输入!$B$9*4,MAX(0,-(CQ52+CQ46-CQ53+CQ55)),0)</f>
        <v>0</v>
      </c>
      <c r="CR58" s="9">
        <f>IF(92&lt;=核心参数输入!$B$9*4,MAX(0,-(CR52+CR46-CR53+CR55)),0)</f>
        <v>0</v>
      </c>
      <c r="CS58" s="9">
        <f>IF(93&lt;=核心参数输入!$B$9*4,MAX(0,-(CS52+CS46-CS53+CS55)),0)</f>
        <v>0</v>
      </c>
      <c r="CT58" s="9">
        <f>IF(94&lt;=核心参数输入!$B$9*4,MAX(0,-(CT52+CT46-CT53+CT55)),0)</f>
        <v>0</v>
      </c>
      <c r="CU58" s="9">
        <f>IF(95&lt;=核心参数输入!$B$9*4,MAX(0,-(CU52+CU46-CU53+CU55)),0)</f>
        <v>0</v>
      </c>
      <c r="CV58" s="9">
        <f>IF(96&lt;=核心参数输入!$B$9*4,MAX(0,-(CV52+CV46-CV53+CV55)),0)</f>
        <v>0</v>
      </c>
      <c r="CW58" s="9">
        <f>IF(97&lt;=核心参数输入!$B$9*4,MAX(0,-(CW52+CW46-CW53+CW55)),0)</f>
        <v>0</v>
      </c>
      <c r="CX58" s="9">
        <f>IF(98&lt;=核心参数输入!$B$9*4,MAX(0,-(CX52+CX46-CX53+CX55)),0)</f>
        <v>0</v>
      </c>
      <c r="CY58" s="9">
        <f>IF(99&lt;=核心参数输入!$B$9*4,MAX(0,-(CY52+CY46-CY53+CY55)),0)</f>
        <v>0</v>
      </c>
      <c r="CZ58" s="9">
        <f>IF(100&lt;=核心参数输入!$B$9*4,MAX(0,-(CZ52+CZ46-CZ53+CZ55)),0)</f>
        <v>0</v>
      </c>
      <c r="DA58" s="9">
        <f>IF(101&lt;=核心参数输入!$B$9*4,MAX(0,-(DA52+DA46-DA53+DA55)),0)</f>
        <v>0</v>
      </c>
      <c r="DB58" s="9">
        <f>IF(102&lt;=核心参数输入!$B$9*4,MAX(0,-(DB52+DB46-DB53+DB55)),0)</f>
        <v>0</v>
      </c>
      <c r="DC58" s="9">
        <f>IF(103&lt;=核心参数输入!$B$9*4,MAX(0,-(DC52+DC46-DC53+DC55)),0)</f>
        <v>0</v>
      </c>
      <c r="DD58" s="9">
        <f>IF(104&lt;=核心参数输入!$B$9*4,MAX(0,-(DD52+DD46-DD53+DD55)),0)</f>
        <v>0</v>
      </c>
      <c r="DE58" s="9">
        <f>IF(105&lt;=核心参数输入!$B$9*4,MAX(0,-(DE52+DE46-DE53+DE55)),0)</f>
        <v>0</v>
      </c>
      <c r="DF58" s="9">
        <f>IF(106&lt;=核心参数输入!$B$9*4,MAX(0,-(DF52+DF46-DF53+DF55)),0)</f>
        <v>0</v>
      </c>
      <c r="DG58" s="9">
        <f>IF(107&lt;=核心参数输入!$B$9*4,MAX(0,-(DG52+DG46-DG53+DG55)),0)</f>
        <v>0</v>
      </c>
      <c r="DH58" s="9">
        <f>IF(108&lt;=核心参数输入!$B$9*4,MAX(0,-(DH52+DH46-DH53+DH55)),0)</f>
        <v>0</v>
      </c>
      <c r="DI58" s="9">
        <f>IF(109&lt;=核心参数输入!$B$9*4,MAX(0,-(DI52+DI46-DI53+DI55)),0)</f>
        <v>0</v>
      </c>
      <c r="DJ58" s="9">
        <f>IF(110&lt;=核心参数输入!$B$9*4,MAX(0,-(DJ52+DJ46-DJ53+DJ55)),0)</f>
        <v>0</v>
      </c>
      <c r="DK58" s="9">
        <f>IF(111&lt;=核心参数输入!$B$9*4,MAX(0,-(DK52+DK46-DK53+DK55)),0)</f>
        <v>0</v>
      </c>
      <c r="DL58" s="9">
        <f>IF(112&lt;=核心参数输入!$B$9*4,MAX(0,-(DL52+DL46-DL53+DL55)),0)</f>
        <v>0</v>
      </c>
      <c r="DM58" s="9">
        <f>IF(113&lt;=核心参数输入!$B$9*4,MAX(0,-(DM52+DM46-DM53+DM55)),0)</f>
        <v>0</v>
      </c>
      <c r="DN58" s="9">
        <f>IF(114&lt;=核心参数输入!$B$9*4,MAX(0,-(DN52+DN46-DN53+DN55)),0)</f>
        <v>0</v>
      </c>
      <c r="DO58" s="9">
        <f>IF(115&lt;=核心参数输入!$B$9*4,MAX(0,-(DO52+DO46-DO53+DO55)),0)</f>
        <v>0</v>
      </c>
      <c r="DP58" s="9">
        <f>IF(116&lt;=核心参数输入!$B$9*4,MAX(0,-(DP52+DP46-DP53+DP55)),0)</f>
        <v>0</v>
      </c>
      <c r="DQ58" s="9">
        <f>IF(117&lt;=核心参数输入!$B$9*4,MAX(0,-(DQ52+DQ46-DQ53+DQ55)),0)</f>
        <v>0</v>
      </c>
      <c r="DR58" s="9">
        <f>IF(118&lt;=核心参数输入!$B$9*4,MAX(0,-(DR52+DR46-DR53+DR55)),0)</f>
        <v>0</v>
      </c>
      <c r="DS58" s="9">
        <f>IF(119&lt;=核心参数输入!$B$9*4,MAX(0,-(DS52+DS46-DS53+DS55)),0)</f>
        <v>0</v>
      </c>
      <c r="DT58" s="9">
        <f>IF(120&lt;=核心参数输入!$B$9*4,MAX(0,-(DT52+DT46-DT53+DT55)),0)</f>
        <v>0</v>
      </c>
    </row>
    <row r="59" spans="1:124" ht="21" customHeight="1">
      <c r="A59" s="8" t="s">
        <v>551</v>
      </c>
      <c r="B59" s="8" t="s">
        <v>39</v>
      </c>
      <c r="C59" s="8"/>
      <c r="D59" s="9">
        <f>IF(0&lt;=核心参数输入!$B$9*4,MAX(0,D58),0)</f>
        <v>0</v>
      </c>
      <c r="E59" s="9">
        <f>IF(1&lt;=核心参数输入!$B$9*4,MAX(季度现金流!D59,E58),0)</f>
        <v>0</v>
      </c>
      <c r="F59" s="9">
        <f>IF(2&lt;=核心参数输入!$B$9*4,MAX(季度现金流!E59,F58),0)</f>
        <v>0</v>
      </c>
      <c r="G59" s="9">
        <f>IF(3&lt;=核心参数输入!$B$9*4,MAX(季度现金流!F59,G58),0)</f>
        <v>0</v>
      </c>
      <c r="H59" s="9">
        <f>IF(4&lt;=核心参数输入!$B$9*4,MAX(季度现金流!G59,H58),0)</f>
        <v>0</v>
      </c>
      <c r="I59" s="9">
        <f>IF(5&lt;=核心参数输入!$B$9*4,MAX(季度现金流!H59,I58),0)</f>
        <v>0</v>
      </c>
      <c r="J59" s="9">
        <f>IF(6&lt;=核心参数输入!$B$9*4,MAX(季度现金流!I59,J58),0)</f>
        <v>0</v>
      </c>
      <c r="K59" s="9">
        <f>IF(7&lt;=核心参数输入!$B$9*4,MAX(季度现金流!J59,K58),0)</f>
        <v>0</v>
      </c>
      <c r="L59" s="9">
        <f>IF(8&lt;=核心参数输入!$B$9*4,MAX(季度现金流!K59,L58),0)</f>
        <v>0</v>
      </c>
      <c r="M59" s="9">
        <f>IF(9&lt;=核心参数输入!$B$9*4,MAX(季度现金流!L59,M58),0)</f>
        <v>0</v>
      </c>
      <c r="N59" s="9">
        <f>IF(10&lt;=核心参数输入!$B$9*4,MAX(季度现金流!M59,N58),0)</f>
        <v>0</v>
      </c>
      <c r="O59" s="9">
        <f>IF(11&lt;=核心参数输入!$B$9*4,MAX(季度现金流!N59,O58),0)</f>
        <v>0</v>
      </c>
      <c r="P59" s="9">
        <f>IF(12&lt;=核心参数输入!$B$9*4,MAX(季度现金流!O59,P58),0)</f>
        <v>0</v>
      </c>
      <c r="Q59" s="9">
        <f>IF(13&lt;=核心参数输入!$B$9*4,MAX(季度现金流!P59,Q58),0)</f>
        <v>0</v>
      </c>
      <c r="R59" s="9">
        <f>IF(14&lt;=核心参数输入!$B$9*4,MAX(季度现金流!Q59,R58),0)</f>
        <v>0</v>
      </c>
      <c r="S59" s="9">
        <f>IF(15&lt;=核心参数输入!$B$9*4,MAX(季度现金流!R59,S58),0)</f>
        <v>0</v>
      </c>
      <c r="T59" s="9">
        <f>IF(16&lt;=核心参数输入!$B$9*4,MAX(季度现金流!S59,T58),0)</f>
        <v>0</v>
      </c>
      <c r="U59" s="9">
        <f>IF(17&lt;=核心参数输入!$B$9*4,MAX(季度现金流!T59,U58),0)</f>
        <v>0</v>
      </c>
      <c r="V59" s="9">
        <f>IF(18&lt;=核心参数输入!$B$9*4,MAX(季度现金流!U59,V58),0)</f>
        <v>0</v>
      </c>
      <c r="W59" s="9">
        <f>IF(19&lt;=核心参数输入!$B$9*4,MAX(季度现金流!V59,W58),0)</f>
        <v>0</v>
      </c>
      <c r="X59" s="9">
        <f>IF(20&lt;=核心参数输入!$B$9*4,MAX(季度现金流!W59,X58),0)</f>
        <v>0</v>
      </c>
      <c r="Y59" s="9">
        <f>IF(21&lt;=核心参数输入!$B$9*4,MAX(季度现金流!X59,Y58),0)</f>
        <v>0</v>
      </c>
      <c r="Z59" s="9">
        <f>IF(22&lt;=核心参数输入!$B$9*4,MAX(季度现金流!Y59,Z58),0)</f>
        <v>0</v>
      </c>
      <c r="AA59" s="9">
        <f>IF(23&lt;=核心参数输入!$B$9*4,MAX(季度现金流!Z59,AA58),0)</f>
        <v>0</v>
      </c>
      <c r="AB59" s="9">
        <f>IF(24&lt;=核心参数输入!$B$9*4,MAX(季度现金流!AA59,AB58),0)</f>
        <v>0</v>
      </c>
      <c r="AC59" s="9">
        <f>IF(25&lt;=核心参数输入!$B$9*4,MAX(季度现金流!AB59,AC58),0)</f>
        <v>0</v>
      </c>
      <c r="AD59" s="9">
        <f>IF(26&lt;=核心参数输入!$B$9*4,MAX(季度现金流!AC59,AD58),0)</f>
        <v>0</v>
      </c>
      <c r="AE59" s="9">
        <f>IF(27&lt;=核心参数输入!$B$9*4,MAX(季度现金流!AD59,AE58),0)</f>
        <v>0</v>
      </c>
      <c r="AF59" s="9">
        <f>IF(28&lt;=核心参数输入!$B$9*4,MAX(季度现金流!AE59,AF58),0)</f>
        <v>0</v>
      </c>
      <c r="AG59" s="9">
        <f>IF(29&lt;=核心参数输入!$B$9*4,MAX(季度现金流!AF59,AG58),0)</f>
        <v>0</v>
      </c>
      <c r="AH59" s="9">
        <f>IF(30&lt;=核心参数输入!$B$9*4,MAX(季度现金流!AG59,AH58),0)</f>
        <v>0</v>
      </c>
      <c r="AI59" s="9">
        <f>IF(31&lt;=核心参数输入!$B$9*4,MAX(季度现金流!AH59,AI58),0)</f>
        <v>0</v>
      </c>
      <c r="AJ59" s="9">
        <f>IF(32&lt;=核心参数输入!$B$9*4,MAX(季度现金流!AI59,AJ58),0)</f>
        <v>0</v>
      </c>
      <c r="AK59" s="9">
        <f>IF(33&lt;=核心参数输入!$B$9*4,MAX(季度现金流!AJ59,AK58),0)</f>
        <v>0</v>
      </c>
      <c r="AL59" s="9">
        <f>IF(34&lt;=核心参数输入!$B$9*4,MAX(季度现金流!AK59,AL58),0)</f>
        <v>0</v>
      </c>
      <c r="AM59" s="9">
        <f>IF(35&lt;=核心参数输入!$B$9*4,MAX(季度现金流!AL59,AM58),0)</f>
        <v>0</v>
      </c>
      <c r="AN59" s="9">
        <f>IF(36&lt;=核心参数输入!$B$9*4,MAX(季度现金流!AM59,AN58),0)</f>
        <v>0</v>
      </c>
      <c r="AO59" s="9">
        <f>IF(37&lt;=核心参数输入!$B$9*4,MAX(季度现金流!AN59,AO58),0)</f>
        <v>0</v>
      </c>
      <c r="AP59" s="9">
        <f>IF(38&lt;=核心参数输入!$B$9*4,MAX(季度现金流!AO59,AP58),0)</f>
        <v>0</v>
      </c>
      <c r="AQ59" s="9">
        <f>IF(39&lt;=核心参数输入!$B$9*4,MAX(季度现金流!AP59,AQ58),0)</f>
        <v>0</v>
      </c>
      <c r="AR59" s="9">
        <f>IF(40&lt;=核心参数输入!$B$9*4,MAX(季度现金流!AQ59,AR58),0)</f>
        <v>0</v>
      </c>
      <c r="AS59" s="9">
        <f>IF(41&lt;=核心参数输入!$B$9*4,MAX(季度现金流!AR59,AS58),0)</f>
        <v>0</v>
      </c>
      <c r="AT59" s="9">
        <f>IF(42&lt;=核心参数输入!$B$9*4,MAX(季度现金流!AS59,AT58),0)</f>
        <v>0</v>
      </c>
      <c r="AU59" s="9">
        <f>IF(43&lt;=核心参数输入!$B$9*4,MAX(季度现金流!AT59,AU58),0)</f>
        <v>0</v>
      </c>
      <c r="AV59" s="9">
        <f>IF(44&lt;=核心参数输入!$B$9*4,MAX(季度现金流!AU59,AV58),0)</f>
        <v>0</v>
      </c>
      <c r="AW59" s="9">
        <f>IF(45&lt;=核心参数输入!$B$9*4,MAX(季度现金流!AV59,AW58),0)</f>
        <v>0</v>
      </c>
      <c r="AX59" s="9">
        <f>IF(46&lt;=核心参数输入!$B$9*4,MAX(季度现金流!AW59,AX58),0)</f>
        <v>0</v>
      </c>
      <c r="AY59" s="9">
        <f>IF(47&lt;=核心参数输入!$B$9*4,MAX(季度现金流!AX59,AY58),0)</f>
        <v>0</v>
      </c>
      <c r="AZ59" s="9">
        <f>IF(48&lt;=核心参数输入!$B$9*4,MAX(季度现金流!AY59,AZ58),0)</f>
        <v>0</v>
      </c>
      <c r="BA59" s="9">
        <f>IF(49&lt;=核心参数输入!$B$9*4,MAX(季度现金流!AZ59,BA58),0)</f>
        <v>0</v>
      </c>
      <c r="BB59" s="9">
        <f>IF(50&lt;=核心参数输入!$B$9*4,MAX(季度现金流!BA59,BB58),0)</f>
        <v>0</v>
      </c>
      <c r="BC59" s="9">
        <f>IF(51&lt;=核心参数输入!$B$9*4,MAX(季度现金流!BB59,BC58),0)</f>
        <v>0</v>
      </c>
      <c r="BD59" s="9">
        <f>IF(52&lt;=核心参数输入!$B$9*4,MAX(季度现金流!BC59,BD58),0)</f>
        <v>0</v>
      </c>
      <c r="BE59" s="9">
        <f>IF(53&lt;=核心参数输入!$B$9*4,MAX(季度现金流!BD59,BE58),0)</f>
        <v>0</v>
      </c>
      <c r="BF59" s="9">
        <f>IF(54&lt;=核心参数输入!$B$9*4,MAX(季度现金流!BE59,BF58),0)</f>
        <v>0</v>
      </c>
      <c r="BG59" s="9">
        <f>IF(55&lt;=核心参数输入!$B$9*4,MAX(季度现金流!BF59,BG58),0)</f>
        <v>0</v>
      </c>
      <c r="BH59" s="9">
        <f>IF(56&lt;=核心参数输入!$B$9*4,MAX(季度现金流!BG59,BH58),0)</f>
        <v>0</v>
      </c>
      <c r="BI59" s="9">
        <f>IF(57&lt;=核心参数输入!$B$9*4,MAX(季度现金流!BH59,BI58),0)</f>
        <v>0</v>
      </c>
      <c r="BJ59" s="9">
        <f>IF(58&lt;=核心参数输入!$B$9*4,MAX(季度现金流!BI59,BJ58),0)</f>
        <v>0</v>
      </c>
      <c r="BK59" s="9">
        <f>IF(59&lt;=核心参数输入!$B$9*4,MAX(季度现金流!BJ59,BK58),0)</f>
        <v>0</v>
      </c>
      <c r="BL59" s="9">
        <f>IF(60&lt;=核心参数输入!$B$9*4,MAX(季度现金流!BK59,BL58),0)</f>
        <v>0</v>
      </c>
      <c r="BM59" s="9">
        <f>IF(61&lt;=核心参数输入!$B$9*4,MAX(季度现金流!BL59,BM58),0)</f>
        <v>0</v>
      </c>
      <c r="BN59" s="9">
        <f>IF(62&lt;=核心参数输入!$B$9*4,MAX(季度现金流!BM59,BN58),0)</f>
        <v>0</v>
      </c>
      <c r="BO59" s="9">
        <f>IF(63&lt;=核心参数输入!$B$9*4,MAX(季度现金流!BN59,BO58),0)</f>
        <v>0</v>
      </c>
      <c r="BP59" s="9">
        <f>IF(64&lt;=核心参数输入!$B$9*4,MAX(季度现金流!BO59,BP58),0)</f>
        <v>0</v>
      </c>
      <c r="BQ59" s="9">
        <f>IF(65&lt;=核心参数输入!$B$9*4,MAX(季度现金流!BP59,BQ58),0)</f>
        <v>0</v>
      </c>
      <c r="BR59" s="9">
        <f>IF(66&lt;=核心参数输入!$B$9*4,MAX(季度现金流!BQ59,BR58),0)</f>
        <v>0</v>
      </c>
      <c r="BS59" s="9">
        <f>IF(67&lt;=核心参数输入!$B$9*4,MAX(季度现金流!BR59,BS58),0)</f>
        <v>0</v>
      </c>
      <c r="BT59" s="9">
        <f>IF(68&lt;=核心参数输入!$B$9*4,MAX(季度现金流!BS59,BT58),0)</f>
        <v>0</v>
      </c>
      <c r="BU59" s="9">
        <f>IF(69&lt;=核心参数输入!$B$9*4,MAX(季度现金流!BT59,BU58),0)</f>
        <v>0</v>
      </c>
      <c r="BV59" s="9">
        <f>IF(70&lt;=核心参数输入!$B$9*4,MAX(季度现金流!BU59,BV58),0)</f>
        <v>0</v>
      </c>
      <c r="BW59" s="9">
        <f>IF(71&lt;=核心参数输入!$B$9*4,MAX(季度现金流!BV59,BW58),0)</f>
        <v>0</v>
      </c>
      <c r="BX59" s="9">
        <f>IF(72&lt;=核心参数输入!$B$9*4,MAX(季度现金流!BW59,BX58),0)</f>
        <v>0</v>
      </c>
      <c r="BY59" s="9">
        <f>IF(73&lt;=核心参数输入!$B$9*4,MAX(季度现金流!BX59,BY58),0)</f>
        <v>0</v>
      </c>
      <c r="BZ59" s="9">
        <f>IF(74&lt;=核心参数输入!$B$9*4,MAX(季度现金流!BY59,BZ58),0)</f>
        <v>0</v>
      </c>
      <c r="CA59" s="9">
        <f>IF(75&lt;=核心参数输入!$B$9*4,MAX(季度现金流!BZ59,CA58),0)</f>
        <v>0</v>
      </c>
      <c r="CB59" s="9">
        <f>IF(76&lt;=核心参数输入!$B$9*4,MAX(季度现金流!CA59,CB58),0)</f>
        <v>0</v>
      </c>
      <c r="CC59" s="9">
        <f>IF(77&lt;=核心参数输入!$B$9*4,MAX(季度现金流!CB59,CC58),0)</f>
        <v>0</v>
      </c>
      <c r="CD59" s="9">
        <f>IF(78&lt;=核心参数输入!$B$9*4,MAX(季度现金流!CC59,CD58),0)</f>
        <v>0</v>
      </c>
      <c r="CE59" s="9">
        <f>IF(79&lt;=核心参数输入!$B$9*4,MAX(季度现金流!CD59,CE58),0)</f>
        <v>0</v>
      </c>
      <c r="CF59" s="9">
        <f>IF(80&lt;=核心参数输入!$B$9*4,MAX(季度现金流!CE59,CF58),0)</f>
        <v>0</v>
      </c>
      <c r="CG59" s="9">
        <f>IF(81&lt;=核心参数输入!$B$9*4,MAX(季度现金流!CF59,CG58),0)</f>
        <v>0</v>
      </c>
      <c r="CH59" s="9">
        <f>IF(82&lt;=核心参数输入!$B$9*4,MAX(季度现金流!CG59,CH58),0)</f>
        <v>0</v>
      </c>
      <c r="CI59" s="9">
        <f>IF(83&lt;=核心参数输入!$B$9*4,MAX(季度现金流!CH59,CI58),0)</f>
        <v>0</v>
      </c>
      <c r="CJ59" s="9">
        <f>IF(84&lt;=核心参数输入!$B$9*4,MAX(季度现金流!CI59,CJ58),0)</f>
        <v>0</v>
      </c>
      <c r="CK59" s="9">
        <f>IF(85&lt;=核心参数输入!$B$9*4,MAX(季度现金流!CJ59,CK58),0)</f>
        <v>0</v>
      </c>
      <c r="CL59" s="9">
        <f>IF(86&lt;=核心参数输入!$B$9*4,MAX(季度现金流!CK59,CL58),0)</f>
        <v>0</v>
      </c>
      <c r="CM59" s="9">
        <f>IF(87&lt;=核心参数输入!$B$9*4,MAX(季度现金流!CL59,CM58),0)</f>
        <v>0</v>
      </c>
      <c r="CN59" s="9">
        <f>IF(88&lt;=核心参数输入!$B$9*4,MAX(季度现金流!CM59,CN58),0)</f>
        <v>0</v>
      </c>
      <c r="CO59" s="9">
        <f>IF(89&lt;=核心参数输入!$B$9*4,MAX(季度现金流!CN59,CO58),0)</f>
        <v>0</v>
      </c>
      <c r="CP59" s="9">
        <f>IF(90&lt;=核心参数输入!$B$9*4,MAX(季度现金流!CO59,CP58),0)</f>
        <v>0</v>
      </c>
      <c r="CQ59" s="9">
        <f>IF(91&lt;=核心参数输入!$B$9*4,MAX(季度现金流!CP59,CQ58),0)</f>
        <v>0</v>
      </c>
      <c r="CR59" s="9">
        <f>IF(92&lt;=核心参数输入!$B$9*4,MAX(季度现金流!CQ59,CR58),0)</f>
        <v>0</v>
      </c>
      <c r="CS59" s="9">
        <f>IF(93&lt;=核心参数输入!$B$9*4,MAX(季度现金流!CR59,CS58),0)</f>
        <v>0</v>
      </c>
      <c r="CT59" s="9">
        <f>IF(94&lt;=核心参数输入!$B$9*4,MAX(季度现金流!CS59,CT58),0)</f>
        <v>0</v>
      </c>
      <c r="CU59" s="9">
        <f>IF(95&lt;=核心参数输入!$B$9*4,MAX(季度现金流!CT59,CU58),0)</f>
        <v>0</v>
      </c>
      <c r="CV59" s="9">
        <f>IF(96&lt;=核心参数输入!$B$9*4,MAX(季度现金流!CU59,CV58),0)</f>
        <v>0</v>
      </c>
      <c r="CW59" s="9">
        <f>IF(97&lt;=核心参数输入!$B$9*4,MAX(季度现金流!CV59,CW58),0)</f>
        <v>0</v>
      </c>
      <c r="CX59" s="9">
        <f>IF(98&lt;=核心参数输入!$B$9*4,MAX(季度现金流!CW59,CX58),0)</f>
        <v>0</v>
      </c>
      <c r="CY59" s="9">
        <f>IF(99&lt;=核心参数输入!$B$9*4,MAX(季度现金流!CX59,CY58),0)</f>
        <v>0</v>
      </c>
      <c r="CZ59" s="9">
        <f>IF(100&lt;=核心参数输入!$B$9*4,MAX(季度现金流!CY59,CZ58),0)</f>
        <v>0</v>
      </c>
      <c r="DA59" s="9">
        <f>IF(101&lt;=核心参数输入!$B$9*4,MAX(季度现金流!CZ59,DA58),0)</f>
        <v>0</v>
      </c>
      <c r="DB59" s="9">
        <f>IF(102&lt;=核心参数输入!$B$9*4,MAX(季度现金流!DA59,DB58),0)</f>
        <v>0</v>
      </c>
      <c r="DC59" s="9">
        <f>IF(103&lt;=核心参数输入!$B$9*4,MAX(季度现金流!DB59,DC58),0)</f>
        <v>0</v>
      </c>
      <c r="DD59" s="9">
        <f>IF(104&lt;=核心参数输入!$B$9*4,MAX(季度现金流!DC59,DD58),0)</f>
        <v>0</v>
      </c>
      <c r="DE59" s="9">
        <f>IF(105&lt;=核心参数输入!$B$9*4,MAX(季度现金流!DD59,DE58),0)</f>
        <v>0</v>
      </c>
      <c r="DF59" s="9">
        <f>IF(106&lt;=核心参数输入!$B$9*4,MAX(季度现金流!DE59,DF58),0)</f>
        <v>0</v>
      </c>
      <c r="DG59" s="9">
        <f>IF(107&lt;=核心参数输入!$B$9*4,MAX(季度现金流!DF59,DG58),0)</f>
        <v>0</v>
      </c>
      <c r="DH59" s="9">
        <f>IF(108&lt;=核心参数输入!$B$9*4,MAX(季度现金流!DG59,DH58),0)</f>
        <v>0</v>
      </c>
      <c r="DI59" s="9">
        <f>IF(109&lt;=核心参数输入!$B$9*4,MAX(季度现金流!DH59,DI58),0)</f>
        <v>0</v>
      </c>
      <c r="DJ59" s="9">
        <f>IF(110&lt;=核心参数输入!$B$9*4,MAX(季度现金流!DI59,DJ58),0)</f>
        <v>0</v>
      </c>
      <c r="DK59" s="9">
        <f>IF(111&lt;=核心参数输入!$B$9*4,MAX(季度现金流!DJ59,DK58),0)</f>
        <v>0</v>
      </c>
      <c r="DL59" s="9">
        <f>IF(112&lt;=核心参数输入!$B$9*4,MAX(季度现金流!DK59,DL58),0)</f>
        <v>0</v>
      </c>
      <c r="DM59" s="9">
        <f>IF(113&lt;=核心参数输入!$B$9*4,MAX(季度现金流!DL59,DM58),0)</f>
        <v>0</v>
      </c>
      <c r="DN59" s="9">
        <f>IF(114&lt;=核心参数输入!$B$9*4,MAX(季度现金流!DM59,DN58),0)</f>
        <v>0</v>
      </c>
      <c r="DO59" s="9">
        <f>IF(115&lt;=核心参数输入!$B$9*4,MAX(季度现金流!DN59,DO58),0)</f>
        <v>0</v>
      </c>
      <c r="DP59" s="9">
        <f>IF(116&lt;=核心参数输入!$B$9*4,MAX(季度现金流!DO59,DP58),0)</f>
        <v>0</v>
      </c>
      <c r="DQ59" s="9">
        <f>IF(117&lt;=核心参数输入!$B$9*4,MAX(季度现金流!DP59,DQ58),0)</f>
        <v>0</v>
      </c>
      <c r="DR59" s="9">
        <f>IF(118&lt;=核心参数输入!$B$9*4,MAX(季度现金流!DQ59,DR58),0)</f>
        <v>0</v>
      </c>
      <c r="DS59" s="9">
        <f>IF(119&lt;=核心参数输入!$B$9*4,MAX(季度现金流!DR59,DS58),0)</f>
        <v>0</v>
      </c>
      <c r="DT59" s="9">
        <f>IF(120&lt;=核心参数输入!$B$9*4,MAX(季度现金流!DS59,DT58),0)</f>
        <v>0</v>
      </c>
    </row>
    <row r="60" spans="1:124" ht="21" customHeight="1">
      <c r="A60" s="8" t="s">
        <v>552</v>
      </c>
      <c r="B60" s="8" t="s">
        <v>39</v>
      </c>
      <c r="C60" s="8"/>
      <c r="D60" s="9">
        <f>IF(0&lt;=核心参数输入!$B$9*4,0+D55,0)</f>
        <v>8000</v>
      </c>
      <c r="E60" s="9">
        <f>IF(1&lt;=核心参数输入!$B$9*4,季度现金流!D60+E55,0)</f>
        <v>9730.8125</v>
      </c>
      <c r="F60" s="9">
        <f>IF(2&lt;=核心参数输入!$B$9*4,季度现金流!E60+F55,0)</f>
        <v>11485.25</v>
      </c>
      <c r="G60" s="9">
        <f>IF(3&lt;=核心参数输入!$B$9*4,季度现金流!F60+G55,0)</f>
        <v>13263.3125</v>
      </c>
      <c r="H60" s="9">
        <f>IF(4&lt;=核心参数输入!$B$9*4,季度现金流!G60+H55,0)</f>
        <v>15065</v>
      </c>
      <c r="I60" s="9">
        <f>IF(5&lt;=核心参数输入!$B$9*4,季度现金流!H60+I55,0)</f>
        <v>17467.25</v>
      </c>
      <c r="J60" s="9">
        <f>IF(6&lt;=核心参数输入!$B$9*4,季度现金流!I60+J55,0)</f>
        <v>19901</v>
      </c>
      <c r="K60" s="9">
        <f>IF(7&lt;=核心参数输入!$B$9*4,季度现金流!J60+K55,0)</f>
        <v>22366.25</v>
      </c>
      <c r="L60" s="9">
        <f>IF(8&lt;=核心参数输入!$B$9*4,季度现金流!K60+L55,0)</f>
        <v>24863</v>
      </c>
      <c r="M60" s="9">
        <f>IF(9&lt;=核心参数输入!$B$9*4,季度现金流!L60+M55,0)</f>
        <v>26814.3125</v>
      </c>
      <c r="N60" s="9">
        <f>IF(10&lt;=核心参数输入!$B$9*4,季度现金流!M60+N55,0)</f>
        <v>28789.25</v>
      </c>
      <c r="O60" s="9">
        <f>IF(11&lt;=核心参数输入!$B$9*4,季度现金流!N60+O55,0)</f>
        <v>30787.8125</v>
      </c>
      <c r="P60" s="9">
        <f>IF(12&lt;=核心参数输入!$B$9*4,季度现金流!O60+P55,0)</f>
        <v>32810</v>
      </c>
      <c r="Q60" s="9">
        <f>IF(13&lt;=核心参数输入!$B$9*4,季度现金流!P60+Q55,0)</f>
        <v>32810</v>
      </c>
      <c r="R60" s="9">
        <f>IF(14&lt;=核心参数输入!$B$9*4,季度现金流!Q60+R55,0)</f>
        <v>32810</v>
      </c>
      <c r="S60" s="9">
        <f>IF(15&lt;=核心参数输入!$B$9*4,季度现金流!R60+S55,0)</f>
        <v>32810</v>
      </c>
      <c r="T60" s="9">
        <f>IF(16&lt;=核心参数输入!$B$9*4,季度现金流!S60+T55,0)</f>
        <v>32810</v>
      </c>
      <c r="U60" s="9">
        <f>IF(17&lt;=核心参数输入!$B$9*4,季度现金流!T60+U55,0)</f>
        <v>32810</v>
      </c>
      <c r="V60" s="9">
        <f>IF(18&lt;=核心参数输入!$B$9*4,季度现金流!U60+V55,0)</f>
        <v>32810</v>
      </c>
      <c r="W60" s="9">
        <f>IF(19&lt;=核心参数输入!$B$9*4,季度现金流!V60+W55,0)</f>
        <v>32810</v>
      </c>
      <c r="X60" s="9">
        <f>IF(20&lt;=核心参数输入!$B$9*4,季度现金流!W60+X55,0)</f>
        <v>32810</v>
      </c>
      <c r="Y60" s="9">
        <f>IF(21&lt;=核心参数输入!$B$9*4,季度现金流!X60+Y55,0)</f>
        <v>32810</v>
      </c>
      <c r="Z60" s="9">
        <f>IF(22&lt;=核心参数输入!$B$9*4,季度现金流!Y60+Z55,0)</f>
        <v>32810</v>
      </c>
      <c r="AA60" s="9">
        <f>IF(23&lt;=核心参数输入!$B$9*4,季度现金流!Z60+AA55,0)</f>
        <v>32810</v>
      </c>
      <c r="AB60" s="9">
        <f>IF(24&lt;=核心参数输入!$B$9*4,季度现金流!AA60+AB55,0)</f>
        <v>32810</v>
      </c>
      <c r="AC60" s="9">
        <f>IF(25&lt;=核心参数输入!$B$9*4,季度现金流!AB60+AC55,0)</f>
        <v>32810</v>
      </c>
      <c r="AD60" s="9">
        <f>IF(26&lt;=核心参数输入!$B$9*4,季度现金流!AC60+AD55,0)</f>
        <v>32810</v>
      </c>
      <c r="AE60" s="9">
        <f>IF(27&lt;=核心参数输入!$B$9*4,季度现金流!AD60+AE55,0)</f>
        <v>32810</v>
      </c>
      <c r="AF60" s="9">
        <f>IF(28&lt;=核心参数输入!$B$9*4,季度现金流!AE60+AF55,0)</f>
        <v>32810</v>
      </c>
      <c r="AG60" s="9">
        <f>IF(29&lt;=核心参数输入!$B$9*4,季度现金流!AF60+AG55,0)</f>
        <v>32810</v>
      </c>
      <c r="AH60" s="9">
        <f>IF(30&lt;=核心参数输入!$B$9*4,季度现金流!AG60+AH55,0)</f>
        <v>32810</v>
      </c>
      <c r="AI60" s="9">
        <f>IF(31&lt;=核心参数输入!$B$9*4,季度现金流!AH60+AI55,0)</f>
        <v>32810</v>
      </c>
      <c r="AJ60" s="9">
        <f>IF(32&lt;=核心参数输入!$B$9*4,季度现金流!AI60+AJ55,0)</f>
        <v>32810</v>
      </c>
      <c r="AK60" s="9">
        <f>IF(33&lt;=核心参数输入!$B$9*4,季度现金流!AJ60+AK55,0)</f>
        <v>32810</v>
      </c>
      <c r="AL60" s="9">
        <f>IF(34&lt;=核心参数输入!$B$9*4,季度现金流!AK60+AL55,0)</f>
        <v>32810</v>
      </c>
      <c r="AM60" s="9">
        <f>IF(35&lt;=核心参数输入!$B$9*4,季度现金流!AL60+AM55,0)</f>
        <v>32810</v>
      </c>
      <c r="AN60" s="9">
        <f>IF(36&lt;=核心参数输入!$B$9*4,季度现金流!AM60+AN55,0)</f>
        <v>32810</v>
      </c>
      <c r="AO60" s="9">
        <f>IF(37&lt;=核心参数输入!$B$9*4,季度现金流!AN60+AO55,0)</f>
        <v>32810</v>
      </c>
      <c r="AP60" s="9">
        <f>IF(38&lt;=核心参数输入!$B$9*4,季度现金流!AO60+AP55,0)</f>
        <v>32810</v>
      </c>
      <c r="AQ60" s="9">
        <f>IF(39&lt;=核心参数输入!$B$9*4,季度现金流!AP60+AQ55,0)</f>
        <v>32810</v>
      </c>
      <c r="AR60" s="9">
        <f>IF(40&lt;=核心参数输入!$B$9*4,季度现金流!AQ60+AR55,0)</f>
        <v>32810</v>
      </c>
      <c r="AS60" s="9">
        <f>IF(41&lt;=核心参数输入!$B$9*4,季度现金流!AR60+AS55,0)</f>
        <v>32810</v>
      </c>
      <c r="AT60" s="9">
        <f>IF(42&lt;=核心参数输入!$B$9*4,季度现金流!AS60+AT55,0)</f>
        <v>32810</v>
      </c>
      <c r="AU60" s="9">
        <f>IF(43&lt;=核心参数输入!$B$9*4,季度现金流!AT60+AU55,0)</f>
        <v>32810</v>
      </c>
      <c r="AV60" s="9">
        <f>IF(44&lt;=核心参数输入!$B$9*4,季度现金流!AU60+AV55,0)</f>
        <v>32810</v>
      </c>
      <c r="AW60" s="9">
        <f>IF(45&lt;=核心参数输入!$B$9*4,季度现金流!AV60+AW55,0)</f>
        <v>32810</v>
      </c>
      <c r="AX60" s="9">
        <f>IF(46&lt;=核心参数输入!$B$9*4,季度现金流!AW60+AX55,0)</f>
        <v>32810</v>
      </c>
      <c r="AY60" s="9">
        <f>IF(47&lt;=核心参数输入!$B$9*4,季度现金流!AX60+AY55,0)</f>
        <v>32810</v>
      </c>
      <c r="AZ60" s="9">
        <f>IF(48&lt;=核心参数输入!$B$9*4,季度现金流!AY60+AZ55,0)</f>
        <v>32810</v>
      </c>
      <c r="BA60" s="9">
        <f>IF(49&lt;=核心参数输入!$B$9*4,季度现金流!AZ60+BA55,0)</f>
        <v>32810</v>
      </c>
      <c r="BB60" s="9">
        <f>IF(50&lt;=核心参数输入!$B$9*4,季度现金流!BA60+BB55,0)</f>
        <v>32810</v>
      </c>
      <c r="BC60" s="9">
        <f>IF(51&lt;=核心参数输入!$B$9*4,季度现金流!BB60+BC55,0)</f>
        <v>32810</v>
      </c>
      <c r="BD60" s="9">
        <f>IF(52&lt;=核心参数输入!$B$9*4,季度现金流!BC60+BD55,0)</f>
        <v>32810</v>
      </c>
      <c r="BE60" s="9">
        <f>IF(53&lt;=核心参数输入!$B$9*4,季度现金流!BD60+BE55,0)</f>
        <v>32810</v>
      </c>
      <c r="BF60" s="9">
        <f>IF(54&lt;=核心参数输入!$B$9*4,季度现金流!BE60+BF55,0)</f>
        <v>32810</v>
      </c>
      <c r="BG60" s="9">
        <f>IF(55&lt;=核心参数输入!$B$9*4,季度现金流!BF60+BG55,0)</f>
        <v>32810</v>
      </c>
      <c r="BH60" s="9">
        <f>IF(56&lt;=核心参数输入!$B$9*4,季度现金流!BG60+BH55,0)</f>
        <v>32810</v>
      </c>
      <c r="BI60" s="9">
        <f>IF(57&lt;=核心参数输入!$B$9*4,季度现金流!BH60+BI55,0)</f>
        <v>32810</v>
      </c>
      <c r="BJ60" s="9">
        <f>IF(58&lt;=核心参数输入!$B$9*4,季度现金流!BI60+BJ55,0)</f>
        <v>32810</v>
      </c>
      <c r="BK60" s="9">
        <f>IF(59&lt;=核心参数输入!$B$9*4,季度现金流!BJ60+BK55,0)</f>
        <v>32810</v>
      </c>
      <c r="BL60" s="9">
        <f>IF(60&lt;=核心参数输入!$B$9*4,季度现金流!BK60+BL55,0)</f>
        <v>32810</v>
      </c>
      <c r="BM60" s="9">
        <f>IF(61&lt;=核心参数输入!$B$9*4,季度现金流!BL60+BM55,0)</f>
        <v>32810</v>
      </c>
      <c r="BN60" s="9">
        <f>IF(62&lt;=核心参数输入!$B$9*4,季度现金流!BM60+BN55,0)</f>
        <v>32810</v>
      </c>
      <c r="BO60" s="9">
        <f>IF(63&lt;=核心参数输入!$B$9*4,季度现金流!BN60+BO55,0)</f>
        <v>32810</v>
      </c>
      <c r="BP60" s="9">
        <f>IF(64&lt;=核心参数输入!$B$9*4,季度现金流!BO60+BP55,0)</f>
        <v>32810</v>
      </c>
      <c r="BQ60" s="9">
        <f>IF(65&lt;=核心参数输入!$B$9*4,季度现金流!BP60+BQ55,0)</f>
        <v>32810</v>
      </c>
      <c r="BR60" s="9">
        <f>IF(66&lt;=核心参数输入!$B$9*4,季度现金流!BQ60+BR55,0)</f>
        <v>32810</v>
      </c>
      <c r="BS60" s="9">
        <f>IF(67&lt;=核心参数输入!$B$9*4,季度现金流!BR60+BS55,0)</f>
        <v>32810</v>
      </c>
      <c r="BT60" s="9">
        <f>IF(68&lt;=核心参数输入!$B$9*4,季度现金流!BS60+BT55,0)</f>
        <v>32810</v>
      </c>
      <c r="BU60" s="9">
        <f>IF(69&lt;=核心参数输入!$B$9*4,季度现金流!BT60+BU55,0)</f>
        <v>32810</v>
      </c>
      <c r="BV60" s="9">
        <f>IF(70&lt;=核心参数输入!$B$9*4,季度现金流!BU60+BV55,0)</f>
        <v>32810</v>
      </c>
      <c r="BW60" s="9">
        <f>IF(71&lt;=核心参数输入!$B$9*4,季度现金流!BV60+BW55,0)</f>
        <v>32810</v>
      </c>
      <c r="BX60" s="9">
        <f>IF(72&lt;=核心参数输入!$B$9*4,季度现金流!BW60+BX55,0)</f>
        <v>32810</v>
      </c>
      <c r="BY60" s="9">
        <f>IF(73&lt;=核心参数输入!$B$9*4,季度现金流!BX60+BY55,0)</f>
        <v>32810</v>
      </c>
      <c r="BZ60" s="9">
        <f>IF(74&lt;=核心参数输入!$B$9*4,季度现金流!BY60+BZ55,0)</f>
        <v>32810</v>
      </c>
      <c r="CA60" s="9">
        <f>IF(75&lt;=核心参数输入!$B$9*4,季度现金流!BZ60+CA55,0)</f>
        <v>32810</v>
      </c>
      <c r="CB60" s="9">
        <f>IF(76&lt;=核心参数输入!$B$9*4,季度现金流!CA60+CB55,0)</f>
        <v>32810</v>
      </c>
      <c r="CC60" s="9">
        <f>IF(77&lt;=核心参数输入!$B$9*4,季度现金流!CB60+CC55,0)</f>
        <v>32810</v>
      </c>
      <c r="CD60" s="9">
        <f>IF(78&lt;=核心参数输入!$B$9*4,季度现金流!CC60+CD55,0)</f>
        <v>32810</v>
      </c>
      <c r="CE60" s="9">
        <f>IF(79&lt;=核心参数输入!$B$9*4,季度现金流!CD60+CE55,0)</f>
        <v>32810</v>
      </c>
      <c r="CF60" s="9">
        <f>IF(80&lt;=核心参数输入!$B$9*4,季度现金流!CE60+CF55,0)</f>
        <v>32810</v>
      </c>
      <c r="CG60" s="9">
        <f>IF(81&lt;=核心参数输入!$B$9*4,季度现金流!CF60+CG55,0)</f>
        <v>0</v>
      </c>
      <c r="CH60" s="9">
        <f>IF(82&lt;=核心参数输入!$B$9*4,季度现金流!CG60+CH55,0)</f>
        <v>0</v>
      </c>
      <c r="CI60" s="9">
        <f>IF(83&lt;=核心参数输入!$B$9*4,季度现金流!CH60+CI55,0)</f>
        <v>0</v>
      </c>
      <c r="CJ60" s="9">
        <f>IF(84&lt;=核心参数输入!$B$9*4,季度现金流!CI60+CJ55,0)</f>
        <v>0</v>
      </c>
      <c r="CK60" s="9">
        <f>IF(85&lt;=核心参数输入!$B$9*4,季度现金流!CJ60+CK55,0)</f>
        <v>0</v>
      </c>
      <c r="CL60" s="9">
        <f>IF(86&lt;=核心参数输入!$B$9*4,季度现金流!CK60+CL55,0)</f>
        <v>0</v>
      </c>
      <c r="CM60" s="9">
        <f>IF(87&lt;=核心参数输入!$B$9*4,季度现金流!CL60+CM55,0)</f>
        <v>0</v>
      </c>
      <c r="CN60" s="9">
        <f>IF(88&lt;=核心参数输入!$B$9*4,季度现金流!CM60+CN55,0)</f>
        <v>0</v>
      </c>
      <c r="CO60" s="9">
        <f>IF(89&lt;=核心参数输入!$B$9*4,季度现金流!CN60+CO55,0)</f>
        <v>0</v>
      </c>
      <c r="CP60" s="9">
        <f>IF(90&lt;=核心参数输入!$B$9*4,季度现金流!CO60+CP55,0)</f>
        <v>0</v>
      </c>
      <c r="CQ60" s="9">
        <f>IF(91&lt;=核心参数输入!$B$9*4,季度现金流!CP60+CQ55,0)</f>
        <v>0</v>
      </c>
      <c r="CR60" s="9">
        <f>IF(92&lt;=核心参数输入!$B$9*4,季度现金流!CQ60+CR55,0)</f>
        <v>0</v>
      </c>
      <c r="CS60" s="9">
        <f>IF(93&lt;=核心参数输入!$B$9*4,季度现金流!CR60+CS55,0)</f>
        <v>0</v>
      </c>
      <c r="CT60" s="9">
        <f>IF(94&lt;=核心参数输入!$B$9*4,季度现金流!CS60+CT55,0)</f>
        <v>0</v>
      </c>
      <c r="CU60" s="9">
        <f>IF(95&lt;=核心参数输入!$B$9*4,季度现金流!CT60+CU55,0)</f>
        <v>0</v>
      </c>
      <c r="CV60" s="9">
        <f>IF(96&lt;=核心参数输入!$B$9*4,季度现金流!CU60+CV55,0)</f>
        <v>0</v>
      </c>
      <c r="CW60" s="9">
        <f>IF(97&lt;=核心参数输入!$B$9*4,季度现金流!CV60+CW55,0)</f>
        <v>0</v>
      </c>
      <c r="CX60" s="9">
        <f>IF(98&lt;=核心参数输入!$B$9*4,季度现金流!CW60+CX55,0)</f>
        <v>0</v>
      </c>
      <c r="CY60" s="9">
        <f>IF(99&lt;=核心参数输入!$B$9*4,季度现金流!CX60+CY55,0)</f>
        <v>0</v>
      </c>
      <c r="CZ60" s="9">
        <f>IF(100&lt;=核心参数输入!$B$9*4,季度现金流!CY60+CZ55,0)</f>
        <v>0</v>
      </c>
      <c r="DA60" s="9">
        <f>IF(101&lt;=核心参数输入!$B$9*4,季度现金流!CZ60+DA55,0)</f>
        <v>0</v>
      </c>
      <c r="DB60" s="9">
        <f>IF(102&lt;=核心参数输入!$B$9*4,季度现金流!DA60+DB55,0)</f>
        <v>0</v>
      </c>
      <c r="DC60" s="9">
        <f>IF(103&lt;=核心参数输入!$B$9*4,季度现金流!DB60+DC55,0)</f>
        <v>0</v>
      </c>
      <c r="DD60" s="9">
        <f>IF(104&lt;=核心参数输入!$B$9*4,季度现金流!DC60+DD55,0)</f>
        <v>0</v>
      </c>
      <c r="DE60" s="9">
        <f>IF(105&lt;=核心参数输入!$B$9*4,季度现金流!DD60+DE55,0)</f>
        <v>0</v>
      </c>
      <c r="DF60" s="9">
        <f>IF(106&lt;=核心参数输入!$B$9*4,季度现金流!DE60+DF55,0)</f>
        <v>0</v>
      </c>
      <c r="DG60" s="9">
        <f>IF(107&lt;=核心参数输入!$B$9*4,季度现金流!DF60+DG55,0)</f>
        <v>0</v>
      </c>
      <c r="DH60" s="9">
        <f>IF(108&lt;=核心参数输入!$B$9*4,季度现金流!DG60+DH55,0)</f>
        <v>0</v>
      </c>
      <c r="DI60" s="9">
        <f>IF(109&lt;=核心参数输入!$B$9*4,季度现金流!DH60+DI55,0)</f>
        <v>0</v>
      </c>
      <c r="DJ60" s="9">
        <f>IF(110&lt;=核心参数输入!$B$9*4,季度现金流!DI60+DJ55,0)</f>
        <v>0</v>
      </c>
      <c r="DK60" s="9">
        <f>IF(111&lt;=核心参数输入!$B$9*4,季度现金流!DJ60+DK55,0)</f>
        <v>0</v>
      </c>
      <c r="DL60" s="9">
        <f>IF(112&lt;=核心参数输入!$B$9*4,季度现金流!DK60+DL55,0)</f>
        <v>0</v>
      </c>
      <c r="DM60" s="9">
        <f>IF(113&lt;=核心参数输入!$B$9*4,季度现金流!DL60+DM55,0)</f>
        <v>0</v>
      </c>
      <c r="DN60" s="9">
        <f>IF(114&lt;=核心参数输入!$B$9*4,季度现金流!DM60+DN55,0)</f>
        <v>0</v>
      </c>
      <c r="DO60" s="9">
        <f>IF(115&lt;=核心参数输入!$B$9*4,季度现金流!DN60+DO55,0)</f>
        <v>0</v>
      </c>
      <c r="DP60" s="9">
        <f>IF(116&lt;=核心参数输入!$B$9*4,季度现金流!DO60+DP55,0)</f>
        <v>0</v>
      </c>
      <c r="DQ60" s="9">
        <f>IF(117&lt;=核心参数输入!$B$9*4,季度现金流!DP60+DQ55,0)</f>
        <v>0</v>
      </c>
      <c r="DR60" s="9">
        <f>IF(118&lt;=核心参数输入!$B$9*4,季度现金流!DQ60+DR55,0)</f>
        <v>0</v>
      </c>
      <c r="DS60" s="9">
        <f>IF(119&lt;=核心参数输入!$B$9*4,季度现金流!DR60+DS55,0)</f>
        <v>0</v>
      </c>
      <c r="DT60" s="9">
        <f>IF(120&lt;=核心参数输入!$B$9*4,季度现金流!DS60+DT55,0)</f>
        <v>0</v>
      </c>
    </row>
    <row r="61" spans="1:124" ht="21" customHeight="1">
      <c r="A61" s="8" t="s">
        <v>553</v>
      </c>
      <c r="B61" s="8" t="s">
        <v>39</v>
      </c>
      <c r="C61" s="8"/>
      <c r="D61" s="9">
        <f>IF(0&lt;=核心参数输入!$B$9*4,D52-D53+D46+D55-D56-D57+D58,0)</f>
        <v>0</v>
      </c>
      <c r="E61" s="9">
        <f>IF(1&lt;=核心参数输入!$B$9*4,E52-E53+E46+E55-E56-E57+E58,0)</f>
        <v>0</v>
      </c>
      <c r="F61" s="9">
        <f>IF(2&lt;=核心参数输入!$B$9*4,F52-F53+F46+F55-F56-F57+F58,0)</f>
        <v>0</v>
      </c>
      <c r="G61" s="9">
        <f>IF(3&lt;=核心参数输入!$B$9*4,G52-G53+G46+G55-G56-G57+G58,0)</f>
        <v>0</v>
      </c>
      <c r="H61" s="9">
        <f>IF(4&lt;=核心参数输入!$B$9*4,H52-H53+H46+H55-H56-H57+H58,0)</f>
        <v>0</v>
      </c>
      <c r="I61" s="9">
        <f>IF(5&lt;=核心参数输入!$B$9*4,I52-I53+I46+I55-I56-I57+I58,0)</f>
        <v>0</v>
      </c>
      <c r="J61" s="9">
        <f>IF(6&lt;=核心参数输入!$B$9*4,J52-J53+J46+J55-J56-J57+J58,0)</f>
        <v>0</v>
      </c>
      <c r="K61" s="9">
        <f>IF(7&lt;=核心参数输入!$B$9*4,K52-K53+K46+K55-K56-K57+K58,0)</f>
        <v>0</v>
      </c>
      <c r="L61" s="9">
        <f>IF(8&lt;=核心参数输入!$B$9*4,L52-L53+L46+L55-L56-L57+L58,0)</f>
        <v>0</v>
      </c>
      <c r="M61" s="9">
        <f>IF(9&lt;=核心参数输入!$B$9*4,M52-M53+M46+M55-M56-M57+M58,0)</f>
        <v>0</v>
      </c>
      <c r="N61" s="9">
        <f>IF(10&lt;=核心参数输入!$B$9*4,N52-N53+N46+N55-N56-N57+N58,0)</f>
        <v>0</v>
      </c>
      <c r="O61" s="9">
        <f>IF(11&lt;=核心参数输入!$B$9*4,O52-O53+O46+O55-O56-O57+O58,0)</f>
        <v>0</v>
      </c>
      <c r="P61" s="9">
        <f>IF(12&lt;=核心参数输入!$B$9*4,P52-P53+P46+P55-P56-P57+P58,0)</f>
        <v>0</v>
      </c>
      <c r="Q61" s="9">
        <f>IF(13&lt;=核心参数输入!$B$9*4,Q52-Q53+Q46+Q55-Q56-Q57+Q58,0)</f>
        <v>0</v>
      </c>
      <c r="R61" s="9">
        <f>IF(14&lt;=核心参数输入!$B$9*4,R52-R53+R46+R55-R56-R57+R58,0)</f>
        <v>0</v>
      </c>
      <c r="S61" s="9">
        <f>IF(15&lt;=核心参数输入!$B$9*4,S52-S53+S46+S55-S56-S57+S58,0)</f>
        <v>0</v>
      </c>
      <c r="T61" s="9">
        <f>IF(16&lt;=核心参数输入!$B$9*4,T52-T53+T46+T55-T56-T57+T58,0)</f>
        <v>0</v>
      </c>
      <c r="U61" s="9">
        <f>IF(17&lt;=核心参数输入!$B$9*4,U52-U53+U46+U55-U56-U57+U58,0)</f>
        <v>0</v>
      </c>
      <c r="V61" s="9">
        <f>IF(18&lt;=核心参数输入!$B$9*4,V52-V53+V46+V55-V56-V57+V58,0)</f>
        <v>0</v>
      </c>
      <c r="W61" s="9">
        <f>IF(19&lt;=核心参数输入!$B$9*4,W52-W53+W46+W55-W56-W57+W58,0)</f>
        <v>0</v>
      </c>
      <c r="X61" s="9">
        <f>IF(20&lt;=核心参数输入!$B$9*4,X52-X53+X46+X55-X56-X57+X58,0)</f>
        <v>0</v>
      </c>
      <c r="Y61" s="9">
        <f>IF(21&lt;=核心参数输入!$B$9*4,Y52-Y53+Y46+Y55-Y56-Y57+Y58,0)</f>
        <v>0</v>
      </c>
      <c r="Z61" s="9">
        <f>IF(22&lt;=核心参数输入!$B$9*4,Z52-Z53+Z46+Z55-Z56-Z57+Z58,0)</f>
        <v>0</v>
      </c>
      <c r="AA61" s="9">
        <f>IF(23&lt;=核心参数输入!$B$9*4,AA52-AA53+AA46+AA55-AA56-AA57+AA58,0)</f>
        <v>0</v>
      </c>
      <c r="AB61" s="9">
        <f>IF(24&lt;=核心参数输入!$B$9*4,AB52-AB53+AB46+AB55-AB56-AB57+AB58,0)</f>
        <v>0</v>
      </c>
      <c r="AC61" s="9">
        <f>IF(25&lt;=核心参数输入!$B$9*4,AC52-AC53+AC46+AC55-AC56-AC57+AC58,0)</f>
        <v>0</v>
      </c>
      <c r="AD61" s="9">
        <f>IF(26&lt;=核心参数输入!$B$9*4,AD52-AD53+AD46+AD55-AD56-AD57+AD58,0)</f>
        <v>0</v>
      </c>
      <c r="AE61" s="9">
        <f>IF(27&lt;=核心参数输入!$B$9*4,AE52-AE53+AE46+AE55-AE56-AE57+AE58,0)</f>
        <v>0</v>
      </c>
      <c r="AF61" s="9">
        <f>IF(28&lt;=核心参数输入!$B$9*4,AF52-AF53+AF46+AF55-AF56-AF57+AF58,0)</f>
        <v>0</v>
      </c>
      <c r="AG61" s="9">
        <f>IF(29&lt;=核心参数输入!$B$9*4,AG52-AG53+AG46+AG55-AG56-AG57+AG58,0)</f>
        <v>0</v>
      </c>
      <c r="AH61" s="9">
        <f>IF(30&lt;=核心参数输入!$B$9*4,AH52-AH53+AH46+AH55-AH56-AH57+AH58,0)</f>
        <v>0</v>
      </c>
      <c r="AI61" s="9">
        <f>IF(31&lt;=核心参数输入!$B$9*4,AI52-AI53+AI46+AI55-AI56-AI57+AI58,0)</f>
        <v>0</v>
      </c>
      <c r="AJ61" s="9">
        <f>IF(32&lt;=核心参数输入!$B$9*4,AJ52-AJ53+AJ46+AJ55-AJ56-AJ57+AJ58,0)</f>
        <v>0</v>
      </c>
      <c r="AK61" s="9">
        <f>IF(33&lt;=核心参数输入!$B$9*4,AK52-AK53+AK46+AK55-AK56-AK57+AK58,0)</f>
        <v>0</v>
      </c>
      <c r="AL61" s="9">
        <f>IF(34&lt;=核心参数输入!$B$9*4,AL52-AL53+AL46+AL55-AL56-AL57+AL58,0)</f>
        <v>0</v>
      </c>
      <c r="AM61" s="9">
        <f>IF(35&lt;=核心参数输入!$B$9*4,AM52-AM53+AM46+AM55-AM56-AM57+AM58,0)</f>
        <v>0</v>
      </c>
      <c r="AN61" s="9">
        <f>IF(36&lt;=核心参数输入!$B$9*4,AN52-AN53+AN46+AN55-AN56-AN57+AN58,0)</f>
        <v>0</v>
      </c>
      <c r="AO61" s="9">
        <f>IF(37&lt;=核心参数输入!$B$9*4,AO52-AO53+AO46+AO55-AO56-AO57+AO58,0)</f>
        <v>0</v>
      </c>
      <c r="AP61" s="9">
        <f>IF(38&lt;=核心参数输入!$B$9*4,AP52-AP53+AP46+AP55-AP56-AP57+AP58,0)</f>
        <v>0</v>
      </c>
      <c r="AQ61" s="9">
        <f>IF(39&lt;=核心参数输入!$B$9*4,AQ52-AQ53+AQ46+AQ55-AQ56-AQ57+AQ58,0)</f>
        <v>0</v>
      </c>
      <c r="AR61" s="9">
        <f>IF(40&lt;=核心参数输入!$B$9*4,AR52-AR53+AR46+AR55-AR56-AR57+AR58,0)</f>
        <v>0</v>
      </c>
      <c r="AS61" s="9">
        <f>IF(41&lt;=核心参数输入!$B$9*4,AS52-AS53+AS46+AS55-AS56-AS57+AS58,0)</f>
        <v>0</v>
      </c>
      <c r="AT61" s="9">
        <f>IF(42&lt;=核心参数输入!$B$9*4,AT52-AT53+AT46+AT55-AT56-AT57+AT58,0)</f>
        <v>0</v>
      </c>
      <c r="AU61" s="9">
        <f>IF(43&lt;=核心参数输入!$B$9*4,AU52-AU53+AU46+AU55-AU56-AU57+AU58,0)</f>
        <v>0</v>
      </c>
      <c r="AV61" s="9">
        <f>IF(44&lt;=核心参数输入!$B$9*4,AV52-AV53+AV46+AV55-AV56-AV57+AV58,0)</f>
        <v>0</v>
      </c>
      <c r="AW61" s="9">
        <f>IF(45&lt;=核心参数输入!$B$9*4,AW52-AW53+AW46+AW55-AW56-AW57+AW58,0)</f>
        <v>0</v>
      </c>
      <c r="AX61" s="9">
        <f>IF(46&lt;=核心参数输入!$B$9*4,AX52-AX53+AX46+AX55-AX56-AX57+AX58,0)</f>
        <v>0</v>
      </c>
      <c r="AY61" s="9">
        <f>IF(47&lt;=核心参数输入!$B$9*4,AY52-AY53+AY46+AY55-AY56-AY57+AY58,0)</f>
        <v>0</v>
      </c>
      <c r="AZ61" s="9">
        <f>IF(48&lt;=核心参数输入!$B$9*4,AZ52-AZ53+AZ46+AZ55-AZ56-AZ57+AZ58,0)</f>
        <v>0</v>
      </c>
      <c r="BA61" s="9">
        <f>IF(49&lt;=核心参数输入!$B$9*4,BA52-BA53+BA46+BA55-BA56-BA57+BA58,0)</f>
        <v>0</v>
      </c>
      <c r="BB61" s="9">
        <f>IF(50&lt;=核心参数输入!$B$9*4,BB52-BB53+BB46+BB55-BB56-BB57+BB58,0)</f>
        <v>0</v>
      </c>
      <c r="BC61" s="9">
        <f>IF(51&lt;=核心参数输入!$B$9*4,BC52-BC53+BC46+BC55-BC56-BC57+BC58,0)</f>
        <v>0</v>
      </c>
      <c r="BD61" s="9">
        <f>IF(52&lt;=核心参数输入!$B$9*4,BD52-BD53+BD46+BD55-BD56-BD57+BD58,0)</f>
        <v>0</v>
      </c>
      <c r="BE61" s="9">
        <f>IF(53&lt;=核心参数输入!$B$9*4,BE52-BE53+BE46+BE55-BE56-BE57+BE58,0)</f>
        <v>0</v>
      </c>
      <c r="BF61" s="9">
        <f>IF(54&lt;=核心参数输入!$B$9*4,BF52-BF53+BF46+BF55-BF56-BF57+BF58,0)</f>
        <v>0</v>
      </c>
      <c r="BG61" s="9">
        <f>IF(55&lt;=核心参数输入!$B$9*4,BG52-BG53+BG46+BG55-BG56-BG57+BG58,0)</f>
        <v>0</v>
      </c>
      <c r="BH61" s="9">
        <f>IF(56&lt;=核心参数输入!$B$9*4,BH52-BH53+BH46+BH55-BH56-BH57+BH58,0)</f>
        <v>0</v>
      </c>
      <c r="BI61" s="9">
        <f>IF(57&lt;=核心参数输入!$B$9*4,BI52-BI53+BI46+BI55-BI56-BI57+BI58,0)</f>
        <v>0</v>
      </c>
      <c r="BJ61" s="9">
        <f>IF(58&lt;=核心参数输入!$B$9*4,BJ52-BJ53+BJ46+BJ55-BJ56-BJ57+BJ58,0)</f>
        <v>0</v>
      </c>
      <c r="BK61" s="9">
        <f>IF(59&lt;=核心参数输入!$B$9*4,BK52-BK53+BK46+BK55-BK56-BK57+BK58,0)</f>
        <v>0</v>
      </c>
      <c r="BL61" s="9">
        <f>IF(60&lt;=核心参数输入!$B$9*4,BL52-BL53+BL46+BL55-BL56-BL57+BL58,0)</f>
        <v>0</v>
      </c>
      <c r="BM61" s="9">
        <f>IF(61&lt;=核心参数输入!$B$9*4,BM52-BM53+BM46+BM55-BM56-BM57+BM58,0)</f>
        <v>0</v>
      </c>
      <c r="BN61" s="9">
        <f>IF(62&lt;=核心参数输入!$B$9*4,BN52-BN53+BN46+BN55-BN56-BN57+BN58,0)</f>
        <v>0</v>
      </c>
      <c r="BO61" s="9">
        <f>IF(63&lt;=核心参数输入!$B$9*4,BO52-BO53+BO46+BO55-BO56-BO57+BO58,0)</f>
        <v>0</v>
      </c>
      <c r="BP61" s="9">
        <f>IF(64&lt;=核心参数输入!$B$9*4,BP52-BP53+BP46+BP55-BP56-BP57+BP58,0)</f>
        <v>0</v>
      </c>
      <c r="BQ61" s="9">
        <f>IF(65&lt;=核心参数输入!$B$9*4,BQ52-BQ53+BQ46+BQ55-BQ56-BQ57+BQ58,0)</f>
        <v>0</v>
      </c>
      <c r="BR61" s="9">
        <f>IF(66&lt;=核心参数输入!$B$9*4,BR52-BR53+BR46+BR55-BR56-BR57+BR58,0)</f>
        <v>0</v>
      </c>
      <c r="BS61" s="9">
        <f>IF(67&lt;=核心参数输入!$B$9*4,BS52-BS53+BS46+BS55-BS56-BS57+BS58,0)</f>
        <v>0</v>
      </c>
      <c r="BT61" s="9">
        <f>IF(68&lt;=核心参数输入!$B$9*4,BT52-BT53+BT46+BT55-BT56-BT57+BT58,0)</f>
        <v>0</v>
      </c>
      <c r="BU61" s="9">
        <f>IF(69&lt;=核心参数输入!$B$9*4,BU52-BU53+BU46+BU55-BU56-BU57+BU58,0)</f>
        <v>0</v>
      </c>
      <c r="BV61" s="9">
        <f>IF(70&lt;=核心参数输入!$B$9*4,BV52-BV53+BV46+BV55-BV56-BV57+BV58,0)</f>
        <v>0</v>
      </c>
      <c r="BW61" s="9">
        <f>IF(71&lt;=核心参数输入!$B$9*4,BW52-BW53+BW46+BW55-BW56-BW57+BW58,0)</f>
        <v>0</v>
      </c>
      <c r="BX61" s="9">
        <f>IF(72&lt;=核心参数输入!$B$9*4,BX52-BX53+BX46+BX55-BX56-BX57+BX58,0)</f>
        <v>0</v>
      </c>
      <c r="BY61" s="9">
        <f>IF(73&lt;=核心参数输入!$B$9*4,BY52-BY53+BY46+BY55-BY56-BY57+BY58,0)</f>
        <v>0</v>
      </c>
      <c r="BZ61" s="9">
        <f>IF(74&lt;=核心参数输入!$B$9*4,BZ52-BZ53+BZ46+BZ55-BZ56-BZ57+BZ58,0)</f>
        <v>0</v>
      </c>
      <c r="CA61" s="9">
        <f>IF(75&lt;=核心参数输入!$B$9*4,CA52-CA53+CA46+CA55-CA56-CA57+CA58,0)</f>
        <v>0</v>
      </c>
      <c r="CB61" s="9">
        <f>IF(76&lt;=核心参数输入!$B$9*4,CB52-CB53+CB46+CB55-CB56-CB57+CB58,0)</f>
        <v>0</v>
      </c>
      <c r="CC61" s="9">
        <f>IF(77&lt;=核心参数输入!$B$9*4,CC52-CC53+CC46+CC55-CC56-CC57+CC58,0)</f>
        <v>0</v>
      </c>
      <c r="CD61" s="9">
        <f>IF(78&lt;=核心参数输入!$B$9*4,CD52-CD53+CD46+CD55-CD56-CD57+CD58,0)</f>
        <v>0</v>
      </c>
      <c r="CE61" s="9">
        <f>IF(79&lt;=核心参数输入!$B$9*4,CE52-CE53+CE46+CE55-CE56-CE57+CE58,0)</f>
        <v>0</v>
      </c>
      <c r="CF61" s="9">
        <f>IF(80&lt;=核心参数输入!$B$9*4,CF52-CF53+CF46+CF55-CF56-CF57+CF58,0)</f>
        <v>0</v>
      </c>
      <c r="CG61" s="9">
        <f>IF(81&lt;=核心参数输入!$B$9*4,CG52-CG53+CG46+CG55-CG56-CG57+CG58,0)</f>
        <v>0</v>
      </c>
      <c r="CH61" s="9">
        <f>IF(82&lt;=核心参数输入!$B$9*4,CH52-CH53+CH46+CH55-CH56-CH57+CH58,0)</f>
        <v>0</v>
      </c>
      <c r="CI61" s="9">
        <f>IF(83&lt;=核心参数输入!$B$9*4,CI52-CI53+CI46+CI55-CI56-CI57+CI58,0)</f>
        <v>0</v>
      </c>
      <c r="CJ61" s="9">
        <f>IF(84&lt;=核心参数输入!$B$9*4,CJ52-CJ53+CJ46+CJ55-CJ56-CJ57+CJ58,0)</f>
        <v>0</v>
      </c>
      <c r="CK61" s="9">
        <f>IF(85&lt;=核心参数输入!$B$9*4,CK52-CK53+CK46+CK55-CK56-CK57+CK58,0)</f>
        <v>0</v>
      </c>
      <c r="CL61" s="9">
        <f>IF(86&lt;=核心参数输入!$B$9*4,CL52-CL53+CL46+CL55-CL56-CL57+CL58,0)</f>
        <v>0</v>
      </c>
      <c r="CM61" s="9">
        <f>IF(87&lt;=核心参数输入!$B$9*4,CM52-CM53+CM46+CM55-CM56-CM57+CM58,0)</f>
        <v>0</v>
      </c>
      <c r="CN61" s="9">
        <f>IF(88&lt;=核心参数输入!$B$9*4,CN52-CN53+CN46+CN55-CN56-CN57+CN58,0)</f>
        <v>0</v>
      </c>
      <c r="CO61" s="9">
        <f>IF(89&lt;=核心参数输入!$B$9*4,CO52-CO53+CO46+CO55-CO56-CO57+CO58,0)</f>
        <v>0</v>
      </c>
      <c r="CP61" s="9">
        <f>IF(90&lt;=核心参数输入!$B$9*4,CP52-CP53+CP46+CP55-CP56-CP57+CP58,0)</f>
        <v>0</v>
      </c>
      <c r="CQ61" s="9">
        <f>IF(91&lt;=核心参数输入!$B$9*4,CQ52-CQ53+CQ46+CQ55-CQ56-CQ57+CQ58,0)</f>
        <v>0</v>
      </c>
      <c r="CR61" s="9">
        <f>IF(92&lt;=核心参数输入!$B$9*4,CR52-CR53+CR46+CR55-CR56-CR57+CR58,0)</f>
        <v>0</v>
      </c>
      <c r="CS61" s="9">
        <f>IF(93&lt;=核心参数输入!$B$9*4,CS52-CS53+CS46+CS55-CS56-CS57+CS58,0)</f>
        <v>0</v>
      </c>
      <c r="CT61" s="9">
        <f>IF(94&lt;=核心参数输入!$B$9*4,CT52-CT53+CT46+CT55-CT56-CT57+CT58,0)</f>
        <v>0</v>
      </c>
      <c r="CU61" s="9">
        <f>IF(95&lt;=核心参数输入!$B$9*4,CU52-CU53+CU46+CU55-CU56-CU57+CU58,0)</f>
        <v>0</v>
      </c>
      <c r="CV61" s="9">
        <f>IF(96&lt;=核心参数输入!$B$9*4,CV52-CV53+CV46+CV55-CV56-CV57+CV58,0)</f>
        <v>0</v>
      </c>
      <c r="CW61" s="9">
        <f>IF(97&lt;=核心参数输入!$B$9*4,CW52-CW53+CW46+CW55-CW56-CW57+CW58,0)</f>
        <v>0</v>
      </c>
      <c r="CX61" s="9">
        <f>IF(98&lt;=核心参数输入!$B$9*4,CX52-CX53+CX46+CX55-CX56-CX57+CX58,0)</f>
        <v>0</v>
      </c>
      <c r="CY61" s="9">
        <f>IF(99&lt;=核心参数输入!$B$9*4,CY52-CY53+CY46+CY55-CY56-CY57+CY58,0)</f>
        <v>0</v>
      </c>
      <c r="CZ61" s="9">
        <f>IF(100&lt;=核心参数输入!$B$9*4,CZ52-CZ53+CZ46+CZ55-CZ56-CZ57+CZ58,0)</f>
        <v>0</v>
      </c>
      <c r="DA61" s="9">
        <f>IF(101&lt;=核心参数输入!$B$9*4,DA52-DA53+DA46+DA55-DA56-DA57+DA58,0)</f>
        <v>0</v>
      </c>
      <c r="DB61" s="9">
        <f>IF(102&lt;=核心参数输入!$B$9*4,DB52-DB53+DB46+DB55-DB56-DB57+DB58,0)</f>
        <v>0</v>
      </c>
      <c r="DC61" s="9">
        <f>IF(103&lt;=核心参数输入!$B$9*4,DC52-DC53+DC46+DC55-DC56-DC57+DC58,0)</f>
        <v>0</v>
      </c>
      <c r="DD61" s="9">
        <f>IF(104&lt;=核心参数输入!$B$9*4,DD52-DD53+DD46+DD55-DD56-DD57+DD58,0)</f>
        <v>0</v>
      </c>
      <c r="DE61" s="9">
        <f>IF(105&lt;=核心参数输入!$B$9*4,DE52-DE53+DE46+DE55-DE56-DE57+DE58,0)</f>
        <v>0</v>
      </c>
      <c r="DF61" s="9">
        <f>IF(106&lt;=核心参数输入!$B$9*4,DF52-DF53+DF46+DF55-DF56-DF57+DF58,0)</f>
        <v>0</v>
      </c>
      <c r="DG61" s="9">
        <f>IF(107&lt;=核心参数输入!$B$9*4,DG52-DG53+DG46+DG55-DG56-DG57+DG58,0)</f>
        <v>0</v>
      </c>
      <c r="DH61" s="9">
        <f>IF(108&lt;=核心参数输入!$B$9*4,DH52-DH53+DH46+DH55-DH56-DH57+DH58,0)</f>
        <v>0</v>
      </c>
      <c r="DI61" s="9">
        <f>IF(109&lt;=核心参数输入!$B$9*4,DI52-DI53+DI46+DI55-DI56-DI57+DI58,0)</f>
        <v>0</v>
      </c>
      <c r="DJ61" s="9">
        <f>IF(110&lt;=核心参数输入!$B$9*4,DJ52-DJ53+DJ46+DJ55-DJ56-DJ57+DJ58,0)</f>
        <v>0</v>
      </c>
      <c r="DK61" s="9">
        <f>IF(111&lt;=核心参数输入!$B$9*4,DK52-DK53+DK46+DK55-DK56-DK57+DK58,0)</f>
        <v>0</v>
      </c>
      <c r="DL61" s="9">
        <f>IF(112&lt;=核心参数输入!$B$9*4,DL52-DL53+DL46+DL55-DL56-DL57+DL58,0)</f>
        <v>0</v>
      </c>
      <c r="DM61" s="9">
        <f>IF(113&lt;=核心参数输入!$B$9*4,DM52-DM53+DM46+DM55-DM56-DM57+DM58,0)</f>
        <v>0</v>
      </c>
      <c r="DN61" s="9">
        <f>IF(114&lt;=核心参数输入!$B$9*4,DN52-DN53+DN46+DN55-DN56-DN57+DN58,0)</f>
        <v>0</v>
      </c>
      <c r="DO61" s="9">
        <f>IF(115&lt;=核心参数输入!$B$9*4,DO52-DO53+DO46+DO55-DO56-DO57+DO58,0)</f>
        <v>0</v>
      </c>
      <c r="DP61" s="9">
        <f>IF(116&lt;=核心参数输入!$B$9*4,DP52-DP53+DP46+DP55-DP56-DP57+DP58,0)</f>
        <v>0</v>
      </c>
      <c r="DQ61" s="9">
        <f>IF(117&lt;=核心参数输入!$B$9*4,DQ52-DQ53+DQ46+DQ55-DQ56-DQ57+DQ58,0)</f>
        <v>0</v>
      </c>
      <c r="DR61" s="9">
        <f>IF(118&lt;=核心参数输入!$B$9*4,DR52-DR53+DR46+DR55-DR56-DR57+DR58,0)</f>
        <v>0</v>
      </c>
      <c r="DS61" s="9">
        <f>IF(119&lt;=核心参数输入!$B$9*4,DS52-DS53+DS46+DS55-DS56-DS57+DS58,0)</f>
        <v>0</v>
      </c>
      <c r="DT61" s="9">
        <f>IF(120&lt;=核心参数输入!$B$9*4,DT52-DT53+DT46+DT55-DT56-DT57+DT58,0)</f>
        <v>0</v>
      </c>
    </row>
    <row r="62" spans="1:124" ht="21" customHeight="1">
      <c r="A62" s="8" t="s">
        <v>554</v>
      </c>
      <c r="B62" s="8" t="s">
        <v>39</v>
      </c>
      <c r="C62" s="8"/>
      <c r="D62" s="9">
        <f>IF(0&lt;=核心参数输入!$B$9*4,IF(ABS(D45)&lt;=0.000001,0,SIGN(D45)),0)</f>
        <v>-1</v>
      </c>
      <c r="E62" s="9">
        <f>IF(1&lt;=核心参数输入!$B$9*4,IF(ABS(E45)&lt;=0.000001,0,SIGN(E45)),0)</f>
        <v>-1</v>
      </c>
      <c r="F62" s="9">
        <f>IF(2&lt;=核心参数输入!$B$9*4,IF(ABS(F45)&lt;=0.000001,0,SIGN(F45)),0)</f>
        <v>-1</v>
      </c>
      <c r="G62" s="9">
        <f>IF(3&lt;=核心参数输入!$B$9*4,IF(ABS(G45)&lt;=0.000001,0,SIGN(G45)),0)</f>
        <v>-1</v>
      </c>
      <c r="H62" s="9">
        <f>IF(4&lt;=核心参数输入!$B$9*4,IF(ABS(H45)&lt;=0.000001,0,SIGN(H45)),0)</f>
        <v>-1</v>
      </c>
      <c r="I62" s="9">
        <f>IF(5&lt;=核心参数输入!$B$9*4,IF(ABS(I45)&lt;=0.000001,0,SIGN(I45)),0)</f>
        <v>-1</v>
      </c>
      <c r="J62" s="9">
        <f>IF(6&lt;=核心参数输入!$B$9*4,IF(ABS(J45)&lt;=0.000001,0,SIGN(J45)),0)</f>
        <v>-1</v>
      </c>
      <c r="K62" s="9">
        <f>IF(7&lt;=核心参数输入!$B$9*4,IF(ABS(K45)&lt;=0.000001,0,SIGN(K45)),0)</f>
        <v>-1</v>
      </c>
      <c r="L62" s="9">
        <f>IF(8&lt;=核心参数输入!$B$9*4,IF(ABS(L45)&lt;=0.000001,0,SIGN(L45)),0)</f>
        <v>-1</v>
      </c>
      <c r="M62" s="9">
        <f>IF(9&lt;=核心参数输入!$B$9*4,IF(ABS(M45)&lt;=0.000001,0,SIGN(M45)),0)</f>
        <v>-1</v>
      </c>
      <c r="N62" s="9">
        <f>IF(10&lt;=核心参数输入!$B$9*4,IF(ABS(N45)&lt;=0.000001,0,SIGN(N45)),0)</f>
        <v>-1</v>
      </c>
      <c r="O62" s="9">
        <f>IF(11&lt;=核心参数输入!$B$9*4,IF(ABS(O45)&lt;=0.000001,0,SIGN(O45)),0)</f>
        <v>-1</v>
      </c>
      <c r="P62" s="9">
        <f>IF(12&lt;=核心参数输入!$B$9*4,IF(ABS(P45)&lt;=0.000001,0,SIGN(P45)),0)</f>
        <v>-1</v>
      </c>
      <c r="Q62" s="9">
        <f>IF(13&lt;=核心参数输入!$B$9*4,IF(ABS(Q45)&lt;=0.000001,0,SIGN(Q45)),0)</f>
        <v>1</v>
      </c>
      <c r="R62" s="9">
        <f>IF(14&lt;=核心参数输入!$B$9*4,IF(ABS(R45)&lt;=0.000001,0,SIGN(R45)),0)</f>
        <v>1</v>
      </c>
      <c r="S62" s="9">
        <f>IF(15&lt;=核心参数输入!$B$9*4,IF(ABS(S45)&lt;=0.000001,0,SIGN(S45)),0)</f>
        <v>1</v>
      </c>
      <c r="T62" s="9">
        <f>IF(16&lt;=核心参数输入!$B$9*4,IF(ABS(T45)&lt;=0.000001,0,SIGN(T45)),0)</f>
        <v>1</v>
      </c>
      <c r="U62" s="9">
        <f>IF(17&lt;=核心参数输入!$B$9*4,IF(ABS(U45)&lt;=0.000001,0,SIGN(U45)),0)</f>
        <v>1</v>
      </c>
      <c r="V62" s="9">
        <f>IF(18&lt;=核心参数输入!$B$9*4,IF(ABS(V45)&lt;=0.000001,0,SIGN(V45)),0)</f>
        <v>1</v>
      </c>
      <c r="W62" s="9">
        <f>IF(19&lt;=核心参数输入!$B$9*4,IF(ABS(W45)&lt;=0.000001,0,SIGN(W45)),0)</f>
        <v>1</v>
      </c>
      <c r="X62" s="9">
        <f>IF(20&lt;=核心参数输入!$B$9*4,IF(ABS(X45)&lt;=0.000001,0,SIGN(X45)),0)</f>
        <v>1</v>
      </c>
      <c r="Y62" s="9">
        <f>IF(21&lt;=核心参数输入!$B$9*4,IF(ABS(Y45)&lt;=0.000001,0,SIGN(Y45)),0)</f>
        <v>1</v>
      </c>
      <c r="Z62" s="9">
        <f>IF(22&lt;=核心参数输入!$B$9*4,IF(ABS(Z45)&lt;=0.000001,0,SIGN(Z45)),0)</f>
        <v>1</v>
      </c>
      <c r="AA62" s="9">
        <f>IF(23&lt;=核心参数输入!$B$9*4,IF(ABS(AA45)&lt;=0.000001,0,SIGN(AA45)),0)</f>
        <v>1</v>
      </c>
      <c r="AB62" s="9">
        <f>IF(24&lt;=核心参数输入!$B$9*4,IF(ABS(AB45)&lt;=0.000001,0,SIGN(AB45)),0)</f>
        <v>1</v>
      </c>
      <c r="AC62" s="9">
        <f>IF(25&lt;=核心参数输入!$B$9*4,IF(ABS(AC45)&lt;=0.000001,0,SIGN(AC45)),0)</f>
        <v>1</v>
      </c>
      <c r="AD62" s="9">
        <f>IF(26&lt;=核心参数输入!$B$9*4,IF(ABS(AD45)&lt;=0.000001,0,SIGN(AD45)),0)</f>
        <v>1</v>
      </c>
      <c r="AE62" s="9">
        <f>IF(27&lt;=核心参数输入!$B$9*4,IF(ABS(AE45)&lt;=0.000001,0,SIGN(AE45)),0)</f>
        <v>1</v>
      </c>
      <c r="AF62" s="9">
        <f>IF(28&lt;=核心参数输入!$B$9*4,IF(ABS(AF45)&lt;=0.000001,0,SIGN(AF45)),0)</f>
        <v>1</v>
      </c>
      <c r="AG62" s="9">
        <f>IF(29&lt;=核心参数输入!$B$9*4,IF(ABS(AG45)&lt;=0.000001,0,SIGN(AG45)),0)</f>
        <v>1</v>
      </c>
      <c r="AH62" s="9">
        <f>IF(30&lt;=核心参数输入!$B$9*4,IF(ABS(AH45)&lt;=0.000001,0,SIGN(AH45)),0)</f>
        <v>1</v>
      </c>
      <c r="AI62" s="9">
        <f>IF(31&lt;=核心参数输入!$B$9*4,IF(ABS(AI45)&lt;=0.000001,0,SIGN(AI45)),0)</f>
        <v>1</v>
      </c>
      <c r="AJ62" s="9">
        <f>IF(32&lt;=核心参数输入!$B$9*4,IF(ABS(AJ45)&lt;=0.000001,0,SIGN(AJ45)),0)</f>
        <v>1</v>
      </c>
      <c r="AK62" s="9">
        <f>IF(33&lt;=核心参数输入!$B$9*4,IF(ABS(AK45)&lt;=0.000001,0,SIGN(AK45)),0)</f>
        <v>1</v>
      </c>
      <c r="AL62" s="9">
        <f>IF(34&lt;=核心参数输入!$B$9*4,IF(ABS(AL45)&lt;=0.000001,0,SIGN(AL45)),0)</f>
        <v>1</v>
      </c>
      <c r="AM62" s="9">
        <f>IF(35&lt;=核心参数输入!$B$9*4,IF(ABS(AM45)&lt;=0.000001,0,SIGN(AM45)),0)</f>
        <v>1</v>
      </c>
      <c r="AN62" s="9">
        <f>IF(36&lt;=核心参数输入!$B$9*4,IF(ABS(AN45)&lt;=0.000001,0,SIGN(AN45)),0)</f>
        <v>1</v>
      </c>
      <c r="AO62" s="9">
        <f>IF(37&lt;=核心参数输入!$B$9*4,IF(ABS(AO45)&lt;=0.000001,0,SIGN(AO45)),0)</f>
        <v>1</v>
      </c>
      <c r="AP62" s="9">
        <f>IF(38&lt;=核心参数输入!$B$9*4,IF(ABS(AP45)&lt;=0.000001,0,SIGN(AP45)),0)</f>
        <v>1</v>
      </c>
      <c r="AQ62" s="9">
        <f>IF(39&lt;=核心参数输入!$B$9*4,IF(ABS(AQ45)&lt;=0.000001,0,SIGN(AQ45)),0)</f>
        <v>1</v>
      </c>
      <c r="AR62" s="9">
        <f>IF(40&lt;=核心参数输入!$B$9*4,IF(ABS(AR45)&lt;=0.000001,0,SIGN(AR45)),0)</f>
        <v>1</v>
      </c>
      <c r="AS62" s="9">
        <f>IF(41&lt;=核心参数输入!$B$9*4,IF(ABS(AS45)&lt;=0.000001,0,SIGN(AS45)),0)</f>
        <v>1</v>
      </c>
      <c r="AT62" s="9">
        <f>IF(42&lt;=核心参数输入!$B$9*4,IF(ABS(AT45)&lt;=0.000001,0,SIGN(AT45)),0)</f>
        <v>1</v>
      </c>
      <c r="AU62" s="9">
        <f>IF(43&lt;=核心参数输入!$B$9*4,IF(ABS(AU45)&lt;=0.000001,0,SIGN(AU45)),0)</f>
        <v>1</v>
      </c>
      <c r="AV62" s="9">
        <f>IF(44&lt;=核心参数输入!$B$9*4,IF(ABS(AV45)&lt;=0.000001,0,SIGN(AV45)),0)</f>
        <v>1</v>
      </c>
      <c r="AW62" s="9">
        <f>IF(45&lt;=核心参数输入!$B$9*4,IF(ABS(AW45)&lt;=0.000001,0,SIGN(AW45)),0)</f>
        <v>1</v>
      </c>
      <c r="AX62" s="9">
        <f>IF(46&lt;=核心参数输入!$B$9*4,IF(ABS(AX45)&lt;=0.000001,0,SIGN(AX45)),0)</f>
        <v>1</v>
      </c>
      <c r="AY62" s="9">
        <f>IF(47&lt;=核心参数输入!$B$9*4,IF(ABS(AY45)&lt;=0.000001,0,SIGN(AY45)),0)</f>
        <v>1</v>
      </c>
      <c r="AZ62" s="9">
        <f>IF(48&lt;=核心参数输入!$B$9*4,IF(ABS(AZ45)&lt;=0.000001,0,SIGN(AZ45)),0)</f>
        <v>1</v>
      </c>
      <c r="BA62" s="9">
        <f>IF(49&lt;=核心参数输入!$B$9*4,IF(ABS(BA45)&lt;=0.000001,0,SIGN(BA45)),0)</f>
        <v>1</v>
      </c>
      <c r="BB62" s="9">
        <f>IF(50&lt;=核心参数输入!$B$9*4,IF(ABS(BB45)&lt;=0.000001,0,SIGN(BB45)),0)</f>
        <v>1</v>
      </c>
      <c r="BC62" s="9">
        <f>IF(51&lt;=核心参数输入!$B$9*4,IF(ABS(BC45)&lt;=0.000001,0,SIGN(BC45)),0)</f>
        <v>1</v>
      </c>
      <c r="BD62" s="9">
        <f>IF(52&lt;=核心参数输入!$B$9*4,IF(ABS(BD45)&lt;=0.000001,0,SIGN(BD45)),0)</f>
        <v>1</v>
      </c>
      <c r="BE62" s="9">
        <f>IF(53&lt;=核心参数输入!$B$9*4,IF(ABS(BE45)&lt;=0.000001,0,SIGN(BE45)),0)</f>
        <v>1</v>
      </c>
      <c r="BF62" s="9">
        <f>IF(54&lt;=核心参数输入!$B$9*4,IF(ABS(BF45)&lt;=0.000001,0,SIGN(BF45)),0)</f>
        <v>1</v>
      </c>
      <c r="BG62" s="9">
        <f>IF(55&lt;=核心参数输入!$B$9*4,IF(ABS(BG45)&lt;=0.000001,0,SIGN(BG45)),0)</f>
        <v>1</v>
      </c>
      <c r="BH62" s="9">
        <f>IF(56&lt;=核心参数输入!$B$9*4,IF(ABS(BH45)&lt;=0.000001,0,SIGN(BH45)),0)</f>
        <v>1</v>
      </c>
      <c r="BI62" s="9">
        <f>IF(57&lt;=核心参数输入!$B$9*4,IF(ABS(BI45)&lt;=0.000001,0,SIGN(BI45)),0)</f>
        <v>1</v>
      </c>
      <c r="BJ62" s="9">
        <f>IF(58&lt;=核心参数输入!$B$9*4,IF(ABS(BJ45)&lt;=0.000001,0,SIGN(BJ45)),0)</f>
        <v>1</v>
      </c>
      <c r="BK62" s="9">
        <f>IF(59&lt;=核心参数输入!$B$9*4,IF(ABS(BK45)&lt;=0.000001,0,SIGN(BK45)),0)</f>
        <v>1</v>
      </c>
      <c r="BL62" s="9">
        <f>IF(60&lt;=核心参数输入!$B$9*4,IF(ABS(BL45)&lt;=0.000001,0,SIGN(BL45)),0)</f>
        <v>1</v>
      </c>
      <c r="BM62" s="9">
        <f>IF(61&lt;=核心参数输入!$B$9*4,IF(ABS(BM45)&lt;=0.000001,0,SIGN(BM45)),0)</f>
        <v>1</v>
      </c>
      <c r="BN62" s="9">
        <f>IF(62&lt;=核心参数输入!$B$9*4,IF(ABS(BN45)&lt;=0.000001,0,SIGN(BN45)),0)</f>
        <v>1</v>
      </c>
      <c r="BO62" s="9">
        <f>IF(63&lt;=核心参数输入!$B$9*4,IF(ABS(BO45)&lt;=0.000001,0,SIGN(BO45)),0)</f>
        <v>1</v>
      </c>
      <c r="BP62" s="9">
        <f>IF(64&lt;=核心参数输入!$B$9*4,IF(ABS(BP45)&lt;=0.000001,0,SIGN(BP45)),0)</f>
        <v>1</v>
      </c>
      <c r="BQ62" s="9">
        <f>IF(65&lt;=核心参数输入!$B$9*4,IF(ABS(BQ45)&lt;=0.000001,0,SIGN(BQ45)),0)</f>
        <v>1</v>
      </c>
      <c r="BR62" s="9">
        <f>IF(66&lt;=核心参数输入!$B$9*4,IF(ABS(BR45)&lt;=0.000001,0,SIGN(BR45)),0)</f>
        <v>1</v>
      </c>
      <c r="BS62" s="9">
        <f>IF(67&lt;=核心参数输入!$B$9*4,IF(ABS(BS45)&lt;=0.000001,0,SIGN(BS45)),0)</f>
        <v>1</v>
      </c>
      <c r="BT62" s="9">
        <f>IF(68&lt;=核心参数输入!$B$9*4,IF(ABS(BT45)&lt;=0.000001,0,SIGN(BT45)),0)</f>
        <v>1</v>
      </c>
      <c r="BU62" s="9">
        <f>IF(69&lt;=核心参数输入!$B$9*4,IF(ABS(BU45)&lt;=0.000001,0,SIGN(BU45)),0)</f>
        <v>1</v>
      </c>
      <c r="BV62" s="9">
        <f>IF(70&lt;=核心参数输入!$B$9*4,IF(ABS(BV45)&lt;=0.000001,0,SIGN(BV45)),0)</f>
        <v>1</v>
      </c>
      <c r="BW62" s="9">
        <f>IF(71&lt;=核心参数输入!$B$9*4,IF(ABS(BW45)&lt;=0.000001,0,SIGN(BW45)),0)</f>
        <v>1</v>
      </c>
      <c r="BX62" s="9">
        <f>IF(72&lt;=核心参数输入!$B$9*4,IF(ABS(BX45)&lt;=0.000001,0,SIGN(BX45)),0)</f>
        <v>1</v>
      </c>
      <c r="BY62" s="9">
        <f>IF(73&lt;=核心参数输入!$B$9*4,IF(ABS(BY45)&lt;=0.000001,0,SIGN(BY45)),0)</f>
        <v>1</v>
      </c>
      <c r="BZ62" s="9">
        <f>IF(74&lt;=核心参数输入!$B$9*4,IF(ABS(BZ45)&lt;=0.000001,0,SIGN(BZ45)),0)</f>
        <v>1</v>
      </c>
      <c r="CA62" s="9">
        <f>IF(75&lt;=核心参数输入!$B$9*4,IF(ABS(CA45)&lt;=0.000001,0,SIGN(CA45)),0)</f>
        <v>1</v>
      </c>
      <c r="CB62" s="9">
        <f>IF(76&lt;=核心参数输入!$B$9*4,IF(ABS(CB45)&lt;=0.000001,0,SIGN(CB45)),0)</f>
        <v>1</v>
      </c>
      <c r="CC62" s="9">
        <f>IF(77&lt;=核心参数输入!$B$9*4,IF(ABS(CC45)&lt;=0.000001,0,SIGN(CC45)),0)</f>
        <v>1</v>
      </c>
      <c r="CD62" s="9">
        <f>IF(78&lt;=核心参数输入!$B$9*4,IF(ABS(CD45)&lt;=0.000001,0,SIGN(CD45)),0)</f>
        <v>1</v>
      </c>
      <c r="CE62" s="9">
        <f>IF(79&lt;=核心参数输入!$B$9*4,IF(ABS(CE45)&lt;=0.000001,0,SIGN(CE45)),0)</f>
        <v>1</v>
      </c>
      <c r="CF62" s="9">
        <f>IF(80&lt;=核心参数输入!$B$9*4,IF(ABS(CF45)&lt;=0.000001,0,SIGN(CF45)),0)</f>
        <v>1</v>
      </c>
      <c r="CG62" s="9">
        <f>IF(81&lt;=核心参数输入!$B$9*4,IF(ABS(CG45)&lt;=0.000001,0,SIGN(CG45)),0)</f>
        <v>0</v>
      </c>
      <c r="CH62" s="9">
        <f>IF(82&lt;=核心参数输入!$B$9*4,IF(ABS(CH45)&lt;=0.000001,0,SIGN(CH45)),0)</f>
        <v>0</v>
      </c>
      <c r="CI62" s="9">
        <f>IF(83&lt;=核心参数输入!$B$9*4,IF(ABS(CI45)&lt;=0.000001,0,SIGN(CI45)),0)</f>
        <v>0</v>
      </c>
      <c r="CJ62" s="9">
        <f>IF(84&lt;=核心参数输入!$B$9*4,IF(ABS(CJ45)&lt;=0.000001,0,SIGN(CJ45)),0)</f>
        <v>0</v>
      </c>
      <c r="CK62" s="9">
        <f>IF(85&lt;=核心参数输入!$B$9*4,IF(ABS(CK45)&lt;=0.000001,0,SIGN(CK45)),0)</f>
        <v>0</v>
      </c>
      <c r="CL62" s="9">
        <f>IF(86&lt;=核心参数输入!$B$9*4,IF(ABS(CL45)&lt;=0.000001,0,SIGN(CL45)),0)</f>
        <v>0</v>
      </c>
      <c r="CM62" s="9">
        <f>IF(87&lt;=核心参数输入!$B$9*4,IF(ABS(CM45)&lt;=0.000001,0,SIGN(CM45)),0)</f>
        <v>0</v>
      </c>
      <c r="CN62" s="9">
        <f>IF(88&lt;=核心参数输入!$B$9*4,IF(ABS(CN45)&lt;=0.000001,0,SIGN(CN45)),0)</f>
        <v>0</v>
      </c>
      <c r="CO62" s="9">
        <f>IF(89&lt;=核心参数输入!$B$9*4,IF(ABS(CO45)&lt;=0.000001,0,SIGN(CO45)),0)</f>
        <v>0</v>
      </c>
      <c r="CP62" s="9">
        <f>IF(90&lt;=核心参数输入!$B$9*4,IF(ABS(CP45)&lt;=0.000001,0,SIGN(CP45)),0)</f>
        <v>0</v>
      </c>
      <c r="CQ62" s="9">
        <f>IF(91&lt;=核心参数输入!$B$9*4,IF(ABS(CQ45)&lt;=0.000001,0,SIGN(CQ45)),0)</f>
        <v>0</v>
      </c>
      <c r="CR62" s="9">
        <f>IF(92&lt;=核心参数输入!$B$9*4,IF(ABS(CR45)&lt;=0.000001,0,SIGN(CR45)),0)</f>
        <v>0</v>
      </c>
      <c r="CS62" s="9">
        <f>IF(93&lt;=核心参数输入!$B$9*4,IF(ABS(CS45)&lt;=0.000001,0,SIGN(CS45)),0)</f>
        <v>0</v>
      </c>
      <c r="CT62" s="9">
        <f>IF(94&lt;=核心参数输入!$B$9*4,IF(ABS(CT45)&lt;=0.000001,0,SIGN(CT45)),0)</f>
        <v>0</v>
      </c>
      <c r="CU62" s="9">
        <f>IF(95&lt;=核心参数输入!$B$9*4,IF(ABS(CU45)&lt;=0.000001,0,SIGN(CU45)),0)</f>
        <v>0</v>
      </c>
      <c r="CV62" s="9">
        <f>IF(96&lt;=核心参数输入!$B$9*4,IF(ABS(CV45)&lt;=0.000001,0,SIGN(CV45)),0)</f>
        <v>0</v>
      </c>
      <c r="CW62" s="9">
        <f>IF(97&lt;=核心参数输入!$B$9*4,IF(ABS(CW45)&lt;=0.000001,0,SIGN(CW45)),0)</f>
        <v>0</v>
      </c>
      <c r="CX62" s="9">
        <f>IF(98&lt;=核心参数输入!$B$9*4,IF(ABS(CX45)&lt;=0.000001,0,SIGN(CX45)),0)</f>
        <v>0</v>
      </c>
      <c r="CY62" s="9">
        <f>IF(99&lt;=核心参数输入!$B$9*4,IF(ABS(CY45)&lt;=0.000001,0,SIGN(CY45)),0)</f>
        <v>0</v>
      </c>
      <c r="CZ62" s="9">
        <f>IF(100&lt;=核心参数输入!$B$9*4,IF(ABS(CZ45)&lt;=0.000001,0,SIGN(CZ45)),0)</f>
        <v>0</v>
      </c>
      <c r="DA62" s="9">
        <f>IF(101&lt;=核心参数输入!$B$9*4,IF(ABS(DA45)&lt;=0.000001,0,SIGN(DA45)),0)</f>
        <v>0</v>
      </c>
      <c r="DB62" s="9">
        <f>IF(102&lt;=核心参数输入!$B$9*4,IF(ABS(DB45)&lt;=0.000001,0,SIGN(DB45)),0)</f>
        <v>0</v>
      </c>
      <c r="DC62" s="9">
        <f>IF(103&lt;=核心参数输入!$B$9*4,IF(ABS(DC45)&lt;=0.000001,0,SIGN(DC45)),0)</f>
        <v>0</v>
      </c>
      <c r="DD62" s="9">
        <f>IF(104&lt;=核心参数输入!$B$9*4,IF(ABS(DD45)&lt;=0.000001,0,SIGN(DD45)),0)</f>
        <v>0</v>
      </c>
      <c r="DE62" s="9">
        <f>IF(105&lt;=核心参数输入!$B$9*4,IF(ABS(DE45)&lt;=0.000001,0,SIGN(DE45)),0)</f>
        <v>0</v>
      </c>
      <c r="DF62" s="9">
        <f>IF(106&lt;=核心参数输入!$B$9*4,IF(ABS(DF45)&lt;=0.000001,0,SIGN(DF45)),0)</f>
        <v>0</v>
      </c>
      <c r="DG62" s="9">
        <f>IF(107&lt;=核心参数输入!$B$9*4,IF(ABS(DG45)&lt;=0.000001,0,SIGN(DG45)),0)</f>
        <v>0</v>
      </c>
      <c r="DH62" s="9">
        <f>IF(108&lt;=核心参数输入!$B$9*4,IF(ABS(DH45)&lt;=0.000001,0,SIGN(DH45)),0)</f>
        <v>0</v>
      </c>
      <c r="DI62" s="9">
        <f>IF(109&lt;=核心参数输入!$B$9*4,IF(ABS(DI45)&lt;=0.000001,0,SIGN(DI45)),0)</f>
        <v>0</v>
      </c>
      <c r="DJ62" s="9">
        <f>IF(110&lt;=核心参数输入!$B$9*4,IF(ABS(DJ45)&lt;=0.000001,0,SIGN(DJ45)),0)</f>
        <v>0</v>
      </c>
      <c r="DK62" s="9">
        <f>IF(111&lt;=核心参数输入!$B$9*4,IF(ABS(DK45)&lt;=0.000001,0,SIGN(DK45)),0)</f>
        <v>0</v>
      </c>
      <c r="DL62" s="9">
        <f>IF(112&lt;=核心参数输入!$B$9*4,IF(ABS(DL45)&lt;=0.000001,0,SIGN(DL45)),0)</f>
        <v>0</v>
      </c>
      <c r="DM62" s="9">
        <f>IF(113&lt;=核心参数输入!$B$9*4,IF(ABS(DM45)&lt;=0.000001,0,SIGN(DM45)),0)</f>
        <v>0</v>
      </c>
      <c r="DN62" s="9">
        <f>IF(114&lt;=核心参数输入!$B$9*4,IF(ABS(DN45)&lt;=0.000001,0,SIGN(DN45)),0)</f>
        <v>0</v>
      </c>
      <c r="DO62" s="9">
        <f>IF(115&lt;=核心参数输入!$B$9*4,IF(ABS(DO45)&lt;=0.000001,0,SIGN(DO45)),0)</f>
        <v>0</v>
      </c>
      <c r="DP62" s="9">
        <f>IF(116&lt;=核心参数输入!$B$9*4,IF(ABS(DP45)&lt;=0.000001,0,SIGN(DP45)),0)</f>
        <v>0</v>
      </c>
      <c r="DQ62" s="9">
        <f>IF(117&lt;=核心参数输入!$B$9*4,IF(ABS(DQ45)&lt;=0.000001,0,SIGN(DQ45)),0)</f>
        <v>0</v>
      </c>
      <c r="DR62" s="9">
        <f>IF(118&lt;=核心参数输入!$B$9*4,IF(ABS(DR45)&lt;=0.000001,0,SIGN(DR45)),0)</f>
        <v>0</v>
      </c>
      <c r="DS62" s="9">
        <f>IF(119&lt;=核心参数输入!$B$9*4,IF(ABS(DS45)&lt;=0.000001,0,SIGN(DS45)),0)</f>
        <v>0</v>
      </c>
      <c r="DT62" s="9">
        <f>IF(120&lt;=核心参数输入!$B$9*4,IF(ABS(DT45)&lt;=0.000001,0,SIGN(DT45)),0)</f>
        <v>0</v>
      </c>
    </row>
    <row r="63" spans="1:124" ht="21" customHeight="1">
      <c r="A63" s="8" t="s">
        <v>555</v>
      </c>
      <c r="B63" s="8" t="s">
        <v>39</v>
      </c>
      <c r="C63" s="8"/>
      <c r="D63" s="9">
        <f>IF(0&lt;=核心参数输入!$B$9*4,IF(D62=0,0,D62),0)</f>
        <v>-1</v>
      </c>
      <c r="E63" s="9">
        <f>IF(1&lt;=核心参数输入!$B$9*4,IF(E62=0,季度现金流!D63,E62),0)</f>
        <v>-1</v>
      </c>
      <c r="F63" s="9">
        <f>IF(2&lt;=核心参数输入!$B$9*4,IF(F62=0,季度现金流!E63,F62),0)</f>
        <v>-1</v>
      </c>
      <c r="G63" s="9">
        <f>IF(3&lt;=核心参数输入!$B$9*4,IF(G62=0,季度现金流!F63,G62),0)</f>
        <v>-1</v>
      </c>
      <c r="H63" s="9">
        <f>IF(4&lt;=核心参数输入!$B$9*4,IF(H62=0,季度现金流!G63,H62),0)</f>
        <v>-1</v>
      </c>
      <c r="I63" s="9">
        <f>IF(5&lt;=核心参数输入!$B$9*4,IF(I62=0,季度现金流!H63,I62),0)</f>
        <v>-1</v>
      </c>
      <c r="J63" s="9">
        <f>IF(6&lt;=核心参数输入!$B$9*4,IF(J62=0,季度现金流!I63,J62),0)</f>
        <v>-1</v>
      </c>
      <c r="K63" s="9">
        <f>IF(7&lt;=核心参数输入!$B$9*4,IF(K62=0,季度现金流!J63,K62),0)</f>
        <v>-1</v>
      </c>
      <c r="L63" s="9">
        <f>IF(8&lt;=核心参数输入!$B$9*4,IF(L62=0,季度现金流!K63,L62),0)</f>
        <v>-1</v>
      </c>
      <c r="M63" s="9">
        <f>IF(9&lt;=核心参数输入!$B$9*4,IF(M62=0,季度现金流!L63,M62),0)</f>
        <v>-1</v>
      </c>
      <c r="N63" s="9">
        <f>IF(10&lt;=核心参数输入!$B$9*4,IF(N62=0,季度现金流!M63,N62),0)</f>
        <v>-1</v>
      </c>
      <c r="O63" s="9">
        <f>IF(11&lt;=核心参数输入!$B$9*4,IF(O62=0,季度现金流!N63,O62),0)</f>
        <v>-1</v>
      </c>
      <c r="P63" s="9">
        <f>IF(12&lt;=核心参数输入!$B$9*4,IF(P62=0,季度现金流!O63,P62),0)</f>
        <v>-1</v>
      </c>
      <c r="Q63" s="9">
        <f>IF(13&lt;=核心参数输入!$B$9*4,IF(Q62=0,季度现金流!P63,Q62),0)</f>
        <v>1</v>
      </c>
      <c r="R63" s="9">
        <f>IF(14&lt;=核心参数输入!$B$9*4,IF(R62=0,季度现金流!Q63,R62),0)</f>
        <v>1</v>
      </c>
      <c r="S63" s="9">
        <f>IF(15&lt;=核心参数输入!$B$9*4,IF(S62=0,季度现金流!R63,S62),0)</f>
        <v>1</v>
      </c>
      <c r="T63" s="9">
        <f>IF(16&lt;=核心参数输入!$B$9*4,IF(T62=0,季度现金流!S63,T62),0)</f>
        <v>1</v>
      </c>
      <c r="U63" s="9">
        <f>IF(17&lt;=核心参数输入!$B$9*4,IF(U62=0,季度现金流!T63,U62),0)</f>
        <v>1</v>
      </c>
      <c r="V63" s="9">
        <f>IF(18&lt;=核心参数输入!$B$9*4,IF(V62=0,季度现金流!U63,V62),0)</f>
        <v>1</v>
      </c>
      <c r="W63" s="9">
        <f>IF(19&lt;=核心参数输入!$B$9*4,IF(W62=0,季度现金流!V63,W62),0)</f>
        <v>1</v>
      </c>
      <c r="X63" s="9">
        <f>IF(20&lt;=核心参数输入!$B$9*4,IF(X62=0,季度现金流!W63,X62),0)</f>
        <v>1</v>
      </c>
      <c r="Y63" s="9">
        <f>IF(21&lt;=核心参数输入!$B$9*4,IF(Y62=0,季度现金流!X63,Y62),0)</f>
        <v>1</v>
      </c>
      <c r="Z63" s="9">
        <f>IF(22&lt;=核心参数输入!$B$9*4,IF(Z62=0,季度现金流!Y63,Z62),0)</f>
        <v>1</v>
      </c>
      <c r="AA63" s="9">
        <f>IF(23&lt;=核心参数输入!$B$9*4,IF(AA62=0,季度现金流!Z63,AA62),0)</f>
        <v>1</v>
      </c>
      <c r="AB63" s="9">
        <f>IF(24&lt;=核心参数输入!$B$9*4,IF(AB62=0,季度现金流!AA63,AB62),0)</f>
        <v>1</v>
      </c>
      <c r="AC63" s="9">
        <f>IF(25&lt;=核心参数输入!$B$9*4,IF(AC62=0,季度现金流!AB63,AC62),0)</f>
        <v>1</v>
      </c>
      <c r="AD63" s="9">
        <f>IF(26&lt;=核心参数输入!$B$9*4,IF(AD62=0,季度现金流!AC63,AD62),0)</f>
        <v>1</v>
      </c>
      <c r="AE63" s="9">
        <f>IF(27&lt;=核心参数输入!$B$9*4,IF(AE62=0,季度现金流!AD63,AE62),0)</f>
        <v>1</v>
      </c>
      <c r="AF63" s="9">
        <f>IF(28&lt;=核心参数输入!$B$9*4,IF(AF62=0,季度现金流!AE63,AF62),0)</f>
        <v>1</v>
      </c>
      <c r="AG63" s="9">
        <f>IF(29&lt;=核心参数输入!$B$9*4,IF(AG62=0,季度现金流!AF63,AG62),0)</f>
        <v>1</v>
      </c>
      <c r="AH63" s="9">
        <f>IF(30&lt;=核心参数输入!$B$9*4,IF(AH62=0,季度现金流!AG63,AH62),0)</f>
        <v>1</v>
      </c>
      <c r="AI63" s="9">
        <f>IF(31&lt;=核心参数输入!$B$9*4,IF(AI62=0,季度现金流!AH63,AI62),0)</f>
        <v>1</v>
      </c>
      <c r="AJ63" s="9">
        <f>IF(32&lt;=核心参数输入!$B$9*4,IF(AJ62=0,季度现金流!AI63,AJ62),0)</f>
        <v>1</v>
      </c>
      <c r="AK63" s="9">
        <f>IF(33&lt;=核心参数输入!$B$9*4,IF(AK62=0,季度现金流!AJ63,AK62),0)</f>
        <v>1</v>
      </c>
      <c r="AL63" s="9">
        <f>IF(34&lt;=核心参数输入!$B$9*4,IF(AL62=0,季度现金流!AK63,AL62),0)</f>
        <v>1</v>
      </c>
      <c r="AM63" s="9">
        <f>IF(35&lt;=核心参数输入!$B$9*4,IF(AM62=0,季度现金流!AL63,AM62),0)</f>
        <v>1</v>
      </c>
      <c r="AN63" s="9">
        <f>IF(36&lt;=核心参数输入!$B$9*4,IF(AN62=0,季度现金流!AM63,AN62),0)</f>
        <v>1</v>
      </c>
      <c r="AO63" s="9">
        <f>IF(37&lt;=核心参数输入!$B$9*4,IF(AO62=0,季度现金流!AN63,AO62),0)</f>
        <v>1</v>
      </c>
      <c r="AP63" s="9">
        <f>IF(38&lt;=核心参数输入!$B$9*4,IF(AP62=0,季度现金流!AO63,AP62),0)</f>
        <v>1</v>
      </c>
      <c r="AQ63" s="9">
        <f>IF(39&lt;=核心参数输入!$B$9*4,IF(AQ62=0,季度现金流!AP63,AQ62),0)</f>
        <v>1</v>
      </c>
      <c r="AR63" s="9">
        <f>IF(40&lt;=核心参数输入!$B$9*4,IF(AR62=0,季度现金流!AQ63,AR62),0)</f>
        <v>1</v>
      </c>
      <c r="AS63" s="9">
        <f>IF(41&lt;=核心参数输入!$B$9*4,IF(AS62=0,季度现金流!AR63,AS62),0)</f>
        <v>1</v>
      </c>
      <c r="AT63" s="9">
        <f>IF(42&lt;=核心参数输入!$B$9*4,IF(AT62=0,季度现金流!AS63,AT62),0)</f>
        <v>1</v>
      </c>
      <c r="AU63" s="9">
        <f>IF(43&lt;=核心参数输入!$B$9*4,IF(AU62=0,季度现金流!AT63,AU62),0)</f>
        <v>1</v>
      </c>
      <c r="AV63" s="9">
        <f>IF(44&lt;=核心参数输入!$B$9*4,IF(AV62=0,季度现金流!AU63,AV62),0)</f>
        <v>1</v>
      </c>
      <c r="AW63" s="9">
        <f>IF(45&lt;=核心参数输入!$B$9*4,IF(AW62=0,季度现金流!AV63,AW62),0)</f>
        <v>1</v>
      </c>
      <c r="AX63" s="9">
        <f>IF(46&lt;=核心参数输入!$B$9*4,IF(AX62=0,季度现金流!AW63,AX62),0)</f>
        <v>1</v>
      </c>
      <c r="AY63" s="9">
        <f>IF(47&lt;=核心参数输入!$B$9*4,IF(AY62=0,季度现金流!AX63,AY62),0)</f>
        <v>1</v>
      </c>
      <c r="AZ63" s="9">
        <f>IF(48&lt;=核心参数输入!$B$9*4,IF(AZ62=0,季度现金流!AY63,AZ62),0)</f>
        <v>1</v>
      </c>
      <c r="BA63" s="9">
        <f>IF(49&lt;=核心参数输入!$B$9*4,IF(BA62=0,季度现金流!AZ63,BA62),0)</f>
        <v>1</v>
      </c>
      <c r="BB63" s="9">
        <f>IF(50&lt;=核心参数输入!$B$9*4,IF(BB62=0,季度现金流!BA63,BB62),0)</f>
        <v>1</v>
      </c>
      <c r="BC63" s="9">
        <f>IF(51&lt;=核心参数输入!$B$9*4,IF(BC62=0,季度现金流!BB63,BC62),0)</f>
        <v>1</v>
      </c>
      <c r="BD63" s="9">
        <f>IF(52&lt;=核心参数输入!$B$9*4,IF(BD62=0,季度现金流!BC63,BD62),0)</f>
        <v>1</v>
      </c>
      <c r="BE63" s="9">
        <f>IF(53&lt;=核心参数输入!$B$9*4,IF(BE62=0,季度现金流!BD63,BE62),0)</f>
        <v>1</v>
      </c>
      <c r="BF63" s="9">
        <f>IF(54&lt;=核心参数输入!$B$9*4,IF(BF62=0,季度现金流!BE63,BF62),0)</f>
        <v>1</v>
      </c>
      <c r="BG63" s="9">
        <f>IF(55&lt;=核心参数输入!$B$9*4,IF(BG62=0,季度现金流!BF63,BG62),0)</f>
        <v>1</v>
      </c>
      <c r="BH63" s="9">
        <f>IF(56&lt;=核心参数输入!$B$9*4,IF(BH62=0,季度现金流!BG63,BH62),0)</f>
        <v>1</v>
      </c>
      <c r="BI63" s="9">
        <f>IF(57&lt;=核心参数输入!$B$9*4,IF(BI62=0,季度现金流!BH63,BI62),0)</f>
        <v>1</v>
      </c>
      <c r="BJ63" s="9">
        <f>IF(58&lt;=核心参数输入!$B$9*4,IF(BJ62=0,季度现金流!BI63,BJ62),0)</f>
        <v>1</v>
      </c>
      <c r="BK63" s="9">
        <f>IF(59&lt;=核心参数输入!$B$9*4,IF(BK62=0,季度现金流!BJ63,BK62),0)</f>
        <v>1</v>
      </c>
      <c r="BL63" s="9">
        <f>IF(60&lt;=核心参数输入!$B$9*4,IF(BL62=0,季度现金流!BK63,BL62),0)</f>
        <v>1</v>
      </c>
      <c r="BM63" s="9">
        <f>IF(61&lt;=核心参数输入!$B$9*4,IF(BM62=0,季度现金流!BL63,BM62),0)</f>
        <v>1</v>
      </c>
      <c r="BN63" s="9">
        <f>IF(62&lt;=核心参数输入!$B$9*4,IF(BN62=0,季度现金流!BM63,BN62),0)</f>
        <v>1</v>
      </c>
      <c r="BO63" s="9">
        <f>IF(63&lt;=核心参数输入!$B$9*4,IF(BO62=0,季度现金流!BN63,BO62),0)</f>
        <v>1</v>
      </c>
      <c r="BP63" s="9">
        <f>IF(64&lt;=核心参数输入!$B$9*4,IF(BP62=0,季度现金流!BO63,BP62),0)</f>
        <v>1</v>
      </c>
      <c r="BQ63" s="9">
        <f>IF(65&lt;=核心参数输入!$B$9*4,IF(BQ62=0,季度现金流!BP63,BQ62),0)</f>
        <v>1</v>
      </c>
      <c r="BR63" s="9">
        <f>IF(66&lt;=核心参数输入!$B$9*4,IF(BR62=0,季度现金流!BQ63,BR62),0)</f>
        <v>1</v>
      </c>
      <c r="BS63" s="9">
        <f>IF(67&lt;=核心参数输入!$B$9*4,IF(BS62=0,季度现金流!BR63,BS62),0)</f>
        <v>1</v>
      </c>
      <c r="BT63" s="9">
        <f>IF(68&lt;=核心参数输入!$B$9*4,IF(BT62=0,季度现金流!BS63,BT62),0)</f>
        <v>1</v>
      </c>
      <c r="BU63" s="9">
        <f>IF(69&lt;=核心参数输入!$B$9*4,IF(BU62=0,季度现金流!BT63,BU62),0)</f>
        <v>1</v>
      </c>
      <c r="BV63" s="9">
        <f>IF(70&lt;=核心参数输入!$B$9*4,IF(BV62=0,季度现金流!BU63,BV62),0)</f>
        <v>1</v>
      </c>
      <c r="BW63" s="9">
        <f>IF(71&lt;=核心参数输入!$B$9*4,IF(BW62=0,季度现金流!BV63,BW62),0)</f>
        <v>1</v>
      </c>
      <c r="BX63" s="9">
        <f>IF(72&lt;=核心参数输入!$B$9*4,IF(BX62=0,季度现金流!BW63,BX62),0)</f>
        <v>1</v>
      </c>
      <c r="BY63" s="9">
        <f>IF(73&lt;=核心参数输入!$B$9*4,IF(BY62=0,季度现金流!BX63,BY62),0)</f>
        <v>1</v>
      </c>
      <c r="BZ63" s="9">
        <f>IF(74&lt;=核心参数输入!$B$9*4,IF(BZ62=0,季度现金流!BY63,BZ62),0)</f>
        <v>1</v>
      </c>
      <c r="CA63" s="9">
        <f>IF(75&lt;=核心参数输入!$B$9*4,IF(CA62=0,季度现金流!BZ63,CA62),0)</f>
        <v>1</v>
      </c>
      <c r="CB63" s="9">
        <f>IF(76&lt;=核心参数输入!$B$9*4,IF(CB62=0,季度现金流!CA63,CB62),0)</f>
        <v>1</v>
      </c>
      <c r="CC63" s="9">
        <f>IF(77&lt;=核心参数输入!$B$9*4,IF(CC62=0,季度现金流!CB63,CC62),0)</f>
        <v>1</v>
      </c>
      <c r="CD63" s="9">
        <f>IF(78&lt;=核心参数输入!$B$9*4,IF(CD62=0,季度现金流!CC63,CD62),0)</f>
        <v>1</v>
      </c>
      <c r="CE63" s="9">
        <f>IF(79&lt;=核心参数输入!$B$9*4,IF(CE62=0,季度现金流!CD63,CE62),0)</f>
        <v>1</v>
      </c>
      <c r="CF63" s="9">
        <f>IF(80&lt;=核心参数输入!$B$9*4,IF(CF62=0,季度现金流!CE63,CF62),0)</f>
        <v>1</v>
      </c>
      <c r="CG63" s="9">
        <f>IF(81&lt;=核心参数输入!$B$9*4,IF(CG62=0,季度现金流!CF63,CG62),0)</f>
        <v>0</v>
      </c>
      <c r="CH63" s="9">
        <f>IF(82&lt;=核心参数输入!$B$9*4,IF(CH62=0,季度现金流!CG63,CH62),0)</f>
        <v>0</v>
      </c>
      <c r="CI63" s="9">
        <f>IF(83&lt;=核心参数输入!$B$9*4,IF(CI62=0,季度现金流!CH63,CI62),0)</f>
        <v>0</v>
      </c>
      <c r="CJ63" s="9">
        <f>IF(84&lt;=核心参数输入!$B$9*4,IF(CJ62=0,季度现金流!CI63,CJ62),0)</f>
        <v>0</v>
      </c>
      <c r="CK63" s="9">
        <f>IF(85&lt;=核心参数输入!$B$9*4,IF(CK62=0,季度现金流!CJ63,CK62),0)</f>
        <v>0</v>
      </c>
      <c r="CL63" s="9">
        <f>IF(86&lt;=核心参数输入!$B$9*4,IF(CL62=0,季度现金流!CK63,CL62),0)</f>
        <v>0</v>
      </c>
      <c r="CM63" s="9">
        <f>IF(87&lt;=核心参数输入!$B$9*4,IF(CM62=0,季度现金流!CL63,CM62),0)</f>
        <v>0</v>
      </c>
      <c r="CN63" s="9">
        <f>IF(88&lt;=核心参数输入!$B$9*4,IF(CN62=0,季度现金流!CM63,CN62),0)</f>
        <v>0</v>
      </c>
      <c r="CO63" s="9">
        <f>IF(89&lt;=核心参数输入!$B$9*4,IF(CO62=0,季度现金流!CN63,CO62),0)</f>
        <v>0</v>
      </c>
      <c r="CP63" s="9">
        <f>IF(90&lt;=核心参数输入!$B$9*4,IF(CP62=0,季度现金流!CO63,CP62),0)</f>
        <v>0</v>
      </c>
      <c r="CQ63" s="9">
        <f>IF(91&lt;=核心参数输入!$B$9*4,IF(CQ62=0,季度现金流!CP63,CQ62),0)</f>
        <v>0</v>
      </c>
      <c r="CR63" s="9">
        <f>IF(92&lt;=核心参数输入!$B$9*4,IF(CR62=0,季度现金流!CQ63,CR62),0)</f>
        <v>0</v>
      </c>
      <c r="CS63" s="9">
        <f>IF(93&lt;=核心参数输入!$B$9*4,IF(CS62=0,季度现金流!CR63,CS62),0)</f>
        <v>0</v>
      </c>
      <c r="CT63" s="9">
        <f>IF(94&lt;=核心参数输入!$B$9*4,IF(CT62=0,季度现金流!CS63,CT62),0)</f>
        <v>0</v>
      </c>
      <c r="CU63" s="9">
        <f>IF(95&lt;=核心参数输入!$B$9*4,IF(CU62=0,季度现金流!CT63,CU62),0)</f>
        <v>0</v>
      </c>
      <c r="CV63" s="9">
        <f>IF(96&lt;=核心参数输入!$B$9*4,IF(CV62=0,季度现金流!CU63,CV62),0)</f>
        <v>0</v>
      </c>
      <c r="CW63" s="9">
        <f>IF(97&lt;=核心参数输入!$B$9*4,IF(CW62=0,季度现金流!CV63,CW62),0)</f>
        <v>0</v>
      </c>
      <c r="CX63" s="9">
        <f>IF(98&lt;=核心参数输入!$B$9*4,IF(CX62=0,季度现金流!CW63,CX62),0)</f>
        <v>0</v>
      </c>
      <c r="CY63" s="9">
        <f>IF(99&lt;=核心参数输入!$B$9*4,IF(CY62=0,季度现金流!CX63,CY62),0)</f>
        <v>0</v>
      </c>
      <c r="CZ63" s="9">
        <f>IF(100&lt;=核心参数输入!$B$9*4,IF(CZ62=0,季度现金流!CY63,CZ62),0)</f>
        <v>0</v>
      </c>
      <c r="DA63" s="9">
        <f>IF(101&lt;=核心参数输入!$B$9*4,IF(DA62=0,季度现金流!CZ63,DA62),0)</f>
        <v>0</v>
      </c>
      <c r="DB63" s="9">
        <f>IF(102&lt;=核心参数输入!$B$9*4,IF(DB62=0,季度现金流!DA63,DB62),0)</f>
        <v>0</v>
      </c>
      <c r="DC63" s="9">
        <f>IF(103&lt;=核心参数输入!$B$9*4,IF(DC62=0,季度现金流!DB63,DC62),0)</f>
        <v>0</v>
      </c>
      <c r="DD63" s="9">
        <f>IF(104&lt;=核心参数输入!$B$9*4,IF(DD62=0,季度现金流!DC63,DD62),0)</f>
        <v>0</v>
      </c>
      <c r="DE63" s="9">
        <f>IF(105&lt;=核心参数输入!$B$9*4,IF(DE62=0,季度现金流!DD63,DE62),0)</f>
        <v>0</v>
      </c>
      <c r="DF63" s="9">
        <f>IF(106&lt;=核心参数输入!$B$9*4,IF(DF62=0,季度现金流!DE63,DF62),0)</f>
        <v>0</v>
      </c>
      <c r="DG63" s="9">
        <f>IF(107&lt;=核心参数输入!$B$9*4,IF(DG62=0,季度现金流!DF63,DG62),0)</f>
        <v>0</v>
      </c>
      <c r="DH63" s="9">
        <f>IF(108&lt;=核心参数输入!$B$9*4,IF(DH62=0,季度现金流!DG63,DH62),0)</f>
        <v>0</v>
      </c>
      <c r="DI63" s="9">
        <f>IF(109&lt;=核心参数输入!$B$9*4,IF(DI62=0,季度现金流!DH63,DI62),0)</f>
        <v>0</v>
      </c>
      <c r="DJ63" s="9">
        <f>IF(110&lt;=核心参数输入!$B$9*4,IF(DJ62=0,季度现金流!DI63,DJ62),0)</f>
        <v>0</v>
      </c>
      <c r="DK63" s="9">
        <f>IF(111&lt;=核心参数输入!$B$9*4,IF(DK62=0,季度现金流!DJ63,DK62),0)</f>
        <v>0</v>
      </c>
      <c r="DL63" s="9">
        <f>IF(112&lt;=核心参数输入!$B$9*4,IF(DL62=0,季度现金流!DK63,DL62),0)</f>
        <v>0</v>
      </c>
      <c r="DM63" s="9">
        <f>IF(113&lt;=核心参数输入!$B$9*4,IF(DM62=0,季度现金流!DL63,DM62),0)</f>
        <v>0</v>
      </c>
      <c r="DN63" s="9">
        <f>IF(114&lt;=核心参数输入!$B$9*4,IF(DN62=0,季度现金流!DM63,DN62),0)</f>
        <v>0</v>
      </c>
      <c r="DO63" s="9">
        <f>IF(115&lt;=核心参数输入!$B$9*4,IF(DO62=0,季度现金流!DN63,DO62),0)</f>
        <v>0</v>
      </c>
      <c r="DP63" s="9">
        <f>IF(116&lt;=核心参数输入!$B$9*4,IF(DP62=0,季度现金流!DO63,DP62),0)</f>
        <v>0</v>
      </c>
      <c r="DQ63" s="9">
        <f>IF(117&lt;=核心参数输入!$B$9*4,IF(DQ62=0,季度现金流!DP63,DQ62),0)</f>
        <v>0</v>
      </c>
      <c r="DR63" s="9">
        <f>IF(118&lt;=核心参数输入!$B$9*4,IF(DR62=0,季度现金流!DQ63,DR62),0)</f>
        <v>0</v>
      </c>
      <c r="DS63" s="9">
        <f>IF(119&lt;=核心参数输入!$B$9*4,IF(DS62=0,季度现金流!DR63,DS62),0)</f>
        <v>0</v>
      </c>
      <c r="DT63" s="9">
        <f>IF(120&lt;=核心参数输入!$B$9*4,IF(DT62=0,季度现金流!DS63,DT62),0)</f>
        <v>0</v>
      </c>
    </row>
    <row r="64" spans="1:124" ht="21" customHeight="1">
      <c r="A64" s="8" t="s">
        <v>556</v>
      </c>
      <c r="B64" s="8" t="s">
        <v>39</v>
      </c>
      <c r="C64" s="8"/>
      <c r="D64" s="9">
        <f>IF(0&lt;=核心参数输入!$B$9*4,0,0)</f>
        <v>0</v>
      </c>
      <c r="E64" s="9">
        <f>IF(1&lt;=核心参数输入!$B$9*4,IF(AND(E62&lt;&gt;0,季度现金流!D63&lt;&gt;0,E62&lt;&gt;季度现金流!D63),1,0),0)</f>
        <v>0</v>
      </c>
      <c r="F64" s="9">
        <f>IF(2&lt;=核心参数输入!$B$9*4,IF(AND(F62&lt;&gt;0,季度现金流!E63&lt;&gt;0,F62&lt;&gt;季度现金流!E63),1,0),0)</f>
        <v>0</v>
      </c>
      <c r="G64" s="9">
        <f>IF(3&lt;=核心参数输入!$B$9*4,IF(AND(G62&lt;&gt;0,季度现金流!F63&lt;&gt;0,G62&lt;&gt;季度现金流!F63),1,0),0)</f>
        <v>0</v>
      </c>
      <c r="H64" s="9">
        <f>IF(4&lt;=核心参数输入!$B$9*4,IF(AND(H62&lt;&gt;0,季度现金流!G63&lt;&gt;0,H62&lt;&gt;季度现金流!G63),1,0),0)</f>
        <v>0</v>
      </c>
      <c r="I64" s="9">
        <f>IF(5&lt;=核心参数输入!$B$9*4,IF(AND(I62&lt;&gt;0,季度现金流!H63&lt;&gt;0,I62&lt;&gt;季度现金流!H63),1,0),0)</f>
        <v>0</v>
      </c>
      <c r="J64" s="9">
        <f>IF(6&lt;=核心参数输入!$B$9*4,IF(AND(J62&lt;&gt;0,季度现金流!I63&lt;&gt;0,J62&lt;&gt;季度现金流!I63),1,0),0)</f>
        <v>0</v>
      </c>
      <c r="K64" s="9">
        <f>IF(7&lt;=核心参数输入!$B$9*4,IF(AND(K62&lt;&gt;0,季度现金流!J63&lt;&gt;0,K62&lt;&gt;季度现金流!J63),1,0),0)</f>
        <v>0</v>
      </c>
      <c r="L64" s="9">
        <f>IF(8&lt;=核心参数输入!$B$9*4,IF(AND(L62&lt;&gt;0,季度现金流!K63&lt;&gt;0,L62&lt;&gt;季度现金流!K63),1,0),0)</f>
        <v>0</v>
      </c>
      <c r="M64" s="9">
        <f>IF(9&lt;=核心参数输入!$B$9*4,IF(AND(M62&lt;&gt;0,季度现金流!L63&lt;&gt;0,M62&lt;&gt;季度现金流!L63),1,0),0)</f>
        <v>0</v>
      </c>
      <c r="N64" s="9">
        <f>IF(10&lt;=核心参数输入!$B$9*4,IF(AND(N62&lt;&gt;0,季度现金流!M63&lt;&gt;0,N62&lt;&gt;季度现金流!M63),1,0),0)</f>
        <v>0</v>
      </c>
      <c r="O64" s="9">
        <f>IF(11&lt;=核心参数输入!$B$9*4,IF(AND(O62&lt;&gt;0,季度现金流!N63&lt;&gt;0,O62&lt;&gt;季度现金流!N63),1,0),0)</f>
        <v>0</v>
      </c>
      <c r="P64" s="9">
        <f>IF(12&lt;=核心参数输入!$B$9*4,IF(AND(P62&lt;&gt;0,季度现金流!O63&lt;&gt;0,P62&lt;&gt;季度现金流!O63),1,0),0)</f>
        <v>0</v>
      </c>
      <c r="Q64" s="9">
        <f>IF(13&lt;=核心参数输入!$B$9*4,IF(AND(Q62&lt;&gt;0,季度现金流!P63&lt;&gt;0,Q62&lt;&gt;季度现金流!P63),1,0),0)</f>
        <v>1</v>
      </c>
      <c r="R64" s="9">
        <f>IF(14&lt;=核心参数输入!$B$9*4,IF(AND(R62&lt;&gt;0,季度现金流!Q63&lt;&gt;0,R62&lt;&gt;季度现金流!Q63),1,0),0)</f>
        <v>0</v>
      </c>
      <c r="S64" s="9">
        <f>IF(15&lt;=核心参数输入!$B$9*4,IF(AND(S62&lt;&gt;0,季度现金流!R63&lt;&gt;0,S62&lt;&gt;季度现金流!R63),1,0),0)</f>
        <v>0</v>
      </c>
      <c r="T64" s="9">
        <f>IF(16&lt;=核心参数输入!$B$9*4,IF(AND(T62&lt;&gt;0,季度现金流!S63&lt;&gt;0,T62&lt;&gt;季度现金流!S63),1,0),0)</f>
        <v>0</v>
      </c>
      <c r="U64" s="9">
        <f>IF(17&lt;=核心参数输入!$B$9*4,IF(AND(U62&lt;&gt;0,季度现金流!T63&lt;&gt;0,U62&lt;&gt;季度现金流!T63),1,0),0)</f>
        <v>0</v>
      </c>
      <c r="V64" s="9">
        <f>IF(18&lt;=核心参数输入!$B$9*4,IF(AND(V62&lt;&gt;0,季度现金流!U63&lt;&gt;0,V62&lt;&gt;季度现金流!U63),1,0),0)</f>
        <v>0</v>
      </c>
      <c r="W64" s="9">
        <f>IF(19&lt;=核心参数输入!$B$9*4,IF(AND(W62&lt;&gt;0,季度现金流!V63&lt;&gt;0,W62&lt;&gt;季度现金流!V63),1,0),0)</f>
        <v>0</v>
      </c>
      <c r="X64" s="9">
        <f>IF(20&lt;=核心参数输入!$B$9*4,IF(AND(X62&lt;&gt;0,季度现金流!W63&lt;&gt;0,X62&lt;&gt;季度现金流!W63),1,0),0)</f>
        <v>0</v>
      </c>
      <c r="Y64" s="9">
        <f>IF(21&lt;=核心参数输入!$B$9*4,IF(AND(Y62&lt;&gt;0,季度现金流!X63&lt;&gt;0,Y62&lt;&gt;季度现金流!X63),1,0),0)</f>
        <v>0</v>
      </c>
      <c r="Z64" s="9">
        <f>IF(22&lt;=核心参数输入!$B$9*4,IF(AND(Z62&lt;&gt;0,季度现金流!Y63&lt;&gt;0,Z62&lt;&gt;季度现金流!Y63),1,0),0)</f>
        <v>0</v>
      </c>
      <c r="AA64" s="9">
        <f>IF(23&lt;=核心参数输入!$B$9*4,IF(AND(AA62&lt;&gt;0,季度现金流!Z63&lt;&gt;0,AA62&lt;&gt;季度现金流!Z63),1,0),0)</f>
        <v>0</v>
      </c>
      <c r="AB64" s="9">
        <f>IF(24&lt;=核心参数输入!$B$9*4,IF(AND(AB62&lt;&gt;0,季度现金流!AA63&lt;&gt;0,AB62&lt;&gt;季度现金流!AA63),1,0),0)</f>
        <v>0</v>
      </c>
      <c r="AC64" s="9">
        <f>IF(25&lt;=核心参数输入!$B$9*4,IF(AND(AC62&lt;&gt;0,季度现金流!AB63&lt;&gt;0,AC62&lt;&gt;季度现金流!AB63),1,0),0)</f>
        <v>0</v>
      </c>
      <c r="AD64" s="9">
        <f>IF(26&lt;=核心参数输入!$B$9*4,IF(AND(AD62&lt;&gt;0,季度现金流!AC63&lt;&gt;0,AD62&lt;&gt;季度现金流!AC63),1,0),0)</f>
        <v>0</v>
      </c>
      <c r="AE64" s="9">
        <f>IF(27&lt;=核心参数输入!$B$9*4,IF(AND(AE62&lt;&gt;0,季度现金流!AD63&lt;&gt;0,AE62&lt;&gt;季度现金流!AD63),1,0),0)</f>
        <v>0</v>
      </c>
      <c r="AF64" s="9">
        <f>IF(28&lt;=核心参数输入!$B$9*4,IF(AND(AF62&lt;&gt;0,季度现金流!AE63&lt;&gt;0,AF62&lt;&gt;季度现金流!AE63),1,0),0)</f>
        <v>0</v>
      </c>
      <c r="AG64" s="9">
        <f>IF(29&lt;=核心参数输入!$B$9*4,IF(AND(AG62&lt;&gt;0,季度现金流!AF63&lt;&gt;0,AG62&lt;&gt;季度现金流!AF63),1,0),0)</f>
        <v>0</v>
      </c>
      <c r="AH64" s="9">
        <f>IF(30&lt;=核心参数输入!$B$9*4,IF(AND(AH62&lt;&gt;0,季度现金流!AG63&lt;&gt;0,AH62&lt;&gt;季度现金流!AG63),1,0),0)</f>
        <v>0</v>
      </c>
      <c r="AI64" s="9">
        <f>IF(31&lt;=核心参数输入!$B$9*4,IF(AND(AI62&lt;&gt;0,季度现金流!AH63&lt;&gt;0,AI62&lt;&gt;季度现金流!AH63),1,0),0)</f>
        <v>0</v>
      </c>
      <c r="AJ64" s="9">
        <f>IF(32&lt;=核心参数输入!$B$9*4,IF(AND(AJ62&lt;&gt;0,季度现金流!AI63&lt;&gt;0,AJ62&lt;&gt;季度现金流!AI63),1,0),0)</f>
        <v>0</v>
      </c>
      <c r="AK64" s="9">
        <f>IF(33&lt;=核心参数输入!$B$9*4,IF(AND(AK62&lt;&gt;0,季度现金流!AJ63&lt;&gt;0,AK62&lt;&gt;季度现金流!AJ63),1,0),0)</f>
        <v>0</v>
      </c>
      <c r="AL64" s="9">
        <f>IF(34&lt;=核心参数输入!$B$9*4,IF(AND(AL62&lt;&gt;0,季度现金流!AK63&lt;&gt;0,AL62&lt;&gt;季度现金流!AK63),1,0),0)</f>
        <v>0</v>
      </c>
      <c r="AM64" s="9">
        <f>IF(35&lt;=核心参数输入!$B$9*4,IF(AND(AM62&lt;&gt;0,季度现金流!AL63&lt;&gt;0,AM62&lt;&gt;季度现金流!AL63),1,0),0)</f>
        <v>0</v>
      </c>
      <c r="AN64" s="9">
        <f>IF(36&lt;=核心参数输入!$B$9*4,IF(AND(AN62&lt;&gt;0,季度现金流!AM63&lt;&gt;0,AN62&lt;&gt;季度现金流!AM63),1,0),0)</f>
        <v>0</v>
      </c>
      <c r="AO64" s="9">
        <f>IF(37&lt;=核心参数输入!$B$9*4,IF(AND(AO62&lt;&gt;0,季度现金流!AN63&lt;&gt;0,AO62&lt;&gt;季度现金流!AN63),1,0),0)</f>
        <v>0</v>
      </c>
      <c r="AP64" s="9">
        <f>IF(38&lt;=核心参数输入!$B$9*4,IF(AND(AP62&lt;&gt;0,季度现金流!AO63&lt;&gt;0,AP62&lt;&gt;季度现金流!AO63),1,0),0)</f>
        <v>0</v>
      </c>
      <c r="AQ64" s="9">
        <f>IF(39&lt;=核心参数输入!$B$9*4,IF(AND(AQ62&lt;&gt;0,季度现金流!AP63&lt;&gt;0,AQ62&lt;&gt;季度现金流!AP63),1,0),0)</f>
        <v>0</v>
      </c>
      <c r="AR64" s="9">
        <f>IF(40&lt;=核心参数输入!$B$9*4,IF(AND(AR62&lt;&gt;0,季度现金流!AQ63&lt;&gt;0,AR62&lt;&gt;季度现金流!AQ63),1,0),0)</f>
        <v>0</v>
      </c>
      <c r="AS64" s="9">
        <f>IF(41&lt;=核心参数输入!$B$9*4,IF(AND(AS62&lt;&gt;0,季度现金流!AR63&lt;&gt;0,AS62&lt;&gt;季度现金流!AR63),1,0),0)</f>
        <v>0</v>
      </c>
      <c r="AT64" s="9">
        <f>IF(42&lt;=核心参数输入!$B$9*4,IF(AND(AT62&lt;&gt;0,季度现金流!AS63&lt;&gt;0,AT62&lt;&gt;季度现金流!AS63),1,0),0)</f>
        <v>0</v>
      </c>
      <c r="AU64" s="9">
        <f>IF(43&lt;=核心参数输入!$B$9*4,IF(AND(AU62&lt;&gt;0,季度现金流!AT63&lt;&gt;0,AU62&lt;&gt;季度现金流!AT63),1,0),0)</f>
        <v>0</v>
      </c>
      <c r="AV64" s="9">
        <f>IF(44&lt;=核心参数输入!$B$9*4,IF(AND(AV62&lt;&gt;0,季度现金流!AU63&lt;&gt;0,AV62&lt;&gt;季度现金流!AU63),1,0),0)</f>
        <v>0</v>
      </c>
      <c r="AW64" s="9">
        <f>IF(45&lt;=核心参数输入!$B$9*4,IF(AND(AW62&lt;&gt;0,季度现金流!AV63&lt;&gt;0,AW62&lt;&gt;季度现金流!AV63),1,0),0)</f>
        <v>0</v>
      </c>
      <c r="AX64" s="9">
        <f>IF(46&lt;=核心参数输入!$B$9*4,IF(AND(AX62&lt;&gt;0,季度现金流!AW63&lt;&gt;0,AX62&lt;&gt;季度现金流!AW63),1,0),0)</f>
        <v>0</v>
      </c>
      <c r="AY64" s="9">
        <f>IF(47&lt;=核心参数输入!$B$9*4,IF(AND(AY62&lt;&gt;0,季度现金流!AX63&lt;&gt;0,AY62&lt;&gt;季度现金流!AX63),1,0),0)</f>
        <v>0</v>
      </c>
      <c r="AZ64" s="9">
        <f>IF(48&lt;=核心参数输入!$B$9*4,IF(AND(AZ62&lt;&gt;0,季度现金流!AY63&lt;&gt;0,AZ62&lt;&gt;季度现金流!AY63),1,0),0)</f>
        <v>0</v>
      </c>
      <c r="BA64" s="9">
        <f>IF(49&lt;=核心参数输入!$B$9*4,IF(AND(BA62&lt;&gt;0,季度现金流!AZ63&lt;&gt;0,BA62&lt;&gt;季度现金流!AZ63),1,0),0)</f>
        <v>0</v>
      </c>
      <c r="BB64" s="9">
        <f>IF(50&lt;=核心参数输入!$B$9*4,IF(AND(BB62&lt;&gt;0,季度现金流!BA63&lt;&gt;0,BB62&lt;&gt;季度现金流!BA63),1,0),0)</f>
        <v>0</v>
      </c>
      <c r="BC64" s="9">
        <f>IF(51&lt;=核心参数输入!$B$9*4,IF(AND(BC62&lt;&gt;0,季度现金流!BB63&lt;&gt;0,BC62&lt;&gt;季度现金流!BB63),1,0),0)</f>
        <v>0</v>
      </c>
      <c r="BD64" s="9">
        <f>IF(52&lt;=核心参数输入!$B$9*4,IF(AND(BD62&lt;&gt;0,季度现金流!BC63&lt;&gt;0,BD62&lt;&gt;季度现金流!BC63),1,0),0)</f>
        <v>0</v>
      </c>
      <c r="BE64" s="9">
        <f>IF(53&lt;=核心参数输入!$B$9*4,IF(AND(BE62&lt;&gt;0,季度现金流!BD63&lt;&gt;0,BE62&lt;&gt;季度现金流!BD63),1,0),0)</f>
        <v>0</v>
      </c>
      <c r="BF64" s="9">
        <f>IF(54&lt;=核心参数输入!$B$9*4,IF(AND(BF62&lt;&gt;0,季度现金流!BE63&lt;&gt;0,BF62&lt;&gt;季度现金流!BE63),1,0),0)</f>
        <v>0</v>
      </c>
      <c r="BG64" s="9">
        <f>IF(55&lt;=核心参数输入!$B$9*4,IF(AND(BG62&lt;&gt;0,季度现金流!BF63&lt;&gt;0,BG62&lt;&gt;季度现金流!BF63),1,0),0)</f>
        <v>0</v>
      </c>
      <c r="BH64" s="9">
        <f>IF(56&lt;=核心参数输入!$B$9*4,IF(AND(BH62&lt;&gt;0,季度现金流!BG63&lt;&gt;0,BH62&lt;&gt;季度现金流!BG63),1,0),0)</f>
        <v>0</v>
      </c>
      <c r="BI64" s="9">
        <f>IF(57&lt;=核心参数输入!$B$9*4,IF(AND(BI62&lt;&gt;0,季度现金流!BH63&lt;&gt;0,BI62&lt;&gt;季度现金流!BH63),1,0),0)</f>
        <v>0</v>
      </c>
      <c r="BJ64" s="9">
        <f>IF(58&lt;=核心参数输入!$B$9*4,IF(AND(BJ62&lt;&gt;0,季度现金流!BI63&lt;&gt;0,BJ62&lt;&gt;季度现金流!BI63),1,0),0)</f>
        <v>0</v>
      </c>
      <c r="BK64" s="9">
        <f>IF(59&lt;=核心参数输入!$B$9*4,IF(AND(BK62&lt;&gt;0,季度现金流!BJ63&lt;&gt;0,BK62&lt;&gt;季度现金流!BJ63),1,0),0)</f>
        <v>0</v>
      </c>
      <c r="BL64" s="9">
        <f>IF(60&lt;=核心参数输入!$B$9*4,IF(AND(BL62&lt;&gt;0,季度现金流!BK63&lt;&gt;0,BL62&lt;&gt;季度现金流!BK63),1,0),0)</f>
        <v>0</v>
      </c>
      <c r="BM64" s="9">
        <f>IF(61&lt;=核心参数输入!$B$9*4,IF(AND(BM62&lt;&gt;0,季度现金流!BL63&lt;&gt;0,BM62&lt;&gt;季度现金流!BL63),1,0),0)</f>
        <v>0</v>
      </c>
      <c r="BN64" s="9">
        <f>IF(62&lt;=核心参数输入!$B$9*4,IF(AND(BN62&lt;&gt;0,季度现金流!BM63&lt;&gt;0,BN62&lt;&gt;季度现金流!BM63),1,0),0)</f>
        <v>0</v>
      </c>
      <c r="BO64" s="9">
        <f>IF(63&lt;=核心参数输入!$B$9*4,IF(AND(BO62&lt;&gt;0,季度现金流!BN63&lt;&gt;0,BO62&lt;&gt;季度现金流!BN63),1,0),0)</f>
        <v>0</v>
      </c>
      <c r="BP64" s="9">
        <f>IF(64&lt;=核心参数输入!$B$9*4,IF(AND(BP62&lt;&gt;0,季度现金流!BO63&lt;&gt;0,BP62&lt;&gt;季度现金流!BO63),1,0),0)</f>
        <v>0</v>
      </c>
      <c r="BQ64" s="9">
        <f>IF(65&lt;=核心参数输入!$B$9*4,IF(AND(BQ62&lt;&gt;0,季度现金流!BP63&lt;&gt;0,BQ62&lt;&gt;季度现金流!BP63),1,0),0)</f>
        <v>0</v>
      </c>
      <c r="BR64" s="9">
        <f>IF(66&lt;=核心参数输入!$B$9*4,IF(AND(BR62&lt;&gt;0,季度现金流!BQ63&lt;&gt;0,BR62&lt;&gt;季度现金流!BQ63),1,0),0)</f>
        <v>0</v>
      </c>
      <c r="BS64" s="9">
        <f>IF(67&lt;=核心参数输入!$B$9*4,IF(AND(BS62&lt;&gt;0,季度现金流!BR63&lt;&gt;0,BS62&lt;&gt;季度现金流!BR63),1,0),0)</f>
        <v>0</v>
      </c>
      <c r="BT64" s="9">
        <f>IF(68&lt;=核心参数输入!$B$9*4,IF(AND(BT62&lt;&gt;0,季度现金流!BS63&lt;&gt;0,BT62&lt;&gt;季度现金流!BS63),1,0),0)</f>
        <v>0</v>
      </c>
      <c r="BU64" s="9">
        <f>IF(69&lt;=核心参数输入!$B$9*4,IF(AND(BU62&lt;&gt;0,季度现金流!BT63&lt;&gt;0,BU62&lt;&gt;季度现金流!BT63),1,0),0)</f>
        <v>0</v>
      </c>
      <c r="BV64" s="9">
        <f>IF(70&lt;=核心参数输入!$B$9*4,IF(AND(BV62&lt;&gt;0,季度现金流!BU63&lt;&gt;0,BV62&lt;&gt;季度现金流!BU63),1,0),0)</f>
        <v>0</v>
      </c>
      <c r="BW64" s="9">
        <f>IF(71&lt;=核心参数输入!$B$9*4,IF(AND(BW62&lt;&gt;0,季度现金流!BV63&lt;&gt;0,BW62&lt;&gt;季度现金流!BV63),1,0),0)</f>
        <v>0</v>
      </c>
      <c r="BX64" s="9">
        <f>IF(72&lt;=核心参数输入!$B$9*4,IF(AND(BX62&lt;&gt;0,季度现金流!BW63&lt;&gt;0,BX62&lt;&gt;季度现金流!BW63),1,0),0)</f>
        <v>0</v>
      </c>
      <c r="BY64" s="9">
        <f>IF(73&lt;=核心参数输入!$B$9*4,IF(AND(BY62&lt;&gt;0,季度现金流!BX63&lt;&gt;0,BY62&lt;&gt;季度现金流!BX63),1,0),0)</f>
        <v>0</v>
      </c>
      <c r="BZ64" s="9">
        <f>IF(74&lt;=核心参数输入!$B$9*4,IF(AND(BZ62&lt;&gt;0,季度现金流!BY63&lt;&gt;0,BZ62&lt;&gt;季度现金流!BY63),1,0),0)</f>
        <v>0</v>
      </c>
      <c r="CA64" s="9">
        <f>IF(75&lt;=核心参数输入!$B$9*4,IF(AND(CA62&lt;&gt;0,季度现金流!BZ63&lt;&gt;0,CA62&lt;&gt;季度现金流!BZ63),1,0),0)</f>
        <v>0</v>
      </c>
      <c r="CB64" s="9">
        <f>IF(76&lt;=核心参数输入!$B$9*4,IF(AND(CB62&lt;&gt;0,季度现金流!CA63&lt;&gt;0,CB62&lt;&gt;季度现金流!CA63),1,0),0)</f>
        <v>0</v>
      </c>
      <c r="CC64" s="9">
        <f>IF(77&lt;=核心参数输入!$B$9*4,IF(AND(CC62&lt;&gt;0,季度现金流!CB63&lt;&gt;0,CC62&lt;&gt;季度现金流!CB63),1,0),0)</f>
        <v>0</v>
      </c>
      <c r="CD64" s="9">
        <f>IF(78&lt;=核心参数输入!$B$9*4,IF(AND(CD62&lt;&gt;0,季度现金流!CC63&lt;&gt;0,CD62&lt;&gt;季度现金流!CC63),1,0),0)</f>
        <v>0</v>
      </c>
      <c r="CE64" s="9">
        <f>IF(79&lt;=核心参数输入!$B$9*4,IF(AND(CE62&lt;&gt;0,季度现金流!CD63&lt;&gt;0,CE62&lt;&gt;季度现金流!CD63),1,0),0)</f>
        <v>0</v>
      </c>
      <c r="CF64" s="9">
        <f>IF(80&lt;=核心参数输入!$B$9*4,IF(AND(CF62&lt;&gt;0,季度现金流!CE63&lt;&gt;0,CF62&lt;&gt;季度现金流!CE63),1,0),0)</f>
        <v>0</v>
      </c>
      <c r="CG64" s="9">
        <f>IF(81&lt;=核心参数输入!$B$9*4,IF(AND(CG62&lt;&gt;0,季度现金流!CF63&lt;&gt;0,CG62&lt;&gt;季度现金流!CF63),1,0),0)</f>
        <v>0</v>
      </c>
      <c r="CH64" s="9">
        <f>IF(82&lt;=核心参数输入!$B$9*4,IF(AND(CH62&lt;&gt;0,季度现金流!CG63&lt;&gt;0,CH62&lt;&gt;季度现金流!CG63),1,0),0)</f>
        <v>0</v>
      </c>
      <c r="CI64" s="9">
        <f>IF(83&lt;=核心参数输入!$B$9*4,IF(AND(CI62&lt;&gt;0,季度现金流!CH63&lt;&gt;0,CI62&lt;&gt;季度现金流!CH63),1,0),0)</f>
        <v>0</v>
      </c>
      <c r="CJ64" s="9">
        <f>IF(84&lt;=核心参数输入!$B$9*4,IF(AND(CJ62&lt;&gt;0,季度现金流!CI63&lt;&gt;0,CJ62&lt;&gt;季度现金流!CI63),1,0),0)</f>
        <v>0</v>
      </c>
      <c r="CK64" s="9">
        <f>IF(85&lt;=核心参数输入!$B$9*4,IF(AND(CK62&lt;&gt;0,季度现金流!CJ63&lt;&gt;0,CK62&lt;&gt;季度现金流!CJ63),1,0),0)</f>
        <v>0</v>
      </c>
      <c r="CL64" s="9">
        <f>IF(86&lt;=核心参数输入!$B$9*4,IF(AND(CL62&lt;&gt;0,季度现金流!CK63&lt;&gt;0,CL62&lt;&gt;季度现金流!CK63),1,0),0)</f>
        <v>0</v>
      </c>
      <c r="CM64" s="9">
        <f>IF(87&lt;=核心参数输入!$B$9*4,IF(AND(CM62&lt;&gt;0,季度现金流!CL63&lt;&gt;0,CM62&lt;&gt;季度现金流!CL63),1,0),0)</f>
        <v>0</v>
      </c>
      <c r="CN64" s="9">
        <f>IF(88&lt;=核心参数输入!$B$9*4,IF(AND(CN62&lt;&gt;0,季度现金流!CM63&lt;&gt;0,CN62&lt;&gt;季度现金流!CM63),1,0),0)</f>
        <v>0</v>
      </c>
      <c r="CO64" s="9">
        <f>IF(89&lt;=核心参数输入!$B$9*4,IF(AND(CO62&lt;&gt;0,季度现金流!CN63&lt;&gt;0,CO62&lt;&gt;季度现金流!CN63),1,0),0)</f>
        <v>0</v>
      </c>
      <c r="CP64" s="9">
        <f>IF(90&lt;=核心参数输入!$B$9*4,IF(AND(CP62&lt;&gt;0,季度现金流!CO63&lt;&gt;0,CP62&lt;&gt;季度现金流!CO63),1,0),0)</f>
        <v>0</v>
      </c>
      <c r="CQ64" s="9">
        <f>IF(91&lt;=核心参数输入!$B$9*4,IF(AND(CQ62&lt;&gt;0,季度现金流!CP63&lt;&gt;0,CQ62&lt;&gt;季度现金流!CP63),1,0),0)</f>
        <v>0</v>
      </c>
      <c r="CR64" s="9">
        <f>IF(92&lt;=核心参数输入!$B$9*4,IF(AND(CR62&lt;&gt;0,季度现金流!CQ63&lt;&gt;0,CR62&lt;&gt;季度现金流!CQ63),1,0),0)</f>
        <v>0</v>
      </c>
      <c r="CS64" s="9">
        <f>IF(93&lt;=核心参数输入!$B$9*4,IF(AND(CS62&lt;&gt;0,季度现金流!CR63&lt;&gt;0,CS62&lt;&gt;季度现金流!CR63),1,0),0)</f>
        <v>0</v>
      </c>
      <c r="CT64" s="9">
        <f>IF(94&lt;=核心参数输入!$B$9*4,IF(AND(CT62&lt;&gt;0,季度现金流!CS63&lt;&gt;0,CT62&lt;&gt;季度现金流!CS63),1,0),0)</f>
        <v>0</v>
      </c>
      <c r="CU64" s="9">
        <f>IF(95&lt;=核心参数输入!$B$9*4,IF(AND(CU62&lt;&gt;0,季度现金流!CT63&lt;&gt;0,CU62&lt;&gt;季度现金流!CT63),1,0),0)</f>
        <v>0</v>
      </c>
      <c r="CV64" s="9">
        <f>IF(96&lt;=核心参数输入!$B$9*4,IF(AND(CV62&lt;&gt;0,季度现金流!CU63&lt;&gt;0,CV62&lt;&gt;季度现金流!CU63),1,0),0)</f>
        <v>0</v>
      </c>
      <c r="CW64" s="9">
        <f>IF(97&lt;=核心参数输入!$B$9*4,IF(AND(CW62&lt;&gt;0,季度现金流!CV63&lt;&gt;0,CW62&lt;&gt;季度现金流!CV63),1,0),0)</f>
        <v>0</v>
      </c>
      <c r="CX64" s="9">
        <f>IF(98&lt;=核心参数输入!$B$9*4,IF(AND(CX62&lt;&gt;0,季度现金流!CW63&lt;&gt;0,CX62&lt;&gt;季度现金流!CW63),1,0),0)</f>
        <v>0</v>
      </c>
      <c r="CY64" s="9">
        <f>IF(99&lt;=核心参数输入!$B$9*4,IF(AND(CY62&lt;&gt;0,季度现金流!CX63&lt;&gt;0,CY62&lt;&gt;季度现金流!CX63),1,0),0)</f>
        <v>0</v>
      </c>
      <c r="CZ64" s="9">
        <f>IF(100&lt;=核心参数输入!$B$9*4,IF(AND(CZ62&lt;&gt;0,季度现金流!CY63&lt;&gt;0,CZ62&lt;&gt;季度现金流!CY63),1,0),0)</f>
        <v>0</v>
      </c>
      <c r="DA64" s="9">
        <f>IF(101&lt;=核心参数输入!$B$9*4,IF(AND(DA62&lt;&gt;0,季度现金流!CZ63&lt;&gt;0,DA62&lt;&gt;季度现金流!CZ63),1,0),0)</f>
        <v>0</v>
      </c>
      <c r="DB64" s="9">
        <f>IF(102&lt;=核心参数输入!$B$9*4,IF(AND(DB62&lt;&gt;0,季度现金流!DA63&lt;&gt;0,DB62&lt;&gt;季度现金流!DA63),1,0),0)</f>
        <v>0</v>
      </c>
      <c r="DC64" s="9">
        <f>IF(103&lt;=核心参数输入!$B$9*4,IF(AND(DC62&lt;&gt;0,季度现金流!DB63&lt;&gt;0,DC62&lt;&gt;季度现金流!DB63),1,0),0)</f>
        <v>0</v>
      </c>
      <c r="DD64" s="9">
        <f>IF(104&lt;=核心参数输入!$B$9*4,IF(AND(DD62&lt;&gt;0,季度现金流!DC63&lt;&gt;0,DD62&lt;&gt;季度现金流!DC63),1,0),0)</f>
        <v>0</v>
      </c>
      <c r="DE64" s="9">
        <f>IF(105&lt;=核心参数输入!$B$9*4,IF(AND(DE62&lt;&gt;0,季度现金流!DD63&lt;&gt;0,DE62&lt;&gt;季度现金流!DD63),1,0),0)</f>
        <v>0</v>
      </c>
      <c r="DF64" s="9">
        <f>IF(106&lt;=核心参数输入!$B$9*4,IF(AND(DF62&lt;&gt;0,季度现金流!DE63&lt;&gt;0,DF62&lt;&gt;季度现金流!DE63),1,0),0)</f>
        <v>0</v>
      </c>
      <c r="DG64" s="9">
        <f>IF(107&lt;=核心参数输入!$B$9*4,IF(AND(DG62&lt;&gt;0,季度现金流!DF63&lt;&gt;0,DG62&lt;&gt;季度现金流!DF63),1,0),0)</f>
        <v>0</v>
      </c>
      <c r="DH64" s="9">
        <f>IF(108&lt;=核心参数输入!$B$9*4,IF(AND(DH62&lt;&gt;0,季度现金流!DG63&lt;&gt;0,DH62&lt;&gt;季度现金流!DG63),1,0),0)</f>
        <v>0</v>
      </c>
      <c r="DI64" s="9">
        <f>IF(109&lt;=核心参数输入!$B$9*4,IF(AND(DI62&lt;&gt;0,季度现金流!DH63&lt;&gt;0,DI62&lt;&gt;季度现金流!DH63),1,0),0)</f>
        <v>0</v>
      </c>
      <c r="DJ64" s="9">
        <f>IF(110&lt;=核心参数输入!$B$9*4,IF(AND(DJ62&lt;&gt;0,季度现金流!DI63&lt;&gt;0,DJ62&lt;&gt;季度现金流!DI63),1,0),0)</f>
        <v>0</v>
      </c>
      <c r="DK64" s="9">
        <f>IF(111&lt;=核心参数输入!$B$9*4,IF(AND(DK62&lt;&gt;0,季度现金流!DJ63&lt;&gt;0,DK62&lt;&gt;季度现金流!DJ63),1,0),0)</f>
        <v>0</v>
      </c>
      <c r="DL64" s="9">
        <f>IF(112&lt;=核心参数输入!$B$9*4,IF(AND(DL62&lt;&gt;0,季度现金流!DK63&lt;&gt;0,DL62&lt;&gt;季度现金流!DK63),1,0),0)</f>
        <v>0</v>
      </c>
      <c r="DM64" s="9">
        <f>IF(113&lt;=核心参数输入!$B$9*4,IF(AND(DM62&lt;&gt;0,季度现金流!DL63&lt;&gt;0,DM62&lt;&gt;季度现金流!DL63),1,0),0)</f>
        <v>0</v>
      </c>
      <c r="DN64" s="9">
        <f>IF(114&lt;=核心参数输入!$B$9*4,IF(AND(DN62&lt;&gt;0,季度现金流!DM63&lt;&gt;0,DN62&lt;&gt;季度现金流!DM63),1,0),0)</f>
        <v>0</v>
      </c>
      <c r="DO64" s="9">
        <f>IF(115&lt;=核心参数输入!$B$9*4,IF(AND(DO62&lt;&gt;0,季度现金流!DN63&lt;&gt;0,DO62&lt;&gt;季度现金流!DN63),1,0),0)</f>
        <v>0</v>
      </c>
      <c r="DP64" s="9">
        <f>IF(116&lt;=核心参数输入!$B$9*4,IF(AND(DP62&lt;&gt;0,季度现金流!DO63&lt;&gt;0,DP62&lt;&gt;季度现金流!DO63),1,0),0)</f>
        <v>0</v>
      </c>
      <c r="DQ64" s="9">
        <f>IF(117&lt;=核心参数输入!$B$9*4,IF(AND(DQ62&lt;&gt;0,季度现金流!DP63&lt;&gt;0,DQ62&lt;&gt;季度现金流!DP63),1,0),0)</f>
        <v>0</v>
      </c>
      <c r="DR64" s="9">
        <f>IF(118&lt;=核心参数输入!$B$9*4,IF(AND(DR62&lt;&gt;0,季度现金流!DQ63&lt;&gt;0,DR62&lt;&gt;季度现金流!DQ63),1,0),0)</f>
        <v>0</v>
      </c>
      <c r="DS64" s="9">
        <f>IF(119&lt;=核心参数输入!$B$9*4,IF(AND(DS62&lt;&gt;0,季度现金流!DR63&lt;&gt;0,DS62&lt;&gt;季度现金流!DR63),1,0),0)</f>
        <v>0</v>
      </c>
      <c r="DT64" s="9">
        <f>IF(120&lt;=核心参数输入!$B$9*4,IF(AND(DT62&lt;&gt;0,季度现金流!DS63&lt;&gt;0,DT62&lt;&gt;季度现金流!DS63),1,0),0)</f>
        <v>0</v>
      </c>
    </row>
    <row r="65" spans="1:124" ht="21" customHeight="1">
      <c r="A65" s="8" t="s">
        <v>557</v>
      </c>
      <c r="B65" s="8" t="s">
        <v>39</v>
      </c>
      <c r="C65" s="8"/>
      <c r="D65" s="9">
        <f>IF(0&lt;=核心参数输入!$B$9*4,季度经营税费!D68-季度经营税费!D69-季度经营税费!D64,0)</f>
        <v>0</v>
      </c>
      <c r="E65" s="9">
        <f>IF(1&lt;=核心参数输入!$B$9*4,季度经营税费!E68-季度经营税费!E69-季度经营税费!E64,0)</f>
        <v>0</v>
      </c>
      <c r="F65" s="9">
        <f>IF(2&lt;=核心参数输入!$B$9*4,季度经营税费!F68-季度经营税费!F69-季度经营税费!F64,0)</f>
        <v>0</v>
      </c>
      <c r="G65" s="9">
        <f>IF(3&lt;=核心参数输入!$B$9*4,季度经营税费!G68-季度经营税费!G69-季度经营税费!G64,0)</f>
        <v>0</v>
      </c>
      <c r="H65" s="9">
        <f>IF(4&lt;=核心参数输入!$B$9*4,季度经营税费!H68-季度经营税费!H69-季度经营税费!H64,0)</f>
        <v>0</v>
      </c>
      <c r="I65" s="9">
        <f>IF(5&lt;=核心参数输入!$B$9*4,季度经营税费!I68-季度经营税费!I69-季度经营税费!I64,0)</f>
        <v>0</v>
      </c>
      <c r="J65" s="9">
        <f>IF(6&lt;=核心参数输入!$B$9*4,季度经营税费!J68-季度经营税费!J69-季度经营税费!J64,0)</f>
        <v>0</v>
      </c>
      <c r="K65" s="9">
        <f>IF(7&lt;=核心参数输入!$B$9*4,季度经营税费!K68-季度经营税费!K69-季度经营税费!K64,0)</f>
        <v>0</v>
      </c>
      <c r="L65" s="9">
        <f>IF(8&lt;=核心参数输入!$B$9*4,季度经营税费!L68-季度经营税费!L69-季度经营税费!L64,0)</f>
        <v>0</v>
      </c>
      <c r="M65" s="9">
        <f>IF(9&lt;=核心参数输入!$B$9*4,季度经营税费!M68-季度经营税费!M69-季度经营税费!M64,0)</f>
        <v>0</v>
      </c>
      <c r="N65" s="9">
        <f>IF(10&lt;=核心参数输入!$B$9*4,季度经营税费!N68-季度经营税费!N69-季度经营税费!N64,0)</f>
        <v>0</v>
      </c>
      <c r="O65" s="9">
        <f>IF(11&lt;=核心参数输入!$B$9*4,季度经营税费!O68-季度经营税费!O69-季度经营税费!O64,0)</f>
        <v>0</v>
      </c>
      <c r="P65" s="9">
        <f>IF(12&lt;=核心参数输入!$B$9*4,季度经营税费!P68-季度经营税费!P69-季度经营税费!P64,0)</f>
        <v>0</v>
      </c>
      <c r="Q65" s="9">
        <f>IF(13&lt;=核心参数输入!$B$9*4,季度经营税费!Q68-季度经营税费!Q69-季度经营税费!Q64,0)</f>
        <v>2033.7140625000002</v>
      </c>
      <c r="R65" s="9">
        <f>IF(14&lt;=核心参数输入!$B$9*4,季度经营税费!R68-季度经营税费!R69-季度经营税费!R64,0)</f>
        <v>3144.5738458125002</v>
      </c>
      <c r="S65" s="9">
        <f>IF(15&lt;=核心参数输入!$B$9*4,季度经营税费!S68-季度经营税费!S69-季度经营税费!S64,0)</f>
        <v>3194.4809124375001</v>
      </c>
      <c r="T65" s="9">
        <f>IF(16&lt;=核心参数输入!$B$9*4,季度经营税费!T68-季度经营税费!T69-季度经营税费!T64,0)</f>
        <v>3182.1703416093742</v>
      </c>
      <c r="U65" s="9">
        <f>IF(17&lt;=核心参数输入!$B$9*4,季度经营税费!U68-季度经营税费!U69-季度经营税费!U64,0)</f>
        <v>4013.3198541853121</v>
      </c>
      <c r="V65" s="9">
        <f>IF(18&lt;=核心参数输入!$B$9*4,季度经营税费!V68-季度经营税费!V69-季度经营税费!V64,0)</f>
        <v>4410.7475750223748</v>
      </c>
      <c r="W65" s="9">
        <f>IF(19&lt;=核心参数输入!$B$9*4,季度经营税费!W68-季度经营税费!W69-季度经营税费!W64,0)</f>
        <v>4431.0098440721249</v>
      </c>
      <c r="X65" s="9">
        <f>IF(20&lt;=核心参数输入!$B$9*4,季度经营税费!X68-季度经营税费!X69-季度经营税费!X64,0)</f>
        <v>3966.3782040214533</v>
      </c>
      <c r="Y65" s="9">
        <f>IF(21&lt;=核心参数输入!$B$9*4,季度经营税费!Y68-季度经营税费!Y69-季度经营税费!Y64,0)</f>
        <v>3756.2028041541989</v>
      </c>
      <c r="Z65" s="9">
        <f>IF(22&lt;=核心参数输入!$B$9*4,季度经营税费!Z68-季度经营税费!Z69-季度经营税费!Z64,0)</f>
        <v>3412.2294818540086</v>
      </c>
      <c r="AA65" s="9">
        <f>IF(23&lt;=核心参数输入!$B$9*4,季度经营税费!AA68-季度经营税费!AA69-季度经营税费!AA64,0)</f>
        <v>3427.6541341681304</v>
      </c>
      <c r="AB65" s="9">
        <f>IF(24&lt;=核心参数输入!$B$9*4,季度经营税费!AB68-季度经营税费!AB69-季度经营税费!AB64,0)</f>
        <v>3047.3277973176055</v>
      </c>
      <c r="AC65" s="9">
        <f>IF(25&lt;=核心参数输入!$B$9*4,季度经营税费!AC68-季度经营税费!AC69-季度经营税费!AC64,0)</f>
        <v>1308.3574731908209</v>
      </c>
      <c r="AD65" s="9">
        <f>IF(26&lt;=核心参数输入!$B$9*4,季度经营税费!AD68-季度经营税费!AD69-季度经营税费!AD64,0)</f>
        <v>232.88857125670998</v>
      </c>
      <c r="AE65" s="9">
        <f>IF(27&lt;=核心参数输入!$B$9*4,季度经营税费!AE68-季度经营税费!AE69-季度经营税费!AE64,0)</f>
        <v>238.10724528965466</v>
      </c>
      <c r="AF65" s="9">
        <f>IF(28&lt;=核心参数输入!$B$9*4,季度经营税费!AF68-季度经营税费!AF69-季度经营税费!AF64,0)</f>
        <v>243.32591932259928</v>
      </c>
      <c r="AG65" s="9">
        <f>IF(29&lt;=核心参数输入!$B$9*4,季度经营税费!AG68-季度经营税费!AG69-季度经营税费!AG64,0)</f>
        <v>252.54980925587711</v>
      </c>
      <c r="AH65" s="9">
        <f>IF(30&lt;=核心参数输入!$B$9*4,季度经营税费!AH68-季度经营税费!AH69-季度经营税费!AH64,0)</f>
        <v>255.19828632759649</v>
      </c>
      <c r="AI65" s="9">
        <f>IF(31&lt;=核心参数输入!$B$9*4,季度经营税费!AI68-季度经营税费!AI69-季度经营税费!AI64,0)</f>
        <v>255.19828632759649</v>
      </c>
      <c r="AJ65" s="9">
        <f>IF(32&lt;=核心参数输入!$B$9*4,季度经营税费!AJ68-季度经营税费!AJ69-季度经营税费!AJ64,0)</f>
        <v>255.19828632759649</v>
      </c>
      <c r="AK65" s="9">
        <f>IF(33&lt;=核心参数输入!$B$9*4,季度经营税费!AK68-季度经营税费!AK69-季度经营税费!AK64,0)</f>
        <v>259.29534856251041</v>
      </c>
      <c r="AL65" s="9">
        <f>IF(34&lt;=核心参数输入!$B$9*4,季度经营税费!AL68-季度经营税费!AL69-季度经营税费!AL64,0)</f>
        <v>259.29534856251041</v>
      </c>
      <c r="AM65" s="9">
        <f>IF(35&lt;=核心参数输入!$B$9*4,季度经营税费!AM68-季度经营税费!AM69-季度经营税费!AM64,0)</f>
        <v>259.29534856251041</v>
      </c>
      <c r="AN65" s="9">
        <f>IF(36&lt;=核心参数输入!$B$9*4,季度经营税费!AN68-季度经营税费!AN69-季度经营税费!AN64,0)</f>
        <v>259.29534856251041</v>
      </c>
      <c r="AO65" s="9">
        <f>IF(37&lt;=核心参数输入!$B$9*4,季度经营税费!AO68-季度经营税费!AO69-季度经营税费!AO64,0)</f>
        <v>263.44574848974798</v>
      </c>
      <c r="AP65" s="9">
        <f>IF(38&lt;=核心参数输入!$B$9*4,季度经营税费!AP68-季度经营税费!AP69-季度经营税费!AP64,0)</f>
        <v>263.44574848974798</v>
      </c>
      <c r="AQ65" s="9">
        <f>IF(39&lt;=核心参数输入!$B$9*4,季度经营税费!AQ68-季度经营税费!AQ69-季度经营税费!AQ64,0)</f>
        <v>263.44574848974798</v>
      </c>
      <c r="AR65" s="9">
        <f>IF(40&lt;=核心参数输入!$B$9*4,季度经营税费!AR68-季度经营税费!AR69-季度经营税费!AR64,0)</f>
        <v>263.44574848974798</v>
      </c>
      <c r="AS65" s="9">
        <f>IF(41&lt;=核心参数输入!$B$9*4,季度经营税费!AS68-季度经营税费!AS69-季度经营税费!AS64,0)</f>
        <v>267.65012380987014</v>
      </c>
      <c r="AT65" s="9">
        <f>IF(42&lt;=核心参数输入!$B$9*4,季度经营税费!AT68-季度经营税费!AT69-季度经营税费!AT64,0)</f>
        <v>267.65012380987014</v>
      </c>
      <c r="AU65" s="9">
        <f>IF(43&lt;=核心参数输入!$B$9*4,季度经营税费!AU68-季度经营税费!AU69-季度经营税费!AU64,0)</f>
        <v>267.65012380987014</v>
      </c>
      <c r="AV65" s="9">
        <f>IF(44&lt;=核心参数输入!$B$9*4,季度经营税费!AV68-季度经营税费!AV69-季度经营税费!AV64,0)</f>
        <v>267.65012380987014</v>
      </c>
      <c r="AW65" s="9">
        <f>IF(45&lt;=核心参数输入!$B$9*4,季度经营税费!AW68-季度经营税费!AW69-季度经营税费!AW64,0)</f>
        <v>271.90911854164972</v>
      </c>
      <c r="AX65" s="9">
        <f>IF(46&lt;=核心参数输入!$B$9*4,季度经营税费!AX68-季度经营税费!AX69-季度经营税费!AX64,0)</f>
        <v>271.90911854164972</v>
      </c>
      <c r="AY65" s="9">
        <f>IF(47&lt;=核心参数输入!$B$9*4,季度经营税费!AY68-季度经营税费!AY69-季度经营税费!AY64,0)</f>
        <v>271.90911854164972</v>
      </c>
      <c r="AZ65" s="9">
        <f>IF(48&lt;=核心参数输入!$B$9*4,季度经营税费!AZ68-季度经营税费!AZ69-季度经营税费!AZ64,0)</f>
        <v>271.90911854164972</v>
      </c>
      <c r="BA65" s="9">
        <f>IF(49&lt;=核心参数输入!$B$9*4,季度经营税费!BA68-季度经营税费!BA69-季度经营税费!BA64,0)</f>
        <v>276.22338305189851</v>
      </c>
      <c r="BB65" s="9">
        <f>IF(50&lt;=核心参数输入!$B$9*4,季度经营税费!BB68-季度经营税费!BB69-季度经营税费!BB64,0)</f>
        <v>276.22338305189851</v>
      </c>
      <c r="BC65" s="9">
        <f>IF(51&lt;=核心参数输入!$B$9*4,季度经营税费!BC68-季度经营税费!BC69-季度经营税费!BC64,0)</f>
        <v>276.22338305189851</v>
      </c>
      <c r="BD65" s="9">
        <f>IF(52&lt;=核心参数输入!$B$9*4,季度经营税费!BD68-季度经营税费!BD69-季度经营税费!BD64,0)</f>
        <v>276.22338305189851</v>
      </c>
      <c r="BE65" s="9">
        <f>IF(53&lt;=核心参数输入!$B$9*4,季度经营税费!BE68-季度经营税费!BE69-季度经营税费!BE64,0)</f>
        <v>280.59357408444356</v>
      </c>
      <c r="BF65" s="9">
        <f>IF(54&lt;=核心参数输入!$B$9*4,季度经营税费!BF68-季度经营税费!BF69-季度经营税费!BF64,0)</f>
        <v>280.59357408444356</v>
      </c>
      <c r="BG65" s="9">
        <f>IF(55&lt;=核心参数输入!$B$9*4,季度经营税费!BG68-季度经营税费!BG69-季度经营税费!BG64,0)</f>
        <v>280.59357408444356</v>
      </c>
      <c r="BH65" s="9">
        <f>IF(56&lt;=核心参数输入!$B$9*4,季度经营税费!BH68-季度经营税费!BH69-季度经营税费!BH64,0)</f>
        <v>251.60090143748954</v>
      </c>
      <c r="BI65" s="9">
        <f>IF(57&lt;=核心参数输入!$B$9*4,季度经营税费!BI68-季度经营税费!BI69-季度经营税费!BI64,0)</f>
        <v>285.0203547882121</v>
      </c>
      <c r="BJ65" s="9">
        <f>IF(58&lt;=核心参数输入!$B$9*4,季度经营税费!BJ68-季度经营税费!BJ69-季度经营税费!BJ64,0)</f>
        <v>285.0203547882121</v>
      </c>
      <c r="BK65" s="9">
        <f>IF(59&lt;=核心参数输入!$B$9*4,季度经营税费!BK68-季度经营税费!BK69-季度经营税费!BK64,0)</f>
        <v>285.0203547882121</v>
      </c>
      <c r="BL65" s="9">
        <f>IF(60&lt;=核心参数输入!$B$9*4,季度经营税费!BL68-季度经营税费!BL69-季度经营税费!BL64,0)</f>
        <v>213.26062499999986</v>
      </c>
      <c r="BM65" s="9">
        <f>IF(61&lt;=核心参数输入!$B$9*4,季度经营税费!BM68-季度经营税费!BM69-季度经营税费!BM64,0)</f>
        <v>289.50439474438724</v>
      </c>
      <c r="BN65" s="9">
        <f>IF(62&lt;=核心参数输入!$B$9*4,季度经营税费!BN68-季度经营税费!BN69-季度经营税费!BN64,0)</f>
        <v>289.50439474438724</v>
      </c>
      <c r="BO65" s="9">
        <f>IF(63&lt;=核心参数输入!$B$9*4,季度经营税费!BO68-季度经营税费!BO69-季度经营税费!BO64,0)</f>
        <v>289.50439474438724</v>
      </c>
      <c r="BP65" s="9">
        <f>IF(64&lt;=核心参数输入!$B$9*4,季度经营税费!BP68-季度经营税费!BP69-季度经营税费!BP64,0)</f>
        <v>213.26062499999995</v>
      </c>
      <c r="BQ65" s="9">
        <f>IF(65&lt;=核心参数输入!$B$9*4,季度经营税费!BQ68-季度经营税费!BQ69-季度经营税费!BQ64,0)</f>
        <v>294.04636999259213</v>
      </c>
      <c r="BR65" s="9">
        <f>IF(66&lt;=核心参数输入!$B$9*4,季度经营税费!BR68-季度经营税费!BR69-季度经营税费!BR64,0)</f>
        <v>294.04636999259213</v>
      </c>
      <c r="BS65" s="9">
        <f>IF(67&lt;=核心参数输入!$B$9*4,季度经营税费!BS68-季度经营税费!BS69-季度经营税费!BS64,0)</f>
        <v>294.04636999259213</v>
      </c>
      <c r="BT65" s="9">
        <f>IF(68&lt;=核心参数输入!$B$9*4,季度经营税费!BT68-季度经营税费!BT69-季度经营税费!BT64,0)</f>
        <v>213.26062499999998</v>
      </c>
      <c r="BU65" s="9">
        <f>IF(69&lt;=核心参数输入!$B$9*4,季度经营税费!BU68-季度经营税费!BU69-季度经营税费!BU64,0)</f>
        <v>298.64696305606077</v>
      </c>
      <c r="BV65" s="9">
        <f>IF(70&lt;=核心参数输入!$B$9*4,季度经营税费!BV68-季度经营税费!BV69-季度经营税费!BV64,0)</f>
        <v>298.64696305606077</v>
      </c>
      <c r="BW65" s="9">
        <f>IF(71&lt;=核心参数输入!$B$9*4,季度经营税费!BW68-季度经营税费!BW69-季度经营税费!BW64,0)</f>
        <v>298.64696305606077</v>
      </c>
      <c r="BX65" s="9">
        <f>IF(72&lt;=核心参数输入!$B$9*4,季度经营税费!BX68-季度经营税费!BX69-季度经营税费!BX64,0)</f>
        <v>213.26062499999995</v>
      </c>
      <c r="BY65" s="9">
        <f>IF(73&lt;=核心参数输入!$B$9*4,季度经营税费!BY68-季度经营税费!BY69-季度经营税费!BY64,0)</f>
        <v>303.30686296575288</v>
      </c>
      <c r="BZ65" s="9">
        <f>IF(74&lt;=核心参数输入!$B$9*4,季度经营税费!BZ68-季度经营税费!BZ69-季度经营税费!BZ64,0)</f>
        <v>303.30686296575288</v>
      </c>
      <c r="CA65" s="9">
        <f>IF(75&lt;=核心参数输入!$B$9*4,季度经营税费!CA68-季度经营税费!CA69-季度经营税费!CA64,0)</f>
        <v>303.30686296575288</v>
      </c>
      <c r="CB65" s="9">
        <f>IF(76&lt;=核心参数输入!$B$9*4,季度经营税费!CB68-季度经营税费!CB69-季度经营税费!CB64,0)</f>
        <v>213.26062499999992</v>
      </c>
      <c r="CC65" s="9">
        <f>IF(77&lt;=核心参数输入!$B$9*4,季度经营税费!CC68-季度经营税费!CC69-季度经营税费!CC64,0)</f>
        <v>308.02676528336758</v>
      </c>
      <c r="CD65" s="9">
        <f>IF(78&lt;=核心参数输入!$B$9*4,季度经营税费!CD68-季度经营税费!CD69-季度经营税费!CD64,0)</f>
        <v>308.02676528336758</v>
      </c>
      <c r="CE65" s="9">
        <f>IF(79&lt;=核心参数输入!$B$9*4,季度经营税费!CE68-季度经营税费!CE69-季度经营税费!CE64,0)</f>
        <v>308.02676528336758</v>
      </c>
      <c r="CF65" s="9">
        <f>IF(80&lt;=核心参数输入!$B$9*4,季度经营税费!CF68-季度经营税费!CF69-季度经营税费!CF64,0)</f>
        <v>213.260625</v>
      </c>
      <c r="CG65" s="9">
        <f>IF(81&lt;=核心参数输入!$B$9*4,季度经营税费!CG68-季度经营税费!CG69-季度经营税费!CG64,0)</f>
        <v>0</v>
      </c>
      <c r="CH65" s="9">
        <f>IF(82&lt;=核心参数输入!$B$9*4,季度经营税费!CH68-季度经营税费!CH69-季度经营税费!CH64,0)</f>
        <v>0</v>
      </c>
      <c r="CI65" s="9">
        <f>IF(83&lt;=核心参数输入!$B$9*4,季度经营税费!CI68-季度经营税费!CI69-季度经营税费!CI64,0)</f>
        <v>0</v>
      </c>
      <c r="CJ65" s="9">
        <f>IF(84&lt;=核心参数输入!$B$9*4,季度经营税费!CJ68-季度经营税费!CJ69-季度经营税费!CJ64,0)</f>
        <v>0</v>
      </c>
      <c r="CK65" s="9">
        <f>IF(85&lt;=核心参数输入!$B$9*4,季度经营税费!CK68-季度经营税费!CK69-季度经营税费!CK64,0)</f>
        <v>0</v>
      </c>
      <c r="CL65" s="9">
        <f>IF(86&lt;=核心参数输入!$B$9*4,季度经营税费!CL68-季度经营税费!CL69-季度经营税费!CL64,0)</f>
        <v>0</v>
      </c>
      <c r="CM65" s="9">
        <f>IF(87&lt;=核心参数输入!$B$9*4,季度经营税费!CM68-季度经营税费!CM69-季度经营税费!CM64,0)</f>
        <v>0</v>
      </c>
      <c r="CN65" s="9">
        <f>IF(88&lt;=核心参数输入!$B$9*4,季度经营税费!CN68-季度经营税费!CN69-季度经营税费!CN64,0)</f>
        <v>0</v>
      </c>
      <c r="CO65" s="9">
        <f>IF(89&lt;=核心参数输入!$B$9*4,季度经营税费!CO68-季度经营税费!CO69-季度经营税费!CO64,0)</f>
        <v>0</v>
      </c>
      <c r="CP65" s="9">
        <f>IF(90&lt;=核心参数输入!$B$9*4,季度经营税费!CP68-季度经营税费!CP69-季度经营税费!CP64,0)</f>
        <v>0</v>
      </c>
      <c r="CQ65" s="9">
        <f>IF(91&lt;=核心参数输入!$B$9*4,季度经营税费!CQ68-季度经营税费!CQ69-季度经营税费!CQ64,0)</f>
        <v>0</v>
      </c>
      <c r="CR65" s="9">
        <f>IF(92&lt;=核心参数输入!$B$9*4,季度经营税费!CR68-季度经营税费!CR69-季度经营税费!CR64,0)</f>
        <v>0</v>
      </c>
      <c r="CS65" s="9">
        <f>IF(93&lt;=核心参数输入!$B$9*4,季度经营税费!CS68-季度经营税费!CS69-季度经营税费!CS64,0)</f>
        <v>0</v>
      </c>
      <c r="CT65" s="9">
        <f>IF(94&lt;=核心参数输入!$B$9*4,季度经营税费!CT68-季度经营税费!CT69-季度经营税费!CT64,0)</f>
        <v>0</v>
      </c>
      <c r="CU65" s="9">
        <f>IF(95&lt;=核心参数输入!$B$9*4,季度经营税费!CU68-季度经营税费!CU69-季度经营税费!CU64,0)</f>
        <v>0</v>
      </c>
      <c r="CV65" s="9">
        <f>IF(96&lt;=核心参数输入!$B$9*4,季度经营税费!CV68-季度经营税费!CV69-季度经营税费!CV64,0)</f>
        <v>0</v>
      </c>
      <c r="CW65" s="9">
        <f>IF(97&lt;=核心参数输入!$B$9*4,季度经营税费!CW68-季度经营税费!CW69-季度经营税费!CW64,0)</f>
        <v>0</v>
      </c>
      <c r="CX65" s="9">
        <f>IF(98&lt;=核心参数输入!$B$9*4,季度经营税费!CX68-季度经营税费!CX69-季度经营税费!CX64,0)</f>
        <v>0</v>
      </c>
      <c r="CY65" s="9">
        <f>IF(99&lt;=核心参数输入!$B$9*4,季度经营税费!CY68-季度经营税费!CY69-季度经营税费!CY64,0)</f>
        <v>0</v>
      </c>
      <c r="CZ65" s="9">
        <f>IF(100&lt;=核心参数输入!$B$9*4,季度经营税费!CZ68-季度经营税费!CZ69-季度经营税费!CZ64,0)</f>
        <v>0</v>
      </c>
      <c r="DA65" s="9">
        <f>IF(101&lt;=核心参数输入!$B$9*4,季度经营税费!DA68-季度经营税费!DA69-季度经营税费!DA64,0)</f>
        <v>0</v>
      </c>
      <c r="DB65" s="9">
        <f>IF(102&lt;=核心参数输入!$B$9*4,季度经营税费!DB68-季度经营税费!DB69-季度经营税费!DB64,0)</f>
        <v>0</v>
      </c>
      <c r="DC65" s="9">
        <f>IF(103&lt;=核心参数输入!$B$9*4,季度经营税费!DC68-季度经营税费!DC69-季度经营税费!DC64,0)</f>
        <v>0</v>
      </c>
      <c r="DD65" s="9">
        <f>IF(104&lt;=核心参数输入!$B$9*4,季度经营税费!DD68-季度经营税费!DD69-季度经营税费!DD64,0)</f>
        <v>0</v>
      </c>
      <c r="DE65" s="9">
        <f>IF(105&lt;=核心参数输入!$B$9*4,季度经营税费!DE68-季度经营税费!DE69-季度经营税费!DE64,0)</f>
        <v>0</v>
      </c>
      <c r="DF65" s="9">
        <f>IF(106&lt;=核心参数输入!$B$9*4,季度经营税费!DF68-季度经营税费!DF69-季度经营税费!DF64,0)</f>
        <v>0</v>
      </c>
      <c r="DG65" s="9">
        <f>IF(107&lt;=核心参数输入!$B$9*4,季度经营税费!DG68-季度经营税费!DG69-季度经营税费!DG64,0)</f>
        <v>0</v>
      </c>
      <c r="DH65" s="9">
        <f>IF(108&lt;=核心参数输入!$B$9*4,季度经营税费!DH68-季度经营税费!DH69-季度经营税费!DH64,0)</f>
        <v>0</v>
      </c>
      <c r="DI65" s="9">
        <f>IF(109&lt;=核心参数输入!$B$9*4,季度经营税费!DI68-季度经营税费!DI69-季度经营税费!DI64,0)</f>
        <v>0</v>
      </c>
      <c r="DJ65" s="9">
        <f>IF(110&lt;=核心参数输入!$B$9*4,季度经营税费!DJ68-季度经营税费!DJ69-季度经营税费!DJ64,0)</f>
        <v>0</v>
      </c>
      <c r="DK65" s="9">
        <f>IF(111&lt;=核心参数输入!$B$9*4,季度经营税费!DK68-季度经营税费!DK69-季度经营税费!DK64,0)</f>
        <v>0</v>
      </c>
      <c r="DL65" s="9">
        <f>IF(112&lt;=核心参数输入!$B$9*4,季度经营税费!DL68-季度经营税费!DL69-季度经营税费!DL64,0)</f>
        <v>0</v>
      </c>
      <c r="DM65" s="9">
        <f>IF(113&lt;=核心参数输入!$B$9*4,季度经营税费!DM68-季度经营税费!DM69-季度经营税费!DM64,0)</f>
        <v>0</v>
      </c>
      <c r="DN65" s="9">
        <f>IF(114&lt;=核心参数输入!$B$9*4,季度经营税费!DN68-季度经营税费!DN69-季度经营税费!DN64,0)</f>
        <v>0</v>
      </c>
      <c r="DO65" s="9">
        <f>IF(115&lt;=核心参数输入!$B$9*4,季度经营税费!DO68-季度经营税费!DO69-季度经营税费!DO64,0)</f>
        <v>0</v>
      </c>
      <c r="DP65" s="9">
        <f>IF(116&lt;=核心参数输入!$B$9*4,季度经营税费!DP68-季度经营税费!DP69-季度经营税费!DP64,0)</f>
        <v>0</v>
      </c>
      <c r="DQ65" s="9">
        <f>IF(117&lt;=核心参数输入!$B$9*4,季度经营税费!DQ68-季度经营税费!DQ69-季度经营税费!DQ64,0)</f>
        <v>0</v>
      </c>
      <c r="DR65" s="9">
        <f>IF(118&lt;=核心参数输入!$B$9*4,季度经营税费!DR68-季度经营税费!DR69-季度经营税费!DR64,0)</f>
        <v>0</v>
      </c>
      <c r="DS65" s="9">
        <f>IF(119&lt;=核心参数输入!$B$9*4,季度经营税费!DS68-季度经营税费!DS69-季度经营税费!DS64,0)</f>
        <v>0</v>
      </c>
      <c r="DT65" s="9">
        <f>IF(120&lt;=核心参数输入!$B$9*4,季度经营税费!DT68-季度经营税费!DT69-季度经营税费!DT64,0)</f>
        <v>0</v>
      </c>
    </row>
    <row r="66" spans="1:124" ht="21" customHeight="1">
      <c r="A66" s="8" t="s">
        <v>558</v>
      </c>
      <c r="B66" s="8" t="s">
        <v>39</v>
      </c>
      <c r="C66" s="8"/>
      <c r="D66" s="9" t="str">
        <f>IF(0&lt;=核心参数输入!$B$9*4,IF(AND(0&gt;核心参数输入!$B$16*4+核心参数输入!$B$148,季度投融资!D46&gt;0.000001),D65/季度投融资!D46,""),0)</f>
        <v/>
      </c>
      <c r="E66" s="9" t="str">
        <f>IF(1&lt;=核心参数输入!$B$9*4,IF(AND(1&gt;核心参数输入!$B$16*4+核心参数输入!$B$148,季度投融资!E46&gt;0.000001),E65/季度投融资!E46,""),0)</f>
        <v/>
      </c>
      <c r="F66" s="9" t="str">
        <f>IF(2&lt;=核心参数输入!$B$9*4,IF(AND(2&gt;核心参数输入!$B$16*4+核心参数输入!$B$148,季度投融资!F46&gt;0.000001),F65/季度投融资!F46,""),0)</f>
        <v/>
      </c>
      <c r="G66" s="9" t="str">
        <f>IF(3&lt;=核心参数输入!$B$9*4,IF(AND(3&gt;核心参数输入!$B$16*4+核心参数输入!$B$148,季度投融资!G46&gt;0.000001),G65/季度投融资!G46,""),0)</f>
        <v/>
      </c>
      <c r="H66" s="9" t="str">
        <f>IF(4&lt;=核心参数输入!$B$9*4,IF(AND(4&gt;核心参数输入!$B$16*4+核心参数输入!$B$148,季度投融资!H46&gt;0.000001),H65/季度投融资!H46,""),0)</f>
        <v/>
      </c>
      <c r="I66" s="9" t="str">
        <f>IF(5&lt;=核心参数输入!$B$9*4,IF(AND(5&gt;核心参数输入!$B$16*4+核心参数输入!$B$148,季度投融资!I46&gt;0.000001),I65/季度投融资!I46,""),0)</f>
        <v/>
      </c>
      <c r="J66" s="9" t="str">
        <f>IF(6&lt;=核心参数输入!$B$9*4,IF(AND(6&gt;核心参数输入!$B$16*4+核心参数输入!$B$148,季度投融资!J46&gt;0.000001),J65/季度投融资!J46,""),0)</f>
        <v/>
      </c>
      <c r="K66" s="9" t="str">
        <f>IF(7&lt;=核心参数输入!$B$9*4,IF(AND(7&gt;核心参数输入!$B$16*4+核心参数输入!$B$148,季度投融资!K46&gt;0.000001),K65/季度投融资!K46,""),0)</f>
        <v/>
      </c>
      <c r="L66" s="9" t="str">
        <f>IF(8&lt;=核心参数输入!$B$9*4,IF(AND(8&gt;核心参数输入!$B$16*4+核心参数输入!$B$148,季度投融资!L46&gt;0.000001),L65/季度投融资!L46,""),0)</f>
        <v/>
      </c>
      <c r="M66" s="9" t="str">
        <f>IF(9&lt;=核心参数输入!$B$9*4,IF(AND(9&gt;核心参数输入!$B$16*4+核心参数输入!$B$148,季度投融资!M46&gt;0.000001),M65/季度投融资!M46,""),0)</f>
        <v/>
      </c>
      <c r="N66" s="9" t="str">
        <f>IF(10&lt;=核心参数输入!$B$9*4,IF(AND(10&gt;核心参数输入!$B$16*4+核心参数输入!$B$148,季度投融资!N46&gt;0.000001),N65/季度投融资!N46,""),0)</f>
        <v/>
      </c>
      <c r="O66" s="9" t="str">
        <f>IF(11&lt;=核心参数输入!$B$9*4,IF(AND(11&gt;核心参数输入!$B$16*4+核心参数输入!$B$148,季度投融资!O46&gt;0.000001),O65/季度投融资!O46,""),0)</f>
        <v/>
      </c>
      <c r="P66" s="9" t="str">
        <f>IF(12&lt;=核心参数输入!$B$9*4,IF(AND(12&gt;核心参数输入!$B$16*4+核心参数输入!$B$148,季度投融资!P46&gt;0.000001),P65/季度投融资!P46,""),0)</f>
        <v/>
      </c>
      <c r="Q66" s="9">
        <f>IF(13&lt;=核心参数输入!$B$9*4,IF(AND(13&gt;核心参数输入!$B$16*4+核心参数输入!$B$148,季度投融资!Q46&gt;0.000001),Q65/季度投融资!Q46,""),0)</f>
        <v>6.4562351190476193</v>
      </c>
      <c r="R66" s="9">
        <f>IF(14&lt;=核心参数输入!$B$9*4,IF(AND(14&gt;核心参数输入!$B$16*4+核心参数输入!$B$148,季度投融资!R46&gt;0.000001),R65/季度投融资!R46,""),0)</f>
        <v>9.9827741136904766</v>
      </c>
      <c r="S66" s="9">
        <f>IF(15&lt;=核心参数输入!$B$9*4,IF(AND(15&gt;核心参数输入!$B$16*4+核心参数输入!$B$148,季度投融资!S46&gt;0.000001),S65/季度投融资!S46,""),0)</f>
        <v>10.141209245833334</v>
      </c>
      <c r="T66" s="9">
        <f>IF(16&lt;=核心参数输入!$B$9*4,IF(AND(16&gt;核心参数输入!$B$16*4+核心参数输入!$B$148,季度投融资!T46&gt;0.000001),T65/季度投融资!T46,""),0)</f>
        <v>0.69506802063392215</v>
      </c>
      <c r="U66" s="9">
        <f>IF(17&lt;=核心参数输入!$B$9*4,IF(AND(17&gt;核心参数输入!$B$16*4+核心参数输入!$B$148,季度投融资!U46&gt;0.000001),U65/季度投融资!U46,""),0)</f>
        <v>14.864147608093749</v>
      </c>
      <c r="V66" s="9">
        <f>IF(18&lt;=核心参数输入!$B$9*4,IF(AND(18&gt;核心参数输入!$B$16*4+核心参数输入!$B$148,季度投融资!V46&gt;0.000001),V65/季度投融资!V46,""),0)</f>
        <v>16.336102129712501</v>
      </c>
      <c r="W66" s="9">
        <f>IF(19&lt;=核心参数输入!$B$9*4,IF(AND(19&gt;核心参数输入!$B$16*4+核心参数输入!$B$148,季度投融资!W46&gt;0.000001),W65/季度投融资!W46,""),0)</f>
        <v>16.4111475706375</v>
      </c>
      <c r="X66" s="9">
        <f>IF(20&lt;=核心参数输入!$B$9*4,IF(AND(20&gt;核心参数输入!$B$16*4+核心参数输入!$B$148,季度投融资!X46&gt;0.000001),X65/季度投融资!X46,""),0)</f>
        <v>0.87495934540771059</v>
      </c>
      <c r="Y66" s="9">
        <f>IF(21&lt;=核心参数输入!$B$9*4,IF(AND(21&gt;核心参数输入!$B$16*4+核心参数输入!$B$148,季度投融资!Y46&gt;0.000001),Y65/季度投融资!Y46,""),0)</f>
        <v>16.694234685129771</v>
      </c>
      <c r="Z66" s="9">
        <f>IF(22&lt;=核心参数输入!$B$9*4,IF(AND(22&gt;核心参数输入!$B$16*4+核心参数输入!$B$148,季度投融资!Z46&gt;0.000001),Z65/季度投融资!Z46,""),0)</f>
        <v>15.165464363795593</v>
      </c>
      <c r="AA66" s="9">
        <f>IF(23&lt;=核心参数输入!$B$9*4,IF(AND(23&gt;核心参数输入!$B$16*4+核心参数输入!$B$148,季度投融资!AA46&gt;0.000001),AA65/季度投融资!AA46,""),0)</f>
        <v>15.234018374080581</v>
      </c>
      <c r="AB66" s="9">
        <f>IF(24&lt;=核心参数输入!$B$9*4,IF(AND(24&gt;核心参数输入!$B$16*4+核心参数输入!$B$148,季度投融资!AB46&gt;0.000001),AB65/季度投融资!AB46,""),0)</f>
        <v>0.67896218926468499</v>
      </c>
      <c r="AC66" s="9">
        <f>IF(25&lt;=核心参数输入!$B$9*4,IF(AND(25&gt;核心参数输入!$B$16*4+核心参数输入!$B$148,季度投融资!AC46&gt;0.000001),AC65/季度投融资!AC46,""),0)</f>
        <v>7.2686526288378941</v>
      </c>
      <c r="AD66" s="9">
        <f>IF(26&lt;=核心参数输入!$B$9*4,IF(AND(26&gt;核心参数输入!$B$16*4+核心参数输入!$B$148,季度投融资!AD46&gt;0.000001),AD65/季度投融资!AD46,""),0)</f>
        <v>1.293825395870611</v>
      </c>
      <c r="AE66" s="9">
        <f>IF(27&lt;=核心参数输入!$B$9*4,IF(AND(27&gt;核心参数输入!$B$16*4+核心参数输入!$B$148,季度投融资!AE46&gt;0.000001),AE65/季度投融资!AE46,""),0)</f>
        <v>1.3228180293869702</v>
      </c>
      <c r="AF66" s="9">
        <f>IF(28&lt;=核心参数输入!$B$9*4,IF(AND(28&gt;核心参数输入!$B$16*4+核心参数输入!$B$148,季度投融资!AF46&gt;0.000001),AF65/季度投融资!AF46,""),0)</f>
        <v>5.476348959917033E-2</v>
      </c>
      <c r="AG66" s="9">
        <f>IF(29&lt;=核心参数输入!$B$9*4,IF(AND(29&gt;核心参数输入!$B$16*4+核心参数输入!$B$148,季度投融资!AG46&gt;0.000001),AG65/季度投融资!AG46,""),0)</f>
        <v>1.8707393278213118</v>
      </c>
      <c r="AH66" s="9">
        <f>IF(30&lt;=核心参数输入!$B$9*4,IF(AND(30&gt;核心参数输入!$B$16*4+核心参数输入!$B$148,季度投融资!AH46&gt;0.000001),AH65/季度投融资!AH46,""),0)</f>
        <v>1.8903576765007148</v>
      </c>
      <c r="AI66" s="9">
        <f>IF(31&lt;=核心参数输入!$B$9*4,IF(AND(31&gt;核心参数输入!$B$16*4+核心参数输入!$B$148,季度投融资!AI46&gt;0.000001),AI65/季度投融资!AI46,""),0)</f>
        <v>1.8903576765007148</v>
      </c>
      <c r="AJ66" s="9">
        <f>IF(32&lt;=核心参数输入!$B$9*4,IF(AND(32&gt;核心参数输入!$B$16*4+核心参数输入!$B$148,季度投融资!AJ46&gt;0.000001),AJ65/季度投融资!AJ46,""),0)</f>
        <v>5.8023158888937901E-2</v>
      </c>
      <c r="AK66" s="9">
        <f>IF(33&lt;=核心参数输入!$B$9*4,IF(AND(33&gt;核心参数输入!$B$16*4+核心参数输入!$B$148,季度投融资!AK46&gt;0.000001),AK65/季度投融资!AK46,""),0)</f>
        <v>2.881059428472339</v>
      </c>
      <c r="AL66" s="9">
        <f>IF(34&lt;=核心参数输入!$B$9*4,IF(AND(34&gt;核心参数输入!$B$16*4+核心参数输入!$B$148,季度投融资!AL46&gt;0.000001),AL65/季度投融资!AL46,""),0)</f>
        <v>2.881059428472339</v>
      </c>
      <c r="AM66" s="9">
        <f>IF(35&lt;=核心参数输入!$B$9*4,IF(AND(35&gt;核心参数输入!$B$16*4+核心参数输入!$B$148,季度投融资!AM46&gt;0.000001),AM65/季度投融资!AM46,""),0)</f>
        <v>2.881059428472339</v>
      </c>
      <c r="AN66" s="9">
        <f>IF(36&lt;=核心参数输入!$B$9*4,IF(AND(36&gt;核心参数输入!$B$16*4+核心参数输入!$B$148,季度投融资!AN46&gt;0.000001),AN65/季度投融资!AN46,""),0)</f>
        <v>5.9564113214786218E-2</v>
      </c>
      <c r="AO66" s="9">
        <f>IF(37&lt;=核心参数输入!$B$9*4,IF(AND(37&gt;核心参数输入!$B$16*4+核心参数输入!$B$148,季度投融资!AO46&gt;0.000001),AO65/季度投融资!AO46,""),0)</f>
        <v>5.8543499664388472</v>
      </c>
      <c r="AP66" s="9">
        <f>IF(38&lt;=核心参数输入!$B$9*4,IF(AND(38&gt;核心参数输入!$B$16*4+核心参数输入!$B$148,季度投融资!AP46&gt;0.000001),AP65/季度投融资!AP46,""),0)</f>
        <v>5.8543499664388472</v>
      </c>
      <c r="AQ66" s="9">
        <f>IF(39&lt;=核心参数输入!$B$9*4,IF(AND(39&gt;核心参数输入!$B$16*4+核心参数输入!$B$148,季度投融资!AQ46&gt;0.000001),AQ65/季度投融资!AQ46,""),0)</f>
        <v>5.8543499664388472</v>
      </c>
      <c r="AR66" s="9">
        <f>IF(40&lt;=核心参数输入!$B$9*4,IF(AND(40&gt;核心参数输入!$B$16*4+核心参数输入!$B$148,季度投融资!AR46&gt;0.000001),AR65/季度投融资!AR46,""),0)</f>
        <v>6.1149639042634069E-2</v>
      </c>
      <c r="AS66" s="9" t="str">
        <f>IF(41&lt;=核心参数输入!$B$9*4,IF(AND(41&gt;核心参数输入!$B$16*4+核心参数输入!$B$148,季度投融资!AS46&gt;0.000001),AS65/季度投融资!AS46,""),0)</f>
        <v/>
      </c>
      <c r="AT66" s="9" t="str">
        <f>IF(42&lt;=核心参数输入!$B$9*4,IF(AND(42&gt;核心参数输入!$B$16*4+核心参数输入!$B$148,季度投融资!AT46&gt;0.000001),AT65/季度投融资!AT46,""),0)</f>
        <v/>
      </c>
      <c r="AU66" s="9" t="str">
        <f>IF(43&lt;=核心参数输入!$B$9*4,IF(AND(43&gt;核心参数输入!$B$16*4+核心参数输入!$B$148,季度投融资!AU46&gt;0.000001),AU65/季度投融资!AU46,""),0)</f>
        <v/>
      </c>
      <c r="AV66" s="9" t="str">
        <f>IF(44&lt;=核心参数输入!$B$9*4,IF(AND(44&gt;核心参数输入!$B$16*4+核心参数输入!$B$148,季度投融资!AV46&gt;0.000001),AV65/季度投融资!AV46,""),0)</f>
        <v/>
      </c>
      <c r="AW66" s="9" t="str">
        <f>IF(45&lt;=核心参数输入!$B$9*4,IF(AND(45&gt;核心参数输入!$B$16*4+核心参数输入!$B$148,季度投融资!AW46&gt;0.000001),AW65/季度投融资!AW46,""),0)</f>
        <v/>
      </c>
      <c r="AX66" s="9" t="str">
        <f>IF(46&lt;=核心参数输入!$B$9*4,IF(AND(46&gt;核心参数输入!$B$16*4+核心参数输入!$B$148,季度投融资!AX46&gt;0.000001),AX65/季度投融资!AX46,""),0)</f>
        <v/>
      </c>
      <c r="AY66" s="9" t="str">
        <f>IF(47&lt;=核心参数输入!$B$9*4,IF(AND(47&gt;核心参数输入!$B$16*4+核心参数输入!$B$148,季度投融资!AY46&gt;0.000001),AY65/季度投融资!AY46,""),0)</f>
        <v/>
      </c>
      <c r="AZ66" s="9" t="str">
        <f>IF(48&lt;=核心参数输入!$B$9*4,IF(AND(48&gt;核心参数输入!$B$16*4+核心参数输入!$B$148,季度投融资!AZ46&gt;0.000001),AZ65/季度投融资!AZ46,""),0)</f>
        <v/>
      </c>
      <c r="BA66" s="9" t="str">
        <f>IF(49&lt;=核心参数输入!$B$9*4,IF(AND(49&gt;核心参数输入!$B$16*4+核心参数输入!$B$148,季度投融资!BA46&gt;0.000001),BA65/季度投融资!BA46,""),0)</f>
        <v/>
      </c>
      <c r="BB66" s="9" t="str">
        <f>IF(50&lt;=核心参数输入!$B$9*4,IF(AND(50&gt;核心参数输入!$B$16*4+核心参数输入!$B$148,季度投融资!BB46&gt;0.000001),BB65/季度投融资!BB46,""),0)</f>
        <v/>
      </c>
      <c r="BC66" s="9" t="str">
        <f>IF(51&lt;=核心参数输入!$B$9*4,IF(AND(51&gt;核心参数输入!$B$16*4+核心参数输入!$B$148,季度投融资!BC46&gt;0.000001),BC65/季度投融资!BC46,""),0)</f>
        <v/>
      </c>
      <c r="BD66" s="9" t="str">
        <f>IF(52&lt;=核心参数输入!$B$9*4,IF(AND(52&gt;核心参数输入!$B$16*4+核心参数输入!$B$148,季度投融资!BD46&gt;0.000001),BD65/季度投融资!BD46,""),0)</f>
        <v/>
      </c>
      <c r="BE66" s="9" t="str">
        <f>IF(53&lt;=核心参数输入!$B$9*4,IF(AND(53&gt;核心参数输入!$B$16*4+核心参数输入!$B$148,季度投融资!BE46&gt;0.000001),BE65/季度投融资!BE46,""),0)</f>
        <v/>
      </c>
      <c r="BF66" s="9" t="str">
        <f>IF(54&lt;=核心参数输入!$B$9*4,IF(AND(54&gt;核心参数输入!$B$16*4+核心参数输入!$B$148,季度投融资!BF46&gt;0.000001),BF65/季度投融资!BF46,""),0)</f>
        <v/>
      </c>
      <c r="BG66" s="9" t="str">
        <f>IF(55&lt;=核心参数输入!$B$9*4,IF(AND(55&gt;核心参数输入!$B$16*4+核心参数输入!$B$148,季度投融资!BG46&gt;0.000001),BG65/季度投融资!BG46,""),0)</f>
        <v/>
      </c>
      <c r="BH66" s="9" t="str">
        <f>IF(56&lt;=核心参数输入!$B$9*4,IF(AND(56&gt;核心参数输入!$B$16*4+核心参数输入!$B$148,季度投融资!BH46&gt;0.000001),BH65/季度投融资!BH46,""),0)</f>
        <v/>
      </c>
      <c r="BI66" s="9" t="str">
        <f>IF(57&lt;=核心参数输入!$B$9*4,IF(AND(57&gt;核心参数输入!$B$16*4+核心参数输入!$B$148,季度投融资!BI46&gt;0.000001),BI65/季度投融资!BI46,""),0)</f>
        <v/>
      </c>
      <c r="BJ66" s="9" t="str">
        <f>IF(58&lt;=核心参数输入!$B$9*4,IF(AND(58&gt;核心参数输入!$B$16*4+核心参数输入!$B$148,季度投融资!BJ46&gt;0.000001),BJ65/季度投融资!BJ46,""),0)</f>
        <v/>
      </c>
      <c r="BK66" s="9" t="str">
        <f>IF(59&lt;=核心参数输入!$B$9*4,IF(AND(59&gt;核心参数输入!$B$16*4+核心参数输入!$B$148,季度投融资!BK46&gt;0.000001),BK65/季度投融资!BK46,""),0)</f>
        <v/>
      </c>
      <c r="BL66" s="9" t="str">
        <f>IF(60&lt;=核心参数输入!$B$9*4,IF(AND(60&gt;核心参数输入!$B$16*4+核心参数输入!$B$148,季度投融资!BL46&gt;0.000001),BL65/季度投融资!BL46,""),0)</f>
        <v/>
      </c>
      <c r="BM66" s="9" t="str">
        <f>IF(61&lt;=核心参数输入!$B$9*4,IF(AND(61&gt;核心参数输入!$B$16*4+核心参数输入!$B$148,季度投融资!BM46&gt;0.000001),BM65/季度投融资!BM46,""),0)</f>
        <v/>
      </c>
      <c r="BN66" s="9" t="str">
        <f>IF(62&lt;=核心参数输入!$B$9*4,IF(AND(62&gt;核心参数输入!$B$16*4+核心参数输入!$B$148,季度投融资!BN46&gt;0.000001),BN65/季度投融资!BN46,""),0)</f>
        <v/>
      </c>
      <c r="BO66" s="9" t="str">
        <f>IF(63&lt;=核心参数输入!$B$9*4,IF(AND(63&gt;核心参数输入!$B$16*4+核心参数输入!$B$148,季度投融资!BO46&gt;0.000001),BO65/季度投融资!BO46,""),0)</f>
        <v/>
      </c>
      <c r="BP66" s="9" t="str">
        <f>IF(64&lt;=核心参数输入!$B$9*4,IF(AND(64&gt;核心参数输入!$B$16*4+核心参数输入!$B$148,季度投融资!BP46&gt;0.000001),BP65/季度投融资!BP46,""),0)</f>
        <v/>
      </c>
      <c r="BQ66" s="9" t="str">
        <f>IF(65&lt;=核心参数输入!$B$9*4,IF(AND(65&gt;核心参数输入!$B$16*4+核心参数输入!$B$148,季度投融资!BQ46&gt;0.000001),BQ65/季度投融资!BQ46,""),0)</f>
        <v/>
      </c>
      <c r="BR66" s="9" t="str">
        <f>IF(66&lt;=核心参数输入!$B$9*4,IF(AND(66&gt;核心参数输入!$B$16*4+核心参数输入!$B$148,季度投融资!BR46&gt;0.000001),BR65/季度投融资!BR46,""),0)</f>
        <v/>
      </c>
      <c r="BS66" s="9" t="str">
        <f>IF(67&lt;=核心参数输入!$B$9*4,IF(AND(67&gt;核心参数输入!$B$16*4+核心参数输入!$B$148,季度投融资!BS46&gt;0.000001),BS65/季度投融资!BS46,""),0)</f>
        <v/>
      </c>
      <c r="BT66" s="9" t="str">
        <f>IF(68&lt;=核心参数输入!$B$9*4,IF(AND(68&gt;核心参数输入!$B$16*4+核心参数输入!$B$148,季度投融资!BT46&gt;0.000001),BT65/季度投融资!BT46,""),0)</f>
        <v/>
      </c>
      <c r="BU66" s="9" t="str">
        <f>IF(69&lt;=核心参数输入!$B$9*4,IF(AND(69&gt;核心参数输入!$B$16*4+核心参数输入!$B$148,季度投融资!BU46&gt;0.000001),BU65/季度投融资!BU46,""),0)</f>
        <v/>
      </c>
      <c r="BV66" s="9" t="str">
        <f>IF(70&lt;=核心参数输入!$B$9*4,IF(AND(70&gt;核心参数输入!$B$16*4+核心参数输入!$B$148,季度投融资!BV46&gt;0.000001),BV65/季度投融资!BV46,""),0)</f>
        <v/>
      </c>
      <c r="BW66" s="9" t="str">
        <f>IF(71&lt;=核心参数输入!$B$9*4,IF(AND(71&gt;核心参数输入!$B$16*4+核心参数输入!$B$148,季度投融资!BW46&gt;0.000001),BW65/季度投融资!BW46,""),0)</f>
        <v/>
      </c>
      <c r="BX66" s="9" t="str">
        <f>IF(72&lt;=核心参数输入!$B$9*4,IF(AND(72&gt;核心参数输入!$B$16*4+核心参数输入!$B$148,季度投融资!BX46&gt;0.000001),BX65/季度投融资!BX46,""),0)</f>
        <v/>
      </c>
      <c r="BY66" s="9" t="str">
        <f>IF(73&lt;=核心参数输入!$B$9*4,IF(AND(73&gt;核心参数输入!$B$16*4+核心参数输入!$B$148,季度投融资!BY46&gt;0.000001),BY65/季度投融资!BY46,""),0)</f>
        <v/>
      </c>
      <c r="BZ66" s="9" t="str">
        <f>IF(74&lt;=核心参数输入!$B$9*4,IF(AND(74&gt;核心参数输入!$B$16*4+核心参数输入!$B$148,季度投融资!BZ46&gt;0.000001),BZ65/季度投融资!BZ46,""),0)</f>
        <v/>
      </c>
      <c r="CA66" s="9" t="str">
        <f>IF(75&lt;=核心参数输入!$B$9*4,IF(AND(75&gt;核心参数输入!$B$16*4+核心参数输入!$B$148,季度投融资!CA46&gt;0.000001),CA65/季度投融资!CA46,""),0)</f>
        <v/>
      </c>
      <c r="CB66" s="9" t="str">
        <f>IF(76&lt;=核心参数输入!$B$9*4,IF(AND(76&gt;核心参数输入!$B$16*4+核心参数输入!$B$148,季度投融资!CB46&gt;0.000001),CB65/季度投融资!CB46,""),0)</f>
        <v/>
      </c>
      <c r="CC66" s="9" t="str">
        <f>IF(77&lt;=核心参数输入!$B$9*4,IF(AND(77&gt;核心参数输入!$B$16*4+核心参数输入!$B$148,季度投融资!CC46&gt;0.000001),CC65/季度投融资!CC46,""),0)</f>
        <v/>
      </c>
      <c r="CD66" s="9" t="str">
        <f>IF(78&lt;=核心参数输入!$B$9*4,IF(AND(78&gt;核心参数输入!$B$16*4+核心参数输入!$B$148,季度投融资!CD46&gt;0.000001),CD65/季度投融资!CD46,""),0)</f>
        <v/>
      </c>
      <c r="CE66" s="9" t="str">
        <f>IF(79&lt;=核心参数输入!$B$9*4,IF(AND(79&gt;核心参数输入!$B$16*4+核心参数输入!$B$148,季度投融资!CE46&gt;0.000001),CE65/季度投融资!CE46,""),0)</f>
        <v/>
      </c>
      <c r="CF66" s="9" t="str">
        <f>IF(80&lt;=核心参数输入!$B$9*4,IF(AND(80&gt;核心参数输入!$B$16*4+核心参数输入!$B$148,季度投融资!CF46&gt;0.000001),CF65/季度投融资!CF46,""),0)</f>
        <v/>
      </c>
      <c r="CG66" s="9">
        <f>IF(81&lt;=核心参数输入!$B$9*4,IF(AND(81&gt;核心参数输入!$B$16*4+核心参数输入!$B$148,季度投融资!CG46&gt;0.000001),CG65/季度投融资!CG46,""),0)</f>
        <v>0</v>
      </c>
      <c r="CH66" s="9">
        <f>IF(82&lt;=核心参数输入!$B$9*4,IF(AND(82&gt;核心参数输入!$B$16*4+核心参数输入!$B$148,季度投融资!CH46&gt;0.000001),CH65/季度投融资!CH46,""),0)</f>
        <v>0</v>
      </c>
      <c r="CI66" s="9">
        <f>IF(83&lt;=核心参数输入!$B$9*4,IF(AND(83&gt;核心参数输入!$B$16*4+核心参数输入!$B$148,季度投融资!CI46&gt;0.000001),CI65/季度投融资!CI46,""),0)</f>
        <v>0</v>
      </c>
      <c r="CJ66" s="9">
        <f>IF(84&lt;=核心参数输入!$B$9*4,IF(AND(84&gt;核心参数输入!$B$16*4+核心参数输入!$B$148,季度投融资!CJ46&gt;0.000001),CJ65/季度投融资!CJ46,""),0)</f>
        <v>0</v>
      </c>
      <c r="CK66" s="9">
        <f>IF(85&lt;=核心参数输入!$B$9*4,IF(AND(85&gt;核心参数输入!$B$16*4+核心参数输入!$B$148,季度投融资!CK46&gt;0.000001),CK65/季度投融资!CK46,""),0)</f>
        <v>0</v>
      </c>
      <c r="CL66" s="9">
        <f>IF(86&lt;=核心参数输入!$B$9*4,IF(AND(86&gt;核心参数输入!$B$16*4+核心参数输入!$B$148,季度投融资!CL46&gt;0.000001),CL65/季度投融资!CL46,""),0)</f>
        <v>0</v>
      </c>
      <c r="CM66" s="9">
        <f>IF(87&lt;=核心参数输入!$B$9*4,IF(AND(87&gt;核心参数输入!$B$16*4+核心参数输入!$B$148,季度投融资!CM46&gt;0.000001),CM65/季度投融资!CM46,""),0)</f>
        <v>0</v>
      </c>
      <c r="CN66" s="9">
        <f>IF(88&lt;=核心参数输入!$B$9*4,IF(AND(88&gt;核心参数输入!$B$16*4+核心参数输入!$B$148,季度投融资!CN46&gt;0.000001),CN65/季度投融资!CN46,""),0)</f>
        <v>0</v>
      </c>
      <c r="CO66" s="9">
        <f>IF(89&lt;=核心参数输入!$B$9*4,IF(AND(89&gt;核心参数输入!$B$16*4+核心参数输入!$B$148,季度投融资!CO46&gt;0.000001),CO65/季度投融资!CO46,""),0)</f>
        <v>0</v>
      </c>
      <c r="CP66" s="9">
        <f>IF(90&lt;=核心参数输入!$B$9*4,IF(AND(90&gt;核心参数输入!$B$16*4+核心参数输入!$B$148,季度投融资!CP46&gt;0.000001),CP65/季度投融资!CP46,""),0)</f>
        <v>0</v>
      </c>
      <c r="CQ66" s="9">
        <f>IF(91&lt;=核心参数输入!$B$9*4,IF(AND(91&gt;核心参数输入!$B$16*4+核心参数输入!$B$148,季度投融资!CQ46&gt;0.000001),CQ65/季度投融资!CQ46,""),0)</f>
        <v>0</v>
      </c>
      <c r="CR66" s="9">
        <f>IF(92&lt;=核心参数输入!$B$9*4,IF(AND(92&gt;核心参数输入!$B$16*4+核心参数输入!$B$148,季度投融资!CR46&gt;0.000001),CR65/季度投融资!CR46,""),0)</f>
        <v>0</v>
      </c>
      <c r="CS66" s="9">
        <f>IF(93&lt;=核心参数输入!$B$9*4,IF(AND(93&gt;核心参数输入!$B$16*4+核心参数输入!$B$148,季度投融资!CS46&gt;0.000001),CS65/季度投融资!CS46,""),0)</f>
        <v>0</v>
      </c>
      <c r="CT66" s="9">
        <f>IF(94&lt;=核心参数输入!$B$9*4,IF(AND(94&gt;核心参数输入!$B$16*4+核心参数输入!$B$148,季度投融资!CT46&gt;0.000001),CT65/季度投融资!CT46,""),0)</f>
        <v>0</v>
      </c>
      <c r="CU66" s="9">
        <f>IF(95&lt;=核心参数输入!$B$9*4,IF(AND(95&gt;核心参数输入!$B$16*4+核心参数输入!$B$148,季度投融资!CU46&gt;0.000001),CU65/季度投融资!CU46,""),0)</f>
        <v>0</v>
      </c>
      <c r="CV66" s="9">
        <f>IF(96&lt;=核心参数输入!$B$9*4,IF(AND(96&gt;核心参数输入!$B$16*4+核心参数输入!$B$148,季度投融资!CV46&gt;0.000001),CV65/季度投融资!CV46,""),0)</f>
        <v>0</v>
      </c>
      <c r="CW66" s="9">
        <f>IF(97&lt;=核心参数输入!$B$9*4,IF(AND(97&gt;核心参数输入!$B$16*4+核心参数输入!$B$148,季度投融资!CW46&gt;0.000001),CW65/季度投融资!CW46,""),0)</f>
        <v>0</v>
      </c>
      <c r="CX66" s="9">
        <f>IF(98&lt;=核心参数输入!$B$9*4,IF(AND(98&gt;核心参数输入!$B$16*4+核心参数输入!$B$148,季度投融资!CX46&gt;0.000001),CX65/季度投融资!CX46,""),0)</f>
        <v>0</v>
      </c>
      <c r="CY66" s="9">
        <f>IF(99&lt;=核心参数输入!$B$9*4,IF(AND(99&gt;核心参数输入!$B$16*4+核心参数输入!$B$148,季度投融资!CY46&gt;0.000001),CY65/季度投融资!CY46,""),0)</f>
        <v>0</v>
      </c>
      <c r="CZ66" s="9">
        <f>IF(100&lt;=核心参数输入!$B$9*4,IF(AND(100&gt;核心参数输入!$B$16*4+核心参数输入!$B$148,季度投融资!CZ46&gt;0.000001),CZ65/季度投融资!CZ46,""),0)</f>
        <v>0</v>
      </c>
      <c r="DA66" s="9">
        <f>IF(101&lt;=核心参数输入!$B$9*4,IF(AND(101&gt;核心参数输入!$B$16*4+核心参数输入!$B$148,季度投融资!DA46&gt;0.000001),DA65/季度投融资!DA46,""),0)</f>
        <v>0</v>
      </c>
      <c r="DB66" s="9">
        <f>IF(102&lt;=核心参数输入!$B$9*4,IF(AND(102&gt;核心参数输入!$B$16*4+核心参数输入!$B$148,季度投融资!DB46&gt;0.000001),DB65/季度投融资!DB46,""),0)</f>
        <v>0</v>
      </c>
      <c r="DC66" s="9">
        <f>IF(103&lt;=核心参数输入!$B$9*4,IF(AND(103&gt;核心参数输入!$B$16*4+核心参数输入!$B$148,季度投融资!DC46&gt;0.000001),DC65/季度投融资!DC46,""),0)</f>
        <v>0</v>
      </c>
      <c r="DD66" s="9">
        <f>IF(104&lt;=核心参数输入!$B$9*4,IF(AND(104&gt;核心参数输入!$B$16*4+核心参数输入!$B$148,季度投融资!DD46&gt;0.000001),DD65/季度投融资!DD46,""),0)</f>
        <v>0</v>
      </c>
      <c r="DE66" s="9">
        <f>IF(105&lt;=核心参数输入!$B$9*4,IF(AND(105&gt;核心参数输入!$B$16*4+核心参数输入!$B$148,季度投融资!DE46&gt;0.000001),DE65/季度投融资!DE46,""),0)</f>
        <v>0</v>
      </c>
      <c r="DF66" s="9">
        <f>IF(106&lt;=核心参数输入!$B$9*4,IF(AND(106&gt;核心参数输入!$B$16*4+核心参数输入!$B$148,季度投融资!DF46&gt;0.000001),DF65/季度投融资!DF46,""),0)</f>
        <v>0</v>
      </c>
      <c r="DG66" s="9">
        <f>IF(107&lt;=核心参数输入!$B$9*4,IF(AND(107&gt;核心参数输入!$B$16*4+核心参数输入!$B$148,季度投融资!DG46&gt;0.000001),DG65/季度投融资!DG46,""),0)</f>
        <v>0</v>
      </c>
      <c r="DH66" s="9">
        <f>IF(108&lt;=核心参数输入!$B$9*4,IF(AND(108&gt;核心参数输入!$B$16*4+核心参数输入!$B$148,季度投融资!DH46&gt;0.000001),DH65/季度投融资!DH46,""),0)</f>
        <v>0</v>
      </c>
      <c r="DI66" s="9">
        <f>IF(109&lt;=核心参数输入!$B$9*4,IF(AND(109&gt;核心参数输入!$B$16*4+核心参数输入!$B$148,季度投融资!DI46&gt;0.000001),DI65/季度投融资!DI46,""),0)</f>
        <v>0</v>
      </c>
      <c r="DJ66" s="9">
        <f>IF(110&lt;=核心参数输入!$B$9*4,IF(AND(110&gt;核心参数输入!$B$16*4+核心参数输入!$B$148,季度投融资!DJ46&gt;0.000001),DJ65/季度投融资!DJ46,""),0)</f>
        <v>0</v>
      </c>
      <c r="DK66" s="9">
        <f>IF(111&lt;=核心参数输入!$B$9*4,IF(AND(111&gt;核心参数输入!$B$16*4+核心参数输入!$B$148,季度投融资!DK46&gt;0.000001),DK65/季度投融资!DK46,""),0)</f>
        <v>0</v>
      </c>
      <c r="DL66" s="9">
        <f>IF(112&lt;=核心参数输入!$B$9*4,IF(AND(112&gt;核心参数输入!$B$16*4+核心参数输入!$B$148,季度投融资!DL46&gt;0.000001),DL65/季度投融资!DL46,""),0)</f>
        <v>0</v>
      </c>
      <c r="DM66" s="9">
        <f>IF(113&lt;=核心参数输入!$B$9*4,IF(AND(113&gt;核心参数输入!$B$16*4+核心参数输入!$B$148,季度投融资!DM46&gt;0.000001),DM65/季度投融资!DM46,""),0)</f>
        <v>0</v>
      </c>
      <c r="DN66" s="9">
        <f>IF(114&lt;=核心参数输入!$B$9*4,IF(AND(114&gt;核心参数输入!$B$16*4+核心参数输入!$B$148,季度投融资!DN46&gt;0.000001),DN65/季度投融资!DN46,""),0)</f>
        <v>0</v>
      </c>
      <c r="DO66" s="9">
        <f>IF(115&lt;=核心参数输入!$B$9*4,IF(AND(115&gt;核心参数输入!$B$16*4+核心参数输入!$B$148,季度投融资!DO46&gt;0.000001),DO65/季度投融资!DO46,""),0)</f>
        <v>0</v>
      </c>
      <c r="DP66" s="9">
        <f>IF(116&lt;=核心参数输入!$B$9*4,IF(AND(116&gt;核心参数输入!$B$16*4+核心参数输入!$B$148,季度投融资!DP46&gt;0.000001),DP65/季度投融资!DP46,""),0)</f>
        <v>0</v>
      </c>
      <c r="DQ66" s="9">
        <f>IF(117&lt;=核心参数输入!$B$9*4,IF(AND(117&gt;核心参数输入!$B$16*4+核心参数输入!$B$148,季度投融资!DQ46&gt;0.000001),DQ65/季度投融资!DQ46,""),0)</f>
        <v>0</v>
      </c>
      <c r="DR66" s="9">
        <f>IF(118&lt;=核心参数输入!$B$9*4,IF(AND(118&gt;核心参数输入!$B$16*4+核心参数输入!$B$148,季度投融资!DR46&gt;0.000001),DR65/季度投融资!DR46,""),0)</f>
        <v>0</v>
      </c>
      <c r="DS66" s="9">
        <f>IF(119&lt;=核心参数输入!$B$9*4,IF(AND(119&gt;核心参数输入!$B$16*4+核心参数输入!$B$148,季度投融资!DS46&gt;0.000001),DS65/季度投融资!DS46,""),0)</f>
        <v>0</v>
      </c>
      <c r="DT66" s="9">
        <f>IF(120&lt;=核心参数输入!$B$9*4,IF(AND(120&gt;核心参数输入!$B$16*4+核心参数输入!$B$148,季度投融资!DT46&gt;0.000001),DT65/季度投融资!DT46,""),0)</f>
        <v>0</v>
      </c>
    </row>
    <row r="67" spans="1:124" ht="21" customHeight="1">
      <c r="A67" s="8" t="s">
        <v>559</v>
      </c>
      <c r="B67" s="8" t="s">
        <v>39</v>
      </c>
      <c r="C67" s="8"/>
      <c r="D67" s="9">
        <f>IF(0&lt;=核心参数输入!$B$9*4,MAX(0,季度投融资!D46-D65),0)</f>
        <v>0</v>
      </c>
      <c r="E67" s="9">
        <f>IF(1&lt;=核心参数输入!$B$9*4,MAX(0,季度投融资!E46-E65),0)</f>
        <v>11.8125</v>
      </c>
      <c r="F67" s="9">
        <f>IF(2&lt;=核心参数输入!$B$9*4,MAX(0,季度投融资!F46-F65),0)</f>
        <v>35.4375</v>
      </c>
      <c r="G67" s="9">
        <f>IF(3&lt;=核心参数输入!$B$9*4,MAX(0,季度投融资!G46-G65),0)</f>
        <v>59.062500000000007</v>
      </c>
      <c r="H67" s="9">
        <f>IF(4&lt;=核心参数输入!$B$9*4,MAX(0,季度投融资!H46-H65),0)</f>
        <v>82.6875</v>
      </c>
      <c r="I67" s="9">
        <f>IF(5&lt;=核心参数输入!$B$9*4,MAX(0,季度投融资!I46-I65),0)</f>
        <v>110.25</v>
      </c>
      <c r="J67" s="9">
        <f>IF(6&lt;=核心参数输入!$B$9*4,MAX(0,季度投融资!J46-J65),0)</f>
        <v>141.75</v>
      </c>
      <c r="K67" s="9">
        <f>IF(7&lt;=核心参数输入!$B$9*4,MAX(0,季度投融资!K46-K65),0)</f>
        <v>173.25</v>
      </c>
      <c r="L67" s="9">
        <f>IF(8&lt;=核心参数输入!$B$9*4,MAX(0,季度投融资!L46-L65),0)</f>
        <v>204.75</v>
      </c>
      <c r="M67" s="9">
        <f>IF(9&lt;=核心参数输入!$B$9*4,MAX(0,季度投融资!M46-M65),0)</f>
        <v>232.31250000000003</v>
      </c>
      <c r="N67" s="9">
        <f>IF(10&lt;=核心参数输入!$B$9*4,MAX(0,季度投融资!N46-N65),0)</f>
        <v>255.93750000000003</v>
      </c>
      <c r="O67" s="9">
        <f>IF(11&lt;=核心参数输入!$B$9*4,MAX(0,季度投融资!O46-O65),0)</f>
        <v>279.5625</v>
      </c>
      <c r="P67" s="9">
        <f>IF(12&lt;=核心参数输入!$B$9*4,MAX(0,季度投融资!P46-P65),0)</f>
        <v>303.1875</v>
      </c>
      <c r="Q67" s="9">
        <f>IF(13&lt;=核心参数输入!$B$9*4,MAX(0,季度投融资!Q46-Q65),0)</f>
        <v>0</v>
      </c>
      <c r="R67" s="9">
        <f>IF(14&lt;=核心参数输入!$B$9*4,MAX(0,季度投融资!R46-R65),0)</f>
        <v>0</v>
      </c>
      <c r="S67" s="9">
        <f>IF(15&lt;=核心参数输入!$B$9*4,MAX(0,季度投融资!S46-S65),0)</f>
        <v>0</v>
      </c>
      <c r="T67" s="9">
        <f>IF(16&lt;=核心参数输入!$B$9*4,MAX(0,季度投融资!T46-T65),0)</f>
        <v>1396.0439441049111</v>
      </c>
      <c r="U67" s="9">
        <f>IF(17&lt;=核心参数输入!$B$9*4,MAX(0,季度投融资!U46-U65),0)</f>
        <v>0</v>
      </c>
      <c r="V67" s="9">
        <f>IF(18&lt;=核心参数输入!$B$9*4,MAX(0,季度投融资!V46-V65),0)</f>
        <v>0</v>
      </c>
      <c r="W67" s="9">
        <f>IF(19&lt;=核心参数输入!$B$9*4,MAX(0,季度投融资!W46-W65),0)</f>
        <v>0</v>
      </c>
      <c r="X67" s="9">
        <f>IF(20&lt;=核心参数输入!$B$9*4,MAX(0,季度投融资!X46-X65),0)</f>
        <v>566.83608169283207</v>
      </c>
      <c r="Y67" s="9">
        <f>IF(21&lt;=核心参数输入!$B$9*4,MAX(0,季度投融资!Y46-Y65),0)</f>
        <v>0</v>
      </c>
      <c r="Z67" s="9">
        <f>IF(22&lt;=核心参数输入!$B$9*4,MAX(0,季度投融资!Z46-Z65),0)</f>
        <v>0</v>
      </c>
      <c r="AA67" s="9">
        <f>IF(23&lt;=核心参数输入!$B$9*4,MAX(0,季度投融资!AA46-AA65),0)</f>
        <v>0</v>
      </c>
      <c r="AB67" s="9">
        <f>IF(24&lt;=核心参数输入!$B$9*4,MAX(0,季度投融资!AB46-AB65),0)</f>
        <v>1440.8864883966799</v>
      </c>
      <c r="AC67" s="9">
        <f>IF(25&lt;=核心参数输入!$B$9*4,MAX(0,季度投融资!AC46-AC65),0)</f>
        <v>0</v>
      </c>
      <c r="AD67" s="9">
        <f>IF(26&lt;=核心参数输入!$B$9*4,MAX(0,季度投融资!AD46-AD65),0)</f>
        <v>0</v>
      </c>
      <c r="AE67" s="9">
        <f>IF(27&lt;=核心参数输入!$B$9*4,MAX(0,季度投融资!AE46-AE65),0)</f>
        <v>0</v>
      </c>
      <c r="AF67" s="9">
        <f>IF(28&lt;=核心参数输入!$B$9*4,MAX(0,季度投融资!AF46-AF65),0)</f>
        <v>4199.8883663916858</v>
      </c>
      <c r="AG67" s="9">
        <f>IF(29&lt;=核心参数输入!$B$9*4,MAX(0,季度投融资!AG46-AG65),0)</f>
        <v>0</v>
      </c>
      <c r="AH67" s="9">
        <f>IF(30&lt;=核心参数输入!$B$9*4,MAX(0,季度投融资!AH46-AH65),0)</f>
        <v>0</v>
      </c>
      <c r="AI67" s="9">
        <f>IF(31&lt;=核心参数输入!$B$9*4,MAX(0,季度投融资!AI46-AI65),0)</f>
        <v>0</v>
      </c>
      <c r="AJ67" s="9">
        <f>IF(32&lt;=核心参数输入!$B$9*4,MAX(0,季度投融资!AJ46-AJ65),0)</f>
        <v>4143.0159993866891</v>
      </c>
      <c r="AK67" s="9">
        <f>IF(33&lt;=核心参数输入!$B$9*4,MAX(0,季度投融资!AK46-AK65),0)</f>
        <v>0</v>
      </c>
      <c r="AL67" s="9">
        <f>IF(34&lt;=核心参数输入!$B$9*4,MAX(0,季度投融资!AL46-AL65),0)</f>
        <v>0</v>
      </c>
      <c r="AM67" s="9">
        <f>IF(35&lt;=核心参数输入!$B$9*4,MAX(0,季度投融资!AM46-AM65),0)</f>
        <v>0</v>
      </c>
      <c r="AN67" s="9">
        <f>IF(36&lt;=核心参数输入!$B$9*4,MAX(0,季度投融资!AN46-AN65),0)</f>
        <v>4093.918937151775</v>
      </c>
      <c r="AO67" s="9">
        <f>IF(37&lt;=核心参数输入!$B$9*4,MAX(0,季度投融资!AO46-AO65),0)</f>
        <v>0</v>
      </c>
      <c r="AP67" s="9">
        <f>IF(38&lt;=核心参数输入!$B$9*4,MAX(0,季度投融资!AP46-AP65),0)</f>
        <v>0</v>
      </c>
      <c r="AQ67" s="9">
        <f>IF(39&lt;=核心参数输入!$B$9*4,MAX(0,季度投融资!AQ46-AQ65),0)</f>
        <v>0</v>
      </c>
      <c r="AR67" s="9">
        <f>IF(40&lt;=核心参数输入!$B$9*4,MAX(0,季度投融资!AR46-AR65),0)</f>
        <v>4044.7685372245355</v>
      </c>
      <c r="AS67" s="9">
        <f>IF(41&lt;=核心参数输入!$B$9*4,MAX(0,季度投融资!AS46-AS65),0)</f>
        <v>0</v>
      </c>
      <c r="AT67" s="9">
        <f>IF(42&lt;=核心参数输入!$B$9*4,MAX(0,季度投融资!AT46-AT65),0)</f>
        <v>0</v>
      </c>
      <c r="AU67" s="9">
        <f>IF(43&lt;=核心参数输入!$B$9*4,MAX(0,季度投融资!AU46-AU65),0)</f>
        <v>0</v>
      </c>
      <c r="AV67" s="9">
        <f>IF(44&lt;=核心参数输入!$B$9*4,MAX(0,季度投融资!AV46-AV65),0)</f>
        <v>0</v>
      </c>
      <c r="AW67" s="9">
        <f>IF(45&lt;=核心参数输入!$B$9*4,MAX(0,季度投融资!AW46-AW65),0)</f>
        <v>0</v>
      </c>
      <c r="AX67" s="9">
        <f>IF(46&lt;=核心参数输入!$B$9*4,MAX(0,季度投融资!AX46-AX65),0)</f>
        <v>0</v>
      </c>
      <c r="AY67" s="9">
        <f>IF(47&lt;=核心参数输入!$B$9*4,MAX(0,季度投融资!AY46-AY65),0)</f>
        <v>0</v>
      </c>
      <c r="AZ67" s="9">
        <f>IF(48&lt;=核心参数输入!$B$9*4,MAX(0,季度投融资!AZ46-AZ65),0)</f>
        <v>0</v>
      </c>
      <c r="BA67" s="9">
        <f>IF(49&lt;=核心参数输入!$B$9*4,MAX(0,季度投融资!BA46-BA65),0)</f>
        <v>0</v>
      </c>
      <c r="BB67" s="9">
        <f>IF(50&lt;=核心参数输入!$B$9*4,MAX(0,季度投融资!BB46-BB65),0)</f>
        <v>0</v>
      </c>
      <c r="BC67" s="9">
        <f>IF(51&lt;=核心参数输入!$B$9*4,MAX(0,季度投融资!BC46-BC65),0)</f>
        <v>0</v>
      </c>
      <c r="BD67" s="9">
        <f>IF(52&lt;=核心参数输入!$B$9*4,MAX(0,季度投融资!BD46-BD65),0)</f>
        <v>0</v>
      </c>
      <c r="BE67" s="9">
        <f>IF(53&lt;=核心参数输入!$B$9*4,MAX(0,季度投融资!BE46-BE65),0)</f>
        <v>0</v>
      </c>
      <c r="BF67" s="9">
        <f>IF(54&lt;=核心参数输入!$B$9*4,MAX(0,季度投融资!BF46-BF65),0)</f>
        <v>0</v>
      </c>
      <c r="BG67" s="9">
        <f>IF(55&lt;=核心参数输入!$B$9*4,MAX(0,季度投融资!BG46-BG65),0)</f>
        <v>0</v>
      </c>
      <c r="BH67" s="9">
        <f>IF(56&lt;=核心参数输入!$B$9*4,MAX(0,季度投融资!BH46-BH65),0)</f>
        <v>0</v>
      </c>
      <c r="BI67" s="9">
        <f>IF(57&lt;=核心参数输入!$B$9*4,MAX(0,季度投融资!BI46-BI65),0)</f>
        <v>0</v>
      </c>
      <c r="BJ67" s="9">
        <f>IF(58&lt;=核心参数输入!$B$9*4,MAX(0,季度投融资!BJ46-BJ65),0)</f>
        <v>0</v>
      </c>
      <c r="BK67" s="9">
        <f>IF(59&lt;=核心参数输入!$B$9*4,MAX(0,季度投融资!BK46-BK65),0)</f>
        <v>0</v>
      </c>
      <c r="BL67" s="9">
        <f>IF(60&lt;=核心参数输入!$B$9*4,MAX(0,季度投融资!BL46-BL65),0)</f>
        <v>0</v>
      </c>
      <c r="BM67" s="9">
        <f>IF(61&lt;=核心参数输入!$B$9*4,MAX(0,季度投融资!BM46-BM65),0)</f>
        <v>0</v>
      </c>
      <c r="BN67" s="9">
        <f>IF(62&lt;=核心参数输入!$B$9*4,MAX(0,季度投融资!BN46-BN65),0)</f>
        <v>0</v>
      </c>
      <c r="BO67" s="9">
        <f>IF(63&lt;=核心参数输入!$B$9*4,MAX(0,季度投融资!BO46-BO65),0)</f>
        <v>0</v>
      </c>
      <c r="BP67" s="9">
        <f>IF(64&lt;=核心参数输入!$B$9*4,MAX(0,季度投融资!BP46-BP65),0)</f>
        <v>0</v>
      </c>
      <c r="BQ67" s="9">
        <f>IF(65&lt;=核心参数输入!$B$9*4,MAX(0,季度投融资!BQ46-BQ65),0)</f>
        <v>0</v>
      </c>
      <c r="BR67" s="9">
        <f>IF(66&lt;=核心参数输入!$B$9*4,MAX(0,季度投融资!BR46-BR65),0)</f>
        <v>0</v>
      </c>
      <c r="BS67" s="9">
        <f>IF(67&lt;=核心参数输入!$B$9*4,MAX(0,季度投融资!BS46-BS65),0)</f>
        <v>0</v>
      </c>
      <c r="BT67" s="9">
        <f>IF(68&lt;=核心参数输入!$B$9*4,MAX(0,季度投融资!BT46-BT65),0)</f>
        <v>0</v>
      </c>
      <c r="BU67" s="9">
        <f>IF(69&lt;=核心参数输入!$B$9*4,MAX(0,季度投融资!BU46-BU65),0)</f>
        <v>0</v>
      </c>
      <c r="BV67" s="9">
        <f>IF(70&lt;=核心参数输入!$B$9*4,MAX(0,季度投融资!BV46-BV65),0)</f>
        <v>0</v>
      </c>
      <c r="BW67" s="9">
        <f>IF(71&lt;=核心参数输入!$B$9*4,MAX(0,季度投融资!BW46-BW65),0)</f>
        <v>0</v>
      </c>
      <c r="BX67" s="9">
        <f>IF(72&lt;=核心参数输入!$B$9*4,MAX(0,季度投融资!BX46-BX65),0)</f>
        <v>0</v>
      </c>
      <c r="BY67" s="9">
        <f>IF(73&lt;=核心参数输入!$B$9*4,MAX(0,季度投融资!BY46-BY65),0)</f>
        <v>0</v>
      </c>
      <c r="BZ67" s="9">
        <f>IF(74&lt;=核心参数输入!$B$9*4,MAX(0,季度投融资!BZ46-BZ65),0)</f>
        <v>0</v>
      </c>
      <c r="CA67" s="9">
        <f>IF(75&lt;=核心参数输入!$B$9*4,MAX(0,季度投融资!CA46-CA65),0)</f>
        <v>0</v>
      </c>
      <c r="CB67" s="9">
        <f>IF(76&lt;=核心参数输入!$B$9*4,MAX(0,季度投融资!CB46-CB65),0)</f>
        <v>0</v>
      </c>
      <c r="CC67" s="9">
        <f>IF(77&lt;=核心参数输入!$B$9*4,MAX(0,季度投融资!CC46-CC65),0)</f>
        <v>0</v>
      </c>
      <c r="CD67" s="9">
        <f>IF(78&lt;=核心参数输入!$B$9*4,MAX(0,季度投融资!CD46-CD65),0)</f>
        <v>0</v>
      </c>
      <c r="CE67" s="9">
        <f>IF(79&lt;=核心参数输入!$B$9*4,MAX(0,季度投融资!CE46-CE65),0)</f>
        <v>0</v>
      </c>
      <c r="CF67" s="9">
        <f>IF(80&lt;=核心参数输入!$B$9*4,MAX(0,季度投融资!CF46-CF65),0)</f>
        <v>0</v>
      </c>
      <c r="CG67" s="9">
        <f>IF(81&lt;=核心参数输入!$B$9*4,MAX(0,季度投融资!CG46-CG65),0)</f>
        <v>0</v>
      </c>
      <c r="CH67" s="9">
        <f>IF(82&lt;=核心参数输入!$B$9*4,MAX(0,季度投融资!CH46-CH65),0)</f>
        <v>0</v>
      </c>
      <c r="CI67" s="9">
        <f>IF(83&lt;=核心参数输入!$B$9*4,MAX(0,季度投融资!CI46-CI65),0)</f>
        <v>0</v>
      </c>
      <c r="CJ67" s="9">
        <f>IF(84&lt;=核心参数输入!$B$9*4,MAX(0,季度投融资!CJ46-CJ65),0)</f>
        <v>0</v>
      </c>
      <c r="CK67" s="9">
        <f>IF(85&lt;=核心参数输入!$B$9*4,MAX(0,季度投融资!CK46-CK65),0)</f>
        <v>0</v>
      </c>
      <c r="CL67" s="9">
        <f>IF(86&lt;=核心参数输入!$B$9*4,MAX(0,季度投融资!CL46-CL65),0)</f>
        <v>0</v>
      </c>
      <c r="CM67" s="9">
        <f>IF(87&lt;=核心参数输入!$B$9*4,MAX(0,季度投融资!CM46-CM65),0)</f>
        <v>0</v>
      </c>
      <c r="CN67" s="9">
        <f>IF(88&lt;=核心参数输入!$B$9*4,MAX(0,季度投融资!CN46-CN65),0)</f>
        <v>0</v>
      </c>
      <c r="CO67" s="9">
        <f>IF(89&lt;=核心参数输入!$B$9*4,MAX(0,季度投融资!CO46-CO65),0)</f>
        <v>0</v>
      </c>
      <c r="CP67" s="9">
        <f>IF(90&lt;=核心参数输入!$B$9*4,MAX(0,季度投融资!CP46-CP65),0)</f>
        <v>0</v>
      </c>
      <c r="CQ67" s="9">
        <f>IF(91&lt;=核心参数输入!$B$9*4,MAX(0,季度投融资!CQ46-CQ65),0)</f>
        <v>0</v>
      </c>
      <c r="CR67" s="9">
        <f>IF(92&lt;=核心参数输入!$B$9*4,MAX(0,季度投融资!CR46-CR65),0)</f>
        <v>0</v>
      </c>
      <c r="CS67" s="9">
        <f>IF(93&lt;=核心参数输入!$B$9*4,MAX(0,季度投融资!CS46-CS65),0)</f>
        <v>0</v>
      </c>
      <c r="CT67" s="9">
        <f>IF(94&lt;=核心参数输入!$B$9*4,MAX(0,季度投融资!CT46-CT65),0)</f>
        <v>0</v>
      </c>
      <c r="CU67" s="9">
        <f>IF(95&lt;=核心参数输入!$B$9*4,MAX(0,季度投融资!CU46-CU65),0)</f>
        <v>0</v>
      </c>
      <c r="CV67" s="9">
        <f>IF(96&lt;=核心参数输入!$B$9*4,MAX(0,季度投融资!CV46-CV65),0)</f>
        <v>0</v>
      </c>
      <c r="CW67" s="9">
        <f>IF(97&lt;=核心参数输入!$B$9*4,MAX(0,季度投融资!CW46-CW65),0)</f>
        <v>0</v>
      </c>
      <c r="CX67" s="9">
        <f>IF(98&lt;=核心参数输入!$B$9*4,MAX(0,季度投融资!CX46-CX65),0)</f>
        <v>0</v>
      </c>
      <c r="CY67" s="9">
        <f>IF(99&lt;=核心参数输入!$B$9*4,MAX(0,季度投融资!CY46-CY65),0)</f>
        <v>0</v>
      </c>
      <c r="CZ67" s="9">
        <f>IF(100&lt;=核心参数输入!$B$9*4,MAX(0,季度投融资!CZ46-CZ65),0)</f>
        <v>0</v>
      </c>
      <c r="DA67" s="9">
        <f>IF(101&lt;=核心参数输入!$B$9*4,MAX(0,季度投融资!DA46-DA65),0)</f>
        <v>0</v>
      </c>
      <c r="DB67" s="9">
        <f>IF(102&lt;=核心参数输入!$B$9*4,MAX(0,季度投融资!DB46-DB65),0)</f>
        <v>0</v>
      </c>
      <c r="DC67" s="9">
        <f>IF(103&lt;=核心参数输入!$B$9*4,MAX(0,季度投融资!DC46-DC65),0)</f>
        <v>0</v>
      </c>
      <c r="DD67" s="9">
        <f>IF(104&lt;=核心参数输入!$B$9*4,MAX(0,季度投融资!DD46-DD65),0)</f>
        <v>0</v>
      </c>
      <c r="DE67" s="9">
        <f>IF(105&lt;=核心参数输入!$B$9*4,MAX(0,季度投融资!DE46-DE65),0)</f>
        <v>0</v>
      </c>
      <c r="DF67" s="9">
        <f>IF(106&lt;=核心参数输入!$B$9*4,MAX(0,季度投融资!DF46-DF65),0)</f>
        <v>0</v>
      </c>
      <c r="DG67" s="9">
        <f>IF(107&lt;=核心参数输入!$B$9*4,MAX(0,季度投融资!DG46-DG65),0)</f>
        <v>0</v>
      </c>
      <c r="DH67" s="9">
        <f>IF(108&lt;=核心参数输入!$B$9*4,MAX(0,季度投融资!DH46-DH65),0)</f>
        <v>0</v>
      </c>
      <c r="DI67" s="9">
        <f>IF(109&lt;=核心参数输入!$B$9*4,MAX(0,季度投融资!DI46-DI65),0)</f>
        <v>0</v>
      </c>
      <c r="DJ67" s="9">
        <f>IF(110&lt;=核心参数输入!$B$9*4,MAX(0,季度投融资!DJ46-DJ65),0)</f>
        <v>0</v>
      </c>
      <c r="DK67" s="9">
        <f>IF(111&lt;=核心参数输入!$B$9*4,MAX(0,季度投融资!DK46-DK65),0)</f>
        <v>0</v>
      </c>
      <c r="DL67" s="9">
        <f>IF(112&lt;=核心参数输入!$B$9*4,MAX(0,季度投融资!DL46-DL65),0)</f>
        <v>0</v>
      </c>
      <c r="DM67" s="9">
        <f>IF(113&lt;=核心参数输入!$B$9*4,MAX(0,季度投融资!DM46-DM65),0)</f>
        <v>0</v>
      </c>
      <c r="DN67" s="9">
        <f>IF(114&lt;=核心参数输入!$B$9*4,MAX(0,季度投融资!DN46-DN65),0)</f>
        <v>0</v>
      </c>
      <c r="DO67" s="9">
        <f>IF(115&lt;=核心参数输入!$B$9*4,MAX(0,季度投融资!DO46-DO65),0)</f>
        <v>0</v>
      </c>
      <c r="DP67" s="9">
        <f>IF(116&lt;=核心参数输入!$B$9*4,MAX(0,季度投融资!DP46-DP65),0)</f>
        <v>0</v>
      </c>
      <c r="DQ67" s="9">
        <f>IF(117&lt;=核心参数输入!$B$9*4,MAX(0,季度投融资!DQ46-DQ65),0)</f>
        <v>0</v>
      </c>
      <c r="DR67" s="9">
        <f>IF(118&lt;=核心参数输入!$B$9*4,MAX(0,季度投融资!DR46-DR65),0)</f>
        <v>0</v>
      </c>
      <c r="DS67" s="9">
        <f>IF(119&lt;=核心参数输入!$B$9*4,MAX(0,季度投融资!DS46-DS65),0)</f>
        <v>0</v>
      </c>
      <c r="DT67" s="9">
        <f>IF(120&lt;=核心参数输入!$B$9*4,MAX(0,季度投融资!DT46-DT65),0)</f>
        <v>0</v>
      </c>
    </row>
    <row r="68" spans="1:124" ht="21" customHeight="1">
      <c r="A68" s="8" t="s">
        <v>385</v>
      </c>
      <c r="B68" s="8" t="s">
        <v>39</v>
      </c>
      <c r="C68" s="8"/>
      <c r="D68" s="9">
        <f>IF(0&lt;=核心参数输入!$B$9*4,0+D45,0)</f>
        <v>-8000</v>
      </c>
      <c r="E68" s="9">
        <f>IF(1&lt;=核心参数输入!$B$9*4,季度现金流!D68+E45,0)</f>
        <v>-11969</v>
      </c>
      <c r="F68" s="9">
        <f>IF(2&lt;=核心参数输入!$B$9*4,季度现金流!E68+F45,0)</f>
        <v>-15938</v>
      </c>
      <c r="G68" s="9">
        <f>IF(3&lt;=核心参数输入!$B$9*4,季度现金流!F68+G45,0)</f>
        <v>-19907</v>
      </c>
      <c r="H68" s="9">
        <f>IF(4&lt;=核心参数输入!$B$9*4,季度现金流!G68+H45,0)</f>
        <v>-23876</v>
      </c>
      <c r="I68" s="9">
        <f>IF(5&lt;=核心参数输入!$B$9*4,季度现金流!H68+I45,0)</f>
        <v>-29168</v>
      </c>
      <c r="J68" s="9">
        <f>IF(6&lt;=核心参数输入!$B$9*4,季度现金流!I68+J45,0)</f>
        <v>-34460</v>
      </c>
      <c r="K68" s="9">
        <f>IF(7&lt;=核心参数输入!$B$9*4,季度现金流!J68+K45,0)</f>
        <v>-39752</v>
      </c>
      <c r="L68" s="9">
        <f>IF(8&lt;=核心参数输入!$B$9*4,季度现金流!K68+L45,0)</f>
        <v>-45044</v>
      </c>
      <c r="M68" s="9">
        <f>IF(9&lt;=核心参数输入!$B$9*4,季度现金流!L68+M45,0)</f>
        <v>-49013</v>
      </c>
      <c r="N68" s="9">
        <f>IF(10&lt;=核心参数输入!$B$9*4,季度现金流!M68+N45,0)</f>
        <v>-52982</v>
      </c>
      <c r="O68" s="9">
        <f>IF(11&lt;=核心参数输入!$B$9*4,季度现金流!N68+O45,0)</f>
        <v>-56951</v>
      </c>
      <c r="P68" s="9">
        <f>IF(12&lt;=核心参数输入!$B$9*4,季度现金流!O68+P45,0)</f>
        <v>-60920</v>
      </c>
      <c r="Q68" s="9">
        <f>IF(13&lt;=核心参数输入!$B$9*4,季度现金流!P68+Q45,0)</f>
        <v>-59386.285937499997</v>
      </c>
      <c r="R68" s="9">
        <f>IF(14&lt;=核心参数输入!$B$9*4,季度现金流!Q68+R45,0)</f>
        <v>-56241.712091687499</v>
      </c>
      <c r="S68" s="9">
        <f>IF(15&lt;=核心参数输入!$B$9*4,季度现金流!R68+S45,0)</f>
        <v>-53047.231179249997</v>
      </c>
      <c r="T68" s="9">
        <f>IF(16&lt;=核心参数输入!$B$9*4,季度现金流!S68+T45,0)</f>
        <v>-50259.131462640624</v>
      </c>
      <c r="U68" s="9">
        <f>IF(17&lt;=核心参数输入!$B$9*4,季度现金流!T68+U45,0)</f>
        <v>-46245.811608455311</v>
      </c>
      <c r="V68" s="9">
        <f>IF(18&lt;=核心参数输入!$B$9*4,季度现金流!U68+V45,0)</f>
        <v>-41835.064033432936</v>
      </c>
      <c r="W68" s="9">
        <f>IF(19&lt;=核心参数输入!$B$9*4,季度现金流!V68+W45,0)</f>
        <v>-37404.05418936081</v>
      </c>
      <c r="X68" s="9">
        <f>IF(20&lt;=核心参数输入!$B$9*4,季度现金流!W68+X45,0)</f>
        <v>-33812.734110339356</v>
      </c>
      <c r="Y68" s="9">
        <f>IF(21&lt;=核心参数输入!$B$9*4,季度现金流!X68+Y45,0)</f>
        <v>-30056.531306185156</v>
      </c>
      <c r="Z68" s="9">
        <f>IF(22&lt;=核心参数输入!$B$9*4,季度现金流!Y68+Z45,0)</f>
        <v>-26644.301824331145</v>
      </c>
      <c r="AA68" s="9">
        <f>IF(23&lt;=核心参数输入!$B$9*4,季度现金流!Z68+AA45,0)</f>
        <v>-23216.647690163016</v>
      </c>
      <c r="AB68" s="9">
        <f>IF(24&lt;=核心参数输入!$B$9*4,季度现金流!AA68+AB45,0)</f>
        <v>-20473.390517845412</v>
      </c>
      <c r="AC68" s="9">
        <f>IF(25&lt;=核心参数输入!$B$9*4,季度现金流!AB68+AC45,0)</f>
        <v>-19165.033044654592</v>
      </c>
      <c r="AD68" s="9">
        <f>IF(26&lt;=核心参数输入!$B$9*4,季度现金流!AC68+AD45,0)</f>
        <v>-18932.144473397882</v>
      </c>
      <c r="AE68" s="9">
        <f>IF(27&lt;=核心参数输入!$B$9*4,季度现金流!AD68+AE45,0)</f>
        <v>-18694.037228108227</v>
      </c>
      <c r="AF68" s="9">
        <f>IF(28&lt;=核心参数输入!$B$9*4,季度现金流!AE68+AF45,0)</f>
        <v>-18478.377048550574</v>
      </c>
      <c r="AG68" s="9">
        <f>IF(29&lt;=核心参数输入!$B$9*4,季度现金流!AF68+AG45,0)</f>
        <v>-18225.827239294696</v>
      </c>
      <c r="AH68" s="9">
        <f>IF(30&lt;=核心参数输入!$B$9*4,季度现金流!AG68+AH45,0)</f>
        <v>-17970.628952967101</v>
      </c>
      <c r="AI68" s="9">
        <f>IF(31&lt;=核心参数输入!$B$9*4,季度现金流!AH68+AI45,0)</f>
        <v>-17715.430666639506</v>
      </c>
      <c r="AJ68" s="9">
        <f>IF(32&lt;=核心参数输入!$B$9*4,季度现金流!AI68+AJ45,0)</f>
        <v>-17508.241047371575</v>
      </c>
      <c r="AK68" s="9">
        <f>IF(33&lt;=核心参数输入!$B$9*4,季度现金流!AJ68+AK45,0)</f>
        <v>-17248.945698809064</v>
      </c>
      <c r="AL68" s="9">
        <f>IF(34&lt;=核心参数输入!$B$9*4,季度现金流!AK68+AL45,0)</f>
        <v>-16989.650350246553</v>
      </c>
      <c r="AM68" s="9">
        <f>IF(35&lt;=核心参数输入!$B$9*4,季度现金流!AL68+AM45,0)</f>
        <v>-16730.355001684042</v>
      </c>
      <c r="AN68" s="9">
        <f>IF(36&lt;=核心参数输入!$B$9*4,季度现金流!AM68+AN45,0)</f>
        <v>-16523.827501684042</v>
      </c>
      <c r="AO68" s="9">
        <f>IF(37&lt;=核心参数输入!$B$9*4,季度现金流!AN68+AO45,0)</f>
        <v>-16260.381753194293</v>
      </c>
      <c r="AP68" s="9">
        <f>IF(38&lt;=核心参数输入!$B$9*4,季度现金流!AO68+AP45,0)</f>
        <v>-15996.936004704545</v>
      </c>
      <c r="AQ68" s="9">
        <f>IF(39&lt;=核心参数输入!$B$9*4,季度现金流!AP68+AQ45,0)</f>
        <v>-15733.490256214796</v>
      </c>
      <c r="AR68" s="9">
        <f>IF(40&lt;=核心参数输入!$B$9*4,季度现金流!AQ68+AR45,0)</f>
        <v>-15526.962756214796</v>
      </c>
      <c r="AS68" s="9">
        <f>IF(41&lt;=核心参数输入!$B$9*4,季度现金流!AR68+AS45,0)</f>
        <v>-15259.312632404926</v>
      </c>
      <c r="AT68" s="9">
        <f>IF(42&lt;=核心参数输入!$B$9*4,季度现金流!AS68+AT45,0)</f>
        <v>-14991.662508595056</v>
      </c>
      <c r="AU68" s="9">
        <f>IF(43&lt;=核心参数输入!$B$9*4,季度现金流!AT68+AU45,0)</f>
        <v>-14724.012384785186</v>
      </c>
      <c r="AV68" s="9">
        <f>IF(44&lt;=核心参数输入!$B$9*4,季度现金流!AU68+AV45,0)</f>
        <v>-14517.484884785186</v>
      </c>
      <c r="AW68" s="9">
        <f>IF(45&lt;=核心参数输入!$B$9*4,季度现金流!AV68+AW45,0)</f>
        <v>-14245.575766243537</v>
      </c>
      <c r="AX68" s="9">
        <f>IF(46&lt;=核心参数输入!$B$9*4,季度现金流!AW68+AX45,0)</f>
        <v>-13973.666647701888</v>
      </c>
      <c r="AY68" s="9">
        <f>IF(47&lt;=核心参数输入!$B$9*4,季度现金流!AX68+AY45,0)</f>
        <v>-13701.757529160239</v>
      </c>
      <c r="AZ68" s="9">
        <f>IF(48&lt;=核心参数输入!$B$9*4,季度现金流!AY68+AZ45,0)</f>
        <v>-13495.230029160239</v>
      </c>
      <c r="BA68" s="9">
        <f>IF(49&lt;=核心参数输入!$B$9*4,季度现金流!AZ68+BA45,0)</f>
        <v>-13219.006646108341</v>
      </c>
      <c r="BB68" s="9">
        <f>IF(50&lt;=核心参数输入!$B$9*4,季度现金流!BA68+BB45,0)</f>
        <v>-12942.783263056443</v>
      </c>
      <c r="BC68" s="9">
        <f>IF(51&lt;=核心参数输入!$B$9*4,季度现金流!BB68+BC45,0)</f>
        <v>-12666.559880004545</v>
      </c>
      <c r="BD68" s="9">
        <f>IF(52&lt;=核心参数输入!$B$9*4,季度现金流!BC68+BD45,0)</f>
        <v>-12460.032380004544</v>
      </c>
      <c r="BE68" s="9">
        <f>IF(53&lt;=核心参数输入!$B$9*4,季度现金流!BD68+BE45,0)</f>
        <v>-12179.438805920101</v>
      </c>
      <c r="BF68" s="9">
        <f>IF(54&lt;=核心参数输入!$B$9*4,季度现金流!BE68+BF45,0)</f>
        <v>-11898.845231835658</v>
      </c>
      <c r="BG68" s="9">
        <f>IF(55&lt;=核心参数输入!$B$9*4,季度现金流!BF68+BG45,0)</f>
        <v>-11618.251657751214</v>
      </c>
      <c r="BH68" s="9">
        <f>IF(56&lt;=核心参数输入!$B$9*4,季度现金流!BG68+BH45,0)</f>
        <v>-11411.724157751214</v>
      </c>
      <c r="BI68" s="9">
        <f>IF(57&lt;=核心参数输入!$B$9*4,季度现金流!BH68+BI45,0)</f>
        <v>-11126.703802963002</v>
      </c>
      <c r="BJ68" s="9">
        <f>IF(58&lt;=核心参数输入!$B$9*4,季度现金流!BI68+BJ45,0)</f>
        <v>-10841.68344817479</v>
      </c>
      <c r="BK68" s="9">
        <f>IF(59&lt;=核心参数输入!$B$9*4,季度现金流!BJ68+BK45,0)</f>
        <v>-10556.663093386578</v>
      </c>
      <c r="BL68" s="9">
        <f>IF(60&lt;=核心参数输入!$B$9*4,季度现金流!BK68+BL45,0)</f>
        <v>-10350.135593386578</v>
      </c>
      <c r="BM68" s="9">
        <f>IF(61&lt;=核心参数输入!$B$9*4,季度现金流!BL68+BM45,0)</f>
        <v>-10060.631198642192</v>
      </c>
      <c r="BN68" s="9">
        <f>IF(62&lt;=核心参数输入!$B$9*4,季度现金流!BM68+BN45,0)</f>
        <v>-9771.1268038978051</v>
      </c>
      <c r="BO68" s="9">
        <f>IF(63&lt;=核心参数输入!$B$9*4,季度现金流!BN68+BO45,0)</f>
        <v>-9481.6224091534186</v>
      </c>
      <c r="BP68" s="9">
        <f>IF(64&lt;=核心参数输入!$B$9*4,季度现金流!BO68+BP45,0)</f>
        <v>-9275.0949091534185</v>
      </c>
      <c r="BQ68" s="9">
        <f>IF(65&lt;=核心参数输入!$B$9*4,季度现金流!BP68+BQ45,0)</f>
        <v>-8981.0485391608272</v>
      </c>
      <c r="BR68" s="9">
        <f>IF(66&lt;=核心参数输入!$B$9*4,季度现金流!BQ68+BR45,0)</f>
        <v>-8687.0021691682359</v>
      </c>
      <c r="BS68" s="9">
        <f>IF(67&lt;=核心参数输入!$B$9*4,季度现金流!BR68+BS45,0)</f>
        <v>-8392.9557991756446</v>
      </c>
      <c r="BT68" s="9">
        <f>IF(68&lt;=核心参数输入!$B$9*4,季度现金流!BS68+BT45,0)</f>
        <v>-8186.4282991756445</v>
      </c>
      <c r="BU68" s="9">
        <f>IF(69&lt;=核心参数输入!$B$9*4,季度现金流!BT68+BU45,0)</f>
        <v>-7887.781336119584</v>
      </c>
      <c r="BV68" s="9">
        <f>IF(70&lt;=核心参数输入!$B$9*4,季度现金流!BU68+BV45,0)</f>
        <v>-7589.1343730635235</v>
      </c>
      <c r="BW68" s="9">
        <f>IF(71&lt;=核心参数输入!$B$9*4,季度现金流!BV68+BW45,0)</f>
        <v>-7290.487410007463</v>
      </c>
      <c r="BX68" s="9">
        <f>IF(72&lt;=核心参数输入!$B$9*4,季度现金流!BW68+BX45,0)</f>
        <v>-7083.9599100074629</v>
      </c>
      <c r="BY68" s="9">
        <f>IF(73&lt;=核心参数输入!$B$9*4,季度现金流!BX68+BY45,0)</f>
        <v>-6780.6530470417101</v>
      </c>
      <c r="BZ68" s="9">
        <f>IF(74&lt;=核心参数输入!$B$9*4,季度现金流!BY68+BZ45,0)</f>
        <v>-6477.3461840759574</v>
      </c>
      <c r="CA68" s="9">
        <f>IF(75&lt;=核心参数输入!$B$9*4,季度现金流!BZ68+CA45,0)</f>
        <v>-6174.0393211102046</v>
      </c>
      <c r="CB68" s="9">
        <f>IF(76&lt;=核心参数输入!$B$9*4,季度现金流!CA68+CB45,0)</f>
        <v>-5967.5118211102044</v>
      </c>
      <c r="CC68" s="9">
        <f>IF(77&lt;=核心参数输入!$B$9*4,季度现金流!CB68+CC45,0)</f>
        <v>-5659.4850558268372</v>
      </c>
      <c r="CD68" s="9">
        <f>IF(78&lt;=核心参数输入!$B$9*4,季度现金流!CC68+CD45,0)</f>
        <v>-5351.45829054347</v>
      </c>
      <c r="CE68" s="9">
        <f>IF(79&lt;=核心参数输入!$B$9*4,季度现金流!CD68+CE45,0)</f>
        <v>-5043.4315252601027</v>
      </c>
      <c r="CF68" s="9">
        <f>IF(80&lt;=核心参数输入!$B$9*4,季度现金流!CE68+CF45,0)</f>
        <v>-4836.9040252601026</v>
      </c>
      <c r="CG68" s="9">
        <f>IF(81&lt;=核心参数输入!$B$9*4,季度现金流!CF68+CG45,0)</f>
        <v>0</v>
      </c>
      <c r="CH68" s="9">
        <f>IF(82&lt;=核心参数输入!$B$9*4,季度现金流!CG68+CH45,0)</f>
        <v>0</v>
      </c>
      <c r="CI68" s="9">
        <f>IF(83&lt;=核心参数输入!$B$9*4,季度现金流!CH68+CI45,0)</f>
        <v>0</v>
      </c>
      <c r="CJ68" s="9">
        <f>IF(84&lt;=核心参数输入!$B$9*4,季度现金流!CI68+CJ45,0)</f>
        <v>0</v>
      </c>
      <c r="CK68" s="9">
        <f>IF(85&lt;=核心参数输入!$B$9*4,季度现金流!CJ68+CK45,0)</f>
        <v>0</v>
      </c>
      <c r="CL68" s="9">
        <f>IF(86&lt;=核心参数输入!$B$9*4,季度现金流!CK68+CL45,0)</f>
        <v>0</v>
      </c>
      <c r="CM68" s="9">
        <f>IF(87&lt;=核心参数输入!$B$9*4,季度现金流!CL68+CM45,0)</f>
        <v>0</v>
      </c>
      <c r="CN68" s="9">
        <f>IF(88&lt;=核心参数输入!$B$9*4,季度现金流!CM68+CN45,0)</f>
        <v>0</v>
      </c>
      <c r="CO68" s="9">
        <f>IF(89&lt;=核心参数输入!$B$9*4,季度现金流!CN68+CO45,0)</f>
        <v>0</v>
      </c>
      <c r="CP68" s="9">
        <f>IF(90&lt;=核心参数输入!$B$9*4,季度现金流!CO68+CP45,0)</f>
        <v>0</v>
      </c>
      <c r="CQ68" s="9">
        <f>IF(91&lt;=核心参数输入!$B$9*4,季度现金流!CP68+CQ45,0)</f>
        <v>0</v>
      </c>
      <c r="CR68" s="9">
        <f>IF(92&lt;=核心参数输入!$B$9*4,季度现金流!CQ68+CR45,0)</f>
        <v>0</v>
      </c>
      <c r="CS68" s="9">
        <f>IF(93&lt;=核心参数输入!$B$9*4,季度现金流!CR68+CS45,0)</f>
        <v>0</v>
      </c>
      <c r="CT68" s="9">
        <f>IF(94&lt;=核心参数输入!$B$9*4,季度现金流!CS68+CT45,0)</f>
        <v>0</v>
      </c>
      <c r="CU68" s="9">
        <f>IF(95&lt;=核心参数输入!$B$9*4,季度现金流!CT68+CU45,0)</f>
        <v>0</v>
      </c>
      <c r="CV68" s="9">
        <f>IF(96&lt;=核心参数输入!$B$9*4,季度现金流!CU68+CV45,0)</f>
        <v>0</v>
      </c>
      <c r="CW68" s="9">
        <f>IF(97&lt;=核心参数输入!$B$9*4,季度现金流!CV68+CW45,0)</f>
        <v>0</v>
      </c>
      <c r="CX68" s="9">
        <f>IF(98&lt;=核心参数输入!$B$9*4,季度现金流!CW68+CX45,0)</f>
        <v>0</v>
      </c>
      <c r="CY68" s="9">
        <f>IF(99&lt;=核心参数输入!$B$9*4,季度现金流!CX68+CY45,0)</f>
        <v>0</v>
      </c>
      <c r="CZ68" s="9">
        <f>IF(100&lt;=核心参数输入!$B$9*4,季度现金流!CY68+CZ45,0)</f>
        <v>0</v>
      </c>
      <c r="DA68" s="9">
        <f>IF(101&lt;=核心参数输入!$B$9*4,季度现金流!CZ68+DA45,0)</f>
        <v>0</v>
      </c>
      <c r="DB68" s="9">
        <f>IF(102&lt;=核心参数输入!$B$9*4,季度现金流!DA68+DB45,0)</f>
        <v>0</v>
      </c>
      <c r="DC68" s="9">
        <f>IF(103&lt;=核心参数输入!$B$9*4,季度现金流!DB68+DC45,0)</f>
        <v>0</v>
      </c>
      <c r="DD68" s="9">
        <f>IF(104&lt;=核心参数输入!$B$9*4,季度现金流!DC68+DD45,0)</f>
        <v>0</v>
      </c>
      <c r="DE68" s="9">
        <f>IF(105&lt;=核心参数输入!$B$9*4,季度现金流!DD68+DE45,0)</f>
        <v>0</v>
      </c>
      <c r="DF68" s="9">
        <f>IF(106&lt;=核心参数输入!$B$9*4,季度现金流!DE68+DF45,0)</f>
        <v>0</v>
      </c>
      <c r="DG68" s="9">
        <f>IF(107&lt;=核心参数输入!$B$9*4,季度现金流!DF68+DG45,0)</f>
        <v>0</v>
      </c>
      <c r="DH68" s="9">
        <f>IF(108&lt;=核心参数输入!$B$9*4,季度现金流!DG68+DH45,0)</f>
        <v>0</v>
      </c>
      <c r="DI68" s="9">
        <f>IF(109&lt;=核心参数输入!$B$9*4,季度现金流!DH68+DI45,0)</f>
        <v>0</v>
      </c>
      <c r="DJ68" s="9">
        <f>IF(110&lt;=核心参数输入!$B$9*4,季度现金流!DI68+DJ45,0)</f>
        <v>0</v>
      </c>
      <c r="DK68" s="9">
        <f>IF(111&lt;=核心参数输入!$B$9*4,季度现金流!DJ68+DK45,0)</f>
        <v>0</v>
      </c>
      <c r="DL68" s="9">
        <f>IF(112&lt;=核心参数输入!$B$9*4,季度现金流!DK68+DL45,0)</f>
        <v>0</v>
      </c>
      <c r="DM68" s="9">
        <f>IF(113&lt;=核心参数输入!$B$9*4,季度现金流!DL68+DM45,0)</f>
        <v>0</v>
      </c>
      <c r="DN68" s="9">
        <f>IF(114&lt;=核心参数输入!$B$9*4,季度现金流!DM68+DN45,0)</f>
        <v>0</v>
      </c>
      <c r="DO68" s="9">
        <f>IF(115&lt;=核心参数输入!$B$9*4,季度现金流!DN68+DO45,0)</f>
        <v>0</v>
      </c>
      <c r="DP68" s="9">
        <f>IF(116&lt;=核心参数输入!$B$9*4,季度现金流!DO68+DP45,0)</f>
        <v>0</v>
      </c>
      <c r="DQ68" s="9">
        <f>IF(117&lt;=核心参数输入!$B$9*4,季度现金流!DP68+DQ45,0)</f>
        <v>0</v>
      </c>
      <c r="DR68" s="9">
        <f>IF(118&lt;=核心参数输入!$B$9*4,季度现金流!DQ68+DR45,0)</f>
        <v>0</v>
      </c>
      <c r="DS68" s="9">
        <f>IF(119&lt;=核心参数输入!$B$9*4,季度现金流!DR68+DS45,0)</f>
        <v>0</v>
      </c>
      <c r="DT68" s="9">
        <f>IF(120&lt;=核心参数输入!$B$9*4,季度现金流!DS68+DT45,0)</f>
        <v>0</v>
      </c>
    </row>
    <row r="69" spans="1:124" ht="21" customHeight="1">
      <c r="A69" s="8" t="s">
        <v>560</v>
      </c>
      <c r="B69" s="8" t="s">
        <v>39</v>
      </c>
      <c r="C69" s="8"/>
      <c r="D69" s="9">
        <f>IF(0&lt;=核心参数输入!$B$9*4,D45/(1+核心参数输入!$B$71)^(0/4),0)</f>
        <v>-8000</v>
      </c>
      <c r="E69" s="9">
        <f>IF(1&lt;=核心参数输入!$B$9*4,E45/(1+核心参数输入!$B$71)^(1/4),0)</f>
        <v>-3893.3653552943279</v>
      </c>
      <c r="F69" s="9">
        <f>IF(2&lt;=核心参数输入!$B$9*4,F45/(1+核心参数输入!$B$71)^(2/4),0)</f>
        <v>-3819.172030689374</v>
      </c>
      <c r="G69" s="9">
        <f>IF(3&lt;=核心参数输入!$B$9*4,G45/(1+核心参数输入!$B$71)^(3/4),0)</f>
        <v>-3746.392559887905</v>
      </c>
      <c r="H69" s="9">
        <f>IF(4&lt;=核心参数输入!$B$9*4,H45/(1+核心参数输入!$B$71)^(4/4),0)</f>
        <v>-3674.9999999999995</v>
      </c>
      <c r="I69" s="9">
        <f>IF(5&lt;=核心参数输入!$B$9*4,I45/(1+核心参数输入!$B$71)^(5/4),0)</f>
        <v>-4806.6238954250957</v>
      </c>
      <c r="J69" s="9">
        <f>IF(6&lt;=核心参数输入!$B$9*4,J45/(1+核心参数输入!$B$71)^(6/4),0)</f>
        <v>-4715.027198381943</v>
      </c>
      <c r="K69" s="9">
        <f>IF(7&lt;=核心参数输入!$B$9*4,K45/(1+核心参数输入!$B$71)^(7/4),0)</f>
        <v>-4625.1759998616108</v>
      </c>
      <c r="L69" s="9">
        <f>IF(8&lt;=核心参数输入!$B$9*4,L45/(1+核心参数输入!$B$71)^(8/4),0)</f>
        <v>-4537.0370370370365</v>
      </c>
      <c r="M69" s="9">
        <f>IF(9&lt;=核心参数输入!$B$9*4,M45/(1+核心参数输入!$B$71)^(9/4),0)</f>
        <v>-3337.9332607118718</v>
      </c>
      <c r="N69" s="9">
        <f>IF(10&lt;=核心参数输入!$B$9*4,N45/(1+核心参数输入!$B$71)^(10/4),0)</f>
        <v>-3274.3244433207938</v>
      </c>
      <c r="O69" s="9">
        <f>IF(11&lt;=核心参数输入!$B$9*4,O45/(1+核心参数输入!$B$71)^(11/4),0)</f>
        <v>-3211.9277776816739</v>
      </c>
      <c r="P69" s="9">
        <f>IF(12&lt;=核心参数输入!$B$9*4,P45/(1+核心参数输入!$B$71)^(12/4),0)</f>
        <v>-3150.720164609053</v>
      </c>
      <c r="Q69" s="9">
        <f>IF(13&lt;=核心参数输入!$B$9*4,Q45/(1+核心参数输入!$B$71)^(13/4),0)</f>
        <v>1194.3103453711349</v>
      </c>
      <c r="R69" s="9">
        <f>IF(14&lt;=核心参数输入!$B$9*4,R45/(1+核心参数输入!$B$71)^(14/4),0)</f>
        <v>2402.031253131011</v>
      </c>
      <c r="S69" s="9">
        <f>IF(15&lt;=核心参数输入!$B$9*4,S45/(1+核心参数输入!$B$71)^(15/4),0)</f>
        <v>2393.6531213972885</v>
      </c>
      <c r="T69" s="9">
        <f>IF(16&lt;=核心参数输入!$B$9*4,T45/(1+核心参数输入!$B$71)^(16/4),0)</f>
        <v>2049.3365242812215</v>
      </c>
      <c r="U69" s="9">
        <f>IF(17&lt;=核心参数输入!$B$9*4,U45/(1+核心参数输入!$B$71)^(17/4),0)</f>
        <v>2893.6953923688056</v>
      </c>
      <c r="V69" s="9">
        <f>IF(18&lt;=核心参数输入!$B$9*4,V45/(1+核心参数输入!$B$71)^(18/4),0)</f>
        <v>3119.6459197613976</v>
      </c>
      <c r="W69" s="9">
        <f>IF(19&lt;=核心参数输入!$B$9*4,W45/(1+核心参数输入!$B$71)^(19/4),0)</f>
        <v>3074.2549169118365</v>
      </c>
      <c r="X69" s="9">
        <f>IF(20&lt;=核心参数输入!$B$9*4,X45/(1+核心参数输入!$B$71)^(20/4),0)</f>
        <v>2444.192100951931</v>
      </c>
      <c r="Y69" s="9">
        <f>IF(21&lt;=核心参数输入!$B$9*4,Y45/(1+核心参数输入!$B$71)^(21/4),0)</f>
        <v>2507.6927032276258</v>
      </c>
      <c r="Z69" s="9">
        <f>IF(22&lt;=核心参数输入!$B$9*4,Z45/(1+核心参数输入!$B$71)^(22/4),0)</f>
        <v>2234.6400382952561</v>
      </c>
      <c r="AA69" s="9">
        <f>IF(23&lt;=核心参数输入!$B$9*4,AA45/(1+核心参数输入!$B$71)^(23/4),0)</f>
        <v>2201.9649366487315</v>
      </c>
      <c r="AB69" s="9">
        <f>IF(24&lt;=核心参数输入!$B$9*4,AB45/(1+核心参数输入!$B$71)^(24/4),0)</f>
        <v>1728.7173487237858</v>
      </c>
      <c r="AC69" s="9">
        <f>IF(25&lt;=核心参数输入!$B$9*4,AC45/(1+核心参数输入!$B$71)^(25/4),0)</f>
        <v>808.77542694065926</v>
      </c>
      <c r="AD69" s="9">
        <f>IF(26&lt;=核心参数输入!$B$9*4,AD45/(1+核心参数输入!$B$71)^(26/4),0)</f>
        <v>141.21920616960514</v>
      </c>
      <c r="AE69" s="9">
        <f>IF(27&lt;=核心参数输入!$B$9*4,AE45/(1+核心参数输入!$B$71)^(27/4),0)</f>
        <v>141.63228475713743</v>
      </c>
      <c r="AF69" s="9">
        <f>IF(28&lt;=核心参数输入!$B$9*4,AF45/(1+核心参数输入!$B$71)^(28/4),0)</f>
        <v>125.83564341239776</v>
      </c>
      <c r="AG69" s="9">
        <f>IF(29&lt;=核心参数输入!$B$9*4,AG45/(1+核心参数输入!$B$71)^(29/4),0)</f>
        <v>144.5522372092469</v>
      </c>
      <c r="AH69" s="9">
        <f>IF(30&lt;=核心参数输入!$B$9*4,AH45/(1+核心参数输入!$B$71)^(30/4),0)</f>
        <v>143.28462374275841</v>
      </c>
      <c r="AI69" s="9">
        <f>IF(31&lt;=核心参数输入!$B$9*4,AI45/(1+核心参数输入!$B$71)^(31/4),0)</f>
        <v>140.55414210794626</v>
      </c>
      <c r="AJ69" s="9">
        <f>IF(32&lt;=核心参数输入!$B$9*4,AJ45/(1+核心参数输入!$B$71)^(32/4),0)</f>
        <v>111.93810448227352</v>
      </c>
      <c r="AK69" s="9">
        <f>IF(33&lt;=核心参数输入!$B$9*4,AK45/(1+核心参数输入!$B$71)^(33/4),0)</f>
        <v>137.41962002979258</v>
      </c>
      <c r="AL69" s="9">
        <f>IF(34&lt;=核心参数输入!$B$9*4,AL45/(1+核心参数输入!$B$71)^(34/4),0)</f>
        <v>134.80090394600779</v>
      </c>
      <c r="AM69" s="9">
        <f>IF(35&lt;=核心参数输入!$B$9*4,AM45/(1+核心参数输入!$B$71)^(35/4),0)</f>
        <v>132.23209102689472</v>
      </c>
      <c r="AN69" s="9">
        <f>IF(36&lt;=核心参数输入!$B$9*4,AN45/(1+核心参数输入!$B$71)^(36/4),0)</f>
        <v>103.31516855924242</v>
      </c>
      <c r="AO69" s="9">
        <f>IF(37&lt;=核心参数输入!$B$9*4,AO45/(1+核心参数输入!$B$71)^(37/4),0)</f>
        <v>129.27705676967099</v>
      </c>
      <c r="AP69" s="9">
        <f>IF(38&lt;=核心参数输入!$B$9*4,AP45/(1+核心参数输入!$B$71)^(38/4),0)</f>
        <v>126.81350820394432</v>
      </c>
      <c r="AQ69" s="9">
        <f>IF(39&lt;=核心参数输入!$B$9*4,AQ45/(1+核心参数输入!$B$71)^(39/4),0)</f>
        <v>124.3969058766868</v>
      </c>
      <c r="AR69" s="9">
        <f>IF(40&lt;=核心参数输入!$B$9*4,AR45/(1+核心参数输入!$B$71)^(40/4),0)</f>
        <v>95.662193110409632</v>
      </c>
      <c r="AS69" s="9">
        <f>IF(41&lt;=核心参数输入!$B$9*4,AS45/(1+核心参数输入!$B$71)^(41/4),0)</f>
        <v>121.61130667999595</v>
      </c>
      <c r="AT69" s="9">
        <f>IF(42&lt;=核心参数输入!$B$9*4,AT45/(1+核心参数输入!$B$71)^(42/4),0)</f>
        <v>119.29383931468125</v>
      </c>
      <c r="AU69" s="9">
        <f>IF(43&lt;=核心参数输入!$B$9*4,AU45/(1+核心参数输入!$B$71)^(43/4),0)</f>
        <v>117.02053441366299</v>
      </c>
      <c r="AV69" s="9">
        <f>IF(44&lt;=核心参数输入!$B$9*4,AV45/(1+核心参数输入!$B$71)^(44/4),0)</f>
        <v>88.576104731860738</v>
      </c>
      <c r="AW69" s="9">
        <f>IF(45&lt;=核心参数输入!$B$9*4,AW45/(1+核心参数输入!$B$71)^(45/4),0)</f>
        <v>114.39486306669761</v>
      </c>
      <c r="AX69" s="9">
        <f>IF(46&lt;=核心参数输入!$B$9*4,AX45/(1+核心参数输入!$B$71)^(46/4),0)</f>
        <v>112.21491476127969</v>
      </c>
      <c r="AY69" s="9">
        <f>IF(47&lt;=核心参数输入!$B$9*4,AY45/(1+核心参数输入!$B$71)^(47/4),0)</f>
        <v>110.07650830911373</v>
      </c>
      <c r="AZ69" s="9">
        <f>IF(48&lt;=核心参数输入!$B$9*4,AZ45/(1+核心参数输入!$B$71)^(48/4),0)</f>
        <v>82.014911788759974</v>
      </c>
      <c r="BA69" s="9">
        <f>IF(49&lt;=核心参数输入!$B$9*4,BA45/(1+核心参数输入!$B$71)^(49/4),0)</f>
        <v>107.60177494133936</v>
      </c>
      <c r="BB69" s="9">
        <f>IF(50&lt;=核心参数输入!$B$9*4,BB45/(1+核心参数输入!$B$71)^(50/4),0)</f>
        <v>105.55127808636635</v>
      </c>
      <c r="BC69" s="9">
        <f>IF(51&lt;=核心参数输入!$B$9*4,BC45/(1+核心参数输入!$B$71)^(51/4),0)</f>
        <v>103.539856212773</v>
      </c>
      <c r="BD69" s="9">
        <f>IF(52&lt;=核心参数输入!$B$9*4,BD45/(1+核心参数输入!$B$71)^(52/4),0)</f>
        <v>75.939733137740689</v>
      </c>
      <c r="BE69" s="9">
        <f>IF(53&lt;=核心参数输入!$B$9*4,BE45/(1+核心参数输入!$B$71)^(53/4),0)</f>
        <v>101.20756142766255</v>
      </c>
      <c r="BF69" s="9">
        <f>IF(54&lt;=核心参数输入!$B$9*4,BF45/(1+核心参数输入!$B$71)^(54/4),0)</f>
        <v>99.278914929776761</v>
      </c>
      <c r="BG69" s="9">
        <f>IF(55&lt;=核心参数输入!$B$9*4,BG45/(1+核心参数输入!$B$71)^(55/4),0)</f>
        <v>97.387021390477614</v>
      </c>
      <c r="BH69" s="9">
        <f>IF(56&lt;=核心参数输入!$B$9*4,BH45/(1+核心参数输入!$B$71)^(56/4),0)</f>
        <v>70.314567720130256</v>
      </c>
      <c r="BI69" s="9">
        <f>IF(57&lt;=核心参数输入!$B$9*4,BI45/(1+核心参数输入!$B$71)^(57/4),0)</f>
        <v>95.189130688416029</v>
      </c>
      <c r="BJ69" s="9">
        <f>IF(58&lt;=核心参数输入!$B$9*4,BJ45/(1+核心参数输入!$B$71)^(58/4),0)</f>
        <v>93.375173500343436</v>
      </c>
      <c r="BK69" s="9">
        <f>IF(59&lt;=核心参数输入!$B$9*4,BK45/(1+核心参数输入!$B$71)^(59/4),0)</f>
        <v>91.59578371147245</v>
      </c>
      <c r="BL69" s="9">
        <f>IF(60&lt;=核心参数输入!$B$9*4,BL45/(1+核心参数输入!$B$71)^(60/4),0)</f>
        <v>65.106081222342809</v>
      </c>
      <c r="BM69" s="9">
        <f>IF(61&lt;=核心参数输入!$B$9*4,BM45/(1+核心参数输入!$B$71)^(61/4),0)</f>
        <v>89.524703149162178</v>
      </c>
      <c r="BN69" s="9">
        <f>IF(62&lt;=核心参数输入!$B$9*4,BN45/(1+核心参数输入!$B$71)^(62/4),0)</f>
        <v>87.818689262775777</v>
      </c>
      <c r="BO69" s="9">
        <f>IF(63&lt;=核心参数输入!$B$9*4,BO45/(1+核心参数输入!$B$71)^(63/4),0)</f>
        <v>86.145185770483522</v>
      </c>
      <c r="BP69" s="9">
        <f>IF(64&lt;=核心参数输入!$B$9*4,BP45/(1+核心参数输入!$B$71)^(64/4),0)</f>
        <v>60.283408539206341</v>
      </c>
      <c r="BQ69" s="9">
        <f>IF(65&lt;=核心参数输入!$B$9*4,BQ45/(1+核心参数输入!$B$71)^(65/4),0)</f>
        <v>84.193738805467859</v>
      </c>
      <c r="BR69" s="9">
        <f>IF(66&lt;=核心参数输入!$B$9*4,BR45/(1+核心参数输入!$B$71)^(66/4),0)</f>
        <v>82.589313630110397</v>
      </c>
      <c r="BS69" s="9">
        <f>IF(67&lt;=核心参数输入!$B$9*4,BS45/(1+核心参数输入!$B$71)^(67/4),0)</f>
        <v>81.015462939029845</v>
      </c>
      <c r="BT69" s="9">
        <f>IF(68&lt;=核心参数输入!$B$9*4,BT45/(1+核心参数输入!$B$71)^(68/4),0)</f>
        <v>55.817970869635495</v>
      </c>
      <c r="BU69" s="9">
        <f>IF(69&lt;=核心参数输入!$B$9*4,BU45/(1+核心参数输入!$B$71)^(69/4),0)</f>
        <v>79.17686840930476</v>
      </c>
      <c r="BV69" s="9">
        <f>IF(70&lt;=核心参数输入!$B$9*4,BV45/(1+核心参数输入!$B$71)^(70/4),0)</f>
        <v>77.668046461447489</v>
      </c>
      <c r="BW69" s="9">
        <f>IF(71&lt;=核心参数输入!$B$9*4,BW45/(1+核心参数输入!$B$71)^(71/4),0)</f>
        <v>76.187977149506139</v>
      </c>
      <c r="BX69" s="9">
        <f>IF(72&lt;=核心参数输入!$B$9*4,BX45/(1+核心参数输入!$B$71)^(72/4),0)</f>
        <v>51.683306360773592</v>
      </c>
      <c r="BY69" s="9">
        <f>IF(73&lt;=核心参数输入!$B$9*4,BY45/(1+核心参数输入!$B$71)^(73/4),0)</f>
        <v>74.45582833959358</v>
      </c>
      <c r="BZ69" s="9">
        <f>IF(74&lt;=核心参数输入!$B$9*4,BZ45/(1+核心参数输入!$B$71)^(74/4),0)</f>
        <v>73.036972173624406</v>
      </c>
      <c r="CA69" s="9">
        <f>IF(75&lt;=核心参数输入!$B$9*4,CA45/(1+核心参数输入!$B$71)^(75/4),0)</f>
        <v>71.645154224334874</v>
      </c>
      <c r="CB69" s="9">
        <f>IF(76&lt;=核心参数输入!$B$9*4,CB45/(1+核心参数输入!$B$71)^(76/4),0)</f>
        <v>47.854913297012558</v>
      </c>
      <c r="CC69" s="9">
        <f>IF(77&lt;=核心参数输入!$B$9*4,CC45/(1+核心参数输入!$B$71)^(77/4),0)</f>
        <v>70.013398970627335</v>
      </c>
      <c r="CD69" s="9">
        <f>IF(78&lt;=核心参数输入!$B$9*4,CD45/(1+核心参数输入!$B$71)^(78/4),0)</f>
        <v>68.679199284111874</v>
      </c>
      <c r="CE69" s="9">
        <f>IF(79&lt;=核心参数输入!$B$9*4,CE45/(1+核心参数输入!$B$71)^(79/4),0)</f>
        <v>67.370424570953915</v>
      </c>
      <c r="CF69" s="9">
        <f>IF(80&lt;=核心参数输入!$B$9*4,CF45/(1+核心参数输入!$B$71)^(80/4),0)</f>
        <v>44.310104904641307</v>
      </c>
      <c r="CG69" s="9">
        <f>IF(81&lt;=核心参数输入!$B$9*4,CG45/(1+核心参数输入!$B$71)^(81/4),0)</f>
        <v>0</v>
      </c>
      <c r="CH69" s="9">
        <f>IF(82&lt;=核心参数输入!$B$9*4,CH45/(1+核心参数输入!$B$71)^(82/4),0)</f>
        <v>0</v>
      </c>
      <c r="CI69" s="9">
        <f>IF(83&lt;=核心参数输入!$B$9*4,CI45/(1+核心参数输入!$B$71)^(83/4),0)</f>
        <v>0</v>
      </c>
      <c r="CJ69" s="9">
        <f>IF(84&lt;=核心参数输入!$B$9*4,CJ45/(1+核心参数输入!$B$71)^(84/4),0)</f>
        <v>0</v>
      </c>
      <c r="CK69" s="9">
        <f>IF(85&lt;=核心参数输入!$B$9*4,CK45/(1+核心参数输入!$B$71)^(85/4),0)</f>
        <v>0</v>
      </c>
      <c r="CL69" s="9">
        <f>IF(86&lt;=核心参数输入!$B$9*4,CL45/(1+核心参数输入!$B$71)^(86/4),0)</f>
        <v>0</v>
      </c>
      <c r="CM69" s="9">
        <f>IF(87&lt;=核心参数输入!$B$9*4,CM45/(1+核心参数输入!$B$71)^(87/4),0)</f>
        <v>0</v>
      </c>
      <c r="CN69" s="9">
        <f>IF(88&lt;=核心参数输入!$B$9*4,CN45/(1+核心参数输入!$B$71)^(88/4),0)</f>
        <v>0</v>
      </c>
      <c r="CO69" s="9">
        <f>IF(89&lt;=核心参数输入!$B$9*4,CO45/(1+核心参数输入!$B$71)^(89/4),0)</f>
        <v>0</v>
      </c>
      <c r="CP69" s="9">
        <f>IF(90&lt;=核心参数输入!$B$9*4,CP45/(1+核心参数输入!$B$71)^(90/4),0)</f>
        <v>0</v>
      </c>
      <c r="CQ69" s="9">
        <f>IF(91&lt;=核心参数输入!$B$9*4,CQ45/(1+核心参数输入!$B$71)^(91/4),0)</f>
        <v>0</v>
      </c>
      <c r="CR69" s="9">
        <f>IF(92&lt;=核心参数输入!$B$9*4,CR45/(1+核心参数输入!$B$71)^(92/4),0)</f>
        <v>0</v>
      </c>
      <c r="CS69" s="9">
        <f>IF(93&lt;=核心参数输入!$B$9*4,CS45/(1+核心参数输入!$B$71)^(93/4),0)</f>
        <v>0</v>
      </c>
      <c r="CT69" s="9">
        <f>IF(94&lt;=核心参数输入!$B$9*4,CT45/(1+核心参数输入!$B$71)^(94/4),0)</f>
        <v>0</v>
      </c>
      <c r="CU69" s="9">
        <f>IF(95&lt;=核心参数输入!$B$9*4,CU45/(1+核心参数输入!$B$71)^(95/4),0)</f>
        <v>0</v>
      </c>
      <c r="CV69" s="9">
        <f>IF(96&lt;=核心参数输入!$B$9*4,CV45/(1+核心参数输入!$B$71)^(96/4),0)</f>
        <v>0</v>
      </c>
      <c r="CW69" s="9">
        <f>IF(97&lt;=核心参数输入!$B$9*4,CW45/(1+核心参数输入!$B$71)^(97/4),0)</f>
        <v>0</v>
      </c>
      <c r="CX69" s="9">
        <f>IF(98&lt;=核心参数输入!$B$9*4,CX45/(1+核心参数输入!$B$71)^(98/4),0)</f>
        <v>0</v>
      </c>
      <c r="CY69" s="9">
        <f>IF(99&lt;=核心参数输入!$B$9*4,CY45/(1+核心参数输入!$B$71)^(99/4),0)</f>
        <v>0</v>
      </c>
      <c r="CZ69" s="9">
        <f>IF(100&lt;=核心参数输入!$B$9*4,CZ45/(1+核心参数输入!$B$71)^(100/4),0)</f>
        <v>0</v>
      </c>
      <c r="DA69" s="9">
        <f>IF(101&lt;=核心参数输入!$B$9*4,DA45/(1+核心参数输入!$B$71)^(101/4),0)</f>
        <v>0</v>
      </c>
      <c r="DB69" s="9">
        <f>IF(102&lt;=核心参数输入!$B$9*4,DB45/(1+核心参数输入!$B$71)^(102/4),0)</f>
        <v>0</v>
      </c>
      <c r="DC69" s="9">
        <f>IF(103&lt;=核心参数输入!$B$9*4,DC45/(1+核心参数输入!$B$71)^(103/4),0)</f>
        <v>0</v>
      </c>
      <c r="DD69" s="9">
        <f>IF(104&lt;=核心参数输入!$B$9*4,DD45/(1+核心参数输入!$B$71)^(104/4),0)</f>
        <v>0</v>
      </c>
      <c r="DE69" s="9">
        <f>IF(105&lt;=核心参数输入!$B$9*4,DE45/(1+核心参数输入!$B$71)^(105/4),0)</f>
        <v>0</v>
      </c>
      <c r="DF69" s="9">
        <f>IF(106&lt;=核心参数输入!$B$9*4,DF45/(1+核心参数输入!$B$71)^(106/4),0)</f>
        <v>0</v>
      </c>
      <c r="DG69" s="9">
        <f>IF(107&lt;=核心参数输入!$B$9*4,DG45/(1+核心参数输入!$B$71)^(107/4),0)</f>
        <v>0</v>
      </c>
      <c r="DH69" s="9">
        <f>IF(108&lt;=核心参数输入!$B$9*4,DH45/(1+核心参数输入!$B$71)^(108/4),0)</f>
        <v>0</v>
      </c>
      <c r="DI69" s="9">
        <f>IF(109&lt;=核心参数输入!$B$9*4,DI45/(1+核心参数输入!$B$71)^(109/4),0)</f>
        <v>0</v>
      </c>
      <c r="DJ69" s="9">
        <f>IF(110&lt;=核心参数输入!$B$9*4,DJ45/(1+核心参数输入!$B$71)^(110/4),0)</f>
        <v>0</v>
      </c>
      <c r="DK69" s="9">
        <f>IF(111&lt;=核心参数输入!$B$9*4,DK45/(1+核心参数输入!$B$71)^(111/4),0)</f>
        <v>0</v>
      </c>
      <c r="DL69" s="9">
        <f>IF(112&lt;=核心参数输入!$B$9*4,DL45/(1+核心参数输入!$B$71)^(112/4),0)</f>
        <v>0</v>
      </c>
      <c r="DM69" s="9">
        <f>IF(113&lt;=核心参数输入!$B$9*4,DM45/(1+核心参数输入!$B$71)^(113/4),0)</f>
        <v>0</v>
      </c>
      <c r="DN69" s="9">
        <f>IF(114&lt;=核心参数输入!$B$9*4,DN45/(1+核心参数输入!$B$71)^(114/4),0)</f>
        <v>0</v>
      </c>
      <c r="DO69" s="9">
        <f>IF(115&lt;=核心参数输入!$B$9*4,DO45/(1+核心参数输入!$B$71)^(115/4),0)</f>
        <v>0</v>
      </c>
      <c r="DP69" s="9">
        <f>IF(116&lt;=核心参数输入!$B$9*4,DP45/(1+核心参数输入!$B$71)^(116/4),0)</f>
        <v>0</v>
      </c>
      <c r="DQ69" s="9">
        <f>IF(117&lt;=核心参数输入!$B$9*4,DQ45/(1+核心参数输入!$B$71)^(117/4),0)</f>
        <v>0</v>
      </c>
      <c r="DR69" s="9">
        <f>IF(118&lt;=核心参数输入!$B$9*4,DR45/(1+核心参数输入!$B$71)^(118/4),0)</f>
        <v>0</v>
      </c>
      <c r="DS69" s="9">
        <f>IF(119&lt;=核心参数输入!$B$9*4,DS45/(1+核心参数输入!$B$71)^(119/4),0)</f>
        <v>0</v>
      </c>
      <c r="DT69" s="9">
        <f>IF(120&lt;=核心参数输入!$B$9*4,DT45/(1+核心参数输入!$B$71)^(120/4),0)</f>
        <v>0</v>
      </c>
    </row>
    <row r="70" spans="1:124" ht="21" customHeight="1">
      <c r="A70" s="8" t="s">
        <v>561</v>
      </c>
      <c r="B70" s="8" t="s">
        <v>39</v>
      </c>
      <c r="C70" s="8"/>
      <c r="D70" s="9">
        <f>IF(0&lt;=核心参数输入!$B$9*4,0+D69,0)</f>
        <v>-8000</v>
      </c>
      <c r="E70" s="9">
        <f>IF(1&lt;=核心参数输入!$B$9*4,季度现金流!D70+E69,0)</f>
        <v>-11893.365355294329</v>
      </c>
      <c r="F70" s="9">
        <f>IF(2&lt;=核心参数输入!$B$9*4,季度现金流!E70+F69,0)</f>
        <v>-15712.537385983702</v>
      </c>
      <c r="G70" s="9">
        <f>IF(3&lt;=核心参数输入!$B$9*4,季度现金流!F70+G69,0)</f>
        <v>-19458.929945871605</v>
      </c>
      <c r="H70" s="9">
        <f>IF(4&lt;=核心参数输入!$B$9*4,季度现金流!G70+H69,0)</f>
        <v>-23133.929945871605</v>
      </c>
      <c r="I70" s="9">
        <f>IF(5&lt;=核心参数输入!$B$9*4,季度现金流!H70+I69,0)</f>
        <v>-27940.5538412967</v>
      </c>
      <c r="J70" s="9">
        <f>IF(6&lt;=核心参数输入!$B$9*4,季度现金流!I70+J69,0)</f>
        <v>-32655.581039678644</v>
      </c>
      <c r="K70" s="9">
        <f>IF(7&lt;=核心参数输入!$B$9*4,季度现金流!J70+K69,0)</f>
        <v>-37280.757039540258</v>
      </c>
      <c r="L70" s="9">
        <f>IF(8&lt;=核心参数输入!$B$9*4,季度现金流!K70+L69,0)</f>
        <v>-41817.794076577295</v>
      </c>
      <c r="M70" s="9">
        <f>IF(9&lt;=核心参数输入!$B$9*4,季度现金流!L70+M69,0)</f>
        <v>-45155.727337289165</v>
      </c>
      <c r="N70" s="9">
        <f>IF(10&lt;=核心参数输入!$B$9*4,季度现金流!M70+N69,0)</f>
        <v>-48430.05178060996</v>
      </c>
      <c r="O70" s="9">
        <f>IF(11&lt;=核心参数输入!$B$9*4,季度现金流!N70+O69,0)</f>
        <v>-51641.979558291634</v>
      </c>
      <c r="P70" s="9">
        <f>IF(12&lt;=核心参数输入!$B$9*4,季度现金流!O70+P69,0)</f>
        <v>-54792.699722900688</v>
      </c>
      <c r="Q70" s="9">
        <f>IF(13&lt;=核心参数输入!$B$9*4,季度现金流!P70+Q69,0)</f>
        <v>-53598.389377529551</v>
      </c>
      <c r="R70" s="9">
        <f>IF(14&lt;=核心参数输入!$B$9*4,季度现金流!Q70+R69,0)</f>
        <v>-51196.358124398539</v>
      </c>
      <c r="S70" s="9">
        <f>IF(15&lt;=核心参数输入!$B$9*4,季度现金流!R70+S69,0)</f>
        <v>-48802.705003001247</v>
      </c>
      <c r="T70" s="9">
        <f>IF(16&lt;=核心参数输入!$B$9*4,季度现金流!S70+T69,0)</f>
        <v>-46753.368478720025</v>
      </c>
      <c r="U70" s="9">
        <f>IF(17&lt;=核心参数输入!$B$9*4,季度现金流!T70+U69,0)</f>
        <v>-43859.67308635122</v>
      </c>
      <c r="V70" s="9">
        <f>IF(18&lt;=核心参数输入!$B$9*4,季度现金流!U70+V69,0)</f>
        <v>-40740.027166589825</v>
      </c>
      <c r="W70" s="9">
        <f>IF(19&lt;=核心参数输入!$B$9*4,季度现金流!V70+W69,0)</f>
        <v>-37665.77224967799</v>
      </c>
      <c r="X70" s="9">
        <f>IF(20&lt;=核心参数输入!$B$9*4,季度现金流!W70+X69,0)</f>
        <v>-35221.580148726061</v>
      </c>
      <c r="Y70" s="9">
        <f>IF(21&lt;=核心参数输入!$B$9*4,季度现金流!X70+Y69,0)</f>
        <v>-32713.887445498436</v>
      </c>
      <c r="Z70" s="9">
        <f>IF(22&lt;=核心参数输入!$B$9*4,季度现金流!Y70+Z69,0)</f>
        <v>-30479.24740720318</v>
      </c>
      <c r="AA70" s="9">
        <f>IF(23&lt;=核心参数输入!$B$9*4,季度现金流!Z70+AA69,0)</f>
        <v>-28277.282470554448</v>
      </c>
      <c r="AB70" s="9">
        <f>IF(24&lt;=核心参数输入!$B$9*4,季度现金流!AA70+AB69,0)</f>
        <v>-26548.565121830663</v>
      </c>
      <c r="AC70" s="9">
        <f>IF(25&lt;=核心参数输入!$B$9*4,季度现金流!AB70+AC69,0)</f>
        <v>-25739.789694890005</v>
      </c>
      <c r="AD70" s="9">
        <f>IF(26&lt;=核心参数输入!$B$9*4,季度现金流!AC70+AD69,0)</f>
        <v>-25598.570488720401</v>
      </c>
      <c r="AE70" s="9">
        <f>IF(27&lt;=核心参数输入!$B$9*4,季度现金流!AD70+AE69,0)</f>
        <v>-25456.938203963262</v>
      </c>
      <c r="AF70" s="9">
        <f>IF(28&lt;=核心参数输入!$B$9*4,季度现金流!AE70+AF69,0)</f>
        <v>-25331.102560550866</v>
      </c>
      <c r="AG70" s="9">
        <f>IF(29&lt;=核心参数输入!$B$9*4,季度现金流!AF70+AG69,0)</f>
        <v>-25186.55032334162</v>
      </c>
      <c r="AH70" s="9">
        <f>IF(30&lt;=核心参数输入!$B$9*4,季度现金流!AG70+AH69,0)</f>
        <v>-25043.265699598862</v>
      </c>
      <c r="AI70" s="9">
        <f>IF(31&lt;=核心参数输入!$B$9*4,季度现金流!AH70+AI69,0)</f>
        <v>-24902.711557490915</v>
      </c>
      <c r="AJ70" s="9">
        <f>IF(32&lt;=核心参数输入!$B$9*4,季度现金流!AI70+AJ69,0)</f>
        <v>-24790.773453008642</v>
      </c>
      <c r="AK70" s="9">
        <f>IF(33&lt;=核心参数输入!$B$9*4,季度现金流!AJ70+AK69,0)</f>
        <v>-24653.35383297885</v>
      </c>
      <c r="AL70" s="9">
        <f>IF(34&lt;=核心参数输入!$B$9*4,季度现金流!AK70+AL69,0)</f>
        <v>-24518.552929032841</v>
      </c>
      <c r="AM70" s="9">
        <f>IF(35&lt;=核心参数输入!$B$9*4,季度现金流!AL70+AM69,0)</f>
        <v>-24386.320838005948</v>
      </c>
      <c r="AN70" s="9">
        <f>IF(36&lt;=核心参数输入!$B$9*4,季度现金流!AM70+AN69,0)</f>
        <v>-24283.005669446706</v>
      </c>
      <c r="AO70" s="9">
        <f>IF(37&lt;=核心参数输入!$B$9*4,季度现金流!AN70+AO69,0)</f>
        <v>-24153.728612677034</v>
      </c>
      <c r="AP70" s="9">
        <f>IF(38&lt;=核心参数输入!$B$9*4,季度现金流!AO70+AP69,0)</f>
        <v>-24026.91510447309</v>
      </c>
      <c r="AQ70" s="9">
        <f>IF(39&lt;=核心参数输入!$B$9*4,季度现金流!AP70+AQ69,0)</f>
        <v>-23902.518198596405</v>
      </c>
      <c r="AR70" s="9">
        <f>IF(40&lt;=核心参数输入!$B$9*4,季度现金流!AQ70+AR69,0)</f>
        <v>-23806.856005485995</v>
      </c>
      <c r="AS70" s="9">
        <f>IF(41&lt;=核心参数输入!$B$9*4,季度现金流!AR70+AS69,0)</f>
        <v>-23685.244698806</v>
      </c>
      <c r="AT70" s="9">
        <f>IF(42&lt;=核心参数输入!$B$9*4,季度现金流!AS70+AT69,0)</f>
        <v>-23565.95085949132</v>
      </c>
      <c r="AU70" s="9">
        <f>IF(43&lt;=核心参数输入!$B$9*4,季度现金流!AT70+AU69,0)</f>
        <v>-23448.930325077657</v>
      </c>
      <c r="AV70" s="9">
        <f>IF(44&lt;=核心参数输入!$B$9*4,季度现金流!AU70+AV69,0)</f>
        <v>-23360.354220345798</v>
      </c>
      <c r="AW70" s="9">
        <f>IF(45&lt;=核心参数输入!$B$9*4,季度现金流!AV70+AW69,0)</f>
        <v>-23245.959357279102</v>
      </c>
      <c r="AX70" s="9">
        <f>IF(46&lt;=核心参数输入!$B$9*4,季度现金流!AW70+AX69,0)</f>
        <v>-23133.744442517822</v>
      </c>
      <c r="AY70" s="9">
        <f>IF(47&lt;=核心参数输入!$B$9*4,季度现金流!AX70+AY69,0)</f>
        <v>-23023.667934208708</v>
      </c>
      <c r="AZ70" s="9">
        <f>IF(48&lt;=核心参数输入!$B$9*4,季度现金流!AY70+AZ69,0)</f>
        <v>-22941.653022419949</v>
      </c>
      <c r="BA70" s="9">
        <f>IF(49&lt;=核心参数输入!$B$9*4,季度现金流!AZ70+BA69,0)</f>
        <v>-22834.051247478608</v>
      </c>
      <c r="BB70" s="9">
        <f>IF(50&lt;=核心参数输入!$B$9*4,季度现金流!BA70+BB69,0)</f>
        <v>-22728.499969392244</v>
      </c>
      <c r="BC70" s="9">
        <f>IF(51&lt;=核心参数输入!$B$9*4,季度现金流!BB70+BC69,0)</f>
        <v>-22624.96011317947</v>
      </c>
      <c r="BD70" s="9">
        <f>IF(52&lt;=核心参数输入!$B$9*4,季度现金流!BC70+BD69,0)</f>
        <v>-22549.020380041729</v>
      </c>
      <c r="BE70" s="9">
        <f>IF(53&lt;=核心参数输入!$B$9*4,季度现金流!BD70+BE69,0)</f>
        <v>-22447.812818614068</v>
      </c>
      <c r="BF70" s="9">
        <f>IF(54&lt;=核心参数输入!$B$9*4,季度现金流!BE70+BF69,0)</f>
        <v>-22348.533903684292</v>
      </c>
      <c r="BG70" s="9">
        <f>IF(55&lt;=核心参数输入!$B$9*4,季度现金流!BF70+BG69,0)</f>
        <v>-22251.146882293815</v>
      </c>
      <c r="BH70" s="9">
        <f>IF(56&lt;=核心参数输入!$B$9*4,季度现金流!BG70+BH69,0)</f>
        <v>-22180.832314573683</v>
      </c>
      <c r="BI70" s="9">
        <f>IF(57&lt;=核心参数输入!$B$9*4,季度现金流!BH70+BI69,0)</f>
        <v>-22085.643183885266</v>
      </c>
      <c r="BJ70" s="9">
        <f>IF(58&lt;=核心参数输入!$B$9*4,季度现金流!BI70+BJ69,0)</f>
        <v>-21992.268010384923</v>
      </c>
      <c r="BK70" s="9">
        <f>IF(59&lt;=核心参数输入!$B$9*4,季度现金流!BJ70+BK69,0)</f>
        <v>-21900.67222667345</v>
      </c>
      <c r="BL70" s="9">
        <f>IF(60&lt;=核心参数输入!$B$9*4,季度现金流!BK70+BL69,0)</f>
        <v>-21835.566145451106</v>
      </c>
      <c r="BM70" s="9">
        <f>IF(61&lt;=核心参数输入!$B$9*4,季度现金流!BL70+BM69,0)</f>
        <v>-21746.041442301943</v>
      </c>
      <c r="BN70" s="9">
        <f>IF(62&lt;=核心参数输入!$B$9*4,季度现金流!BM70+BN69,0)</f>
        <v>-21658.222753039168</v>
      </c>
      <c r="BO70" s="9">
        <f>IF(63&lt;=核心参数输入!$B$9*4,季度现金流!BN70+BO69,0)</f>
        <v>-21572.077567268683</v>
      </c>
      <c r="BP70" s="9">
        <f>IF(64&lt;=核心参数输入!$B$9*4,季度现金流!BO70+BP69,0)</f>
        <v>-21511.794158729477</v>
      </c>
      <c r="BQ70" s="9">
        <f>IF(65&lt;=核心参数输入!$B$9*4,季度现金流!BP70+BQ69,0)</f>
        <v>-21427.600419924009</v>
      </c>
      <c r="BR70" s="9">
        <f>IF(66&lt;=核心参数输入!$B$9*4,季度现金流!BQ70+BR69,0)</f>
        <v>-21345.0111062939</v>
      </c>
      <c r="BS70" s="9">
        <f>IF(67&lt;=核心参数输入!$B$9*4,季度现金流!BR70+BS69,0)</f>
        <v>-21263.995643354869</v>
      </c>
      <c r="BT70" s="9">
        <f>IF(68&lt;=核心参数输入!$B$9*4,季度现金流!BS70+BT69,0)</f>
        <v>-21208.177672485232</v>
      </c>
      <c r="BU70" s="9">
        <f>IF(69&lt;=核心参数输入!$B$9*4,季度现金流!BT70+BU69,0)</f>
        <v>-21129.000804075928</v>
      </c>
      <c r="BV70" s="9">
        <f>IF(70&lt;=核心参数输入!$B$9*4,季度现金流!BU70+BV69,0)</f>
        <v>-21051.33275761448</v>
      </c>
      <c r="BW70" s="9">
        <f>IF(71&lt;=核心参数输入!$B$9*4,季度现金流!BV70+BW69,0)</f>
        <v>-20975.144780464972</v>
      </c>
      <c r="BX70" s="9">
        <f>IF(72&lt;=核心参数输入!$B$9*4,季度现金流!BW70+BX69,0)</f>
        <v>-20923.461474104199</v>
      </c>
      <c r="BY70" s="9">
        <f>IF(73&lt;=核心参数输入!$B$9*4,季度现金流!BX70+BY69,0)</f>
        <v>-20849.005645764606</v>
      </c>
      <c r="BZ70" s="9">
        <f>IF(74&lt;=核心参数输入!$B$9*4,季度现金流!BY70+BZ69,0)</f>
        <v>-20775.968673590982</v>
      </c>
      <c r="CA70" s="9">
        <f>IF(75&lt;=核心参数输入!$B$9*4,季度现金流!BZ70+CA69,0)</f>
        <v>-20704.323519366648</v>
      </c>
      <c r="CB70" s="9">
        <f>IF(76&lt;=核心参数输入!$B$9*4,季度现金流!CA70+CB69,0)</f>
        <v>-20656.468606069637</v>
      </c>
      <c r="CC70" s="9">
        <f>IF(77&lt;=核心参数输入!$B$9*4,季度现金流!CB70+CC69,0)</f>
        <v>-20586.45520709901</v>
      </c>
      <c r="CD70" s="9">
        <f>IF(78&lt;=核心参数输入!$B$9*4,季度现金流!CC70+CD69,0)</f>
        <v>-20517.776007814897</v>
      </c>
      <c r="CE70" s="9">
        <f>IF(79&lt;=核心参数输入!$B$9*4,季度现金流!CD70+CE69,0)</f>
        <v>-20450.405583243944</v>
      </c>
      <c r="CF70" s="9">
        <f>IF(80&lt;=核心参数输入!$B$9*4,季度现金流!CE70+CF69,0)</f>
        <v>-20406.095478339303</v>
      </c>
      <c r="CG70" s="9">
        <f>IF(81&lt;=核心参数输入!$B$9*4,季度现金流!CF70+CG69,0)</f>
        <v>0</v>
      </c>
      <c r="CH70" s="9">
        <f>IF(82&lt;=核心参数输入!$B$9*4,季度现金流!CG70+CH69,0)</f>
        <v>0</v>
      </c>
      <c r="CI70" s="9">
        <f>IF(83&lt;=核心参数输入!$B$9*4,季度现金流!CH70+CI69,0)</f>
        <v>0</v>
      </c>
      <c r="CJ70" s="9">
        <f>IF(84&lt;=核心参数输入!$B$9*4,季度现金流!CI70+CJ69,0)</f>
        <v>0</v>
      </c>
      <c r="CK70" s="9">
        <f>IF(85&lt;=核心参数输入!$B$9*4,季度现金流!CJ70+CK69,0)</f>
        <v>0</v>
      </c>
      <c r="CL70" s="9">
        <f>IF(86&lt;=核心参数输入!$B$9*4,季度现金流!CK70+CL69,0)</f>
        <v>0</v>
      </c>
      <c r="CM70" s="9">
        <f>IF(87&lt;=核心参数输入!$B$9*4,季度现金流!CL70+CM69,0)</f>
        <v>0</v>
      </c>
      <c r="CN70" s="9">
        <f>IF(88&lt;=核心参数输入!$B$9*4,季度现金流!CM70+CN69,0)</f>
        <v>0</v>
      </c>
      <c r="CO70" s="9">
        <f>IF(89&lt;=核心参数输入!$B$9*4,季度现金流!CN70+CO69,0)</f>
        <v>0</v>
      </c>
      <c r="CP70" s="9">
        <f>IF(90&lt;=核心参数输入!$B$9*4,季度现金流!CO70+CP69,0)</f>
        <v>0</v>
      </c>
      <c r="CQ70" s="9">
        <f>IF(91&lt;=核心参数输入!$B$9*4,季度现金流!CP70+CQ69,0)</f>
        <v>0</v>
      </c>
      <c r="CR70" s="9">
        <f>IF(92&lt;=核心参数输入!$B$9*4,季度现金流!CQ70+CR69,0)</f>
        <v>0</v>
      </c>
      <c r="CS70" s="9">
        <f>IF(93&lt;=核心参数输入!$B$9*4,季度现金流!CR70+CS69,0)</f>
        <v>0</v>
      </c>
      <c r="CT70" s="9">
        <f>IF(94&lt;=核心参数输入!$B$9*4,季度现金流!CS70+CT69,0)</f>
        <v>0</v>
      </c>
      <c r="CU70" s="9">
        <f>IF(95&lt;=核心参数输入!$B$9*4,季度现金流!CT70+CU69,0)</f>
        <v>0</v>
      </c>
      <c r="CV70" s="9">
        <f>IF(96&lt;=核心参数输入!$B$9*4,季度现金流!CU70+CV69,0)</f>
        <v>0</v>
      </c>
      <c r="CW70" s="9">
        <f>IF(97&lt;=核心参数输入!$B$9*4,季度现金流!CV70+CW69,0)</f>
        <v>0</v>
      </c>
      <c r="CX70" s="9">
        <f>IF(98&lt;=核心参数输入!$B$9*4,季度现金流!CW70+CX69,0)</f>
        <v>0</v>
      </c>
      <c r="CY70" s="9">
        <f>IF(99&lt;=核心参数输入!$B$9*4,季度现金流!CX70+CY69,0)</f>
        <v>0</v>
      </c>
      <c r="CZ70" s="9">
        <f>IF(100&lt;=核心参数输入!$B$9*4,季度现金流!CY70+CZ69,0)</f>
        <v>0</v>
      </c>
      <c r="DA70" s="9">
        <f>IF(101&lt;=核心参数输入!$B$9*4,季度现金流!CZ70+DA69,0)</f>
        <v>0</v>
      </c>
      <c r="DB70" s="9">
        <f>IF(102&lt;=核心参数输入!$B$9*4,季度现金流!DA70+DB69,0)</f>
        <v>0</v>
      </c>
      <c r="DC70" s="9">
        <f>IF(103&lt;=核心参数输入!$B$9*4,季度现金流!DB70+DC69,0)</f>
        <v>0</v>
      </c>
      <c r="DD70" s="9">
        <f>IF(104&lt;=核心参数输入!$B$9*4,季度现金流!DC70+DD69,0)</f>
        <v>0</v>
      </c>
      <c r="DE70" s="9">
        <f>IF(105&lt;=核心参数输入!$B$9*4,季度现金流!DD70+DE69,0)</f>
        <v>0</v>
      </c>
      <c r="DF70" s="9">
        <f>IF(106&lt;=核心参数输入!$B$9*4,季度现金流!DE70+DF69,0)</f>
        <v>0</v>
      </c>
      <c r="DG70" s="9">
        <f>IF(107&lt;=核心参数输入!$B$9*4,季度现金流!DF70+DG69,0)</f>
        <v>0</v>
      </c>
      <c r="DH70" s="9">
        <f>IF(108&lt;=核心参数输入!$B$9*4,季度现金流!DG70+DH69,0)</f>
        <v>0</v>
      </c>
      <c r="DI70" s="9">
        <f>IF(109&lt;=核心参数输入!$B$9*4,季度现金流!DH70+DI69,0)</f>
        <v>0</v>
      </c>
      <c r="DJ70" s="9">
        <f>IF(110&lt;=核心参数输入!$B$9*4,季度现金流!DI70+DJ69,0)</f>
        <v>0</v>
      </c>
      <c r="DK70" s="9">
        <f>IF(111&lt;=核心参数输入!$B$9*4,季度现金流!DJ70+DK69,0)</f>
        <v>0</v>
      </c>
      <c r="DL70" s="9">
        <f>IF(112&lt;=核心参数输入!$B$9*4,季度现金流!DK70+DL69,0)</f>
        <v>0</v>
      </c>
      <c r="DM70" s="9">
        <f>IF(113&lt;=核心参数输入!$B$9*4,季度现金流!DL70+DM69,0)</f>
        <v>0</v>
      </c>
      <c r="DN70" s="9">
        <f>IF(114&lt;=核心参数输入!$B$9*4,季度现金流!DM70+DN69,0)</f>
        <v>0</v>
      </c>
      <c r="DO70" s="9">
        <f>IF(115&lt;=核心参数输入!$B$9*4,季度现金流!DN70+DO69,0)</f>
        <v>0</v>
      </c>
      <c r="DP70" s="9">
        <f>IF(116&lt;=核心参数输入!$B$9*4,季度现金流!DO70+DP69,0)</f>
        <v>0</v>
      </c>
      <c r="DQ70" s="9">
        <f>IF(117&lt;=核心参数输入!$B$9*4,季度现金流!DP70+DQ69,0)</f>
        <v>0</v>
      </c>
      <c r="DR70" s="9">
        <f>IF(118&lt;=核心参数输入!$B$9*4,季度现金流!DQ70+DR69,0)</f>
        <v>0</v>
      </c>
      <c r="DS70" s="9">
        <f>IF(119&lt;=核心参数输入!$B$9*4,季度现金流!DR70+DS69,0)</f>
        <v>0</v>
      </c>
      <c r="DT70" s="9">
        <f>IF(120&lt;=核心参数输入!$B$9*4,季度现金流!DS70+DT69,0)</f>
        <v>0</v>
      </c>
    </row>
    <row r="71" spans="1:124" ht="21" customHeight="1">
      <c r="A71" s="8" t="s">
        <v>562</v>
      </c>
      <c r="B71" s="8" t="s">
        <v>39</v>
      </c>
      <c r="C71" s="8"/>
      <c r="D71" s="9">
        <f>IF(0&lt;=核心参数输入!$B$9*4,0,0)</f>
        <v>0</v>
      </c>
      <c r="E71" s="9">
        <f>IF(1&lt;=核心参数输入!$B$9*4,IF(AND(季度现金流!D68&lt;0,E68&gt;=0),1,0),0)</f>
        <v>0</v>
      </c>
      <c r="F71" s="9">
        <f>IF(2&lt;=核心参数输入!$B$9*4,IF(AND(季度现金流!E68&lt;0,F68&gt;=0),1,0),0)</f>
        <v>0</v>
      </c>
      <c r="G71" s="9">
        <f>IF(3&lt;=核心参数输入!$B$9*4,IF(AND(季度现金流!F68&lt;0,G68&gt;=0),1,0),0)</f>
        <v>0</v>
      </c>
      <c r="H71" s="9">
        <f>IF(4&lt;=核心参数输入!$B$9*4,IF(AND(季度现金流!G68&lt;0,H68&gt;=0),1,0),0)</f>
        <v>0</v>
      </c>
      <c r="I71" s="9">
        <f>IF(5&lt;=核心参数输入!$B$9*4,IF(AND(季度现金流!H68&lt;0,I68&gt;=0),1,0),0)</f>
        <v>0</v>
      </c>
      <c r="J71" s="9">
        <f>IF(6&lt;=核心参数输入!$B$9*4,IF(AND(季度现金流!I68&lt;0,J68&gt;=0),1,0),0)</f>
        <v>0</v>
      </c>
      <c r="K71" s="9">
        <f>IF(7&lt;=核心参数输入!$B$9*4,IF(AND(季度现金流!J68&lt;0,K68&gt;=0),1,0),0)</f>
        <v>0</v>
      </c>
      <c r="L71" s="9">
        <f>IF(8&lt;=核心参数输入!$B$9*4,IF(AND(季度现金流!K68&lt;0,L68&gt;=0),1,0),0)</f>
        <v>0</v>
      </c>
      <c r="M71" s="9">
        <f>IF(9&lt;=核心参数输入!$B$9*4,IF(AND(季度现金流!L68&lt;0,M68&gt;=0),1,0),0)</f>
        <v>0</v>
      </c>
      <c r="N71" s="9">
        <f>IF(10&lt;=核心参数输入!$B$9*4,IF(AND(季度现金流!M68&lt;0,N68&gt;=0),1,0),0)</f>
        <v>0</v>
      </c>
      <c r="O71" s="9">
        <f>IF(11&lt;=核心参数输入!$B$9*4,IF(AND(季度现金流!N68&lt;0,O68&gt;=0),1,0),0)</f>
        <v>0</v>
      </c>
      <c r="P71" s="9">
        <f>IF(12&lt;=核心参数输入!$B$9*4,IF(AND(季度现金流!O68&lt;0,P68&gt;=0),1,0),0)</f>
        <v>0</v>
      </c>
      <c r="Q71" s="9">
        <f>IF(13&lt;=核心参数输入!$B$9*4,IF(AND(季度现金流!P68&lt;0,Q68&gt;=0),1,0),0)</f>
        <v>0</v>
      </c>
      <c r="R71" s="9">
        <f>IF(14&lt;=核心参数输入!$B$9*4,IF(AND(季度现金流!Q68&lt;0,R68&gt;=0),1,0),0)</f>
        <v>0</v>
      </c>
      <c r="S71" s="9">
        <f>IF(15&lt;=核心参数输入!$B$9*4,IF(AND(季度现金流!R68&lt;0,S68&gt;=0),1,0),0)</f>
        <v>0</v>
      </c>
      <c r="T71" s="9">
        <f>IF(16&lt;=核心参数输入!$B$9*4,IF(AND(季度现金流!S68&lt;0,T68&gt;=0),1,0),0)</f>
        <v>0</v>
      </c>
      <c r="U71" s="9">
        <f>IF(17&lt;=核心参数输入!$B$9*4,IF(AND(季度现金流!T68&lt;0,U68&gt;=0),1,0),0)</f>
        <v>0</v>
      </c>
      <c r="V71" s="9">
        <f>IF(18&lt;=核心参数输入!$B$9*4,IF(AND(季度现金流!U68&lt;0,V68&gt;=0),1,0),0)</f>
        <v>0</v>
      </c>
      <c r="W71" s="9">
        <f>IF(19&lt;=核心参数输入!$B$9*4,IF(AND(季度现金流!V68&lt;0,W68&gt;=0),1,0),0)</f>
        <v>0</v>
      </c>
      <c r="X71" s="9">
        <f>IF(20&lt;=核心参数输入!$B$9*4,IF(AND(季度现金流!W68&lt;0,X68&gt;=0),1,0),0)</f>
        <v>0</v>
      </c>
      <c r="Y71" s="9">
        <f>IF(21&lt;=核心参数输入!$B$9*4,IF(AND(季度现金流!X68&lt;0,Y68&gt;=0),1,0),0)</f>
        <v>0</v>
      </c>
      <c r="Z71" s="9">
        <f>IF(22&lt;=核心参数输入!$B$9*4,IF(AND(季度现金流!Y68&lt;0,Z68&gt;=0),1,0),0)</f>
        <v>0</v>
      </c>
      <c r="AA71" s="9">
        <f>IF(23&lt;=核心参数输入!$B$9*4,IF(AND(季度现金流!Z68&lt;0,AA68&gt;=0),1,0),0)</f>
        <v>0</v>
      </c>
      <c r="AB71" s="9">
        <f>IF(24&lt;=核心参数输入!$B$9*4,IF(AND(季度现金流!AA68&lt;0,AB68&gt;=0),1,0),0)</f>
        <v>0</v>
      </c>
      <c r="AC71" s="9">
        <f>IF(25&lt;=核心参数输入!$B$9*4,IF(AND(季度现金流!AB68&lt;0,AC68&gt;=0),1,0),0)</f>
        <v>0</v>
      </c>
      <c r="AD71" s="9">
        <f>IF(26&lt;=核心参数输入!$B$9*4,IF(AND(季度现金流!AC68&lt;0,AD68&gt;=0),1,0),0)</f>
        <v>0</v>
      </c>
      <c r="AE71" s="9">
        <f>IF(27&lt;=核心参数输入!$B$9*4,IF(AND(季度现金流!AD68&lt;0,AE68&gt;=0),1,0),0)</f>
        <v>0</v>
      </c>
      <c r="AF71" s="9">
        <f>IF(28&lt;=核心参数输入!$B$9*4,IF(AND(季度现金流!AE68&lt;0,AF68&gt;=0),1,0),0)</f>
        <v>0</v>
      </c>
      <c r="AG71" s="9">
        <f>IF(29&lt;=核心参数输入!$B$9*4,IF(AND(季度现金流!AF68&lt;0,AG68&gt;=0),1,0),0)</f>
        <v>0</v>
      </c>
      <c r="AH71" s="9">
        <f>IF(30&lt;=核心参数输入!$B$9*4,IF(AND(季度现金流!AG68&lt;0,AH68&gt;=0),1,0),0)</f>
        <v>0</v>
      </c>
      <c r="AI71" s="9">
        <f>IF(31&lt;=核心参数输入!$B$9*4,IF(AND(季度现金流!AH68&lt;0,AI68&gt;=0),1,0),0)</f>
        <v>0</v>
      </c>
      <c r="AJ71" s="9">
        <f>IF(32&lt;=核心参数输入!$B$9*4,IF(AND(季度现金流!AI68&lt;0,AJ68&gt;=0),1,0),0)</f>
        <v>0</v>
      </c>
      <c r="AK71" s="9">
        <f>IF(33&lt;=核心参数输入!$B$9*4,IF(AND(季度现金流!AJ68&lt;0,AK68&gt;=0),1,0),0)</f>
        <v>0</v>
      </c>
      <c r="AL71" s="9">
        <f>IF(34&lt;=核心参数输入!$B$9*4,IF(AND(季度现金流!AK68&lt;0,AL68&gt;=0),1,0),0)</f>
        <v>0</v>
      </c>
      <c r="AM71" s="9">
        <f>IF(35&lt;=核心参数输入!$B$9*4,IF(AND(季度现金流!AL68&lt;0,AM68&gt;=0),1,0),0)</f>
        <v>0</v>
      </c>
      <c r="AN71" s="9">
        <f>IF(36&lt;=核心参数输入!$B$9*4,IF(AND(季度现金流!AM68&lt;0,AN68&gt;=0),1,0),0)</f>
        <v>0</v>
      </c>
      <c r="AO71" s="9">
        <f>IF(37&lt;=核心参数输入!$B$9*4,IF(AND(季度现金流!AN68&lt;0,AO68&gt;=0),1,0),0)</f>
        <v>0</v>
      </c>
      <c r="AP71" s="9">
        <f>IF(38&lt;=核心参数输入!$B$9*4,IF(AND(季度现金流!AO68&lt;0,AP68&gt;=0),1,0),0)</f>
        <v>0</v>
      </c>
      <c r="AQ71" s="9">
        <f>IF(39&lt;=核心参数输入!$B$9*4,IF(AND(季度现金流!AP68&lt;0,AQ68&gt;=0),1,0),0)</f>
        <v>0</v>
      </c>
      <c r="AR71" s="9">
        <f>IF(40&lt;=核心参数输入!$B$9*4,IF(AND(季度现金流!AQ68&lt;0,AR68&gt;=0),1,0),0)</f>
        <v>0</v>
      </c>
      <c r="AS71" s="9">
        <f>IF(41&lt;=核心参数输入!$B$9*4,IF(AND(季度现金流!AR68&lt;0,AS68&gt;=0),1,0),0)</f>
        <v>0</v>
      </c>
      <c r="AT71" s="9">
        <f>IF(42&lt;=核心参数输入!$B$9*4,IF(AND(季度现金流!AS68&lt;0,AT68&gt;=0),1,0),0)</f>
        <v>0</v>
      </c>
      <c r="AU71" s="9">
        <f>IF(43&lt;=核心参数输入!$B$9*4,IF(AND(季度现金流!AT68&lt;0,AU68&gt;=0),1,0),0)</f>
        <v>0</v>
      </c>
      <c r="AV71" s="9">
        <f>IF(44&lt;=核心参数输入!$B$9*4,IF(AND(季度现金流!AU68&lt;0,AV68&gt;=0),1,0),0)</f>
        <v>0</v>
      </c>
      <c r="AW71" s="9">
        <f>IF(45&lt;=核心参数输入!$B$9*4,IF(AND(季度现金流!AV68&lt;0,AW68&gt;=0),1,0),0)</f>
        <v>0</v>
      </c>
      <c r="AX71" s="9">
        <f>IF(46&lt;=核心参数输入!$B$9*4,IF(AND(季度现金流!AW68&lt;0,AX68&gt;=0),1,0),0)</f>
        <v>0</v>
      </c>
      <c r="AY71" s="9">
        <f>IF(47&lt;=核心参数输入!$B$9*4,IF(AND(季度现金流!AX68&lt;0,AY68&gt;=0),1,0),0)</f>
        <v>0</v>
      </c>
      <c r="AZ71" s="9">
        <f>IF(48&lt;=核心参数输入!$B$9*4,IF(AND(季度现金流!AY68&lt;0,AZ68&gt;=0),1,0),0)</f>
        <v>0</v>
      </c>
      <c r="BA71" s="9">
        <f>IF(49&lt;=核心参数输入!$B$9*4,IF(AND(季度现金流!AZ68&lt;0,BA68&gt;=0),1,0),0)</f>
        <v>0</v>
      </c>
      <c r="BB71" s="9">
        <f>IF(50&lt;=核心参数输入!$B$9*4,IF(AND(季度现金流!BA68&lt;0,BB68&gt;=0),1,0),0)</f>
        <v>0</v>
      </c>
      <c r="BC71" s="9">
        <f>IF(51&lt;=核心参数输入!$B$9*4,IF(AND(季度现金流!BB68&lt;0,BC68&gt;=0),1,0),0)</f>
        <v>0</v>
      </c>
      <c r="BD71" s="9">
        <f>IF(52&lt;=核心参数输入!$B$9*4,IF(AND(季度现金流!BC68&lt;0,BD68&gt;=0),1,0),0)</f>
        <v>0</v>
      </c>
      <c r="BE71" s="9">
        <f>IF(53&lt;=核心参数输入!$B$9*4,IF(AND(季度现金流!BD68&lt;0,BE68&gt;=0),1,0),0)</f>
        <v>0</v>
      </c>
      <c r="BF71" s="9">
        <f>IF(54&lt;=核心参数输入!$B$9*4,IF(AND(季度现金流!BE68&lt;0,BF68&gt;=0),1,0),0)</f>
        <v>0</v>
      </c>
      <c r="BG71" s="9">
        <f>IF(55&lt;=核心参数输入!$B$9*4,IF(AND(季度现金流!BF68&lt;0,BG68&gt;=0),1,0),0)</f>
        <v>0</v>
      </c>
      <c r="BH71" s="9">
        <f>IF(56&lt;=核心参数输入!$B$9*4,IF(AND(季度现金流!BG68&lt;0,BH68&gt;=0),1,0),0)</f>
        <v>0</v>
      </c>
      <c r="BI71" s="9">
        <f>IF(57&lt;=核心参数输入!$B$9*4,IF(AND(季度现金流!BH68&lt;0,BI68&gt;=0),1,0),0)</f>
        <v>0</v>
      </c>
      <c r="BJ71" s="9">
        <f>IF(58&lt;=核心参数输入!$B$9*4,IF(AND(季度现金流!BI68&lt;0,BJ68&gt;=0),1,0),0)</f>
        <v>0</v>
      </c>
      <c r="BK71" s="9">
        <f>IF(59&lt;=核心参数输入!$B$9*4,IF(AND(季度现金流!BJ68&lt;0,BK68&gt;=0),1,0),0)</f>
        <v>0</v>
      </c>
      <c r="BL71" s="9">
        <f>IF(60&lt;=核心参数输入!$B$9*4,IF(AND(季度现金流!BK68&lt;0,BL68&gt;=0),1,0),0)</f>
        <v>0</v>
      </c>
      <c r="BM71" s="9">
        <f>IF(61&lt;=核心参数输入!$B$9*4,IF(AND(季度现金流!BL68&lt;0,BM68&gt;=0),1,0),0)</f>
        <v>0</v>
      </c>
      <c r="BN71" s="9">
        <f>IF(62&lt;=核心参数输入!$B$9*4,IF(AND(季度现金流!BM68&lt;0,BN68&gt;=0),1,0),0)</f>
        <v>0</v>
      </c>
      <c r="BO71" s="9">
        <f>IF(63&lt;=核心参数输入!$B$9*4,IF(AND(季度现金流!BN68&lt;0,BO68&gt;=0),1,0),0)</f>
        <v>0</v>
      </c>
      <c r="BP71" s="9">
        <f>IF(64&lt;=核心参数输入!$B$9*4,IF(AND(季度现金流!BO68&lt;0,BP68&gt;=0),1,0),0)</f>
        <v>0</v>
      </c>
      <c r="BQ71" s="9">
        <f>IF(65&lt;=核心参数输入!$B$9*4,IF(AND(季度现金流!BP68&lt;0,BQ68&gt;=0),1,0),0)</f>
        <v>0</v>
      </c>
      <c r="BR71" s="9">
        <f>IF(66&lt;=核心参数输入!$B$9*4,IF(AND(季度现金流!BQ68&lt;0,BR68&gt;=0),1,0),0)</f>
        <v>0</v>
      </c>
      <c r="BS71" s="9">
        <f>IF(67&lt;=核心参数输入!$B$9*4,IF(AND(季度现金流!BR68&lt;0,BS68&gt;=0),1,0),0)</f>
        <v>0</v>
      </c>
      <c r="BT71" s="9">
        <f>IF(68&lt;=核心参数输入!$B$9*4,IF(AND(季度现金流!BS68&lt;0,BT68&gt;=0),1,0),0)</f>
        <v>0</v>
      </c>
      <c r="BU71" s="9">
        <f>IF(69&lt;=核心参数输入!$B$9*4,IF(AND(季度现金流!BT68&lt;0,BU68&gt;=0),1,0),0)</f>
        <v>0</v>
      </c>
      <c r="BV71" s="9">
        <f>IF(70&lt;=核心参数输入!$B$9*4,IF(AND(季度现金流!BU68&lt;0,BV68&gt;=0),1,0),0)</f>
        <v>0</v>
      </c>
      <c r="BW71" s="9">
        <f>IF(71&lt;=核心参数输入!$B$9*4,IF(AND(季度现金流!BV68&lt;0,BW68&gt;=0),1,0),0)</f>
        <v>0</v>
      </c>
      <c r="BX71" s="9">
        <f>IF(72&lt;=核心参数输入!$B$9*4,IF(AND(季度现金流!BW68&lt;0,BX68&gt;=0),1,0),0)</f>
        <v>0</v>
      </c>
      <c r="BY71" s="9">
        <f>IF(73&lt;=核心参数输入!$B$9*4,IF(AND(季度现金流!BX68&lt;0,BY68&gt;=0),1,0),0)</f>
        <v>0</v>
      </c>
      <c r="BZ71" s="9">
        <f>IF(74&lt;=核心参数输入!$B$9*4,IF(AND(季度现金流!BY68&lt;0,BZ68&gt;=0),1,0),0)</f>
        <v>0</v>
      </c>
      <c r="CA71" s="9">
        <f>IF(75&lt;=核心参数输入!$B$9*4,IF(AND(季度现金流!BZ68&lt;0,CA68&gt;=0),1,0),0)</f>
        <v>0</v>
      </c>
      <c r="CB71" s="9">
        <f>IF(76&lt;=核心参数输入!$B$9*4,IF(AND(季度现金流!CA68&lt;0,CB68&gt;=0),1,0),0)</f>
        <v>0</v>
      </c>
      <c r="CC71" s="9">
        <f>IF(77&lt;=核心参数输入!$B$9*4,IF(AND(季度现金流!CB68&lt;0,CC68&gt;=0),1,0),0)</f>
        <v>0</v>
      </c>
      <c r="CD71" s="9">
        <f>IF(78&lt;=核心参数输入!$B$9*4,IF(AND(季度现金流!CC68&lt;0,CD68&gt;=0),1,0),0)</f>
        <v>0</v>
      </c>
      <c r="CE71" s="9">
        <f>IF(79&lt;=核心参数输入!$B$9*4,IF(AND(季度现金流!CD68&lt;0,CE68&gt;=0),1,0),0)</f>
        <v>0</v>
      </c>
      <c r="CF71" s="9">
        <f>IF(80&lt;=核心参数输入!$B$9*4,IF(AND(季度现金流!CE68&lt;0,CF68&gt;=0),1,0),0)</f>
        <v>0</v>
      </c>
      <c r="CG71" s="9">
        <f>IF(81&lt;=核心参数输入!$B$9*4,IF(AND(季度现金流!CF68&lt;0,CG68&gt;=0),1,0),0)</f>
        <v>0</v>
      </c>
      <c r="CH71" s="9">
        <f>IF(82&lt;=核心参数输入!$B$9*4,IF(AND(季度现金流!CG68&lt;0,CH68&gt;=0),1,0),0)</f>
        <v>0</v>
      </c>
      <c r="CI71" s="9">
        <f>IF(83&lt;=核心参数输入!$B$9*4,IF(AND(季度现金流!CH68&lt;0,CI68&gt;=0),1,0),0)</f>
        <v>0</v>
      </c>
      <c r="CJ71" s="9">
        <f>IF(84&lt;=核心参数输入!$B$9*4,IF(AND(季度现金流!CI68&lt;0,CJ68&gt;=0),1,0),0)</f>
        <v>0</v>
      </c>
      <c r="CK71" s="9">
        <f>IF(85&lt;=核心参数输入!$B$9*4,IF(AND(季度现金流!CJ68&lt;0,CK68&gt;=0),1,0),0)</f>
        <v>0</v>
      </c>
      <c r="CL71" s="9">
        <f>IF(86&lt;=核心参数输入!$B$9*4,IF(AND(季度现金流!CK68&lt;0,CL68&gt;=0),1,0),0)</f>
        <v>0</v>
      </c>
      <c r="CM71" s="9">
        <f>IF(87&lt;=核心参数输入!$B$9*4,IF(AND(季度现金流!CL68&lt;0,CM68&gt;=0),1,0),0)</f>
        <v>0</v>
      </c>
      <c r="CN71" s="9">
        <f>IF(88&lt;=核心参数输入!$B$9*4,IF(AND(季度现金流!CM68&lt;0,CN68&gt;=0),1,0),0)</f>
        <v>0</v>
      </c>
      <c r="CO71" s="9">
        <f>IF(89&lt;=核心参数输入!$B$9*4,IF(AND(季度现金流!CN68&lt;0,CO68&gt;=0),1,0),0)</f>
        <v>0</v>
      </c>
      <c r="CP71" s="9">
        <f>IF(90&lt;=核心参数输入!$B$9*4,IF(AND(季度现金流!CO68&lt;0,CP68&gt;=0),1,0),0)</f>
        <v>0</v>
      </c>
      <c r="CQ71" s="9">
        <f>IF(91&lt;=核心参数输入!$B$9*4,IF(AND(季度现金流!CP68&lt;0,CQ68&gt;=0),1,0),0)</f>
        <v>0</v>
      </c>
      <c r="CR71" s="9">
        <f>IF(92&lt;=核心参数输入!$B$9*4,IF(AND(季度现金流!CQ68&lt;0,CR68&gt;=0),1,0),0)</f>
        <v>0</v>
      </c>
      <c r="CS71" s="9">
        <f>IF(93&lt;=核心参数输入!$B$9*4,IF(AND(季度现金流!CR68&lt;0,CS68&gt;=0),1,0),0)</f>
        <v>0</v>
      </c>
      <c r="CT71" s="9">
        <f>IF(94&lt;=核心参数输入!$B$9*4,IF(AND(季度现金流!CS68&lt;0,CT68&gt;=0),1,0),0)</f>
        <v>0</v>
      </c>
      <c r="CU71" s="9">
        <f>IF(95&lt;=核心参数输入!$B$9*4,IF(AND(季度现金流!CT68&lt;0,CU68&gt;=0),1,0),0)</f>
        <v>0</v>
      </c>
      <c r="CV71" s="9">
        <f>IF(96&lt;=核心参数输入!$B$9*4,IF(AND(季度现金流!CU68&lt;0,CV68&gt;=0),1,0),0)</f>
        <v>0</v>
      </c>
      <c r="CW71" s="9">
        <f>IF(97&lt;=核心参数输入!$B$9*4,IF(AND(季度现金流!CV68&lt;0,CW68&gt;=0),1,0),0)</f>
        <v>0</v>
      </c>
      <c r="CX71" s="9">
        <f>IF(98&lt;=核心参数输入!$B$9*4,IF(AND(季度现金流!CW68&lt;0,CX68&gt;=0),1,0),0)</f>
        <v>0</v>
      </c>
      <c r="CY71" s="9">
        <f>IF(99&lt;=核心参数输入!$B$9*4,IF(AND(季度现金流!CX68&lt;0,CY68&gt;=0),1,0),0)</f>
        <v>0</v>
      </c>
      <c r="CZ71" s="9">
        <f>IF(100&lt;=核心参数输入!$B$9*4,IF(AND(季度现金流!CY68&lt;0,CZ68&gt;=0),1,0),0)</f>
        <v>0</v>
      </c>
      <c r="DA71" s="9">
        <f>IF(101&lt;=核心参数输入!$B$9*4,IF(AND(季度现金流!CZ68&lt;0,DA68&gt;=0),1,0),0)</f>
        <v>0</v>
      </c>
      <c r="DB71" s="9">
        <f>IF(102&lt;=核心参数输入!$B$9*4,IF(AND(季度现金流!DA68&lt;0,DB68&gt;=0),1,0),0)</f>
        <v>0</v>
      </c>
      <c r="DC71" s="9">
        <f>IF(103&lt;=核心参数输入!$B$9*4,IF(AND(季度现金流!DB68&lt;0,DC68&gt;=0),1,0),0)</f>
        <v>0</v>
      </c>
      <c r="DD71" s="9">
        <f>IF(104&lt;=核心参数输入!$B$9*4,IF(AND(季度现金流!DC68&lt;0,DD68&gt;=0),1,0),0)</f>
        <v>0</v>
      </c>
      <c r="DE71" s="9">
        <f>IF(105&lt;=核心参数输入!$B$9*4,IF(AND(季度现金流!DD68&lt;0,DE68&gt;=0),1,0),0)</f>
        <v>0</v>
      </c>
      <c r="DF71" s="9">
        <f>IF(106&lt;=核心参数输入!$B$9*4,IF(AND(季度现金流!DE68&lt;0,DF68&gt;=0),1,0),0)</f>
        <v>0</v>
      </c>
      <c r="DG71" s="9">
        <f>IF(107&lt;=核心参数输入!$B$9*4,IF(AND(季度现金流!DF68&lt;0,DG68&gt;=0),1,0),0)</f>
        <v>0</v>
      </c>
      <c r="DH71" s="9">
        <f>IF(108&lt;=核心参数输入!$B$9*4,IF(AND(季度现金流!DG68&lt;0,DH68&gt;=0),1,0),0)</f>
        <v>0</v>
      </c>
      <c r="DI71" s="9">
        <f>IF(109&lt;=核心参数输入!$B$9*4,IF(AND(季度现金流!DH68&lt;0,DI68&gt;=0),1,0),0)</f>
        <v>0</v>
      </c>
      <c r="DJ71" s="9">
        <f>IF(110&lt;=核心参数输入!$B$9*4,IF(AND(季度现金流!DI68&lt;0,DJ68&gt;=0),1,0),0)</f>
        <v>0</v>
      </c>
      <c r="DK71" s="9">
        <f>IF(111&lt;=核心参数输入!$B$9*4,IF(AND(季度现金流!DJ68&lt;0,DK68&gt;=0),1,0),0)</f>
        <v>0</v>
      </c>
      <c r="DL71" s="9">
        <f>IF(112&lt;=核心参数输入!$B$9*4,IF(AND(季度现金流!DK68&lt;0,DL68&gt;=0),1,0),0)</f>
        <v>0</v>
      </c>
      <c r="DM71" s="9">
        <f>IF(113&lt;=核心参数输入!$B$9*4,IF(AND(季度现金流!DL68&lt;0,DM68&gt;=0),1,0),0)</f>
        <v>0</v>
      </c>
      <c r="DN71" s="9">
        <f>IF(114&lt;=核心参数输入!$B$9*4,IF(AND(季度现金流!DM68&lt;0,DN68&gt;=0),1,0),0)</f>
        <v>0</v>
      </c>
      <c r="DO71" s="9">
        <f>IF(115&lt;=核心参数输入!$B$9*4,IF(AND(季度现金流!DN68&lt;0,DO68&gt;=0),1,0),0)</f>
        <v>0</v>
      </c>
      <c r="DP71" s="9">
        <f>IF(116&lt;=核心参数输入!$B$9*4,IF(AND(季度现金流!DO68&lt;0,DP68&gt;=0),1,0),0)</f>
        <v>0</v>
      </c>
      <c r="DQ71" s="9">
        <f>IF(117&lt;=核心参数输入!$B$9*4,IF(AND(季度现金流!DP68&lt;0,DQ68&gt;=0),1,0),0)</f>
        <v>0</v>
      </c>
      <c r="DR71" s="9">
        <f>IF(118&lt;=核心参数输入!$B$9*4,IF(AND(季度现金流!DQ68&lt;0,DR68&gt;=0),1,0),0)</f>
        <v>0</v>
      </c>
      <c r="DS71" s="9">
        <f>IF(119&lt;=核心参数输入!$B$9*4,IF(AND(季度现金流!DR68&lt;0,DS68&gt;=0),1,0),0)</f>
        <v>0</v>
      </c>
      <c r="DT71" s="9">
        <f>IF(120&lt;=核心参数输入!$B$9*4,IF(AND(季度现金流!DS68&lt;0,DT68&gt;=0),1,0),0)</f>
        <v>0</v>
      </c>
    </row>
    <row r="72" spans="1:124" ht="21" customHeight="1">
      <c r="A72" s="8" t="s">
        <v>563</v>
      </c>
      <c r="B72" s="8" t="s">
        <v>39</v>
      </c>
      <c r="C72" s="8"/>
      <c r="D72" s="9">
        <f>IF(0&lt;=核心参数输入!$B$9*4,0,0)</f>
        <v>0</v>
      </c>
      <c r="E72" s="9">
        <f>IF(1&lt;=核心参数输入!$B$9*4,IF(AND(季度现金流!D70&lt;0,E70&gt;=0),1,0),0)</f>
        <v>0</v>
      </c>
      <c r="F72" s="9">
        <f>IF(2&lt;=核心参数输入!$B$9*4,IF(AND(季度现金流!E70&lt;0,F70&gt;=0),1,0),0)</f>
        <v>0</v>
      </c>
      <c r="G72" s="9">
        <f>IF(3&lt;=核心参数输入!$B$9*4,IF(AND(季度现金流!F70&lt;0,G70&gt;=0),1,0),0)</f>
        <v>0</v>
      </c>
      <c r="H72" s="9">
        <f>IF(4&lt;=核心参数输入!$B$9*4,IF(AND(季度现金流!G70&lt;0,H70&gt;=0),1,0),0)</f>
        <v>0</v>
      </c>
      <c r="I72" s="9">
        <f>IF(5&lt;=核心参数输入!$B$9*4,IF(AND(季度现金流!H70&lt;0,I70&gt;=0),1,0),0)</f>
        <v>0</v>
      </c>
      <c r="J72" s="9">
        <f>IF(6&lt;=核心参数输入!$B$9*4,IF(AND(季度现金流!I70&lt;0,J70&gt;=0),1,0),0)</f>
        <v>0</v>
      </c>
      <c r="K72" s="9">
        <f>IF(7&lt;=核心参数输入!$B$9*4,IF(AND(季度现金流!J70&lt;0,K70&gt;=0),1,0),0)</f>
        <v>0</v>
      </c>
      <c r="L72" s="9">
        <f>IF(8&lt;=核心参数输入!$B$9*4,IF(AND(季度现金流!K70&lt;0,L70&gt;=0),1,0),0)</f>
        <v>0</v>
      </c>
      <c r="M72" s="9">
        <f>IF(9&lt;=核心参数输入!$B$9*4,IF(AND(季度现金流!L70&lt;0,M70&gt;=0),1,0),0)</f>
        <v>0</v>
      </c>
      <c r="N72" s="9">
        <f>IF(10&lt;=核心参数输入!$B$9*4,IF(AND(季度现金流!M70&lt;0,N70&gt;=0),1,0),0)</f>
        <v>0</v>
      </c>
      <c r="O72" s="9">
        <f>IF(11&lt;=核心参数输入!$B$9*4,IF(AND(季度现金流!N70&lt;0,O70&gt;=0),1,0),0)</f>
        <v>0</v>
      </c>
      <c r="P72" s="9">
        <f>IF(12&lt;=核心参数输入!$B$9*4,IF(AND(季度现金流!O70&lt;0,P70&gt;=0),1,0),0)</f>
        <v>0</v>
      </c>
      <c r="Q72" s="9">
        <f>IF(13&lt;=核心参数输入!$B$9*4,IF(AND(季度现金流!P70&lt;0,Q70&gt;=0),1,0),0)</f>
        <v>0</v>
      </c>
      <c r="R72" s="9">
        <f>IF(14&lt;=核心参数输入!$B$9*4,IF(AND(季度现金流!Q70&lt;0,R70&gt;=0),1,0),0)</f>
        <v>0</v>
      </c>
      <c r="S72" s="9">
        <f>IF(15&lt;=核心参数输入!$B$9*4,IF(AND(季度现金流!R70&lt;0,S70&gt;=0),1,0),0)</f>
        <v>0</v>
      </c>
      <c r="T72" s="9">
        <f>IF(16&lt;=核心参数输入!$B$9*4,IF(AND(季度现金流!S70&lt;0,T70&gt;=0),1,0),0)</f>
        <v>0</v>
      </c>
      <c r="U72" s="9">
        <f>IF(17&lt;=核心参数输入!$B$9*4,IF(AND(季度现金流!T70&lt;0,U70&gt;=0),1,0),0)</f>
        <v>0</v>
      </c>
      <c r="V72" s="9">
        <f>IF(18&lt;=核心参数输入!$B$9*4,IF(AND(季度现金流!U70&lt;0,V70&gt;=0),1,0),0)</f>
        <v>0</v>
      </c>
      <c r="W72" s="9">
        <f>IF(19&lt;=核心参数输入!$B$9*4,IF(AND(季度现金流!V70&lt;0,W70&gt;=0),1,0),0)</f>
        <v>0</v>
      </c>
      <c r="X72" s="9">
        <f>IF(20&lt;=核心参数输入!$B$9*4,IF(AND(季度现金流!W70&lt;0,X70&gt;=0),1,0),0)</f>
        <v>0</v>
      </c>
      <c r="Y72" s="9">
        <f>IF(21&lt;=核心参数输入!$B$9*4,IF(AND(季度现金流!X70&lt;0,Y70&gt;=0),1,0),0)</f>
        <v>0</v>
      </c>
      <c r="Z72" s="9">
        <f>IF(22&lt;=核心参数输入!$B$9*4,IF(AND(季度现金流!Y70&lt;0,Z70&gt;=0),1,0),0)</f>
        <v>0</v>
      </c>
      <c r="AA72" s="9">
        <f>IF(23&lt;=核心参数输入!$B$9*4,IF(AND(季度现金流!Z70&lt;0,AA70&gt;=0),1,0),0)</f>
        <v>0</v>
      </c>
      <c r="AB72" s="9">
        <f>IF(24&lt;=核心参数输入!$B$9*4,IF(AND(季度现金流!AA70&lt;0,AB70&gt;=0),1,0),0)</f>
        <v>0</v>
      </c>
      <c r="AC72" s="9">
        <f>IF(25&lt;=核心参数输入!$B$9*4,IF(AND(季度现金流!AB70&lt;0,AC70&gt;=0),1,0),0)</f>
        <v>0</v>
      </c>
      <c r="AD72" s="9">
        <f>IF(26&lt;=核心参数输入!$B$9*4,IF(AND(季度现金流!AC70&lt;0,AD70&gt;=0),1,0),0)</f>
        <v>0</v>
      </c>
      <c r="AE72" s="9">
        <f>IF(27&lt;=核心参数输入!$B$9*4,IF(AND(季度现金流!AD70&lt;0,AE70&gt;=0),1,0),0)</f>
        <v>0</v>
      </c>
      <c r="AF72" s="9">
        <f>IF(28&lt;=核心参数输入!$B$9*4,IF(AND(季度现金流!AE70&lt;0,AF70&gt;=0),1,0),0)</f>
        <v>0</v>
      </c>
      <c r="AG72" s="9">
        <f>IF(29&lt;=核心参数输入!$B$9*4,IF(AND(季度现金流!AF70&lt;0,AG70&gt;=0),1,0),0)</f>
        <v>0</v>
      </c>
      <c r="AH72" s="9">
        <f>IF(30&lt;=核心参数输入!$B$9*4,IF(AND(季度现金流!AG70&lt;0,AH70&gt;=0),1,0),0)</f>
        <v>0</v>
      </c>
      <c r="AI72" s="9">
        <f>IF(31&lt;=核心参数输入!$B$9*4,IF(AND(季度现金流!AH70&lt;0,AI70&gt;=0),1,0),0)</f>
        <v>0</v>
      </c>
      <c r="AJ72" s="9">
        <f>IF(32&lt;=核心参数输入!$B$9*4,IF(AND(季度现金流!AI70&lt;0,AJ70&gt;=0),1,0),0)</f>
        <v>0</v>
      </c>
      <c r="AK72" s="9">
        <f>IF(33&lt;=核心参数输入!$B$9*4,IF(AND(季度现金流!AJ70&lt;0,AK70&gt;=0),1,0),0)</f>
        <v>0</v>
      </c>
      <c r="AL72" s="9">
        <f>IF(34&lt;=核心参数输入!$B$9*4,IF(AND(季度现金流!AK70&lt;0,AL70&gt;=0),1,0),0)</f>
        <v>0</v>
      </c>
      <c r="AM72" s="9">
        <f>IF(35&lt;=核心参数输入!$B$9*4,IF(AND(季度现金流!AL70&lt;0,AM70&gt;=0),1,0),0)</f>
        <v>0</v>
      </c>
      <c r="AN72" s="9">
        <f>IF(36&lt;=核心参数输入!$B$9*4,IF(AND(季度现金流!AM70&lt;0,AN70&gt;=0),1,0),0)</f>
        <v>0</v>
      </c>
      <c r="AO72" s="9">
        <f>IF(37&lt;=核心参数输入!$B$9*4,IF(AND(季度现金流!AN70&lt;0,AO70&gt;=0),1,0),0)</f>
        <v>0</v>
      </c>
      <c r="AP72" s="9">
        <f>IF(38&lt;=核心参数输入!$B$9*4,IF(AND(季度现金流!AO70&lt;0,AP70&gt;=0),1,0),0)</f>
        <v>0</v>
      </c>
      <c r="AQ72" s="9">
        <f>IF(39&lt;=核心参数输入!$B$9*4,IF(AND(季度现金流!AP70&lt;0,AQ70&gt;=0),1,0),0)</f>
        <v>0</v>
      </c>
      <c r="AR72" s="9">
        <f>IF(40&lt;=核心参数输入!$B$9*4,IF(AND(季度现金流!AQ70&lt;0,AR70&gt;=0),1,0),0)</f>
        <v>0</v>
      </c>
      <c r="AS72" s="9">
        <f>IF(41&lt;=核心参数输入!$B$9*4,IF(AND(季度现金流!AR70&lt;0,AS70&gt;=0),1,0),0)</f>
        <v>0</v>
      </c>
      <c r="AT72" s="9">
        <f>IF(42&lt;=核心参数输入!$B$9*4,IF(AND(季度现金流!AS70&lt;0,AT70&gt;=0),1,0),0)</f>
        <v>0</v>
      </c>
      <c r="AU72" s="9">
        <f>IF(43&lt;=核心参数输入!$B$9*4,IF(AND(季度现金流!AT70&lt;0,AU70&gt;=0),1,0),0)</f>
        <v>0</v>
      </c>
      <c r="AV72" s="9">
        <f>IF(44&lt;=核心参数输入!$B$9*4,IF(AND(季度现金流!AU70&lt;0,AV70&gt;=0),1,0),0)</f>
        <v>0</v>
      </c>
      <c r="AW72" s="9">
        <f>IF(45&lt;=核心参数输入!$B$9*4,IF(AND(季度现金流!AV70&lt;0,AW70&gt;=0),1,0),0)</f>
        <v>0</v>
      </c>
      <c r="AX72" s="9">
        <f>IF(46&lt;=核心参数输入!$B$9*4,IF(AND(季度现金流!AW70&lt;0,AX70&gt;=0),1,0),0)</f>
        <v>0</v>
      </c>
      <c r="AY72" s="9">
        <f>IF(47&lt;=核心参数输入!$B$9*4,IF(AND(季度现金流!AX70&lt;0,AY70&gt;=0),1,0),0)</f>
        <v>0</v>
      </c>
      <c r="AZ72" s="9">
        <f>IF(48&lt;=核心参数输入!$B$9*4,IF(AND(季度现金流!AY70&lt;0,AZ70&gt;=0),1,0),0)</f>
        <v>0</v>
      </c>
      <c r="BA72" s="9">
        <f>IF(49&lt;=核心参数输入!$B$9*4,IF(AND(季度现金流!AZ70&lt;0,BA70&gt;=0),1,0),0)</f>
        <v>0</v>
      </c>
      <c r="BB72" s="9">
        <f>IF(50&lt;=核心参数输入!$B$9*4,IF(AND(季度现金流!BA70&lt;0,BB70&gt;=0),1,0),0)</f>
        <v>0</v>
      </c>
      <c r="BC72" s="9">
        <f>IF(51&lt;=核心参数输入!$B$9*4,IF(AND(季度现金流!BB70&lt;0,BC70&gt;=0),1,0),0)</f>
        <v>0</v>
      </c>
      <c r="BD72" s="9">
        <f>IF(52&lt;=核心参数输入!$B$9*4,IF(AND(季度现金流!BC70&lt;0,BD70&gt;=0),1,0),0)</f>
        <v>0</v>
      </c>
      <c r="BE72" s="9">
        <f>IF(53&lt;=核心参数输入!$B$9*4,IF(AND(季度现金流!BD70&lt;0,BE70&gt;=0),1,0),0)</f>
        <v>0</v>
      </c>
      <c r="BF72" s="9">
        <f>IF(54&lt;=核心参数输入!$B$9*4,IF(AND(季度现金流!BE70&lt;0,BF70&gt;=0),1,0),0)</f>
        <v>0</v>
      </c>
      <c r="BG72" s="9">
        <f>IF(55&lt;=核心参数输入!$B$9*4,IF(AND(季度现金流!BF70&lt;0,BG70&gt;=0),1,0),0)</f>
        <v>0</v>
      </c>
      <c r="BH72" s="9">
        <f>IF(56&lt;=核心参数输入!$B$9*4,IF(AND(季度现金流!BG70&lt;0,BH70&gt;=0),1,0),0)</f>
        <v>0</v>
      </c>
      <c r="BI72" s="9">
        <f>IF(57&lt;=核心参数输入!$B$9*4,IF(AND(季度现金流!BH70&lt;0,BI70&gt;=0),1,0),0)</f>
        <v>0</v>
      </c>
      <c r="BJ72" s="9">
        <f>IF(58&lt;=核心参数输入!$B$9*4,IF(AND(季度现金流!BI70&lt;0,BJ70&gt;=0),1,0),0)</f>
        <v>0</v>
      </c>
      <c r="BK72" s="9">
        <f>IF(59&lt;=核心参数输入!$B$9*4,IF(AND(季度现金流!BJ70&lt;0,BK70&gt;=0),1,0),0)</f>
        <v>0</v>
      </c>
      <c r="BL72" s="9">
        <f>IF(60&lt;=核心参数输入!$B$9*4,IF(AND(季度现金流!BK70&lt;0,BL70&gt;=0),1,0),0)</f>
        <v>0</v>
      </c>
      <c r="BM72" s="9">
        <f>IF(61&lt;=核心参数输入!$B$9*4,IF(AND(季度现金流!BL70&lt;0,BM70&gt;=0),1,0),0)</f>
        <v>0</v>
      </c>
      <c r="BN72" s="9">
        <f>IF(62&lt;=核心参数输入!$B$9*4,IF(AND(季度现金流!BM70&lt;0,BN70&gt;=0),1,0),0)</f>
        <v>0</v>
      </c>
      <c r="BO72" s="9">
        <f>IF(63&lt;=核心参数输入!$B$9*4,IF(AND(季度现金流!BN70&lt;0,BO70&gt;=0),1,0),0)</f>
        <v>0</v>
      </c>
      <c r="BP72" s="9">
        <f>IF(64&lt;=核心参数输入!$B$9*4,IF(AND(季度现金流!BO70&lt;0,BP70&gt;=0),1,0),0)</f>
        <v>0</v>
      </c>
      <c r="BQ72" s="9">
        <f>IF(65&lt;=核心参数输入!$B$9*4,IF(AND(季度现金流!BP70&lt;0,BQ70&gt;=0),1,0),0)</f>
        <v>0</v>
      </c>
      <c r="BR72" s="9">
        <f>IF(66&lt;=核心参数输入!$B$9*4,IF(AND(季度现金流!BQ70&lt;0,BR70&gt;=0),1,0),0)</f>
        <v>0</v>
      </c>
      <c r="BS72" s="9">
        <f>IF(67&lt;=核心参数输入!$B$9*4,IF(AND(季度现金流!BR70&lt;0,BS70&gt;=0),1,0),0)</f>
        <v>0</v>
      </c>
      <c r="BT72" s="9">
        <f>IF(68&lt;=核心参数输入!$B$9*4,IF(AND(季度现金流!BS70&lt;0,BT70&gt;=0),1,0),0)</f>
        <v>0</v>
      </c>
      <c r="BU72" s="9">
        <f>IF(69&lt;=核心参数输入!$B$9*4,IF(AND(季度现金流!BT70&lt;0,BU70&gt;=0),1,0),0)</f>
        <v>0</v>
      </c>
      <c r="BV72" s="9">
        <f>IF(70&lt;=核心参数输入!$B$9*4,IF(AND(季度现金流!BU70&lt;0,BV70&gt;=0),1,0),0)</f>
        <v>0</v>
      </c>
      <c r="BW72" s="9">
        <f>IF(71&lt;=核心参数输入!$B$9*4,IF(AND(季度现金流!BV70&lt;0,BW70&gt;=0),1,0),0)</f>
        <v>0</v>
      </c>
      <c r="BX72" s="9">
        <f>IF(72&lt;=核心参数输入!$B$9*4,IF(AND(季度现金流!BW70&lt;0,BX70&gt;=0),1,0),0)</f>
        <v>0</v>
      </c>
      <c r="BY72" s="9">
        <f>IF(73&lt;=核心参数输入!$B$9*4,IF(AND(季度现金流!BX70&lt;0,BY70&gt;=0),1,0),0)</f>
        <v>0</v>
      </c>
      <c r="BZ72" s="9">
        <f>IF(74&lt;=核心参数输入!$B$9*4,IF(AND(季度现金流!BY70&lt;0,BZ70&gt;=0),1,0),0)</f>
        <v>0</v>
      </c>
      <c r="CA72" s="9">
        <f>IF(75&lt;=核心参数输入!$B$9*4,IF(AND(季度现金流!BZ70&lt;0,CA70&gt;=0),1,0),0)</f>
        <v>0</v>
      </c>
      <c r="CB72" s="9">
        <f>IF(76&lt;=核心参数输入!$B$9*4,IF(AND(季度现金流!CA70&lt;0,CB70&gt;=0),1,0),0)</f>
        <v>0</v>
      </c>
      <c r="CC72" s="9">
        <f>IF(77&lt;=核心参数输入!$B$9*4,IF(AND(季度现金流!CB70&lt;0,CC70&gt;=0),1,0),0)</f>
        <v>0</v>
      </c>
      <c r="CD72" s="9">
        <f>IF(78&lt;=核心参数输入!$B$9*4,IF(AND(季度现金流!CC70&lt;0,CD70&gt;=0),1,0),0)</f>
        <v>0</v>
      </c>
      <c r="CE72" s="9">
        <f>IF(79&lt;=核心参数输入!$B$9*4,IF(AND(季度现金流!CD70&lt;0,CE70&gt;=0),1,0),0)</f>
        <v>0</v>
      </c>
      <c r="CF72" s="9">
        <f>IF(80&lt;=核心参数输入!$B$9*4,IF(AND(季度现金流!CE70&lt;0,CF70&gt;=0),1,0),0)</f>
        <v>0</v>
      </c>
      <c r="CG72" s="9">
        <f>IF(81&lt;=核心参数输入!$B$9*4,IF(AND(季度现金流!CF70&lt;0,CG70&gt;=0),1,0),0)</f>
        <v>0</v>
      </c>
      <c r="CH72" s="9">
        <f>IF(82&lt;=核心参数输入!$B$9*4,IF(AND(季度现金流!CG70&lt;0,CH70&gt;=0),1,0),0)</f>
        <v>0</v>
      </c>
      <c r="CI72" s="9">
        <f>IF(83&lt;=核心参数输入!$B$9*4,IF(AND(季度现金流!CH70&lt;0,CI70&gt;=0),1,0),0)</f>
        <v>0</v>
      </c>
      <c r="CJ72" s="9">
        <f>IF(84&lt;=核心参数输入!$B$9*4,IF(AND(季度现金流!CI70&lt;0,CJ70&gt;=0),1,0),0)</f>
        <v>0</v>
      </c>
      <c r="CK72" s="9">
        <f>IF(85&lt;=核心参数输入!$B$9*4,IF(AND(季度现金流!CJ70&lt;0,CK70&gt;=0),1,0),0)</f>
        <v>0</v>
      </c>
      <c r="CL72" s="9">
        <f>IF(86&lt;=核心参数输入!$B$9*4,IF(AND(季度现金流!CK70&lt;0,CL70&gt;=0),1,0),0)</f>
        <v>0</v>
      </c>
      <c r="CM72" s="9">
        <f>IF(87&lt;=核心参数输入!$B$9*4,IF(AND(季度现金流!CL70&lt;0,CM70&gt;=0),1,0),0)</f>
        <v>0</v>
      </c>
      <c r="CN72" s="9">
        <f>IF(88&lt;=核心参数输入!$B$9*4,IF(AND(季度现金流!CM70&lt;0,CN70&gt;=0),1,0),0)</f>
        <v>0</v>
      </c>
      <c r="CO72" s="9">
        <f>IF(89&lt;=核心参数输入!$B$9*4,IF(AND(季度现金流!CN70&lt;0,CO70&gt;=0),1,0),0)</f>
        <v>0</v>
      </c>
      <c r="CP72" s="9">
        <f>IF(90&lt;=核心参数输入!$B$9*4,IF(AND(季度现金流!CO70&lt;0,CP70&gt;=0),1,0),0)</f>
        <v>0</v>
      </c>
      <c r="CQ72" s="9">
        <f>IF(91&lt;=核心参数输入!$B$9*4,IF(AND(季度现金流!CP70&lt;0,CQ70&gt;=0),1,0),0)</f>
        <v>0</v>
      </c>
      <c r="CR72" s="9">
        <f>IF(92&lt;=核心参数输入!$B$9*4,IF(AND(季度现金流!CQ70&lt;0,CR70&gt;=0),1,0),0)</f>
        <v>0</v>
      </c>
      <c r="CS72" s="9">
        <f>IF(93&lt;=核心参数输入!$B$9*4,IF(AND(季度现金流!CR70&lt;0,CS70&gt;=0),1,0),0)</f>
        <v>0</v>
      </c>
      <c r="CT72" s="9">
        <f>IF(94&lt;=核心参数输入!$B$9*4,IF(AND(季度现金流!CS70&lt;0,CT70&gt;=0),1,0),0)</f>
        <v>0</v>
      </c>
      <c r="CU72" s="9">
        <f>IF(95&lt;=核心参数输入!$B$9*4,IF(AND(季度现金流!CT70&lt;0,CU70&gt;=0),1,0),0)</f>
        <v>0</v>
      </c>
      <c r="CV72" s="9">
        <f>IF(96&lt;=核心参数输入!$B$9*4,IF(AND(季度现金流!CU70&lt;0,CV70&gt;=0),1,0),0)</f>
        <v>0</v>
      </c>
      <c r="CW72" s="9">
        <f>IF(97&lt;=核心参数输入!$B$9*4,IF(AND(季度现金流!CV70&lt;0,CW70&gt;=0),1,0),0)</f>
        <v>0</v>
      </c>
      <c r="CX72" s="9">
        <f>IF(98&lt;=核心参数输入!$B$9*4,IF(AND(季度现金流!CW70&lt;0,CX70&gt;=0),1,0),0)</f>
        <v>0</v>
      </c>
      <c r="CY72" s="9">
        <f>IF(99&lt;=核心参数输入!$B$9*4,IF(AND(季度现金流!CX70&lt;0,CY70&gt;=0),1,0),0)</f>
        <v>0</v>
      </c>
      <c r="CZ72" s="9">
        <f>IF(100&lt;=核心参数输入!$B$9*4,IF(AND(季度现金流!CY70&lt;0,CZ70&gt;=0),1,0),0)</f>
        <v>0</v>
      </c>
      <c r="DA72" s="9">
        <f>IF(101&lt;=核心参数输入!$B$9*4,IF(AND(季度现金流!CZ70&lt;0,DA70&gt;=0),1,0),0)</f>
        <v>0</v>
      </c>
      <c r="DB72" s="9">
        <f>IF(102&lt;=核心参数输入!$B$9*4,IF(AND(季度现金流!DA70&lt;0,DB70&gt;=0),1,0),0)</f>
        <v>0</v>
      </c>
      <c r="DC72" s="9">
        <f>IF(103&lt;=核心参数输入!$B$9*4,IF(AND(季度现金流!DB70&lt;0,DC70&gt;=0),1,0),0)</f>
        <v>0</v>
      </c>
      <c r="DD72" s="9">
        <f>IF(104&lt;=核心参数输入!$B$9*4,IF(AND(季度现金流!DC70&lt;0,DD70&gt;=0),1,0),0)</f>
        <v>0</v>
      </c>
      <c r="DE72" s="9">
        <f>IF(105&lt;=核心参数输入!$B$9*4,IF(AND(季度现金流!DD70&lt;0,DE70&gt;=0),1,0),0)</f>
        <v>0</v>
      </c>
      <c r="DF72" s="9">
        <f>IF(106&lt;=核心参数输入!$B$9*4,IF(AND(季度现金流!DE70&lt;0,DF70&gt;=0),1,0),0)</f>
        <v>0</v>
      </c>
      <c r="DG72" s="9">
        <f>IF(107&lt;=核心参数输入!$B$9*4,IF(AND(季度现金流!DF70&lt;0,DG70&gt;=0),1,0),0)</f>
        <v>0</v>
      </c>
      <c r="DH72" s="9">
        <f>IF(108&lt;=核心参数输入!$B$9*4,IF(AND(季度现金流!DG70&lt;0,DH70&gt;=0),1,0),0)</f>
        <v>0</v>
      </c>
      <c r="DI72" s="9">
        <f>IF(109&lt;=核心参数输入!$B$9*4,IF(AND(季度现金流!DH70&lt;0,DI70&gt;=0),1,0),0)</f>
        <v>0</v>
      </c>
      <c r="DJ72" s="9">
        <f>IF(110&lt;=核心参数输入!$B$9*4,IF(AND(季度现金流!DI70&lt;0,DJ70&gt;=0),1,0),0)</f>
        <v>0</v>
      </c>
      <c r="DK72" s="9">
        <f>IF(111&lt;=核心参数输入!$B$9*4,IF(AND(季度现金流!DJ70&lt;0,DK70&gt;=0),1,0),0)</f>
        <v>0</v>
      </c>
      <c r="DL72" s="9">
        <f>IF(112&lt;=核心参数输入!$B$9*4,IF(AND(季度现金流!DK70&lt;0,DL70&gt;=0),1,0),0)</f>
        <v>0</v>
      </c>
      <c r="DM72" s="9">
        <f>IF(113&lt;=核心参数输入!$B$9*4,IF(AND(季度现金流!DL70&lt;0,DM70&gt;=0),1,0),0)</f>
        <v>0</v>
      </c>
      <c r="DN72" s="9">
        <f>IF(114&lt;=核心参数输入!$B$9*4,IF(AND(季度现金流!DM70&lt;0,DN70&gt;=0),1,0),0)</f>
        <v>0</v>
      </c>
      <c r="DO72" s="9">
        <f>IF(115&lt;=核心参数输入!$B$9*4,IF(AND(季度现金流!DN70&lt;0,DO70&gt;=0),1,0),0)</f>
        <v>0</v>
      </c>
      <c r="DP72" s="9">
        <f>IF(116&lt;=核心参数输入!$B$9*4,IF(AND(季度现金流!DO70&lt;0,DP70&gt;=0),1,0),0)</f>
        <v>0</v>
      </c>
      <c r="DQ72" s="9">
        <f>IF(117&lt;=核心参数输入!$B$9*4,IF(AND(季度现金流!DP70&lt;0,DQ70&gt;=0),1,0),0)</f>
        <v>0</v>
      </c>
      <c r="DR72" s="9">
        <f>IF(118&lt;=核心参数输入!$B$9*4,IF(AND(季度现金流!DQ70&lt;0,DR70&gt;=0),1,0),0)</f>
        <v>0</v>
      </c>
      <c r="DS72" s="9">
        <f>IF(119&lt;=核心参数输入!$B$9*4,IF(AND(季度现金流!DR70&lt;0,DS70&gt;=0),1,0),0)</f>
        <v>0</v>
      </c>
      <c r="DT72" s="9">
        <f>IF(120&lt;=核心参数输入!$B$9*4,IF(AND(季度现金流!DS70&lt;0,DT70&gt;=0),1,0),0)</f>
        <v>0</v>
      </c>
    </row>
    <row r="73" spans="1:124" ht="21" customHeight="1">
      <c r="A73" s="8" t="s">
        <v>564</v>
      </c>
      <c r="B73" s="8" t="s">
        <v>39</v>
      </c>
      <c r="C73" s="8"/>
      <c r="D73" s="9">
        <f>IF(0&lt;=核心参数输入!$B$9*4,IF(ABS(D47)&lt;=0.000001,0,SIGN(D47)),0)</f>
        <v>-1</v>
      </c>
      <c r="E73" s="9">
        <f>IF(1&lt;=核心参数输入!$B$9*4,IF(ABS(E47)&lt;=0.000001,0,SIGN(E47)),0)</f>
        <v>-1</v>
      </c>
      <c r="F73" s="9">
        <f>IF(2&lt;=核心参数输入!$B$9*4,IF(ABS(F47)&lt;=0.000001,0,SIGN(F47)),0)</f>
        <v>-1</v>
      </c>
      <c r="G73" s="9">
        <f>IF(3&lt;=核心参数输入!$B$9*4,IF(ABS(G47)&lt;=0.000001,0,SIGN(G47)),0)</f>
        <v>-1</v>
      </c>
      <c r="H73" s="9">
        <f>IF(4&lt;=核心参数输入!$B$9*4,IF(ABS(H47)&lt;=0.000001,0,SIGN(H47)),0)</f>
        <v>-1</v>
      </c>
      <c r="I73" s="9">
        <f>IF(5&lt;=核心参数输入!$B$9*4,IF(ABS(I47)&lt;=0.000001,0,SIGN(I47)),0)</f>
        <v>-1</v>
      </c>
      <c r="J73" s="9">
        <f>IF(6&lt;=核心参数输入!$B$9*4,IF(ABS(J47)&lt;=0.000001,0,SIGN(J47)),0)</f>
        <v>-1</v>
      </c>
      <c r="K73" s="9">
        <f>IF(7&lt;=核心参数输入!$B$9*4,IF(ABS(K47)&lt;=0.000001,0,SIGN(K47)),0)</f>
        <v>-1</v>
      </c>
      <c r="L73" s="9">
        <f>IF(8&lt;=核心参数输入!$B$9*4,IF(ABS(L47)&lt;=0.000001,0,SIGN(L47)),0)</f>
        <v>-1</v>
      </c>
      <c r="M73" s="9">
        <f>IF(9&lt;=核心参数输入!$B$9*4,IF(ABS(M47)&lt;=0.000001,0,SIGN(M47)),0)</f>
        <v>-1</v>
      </c>
      <c r="N73" s="9">
        <f>IF(10&lt;=核心参数输入!$B$9*4,IF(ABS(N47)&lt;=0.000001,0,SIGN(N47)),0)</f>
        <v>-1</v>
      </c>
      <c r="O73" s="9">
        <f>IF(11&lt;=核心参数输入!$B$9*4,IF(ABS(O47)&lt;=0.000001,0,SIGN(O47)),0)</f>
        <v>-1</v>
      </c>
      <c r="P73" s="9">
        <f>IF(12&lt;=核心参数输入!$B$9*4,IF(ABS(P47)&lt;=0.000001,0,SIGN(P47)),0)</f>
        <v>-1</v>
      </c>
      <c r="Q73" s="9">
        <f>IF(13&lt;=核心参数输入!$B$9*4,IF(ABS(Q47)&lt;=0.000001,0,SIGN(Q47)),0)</f>
        <v>1</v>
      </c>
      <c r="R73" s="9">
        <f>IF(14&lt;=核心参数输入!$B$9*4,IF(ABS(R47)&lt;=0.000001,0,SIGN(R47)),0)</f>
        <v>1</v>
      </c>
      <c r="S73" s="9">
        <f>IF(15&lt;=核心参数输入!$B$9*4,IF(ABS(S47)&lt;=0.000001,0,SIGN(S47)),0)</f>
        <v>1</v>
      </c>
      <c r="T73" s="9">
        <f>IF(16&lt;=核心参数输入!$B$9*4,IF(ABS(T47)&lt;=0.000001,0,SIGN(T47)),0)</f>
        <v>0</v>
      </c>
      <c r="U73" s="9">
        <f>IF(17&lt;=核心参数输入!$B$9*4,IF(ABS(U47)&lt;=0.000001,0,SIGN(U47)),0)</f>
        <v>1</v>
      </c>
      <c r="V73" s="9">
        <f>IF(18&lt;=核心参数输入!$B$9*4,IF(ABS(V47)&lt;=0.000001,0,SIGN(V47)),0)</f>
        <v>1</v>
      </c>
      <c r="W73" s="9">
        <f>IF(19&lt;=核心参数输入!$B$9*4,IF(ABS(W47)&lt;=0.000001,0,SIGN(W47)),0)</f>
        <v>0</v>
      </c>
      <c r="X73" s="9">
        <f>IF(20&lt;=核心参数输入!$B$9*4,IF(ABS(X47)&lt;=0.000001,0,SIGN(X47)),0)</f>
        <v>0</v>
      </c>
      <c r="Y73" s="9">
        <f>IF(21&lt;=核心参数输入!$B$9*4,IF(ABS(Y47)&lt;=0.000001,0,SIGN(Y47)),0)</f>
        <v>0</v>
      </c>
      <c r="Z73" s="9">
        <f>IF(22&lt;=核心参数输入!$B$9*4,IF(ABS(Z47)&lt;=0.000001,0,SIGN(Z47)),0)</f>
        <v>0</v>
      </c>
      <c r="AA73" s="9">
        <f>IF(23&lt;=核心参数输入!$B$9*4,IF(ABS(AA47)&lt;=0.000001,0,SIGN(AA47)),0)</f>
        <v>0</v>
      </c>
      <c r="AB73" s="9">
        <f>IF(24&lt;=核心参数输入!$B$9*4,IF(ABS(AB47)&lt;=0.000001,0,SIGN(AB47)),0)</f>
        <v>0</v>
      </c>
      <c r="AC73" s="9">
        <f>IF(25&lt;=核心参数输入!$B$9*4,IF(ABS(AC47)&lt;=0.000001,0,SIGN(AC47)),0)</f>
        <v>0</v>
      </c>
      <c r="AD73" s="9">
        <f>IF(26&lt;=核心参数输入!$B$9*4,IF(ABS(AD47)&lt;=0.000001,0,SIGN(AD47)),0)</f>
        <v>0</v>
      </c>
      <c r="AE73" s="9">
        <f>IF(27&lt;=核心参数输入!$B$9*4,IF(ABS(AE47)&lt;=0.000001,0,SIGN(AE47)),0)</f>
        <v>0</v>
      </c>
      <c r="AF73" s="9">
        <f>IF(28&lt;=核心参数输入!$B$9*4,IF(ABS(AF47)&lt;=0.000001,0,SIGN(AF47)),0)</f>
        <v>0</v>
      </c>
      <c r="AG73" s="9">
        <f>IF(29&lt;=核心参数输入!$B$9*4,IF(ABS(AG47)&lt;=0.000001,0,SIGN(AG47)),0)</f>
        <v>0</v>
      </c>
      <c r="AH73" s="9">
        <f>IF(30&lt;=核心参数输入!$B$9*4,IF(ABS(AH47)&lt;=0.000001,0,SIGN(AH47)),0)</f>
        <v>0</v>
      </c>
      <c r="AI73" s="9">
        <f>IF(31&lt;=核心参数输入!$B$9*4,IF(ABS(AI47)&lt;=0.000001,0,SIGN(AI47)),0)</f>
        <v>0</v>
      </c>
      <c r="AJ73" s="9">
        <f>IF(32&lt;=核心参数输入!$B$9*4,IF(ABS(AJ47)&lt;=0.000001,0,SIGN(AJ47)),0)</f>
        <v>0</v>
      </c>
      <c r="AK73" s="9">
        <f>IF(33&lt;=核心参数输入!$B$9*4,IF(ABS(AK47)&lt;=0.000001,0,SIGN(AK47)),0)</f>
        <v>0</v>
      </c>
      <c r="AL73" s="9">
        <f>IF(34&lt;=核心参数输入!$B$9*4,IF(ABS(AL47)&lt;=0.000001,0,SIGN(AL47)),0)</f>
        <v>0</v>
      </c>
      <c r="AM73" s="9">
        <f>IF(35&lt;=核心参数输入!$B$9*4,IF(ABS(AM47)&lt;=0.000001,0,SIGN(AM47)),0)</f>
        <v>0</v>
      </c>
      <c r="AN73" s="9">
        <f>IF(36&lt;=核心参数输入!$B$9*4,IF(ABS(AN47)&lt;=0.000001,0,SIGN(AN47)),0)</f>
        <v>0</v>
      </c>
      <c r="AO73" s="9">
        <f>IF(37&lt;=核心参数输入!$B$9*4,IF(ABS(AO47)&lt;=0.000001,0,SIGN(AO47)),0)</f>
        <v>0</v>
      </c>
      <c r="AP73" s="9">
        <f>IF(38&lt;=核心参数输入!$B$9*4,IF(ABS(AP47)&lt;=0.000001,0,SIGN(AP47)),0)</f>
        <v>0</v>
      </c>
      <c r="AQ73" s="9">
        <f>IF(39&lt;=核心参数输入!$B$9*4,IF(ABS(AQ47)&lt;=0.000001,0,SIGN(AQ47)),0)</f>
        <v>0</v>
      </c>
      <c r="AR73" s="9">
        <f>IF(40&lt;=核心参数输入!$B$9*4,IF(ABS(AR47)&lt;=0.000001,0,SIGN(AR47)),0)</f>
        <v>0</v>
      </c>
      <c r="AS73" s="9">
        <f>IF(41&lt;=核心参数输入!$B$9*4,IF(ABS(AS47)&lt;=0.000001,0,SIGN(AS47)),0)</f>
        <v>1</v>
      </c>
      <c r="AT73" s="9">
        <f>IF(42&lt;=核心参数输入!$B$9*4,IF(ABS(AT47)&lt;=0.000001,0,SIGN(AT47)),0)</f>
        <v>1</v>
      </c>
      <c r="AU73" s="9">
        <f>IF(43&lt;=核心参数输入!$B$9*4,IF(ABS(AU47)&lt;=0.000001,0,SIGN(AU47)),0)</f>
        <v>1</v>
      </c>
      <c r="AV73" s="9">
        <f>IF(44&lt;=核心参数输入!$B$9*4,IF(ABS(AV47)&lt;=0.000001,0,SIGN(AV47)),0)</f>
        <v>1</v>
      </c>
      <c r="AW73" s="9">
        <f>IF(45&lt;=核心参数输入!$B$9*4,IF(ABS(AW47)&lt;=0.000001,0,SIGN(AW47)),0)</f>
        <v>1</v>
      </c>
      <c r="AX73" s="9">
        <f>IF(46&lt;=核心参数输入!$B$9*4,IF(ABS(AX47)&lt;=0.000001,0,SIGN(AX47)),0)</f>
        <v>1</v>
      </c>
      <c r="AY73" s="9">
        <f>IF(47&lt;=核心参数输入!$B$9*4,IF(ABS(AY47)&lt;=0.000001,0,SIGN(AY47)),0)</f>
        <v>1</v>
      </c>
      <c r="AZ73" s="9">
        <f>IF(48&lt;=核心参数输入!$B$9*4,IF(ABS(AZ47)&lt;=0.000001,0,SIGN(AZ47)),0)</f>
        <v>1</v>
      </c>
      <c r="BA73" s="9">
        <f>IF(49&lt;=核心参数输入!$B$9*4,IF(ABS(BA47)&lt;=0.000001,0,SIGN(BA47)),0)</f>
        <v>1</v>
      </c>
      <c r="BB73" s="9">
        <f>IF(50&lt;=核心参数输入!$B$9*4,IF(ABS(BB47)&lt;=0.000001,0,SIGN(BB47)),0)</f>
        <v>1</v>
      </c>
      <c r="BC73" s="9">
        <f>IF(51&lt;=核心参数输入!$B$9*4,IF(ABS(BC47)&lt;=0.000001,0,SIGN(BC47)),0)</f>
        <v>1</v>
      </c>
      <c r="BD73" s="9">
        <f>IF(52&lt;=核心参数输入!$B$9*4,IF(ABS(BD47)&lt;=0.000001,0,SIGN(BD47)),0)</f>
        <v>1</v>
      </c>
      <c r="BE73" s="9">
        <f>IF(53&lt;=核心参数输入!$B$9*4,IF(ABS(BE47)&lt;=0.000001,0,SIGN(BE47)),0)</f>
        <v>1</v>
      </c>
      <c r="BF73" s="9">
        <f>IF(54&lt;=核心参数输入!$B$9*4,IF(ABS(BF47)&lt;=0.000001,0,SIGN(BF47)),0)</f>
        <v>1</v>
      </c>
      <c r="BG73" s="9">
        <f>IF(55&lt;=核心参数输入!$B$9*4,IF(ABS(BG47)&lt;=0.000001,0,SIGN(BG47)),0)</f>
        <v>1</v>
      </c>
      <c r="BH73" s="9">
        <f>IF(56&lt;=核心参数输入!$B$9*4,IF(ABS(BH47)&lt;=0.000001,0,SIGN(BH47)),0)</f>
        <v>1</v>
      </c>
      <c r="BI73" s="9">
        <f>IF(57&lt;=核心参数输入!$B$9*4,IF(ABS(BI47)&lt;=0.000001,0,SIGN(BI47)),0)</f>
        <v>1</v>
      </c>
      <c r="BJ73" s="9">
        <f>IF(58&lt;=核心参数输入!$B$9*4,IF(ABS(BJ47)&lt;=0.000001,0,SIGN(BJ47)),0)</f>
        <v>1</v>
      </c>
      <c r="BK73" s="9">
        <f>IF(59&lt;=核心参数输入!$B$9*4,IF(ABS(BK47)&lt;=0.000001,0,SIGN(BK47)),0)</f>
        <v>1</v>
      </c>
      <c r="BL73" s="9">
        <f>IF(60&lt;=核心参数输入!$B$9*4,IF(ABS(BL47)&lt;=0.000001,0,SIGN(BL47)),0)</f>
        <v>1</v>
      </c>
      <c r="BM73" s="9">
        <f>IF(61&lt;=核心参数输入!$B$9*4,IF(ABS(BM47)&lt;=0.000001,0,SIGN(BM47)),0)</f>
        <v>1</v>
      </c>
      <c r="BN73" s="9">
        <f>IF(62&lt;=核心参数输入!$B$9*4,IF(ABS(BN47)&lt;=0.000001,0,SIGN(BN47)),0)</f>
        <v>1</v>
      </c>
      <c r="BO73" s="9">
        <f>IF(63&lt;=核心参数输入!$B$9*4,IF(ABS(BO47)&lt;=0.000001,0,SIGN(BO47)),0)</f>
        <v>1</v>
      </c>
      <c r="BP73" s="9">
        <f>IF(64&lt;=核心参数输入!$B$9*4,IF(ABS(BP47)&lt;=0.000001,0,SIGN(BP47)),0)</f>
        <v>1</v>
      </c>
      <c r="BQ73" s="9">
        <f>IF(65&lt;=核心参数输入!$B$9*4,IF(ABS(BQ47)&lt;=0.000001,0,SIGN(BQ47)),0)</f>
        <v>1</v>
      </c>
      <c r="BR73" s="9">
        <f>IF(66&lt;=核心参数输入!$B$9*4,IF(ABS(BR47)&lt;=0.000001,0,SIGN(BR47)),0)</f>
        <v>1</v>
      </c>
      <c r="BS73" s="9">
        <f>IF(67&lt;=核心参数输入!$B$9*4,IF(ABS(BS47)&lt;=0.000001,0,SIGN(BS47)),0)</f>
        <v>1</v>
      </c>
      <c r="BT73" s="9">
        <f>IF(68&lt;=核心参数输入!$B$9*4,IF(ABS(BT47)&lt;=0.000001,0,SIGN(BT47)),0)</f>
        <v>1</v>
      </c>
      <c r="BU73" s="9">
        <f>IF(69&lt;=核心参数输入!$B$9*4,IF(ABS(BU47)&lt;=0.000001,0,SIGN(BU47)),0)</f>
        <v>1</v>
      </c>
      <c r="BV73" s="9">
        <f>IF(70&lt;=核心参数输入!$B$9*4,IF(ABS(BV47)&lt;=0.000001,0,SIGN(BV47)),0)</f>
        <v>1</v>
      </c>
      <c r="BW73" s="9">
        <f>IF(71&lt;=核心参数输入!$B$9*4,IF(ABS(BW47)&lt;=0.000001,0,SIGN(BW47)),0)</f>
        <v>1</v>
      </c>
      <c r="BX73" s="9">
        <f>IF(72&lt;=核心参数输入!$B$9*4,IF(ABS(BX47)&lt;=0.000001,0,SIGN(BX47)),0)</f>
        <v>1</v>
      </c>
      <c r="BY73" s="9">
        <f>IF(73&lt;=核心参数输入!$B$9*4,IF(ABS(BY47)&lt;=0.000001,0,SIGN(BY47)),0)</f>
        <v>1</v>
      </c>
      <c r="BZ73" s="9">
        <f>IF(74&lt;=核心参数输入!$B$9*4,IF(ABS(BZ47)&lt;=0.000001,0,SIGN(BZ47)),0)</f>
        <v>1</v>
      </c>
      <c r="CA73" s="9">
        <f>IF(75&lt;=核心参数输入!$B$9*4,IF(ABS(CA47)&lt;=0.000001,0,SIGN(CA47)),0)</f>
        <v>1</v>
      </c>
      <c r="CB73" s="9">
        <f>IF(76&lt;=核心参数输入!$B$9*4,IF(ABS(CB47)&lt;=0.000001,0,SIGN(CB47)),0)</f>
        <v>1</v>
      </c>
      <c r="CC73" s="9">
        <f>IF(77&lt;=核心参数输入!$B$9*4,IF(ABS(CC47)&lt;=0.000001,0,SIGN(CC47)),0)</f>
        <v>1</v>
      </c>
      <c r="CD73" s="9">
        <f>IF(78&lt;=核心参数输入!$B$9*4,IF(ABS(CD47)&lt;=0.000001,0,SIGN(CD47)),0)</f>
        <v>1</v>
      </c>
      <c r="CE73" s="9">
        <f>IF(79&lt;=核心参数输入!$B$9*4,IF(ABS(CE47)&lt;=0.000001,0,SIGN(CE47)),0)</f>
        <v>1</v>
      </c>
      <c r="CF73" s="9">
        <f>IF(80&lt;=核心参数输入!$B$9*4,IF(ABS(CF47)&lt;=0.000001,0,SIGN(CF47)),0)</f>
        <v>1</v>
      </c>
      <c r="CG73" s="9">
        <f>IF(81&lt;=核心参数输入!$B$9*4,IF(ABS(CG47)&lt;=0.000001,0,SIGN(CG47)),0)</f>
        <v>0</v>
      </c>
      <c r="CH73" s="9">
        <f>IF(82&lt;=核心参数输入!$B$9*4,IF(ABS(CH47)&lt;=0.000001,0,SIGN(CH47)),0)</f>
        <v>0</v>
      </c>
      <c r="CI73" s="9">
        <f>IF(83&lt;=核心参数输入!$B$9*4,IF(ABS(CI47)&lt;=0.000001,0,SIGN(CI47)),0)</f>
        <v>0</v>
      </c>
      <c r="CJ73" s="9">
        <f>IF(84&lt;=核心参数输入!$B$9*4,IF(ABS(CJ47)&lt;=0.000001,0,SIGN(CJ47)),0)</f>
        <v>0</v>
      </c>
      <c r="CK73" s="9">
        <f>IF(85&lt;=核心参数输入!$B$9*4,IF(ABS(CK47)&lt;=0.000001,0,SIGN(CK47)),0)</f>
        <v>0</v>
      </c>
      <c r="CL73" s="9">
        <f>IF(86&lt;=核心参数输入!$B$9*4,IF(ABS(CL47)&lt;=0.000001,0,SIGN(CL47)),0)</f>
        <v>0</v>
      </c>
      <c r="CM73" s="9">
        <f>IF(87&lt;=核心参数输入!$B$9*4,IF(ABS(CM47)&lt;=0.000001,0,SIGN(CM47)),0)</f>
        <v>0</v>
      </c>
      <c r="CN73" s="9">
        <f>IF(88&lt;=核心参数输入!$B$9*4,IF(ABS(CN47)&lt;=0.000001,0,SIGN(CN47)),0)</f>
        <v>0</v>
      </c>
      <c r="CO73" s="9">
        <f>IF(89&lt;=核心参数输入!$B$9*4,IF(ABS(CO47)&lt;=0.000001,0,SIGN(CO47)),0)</f>
        <v>0</v>
      </c>
      <c r="CP73" s="9">
        <f>IF(90&lt;=核心参数输入!$B$9*4,IF(ABS(CP47)&lt;=0.000001,0,SIGN(CP47)),0)</f>
        <v>0</v>
      </c>
      <c r="CQ73" s="9">
        <f>IF(91&lt;=核心参数输入!$B$9*4,IF(ABS(CQ47)&lt;=0.000001,0,SIGN(CQ47)),0)</f>
        <v>0</v>
      </c>
      <c r="CR73" s="9">
        <f>IF(92&lt;=核心参数输入!$B$9*4,IF(ABS(CR47)&lt;=0.000001,0,SIGN(CR47)),0)</f>
        <v>0</v>
      </c>
      <c r="CS73" s="9">
        <f>IF(93&lt;=核心参数输入!$B$9*4,IF(ABS(CS47)&lt;=0.000001,0,SIGN(CS47)),0)</f>
        <v>0</v>
      </c>
      <c r="CT73" s="9">
        <f>IF(94&lt;=核心参数输入!$B$9*4,IF(ABS(CT47)&lt;=0.000001,0,SIGN(CT47)),0)</f>
        <v>0</v>
      </c>
      <c r="CU73" s="9">
        <f>IF(95&lt;=核心参数输入!$B$9*4,IF(ABS(CU47)&lt;=0.000001,0,SIGN(CU47)),0)</f>
        <v>0</v>
      </c>
      <c r="CV73" s="9">
        <f>IF(96&lt;=核心参数输入!$B$9*4,IF(ABS(CV47)&lt;=0.000001,0,SIGN(CV47)),0)</f>
        <v>0</v>
      </c>
      <c r="CW73" s="9">
        <f>IF(97&lt;=核心参数输入!$B$9*4,IF(ABS(CW47)&lt;=0.000001,0,SIGN(CW47)),0)</f>
        <v>0</v>
      </c>
      <c r="CX73" s="9">
        <f>IF(98&lt;=核心参数输入!$B$9*4,IF(ABS(CX47)&lt;=0.000001,0,SIGN(CX47)),0)</f>
        <v>0</v>
      </c>
      <c r="CY73" s="9">
        <f>IF(99&lt;=核心参数输入!$B$9*4,IF(ABS(CY47)&lt;=0.000001,0,SIGN(CY47)),0)</f>
        <v>0</v>
      </c>
      <c r="CZ73" s="9">
        <f>IF(100&lt;=核心参数输入!$B$9*4,IF(ABS(CZ47)&lt;=0.000001,0,SIGN(CZ47)),0)</f>
        <v>0</v>
      </c>
      <c r="DA73" s="9">
        <f>IF(101&lt;=核心参数输入!$B$9*4,IF(ABS(DA47)&lt;=0.000001,0,SIGN(DA47)),0)</f>
        <v>0</v>
      </c>
      <c r="DB73" s="9">
        <f>IF(102&lt;=核心参数输入!$B$9*4,IF(ABS(DB47)&lt;=0.000001,0,SIGN(DB47)),0)</f>
        <v>0</v>
      </c>
      <c r="DC73" s="9">
        <f>IF(103&lt;=核心参数输入!$B$9*4,IF(ABS(DC47)&lt;=0.000001,0,SIGN(DC47)),0)</f>
        <v>0</v>
      </c>
      <c r="DD73" s="9">
        <f>IF(104&lt;=核心参数输入!$B$9*4,IF(ABS(DD47)&lt;=0.000001,0,SIGN(DD47)),0)</f>
        <v>0</v>
      </c>
      <c r="DE73" s="9">
        <f>IF(105&lt;=核心参数输入!$B$9*4,IF(ABS(DE47)&lt;=0.000001,0,SIGN(DE47)),0)</f>
        <v>0</v>
      </c>
      <c r="DF73" s="9">
        <f>IF(106&lt;=核心参数输入!$B$9*4,IF(ABS(DF47)&lt;=0.000001,0,SIGN(DF47)),0)</f>
        <v>0</v>
      </c>
      <c r="DG73" s="9">
        <f>IF(107&lt;=核心参数输入!$B$9*4,IF(ABS(DG47)&lt;=0.000001,0,SIGN(DG47)),0)</f>
        <v>0</v>
      </c>
      <c r="DH73" s="9">
        <f>IF(108&lt;=核心参数输入!$B$9*4,IF(ABS(DH47)&lt;=0.000001,0,SIGN(DH47)),0)</f>
        <v>0</v>
      </c>
      <c r="DI73" s="9">
        <f>IF(109&lt;=核心参数输入!$B$9*4,IF(ABS(DI47)&lt;=0.000001,0,SIGN(DI47)),0)</f>
        <v>0</v>
      </c>
      <c r="DJ73" s="9">
        <f>IF(110&lt;=核心参数输入!$B$9*4,IF(ABS(DJ47)&lt;=0.000001,0,SIGN(DJ47)),0)</f>
        <v>0</v>
      </c>
      <c r="DK73" s="9">
        <f>IF(111&lt;=核心参数输入!$B$9*4,IF(ABS(DK47)&lt;=0.000001,0,SIGN(DK47)),0)</f>
        <v>0</v>
      </c>
      <c r="DL73" s="9">
        <f>IF(112&lt;=核心参数输入!$B$9*4,IF(ABS(DL47)&lt;=0.000001,0,SIGN(DL47)),0)</f>
        <v>0</v>
      </c>
      <c r="DM73" s="9">
        <f>IF(113&lt;=核心参数输入!$B$9*4,IF(ABS(DM47)&lt;=0.000001,0,SIGN(DM47)),0)</f>
        <v>0</v>
      </c>
      <c r="DN73" s="9">
        <f>IF(114&lt;=核心参数输入!$B$9*4,IF(ABS(DN47)&lt;=0.000001,0,SIGN(DN47)),0)</f>
        <v>0</v>
      </c>
      <c r="DO73" s="9">
        <f>IF(115&lt;=核心参数输入!$B$9*4,IF(ABS(DO47)&lt;=0.000001,0,SIGN(DO47)),0)</f>
        <v>0</v>
      </c>
      <c r="DP73" s="9">
        <f>IF(116&lt;=核心参数输入!$B$9*4,IF(ABS(DP47)&lt;=0.000001,0,SIGN(DP47)),0)</f>
        <v>0</v>
      </c>
      <c r="DQ73" s="9">
        <f>IF(117&lt;=核心参数输入!$B$9*4,IF(ABS(DQ47)&lt;=0.000001,0,SIGN(DQ47)),0)</f>
        <v>0</v>
      </c>
      <c r="DR73" s="9">
        <f>IF(118&lt;=核心参数输入!$B$9*4,IF(ABS(DR47)&lt;=0.000001,0,SIGN(DR47)),0)</f>
        <v>0</v>
      </c>
      <c r="DS73" s="9">
        <f>IF(119&lt;=核心参数输入!$B$9*4,IF(ABS(DS47)&lt;=0.000001,0,SIGN(DS47)),0)</f>
        <v>0</v>
      </c>
      <c r="DT73" s="9">
        <f>IF(120&lt;=核心参数输入!$B$9*4,IF(ABS(DT47)&lt;=0.000001,0,SIGN(DT47)),0)</f>
        <v>0</v>
      </c>
    </row>
    <row r="74" spans="1:124" ht="21" customHeight="1">
      <c r="A74" s="8" t="s">
        <v>565</v>
      </c>
      <c r="B74" s="8" t="s">
        <v>39</v>
      </c>
      <c r="C74" s="8"/>
      <c r="D74" s="9">
        <f>IF(0&lt;=核心参数输入!$B$9*4,IF(D73=0,0,D73),0)</f>
        <v>-1</v>
      </c>
      <c r="E74" s="9">
        <f>IF(1&lt;=核心参数输入!$B$9*4,IF(E73=0,季度现金流!D74,E73),0)</f>
        <v>-1</v>
      </c>
      <c r="F74" s="9">
        <f>IF(2&lt;=核心参数输入!$B$9*4,IF(F73=0,季度现金流!E74,F73),0)</f>
        <v>-1</v>
      </c>
      <c r="G74" s="9">
        <f>IF(3&lt;=核心参数输入!$B$9*4,IF(G73=0,季度现金流!F74,G73),0)</f>
        <v>-1</v>
      </c>
      <c r="H74" s="9">
        <f>IF(4&lt;=核心参数输入!$B$9*4,IF(H73=0,季度现金流!G74,H73),0)</f>
        <v>-1</v>
      </c>
      <c r="I74" s="9">
        <f>IF(5&lt;=核心参数输入!$B$9*4,IF(I73=0,季度现金流!H74,I73),0)</f>
        <v>-1</v>
      </c>
      <c r="J74" s="9">
        <f>IF(6&lt;=核心参数输入!$B$9*4,IF(J73=0,季度现金流!I74,J73),0)</f>
        <v>-1</v>
      </c>
      <c r="K74" s="9">
        <f>IF(7&lt;=核心参数输入!$B$9*4,IF(K73=0,季度现金流!J74,K73),0)</f>
        <v>-1</v>
      </c>
      <c r="L74" s="9">
        <f>IF(8&lt;=核心参数输入!$B$9*4,IF(L73=0,季度现金流!K74,L73),0)</f>
        <v>-1</v>
      </c>
      <c r="M74" s="9">
        <f>IF(9&lt;=核心参数输入!$B$9*4,IF(M73=0,季度现金流!L74,M73),0)</f>
        <v>-1</v>
      </c>
      <c r="N74" s="9">
        <f>IF(10&lt;=核心参数输入!$B$9*4,IF(N73=0,季度现金流!M74,N73),0)</f>
        <v>-1</v>
      </c>
      <c r="O74" s="9">
        <f>IF(11&lt;=核心参数输入!$B$9*4,IF(O73=0,季度现金流!N74,O73),0)</f>
        <v>-1</v>
      </c>
      <c r="P74" s="9">
        <f>IF(12&lt;=核心参数输入!$B$9*4,IF(P73=0,季度现金流!O74,P73),0)</f>
        <v>-1</v>
      </c>
      <c r="Q74" s="9">
        <f>IF(13&lt;=核心参数输入!$B$9*4,IF(Q73=0,季度现金流!P74,Q73),0)</f>
        <v>1</v>
      </c>
      <c r="R74" s="9">
        <f>IF(14&lt;=核心参数输入!$B$9*4,IF(R73=0,季度现金流!Q74,R73),0)</f>
        <v>1</v>
      </c>
      <c r="S74" s="9">
        <f>IF(15&lt;=核心参数输入!$B$9*4,IF(S73=0,季度现金流!R74,S73),0)</f>
        <v>1</v>
      </c>
      <c r="T74" s="9">
        <f>IF(16&lt;=核心参数输入!$B$9*4,IF(T73=0,季度现金流!S74,T73),0)</f>
        <v>1</v>
      </c>
      <c r="U74" s="9">
        <f>IF(17&lt;=核心参数输入!$B$9*4,IF(U73=0,季度现金流!T74,U73),0)</f>
        <v>1</v>
      </c>
      <c r="V74" s="9">
        <f>IF(18&lt;=核心参数输入!$B$9*4,IF(V73=0,季度现金流!U74,V73),0)</f>
        <v>1</v>
      </c>
      <c r="W74" s="9">
        <f>IF(19&lt;=核心参数输入!$B$9*4,IF(W73=0,季度现金流!V74,W73),0)</f>
        <v>1</v>
      </c>
      <c r="X74" s="9">
        <f>IF(20&lt;=核心参数输入!$B$9*4,IF(X73=0,季度现金流!W74,X73),0)</f>
        <v>1</v>
      </c>
      <c r="Y74" s="9">
        <f>IF(21&lt;=核心参数输入!$B$9*4,IF(Y73=0,季度现金流!X74,Y73),0)</f>
        <v>1</v>
      </c>
      <c r="Z74" s="9">
        <f>IF(22&lt;=核心参数输入!$B$9*4,IF(Z73=0,季度现金流!Y74,Z73),0)</f>
        <v>1</v>
      </c>
      <c r="AA74" s="9">
        <f>IF(23&lt;=核心参数输入!$B$9*4,IF(AA73=0,季度现金流!Z74,AA73),0)</f>
        <v>1</v>
      </c>
      <c r="AB74" s="9">
        <f>IF(24&lt;=核心参数输入!$B$9*4,IF(AB73=0,季度现金流!AA74,AB73),0)</f>
        <v>1</v>
      </c>
      <c r="AC74" s="9">
        <f>IF(25&lt;=核心参数输入!$B$9*4,IF(AC73=0,季度现金流!AB74,AC73),0)</f>
        <v>1</v>
      </c>
      <c r="AD74" s="9">
        <f>IF(26&lt;=核心参数输入!$B$9*4,IF(AD73=0,季度现金流!AC74,AD73),0)</f>
        <v>1</v>
      </c>
      <c r="AE74" s="9">
        <f>IF(27&lt;=核心参数输入!$B$9*4,IF(AE73=0,季度现金流!AD74,AE73),0)</f>
        <v>1</v>
      </c>
      <c r="AF74" s="9">
        <f>IF(28&lt;=核心参数输入!$B$9*4,IF(AF73=0,季度现金流!AE74,AF73),0)</f>
        <v>1</v>
      </c>
      <c r="AG74" s="9">
        <f>IF(29&lt;=核心参数输入!$B$9*4,IF(AG73=0,季度现金流!AF74,AG73),0)</f>
        <v>1</v>
      </c>
      <c r="AH74" s="9">
        <f>IF(30&lt;=核心参数输入!$B$9*4,IF(AH73=0,季度现金流!AG74,AH73),0)</f>
        <v>1</v>
      </c>
      <c r="AI74" s="9">
        <f>IF(31&lt;=核心参数输入!$B$9*4,IF(AI73=0,季度现金流!AH74,AI73),0)</f>
        <v>1</v>
      </c>
      <c r="AJ74" s="9">
        <f>IF(32&lt;=核心参数输入!$B$9*4,IF(AJ73=0,季度现金流!AI74,AJ73),0)</f>
        <v>1</v>
      </c>
      <c r="AK74" s="9">
        <f>IF(33&lt;=核心参数输入!$B$9*4,IF(AK73=0,季度现金流!AJ74,AK73),0)</f>
        <v>1</v>
      </c>
      <c r="AL74" s="9">
        <f>IF(34&lt;=核心参数输入!$B$9*4,IF(AL73=0,季度现金流!AK74,AL73),0)</f>
        <v>1</v>
      </c>
      <c r="AM74" s="9">
        <f>IF(35&lt;=核心参数输入!$B$9*4,IF(AM73=0,季度现金流!AL74,AM73),0)</f>
        <v>1</v>
      </c>
      <c r="AN74" s="9">
        <f>IF(36&lt;=核心参数输入!$B$9*4,IF(AN73=0,季度现金流!AM74,AN73),0)</f>
        <v>1</v>
      </c>
      <c r="AO74" s="9">
        <f>IF(37&lt;=核心参数输入!$B$9*4,IF(AO73=0,季度现金流!AN74,AO73),0)</f>
        <v>1</v>
      </c>
      <c r="AP74" s="9">
        <f>IF(38&lt;=核心参数输入!$B$9*4,IF(AP73=0,季度现金流!AO74,AP73),0)</f>
        <v>1</v>
      </c>
      <c r="AQ74" s="9">
        <f>IF(39&lt;=核心参数输入!$B$9*4,IF(AQ73=0,季度现金流!AP74,AQ73),0)</f>
        <v>1</v>
      </c>
      <c r="AR74" s="9">
        <f>IF(40&lt;=核心参数输入!$B$9*4,IF(AR73=0,季度现金流!AQ74,AR73),0)</f>
        <v>1</v>
      </c>
      <c r="AS74" s="9">
        <f>IF(41&lt;=核心参数输入!$B$9*4,IF(AS73=0,季度现金流!AR74,AS73),0)</f>
        <v>1</v>
      </c>
      <c r="AT74" s="9">
        <f>IF(42&lt;=核心参数输入!$B$9*4,IF(AT73=0,季度现金流!AS74,AT73),0)</f>
        <v>1</v>
      </c>
      <c r="AU74" s="9">
        <f>IF(43&lt;=核心参数输入!$B$9*4,IF(AU73=0,季度现金流!AT74,AU73),0)</f>
        <v>1</v>
      </c>
      <c r="AV74" s="9">
        <f>IF(44&lt;=核心参数输入!$B$9*4,IF(AV73=0,季度现金流!AU74,AV73),0)</f>
        <v>1</v>
      </c>
      <c r="AW74" s="9">
        <f>IF(45&lt;=核心参数输入!$B$9*4,IF(AW73=0,季度现金流!AV74,AW73),0)</f>
        <v>1</v>
      </c>
      <c r="AX74" s="9">
        <f>IF(46&lt;=核心参数输入!$B$9*4,IF(AX73=0,季度现金流!AW74,AX73),0)</f>
        <v>1</v>
      </c>
      <c r="AY74" s="9">
        <f>IF(47&lt;=核心参数输入!$B$9*4,IF(AY73=0,季度现金流!AX74,AY73),0)</f>
        <v>1</v>
      </c>
      <c r="AZ74" s="9">
        <f>IF(48&lt;=核心参数输入!$B$9*4,IF(AZ73=0,季度现金流!AY74,AZ73),0)</f>
        <v>1</v>
      </c>
      <c r="BA74" s="9">
        <f>IF(49&lt;=核心参数输入!$B$9*4,IF(BA73=0,季度现金流!AZ74,BA73),0)</f>
        <v>1</v>
      </c>
      <c r="BB74" s="9">
        <f>IF(50&lt;=核心参数输入!$B$9*4,IF(BB73=0,季度现金流!BA74,BB73),0)</f>
        <v>1</v>
      </c>
      <c r="BC74" s="9">
        <f>IF(51&lt;=核心参数输入!$B$9*4,IF(BC73=0,季度现金流!BB74,BC73),0)</f>
        <v>1</v>
      </c>
      <c r="BD74" s="9">
        <f>IF(52&lt;=核心参数输入!$B$9*4,IF(BD73=0,季度现金流!BC74,BD73),0)</f>
        <v>1</v>
      </c>
      <c r="BE74" s="9">
        <f>IF(53&lt;=核心参数输入!$B$9*4,IF(BE73=0,季度现金流!BD74,BE73),0)</f>
        <v>1</v>
      </c>
      <c r="BF74" s="9">
        <f>IF(54&lt;=核心参数输入!$B$9*4,IF(BF73=0,季度现金流!BE74,BF73),0)</f>
        <v>1</v>
      </c>
      <c r="BG74" s="9">
        <f>IF(55&lt;=核心参数输入!$B$9*4,IF(BG73=0,季度现金流!BF74,BG73),0)</f>
        <v>1</v>
      </c>
      <c r="BH74" s="9">
        <f>IF(56&lt;=核心参数输入!$B$9*4,IF(BH73=0,季度现金流!BG74,BH73),0)</f>
        <v>1</v>
      </c>
      <c r="BI74" s="9">
        <f>IF(57&lt;=核心参数输入!$B$9*4,IF(BI73=0,季度现金流!BH74,BI73),0)</f>
        <v>1</v>
      </c>
      <c r="BJ74" s="9">
        <f>IF(58&lt;=核心参数输入!$B$9*4,IF(BJ73=0,季度现金流!BI74,BJ73),0)</f>
        <v>1</v>
      </c>
      <c r="BK74" s="9">
        <f>IF(59&lt;=核心参数输入!$B$9*4,IF(BK73=0,季度现金流!BJ74,BK73),0)</f>
        <v>1</v>
      </c>
      <c r="BL74" s="9">
        <f>IF(60&lt;=核心参数输入!$B$9*4,IF(BL73=0,季度现金流!BK74,BL73),0)</f>
        <v>1</v>
      </c>
      <c r="BM74" s="9">
        <f>IF(61&lt;=核心参数输入!$B$9*4,IF(BM73=0,季度现金流!BL74,BM73),0)</f>
        <v>1</v>
      </c>
      <c r="BN74" s="9">
        <f>IF(62&lt;=核心参数输入!$B$9*4,IF(BN73=0,季度现金流!BM74,BN73),0)</f>
        <v>1</v>
      </c>
      <c r="BO74" s="9">
        <f>IF(63&lt;=核心参数输入!$B$9*4,IF(BO73=0,季度现金流!BN74,BO73),0)</f>
        <v>1</v>
      </c>
      <c r="BP74" s="9">
        <f>IF(64&lt;=核心参数输入!$B$9*4,IF(BP73=0,季度现金流!BO74,BP73),0)</f>
        <v>1</v>
      </c>
      <c r="BQ74" s="9">
        <f>IF(65&lt;=核心参数输入!$B$9*4,IF(BQ73=0,季度现金流!BP74,BQ73),0)</f>
        <v>1</v>
      </c>
      <c r="BR74" s="9">
        <f>IF(66&lt;=核心参数输入!$B$9*4,IF(BR73=0,季度现金流!BQ74,BR73),0)</f>
        <v>1</v>
      </c>
      <c r="BS74" s="9">
        <f>IF(67&lt;=核心参数输入!$B$9*4,IF(BS73=0,季度现金流!BR74,BS73),0)</f>
        <v>1</v>
      </c>
      <c r="BT74" s="9">
        <f>IF(68&lt;=核心参数输入!$B$9*4,IF(BT73=0,季度现金流!BS74,BT73),0)</f>
        <v>1</v>
      </c>
      <c r="BU74" s="9">
        <f>IF(69&lt;=核心参数输入!$B$9*4,IF(BU73=0,季度现金流!BT74,BU73),0)</f>
        <v>1</v>
      </c>
      <c r="BV74" s="9">
        <f>IF(70&lt;=核心参数输入!$B$9*4,IF(BV73=0,季度现金流!BU74,BV73),0)</f>
        <v>1</v>
      </c>
      <c r="BW74" s="9">
        <f>IF(71&lt;=核心参数输入!$B$9*4,IF(BW73=0,季度现金流!BV74,BW73),0)</f>
        <v>1</v>
      </c>
      <c r="BX74" s="9">
        <f>IF(72&lt;=核心参数输入!$B$9*4,IF(BX73=0,季度现金流!BW74,BX73),0)</f>
        <v>1</v>
      </c>
      <c r="BY74" s="9">
        <f>IF(73&lt;=核心参数输入!$B$9*4,IF(BY73=0,季度现金流!BX74,BY73),0)</f>
        <v>1</v>
      </c>
      <c r="BZ74" s="9">
        <f>IF(74&lt;=核心参数输入!$B$9*4,IF(BZ73=0,季度现金流!BY74,BZ73),0)</f>
        <v>1</v>
      </c>
      <c r="CA74" s="9">
        <f>IF(75&lt;=核心参数输入!$B$9*4,IF(CA73=0,季度现金流!BZ74,CA73),0)</f>
        <v>1</v>
      </c>
      <c r="CB74" s="9">
        <f>IF(76&lt;=核心参数输入!$B$9*4,IF(CB73=0,季度现金流!CA74,CB73),0)</f>
        <v>1</v>
      </c>
      <c r="CC74" s="9">
        <f>IF(77&lt;=核心参数输入!$B$9*4,IF(CC73=0,季度现金流!CB74,CC73),0)</f>
        <v>1</v>
      </c>
      <c r="CD74" s="9">
        <f>IF(78&lt;=核心参数输入!$B$9*4,IF(CD73=0,季度现金流!CC74,CD73),0)</f>
        <v>1</v>
      </c>
      <c r="CE74" s="9">
        <f>IF(79&lt;=核心参数输入!$B$9*4,IF(CE73=0,季度现金流!CD74,CE73),0)</f>
        <v>1</v>
      </c>
      <c r="CF74" s="9">
        <f>IF(80&lt;=核心参数输入!$B$9*4,IF(CF73=0,季度现金流!CE74,CF73),0)</f>
        <v>1</v>
      </c>
      <c r="CG74" s="9">
        <f>IF(81&lt;=核心参数输入!$B$9*4,IF(CG73=0,季度现金流!CF74,CG73),0)</f>
        <v>0</v>
      </c>
      <c r="CH74" s="9">
        <f>IF(82&lt;=核心参数输入!$B$9*4,IF(CH73=0,季度现金流!CG74,CH73),0)</f>
        <v>0</v>
      </c>
      <c r="CI74" s="9">
        <f>IF(83&lt;=核心参数输入!$B$9*4,IF(CI73=0,季度现金流!CH74,CI73),0)</f>
        <v>0</v>
      </c>
      <c r="CJ74" s="9">
        <f>IF(84&lt;=核心参数输入!$B$9*4,IF(CJ73=0,季度现金流!CI74,CJ73),0)</f>
        <v>0</v>
      </c>
      <c r="CK74" s="9">
        <f>IF(85&lt;=核心参数输入!$B$9*4,IF(CK73=0,季度现金流!CJ74,CK73),0)</f>
        <v>0</v>
      </c>
      <c r="CL74" s="9">
        <f>IF(86&lt;=核心参数输入!$B$9*4,IF(CL73=0,季度现金流!CK74,CL73),0)</f>
        <v>0</v>
      </c>
      <c r="CM74" s="9">
        <f>IF(87&lt;=核心参数输入!$B$9*4,IF(CM73=0,季度现金流!CL74,CM73),0)</f>
        <v>0</v>
      </c>
      <c r="CN74" s="9">
        <f>IF(88&lt;=核心参数输入!$B$9*4,IF(CN73=0,季度现金流!CM74,CN73),0)</f>
        <v>0</v>
      </c>
      <c r="CO74" s="9">
        <f>IF(89&lt;=核心参数输入!$B$9*4,IF(CO73=0,季度现金流!CN74,CO73),0)</f>
        <v>0</v>
      </c>
      <c r="CP74" s="9">
        <f>IF(90&lt;=核心参数输入!$B$9*4,IF(CP73=0,季度现金流!CO74,CP73),0)</f>
        <v>0</v>
      </c>
      <c r="CQ74" s="9">
        <f>IF(91&lt;=核心参数输入!$B$9*4,IF(CQ73=0,季度现金流!CP74,CQ73),0)</f>
        <v>0</v>
      </c>
      <c r="CR74" s="9">
        <f>IF(92&lt;=核心参数输入!$B$9*4,IF(CR73=0,季度现金流!CQ74,CR73),0)</f>
        <v>0</v>
      </c>
      <c r="CS74" s="9">
        <f>IF(93&lt;=核心参数输入!$B$9*4,IF(CS73=0,季度现金流!CR74,CS73),0)</f>
        <v>0</v>
      </c>
      <c r="CT74" s="9">
        <f>IF(94&lt;=核心参数输入!$B$9*4,IF(CT73=0,季度现金流!CS74,CT73),0)</f>
        <v>0</v>
      </c>
      <c r="CU74" s="9">
        <f>IF(95&lt;=核心参数输入!$B$9*4,IF(CU73=0,季度现金流!CT74,CU73),0)</f>
        <v>0</v>
      </c>
      <c r="CV74" s="9">
        <f>IF(96&lt;=核心参数输入!$B$9*4,IF(CV73=0,季度现金流!CU74,CV73),0)</f>
        <v>0</v>
      </c>
      <c r="CW74" s="9">
        <f>IF(97&lt;=核心参数输入!$B$9*4,IF(CW73=0,季度现金流!CV74,CW73),0)</f>
        <v>0</v>
      </c>
      <c r="CX74" s="9">
        <f>IF(98&lt;=核心参数输入!$B$9*4,IF(CX73=0,季度现金流!CW74,CX73),0)</f>
        <v>0</v>
      </c>
      <c r="CY74" s="9">
        <f>IF(99&lt;=核心参数输入!$B$9*4,IF(CY73=0,季度现金流!CX74,CY73),0)</f>
        <v>0</v>
      </c>
      <c r="CZ74" s="9">
        <f>IF(100&lt;=核心参数输入!$B$9*4,IF(CZ73=0,季度现金流!CY74,CZ73),0)</f>
        <v>0</v>
      </c>
      <c r="DA74" s="9">
        <f>IF(101&lt;=核心参数输入!$B$9*4,IF(DA73=0,季度现金流!CZ74,DA73),0)</f>
        <v>0</v>
      </c>
      <c r="DB74" s="9">
        <f>IF(102&lt;=核心参数输入!$B$9*4,IF(DB73=0,季度现金流!DA74,DB73),0)</f>
        <v>0</v>
      </c>
      <c r="DC74" s="9">
        <f>IF(103&lt;=核心参数输入!$B$9*4,IF(DC73=0,季度现金流!DB74,DC73),0)</f>
        <v>0</v>
      </c>
      <c r="DD74" s="9">
        <f>IF(104&lt;=核心参数输入!$B$9*4,IF(DD73=0,季度现金流!DC74,DD73),0)</f>
        <v>0</v>
      </c>
      <c r="DE74" s="9">
        <f>IF(105&lt;=核心参数输入!$B$9*4,IF(DE73=0,季度现金流!DD74,DE73),0)</f>
        <v>0</v>
      </c>
      <c r="DF74" s="9">
        <f>IF(106&lt;=核心参数输入!$B$9*4,IF(DF73=0,季度现金流!DE74,DF73),0)</f>
        <v>0</v>
      </c>
      <c r="DG74" s="9">
        <f>IF(107&lt;=核心参数输入!$B$9*4,IF(DG73=0,季度现金流!DF74,DG73),0)</f>
        <v>0</v>
      </c>
      <c r="DH74" s="9">
        <f>IF(108&lt;=核心参数输入!$B$9*4,IF(DH73=0,季度现金流!DG74,DH73),0)</f>
        <v>0</v>
      </c>
      <c r="DI74" s="9">
        <f>IF(109&lt;=核心参数输入!$B$9*4,IF(DI73=0,季度现金流!DH74,DI73),0)</f>
        <v>0</v>
      </c>
      <c r="DJ74" s="9">
        <f>IF(110&lt;=核心参数输入!$B$9*4,IF(DJ73=0,季度现金流!DI74,DJ73),0)</f>
        <v>0</v>
      </c>
      <c r="DK74" s="9">
        <f>IF(111&lt;=核心参数输入!$B$9*4,IF(DK73=0,季度现金流!DJ74,DK73),0)</f>
        <v>0</v>
      </c>
      <c r="DL74" s="9">
        <f>IF(112&lt;=核心参数输入!$B$9*4,IF(DL73=0,季度现金流!DK74,DL73),0)</f>
        <v>0</v>
      </c>
      <c r="DM74" s="9">
        <f>IF(113&lt;=核心参数输入!$B$9*4,IF(DM73=0,季度现金流!DL74,DM73),0)</f>
        <v>0</v>
      </c>
      <c r="DN74" s="9">
        <f>IF(114&lt;=核心参数输入!$B$9*4,IF(DN73=0,季度现金流!DM74,DN73),0)</f>
        <v>0</v>
      </c>
      <c r="DO74" s="9">
        <f>IF(115&lt;=核心参数输入!$B$9*4,IF(DO73=0,季度现金流!DN74,DO73),0)</f>
        <v>0</v>
      </c>
      <c r="DP74" s="9">
        <f>IF(116&lt;=核心参数输入!$B$9*4,IF(DP73=0,季度现金流!DO74,DP73),0)</f>
        <v>0</v>
      </c>
      <c r="DQ74" s="9">
        <f>IF(117&lt;=核心参数输入!$B$9*4,IF(DQ73=0,季度现金流!DP74,DQ73),0)</f>
        <v>0</v>
      </c>
      <c r="DR74" s="9">
        <f>IF(118&lt;=核心参数输入!$B$9*4,IF(DR73=0,季度现金流!DQ74,DR73),0)</f>
        <v>0</v>
      </c>
      <c r="DS74" s="9">
        <f>IF(119&lt;=核心参数输入!$B$9*4,IF(DS73=0,季度现金流!DR74,DS73),0)</f>
        <v>0</v>
      </c>
      <c r="DT74" s="9">
        <f>IF(120&lt;=核心参数输入!$B$9*4,IF(DT73=0,季度现金流!DS74,DT73),0)</f>
        <v>0</v>
      </c>
    </row>
    <row r="75" spans="1:124" ht="21" customHeight="1">
      <c r="A75" s="8" t="s">
        <v>566</v>
      </c>
      <c r="B75" s="8" t="s">
        <v>39</v>
      </c>
      <c r="C75" s="8"/>
      <c r="D75" s="9">
        <f>IF(0&lt;=核心参数输入!$B$9*4,0,0)</f>
        <v>0</v>
      </c>
      <c r="E75" s="9">
        <f>IF(1&lt;=核心参数输入!$B$9*4,IF(AND(E73&lt;&gt;0,季度现金流!D74&lt;&gt;0,E73&lt;&gt;季度现金流!D74),1,0),0)</f>
        <v>0</v>
      </c>
      <c r="F75" s="9">
        <f>IF(2&lt;=核心参数输入!$B$9*4,IF(AND(F73&lt;&gt;0,季度现金流!E74&lt;&gt;0,F73&lt;&gt;季度现金流!E74),1,0),0)</f>
        <v>0</v>
      </c>
      <c r="G75" s="9">
        <f>IF(3&lt;=核心参数输入!$B$9*4,IF(AND(G73&lt;&gt;0,季度现金流!F74&lt;&gt;0,G73&lt;&gt;季度现金流!F74),1,0),0)</f>
        <v>0</v>
      </c>
      <c r="H75" s="9">
        <f>IF(4&lt;=核心参数输入!$B$9*4,IF(AND(H73&lt;&gt;0,季度现金流!G74&lt;&gt;0,H73&lt;&gt;季度现金流!G74),1,0),0)</f>
        <v>0</v>
      </c>
      <c r="I75" s="9">
        <f>IF(5&lt;=核心参数输入!$B$9*4,IF(AND(I73&lt;&gt;0,季度现金流!H74&lt;&gt;0,I73&lt;&gt;季度现金流!H74),1,0),0)</f>
        <v>0</v>
      </c>
      <c r="J75" s="9">
        <f>IF(6&lt;=核心参数输入!$B$9*4,IF(AND(J73&lt;&gt;0,季度现金流!I74&lt;&gt;0,J73&lt;&gt;季度现金流!I74),1,0),0)</f>
        <v>0</v>
      </c>
      <c r="K75" s="9">
        <f>IF(7&lt;=核心参数输入!$B$9*4,IF(AND(K73&lt;&gt;0,季度现金流!J74&lt;&gt;0,K73&lt;&gt;季度现金流!J74),1,0),0)</f>
        <v>0</v>
      </c>
      <c r="L75" s="9">
        <f>IF(8&lt;=核心参数输入!$B$9*4,IF(AND(L73&lt;&gt;0,季度现金流!K74&lt;&gt;0,L73&lt;&gt;季度现金流!K74),1,0),0)</f>
        <v>0</v>
      </c>
      <c r="M75" s="9">
        <f>IF(9&lt;=核心参数输入!$B$9*4,IF(AND(M73&lt;&gt;0,季度现金流!L74&lt;&gt;0,M73&lt;&gt;季度现金流!L74),1,0),0)</f>
        <v>0</v>
      </c>
      <c r="N75" s="9">
        <f>IF(10&lt;=核心参数输入!$B$9*4,IF(AND(N73&lt;&gt;0,季度现金流!M74&lt;&gt;0,N73&lt;&gt;季度现金流!M74),1,0),0)</f>
        <v>0</v>
      </c>
      <c r="O75" s="9">
        <f>IF(11&lt;=核心参数输入!$B$9*4,IF(AND(O73&lt;&gt;0,季度现金流!N74&lt;&gt;0,O73&lt;&gt;季度现金流!N74),1,0),0)</f>
        <v>0</v>
      </c>
      <c r="P75" s="9">
        <f>IF(12&lt;=核心参数输入!$B$9*4,IF(AND(P73&lt;&gt;0,季度现金流!O74&lt;&gt;0,P73&lt;&gt;季度现金流!O74),1,0),0)</f>
        <v>0</v>
      </c>
      <c r="Q75" s="9">
        <f>IF(13&lt;=核心参数输入!$B$9*4,IF(AND(Q73&lt;&gt;0,季度现金流!P74&lt;&gt;0,Q73&lt;&gt;季度现金流!P74),1,0),0)</f>
        <v>1</v>
      </c>
      <c r="R75" s="9">
        <f>IF(14&lt;=核心参数输入!$B$9*4,IF(AND(R73&lt;&gt;0,季度现金流!Q74&lt;&gt;0,R73&lt;&gt;季度现金流!Q74),1,0),0)</f>
        <v>0</v>
      </c>
      <c r="S75" s="9">
        <f>IF(15&lt;=核心参数输入!$B$9*4,IF(AND(S73&lt;&gt;0,季度现金流!R74&lt;&gt;0,S73&lt;&gt;季度现金流!R74),1,0),0)</f>
        <v>0</v>
      </c>
      <c r="T75" s="9">
        <f>IF(16&lt;=核心参数输入!$B$9*4,IF(AND(T73&lt;&gt;0,季度现金流!S74&lt;&gt;0,T73&lt;&gt;季度现金流!S74),1,0),0)</f>
        <v>0</v>
      </c>
      <c r="U75" s="9">
        <f>IF(17&lt;=核心参数输入!$B$9*4,IF(AND(U73&lt;&gt;0,季度现金流!T74&lt;&gt;0,U73&lt;&gt;季度现金流!T74),1,0),0)</f>
        <v>0</v>
      </c>
      <c r="V75" s="9">
        <f>IF(18&lt;=核心参数输入!$B$9*4,IF(AND(V73&lt;&gt;0,季度现金流!U74&lt;&gt;0,V73&lt;&gt;季度现金流!U74),1,0),0)</f>
        <v>0</v>
      </c>
      <c r="W75" s="9">
        <f>IF(19&lt;=核心参数输入!$B$9*4,IF(AND(W73&lt;&gt;0,季度现金流!V74&lt;&gt;0,W73&lt;&gt;季度现金流!V74),1,0),0)</f>
        <v>0</v>
      </c>
      <c r="X75" s="9">
        <f>IF(20&lt;=核心参数输入!$B$9*4,IF(AND(X73&lt;&gt;0,季度现金流!W74&lt;&gt;0,X73&lt;&gt;季度现金流!W74),1,0),0)</f>
        <v>0</v>
      </c>
      <c r="Y75" s="9">
        <f>IF(21&lt;=核心参数输入!$B$9*4,IF(AND(Y73&lt;&gt;0,季度现金流!X74&lt;&gt;0,Y73&lt;&gt;季度现金流!X74),1,0),0)</f>
        <v>0</v>
      </c>
      <c r="Z75" s="9">
        <f>IF(22&lt;=核心参数输入!$B$9*4,IF(AND(Z73&lt;&gt;0,季度现金流!Y74&lt;&gt;0,Z73&lt;&gt;季度现金流!Y74),1,0),0)</f>
        <v>0</v>
      </c>
      <c r="AA75" s="9">
        <f>IF(23&lt;=核心参数输入!$B$9*4,IF(AND(AA73&lt;&gt;0,季度现金流!Z74&lt;&gt;0,AA73&lt;&gt;季度现金流!Z74),1,0),0)</f>
        <v>0</v>
      </c>
      <c r="AB75" s="9">
        <f>IF(24&lt;=核心参数输入!$B$9*4,IF(AND(AB73&lt;&gt;0,季度现金流!AA74&lt;&gt;0,AB73&lt;&gt;季度现金流!AA74),1,0),0)</f>
        <v>0</v>
      </c>
      <c r="AC75" s="9">
        <f>IF(25&lt;=核心参数输入!$B$9*4,IF(AND(AC73&lt;&gt;0,季度现金流!AB74&lt;&gt;0,AC73&lt;&gt;季度现金流!AB74),1,0),0)</f>
        <v>0</v>
      </c>
      <c r="AD75" s="9">
        <f>IF(26&lt;=核心参数输入!$B$9*4,IF(AND(AD73&lt;&gt;0,季度现金流!AC74&lt;&gt;0,AD73&lt;&gt;季度现金流!AC74),1,0),0)</f>
        <v>0</v>
      </c>
      <c r="AE75" s="9">
        <f>IF(27&lt;=核心参数输入!$B$9*4,IF(AND(AE73&lt;&gt;0,季度现金流!AD74&lt;&gt;0,AE73&lt;&gt;季度现金流!AD74),1,0),0)</f>
        <v>0</v>
      </c>
      <c r="AF75" s="9">
        <f>IF(28&lt;=核心参数输入!$B$9*4,IF(AND(AF73&lt;&gt;0,季度现金流!AE74&lt;&gt;0,AF73&lt;&gt;季度现金流!AE74),1,0),0)</f>
        <v>0</v>
      </c>
      <c r="AG75" s="9">
        <f>IF(29&lt;=核心参数输入!$B$9*4,IF(AND(AG73&lt;&gt;0,季度现金流!AF74&lt;&gt;0,AG73&lt;&gt;季度现金流!AF74),1,0),0)</f>
        <v>0</v>
      </c>
      <c r="AH75" s="9">
        <f>IF(30&lt;=核心参数输入!$B$9*4,IF(AND(AH73&lt;&gt;0,季度现金流!AG74&lt;&gt;0,AH73&lt;&gt;季度现金流!AG74),1,0),0)</f>
        <v>0</v>
      </c>
      <c r="AI75" s="9">
        <f>IF(31&lt;=核心参数输入!$B$9*4,IF(AND(AI73&lt;&gt;0,季度现金流!AH74&lt;&gt;0,AI73&lt;&gt;季度现金流!AH74),1,0),0)</f>
        <v>0</v>
      </c>
      <c r="AJ75" s="9">
        <f>IF(32&lt;=核心参数输入!$B$9*4,IF(AND(AJ73&lt;&gt;0,季度现金流!AI74&lt;&gt;0,AJ73&lt;&gt;季度现金流!AI74),1,0),0)</f>
        <v>0</v>
      </c>
      <c r="AK75" s="9">
        <f>IF(33&lt;=核心参数输入!$B$9*4,IF(AND(AK73&lt;&gt;0,季度现金流!AJ74&lt;&gt;0,AK73&lt;&gt;季度现金流!AJ74),1,0),0)</f>
        <v>0</v>
      </c>
      <c r="AL75" s="9">
        <f>IF(34&lt;=核心参数输入!$B$9*4,IF(AND(AL73&lt;&gt;0,季度现金流!AK74&lt;&gt;0,AL73&lt;&gt;季度现金流!AK74),1,0),0)</f>
        <v>0</v>
      </c>
      <c r="AM75" s="9">
        <f>IF(35&lt;=核心参数输入!$B$9*4,IF(AND(AM73&lt;&gt;0,季度现金流!AL74&lt;&gt;0,AM73&lt;&gt;季度现金流!AL74),1,0),0)</f>
        <v>0</v>
      </c>
      <c r="AN75" s="9">
        <f>IF(36&lt;=核心参数输入!$B$9*4,IF(AND(AN73&lt;&gt;0,季度现金流!AM74&lt;&gt;0,AN73&lt;&gt;季度现金流!AM74),1,0),0)</f>
        <v>0</v>
      </c>
      <c r="AO75" s="9">
        <f>IF(37&lt;=核心参数输入!$B$9*4,IF(AND(AO73&lt;&gt;0,季度现金流!AN74&lt;&gt;0,AO73&lt;&gt;季度现金流!AN74),1,0),0)</f>
        <v>0</v>
      </c>
      <c r="AP75" s="9">
        <f>IF(38&lt;=核心参数输入!$B$9*4,IF(AND(AP73&lt;&gt;0,季度现金流!AO74&lt;&gt;0,AP73&lt;&gt;季度现金流!AO74),1,0),0)</f>
        <v>0</v>
      </c>
      <c r="AQ75" s="9">
        <f>IF(39&lt;=核心参数输入!$B$9*4,IF(AND(AQ73&lt;&gt;0,季度现金流!AP74&lt;&gt;0,AQ73&lt;&gt;季度现金流!AP74),1,0),0)</f>
        <v>0</v>
      </c>
      <c r="AR75" s="9">
        <f>IF(40&lt;=核心参数输入!$B$9*4,IF(AND(AR73&lt;&gt;0,季度现金流!AQ74&lt;&gt;0,AR73&lt;&gt;季度现金流!AQ74),1,0),0)</f>
        <v>0</v>
      </c>
      <c r="AS75" s="9">
        <f>IF(41&lt;=核心参数输入!$B$9*4,IF(AND(AS73&lt;&gt;0,季度现金流!AR74&lt;&gt;0,AS73&lt;&gt;季度现金流!AR74),1,0),0)</f>
        <v>0</v>
      </c>
      <c r="AT75" s="9">
        <f>IF(42&lt;=核心参数输入!$B$9*4,IF(AND(AT73&lt;&gt;0,季度现金流!AS74&lt;&gt;0,AT73&lt;&gt;季度现金流!AS74),1,0),0)</f>
        <v>0</v>
      </c>
      <c r="AU75" s="9">
        <f>IF(43&lt;=核心参数输入!$B$9*4,IF(AND(AU73&lt;&gt;0,季度现金流!AT74&lt;&gt;0,AU73&lt;&gt;季度现金流!AT74),1,0),0)</f>
        <v>0</v>
      </c>
      <c r="AV75" s="9">
        <f>IF(44&lt;=核心参数输入!$B$9*4,IF(AND(AV73&lt;&gt;0,季度现金流!AU74&lt;&gt;0,AV73&lt;&gt;季度现金流!AU74),1,0),0)</f>
        <v>0</v>
      </c>
      <c r="AW75" s="9">
        <f>IF(45&lt;=核心参数输入!$B$9*4,IF(AND(AW73&lt;&gt;0,季度现金流!AV74&lt;&gt;0,AW73&lt;&gt;季度现金流!AV74),1,0),0)</f>
        <v>0</v>
      </c>
      <c r="AX75" s="9">
        <f>IF(46&lt;=核心参数输入!$B$9*4,IF(AND(AX73&lt;&gt;0,季度现金流!AW74&lt;&gt;0,AX73&lt;&gt;季度现金流!AW74),1,0),0)</f>
        <v>0</v>
      </c>
      <c r="AY75" s="9">
        <f>IF(47&lt;=核心参数输入!$B$9*4,IF(AND(AY73&lt;&gt;0,季度现金流!AX74&lt;&gt;0,AY73&lt;&gt;季度现金流!AX74),1,0),0)</f>
        <v>0</v>
      </c>
      <c r="AZ75" s="9">
        <f>IF(48&lt;=核心参数输入!$B$9*4,IF(AND(AZ73&lt;&gt;0,季度现金流!AY74&lt;&gt;0,AZ73&lt;&gt;季度现金流!AY74),1,0),0)</f>
        <v>0</v>
      </c>
      <c r="BA75" s="9">
        <f>IF(49&lt;=核心参数输入!$B$9*4,IF(AND(BA73&lt;&gt;0,季度现金流!AZ74&lt;&gt;0,BA73&lt;&gt;季度现金流!AZ74),1,0),0)</f>
        <v>0</v>
      </c>
      <c r="BB75" s="9">
        <f>IF(50&lt;=核心参数输入!$B$9*4,IF(AND(BB73&lt;&gt;0,季度现金流!BA74&lt;&gt;0,BB73&lt;&gt;季度现金流!BA74),1,0),0)</f>
        <v>0</v>
      </c>
      <c r="BC75" s="9">
        <f>IF(51&lt;=核心参数输入!$B$9*4,IF(AND(BC73&lt;&gt;0,季度现金流!BB74&lt;&gt;0,BC73&lt;&gt;季度现金流!BB74),1,0),0)</f>
        <v>0</v>
      </c>
      <c r="BD75" s="9">
        <f>IF(52&lt;=核心参数输入!$B$9*4,IF(AND(BD73&lt;&gt;0,季度现金流!BC74&lt;&gt;0,BD73&lt;&gt;季度现金流!BC74),1,0),0)</f>
        <v>0</v>
      </c>
      <c r="BE75" s="9">
        <f>IF(53&lt;=核心参数输入!$B$9*4,IF(AND(BE73&lt;&gt;0,季度现金流!BD74&lt;&gt;0,BE73&lt;&gt;季度现金流!BD74),1,0),0)</f>
        <v>0</v>
      </c>
      <c r="BF75" s="9">
        <f>IF(54&lt;=核心参数输入!$B$9*4,IF(AND(BF73&lt;&gt;0,季度现金流!BE74&lt;&gt;0,BF73&lt;&gt;季度现金流!BE74),1,0),0)</f>
        <v>0</v>
      </c>
      <c r="BG75" s="9">
        <f>IF(55&lt;=核心参数输入!$B$9*4,IF(AND(BG73&lt;&gt;0,季度现金流!BF74&lt;&gt;0,BG73&lt;&gt;季度现金流!BF74),1,0),0)</f>
        <v>0</v>
      </c>
      <c r="BH75" s="9">
        <f>IF(56&lt;=核心参数输入!$B$9*4,IF(AND(BH73&lt;&gt;0,季度现金流!BG74&lt;&gt;0,BH73&lt;&gt;季度现金流!BG74),1,0),0)</f>
        <v>0</v>
      </c>
      <c r="BI75" s="9">
        <f>IF(57&lt;=核心参数输入!$B$9*4,IF(AND(BI73&lt;&gt;0,季度现金流!BH74&lt;&gt;0,BI73&lt;&gt;季度现金流!BH74),1,0),0)</f>
        <v>0</v>
      </c>
      <c r="BJ75" s="9">
        <f>IF(58&lt;=核心参数输入!$B$9*4,IF(AND(BJ73&lt;&gt;0,季度现金流!BI74&lt;&gt;0,BJ73&lt;&gt;季度现金流!BI74),1,0),0)</f>
        <v>0</v>
      </c>
      <c r="BK75" s="9">
        <f>IF(59&lt;=核心参数输入!$B$9*4,IF(AND(BK73&lt;&gt;0,季度现金流!BJ74&lt;&gt;0,BK73&lt;&gt;季度现金流!BJ74),1,0),0)</f>
        <v>0</v>
      </c>
      <c r="BL75" s="9">
        <f>IF(60&lt;=核心参数输入!$B$9*4,IF(AND(BL73&lt;&gt;0,季度现金流!BK74&lt;&gt;0,BL73&lt;&gt;季度现金流!BK74),1,0),0)</f>
        <v>0</v>
      </c>
      <c r="BM75" s="9">
        <f>IF(61&lt;=核心参数输入!$B$9*4,IF(AND(BM73&lt;&gt;0,季度现金流!BL74&lt;&gt;0,BM73&lt;&gt;季度现金流!BL74),1,0),0)</f>
        <v>0</v>
      </c>
      <c r="BN75" s="9">
        <f>IF(62&lt;=核心参数输入!$B$9*4,IF(AND(BN73&lt;&gt;0,季度现金流!BM74&lt;&gt;0,BN73&lt;&gt;季度现金流!BM74),1,0),0)</f>
        <v>0</v>
      </c>
      <c r="BO75" s="9">
        <f>IF(63&lt;=核心参数输入!$B$9*4,IF(AND(BO73&lt;&gt;0,季度现金流!BN74&lt;&gt;0,BO73&lt;&gt;季度现金流!BN74),1,0),0)</f>
        <v>0</v>
      </c>
      <c r="BP75" s="9">
        <f>IF(64&lt;=核心参数输入!$B$9*4,IF(AND(BP73&lt;&gt;0,季度现金流!BO74&lt;&gt;0,BP73&lt;&gt;季度现金流!BO74),1,0),0)</f>
        <v>0</v>
      </c>
      <c r="BQ75" s="9">
        <f>IF(65&lt;=核心参数输入!$B$9*4,IF(AND(BQ73&lt;&gt;0,季度现金流!BP74&lt;&gt;0,BQ73&lt;&gt;季度现金流!BP74),1,0),0)</f>
        <v>0</v>
      </c>
      <c r="BR75" s="9">
        <f>IF(66&lt;=核心参数输入!$B$9*4,IF(AND(BR73&lt;&gt;0,季度现金流!BQ74&lt;&gt;0,BR73&lt;&gt;季度现金流!BQ74),1,0),0)</f>
        <v>0</v>
      </c>
      <c r="BS75" s="9">
        <f>IF(67&lt;=核心参数输入!$B$9*4,IF(AND(BS73&lt;&gt;0,季度现金流!BR74&lt;&gt;0,BS73&lt;&gt;季度现金流!BR74),1,0),0)</f>
        <v>0</v>
      </c>
      <c r="BT75" s="9">
        <f>IF(68&lt;=核心参数输入!$B$9*4,IF(AND(BT73&lt;&gt;0,季度现金流!BS74&lt;&gt;0,BT73&lt;&gt;季度现金流!BS74),1,0),0)</f>
        <v>0</v>
      </c>
      <c r="BU75" s="9">
        <f>IF(69&lt;=核心参数输入!$B$9*4,IF(AND(BU73&lt;&gt;0,季度现金流!BT74&lt;&gt;0,BU73&lt;&gt;季度现金流!BT74),1,0),0)</f>
        <v>0</v>
      </c>
      <c r="BV75" s="9">
        <f>IF(70&lt;=核心参数输入!$B$9*4,IF(AND(BV73&lt;&gt;0,季度现金流!BU74&lt;&gt;0,BV73&lt;&gt;季度现金流!BU74),1,0),0)</f>
        <v>0</v>
      </c>
      <c r="BW75" s="9">
        <f>IF(71&lt;=核心参数输入!$B$9*4,IF(AND(BW73&lt;&gt;0,季度现金流!BV74&lt;&gt;0,BW73&lt;&gt;季度现金流!BV74),1,0),0)</f>
        <v>0</v>
      </c>
      <c r="BX75" s="9">
        <f>IF(72&lt;=核心参数输入!$B$9*4,IF(AND(BX73&lt;&gt;0,季度现金流!BW74&lt;&gt;0,BX73&lt;&gt;季度现金流!BW74),1,0),0)</f>
        <v>0</v>
      </c>
      <c r="BY75" s="9">
        <f>IF(73&lt;=核心参数输入!$B$9*4,IF(AND(BY73&lt;&gt;0,季度现金流!BX74&lt;&gt;0,BY73&lt;&gt;季度现金流!BX74),1,0),0)</f>
        <v>0</v>
      </c>
      <c r="BZ75" s="9">
        <f>IF(74&lt;=核心参数输入!$B$9*4,IF(AND(BZ73&lt;&gt;0,季度现金流!BY74&lt;&gt;0,BZ73&lt;&gt;季度现金流!BY74),1,0),0)</f>
        <v>0</v>
      </c>
      <c r="CA75" s="9">
        <f>IF(75&lt;=核心参数输入!$B$9*4,IF(AND(CA73&lt;&gt;0,季度现金流!BZ74&lt;&gt;0,CA73&lt;&gt;季度现金流!BZ74),1,0),0)</f>
        <v>0</v>
      </c>
      <c r="CB75" s="9">
        <f>IF(76&lt;=核心参数输入!$B$9*4,IF(AND(CB73&lt;&gt;0,季度现金流!CA74&lt;&gt;0,CB73&lt;&gt;季度现金流!CA74),1,0),0)</f>
        <v>0</v>
      </c>
      <c r="CC75" s="9">
        <f>IF(77&lt;=核心参数输入!$B$9*4,IF(AND(CC73&lt;&gt;0,季度现金流!CB74&lt;&gt;0,CC73&lt;&gt;季度现金流!CB74),1,0),0)</f>
        <v>0</v>
      </c>
      <c r="CD75" s="9">
        <f>IF(78&lt;=核心参数输入!$B$9*4,IF(AND(CD73&lt;&gt;0,季度现金流!CC74&lt;&gt;0,CD73&lt;&gt;季度现金流!CC74),1,0),0)</f>
        <v>0</v>
      </c>
      <c r="CE75" s="9">
        <f>IF(79&lt;=核心参数输入!$B$9*4,IF(AND(CE73&lt;&gt;0,季度现金流!CD74&lt;&gt;0,CE73&lt;&gt;季度现金流!CD74),1,0),0)</f>
        <v>0</v>
      </c>
      <c r="CF75" s="9">
        <f>IF(80&lt;=核心参数输入!$B$9*4,IF(AND(CF73&lt;&gt;0,季度现金流!CE74&lt;&gt;0,CF73&lt;&gt;季度现金流!CE74),1,0),0)</f>
        <v>0</v>
      </c>
      <c r="CG75" s="9">
        <f>IF(81&lt;=核心参数输入!$B$9*4,IF(AND(CG73&lt;&gt;0,季度现金流!CF74&lt;&gt;0,CG73&lt;&gt;季度现金流!CF74),1,0),0)</f>
        <v>0</v>
      </c>
      <c r="CH75" s="9">
        <f>IF(82&lt;=核心参数输入!$B$9*4,IF(AND(CH73&lt;&gt;0,季度现金流!CG74&lt;&gt;0,CH73&lt;&gt;季度现金流!CG74),1,0),0)</f>
        <v>0</v>
      </c>
      <c r="CI75" s="9">
        <f>IF(83&lt;=核心参数输入!$B$9*4,IF(AND(CI73&lt;&gt;0,季度现金流!CH74&lt;&gt;0,CI73&lt;&gt;季度现金流!CH74),1,0),0)</f>
        <v>0</v>
      </c>
      <c r="CJ75" s="9">
        <f>IF(84&lt;=核心参数输入!$B$9*4,IF(AND(CJ73&lt;&gt;0,季度现金流!CI74&lt;&gt;0,CJ73&lt;&gt;季度现金流!CI74),1,0),0)</f>
        <v>0</v>
      </c>
      <c r="CK75" s="9">
        <f>IF(85&lt;=核心参数输入!$B$9*4,IF(AND(CK73&lt;&gt;0,季度现金流!CJ74&lt;&gt;0,CK73&lt;&gt;季度现金流!CJ74),1,0),0)</f>
        <v>0</v>
      </c>
      <c r="CL75" s="9">
        <f>IF(86&lt;=核心参数输入!$B$9*4,IF(AND(CL73&lt;&gt;0,季度现金流!CK74&lt;&gt;0,CL73&lt;&gt;季度现金流!CK74),1,0),0)</f>
        <v>0</v>
      </c>
      <c r="CM75" s="9">
        <f>IF(87&lt;=核心参数输入!$B$9*4,IF(AND(CM73&lt;&gt;0,季度现金流!CL74&lt;&gt;0,CM73&lt;&gt;季度现金流!CL74),1,0),0)</f>
        <v>0</v>
      </c>
      <c r="CN75" s="9">
        <f>IF(88&lt;=核心参数输入!$B$9*4,IF(AND(CN73&lt;&gt;0,季度现金流!CM74&lt;&gt;0,CN73&lt;&gt;季度现金流!CM74),1,0),0)</f>
        <v>0</v>
      </c>
      <c r="CO75" s="9">
        <f>IF(89&lt;=核心参数输入!$B$9*4,IF(AND(CO73&lt;&gt;0,季度现金流!CN74&lt;&gt;0,CO73&lt;&gt;季度现金流!CN74),1,0),0)</f>
        <v>0</v>
      </c>
      <c r="CP75" s="9">
        <f>IF(90&lt;=核心参数输入!$B$9*4,IF(AND(CP73&lt;&gt;0,季度现金流!CO74&lt;&gt;0,CP73&lt;&gt;季度现金流!CO74),1,0),0)</f>
        <v>0</v>
      </c>
      <c r="CQ75" s="9">
        <f>IF(91&lt;=核心参数输入!$B$9*4,IF(AND(CQ73&lt;&gt;0,季度现金流!CP74&lt;&gt;0,CQ73&lt;&gt;季度现金流!CP74),1,0),0)</f>
        <v>0</v>
      </c>
      <c r="CR75" s="9">
        <f>IF(92&lt;=核心参数输入!$B$9*4,IF(AND(CR73&lt;&gt;0,季度现金流!CQ74&lt;&gt;0,CR73&lt;&gt;季度现金流!CQ74),1,0),0)</f>
        <v>0</v>
      </c>
      <c r="CS75" s="9">
        <f>IF(93&lt;=核心参数输入!$B$9*4,IF(AND(CS73&lt;&gt;0,季度现金流!CR74&lt;&gt;0,CS73&lt;&gt;季度现金流!CR74),1,0),0)</f>
        <v>0</v>
      </c>
      <c r="CT75" s="9">
        <f>IF(94&lt;=核心参数输入!$B$9*4,IF(AND(CT73&lt;&gt;0,季度现金流!CS74&lt;&gt;0,CT73&lt;&gt;季度现金流!CS74),1,0),0)</f>
        <v>0</v>
      </c>
      <c r="CU75" s="9">
        <f>IF(95&lt;=核心参数输入!$B$9*4,IF(AND(CU73&lt;&gt;0,季度现金流!CT74&lt;&gt;0,CU73&lt;&gt;季度现金流!CT74),1,0),0)</f>
        <v>0</v>
      </c>
      <c r="CV75" s="9">
        <f>IF(96&lt;=核心参数输入!$B$9*4,IF(AND(CV73&lt;&gt;0,季度现金流!CU74&lt;&gt;0,CV73&lt;&gt;季度现金流!CU74),1,0),0)</f>
        <v>0</v>
      </c>
      <c r="CW75" s="9">
        <f>IF(97&lt;=核心参数输入!$B$9*4,IF(AND(CW73&lt;&gt;0,季度现金流!CV74&lt;&gt;0,CW73&lt;&gt;季度现金流!CV74),1,0),0)</f>
        <v>0</v>
      </c>
      <c r="CX75" s="9">
        <f>IF(98&lt;=核心参数输入!$B$9*4,IF(AND(CX73&lt;&gt;0,季度现金流!CW74&lt;&gt;0,CX73&lt;&gt;季度现金流!CW74),1,0),0)</f>
        <v>0</v>
      </c>
      <c r="CY75" s="9">
        <f>IF(99&lt;=核心参数输入!$B$9*4,IF(AND(CY73&lt;&gt;0,季度现金流!CX74&lt;&gt;0,CY73&lt;&gt;季度现金流!CX74),1,0),0)</f>
        <v>0</v>
      </c>
      <c r="CZ75" s="9">
        <f>IF(100&lt;=核心参数输入!$B$9*4,IF(AND(CZ73&lt;&gt;0,季度现金流!CY74&lt;&gt;0,CZ73&lt;&gt;季度现金流!CY74),1,0),0)</f>
        <v>0</v>
      </c>
      <c r="DA75" s="9">
        <f>IF(101&lt;=核心参数输入!$B$9*4,IF(AND(DA73&lt;&gt;0,季度现金流!CZ74&lt;&gt;0,DA73&lt;&gt;季度现金流!CZ74),1,0),0)</f>
        <v>0</v>
      </c>
      <c r="DB75" s="9">
        <f>IF(102&lt;=核心参数输入!$B$9*4,IF(AND(DB73&lt;&gt;0,季度现金流!DA74&lt;&gt;0,DB73&lt;&gt;季度现金流!DA74),1,0),0)</f>
        <v>0</v>
      </c>
      <c r="DC75" s="9">
        <f>IF(103&lt;=核心参数输入!$B$9*4,IF(AND(DC73&lt;&gt;0,季度现金流!DB74&lt;&gt;0,DC73&lt;&gt;季度现金流!DB74),1,0),0)</f>
        <v>0</v>
      </c>
      <c r="DD75" s="9">
        <f>IF(104&lt;=核心参数输入!$B$9*4,IF(AND(DD73&lt;&gt;0,季度现金流!DC74&lt;&gt;0,DD73&lt;&gt;季度现金流!DC74),1,0),0)</f>
        <v>0</v>
      </c>
      <c r="DE75" s="9">
        <f>IF(105&lt;=核心参数输入!$B$9*4,IF(AND(DE73&lt;&gt;0,季度现金流!DD74&lt;&gt;0,DE73&lt;&gt;季度现金流!DD74),1,0),0)</f>
        <v>0</v>
      </c>
      <c r="DF75" s="9">
        <f>IF(106&lt;=核心参数输入!$B$9*4,IF(AND(DF73&lt;&gt;0,季度现金流!DE74&lt;&gt;0,DF73&lt;&gt;季度现金流!DE74),1,0),0)</f>
        <v>0</v>
      </c>
      <c r="DG75" s="9">
        <f>IF(107&lt;=核心参数输入!$B$9*4,IF(AND(DG73&lt;&gt;0,季度现金流!DF74&lt;&gt;0,DG73&lt;&gt;季度现金流!DF74),1,0),0)</f>
        <v>0</v>
      </c>
      <c r="DH75" s="9">
        <f>IF(108&lt;=核心参数输入!$B$9*4,IF(AND(DH73&lt;&gt;0,季度现金流!DG74&lt;&gt;0,DH73&lt;&gt;季度现金流!DG74),1,0),0)</f>
        <v>0</v>
      </c>
      <c r="DI75" s="9">
        <f>IF(109&lt;=核心参数输入!$B$9*4,IF(AND(DI73&lt;&gt;0,季度现金流!DH74&lt;&gt;0,DI73&lt;&gt;季度现金流!DH74),1,0),0)</f>
        <v>0</v>
      </c>
      <c r="DJ75" s="9">
        <f>IF(110&lt;=核心参数输入!$B$9*4,IF(AND(DJ73&lt;&gt;0,季度现金流!DI74&lt;&gt;0,DJ73&lt;&gt;季度现金流!DI74),1,0),0)</f>
        <v>0</v>
      </c>
      <c r="DK75" s="9">
        <f>IF(111&lt;=核心参数输入!$B$9*4,IF(AND(DK73&lt;&gt;0,季度现金流!DJ74&lt;&gt;0,DK73&lt;&gt;季度现金流!DJ74),1,0),0)</f>
        <v>0</v>
      </c>
      <c r="DL75" s="9">
        <f>IF(112&lt;=核心参数输入!$B$9*4,IF(AND(DL73&lt;&gt;0,季度现金流!DK74&lt;&gt;0,DL73&lt;&gt;季度现金流!DK74),1,0),0)</f>
        <v>0</v>
      </c>
      <c r="DM75" s="9">
        <f>IF(113&lt;=核心参数输入!$B$9*4,IF(AND(DM73&lt;&gt;0,季度现金流!DL74&lt;&gt;0,DM73&lt;&gt;季度现金流!DL74),1,0),0)</f>
        <v>0</v>
      </c>
      <c r="DN75" s="9">
        <f>IF(114&lt;=核心参数输入!$B$9*4,IF(AND(DN73&lt;&gt;0,季度现金流!DM74&lt;&gt;0,DN73&lt;&gt;季度现金流!DM74),1,0),0)</f>
        <v>0</v>
      </c>
      <c r="DO75" s="9">
        <f>IF(115&lt;=核心参数输入!$B$9*4,IF(AND(DO73&lt;&gt;0,季度现金流!DN74&lt;&gt;0,DO73&lt;&gt;季度现金流!DN74),1,0),0)</f>
        <v>0</v>
      </c>
      <c r="DP75" s="9">
        <f>IF(116&lt;=核心参数输入!$B$9*4,IF(AND(DP73&lt;&gt;0,季度现金流!DO74&lt;&gt;0,DP73&lt;&gt;季度现金流!DO74),1,0),0)</f>
        <v>0</v>
      </c>
      <c r="DQ75" s="9">
        <f>IF(117&lt;=核心参数输入!$B$9*4,IF(AND(DQ73&lt;&gt;0,季度现金流!DP74&lt;&gt;0,DQ73&lt;&gt;季度现金流!DP74),1,0),0)</f>
        <v>0</v>
      </c>
      <c r="DR75" s="9">
        <f>IF(118&lt;=核心参数输入!$B$9*4,IF(AND(DR73&lt;&gt;0,季度现金流!DQ74&lt;&gt;0,DR73&lt;&gt;季度现金流!DQ74),1,0),0)</f>
        <v>0</v>
      </c>
      <c r="DS75" s="9">
        <f>IF(119&lt;=核心参数输入!$B$9*4,IF(AND(DS73&lt;&gt;0,季度现金流!DR74&lt;&gt;0,DS73&lt;&gt;季度现金流!DR74),1,0),0)</f>
        <v>0</v>
      </c>
      <c r="DT75" s="9">
        <f>IF(120&lt;=核心参数输入!$B$9*4,IF(AND(DT73&lt;&gt;0,季度现金流!DS74&lt;&gt;0,DT73&lt;&gt;季度现金流!DS74),1,0),0)</f>
        <v>0</v>
      </c>
    </row>
    <row r="76" spans="1:124" ht="21" customHeight="1">
      <c r="A76" s="8" t="s">
        <v>567</v>
      </c>
      <c r="B76" s="8" t="s">
        <v>39</v>
      </c>
      <c r="C76" s="8"/>
      <c r="D76" s="9">
        <f>IF(0&lt;=核心参数输入!$B$9*4,0+D46-D12+D14,0)</f>
        <v>-8000</v>
      </c>
      <c r="E76" s="9">
        <f>IF(1&lt;=核心参数输入!$B$9*4,季度现金流!D76+E46-E12+E14,0)</f>
        <v>-11980.8125</v>
      </c>
      <c r="F76" s="9">
        <f>IF(2&lt;=核心参数输入!$B$9*4,季度现金流!E76+F46-F12+F14,0)</f>
        <v>-15985.25</v>
      </c>
      <c r="G76" s="9">
        <f>IF(3&lt;=核心参数输入!$B$9*4,季度现金流!F76+G46-G12+G14,0)</f>
        <v>-20013.3125</v>
      </c>
      <c r="H76" s="9">
        <f>IF(4&lt;=核心参数输入!$B$9*4,季度现金流!G76+H46-H12+H14,0)</f>
        <v>-24065</v>
      </c>
      <c r="I76" s="9">
        <f>IF(5&lt;=核心参数输入!$B$9*4,季度现金流!H76+I46-I12+I14,0)</f>
        <v>-29467.25</v>
      </c>
      <c r="J76" s="9">
        <f>IF(6&lt;=核心参数输入!$B$9*4,季度现金流!I76+J46-J12+J14,0)</f>
        <v>-34901</v>
      </c>
      <c r="K76" s="9">
        <f>IF(7&lt;=核心参数输入!$B$9*4,季度现金流!J76+K46-K12+K14,0)</f>
        <v>-40366.25</v>
      </c>
      <c r="L76" s="9">
        <f>IF(8&lt;=核心参数输入!$B$9*4,季度现金流!K76+L46-L12+L14,0)</f>
        <v>-45863</v>
      </c>
      <c r="M76" s="9">
        <f>IF(9&lt;=核心参数输入!$B$9*4,季度现金流!L76+M46-M12+M14,0)</f>
        <v>-50064.3125</v>
      </c>
      <c r="N76" s="9">
        <f>IF(10&lt;=核心参数输入!$B$9*4,季度现金流!M76+N46-N12+N14,0)</f>
        <v>-54289.25</v>
      </c>
      <c r="O76" s="9">
        <f>IF(11&lt;=核心参数输入!$B$9*4,季度现金流!N76+O46-O12+O14,0)</f>
        <v>-58537.8125</v>
      </c>
      <c r="P76" s="9">
        <f>IF(12&lt;=核心参数输入!$B$9*4,季度现金流!O76+P46-P12+P14,0)</f>
        <v>-62810</v>
      </c>
      <c r="Q76" s="9">
        <f>IF(13&lt;=核心参数输入!$B$9*4,季度现金流!P76+Q46-Q12+Q14,0)</f>
        <v>-61591.285937499997</v>
      </c>
      <c r="R76" s="9">
        <f>IF(14&lt;=核心参数输入!$B$9*4,季度现金流!Q76+R46-R12+R14,0)</f>
        <v>-58761.712091687499</v>
      </c>
      <c r="S76" s="9">
        <f>IF(15&lt;=核心参数输入!$B$9*4,季度现金流!R76+S46-S12+S14,0)</f>
        <v>-55882.231179249997</v>
      </c>
      <c r="T76" s="9">
        <f>IF(16&lt;=核心参数输入!$B$9*4,季度现金流!S76+T46-T12+T14,0)</f>
        <v>-52992.560837640624</v>
      </c>
      <c r="U76" s="9">
        <f>IF(17&lt;=核心参数输入!$B$9*4,季度现金流!T76+U46-U12+U14,0)</f>
        <v>-49249.240983455311</v>
      </c>
      <c r="V76" s="9">
        <f>IF(18&lt;=核心参数输入!$B$9*4,季度现金流!U76+V46-V12+V14,0)</f>
        <v>-45108.493408432936</v>
      </c>
      <c r="W76" s="9">
        <f>IF(19&lt;=核心参数输入!$B$9*4,季度现金流!V76+W46-W12+W14,0)</f>
        <v>-40947.483564360809</v>
      </c>
      <c r="X76" s="9">
        <f>IF(20&lt;=核心参数输入!$B$9*4,季度现金流!W76+X46-X12+X14,0)</f>
        <v>-37228.605360339359</v>
      </c>
      <c r="Y76" s="9">
        <f>IF(21&lt;=核心参数输入!$B$9*4,季度现金流!X76+Y46-Y12+Y14,0)</f>
        <v>-33697.402556185159</v>
      </c>
      <c r="Z76" s="9">
        <f>IF(22&lt;=核心参数输入!$B$9*4,季度现金流!Y76+Z46-Z12+Z14,0)</f>
        <v>-30510.173074331149</v>
      </c>
      <c r="AA76" s="9">
        <f>IF(23&lt;=核心参数输入!$B$9*4,季度现金流!Z76+AA46-AA12+AA14,0)</f>
        <v>-27307.51894016302</v>
      </c>
      <c r="AB76" s="9">
        <f>IF(24&lt;=核心参数输入!$B$9*4,季度现金流!AA76+AB46-AB12+AB14,0)</f>
        <v>-24462.691142845415</v>
      </c>
      <c r="AC76" s="9">
        <f>IF(25&lt;=核心参数输入!$B$9*4,季度现金流!AB76+AC46-AC12+AC14,0)</f>
        <v>-23334.333669654596</v>
      </c>
      <c r="AD76" s="9">
        <f>IF(26&lt;=核心参数输入!$B$9*4,季度现金流!AC76+AD46-AD12+AD14,0)</f>
        <v>-23281.445098397886</v>
      </c>
      <c r="AE76" s="9">
        <f>IF(27&lt;=核心参数输入!$B$9*4,季度现金流!AD76+AE46-AE12+AE14,0)</f>
        <v>-23223.337853108231</v>
      </c>
      <c r="AF76" s="9">
        <f>IF(28&lt;=核心参数输入!$B$9*4,季度现金流!AE76+AF46-AF12+AF14,0)</f>
        <v>-23137.51193378563</v>
      </c>
      <c r="AG76" s="9">
        <f>IF(29&lt;=核心参数输入!$B$9*4,季度现金流!AF76+AG46-AG12+AG14,0)</f>
        <v>-23019.962124529753</v>
      </c>
      <c r="AH76" s="9">
        <f>IF(30&lt;=核心参数输入!$B$9*4,季度现金流!AG76+AH46-AH12+AH14,0)</f>
        <v>-22899.763838202158</v>
      </c>
      <c r="AI76" s="9">
        <f>IF(31&lt;=核心参数输入!$B$9*4,季度现金流!AH76+AI46-AI12+AI14,0)</f>
        <v>-22779.565551874563</v>
      </c>
      <c r="AJ76" s="9">
        <f>IF(32&lt;=核心参数输入!$B$9*4,季度现金流!AI76+AJ46-AJ12+AJ14,0)</f>
        <v>-22636.867265546967</v>
      </c>
      <c r="AK76" s="9">
        <f>IF(33&lt;=核心参数输入!$B$9*4,季度现金流!AJ76+AK46-AK12+AK14,0)</f>
        <v>-22467.571916984456</v>
      </c>
      <c r="AL76" s="9">
        <f>IF(34&lt;=核心参数输入!$B$9*4,季度现金流!AK76+AL46-AL12+AL14,0)</f>
        <v>-22298.276568421945</v>
      </c>
      <c r="AM76" s="9">
        <f>IF(35&lt;=核心参数输入!$B$9*4,季度现金流!AL76+AM46-AM12+AM14,0)</f>
        <v>-22128.981219859434</v>
      </c>
      <c r="AN76" s="9">
        <f>IF(36&lt;=核心参数输入!$B$9*4,季度现金流!AM76+AN46-AN12+AN14,0)</f>
        <v>-21937.185871296922</v>
      </c>
      <c r="AO76" s="9">
        <f>IF(37&lt;=核心参数输入!$B$9*4,季度现金流!AN76+AO46-AO12+AO14,0)</f>
        <v>-21718.740122807176</v>
      </c>
      <c r="AP76" s="9">
        <f>IF(38&lt;=核心参数输入!$B$9*4,季度现金流!AO76+AP46-AP12+AP14,0)</f>
        <v>-21500.294374317429</v>
      </c>
      <c r="AQ76" s="9">
        <f>IF(39&lt;=核心参数输入!$B$9*4,季度现金流!AP76+AQ46-AQ12+AQ14,0)</f>
        <v>-21281.848625827683</v>
      </c>
      <c r="AR76" s="9">
        <f>IF(40&lt;=核心参数输入!$B$9*4,季度现金流!AQ76+AR46-AR12+AR14,0)</f>
        <v>-21040.902877337936</v>
      </c>
      <c r="AS76" s="9">
        <f>IF(41&lt;=核心参数输入!$B$9*4,季度现金流!AR76+AS46-AS12+AS14,0)</f>
        <v>-20773.252753528064</v>
      </c>
      <c r="AT76" s="9">
        <f>IF(42&lt;=核心参数输入!$B$9*4,季度现金流!AS76+AT46-AT12+AT14,0)</f>
        <v>-20505.602629718192</v>
      </c>
      <c r="AU76" s="9">
        <f>IF(43&lt;=核心参数输入!$B$9*4,季度现金流!AT76+AU46-AU12+AU14,0)</f>
        <v>-20237.952505908321</v>
      </c>
      <c r="AV76" s="9">
        <f>IF(44&lt;=核心参数输入!$B$9*4,季度现金流!AU76+AV46-AV12+AV14,0)</f>
        <v>-19970.302382098449</v>
      </c>
      <c r="AW76" s="9">
        <f>IF(45&lt;=核心参数输入!$B$9*4,季度现金流!AV76+AW46-AW12+AW14,0)</f>
        <v>-19698.393263556798</v>
      </c>
      <c r="AX76" s="9">
        <f>IF(46&lt;=核心参数输入!$B$9*4,季度现金流!AW76+AX46-AX12+AX14,0)</f>
        <v>-19426.484145015147</v>
      </c>
      <c r="AY76" s="9">
        <f>IF(47&lt;=核心参数输入!$B$9*4,季度现金流!AX76+AY46-AY12+AY14,0)</f>
        <v>-19154.575026473496</v>
      </c>
      <c r="AZ76" s="9">
        <f>IF(48&lt;=核心参数输入!$B$9*4,季度现金流!AY76+AZ46-AZ12+AZ14,0)</f>
        <v>-18882.665907931845</v>
      </c>
      <c r="BA76" s="9">
        <f>IF(49&lt;=核心参数输入!$B$9*4,季度现金流!AZ76+BA46-BA12+BA14,0)</f>
        <v>-18606.442524879945</v>
      </c>
      <c r="BB76" s="9">
        <f>IF(50&lt;=核心参数输入!$B$9*4,季度现金流!BA76+BB46-BB12+BB14,0)</f>
        <v>-18330.219141828045</v>
      </c>
      <c r="BC76" s="9">
        <f>IF(51&lt;=核心参数输入!$B$9*4,季度现金流!BB76+BC46-BC12+BC14,0)</f>
        <v>-18053.995758776146</v>
      </c>
      <c r="BD76" s="9">
        <f>IF(52&lt;=核心参数输入!$B$9*4,季度现金流!BC76+BD46-BD12+BD14,0)</f>
        <v>-17777.772375724246</v>
      </c>
      <c r="BE76" s="9">
        <f>IF(53&lt;=核心参数输入!$B$9*4,季度现金流!BD76+BE46-BE12+BE14,0)</f>
        <v>-17497.178801639802</v>
      </c>
      <c r="BF76" s="9">
        <f>IF(54&lt;=核心参数输入!$B$9*4,季度现金流!BE76+BF46-BF12+BF14,0)</f>
        <v>-17216.585227555359</v>
      </c>
      <c r="BG76" s="9">
        <f>IF(55&lt;=核心参数输入!$B$9*4,季度现金流!BF76+BG46-BG12+BG14,0)</f>
        <v>-16935.991653470915</v>
      </c>
      <c r="BH76" s="9">
        <f>IF(56&lt;=核心参数输入!$B$9*4,季度现金流!BG76+BH46-BH12+BH14,0)</f>
        <v>-16684.390752033425</v>
      </c>
      <c r="BI76" s="9">
        <f>IF(57&lt;=核心参数输入!$B$9*4,季度现金流!BH76+BI46-BI12+BI14,0)</f>
        <v>-16399.370397245213</v>
      </c>
      <c r="BJ76" s="9">
        <f>IF(58&lt;=核心参数输入!$B$9*4,季度现金流!BI76+BJ46-BJ12+BJ14,0)</f>
        <v>-16114.350042457001</v>
      </c>
      <c r="BK76" s="9">
        <f>IF(59&lt;=核心参数输入!$B$9*4,季度现金流!BJ76+BK46-BK12+BK14,0)</f>
        <v>-15829.329687668789</v>
      </c>
      <c r="BL76" s="9">
        <f>IF(60&lt;=核心参数输入!$B$9*4,季度现金流!BK76+BL46-BL12+BL14,0)</f>
        <v>-15616.06906266879</v>
      </c>
      <c r="BM76" s="9">
        <f>IF(61&lt;=核心参数输入!$B$9*4,季度现金流!BL76+BM46-BM12+BM14,0)</f>
        <v>-15326.564667924404</v>
      </c>
      <c r="BN76" s="9">
        <f>IF(62&lt;=核心参数输入!$B$9*4,季度现金流!BM76+BN46-BN12+BN14,0)</f>
        <v>-15037.060273180017</v>
      </c>
      <c r="BO76" s="9">
        <f>IF(63&lt;=核心参数输入!$B$9*4,季度现金流!BN76+BO46-BO12+BO14,0)</f>
        <v>-14747.555878435631</v>
      </c>
      <c r="BP76" s="9">
        <f>IF(64&lt;=核心参数输入!$B$9*4,季度现金流!BO76+BP46-BP12+BP14,0)</f>
        <v>-14534.29525343563</v>
      </c>
      <c r="BQ76" s="9">
        <f>IF(65&lt;=核心参数输入!$B$9*4,季度现金流!BP76+BQ46-BQ12+BQ14,0)</f>
        <v>-14240.248883443039</v>
      </c>
      <c r="BR76" s="9">
        <f>IF(66&lt;=核心参数输入!$B$9*4,季度现金流!BQ76+BR46-BR12+BR14,0)</f>
        <v>-13946.202513450447</v>
      </c>
      <c r="BS76" s="9">
        <f>IF(67&lt;=核心参数输入!$B$9*4,季度现金流!BR76+BS46-BS12+BS14,0)</f>
        <v>-13652.156143457856</v>
      </c>
      <c r="BT76" s="9">
        <f>IF(68&lt;=核心参数输入!$B$9*4,季度现金流!BS76+BT46-BT12+BT14,0)</f>
        <v>-13438.895518457855</v>
      </c>
      <c r="BU76" s="9">
        <f>IF(69&lt;=核心参数输入!$B$9*4,季度现金流!BT76+BU46-BU12+BU14,0)</f>
        <v>-13140.248555401795</v>
      </c>
      <c r="BV76" s="9">
        <f>IF(70&lt;=核心参数输入!$B$9*4,季度现金流!BU76+BV46-BV12+BV14,0)</f>
        <v>-12841.601592345734</v>
      </c>
      <c r="BW76" s="9">
        <f>IF(71&lt;=核心参数输入!$B$9*4,季度现金流!BV76+BW46-BW12+BW14,0)</f>
        <v>-12542.954629289674</v>
      </c>
      <c r="BX76" s="9">
        <f>IF(72&lt;=核心参数输入!$B$9*4,季度现金流!BW76+BX46-BX12+BX14,0)</f>
        <v>-12329.694004289673</v>
      </c>
      <c r="BY76" s="9">
        <f>IF(73&lt;=核心参数输入!$B$9*4,季度现金流!BX76+BY46-BY12+BY14,0)</f>
        <v>-12026.387141323919</v>
      </c>
      <c r="BZ76" s="9">
        <f>IF(74&lt;=核心参数输入!$B$9*4,季度现金流!BY76+BZ46-BZ12+BZ14,0)</f>
        <v>-11723.080278358166</v>
      </c>
      <c r="CA76" s="9">
        <f>IF(75&lt;=核心参数输入!$B$9*4,季度现金流!BZ76+CA46-CA12+CA14,0)</f>
        <v>-11419.773415392412</v>
      </c>
      <c r="CB76" s="9">
        <f>IF(76&lt;=核心参数输入!$B$9*4,季度现金流!CA76+CB46-CB12+CB14,0)</f>
        <v>-11206.512790392411</v>
      </c>
      <c r="CC76" s="9">
        <f>IF(77&lt;=核心参数输入!$B$9*4,季度现金流!CB76+CC46-CC12+CC14,0)</f>
        <v>-10898.486025109043</v>
      </c>
      <c r="CD76" s="9">
        <f>IF(78&lt;=核心参数输入!$B$9*4,季度现金流!CC76+CD46-CD12+CD14,0)</f>
        <v>-10590.459259825675</v>
      </c>
      <c r="CE76" s="9">
        <f>IF(79&lt;=核心参数输入!$B$9*4,季度现金流!CD76+CE46-CE12+CE14,0)</f>
        <v>-10282.432494542307</v>
      </c>
      <c r="CF76" s="9">
        <f>IF(80&lt;=核心参数输入!$B$9*4,季度现金流!CE76+CF46-CF12+CF14,0)</f>
        <v>-10069.171869542306</v>
      </c>
      <c r="CG76" s="9">
        <f>IF(81&lt;=核心参数输入!$B$9*4,季度现金流!CF76+CG46-CG12+CG14,0)</f>
        <v>0</v>
      </c>
      <c r="CH76" s="9">
        <f>IF(82&lt;=核心参数输入!$B$9*4,季度现金流!CG76+CH46-CH12+CH14,0)</f>
        <v>0</v>
      </c>
      <c r="CI76" s="9">
        <f>IF(83&lt;=核心参数输入!$B$9*4,季度现金流!CH76+CI46-CI12+CI14,0)</f>
        <v>0</v>
      </c>
      <c r="CJ76" s="9">
        <f>IF(84&lt;=核心参数输入!$B$9*4,季度现金流!CI76+CJ46-CJ12+CJ14,0)</f>
        <v>0</v>
      </c>
      <c r="CK76" s="9">
        <f>IF(85&lt;=核心参数输入!$B$9*4,季度现金流!CJ76+CK46-CK12+CK14,0)</f>
        <v>0</v>
      </c>
      <c r="CL76" s="9">
        <f>IF(86&lt;=核心参数输入!$B$9*4,季度现金流!CK76+CL46-CL12+CL14,0)</f>
        <v>0</v>
      </c>
      <c r="CM76" s="9">
        <f>IF(87&lt;=核心参数输入!$B$9*4,季度现金流!CL76+CM46-CM12+CM14,0)</f>
        <v>0</v>
      </c>
      <c r="CN76" s="9">
        <f>IF(88&lt;=核心参数输入!$B$9*4,季度现金流!CM76+CN46-CN12+CN14,0)</f>
        <v>0</v>
      </c>
      <c r="CO76" s="9">
        <f>IF(89&lt;=核心参数输入!$B$9*4,季度现金流!CN76+CO46-CO12+CO14,0)</f>
        <v>0</v>
      </c>
      <c r="CP76" s="9">
        <f>IF(90&lt;=核心参数输入!$B$9*4,季度现金流!CO76+CP46-CP12+CP14,0)</f>
        <v>0</v>
      </c>
      <c r="CQ76" s="9">
        <f>IF(91&lt;=核心参数输入!$B$9*4,季度现金流!CP76+CQ46-CQ12+CQ14,0)</f>
        <v>0</v>
      </c>
      <c r="CR76" s="9">
        <f>IF(92&lt;=核心参数输入!$B$9*4,季度现金流!CQ76+CR46-CR12+CR14,0)</f>
        <v>0</v>
      </c>
      <c r="CS76" s="9">
        <f>IF(93&lt;=核心参数输入!$B$9*4,季度现金流!CR76+CS46-CS12+CS14,0)</f>
        <v>0</v>
      </c>
      <c r="CT76" s="9">
        <f>IF(94&lt;=核心参数输入!$B$9*4,季度现金流!CS76+CT46-CT12+CT14,0)</f>
        <v>0</v>
      </c>
      <c r="CU76" s="9">
        <f>IF(95&lt;=核心参数输入!$B$9*4,季度现金流!CT76+CU46-CU12+CU14,0)</f>
        <v>0</v>
      </c>
      <c r="CV76" s="9">
        <f>IF(96&lt;=核心参数输入!$B$9*4,季度现金流!CU76+CV46-CV12+CV14,0)</f>
        <v>0</v>
      </c>
      <c r="CW76" s="9">
        <f>IF(97&lt;=核心参数输入!$B$9*4,季度现金流!CV76+CW46-CW12+CW14,0)</f>
        <v>0</v>
      </c>
      <c r="CX76" s="9">
        <f>IF(98&lt;=核心参数输入!$B$9*4,季度现金流!CW76+CX46-CX12+CX14,0)</f>
        <v>0</v>
      </c>
      <c r="CY76" s="9">
        <f>IF(99&lt;=核心参数输入!$B$9*4,季度现金流!CX76+CY46-CY12+CY14,0)</f>
        <v>0</v>
      </c>
      <c r="CZ76" s="9">
        <f>IF(100&lt;=核心参数输入!$B$9*4,季度现金流!CY76+CZ46-CZ12+CZ14,0)</f>
        <v>0</v>
      </c>
      <c r="DA76" s="9">
        <f>IF(101&lt;=核心参数输入!$B$9*4,季度现金流!CZ76+DA46-DA12+DA14,0)</f>
        <v>0</v>
      </c>
      <c r="DB76" s="9">
        <f>IF(102&lt;=核心参数输入!$B$9*4,季度现金流!DA76+DB46-DB12+DB14,0)</f>
        <v>0</v>
      </c>
      <c r="DC76" s="9">
        <f>IF(103&lt;=核心参数输入!$B$9*4,季度现金流!DB76+DC46-DC12+DC14,0)</f>
        <v>0</v>
      </c>
      <c r="DD76" s="9">
        <f>IF(104&lt;=核心参数输入!$B$9*4,季度现金流!DC76+DD46-DD12+DD14,0)</f>
        <v>0</v>
      </c>
      <c r="DE76" s="9">
        <f>IF(105&lt;=核心参数输入!$B$9*4,季度现金流!DD76+DE46-DE12+DE14,0)</f>
        <v>0</v>
      </c>
      <c r="DF76" s="9">
        <f>IF(106&lt;=核心参数输入!$B$9*4,季度现金流!DE76+DF46-DF12+DF14,0)</f>
        <v>0</v>
      </c>
      <c r="DG76" s="9">
        <f>IF(107&lt;=核心参数输入!$B$9*4,季度现金流!DF76+DG46-DG12+DG14,0)</f>
        <v>0</v>
      </c>
      <c r="DH76" s="9">
        <f>IF(108&lt;=核心参数输入!$B$9*4,季度现金流!DG76+DH46-DH12+DH14,0)</f>
        <v>0</v>
      </c>
      <c r="DI76" s="9">
        <f>IF(109&lt;=核心参数输入!$B$9*4,季度现金流!DH76+DI46-DI12+DI14,0)</f>
        <v>0</v>
      </c>
      <c r="DJ76" s="9">
        <f>IF(110&lt;=核心参数输入!$B$9*4,季度现金流!DI76+DJ46-DJ12+DJ14,0)</f>
        <v>0</v>
      </c>
      <c r="DK76" s="9">
        <f>IF(111&lt;=核心参数输入!$B$9*4,季度现金流!DJ76+DK46-DK12+DK14,0)</f>
        <v>0</v>
      </c>
      <c r="DL76" s="9">
        <f>IF(112&lt;=核心参数输入!$B$9*4,季度现金流!DK76+DL46-DL12+DL14,0)</f>
        <v>0</v>
      </c>
      <c r="DM76" s="9">
        <f>IF(113&lt;=核心参数输入!$B$9*4,季度现金流!DL76+DM46-DM12+DM14,0)</f>
        <v>0</v>
      </c>
      <c r="DN76" s="9">
        <f>IF(114&lt;=核心参数输入!$B$9*4,季度现金流!DM76+DN46-DN12+DN14,0)</f>
        <v>0</v>
      </c>
      <c r="DO76" s="9">
        <f>IF(115&lt;=核心参数输入!$B$9*4,季度现金流!DN76+DO46-DO12+DO14,0)</f>
        <v>0</v>
      </c>
      <c r="DP76" s="9">
        <f>IF(116&lt;=核心参数输入!$B$9*4,季度现金流!DO76+DP46-DP12+DP14,0)</f>
        <v>0</v>
      </c>
      <c r="DQ76" s="9">
        <f>IF(117&lt;=核心参数输入!$B$9*4,季度现金流!DP76+DQ46-DQ12+DQ14,0)</f>
        <v>0</v>
      </c>
      <c r="DR76" s="9">
        <f>IF(118&lt;=核心参数输入!$B$9*4,季度现金流!DQ76+DR46-DR12+DR14,0)</f>
        <v>0</v>
      </c>
      <c r="DS76" s="9">
        <f>IF(119&lt;=核心参数输入!$B$9*4,季度现金流!DR76+DS46-DS12+DS14,0)</f>
        <v>0</v>
      </c>
      <c r="DT76" s="9">
        <f>IF(120&lt;=核心参数输入!$B$9*4,季度现金流!DS76+DT46-DT12+DT14,0)</f>
        <v>0</v>
      </c>
    </row>
    <row r="77" spans="1:124" ht="21" customHeight="1">
      <c r="A77" s="8" t="s">
        <v>568</v>
      </c>
      <c r="B77" s="8" t="s">
        <v>39</v>
      </c>
      <c r="C77" s="8"/>
      <c r="D77" s="9">
        <f>IF(0&lt;=核心参数输入!$B$9*4,MAX(0,-D76),0)</f>
        <v>8000</v>
      </c>
      <c r="E77" s="9">
        <f>IF(1&lt;=核心参数输入!$B$9*4,MAX(0,-E76),0)</f>
        <v>11980.8125</v>
      </c>
      <c r="F77" s="9">
        <f>IF(2&lt;=核心参数输入!$B$9*4,MAX(0,-F76),0)</f>
        <v>15985.25</v>
      </c>
      <c r="G77" s="9">
        <f>IF(3&lt;=核心参数输入!$B$9*4,MAX(0,-G76),0)</f>
        <v>20013.3125</v>
      </c>
      <c r="H77" s="9">
        <f>IF(4&lt;=核心参数输入!$B$9*4,MAX(0,-H76),0)</f>
        <v>24065</v>
      </c>
      <c r="I77" s="9">
        <f>IF(5&lt;=核心参数输入!$B$9*4,MAX(0,-I76),0)</f>
        <v>29467.25</v>
      </c>
      <c r="J77" s="9">
        <f>IF(6&lt;=核心参数输入!$B$9*4,MAX(0,-J76),0)</f>
        <v>34901</v>
      </c>
      <c r="K77" s="9">
        <f>IF(7&lt;=核心参数输入!$B$9*4,MAX(0,-K76),0)</f>
        <v>40366.25</v>
      </c>
      <c r="L77" s="9">
        <f>IF(8&lt;=核心参数输入!$B$9*4,MAX(0,-L76),0)</f>
        <v>45863</v>
      </c>
      <c r="M77" s="9">
        <f>IF(9&lt;=核心参数输入!$B$9*4,MAX(0,-M76),0)</f>
        <v>50064.3125</v>
      </c>
      <c r="N77" s="9">
        <f>IF(10&lt;=核心参数输入!$B$9*4,MAX(0,-N76),0)</f>
        <v>54289.25</v>
      </c>
      <c r="O77" s="9">
        <f>IF(11&lt;=核心参数输入!$B$9*4,MAX(0,-O76),0)</f>
        <v>58537.8125</v>
      </c>
      <c r="P77" s="9">
        <f>IF(12&lt;=核心参数输入!$B$9*4,MAX(0,-P76),0)</f>
        <v>62810</v>
      </c>
      <c r="Q77" s="9">
        <f>IF(13&lt;=核心参数输入!$B$9*4,MAX(0,-Q76),0)</f>
        <v>61591.285937499997</v>
      </c>
      <c r="R77" s="9">
        <f>IF(14&lt;=核心参数输入!$B$9*4,MAX(0,-R76),0)</f>
        <v>58761.712091687499</v>
      </c>
      <c r="S77" s="9">
        <f>IF(15&lt;=核心参数输入!$B$9*4,MAX(0,-S76),0)</f>
        <v>55882.231179249997</v>
      </c>
      <c r="T77" s="9">
        <f>IF(16&lt;=核心参数输入!$B$9*4,MAX(0,-T76),0)</f>
        <v>52992.560837640624</v>
      </c>
      <c r="U77" s="9">
        <f>IF(17&lt;=核心参数输入!$B$9*4,MAX(0,-U76),0)</f>
        <v>49249.240983455311</v>
      </c>
      <c r="V77" s="9">
        <f>IF(18&lt;=核心参数输入!$B$9*4,MAX(0,-V76),0)</f>
        <v>45108.493408432936</v>
      </c>
      <c r="W77" s="9">
        <f>IF(19&lt;=核心参数输入!$B$9*4,MAX(0,-W76),0)</f>
        <v>40947.483564360809</v>
      </c>
      <c r="X77" s="9">
        <f>IF(20&lt;=核心参数输入!$B$9*4,MAX(0,-X76),0)</f>
        <v>37228.605360339359</v>
      </c>
      <c r="Y77" s="9">
        <f>IF(21&lt;=核心参数输入!$B$9*4,MAX(0,-Y76),0)</f>
        <v>33697.402556185159</v>
      </c>
      <c r="Z77" s="9">
        <f>IF(22&lt;=核心参数输入!$B$9*4,MAX(0,-Z76),0)</f>
        <v>30510.173074331149</v>
      </c>
      <c r="AA77" s="9">
        <f>IF(23&lt;=核心参数输入!$B$9*4,MAX(0,-AA76),0)</f>
        <v>27307.51894016302</v>
      </c>
      <c r="AB77" s="9">
        <f>IF(24&lt;=核心参数输入!$B$9*4,MAX(0,-AB76),0)</f>
        <v>24462.691142845415</v>
      </c>
      <c r="AC77" s="9">
        <f>IF(25&lt;=核心参数输入!$B$9*4,MAX(0,-AC76),0)</f>
        <v>23334.333669654596</v>
      </c>
      <c r="AD77" s="9">
        <f>IF(26&lt;=核心参数输入!$B$9*4,MAX(0,-AD76),0)</f>
        <v>23281.445098397886</v>
      </c>
      <c r="AE77" s="9">
        <f>IF(27&lt;=核心参数输入!$B$9*4,MAX(0,-AE76),0)</f>
        <v>23223.337853108231</v>
      </c>
      <c r="AF77" s="9">
        <f>IF(28&lt;=核心参数输入!$B$9*4,MAX(0,-AF76),0)</f>
        <v>23137.51193378563</v>
      </c>
      <c r="AG77" s="9">
        <f>IF(29&lt;=核心参数输入!$B$9*4,MAX(0,-AG76),0)</f>
        <v>23019.962124529753</v>
      </c>
      <c r="AH77" s="9">
        <f>IF(30&lt;=核心参数输入!$B$9*4,MAX(0,-AH76),0)</f>
        <v>22899.763838202158</v>
      </c>
      <c r="AI77" s="9">
        <f>IF(31&lt;=核心参数输入!$B$9*4,MAX(0,-AI76),0)</f>
        <v>22779.565551874563</v>
      </c>
      <c r="AJ77" s="9">
        <f>IF(32&lt;=核心参数输入!$B$9*4,MAX(0,-AJ76),0)</f>
        <v>22636.867265546967</v>
      </c>
      <c r="AK77" s="9">
        <f>IF(33&lt;=核心参数输入!$B$9*4,MAX(0,-AK76),0)</f>
        <v>22467.571916984456</v>
      </c>
      <c r="AL77" s="9">
        <f>IF(34&lt;=核心参数输入!$B$9*4,MAX(0,-AL76),0)</f>
        <v>22298.276568421945</v>
      </c>
      <c r="AM77" s="9">
        <f>IF(35&lt;=核心参数输入!$B$9*4,MAX(0,-AM76),0)</f>
        <v>22128.981219859434</v>
      </c>
      <c r="AN77" s="9">
        <f>IF(36&lt;=核心参数输入!$B$9*4,MAX(0,-AN76),0)</f>
        <v>21937.185871296922</v>
      </c>
      <c r="AO77" s="9">
        <f>IF(37&lt;=核心参数输入!$B$9*4,MAX(0,-AO76),0)</f>
        <v>21718.740122807176</v>
      </c>
      <c r="AP77" s="9">
        <f>IF(38&lt;=核心参数输入!$B$9*4,MAX(0,-AP76),0)</f>
        <v>21500.294374317429</v>
      </c>
      <c r="AQ77" s="9">
        <f>IF(39&lt;=核心参数输入!$B$9*4,MAX(0,-AQ76),0)</f>
        <v>21281.848625827683</v>
      </c>
      <c r="AR77" s="9">
        <f>IF(40&lt;=核心参数输入!$B$9*4,MAX(0,-AR76),0)</f>
        <v>21040.902877337936</v>
      </c>
      <c r="AS77" s="9">
        <f>IF(41&lt;=核心参数输入!$B$9*4,MAX(0,-AS76),0)</f>
        <v>20773.252753528064</v>
      </c>
      <c r="AT77" s="9">
        <f>IF(42&lt;=核心参数输入!$B$9*4,MAX(0,-AT76),0)</f>
        <v>20505.602629718192</v>
      </c>
      <c r="AU77" s="9">
        <f>IF(43&lt;=核心参数输入!$B$9*4,MAX(0,-AU76),0)</f>
        <v>20237.952505908321</v>
      </c>
      <c r="AV77" s="9">
        <f>IF(44&lt;=核心参数输入!$B$9*4,MAX(0,-AV76),0)</f>
        <v>19970.302382098449</v>
      </c>
      <c r="AW77" s="9">
        <f>IF(45&lt;=核心参数输入!$B$9*4,MAX(0,-AW76),0)</f>
        <v>19698.393263556798</v>
      </c>
      <c r="AX77" s="9">
        <f>IF(46&lt;=核心参数输入!$B$9*4,MAX(0,-AX76),0)</f>
        <v>19426.484145015147</v>
      </c>
      <c r="AY77" s="9">
        <f>IF(47&lt;=核心参数输入!$B$9*4,MAX(0,-AY76),0)</f>
        <v>19154.575026473496</v>
      </c>
      <c r="AZ77" s="9">
        <f>IF(48&lt;=核心参数输入!$B$9*4,MAX(0,-AZ76),0)</f>
        <v>18882.665907931845</v>
      </c>
      <c r="BA77" s="9">
        <f>IF(49&lt;=核心参数输入!$B$9*4,MAX(0,-BA76),0)</f>
        <v>18606.442524879945</v>
      </c>
      <c r="BB77" s="9">
        <f>IF(50&lt;=核心参数输入!$B$9*4,MAX(0,-BB76),0)</f>
        <v>18330.219141828045</v>
      </c>
      <c r="BC77" s="9">
        <f>IF(51&lt;=核心参数输入!$B$9*4,MAX(0,-BC76),0)</f>
        <v>18053.995758776146</v>
      </c>
      <c r="BD77" s="9">
        <f>IF(52&lt;=核心参数输入!$B$9*4,MAX(0,-BD76),0)</f>
        <v>17777.772375724246</v>
      </c>
      <c r="BE77" s="9">
        <f>IF(53&lt;=核心参数输入!$B$9*4,MAX(0,-BE76),0)</f>
        <v>17497.178801639802</v>
      </c>
      <c r="BF77" s="9">
        <f>IF(54&lt;=核心参数输入!$B$9*4,MAX(0,-BF76),0)</f>
        <v>17216.585227555359</v>
      </c>
      <c r="BG77" s="9">
        <f>IF(55&lt;=核心参数输入!$B$9*4,MAX(0,-BG76),0)</f>
        <v>16935.991653470915</v>
      </c>
      <c r="BH77" s="9">
        <f>IF(56&lt;=核心参数输入!$B$9*4,MAX(0,-BH76),0)</f>
        <v>16684.390752033425</v>
      </c>
      <c r="BI77" s="9">
        <f>IF(57&lt;=核心参数输入!$B$9*4,MAX(0,-BI76),0)</f>
        <v>16399.370397245213</v>
      </c>
      <c r="BJ77" s="9">
        <f>IF(58&lt;=核心参数输入!$B$9*4,MAX(0,-BJ76),0)</f>
        <v>16114.350042457001</v>
      </c>
      <c r="BK77" s="9">
        <f>IF(59&lt;=核心参数输入!$B$9*4,MAX(0,-BK76),0)</f>
        <v>15829.329687668789</v>
      </c>
      <c r="BL77" s="9">
        <f>IF(60&lt;=核心参数输入!$B$9*4,MAX(0,-BL76),0)</f>
        <v>15616.06906266879</v>
      </c>
      <c r="BM77" s="9">
        <f>IF(61&lt;=核心参数输入!$B$9*4,MAX(0,-BM76),0)</f>
        <v>15326.564667924404</v>
      </c>
      <c r="BN77" s="9">
        <f>IF(62&lt;=核心参数输入!$B$9*4,MAX(0,-BN76),0)</f>
        <v>15037.060273180017</v>
      </c>
      <c r="BO77" s="9">
        <f>IF(63&lt;=核心参数输入!$B$9*4,MAX(0,-BO76),0)</f>
        <v>14747.555878435631</v>
      </c>
      <c r="BP77" s="9">
        <f>IF(64&lt;=核心参数输入!$B$9*4,MAX(0,-BP76),0)</f>
        <v>14534.29525343563</v>
      </c>
      <c r="BQ77" s="9">
        <f>IF(65&lt;=核心参数输入!$B$9*4,MAX(0,-BQ76),0)</f>
        <v>14240.248883443039</v>
      </c>
      <c r="BR77" s="9">
        <f>IF(66&lt;=核心参数输入!$B$9*4,MAX(0,-BR76),0)</f>
        <v>13946.202513450447</v>
      </c>
      <c r="BS77" s="9">
        <f>IF(67&lt;=核心参数输入!$B$9*4,MAX(0,-BS76),0)</f>
        <v>13652.156143457856</v>
      </c>
      <c r="BT77" s="9">
        <f>IF(68&lt;=核心参数输入!$B$9*4,MAX(0,-BT76),0)</f>
        <v>13438.895518457855</v>
      </c>
      <c r="BU77" s="9">
        <f>IF(69&lt;=核心参数输入!$B$9*4,MAX(0,-BU76),0)</f>
        <v>13140.248555401795</v>
      </c>
      <c r="BV77" s="9">
        <f>IF(70&lt;=核心参数输入!$B$9*4,MAX(0,-BV76),0)</f>
        <v>12841.601592345734</v>
      </c>
      <c r="BW77" s="9">
        <f>IF(71&lt;=核心参数输入!$B$9*4,MAX(0,-BW76),0)</f>
        <v>12542.954629289674</v>
      </c>
      <c r="BX77" s="9">
        <f>IF(72&lt;=核心参数输入!$B$9*4,MAX(0,-BX76),0)</f>
        <v>12329.694004289673</v>
      </c>
      <c r="BY77" s="9">
        <f>IF(73&lt;=核心参数输入!$B$9*4,MAX(0,-BY76),0)</f>
        <v>12026.387141323919</v>
      </c>
      <c r="BZ77" s="9">
        <f>IF(74&lt;=核心参数输入!$B$9*4,MAX(0,-BZ76),0)</f>
        <v>11723.080278358166</v>
      </c>
      <c r="CA77" s="9">
        <f>IF(75&lt;=核心参数输入!$B$9*4,MAX(0,-CA76),0)</f>
        <v>11419.773415392412</v>
      </c>
      <c r="CB77" s="9">
        <f>IF(76&lt;=核心参数输入!$B$9*4,MAX(0,-CB76),0)</f>
        <v>11206.512790392411</v>
      </c>
      <c r="CC77" s="9">
        <f>IF(77&lt;=核心参数输入!$B$9*4,MAX(0,-CC76),0)</f>
        <v>10898.486025109043</v>
      </c>
      <c r="CD77" s="9">
        <f>IF(78&lt;=核心参数输入!$B$9*4,MAX(0,-CD76),0)</f>
        <v>10590.459259825675</v>
      </c>
      <c r="CE77" s="9">
        <f>IF(79&lt;=核心参数输入!$B$9*4,MAX(0,-CE76),0)</f>
        <v>10282.432494542307</v>
      </c>
      <c r="CF77" s="9">
        <f>IF(80&lt;=核心参数输入!$B$9*4,MAX(0,-CF76),0)</f>
        <v>10069.171869542306</v>
      </c>
      <c r="CG77" s="9">
        <f>IF(81&lt;=核心参数输入!$B$9*4,MAX(0,-CG76),0)</f>
        <v>0</v>
      </c>
      <c r="CH77" s="9">
        <f>IF(82&lt;=核心参数输入!$B$9*4,MAX(0,-CH76),0)</f>
        <v>0</v>
      </c>
      <c r="CI77" s="9">
        <f>IF(83&lt;=核心参数输入!$B$9*4,MAX(0,-CI76),0)</f>
        <v>0</v>
      </c>
      <c r="CJ77" s="9">
        <f>IF(84&lt;=核心参数输入!$B$9*4,MAX(0,-CJ76),0)</f>
        <v>0</v>
      </c>
      <c r="CK77" s="9">
        <f>IF(85&lt;=核心参数输入!$B$9*4,MAX(0,-CK76),0)</f>
        <v>0</v>
      </c>
      <c r="CL77" s="9">
        <f>IF(86&lt;=核心参数输入!$B$9*4,MAX(0,-CL76),0)</f>
        <v>0</v>
      </c>
      <c r="CM77" s="9">
        <f>IF(87&lt;=核心参数输入!$B$9*4,MAX(0,-CM76),0)</f>
        <v>0</v>
      </c>
      <c r="CN77" s="9">
        <f>IF(88&lt;=核心参数输入!$B$9*4,MAX(0,-CN76),0)</f>
        <v>0</v>
      </c>
      <c r="CO77" s="9">
        <f>IF(89&lt;=核心参数输入!$B$9*4,MAX(0,-CO76),0)</f>
        <v>0</v>
      </c>
      <c r="CP77" s="9">
        <f>IF(90&lt;=核心参数输入!$B$9*4,MAX(0,-CP76),0)</f>
        <v>0</v>
      </c>
      <c r="CQ77" s="9">
        <f>IF(91&lt;=核心参数输入!$B$9*4,MAX(0,-CQ76),0)</f>
        <v>0</v>
      </c>
      <c r="CR77" s="9">
        <f>IF(92&lt;=核心参数输入!$B$9*4,MAX(0,-CR76),0)</f>
        <v>0</v>
      </c>
      <c r="CS77" s="9">
        <f>IF(93&lt;=核心参数输入!$B$9*4,MAX(0,-CS76),0)</f>
        <v>0</v>
      </c>
      <c r="CT77" s="9">
        <f>IF(94&lt;=核心参数输入!$B$9*4,MAX(0,-CT76),0)</f>
        <v>0</v>
      </c>
      <c r="CU77" s="9">
        <f>IF(95&lt;=核心参数输入!$B$9*4,MAX(0,-CU76),0)</f>
        <v>0</v>
      </c>
      <c r="CV77" s="9">
        <f>IF(96&lt;=核心参数输入!$B$9*4,MAX(0,-CV76),0)</f>
        <v>0</v>
      </c>
      <c r="CW77" s="9">
        <f>IF(97&lt;=核心参数输入!$B$9*4,MAX(0,-CW76),0)</f>
        <v>0</v>
      </c>
      <c r="CX77" s="9">
        <f>IF(98&lt;=核心参数输入!$B$9*4,MAX(0,-CX76),0)</f>
        <v>0</v>
      </c>
      <c r="CY77" s="9">
        <f>IF(99&lt;=核心参数输入!$B$9*4,MAX(0,-CY76),0)</f>
        <v>0</v>
      </c>
      <c r="CZ77" s="9">
        <f>IF(100&lt;=核心参数输入!$B$9*4,MAX(0,-CZ76),0)</f>
        <v>0</v>
      </c>
      <c r="DA77" s="9">
        <f>IF(101&lt;=核心参数输入!$B$9*4,MAX(0,-DA76),0)</f>
        <v>0</v>
      </c>
      <c r="DB77" s="9">
        <f>IF(102&lt;=核心参数输入!$B$9*4,MAX(0,-DB76),0)</f>
        <v>0</v>
      </c>
      <c r="DC77" s="9">
        <f>IF(103&lt;=核心参数输入!$B$9*4,MAX(0,-DC76),0)</f>
        <v>0</v>
      </c>
      <c r="DD77" s="9">
        <f>IF(104&lt;=核心参数输入!$B$9*4,MAX(0,-DD76),0)</f>
        <v>0</v>
      </c>
      <c r="DE77" s="9">
        <f>IF(105&lt;=核心参数输入!$B$9*4,MAX(0,-DE76),0)</f>
        <v>0</v>
      </c>
      <c r="DF77" s="9">
        <f>IF(106&lt;=核心参数输入!$B$9*4,MAX(0,-DF76),0)</f>
        <v>0</v>
      </c>
      <c r="DG77" s="9">
        <f>IF(107&lt;=核心参数输入!$B$9*4,MAX(0,-DG76),0)</f>
        <v>0</v>
      </c>
      <c r="DH77" s="9">
        <f>IF(108&lt;=核心参数输入!$B$9*4,MAX(0,-DH76),0)</f>
        <v>0</v>
      </c>
      <c r="DI77" s="9">
        <f>IF(109&lt;=核心参数输入!$B$9*4,MAX(0,-DI76),0)</f>
        <v>0</v>
      </c>
      <c r="DJ77" s="9">
        <f>IF(110&lt;=核心参数输入!$B$9*4,MAX(0,-DJ76),0)</f>
        <v>0</v>
      </c>
      <c r="DK77" s="9">
        <f>IF(111&lt;=核心参数输入!$B$9*4,MAX(0,-DK76),0)</f>
        <v>0</v>
      </c>
      <c r="DL77" s="9">
        <f>IF(112&lt;=核心参数输入!$B$9*4,MAX(0,-DL76),0)</f>
        <v>0</v>
      </c>
      <c r="DM77" s="9">
        <f>IF(113&lt;=核心参数输入!$B$9*4,MAX(0,-DM76),0)</f>
        <v>0</v>
      </c>
      <c r="DN77" s="9">
        <f>IF(114&lt;=核心参数输入!$B$9*4,MAX(0,-DN76),0)</f>
        <v>0</v>
      </c>
      <c r="DO77" s="9">
        <f>IF(115&lt;=核心参数输入!$B$9*4,MAX(0,-DO76),0)</f>
        <v>0</v>
      </c>
      <c r="DP77" s="9">
        <f>IF(116&lt;=核心参数输入!$B$9*4,MAX(0,-DP76),0)</f>
        <v>0</v>
      </c>
      <c r="DQ77" s="9">
        <f>IF(117&lt;=核心参数输入!$B$9*4,MAX(0,-DQ76),0)</f>
        <v>0</v>
      </c>
      <c r="DR77" s="9">
        <f>IF(118&lt;=核心参数输入!$B$9*4,MAX(0,-DR76),0)</f>
        <v>0</v>
      </c>
      <c r="DS77" s="9">
        <f>IF(119&lt;=核心参数输入!$B$9*4,MAX(0,-DS76),0)</f>
        <v>0</v>
      </c>
      <c r="DT77" s="9">
        <f>IF(120&lt;=核心参数输入!$B$9*4,MAX(0,-DT76),0)</f>
        <v>0</v>
      </c>
    </row>
    <row r="78" spans="1:124" ht="21" customHeight="1">
      <c r="A78" s="8" t="s">
        <v>569</v>
      </c>
      <c r="B78" s="8" t="s">
        <v>39</v>
      </c>
      <c r="C78" s="8"/>
      <c r="D78" s="9">
        <f>IF(0&lt;=核心参数输入!$B$9*4,SUM(季度投融资!$D$48:D48),0)</f>
        <v>8000</v>
      </c>
      <c r="E78" s="9">
        <f>IF(1&lt;=核心参数输入!$B$9*4,SUM(季度投融资!$D$48:E48),0)</f>
        <v>11980.8125</v>
      </c>
      <c r="F78" s="9">
        <f>IF(2&lt;=核心参数输入!$B$9*4,SUM(季度投融资!$D$48:F48),0)</f>
        <v>15985.25</v>
      </c>
      <c r="G78" s="9">
        <f>IF(3&lt;=核心参数输入!$B$9*4,SUM(季度投融资!$D$48:G48),0)</f>
        <v>20013.3125</v>
      </c>
      <c r="H78" s="9">
        <f>IF(4&lt;=核心参数输入!$B$9*4,SUM(季度投融资!$D$48:H48),0)</f>
        <v>24065</v>
      </c>
      <c r="I78" s="9">
        <f>IF(5&lt;=核心参数输入!$B$9*4,SUM(季度投融资!$D$48:I48),0)</f>
        <v>29467.25</v>
      </c>
      <c r="J78" s="9">
        <f>IF(6&lt;=核心参数输入!$B$9*4,SUM(季度投融资!$D$48:J48),0)</f>
        <v>34901</v>
      </c>
      <c r="K78" s="9">
        <f>IF(7&lt;=核心参数输入!$B$9*4,SUM(季度投融资!$D$48:K48),0)</f>
        <v>40366.25</v>
      </c>
      <c r="L78" s="9">
        <f>IF(8&lt;=核心参数输入!$B$9*4,SUM(季度投融资!$D$48:L48),0)</f>
        <v>45863</v>
      </c>
      <c r="M78" s="9">
        <f>IF(9&lt;=核心参数输入!$B$9*4,SUM(季度投融资!$D$48:M48),0)</f>
        <v>50064.3125</v>
      </c>
      <c r="N78" s="9">
        <f>IF(10&lt;=核心参数输入!$B$9*4,SUM(季度投融资!$D$48:N48),0)</f>
        <v>54289.25</v>
      </c>
      <c r="O78" s="9">
        <f>IF(11&lt;=核心参数输入!$B$9*4,SUM(季度投融资!$D$48:O48),0)</f>
        <v>58537.8125</v>
      </c>
      <c r="P78" s="9">
        <f>IF(12&lt;=核心参数输入!$B$9*4,SUM(季度投融资!$D$48:P48),0)</f>
        <v>62810</v>
      </c>
      <c r="Q78" s="9">
        <f>IF(13&lt;=核心参数输入!$B$9*4,SUM(季度投融资!$D$48:Q48),0)</f>
        <v>63310</v>
      </c>
      <c r="R78" s="9">
        <f>IF(14&lt;=核心参数输入!$B$9*4,SUM(季度投融资!$D$48:R48),0)</f>
        <v>63310</v>
      </c>
      <c r="S78" s="9">
        <f>IF(15&lt;=核心参数输入!$B$9*4,SUM(季度投融资!$D$48:S48),0)</f>
        <v>63310</v>
      </c>
      <c r="T78" s="9">
        <f>IF(16&lt;=核心参数输入!$B$9*4,SUM(季度投融资!$D$48:T48),0)</f>
        <v>63310</v>
      </c>
      <c r="U78" s="9">
        <f>IF(17&lt;=核心参数输入!$B$9*4,SUM(季度投融资!$D$48:U48),0)</f>
        <v>63310</v>
      </c>
      <c r="V78" s="9">
        <f>IF(18&lt;=核心参数输入!$B$9*4,SUM(季度投融资!$D$48:V48),0)</f>
        <v>63310</v>
      </c>
      <c r="W78" s="9">
        <f>IF(19&lt;=核心参数输入!$B$9*4,SUM(季度投融资!$D$48:W48),0)</f>
        <v>63310</v>
      </c>
      <c r="X78" s="9">
        <f>IF(20&lt;=核心参数输入!$B$9*4,SUM(季度投融资!$D$48:X48),0)</f>
        <v>63310</v>
      </c>
      <c r="Y78" s="9">
        <f>IF(21&lt;=核心参数输入!$B$9*4,SUM(季度投融资!$D$48:Y48),0)</f>
        <v>63310</v>
      </c>
      <c r="Z78" s="9">
        <f>IF(22&lt;=核心参数输入!$B$9*4,SUM(季度投融资!$D$48:Z48),0)</f>
        <v>63310</v>
      </c>
      <c r="AA78" s="9">
        <f>IF(23&lt;=核心参数输入!$B$9*4,SUM(季度投融资!$D$48:AA48),0)</f>
        <v>63310</v>
      </c>
      <c r="AB78" s="9">
        <f>IF(24&lt;=核心参数输入!$B$9*4,SUM(季度投融资!$D$48:AB48),0)</f>
        <v>63310</v>
      </c>
      <c r="AC78" s="9">
        <f>IF(25&lt;=核心参数输入!$B$9*4,SUM(季度投融资!$D$48:AC48),0)</f>
        <v>63310</v>
      </c>
      <c r="AD78" s="9">
        <f>IF(26&lt;=核心参数输入!$B$9*4,SUM(季度投融资!$D$48:AD48),0)</f>
        <v>63310</v>
      </c>
      <c r="AE78" s="9">
        <f>IF(27&lt;=核心参数输入!$B$9*4,SUM(季度投融资!$D$48:AE48),0)</f>
        <v>63310</v>
      </c>
      <c r="AF78" s="9">
        <f>IF(28&lt;=核心参数输入!$B$9*4,SUM(季度投融资!$D$48:AF48),0)</f>
        <v>63310</v>
      </c>
      <c r="AG78" s="9">
        <f>IF(29&lt;=核心参数输入!$B$9*4,SUM(季度投融资!$D$48:AG48),0)</f>
        <v>63310</v>
      </c>
      <c r="AH78" s="9">
        <f>IF(30&lt;=核心参数输入!$B$9*4,SUM(季度投融资!$D$48:AH48),0)</f>
        <v>63310</v>
      </c>
      <c r="AI78" s="9">
        <f>IF(31&lt;=核心参数输入!$B$9*4,SUM(季度投融资!$D$48:AI48),0)</f>
        <v>63310</v>
      </c>
      <c r="AJ78" s="9">
        <f>IF(32&lt;=核心参数输入!$B$9*4,SUM(季度投融资!$D$48:AJ48),0)</f>
        <v>63310</v>
      </c>
      <c r="AK78" s="9">
        <f>IF(33&lt;=核心参数输入!$B$9*4,SUM(季度投融资!$D$48:AK48),0)</f>
        <v>63310</v>
      </c>
      <c r="AL78" s="9">
        <f>IF(34&lt;=核心参数输入!$B$9*4,SUM(季度投融资!$D$48:AL48),0)</f>
        <v>63310</v>
      </c>
      <c r="AM78" s="9">
        <f>IF(35&lt;=核心参数输入!$B$9*4,SUM(季度投融资!$D$48:AM48),0)</f>
        <v>63310</v>
      </c>
      <c r="AN78" s="9">
        <f>IF(36&lt;=核心参数输入!$B$9*4,SUM(季度投融资!$D$48:AN48),0)</f>
        <v>63310</v>
      </c>
      <c r="AO78" s="9">
        <f>IF(37&lt;=核心参数输入!$B$9*4,SUM(季度投融资!$D$48:AO48),0)</f>
        <v>63310</v>
      </c>
      <c r="AP78" s="9">
        <f>IF(38&lt;=核心参数输入!$B$9*4,SUM(季度投融资!$D$48:AP48),0)</f>
        <v>63310</v>
      </c>
      <c r="AQ78" s="9">
        <f>IF(39&lt;=核心参数输入!$B$9*4,SUM(季度投融资!$D$48:AQ48),0)</f>
        <v>63310</v>
      </c>
      <c r="AR78" s="9">
        <f>IF(40&lt;=核心参数输入!$B$9*4,SUM(季度投融资!$D$48:AR48),0)</f>
        <v>63310</v>
      </c>
      <c r="AS78" s="9">
        <f>IF(41&lt;=核心参数输入!$B$9*4,SUM(季度投融资!$D$48:AS48),0)</f>
        <v>63310</v>
      </c>
      <c r="AT78" s="9">
        <f>IF(42&lt;=核心参数输入!$B$9*4,SUM(季度投融资!$D$48:AT48),0)</f>
        <v>63310</v>
      </c>
      <c r="AU78" s="9">
        <f>IF(43&lt;=核心参数输入!$B$9*4,SUM(季度投融资!$D$48:AU48),0)</f>
        <v>63310</v>
      </c>
      <c r="AV78" s="9">
        <f>IF(44&lt;=核心参数输入!$B$9*4,SUM(季度投融资!$D$48:AV48),0)</f>
        <v>63310</v>
      </c>
      <c r="AW78" s="9">
        <f>IF(45&lt;=核心参数输入!$B$9*4,SUM(季度投融资!$D$48:AW48),0)</f>
        <v>63310</v>
      </c>
      <c r="AX78" s="9">
        <f>IF(46&lt;=核心参数输入!$B$9*4,SUM(季度投融资!$D$48:AX48),0)</f>
        <v>63310</v>
      </c>
      <c r="AY78" s="9">
        <f>IF(47&lt;=核心参数输入!$B$9*4,SUM(季度投融资!$D$48:AY48),0)</f>
        <v>63310</v>
      </c>
      <c r="AZ78" s="9">
        <f>IF(48&lt;=核心参数输入!$B$9*4,SUM(季度投融资!$D$48:AZ48),0)</f>
        <v>63310</v>
      </c>
      <c r="BA78" s="9">
        <f>IF(49&lt;=核心参数输入!$B$9*4,SUM(季度投融资!$D$48:BA48),0)</f>
        <v>63310</v>
      </c>
      <c r="BB78" s="9">
        <f>IF(50&lt;=核心参数输入!$B$9*4,SUM(季度投融资!$D$48:BB48),0)</f>
        <v>63310</v>
      </c>
      <c r="BC78" s="9">
        <f>IF(51&lt;=核心参数输入!$B$9*4,SUM(季度投融资!$D$48:BC48),0)</f>
        <v>63310</v>
      </c>
      <c r="BD78" s="9">
        <f>IF(52&lt;=核心参数输入!$B$9*4,SUM(季度投融资!$D$48:BD48),0)</f>
        <v>63310</v>
      </c>
      <c r="BE78" s="9">
        <f>IF(53&lt;=核心参数输入!$B$9*4,SUM(季度投融资!$D$48:BE48),0)</f>
        <v>63310</v>
      </c>
      <c r="BF78" s="9">
        <f>IF(54&lt;=核心参数输入!$B$9*4,SUM(季度投融资!$D$48:BF48),0)</f>
        <v>63310</v>
      </c>
      <c r="BG78" s="9">
        <f>IF(55&lt;=核心参数输入!$B$9*4,SUM(季度投融资!$D$48:BG48),0)</f>
        <v>63310</v>
      </c>
      <c r="BH78" s="9">
        <f>IF(56&lt;=核心参数输入!$B$9*4,SUM(季度投融资!$D$48:BH48),0)</f>
        <v>63310</v>
      </c>
      <c r="BI78" s="9">
        <f>IF(57&lt;=核心参数输入!$B$9*4,SUM(季度投融资!$D$48:BI48),0)</f>
        <v>63310</v>
      </c>
      <c r="BJ78" s="9">
        <f>IF(58&lt;=核心参数输入!$B$9*4,SUM(季度投融资!$D$48:BJ48),0)</f>
        <v>63310</v>
      </c>
      <c r="BK78" s="9">
        <f>IF(59&lt;=核心参数输入!$B$9*4,SUM(季度投融资!$D$48:BK48),0)</f>
        <v>63310</v>
      </c>
      <c r="BL78" s="9">
        <f>IF(60&lt;=核心参数输入!$B$9*4,SUM(季度投融资!$D$48:BL48),0)</f>
        <v>63310</v>
      </c>
      <c r="BM78" s="9">
        <f>IF(61&lt;=核心参数输入!$B$9*4,SUM(季度投融资!$D$48:BM48),0)</f>
        <v>63310</v>
      </c>
      <c r="BN78" s="9">
        <f>IF(62&lt;=核心参数输入!$B$9*4,SUM(季度投融资!$D$48:BN48),0)</f>
        <v>63310</v>
      </c>
      <c r="BO78" s="9">
        <f>IF(63&lt;=核心参数输入!$B$9*4,SUM(季度投融资!$D$48:BO48),0)</f>
        <v>63310</v>
      </c>
      <c r="BP78" s="9">
        <f>IF(64&lt;=核心参数输入!$B$9*4,SUM(季度投融资!$D$48:BP48),0)</f>
        <v>63310</v>
      </c>
      <c r="BQ78" s="9">
        <f>IF(65&lt;=核心参数输入!$B$9*4,SUM(季度投融资!$D$48:BQ48),0)</f>
        <v>63310</v>
      </c>
      <c r="BR78" s="9">
        <f>IF(66&lt;=核心参数输入!$B$9*4,SUM(季度投融资!$D$48:BR48),0)</f>
        <v>63310</v>
      </c>
      <c r="BS78" s="9">
        <f>IF(67&lt;=核心参数输入!$B$9*4,SUM(季度投融资!$D$48:BS48),0)</f>
        <v>63310</v>
      </c>
      <c r="BT78" s="9">
        <f>IF(68&lt;=核心参数输入!$B$9*4,SUM(季度投融资!$D$48:BT48),0)</f>
        <v>63310</v>
      </c>
      <c r="BU78" s="9">
        <f>IF(69&lt;=核心参数输入!$B$9*4,SUM(季度投融资!$D$48:BU48),0)</f>
        <v>63310</v>
      </c>
      <c r="BV78" s="9">
        <f>IF(70&lt;=核心参数输入!$B$9*4,SUM(季度投融资!$D$48:BV48),0)</f>
        <v>63310</v>
      </c>
      <c r="BW78" s="9">
        <f>IF(71&lt;=核心参数输入!$B$9*4,SUM(季度投融资!$D$48:BW48),0)</f>
        <v>63310</v>
      </c>
      <c r="BX78" s="9">
        <f>IF(72&lt;=核心参数输入!$B$9*4,SUM(季度投融资!$D$48:BX48),0)</f>
        <v>63310</v>
      </c>
      <c r="BY78" s="9">
        <f>IF(73&lt;=核心参数输入!$B$9*4,SUM(季度投融资!$D$48:BY48),0)</f>
        <v>63310</v>
      </c>
      <c r="BZ78" s="9">
        <f>IF(74&lt;=核心参数输入!$B$9*4,SUM(季度投融资!$D$48:BZ48),0)</f>
        <v>63310</v>
      </c>
      <c r="CA78" s="9">
        <f>IF(75&lt;=核心参数输入!$B$9*4,SUM(季度投融资!$D$48:CA48),0)</f>
        <v>63310</v>
      </c>
      <c r="CB78" s="9">
        <f>IF(76&lt;=核心参数输入!$B$9*4,SUM(季度投融资!$D$48:CB48),0)</f>
        <v>63310</v>
      </c>
      <c r="CC78" s="9">
        <f>IF(77&lt;=核心参数输入!$B$9*4,SUM(季度投融资!$D$48:CC48),0)</f>
        <v>63310</v>
      </c>
      <c r="CD78" s="9">
        <f>IF(78&lt;=核心参数输入!$B$9*4,SUM(季度投融资!$D$48:CD48),0)</f>
        <v>63310</v>
      </c>
      <c r="CE78" s="9">
        <f>IF(79&lt;=核心参数输入!$B$9*4,SUM(季度投融资!$D$48:CE48),0)</f>
        <v>63310</v>
      </c>
      <c r="CF78" s="9">
        <f>IF(80&lt;=核心参数输入!$B$9*4,SUM(季度投融资!$D$48:CF48),0)</f>
        <v>63310</v>
      </c>
      <c r="CG78" s="9">
        <f>IF(81&lt;=核心参数输入!$B$9*4,SUM(季度投融资!$D$48:CG48),0)</f>
        <v>0</v>
      </c>
      <c r="CH78" s="9">
        <f>IF(82&lt;=核心参数输入!$B$9*4,SUM(季度投融资!$D$48:CH48),0)</f>
        <v>0</v>
      </c>
      <c r="CI78" s="9">
        <f>IF(83&lt;=核心参数输入!$B$9*4,SUM(季度投融资!$D$48:CI48),0)</f>
        <v>0</v>
      </c>
      <c r="CJ78" s="9">
        <f>IF(84&lt;=核心参数输入!$B$9*4,SUM(季度投融资!$D$48:CJ48),0)</f>
        <v>0</v>
      </c>
      <c r="CK78" s="9">
        <f>IF(85&lt;=核心参数输入!$B$9*4,SUM(季度投融资!$D$48:CK48),0)</f>
        <v>0</v>
      </c>
      <c r="CL78" s="9">
        <f>IF(86&lt;=核心参数输入!$B$9*4,SUM(季度投融资!$D$48:CL48),0)</f>
        <v>0</v>
      </c>
      <c r="CM78" s="9">
        <f>IF(87&lt;=核心参数输入!$B$9*4,SUM(季度投融资!$D$48:CM48),0)</f>
        <v>0</v>
      </c>
      <c r="CN78" s="9">
        <f>IF(88&lt;=核心参数输入!$B$9*4,SUM(季度投融资!$D$48:CN48),0)</f>
        <v>0</v>
      </c>
      <c r="CO78" s="9">
        <f>IF(89&lt;=核心参数输入!$B$9*4,SUM(季度投融资!$D$48:CO48),0)</f>
        <v>0</v>
      </c>
      <c r="CP78" s="9">
        <f>IF(90&lt;=核心参数输入!$B$9*4,SUM(季度投融资!$D$48:CP48),0)</f>
        <v>0</v>
      </c>
      <c r="CQ78" s="9">
        <f>IF(91&lt;=核心参数输入!$B$9*4,SUM(季度投融资!$D$48:CQ48),0)</f>
        <v>0</v>
      </c>
      <c r="CR78" s="9">
        <f>IF(92&lt;=核心参数输入!$B$9*4,SUM(季度投融资!$D$48:CR48),0)</f>
        <v>0</v>
      </c>
      <c r="CS78" s="9">
        <f>IF(93&lt;=核心参数输入!$B$9*4,SUM(季度投融资!$D$48:CS48),0)</f>
        <v>0</v>
      </c>
      <c r="CT78" s="9">
        <f>IF(94&lt;=核心参数输入!$B$9*4,SUM(季度投融资!$D$48:CT48),0)</f>
        <v>0</v>
      </c>
      <c r="CU78" s="9">
        <f>IF(95&lt;=核心参数输入!$B$9*4,SUM(季度投融资!$D$48:CU48),0)</f>
        <v>0</v>
      </c>
      <c r="CV78" s="9">
        <f>IF(96&lt;=核心参数输入!$B$9*4,SUM(季度投融资!$D$48:CV48),0)</f>
        <v>0</v>
      </c>
      <c r="CW78" s="9">
        <f>IF(97&lt;=核心参数输入!$B$9*4,SUM(季度投融资!$D$48:CW48),0)</f>
        <v>0</v>
      </c>
      <c r="CX78" s="9">
        <f>IF(98&lt;=核心参数输入!$B$9*4,SUM(季度投融资!$D$48:CX48),0)</f>
        <v>0</v>
      </c>
      <c r="CY78" s="9">
        <f>IF(99&lt;=核心参数输入!$B$9*4,SUM(季度投融资!$D$48:CY48),0)</f>
        <v>0</v>
      </c>
      <c r="CZ78" s="9">
        <f>IF(100&lt;=核心参数输入!$B$9*4,SUM(季度投融资!$D$48:CZ48),0)</f>
        <v>0</v>
      </c>
      <c r="DA78" s="9">
        <f>IF(101&lt;=核心参数输入!$B$9*4,SUM(季度投融资!$D$48:DA48),0)</f>
        <v>0</v>
      </c>
      <c r="DB78" s="9">
        <f>IF(102&lt;=核心参数输入!$B$9*4,SUM(季度投融资!$D$48:DB48),0)</f>
        <v>0</v>
      </c>
      <c r="DC78" s="9">
        <f>IF(103&lt;=核心参数输入!$B$9*4,SUM(季度投融资!$D$48:DC48),0)</f>
        <v>0</v>
      </c>
      <c r="DD78" s="9">
        <f>IF(104&lt;=核心参数输入!$B$9*4,SUM(季度投融资!$D$48:DD48),0)</f>
        <v>0</v>
      </c>
      <c r="DE78" s="9">
        <f>IF(105&lt;=核心参数输入!$B$9*4,SUM(季度投融资!$D$48:DE48),0)</f>
        <v>0</v>
      </c>
      <c r="DF78" s="9">
        <f>IF(106&lt;=核心参数输入!$B$9*4,SUM(季度投融资!$D$48:DF48),0)</f>
        <v>0</v>
      </c>
      <c r="DG78" s="9">
        <f>IF(107&lt;=核心参数输入!$B$9*4,SUM(季度投融资!$D$48:DG48),0)</f>
        <v>0</v>
      </c>
      <c r="DH78" s="9">
        <f>IF(108&lt;=核心参数输入!$B$9*4,SUM(季度投融资!$D$48:DH48),0)</f>
        <v>0</v>
      </c>
      <c r="DI78" s="9">
        <f>IF(109&lt;=核心参数输入!$B$9*4,SUM(季度投融资!$D$48:DI48),0)</f>
        <v>0</v>
      </c>
      <c r="DJ78" s="9">
        <f>IF(110&lt;=核心参数输入!$B$9*4,SUM(季度投融资!$D$48:DJ48),0)</f>
        <v>0</v>
      </c>
      <c r="DK78" s="9">
        <f>IF(111&lt;=核心参数输入!$B$9*4,SUM(季度投融资!$D$48:DK48),0)</f>
        <v>0</v>
      </c>
      <c r="DL78" s="9">
        <f>IF(112&lt;=核心参数输入!$B$9*4,SUM(季度投融资!$D$48:DL48),0)</f>
        <v>0</v>
      </c>
      <c r="DM78" s="9">
        <f>IF(113&lt;=核心参数输入!$B$9*4,SUM(季度投融资!$D$48:DM48),0)</f>
        <v>0</v>
      </c>
      <c r="DN78" s="9">
        <f>IF(114&lt;=核心参数输入!$B$9*4,SUM(季度投融资!$D$48:DN48),0)</f>
        <v>0</v>
      </c>
      <c r="DO78" s="9">
        <f>IF(115&lt;=核心参数输入!$B$9*4,SUM(季度投融资!$D$48:DO48),0)</f>
        <v>0</v>
      </c>
      <c r="DP78" s="9">
        <f>IF(116&lt;=核心参数输入!$B$9*4,SUM(季度投融资!$D$48:DP48),0)</f>
        <v>0</v>
      </c>
      <c r="DQ78" s="9">
        <f>IF(117&lt;=核心参数输入!$B$9*4,SUM(季度投融资!$D$48:DQ48),0)</f>
        <v>0</v>
      </c>
      <c r="DR78" s="9">
        <f>IF(118&lt;=核心参数输入!$B$9*4,SUM(季度投融资!$D$48:DR48),0)</f>
        <v>0</v>
      </c>
      <c r="DS78" s="9">
        <f>IF(119&lt;=核心参数输入!$B$9*4,SUM(季度投融资!$D$48:DS48),0)</f>
        <v>0</v>
      </c>
      <c r="DT78" s="9">
        <f>IF(120&lt;=核心参数输入!$B$9*4,SUM(季度投融资!$D$48:DT48),0)</f>
        <v>0</v>
      </c>
    </row>
    <row r="79" spans="1:124" ht="21" customHeight="1">
      <c r="A79" s="8" t="s">
        <v>570</v>
      </c>
      <c r="B79" s="8" t="s">
        <v>39</v>
      </c>
      <c r="C79" s="8"/>
      <c r="D79" s="9">
        <f>IF(0&lt;=核心参数输入!$B$9*4,SUM($D49:D49),0)</f>
        <v>8000</v>
      </c>
      <c r="E79" s="9">
        <f>IF(1&lt;=核心参数输入!$B$9*4,SUM($D49:E49),0)</f>
        <v>9730.8125</v>
      </c>
      <c r="F79" s="9">
        <f>IF(2&lt;=核心参数输入!$B$9*4,SUM($D49:F49),0)</f>
        <v>11485.25</v>
      </c>
      <c r="G79" s="9">
        <f>IF(3&lt;=核心参数输入!$B$9*4,SUM($D49:G49),0)</f>
        <v>13263.3125</v>
      </c>
      <c r="H79" s="9">
        <f>IF(4&lt;=核心参数输入!$B$9*4,SUM($D49:H49),0)</f>
        <v>15065</v>
      </c>
      <c r="I79" s="9">
        <f>IF(5&lt;=核心参数输入!$B$9*4,SUM($D49:I49),0)</f>
        <v>17467.25</v>
      </c>
      <c r="J79" s="9">
        <f>IF(6&lt;=核心参数输入!$B$9*4,SUM($D49:J49),0)</f>
        <v>19901</v>
      </c>
      <c r="K79" s="9">
        <f>IF(7&lt;=核心参数输入!$B$9*4,SUM($D49:K49),0)</f>
        <v>22366.25</v>
      </c>
      <c r="L79" s="9">
        <f>IF(8&lt;=核心参数输入!$B$9*4,SUM($D49:L49),0)</f>
        <v>24863</v>
      </c>
      <c r="M79" s="9">
        <f>IF(9&lt;=核心参数输入!$B$9*4,SUM($D49:M49),0)</f>
        <v>26814.3125</v>
      </c>
      <c r="N79" s="9">
        <f>IF(10&lt;=核心参数输入!$B$9*4,SUM($D49:N49),0)</f>
        <v>28789.25</v>
      </c>
      <c r="O79" s="9">
        <f>IF(11&lt;=核心参数输入!$B$9*4,SUM($D49:O49),0)</f>
        <v>30787.8125</v>
      </c>
      <c r="P79" s="9">
        <f>IF(12&lt;=核心参数输入!$B$9*4,SUM($D49:P49),0)</f>
        <v>32810</v>
      </c>
      <c r="Q79" s="9">
        <f>IF(13&lt;=核心参数输入!$B$9*4,SUM($D49:Q49),0)</f>
        <v>32810</v>
      </c>
      <c r="R79" s="9">
        <f>IF(14&lt;=核心参数输入!$B$9*4,SUM($D49:R49),0)</f>
        <v>32810</v>
      </c>
      <c r="S79" s="9">
        <f>IF(15&lt;=核心参数输入!$B$9*4,SUM($D49:S49),0)</f>
        <v>32810</v>
      </c>
      <c r="T79" s="9">
        <f>IF(16&lt;=核心参数输入!$B$9*4,SUM($D49:T49),0)</f>
        <v>32810</v>
      </c>
      <c r="U79" s="9">
        <f>IF(17&lt;=核心参数输入!$B$9*4,SUM($D49:U49),0)</f>
        <v>32810</v>
      </c>
      <c r="V79" s="9">
        <f>IF(18&lt;=核心参数输入!$B$9*4,SUM($D49:V49),0)</f>
        <v>32810</v>
      </c>
      <c r="W79" s="9">
        <f>IF(19&lt;=核心参数输入!$B$9*4,SUM($D49:W49),0)</f>
        <v>32810</v>
      </c>
      <c r="X79" s="9">
        <f>IF(20&lt;=核心参数输入!$B$9*4,SUM($D49:X49),0)</f>
        <v>32810</v>
      </c>
      <c r="Y79" s="9">
        <f>IF(21&lt;=核心参数输入!$B$9*4,SUM($D49:Y49),0)</f>
        <v>32810</v>
      </c>
      <c r="Z79" s="9">
        <f>IF(22&lt;=核心参数输入!$B$9*4,SUM($D49:Z49),0)</f>
        <v>32810</v>
      </c>
      <c r="AA79" s="9">
        <f>IF(23&lt;=核心参数输入!$B$9*4,SUM($D49:AA49),0)</f>
        <v>32810</v>
      </c>
      <c r="AB79" s="9">
        <f>IF(24&lt;=核心参数输入!$B$9*4,SUM($D49:AB49),0)</f>
        <v>32810</v>
      </c>
      <c r="AC79" s="9">
        <f>IF(25&lt;=核心参数输入!$B$9*4,SUM($D49:AC49),0)</f>
        <v>32810</v>
      </c>
      <c r="AD79" s="9">
        <f>IF(26&lt;=核心参数输入!$B$9*4,SUM($D49:AD49),0)</f>
        <v>32810</v>
      </c>
      <c r="AE79" s="9">
        <f>IF(27&lt;=核心参数输入!$B$9*4,SUM($D49:AE49),0)</f>
        <v>32810</v>
      </c>
      <c r="AF79" s="9">
        <f>IF(28&lt;=核心参数输入!$B$9*4,SUM($D49:AF49),0)</f>
        <v>32810</v>
      </c>
      <c r="AG79" s="9">
        <f>IF(29&lt;=核心参数输入!$B$9*4,SUM($D49:AG49),0)</f>
        <v>32810</v>
      </c>
      <c r="AH79" s="9">
        <f>IF(30&lt;=核心参数输入!$B$9*4,SUM($D49:AH49),0)</f>
        <v>32810</v>
      </c>
      <c r="AI79" s="9">
        <f>IF(31&lt;=核心参数输入!$B$9*4,SUM($D49:AI49),0)</f>
        <v>32810</v>
      </c>
      <c r="AJ79" s="9">
        <f>IF(32&lt;=核心参数输入!$B$9*4,SUM($D49:AJ49),0)</f>
        <v>32810</v>
      </c>
      <c r="AK79" s="9">
        <f>IF(33&lt;=核心参数输入!$B$9*4,SUM($D49:AK49),0)</f>
        <v>32810</v>
      </c>
      <c r="AL79" s="9">
        <f>IF(34&lt;=核心参数输入!$B$9*4,SUM($D49:AL49),0)</f>
        <v>32810</v>
      </c>
      <c r="AM79" s="9">
        <f>IF(35&lt;=核心参数输入!$B$9*4,SUM($D49:AM49),0)</f>
        <v>32810</v>
      </c>
      <c r="AN79" s="9">
        <f>IF(36&lt;=核心参数输入!$B$9*4,SUM($D49:AN49),0)</f>
        <v>32810</v>
      </c>
      <c r="AO79" s="9">
        <f>IF(37&lt;=核心参数输入!$B$9*4,SUM($D49:AO49),0)</f>
        <v>32810</v>
      </c>
      <c r="AP79" s="9">
        <f>IF(38&lt;=核心参数输入!$B$9*4,SUM($D49:AP49),0)</f>
        <v>32810</v>
      </c>
      <c r="AQ79" s="9">
        <f>IF(39&lt;=核心参数输入!$B$9*4,SUM($D49:AQ49),0)</f>
        <v>32810</v>
      </c>
      <c r="AR79" s="9">
        <f>IF(40&lt;=核心参数输入!$B$9*4,SUM($D49:AR49),0)</f>
        <v>32810</v>
      </c>
      <c r="AS79" s="9">
        <f>IF(41&lt;=核心参数输入!$B$9*4,SUM($D49:AS49),0)</f>
        <v>32810</v>
      </c>
      <c r="AT79" s="9">
        <f>IF(42&lt;=核心参数输入!$B$9*4,SUM($D49:AT49),0)</f>
        <v>32810</v>
      </c>
      <c r="AU79" s="9">
        <f>IF(43&lt;=核心参数输入!$B$9*4,SUM($D49:AU49),0)</f>
        <v>32810</v>
      </c>
      <c r="AV79" s="9">
        <f>IF(44&lt;=核心参数输入!$B$9*4,SUM($D49:AV49),0)</f>
        <v>32810</v>
      </c>
      <c r="AW79" s="9">
        <f>IF(45&lt;=核心参数输入!$B$9*4,SUM($D49:AW49),0)</f>
        <v>32810</v>
      </c>
      <c r="AX79" s="9">
        <f>IF(46&lt;=核心参数输入!$B$9*4,SUM($D49:AX49),0)</f>
        <v>32810</v>
      </c>
      <c r="AY79" s="9">
        <f>IF(47&lt;=核心参数输入!$B$9*4,SUM($D49:AY49),0)</f>
        <v>32810</v>
      </c>
      <c r="AZ79" s="9">
        <f>IF(48&lt;=核心参数输入!$B$9*4,SUM($D49:AZ49),0)</f>
        <v>32810</v>
      </c>
      <c r="BA79" s="9">
        <f>IF(49&lt;=核心参数输入!$B$9*4,SUM($D49:BA49),0)</f>
        <v>32810</v>
      </c>
      <c r="BB79" s="9">
        <f>IF(50&lt;=核心参数输入!$B$9*4,SUM($D49:BB49),0)</f>
        <v>32810</v>
      </c>
      <c r="BC79" s="9">
        <f>IF(51&lt;=核心参数输入!$B$9*4,SUM($D49:BC49),0)</f>
        <v>32810</v>
      </c>
      <c r="BD79" s="9">
        <f>IF(52&lt;=核心参数输入!$B$9*4,SUM($D49:BD49),0)</f>
        <v>32810</v>
      </c>
      <c r="BE79" s="9">
        <f>IF(53&lt;=核心参数输入!$B$9*4,SUM($D49:BE49),0)</f>
        <v>32810</v>
      </c>
      <c r="BF79" s="9">
        <f>IF(54&lt;=核心参数输入!$B$9*4,SUM($D49:BF49),0)</f>
        <v>32810</v>
      </c>
      <c r="BG79" s="9">
        <f>IF(55&lt;=核心参数输入!$B$9*4,SUM($D49:BG49),0)</f>
        <v>32810</v>
      </c>
      <c r="BH79" s="9">
        <f>IF(56&lt;=核心参数输入!$B$9*4,SUM($D49:BH49),0)</f>
        <v>32810</v>
      </c>
      <c r="BI79" s="9">
        <f>IF(57&lt;=核心参数输入!$B$9*4,SUM($D49:BI49),0)</f>
        <v>32810</v>
      </c>
      <c r="BJ79" s="9">
        <f>IF(58&lt;=核心参数输入!$B$9*4,SUM($D49:BJ49),0)</f>
        <v>32810</v>
      </c>
      <c r="BK79" s="9">
        <f>IF(59&lt;=核心参数输入!$B$9*4,SUM($D49:BK49),0)</f>
        <v>32810</v>
      </c>
      <c r="BL79" s="9">
        <f>IF(60&lt;=核心参数输入!$B$9*4,SUM($D49:BL49),0)</f>
        <v>32810</v>
      </c>
      <c r="BM79" s="9">
        <f>IF(61&lt;=核心参数输入!$B$9*4,SUM($D49:BM49),0)</f>
        <v>32810</v>
      </c>
      <c r="BN79" s="9">
        <f>IF(62&lt;=核心参数输入!$B$9*4,SUM($D49:BN49),0)</f>
        <v>32810</v>
      </c>
      <c r="BO79" s="9">
        <f>IF(63&lt;=核心参数输入!$B$9*4,SUM($D49:BO49),0)</f>
        <v>32810</v>
      </c>
      <c r="BP79" s="9">
        <f>IF(64&lt;=核心参数输入!$B$9*4,SUM($D49:BP49),0)</f>
        <v>32810</v>
      </c>
      <c r="BQ79" s="9">
        <f>IF(65&lt;=核心参数输入!$B$9*4,SUM($D49:BQ49),0)</f>
        <v>32810</v>
      </c>
      <c r="BR79" s="9">
        <f>IF(66&lt;=核心参数输入!$B$9*4,SUM($D49:BR49),0)</f>
        <v>32810</v>
      </c>
      <c r="BS79" s="9">
        <f>IF(67&lt;=核心参数输入!$B$9*4,SUM($D49:BS49),0)</f>
        <v>32810</v>
      </c>
      <c r="BT79" s="9">
        <f>IF(68&lt;=核心参数输入!$B$9*4,SUM($D49:BT49),0)</f>
        <v>32810</v>
      </c>
      <c r="BU79" s="9">
        <f>IF(69&lt;=核心参数输入!$B$9*4,SUM($D49:BU49),0)</f>
        <v>32810</v>
      </c>
      <c r="BV79" s="9">
        <f>IF(70&lt;=核心参数输入!$B$9*4,SUM($D49:BV49),0)</f>
        <v>32810</v>
      </c>
      <c r="BW79" s="9">
        <f>IF(71&lt;=核心参数输入!$B$9*4,SUM($D49:BW49),0)</f>
        <v>32810</v>
      </c>
      <c r="BX79" s="9">
        <f>IF(72&lt;=核心参数输入!$B$9*4,SUM($D49:BX49),0)</f>
        <v>32810</v>
      </c>
      <c r="BY79" s="9">
        <f>IF(73&lt;=核心参数输入!$B$9*4,SUM($D49:BY49),0)</f>
        <v>32810</v>
      </c>
      <c r="BZ79" s="9">
        <f>IF(74&lt;=核心参数输入!$B$9*4,SUM($D49:BZ49),0)</f>
        <v>32810</v>
      </c>
      <c r="CA79" s="9">
        <f>IF(75&lt;=核心参数输入!$B$9*4,SUM($D49:CA49),0)</f>
        <v>32810</v>
      </c>
      <c r="CB79" s="9">
        <f>IF(76&lt;=核心参数输入!$B$9*4,SUM($D49:CB49),0)</f>
        <v>32810</v>
      </c>
      <c r="CC79" s="9">
        <f>IF(77&lt;=核心参数输入!$B$9*4,SUM($D49:CC49),0)</f>
        <v>32810</v>
      </c>
      <c r="CD79" s="9">
        <f>IF(78&lt;=核心参数输入!$B$9*4,SUM($D49:CD49),0)</f>
        <v>32810</v>
      </c>
      <c r="CE79" s="9">
        <f>IF(79&lt;=核心参数输入!$B$9*4,SUM($D49:CE49),0)</f>
        <v>32810</v>
      </c>
      <c r="CF79" s="9">
        <f>IF(80&lt;=核心参数输入!$B$9*4,SUM($D49:CF49),0)</f>
        <v>32810</v>
      </c>
      <c r="CG79" s="9">
        <f>IF(81&lt;=核心参数输入!$B$9*4,SUM($D49:CG49),0)</f>
        <v>0</v>
      </c>
      <c r="CH79" s="9">
        <f>IF(82&lt;=核心参数输入!$B$9*4,SUM($D49:CH49),0)</f>
        <v>0</v>
      </c>
      <c r="CI79" s="9">
        <f>IF(83&lt;=核心参数输入!$B$9*4,SUM($D49:CI49),0)</f>
        <v>0</v>
      </c>
      <c r="CJ79" s="9">
        <f>IF(84&lt;=核心参数输入!$B$9*4,SUM($D49:CJ49),0)</f>
        <v>0</v>
      </c>
      <c r="CK79" s="9">
        <f>IF(85&lt;=核心参数输入!$B$9*4,SUM($D49:CK49),0)</f>
        <v>0</v>
      </c>
      <c r="CL79" s="9">
        <f>IF(86&lt;=核心参数输入!$B$9*4,SUM($D49:CL49),0)</f>
        <v>0</v>
      </c>
      <c r="CM79" s="9">
        <f>IF(87&lt;=核心参数输入!$B$9*4,SUM($D49:CM49),0)</f>
        <v>0</v>
      </c>
      <c r="CN79" s="9">
        <f>IF(88&lt;=核心参数输入!$B$9*4,SUM($D49:CN49),0)</f>
        <v>0</v>
      </c>
      <c r="CO79" s="9">
        <f>IF(89&lt;=核心参数输入!$B$9*4,SUM($D49:CO49),0)</f>
        <v>0</v>
      </c>
      <c r="CP79" s="9">
        <f>IF(90&lt;=核心参数输入!$B$9*4,SUM($D49:CP49),0)</f>
        <v>0</v>
      </c>
      <c r="CQ79" s="9">
        <f>IF(91&lt;=核心参数输入!$B$9*4,SUM($D49:CQ49),0)</f>
        <v>0</v>
      </c>
      <c r="CR79" s="9">
        <f>IF(92&lt;=核心参数输入!$B$9*4,SUM($D49:CR49),0)</f>
        <v>0</v>
      </c>
      <c r="CS79" s="9">
        <f>IF(93&lt;=核心参数输入!$B$9*4,SUM($D49:CS49),0)</f>
        <v>0</v>
      </c>
      <c r="CT79" s="9">
        <f>IF(94&lt;=核心参数输入!$B$9*4,SUM($D49:CT49),0)</f>
        <v>0</v>
      </c>
      <c r="CU79" s="9">
        <f>IF(95&lt;=核心参数输入!$B$9*4,SUM($D49:CU49),0)</f>
        <v>0</v>
      </c>
      <c r="CV79" s="9">
        <f>IF(96&lt;=核心参数输入!$B$9*4,SUM($D49:CV49),0)</f>
        <v>0</v>
      </c>
      <c r="CW79" s="9">
        <f>IF(97&lt;=核心参数输入!$B$9*4,SUM($D49:CW49),0)</f>
        <v>0</v>
      </c>
      <c r="CX79" s="9">
        <f>IF(98&lt;=核心参数输入!$B$9*4,SUM($D49:CX49),0)</f>
        <v>0</v>
      </c>
      <c r="CY79" s="9">
        <f>IF(99&lt;=核心参数输入!$B$9*4,SUM($D49:CY49),0)</f>
        <v>0</v>
      </c>
      <c r="CZ79" s="9">
        <f>IF(100&lt;=核心参数输入!$B$9*4,SUM($D49:CZ49),0)</f>
        <v>0</v>
      </c>
      <c r="DA79" s="9">
        <f>IF(101&lt;=核心参数输入!$B$9*4,SUM($D49:DA49),0)</f>
        <v>0</v>
      </c>
      <c r="DB79" s="9">
        <f>IF(102&lt;=核心参数输入!$B$9*4,SUM($D49:DB49),0)</f>
        <v>0</v>
      </c>
      <c r="DC79" s="9">
        <f>IF(103&lt;=核心参数输入!$B$9*4,SUM($D49:DC49),0)</f>
        <v>0</v>
      </c>
      <c r="DD79" s="9">
        <f>IF(104&lt;=核心参数输入!$B$9*4,SUM($D49:DD49),0)</f>
        <v>0</v>
      </c>
      <c r="DE79" s="9">
        <f>IF(105&lt;=核心参数输入!$B$9*4,SUM($D49:DE49),0)</f>
        <v>0</v>
      </c>
      <c r="DF79" s="9">
        <f>IF(106&lt;=核心参数输入!$B$9*4,SUM($D49:DF49),0)</f>
        <v>0</v>
      </c>
      <c r="DG79" s="9">
        <f>IF(107&lt;=核心参数输入!$B$9*4,SUM($D49:DG49),0)</f>
        <v>0</v>
      </c>
      <c r="DH79" s="9">
        <f>IF(108&lt;=核心参数输入!$B$9*4,SUM($D49:DH49),0)</f>
        <v>0</v>
      </c>
      <c r="DI79" s="9">
        <f>IF(109&lt;=核心参数输入!$B$9*4,SUM($D49:DI49),0)</f>
        <v>0</v>
      </c>
      <c r="DJ79" s="9">
        <f>IF(110&lt;=核心参数输入!$B$9*4,SUM($D49:DJ49),0)</f>
        <v>0</v>
      </c>
      <c r="DK79" s="9">
        <f>IF(111&lt;=核心参数输入!$B$9*4,SUM($D49:DK49),0)</f>
        <v>0</v>
      </c>
      <c r="DL79" s="9">
        <f>IF(112&lt;=核心参数输入!$B$9*4,SUM($D49:DL49),0)</f>
        <v>0</v>
      </c>
      <c r="DM79" s="9">
        <f>IF(113&lt;=核心参数输入!$B$9*4,SUM($D49:DM49),0)</f>
        <v>0</v>
      </c>
      <c r="DN79" s="9">
        <f>IF(114&lt;=核心参数输入!$B$9*4,SUM($D49:DN49),0)</f>
        <v>0</v>
      </c>
      <c r="DO79" s="9">
        <f>IF(115&lt;=核心参数输入!$B$9*4,SUM($D49:DO49),0)</f>
        <v>0</v>
      </c>
      <c r="DP79" s="9">
        <f>IF(116&lt;=核心参数输入!$B$9*4,SUM($D49:DP49),0)</f>
        <v>0</v>
      </c>
      <c r="DQ79" s="9">
        <f>IF(117&lt;=核心参数输入!$B$9*4,SUM($D49:DQ49),0)</f>
        <v>0</v>
      </c>
      <c r="DR79" s="9">
        <f>IF(118&lt;=核心参数输入!$B$9*4,SUM($D49:DR49),0)</f>
        <v>0</v>
      </c>
      <c r="DS79" s="9">
        <f>IF(119&lt;=核心参数输入!$B$9*4,SUM($D49:DS49),0)</f>
        <v>0</v>
      </c>
      <c r="DT79" s="9">
        <f>IF(120&lt;=核心参数输入!$B$9*4,SUM($D49:DT49),0)</f>
        <v>0</v>
      </c>
    </row>
    <row r="80" spans="1:124" ht="21" customHeight="1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</row>
    <row r="81" spans="1:124" ht="21" customHeight="1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</row>
    <row r="82" spans="1:124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</row>
    <row r="83" spans="1:124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</row>
    <row r="84" spans="1:124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</row>
    <row r="85" spans="1:124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</row>
    <row r="86" spans="1:124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</row>
    <row r="87" spans="1:124" ht="21" customHeigh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</row>
    <row r="88" spans="1:124" ht="21" customHeight="1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</row>
    <row r="89" spans="1:124" ht="21" customHeight="1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</row>
    <row r="90" spans="1:124" ht="21" customHeight="1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</row>
    <row r="91" spans="1:124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</row>
    <row r="92" spans="1:124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</row>
    <row r="93" spans="1:124" ht="21" customHeight="1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</row>
    <row r="94" spans="1:124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</row>
    <row r="95" spans="1:124" ht="21" customHeight="1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</row>
    <row r="96" spans="1:124" ht="21" customHeight="1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</row>
    <row r="97" spans="1:124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</row>
    <row r="98" spans="1:124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</row>
    <row r="99" spans="1:124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</row>
    <row r="100" spans="1:124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</row>
    <row r="101" spans="1:124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</row>
    <row r="102" spans="1:124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</row>
    <row r="103" spans="1:124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</row>
    <row r="104" spans="1:124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</row>
    <row r="105" spans="1:124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</row>
    <row r="106" spans="1:124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</row>
    <row r="107" spans="1:124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</row>
    <row r="108" spans="1:124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</row>
    <row r="109" spans="1:124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</row>
    <row r="110" spans="1:124" ht="21" customHeight="1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</row>
    <row r="111" spans="1:124" ht="21" customHeight="1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</row>
    <row r="112" spans="1:124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</row>
    <row r="113" spans="1:124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</row>
    <row r="114" spans="1:124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</row>
    <row r="115" spans="1:124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</row>
    <row r="116" spans="1:124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</row>
    <row r="117" spans="1:124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</row>
    <row r="118" spans="1:124" ht="24" customHeight="1">
      <c r="A118" s="23" t="s">
        <v>571</v>
      </c>
      <c r="B118" s="23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</row>
    <row r="119" spans="1:124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</row>
    <row r="120" spans="1:124" ht="21" customHeight="1">
      <c r="A120" s="8" t="s">
        <v>511</v>
      </c>
      <c r="B120" s="8" t="s">
        <v>39</v>
      </c>
      <c r="C120" s="8"/>
      <c r="D120" s="9">
        <f>IF(0&lt;=核心参数输入!$B$9*4,季度经营税费!D178-季度经营税费!D179-季度经营税费!D172,0)</f>
        <v>0</v>
      </c>
      <c r="E120" s="9">
        <f>IF(1&lt;=核心参数输入!$B$9*4,季度经营税费!E178-季度经营税费!E179-季度经营税费!E172,0)</f>
        <v>0</v>
      </c>
      <c r="F120" s="9">
        <f>IF(2&lt;=核心参数输入!$B$9*4,季度经营税费!F178-季度经营税费!F179-季度经营税费!F172,0)</f>
        <v>0</v>
      </c>
      <c r="G120" s="9">
        <f>IF(3&lt;=核心参数输入!$B$9*4,季度经营税费!G178-季度经营税费!G179-季度经营税费!G172,0)</f>
        <v>0</v>
      </c>
      <c r="H120" s="9">
        <f>IF(4&lt;=核心参数输入!$B$9*4,季度经营税费!H178-季度经营税费!H179-季度经营税费!H172,0)</f>
        <v>0</v>
      </c>
      <c r="I120" s="9">
        <f>IF(5&lt;=核心参数输入!$B$9*4,季度经营税费!I178-季度经营税费!I179-季度经营税费!I172,0)</f>
        <v>0</v>
      </c>
      <c r="J120" s="9">
        <f>IF(6&lt;=核心参数输入!$B$9*4,季度经营税费!J178-季度经营税费!J179-季度经营税费!J172,0)</f>
        <v>0</v>
      </c>
      <c r="K120" s="9">
        <f>IF(7&lt;=核心参数输入!$B$9*4,季度经营税费!K178-季度经营税费!K179-季度经营税费!K172,0)</f>
        <v>0</v>
      </c>
      <c r="L120" s="9">
        <f>IF(8&lt;=核心参数输入!$B$9*4,季度经营税费!L178-季度经营税费!L179-季度经营税费!L172,0)</f>
        <v>0</v>
      </c>
      <c r="M120" s="9">
        <f>IF(9&lt;=核心参数输入!$B$9*4,季度经营税费!M178-季度经营税费!M179-季度经营税费!M172,0)</f>
        <v>0</v>
      </c>
      <c r="N120" s="9">
        <f>IF(10&lt;=核心参数输入!$B$9*4,季度经营税费!N178-季度经营税费!N179-季度经营税费!N172,0)</f>
        <v>0</v>
      </c>
      <c r="O120" s="9">
        <f>IF(11&lt;=核心参数输入!$B$9*4,季度经营税费!O178-季度经营税费!O179-季度经营税费!O172,0)</f>
        <v>0</v>
      </c>
      <c r="P120" s="9">
        <f>IF(12&lt;=核心参数输入!$B$9*4,季度经营税费!P178-季度经营税费!P179-季度经营税费!P172,0)</f>
        <v>0</v>
      </c>
      <c r="Q120" s="9">
        <f>IF(13&lt;=核心参数输入!$B$9*4,季度经营税费!Q178-季度经营税费!Q179-季度经营税费!Q172,0)</f>
        <v>1818.3426562499999</v>
      </c>
      <c r="R120" s="9">
        <f>IF(14&lt;=核心参数输入!$B$9*4,季度经营税费!R178-季度经营税费!R179-季度经营税费!R172,0)</f>
        <v>2813.6248252350001</v>
      </c>
      <c r="S120" s="9">
        <f>IF(15&lt;=核心参数输入!$B$9*4,季度经营税费!S178-季度经营税费!S179-季度经营税费!S172,0)</f>
        <v>2849.5579132050007</v>
      </c>
      <c r="T120" s="9">
        <f>IF(16&lt;=核心参数输入!$B$9*4,季度经营税费!T178-季度经营税费!T179-季度经营税费!T172,0)</f>
        <v>2885.4910011750003</v>
      </c>
      <c r="U120" s="9">
        <f>IF(17&lt;=核心参数输入!$B$9*4,季度经营税费!U178-季度经营税费!U179-季度经营税费!U172,0)</f>
        <v>3567.924795013425</v>
      </c>
      <c r="V120" s="9">
        <f>IF(18&lt;=核心参数输入!$B$9*4,季度经营税费!V178-季度经营税费!V179-季度经营税费!V172,0)</f>
        <v>3921.0507332305874</v>
      </c>
      <c r="W120" s="9">
        <f>IF(19&lt;=核心参数输入!$B$9*4,季度经营税费!W178-季度经营税费!W179-季度经营税费!W172,0)</f>
        <v>3939.2867753753621</v>
      </c>
      <c r="X120" s="9">
        <f>IF(20&lt;=核心参数输入!$B$9*4,季度经营税费!X178-季度经营税费!X179-季度经营税费!X172,0)</f>
        <v>3957.5228175201378</v>
      </c>
      <c r="Y120" s="9">
        <f>IF(21&lt;=核心参数输入!$B$9*4,季度经营税费!Y178-季度经营税费!Y179-季度经营税费!Y172,0)</f>
        <v>3331.2603581848857</v>
      </c>
      <c r="Z120" s="9">
        <f>IF(22&lt;=核心参数输入!$B$9*4,季度经营税费!Z178-季度经营税费!Z179-季度经营税费!Z172,0)</f>
        <v>3021.6843681147143</v>
      </c>
      <c r="AA120" s="9">
        <f>IF(23&lt;=核心参数输入!$B$9*4,季度经营税费!AA178-季度经营税费!AA179-季度经营税费!AA172,0)</f>
        <v>3035.5665551974243</v>
      </c>
      <c r="AB120" s="9">
        <f>IF(24&lt;=核心参数输入!$B$9*4,季度经营税费!AB178-季度经营税费!AB179-季度经营税费!AB172,0)</f>
        <v>3037.7202008347181</v>
      </c>
      <c r="AC120" s="9">
        <f>IF(25&lt;=核心参数输入!$B$9*4,季度经营税费!AC178-季度经营税费!AC179-季度经营税费!AC172,0)</f>
        <v>1127.4882128345371</v>
      </c>
      <c r="AD120" s="9">
        <f>IF(26&lt;=核心参数输入!$B$9*4,季度经营税费!AD178-季度经营税费!AD179-季度经营税费!AD172,0)</f>
        <v>159.56620109383732</v>
      </c>
      <c r="AE120" s="9">
        <f>IF(27&lt;=核心参数输入!$B$9*4,季度经营税费!AE178-季度经营税费!AE179-季度经营税费!AE172,0)</f>
        <v>164.26300772348753</v>
      </c>
      <c r="AF120" s="9">
        <f>IF(28&lt;=核心参数输入!$B$9*4,季度经营税费!AF178-季度经营税费!AF179-季度经营税费!AF172,0)</f>
        <v>168.9598143531378</v>
      </c>
      <c r="AG120" s="9">
        <f>IF(29&lt;=核心参数输入!$B$9*4,季度经营税费!AG178-季度经营税费!AG179-季度经营税费!AG172,0)</f>
        <v>176.53851729752981</v>
      </c>
      <c r="AH120" s="9">
        <f>IF(30&lt;=核心参数输入!$B$9*4,季度经营税费!AH178-季度经营税费!AH179-季度经营税费!AH172,0)</f>
        <v>178.92214666207724</v>
      </c>
      <c r="AI120" s="9">
        <f>IF(31&lt;=核心参数输入!$B$9*4,季度经营税费!AI178-季度经营税费!AI179-季度经营税费!AI172,0)</f>
        <v>178.92214666207724</v>
      </c>
      <c r="AJ120" s="9">
        <f>IF(32&lt;=核心参数输入!$B$9*4,季度经营税费!AJ178-季度经营税费!AJ179-季度经营税费!AJ172,0)</f>
        <v>178.92214666207724</v>
      </c>
      <c r="AK120" s="9">
        <f>IF(33&lt;=核心参数输入!$B$9*4,季度经营税费!AK178-季度经营税费!AK179-季度经营税费!AK172,0)</f>
        <v>181.87506680200843</v>
      </c>
      <c r="AL120" s="9">
        <f>IF(34&lt;=核心参数输入!$B$9*4,季度经营税费!AL178-季度经营税费!AL179-季度经营税费!AL172,0)</f>
        <v>181.87506680200843</v>
      </c>
      <c r="AM120" s="9">
        <f>IF(35&lt;=核心参数输入!$B$9*4,季度经营税费!AM178-季度经营税费!AM179-季度经营税费!AM172,0)</f>
        <v>181.87506680200843</v>
      </c>
      <c r="AN120" s="9">
        <f>IF(36&lt;=核心参数输入!$B$9*4,季度经营税费!AN178-季度经营税费!AN179-季度经营税费!AN172,0)</f>
        <v>181.87506680200843</v>
      </c>
      <c r="AO120" s="9">
        <f>IF(37&lt;=核心参数输入!$B$9*4,季度经营税费!AO178-季度经营税费!AO179-季度经营税费!AO172,0)</f>
        <v>184.86416250283844</v>
      </c>
      <c r="AP120" s="9">
        <f>IF(38&lt;=核心参数输入!$B$9*4,季度经营税费!AP178-季度经营税费!AP179-季度经营税费!AP172,0)</f>
        <v>184.86416250283844</v>
      </c>
      <c r="AQ120" s="9">
        <f>IF(39&lt;=核心参数输入!$B$9*4,季度经营税费!AQ178-季度经营税费!AQ179-季度经营税费!AQ172,0)</f>
        <v>184.86416250283844</v>
      </c>
      <c r="AR120" s="9">
        <f>IF(40&lt;=核心参数输入!$B$9*4,季度经营税费!AR178-季度经营税费!AR179-季度经营税费!AR172,0)</f>
        <v>184.86416250283844</v>
      </c>
      <c r="AS120" s="9">
        <f>IF(41&lt;=核心参数输入!$B$9*4,季度经营税费!AS178-季度经营税费!AS179-季度经营税费!AS172,0)</f>
        <v>187.88981403315699</v>
      </c>
      <c r="AT120" s="9">
        <f>IF(42&lt;=核心参数输入!$B$9*4,季度经营税费!AT178-季度经营税费!AT179-季度经营税费!AT172,0)</f>
        <v>187.88981403315699</v>
      </c>
      <c r="AU120" s="9">
        <f>IF(43&lt;=核心参数输入!$B$9*4,季度经营税费!AU178-季度经营税费!AU179-季度经营税费!AU172,0)</f>
        <v>187.88981403315699</v>
      </c>
      <c r="AV120" s="9">
        <f>IF(44&lt;=核心参数输入!$B$9*4,季度经营税费!AV178-季度经营税费!AV179-季度经营税费!AV172,0)</f>
        <v>187.88981403315699</v>
      </c>
      <c r="AW120" s="9">
        <f>IF(45&lt;=核心参数输入!$B$9*4,季度经营税费!AW178-季度经营税费!AW179-季度经营税费!AW172,0)</f>
        <v>190.95240411828576</v>
      </c>
      <c r="AX120" s="9">
        <f>IF(46&lt;=核心参数输入!$B$9*4,季度经营税费!AX178-季度经营税费!AX179-季度经营税费!AX172,0)</f>
        <v>190.95240411828576</v>
      </c>
      <c r="AY120" s="9">
        <f>IF(47&lt;=核心参数输入!$B$9*4,季度经营税费!AY178-季度经营税费!AY179-季度经营税费!AY172,0)</f>
        <v>190.95240411828576</v>
      </c>
      <c r="AZ120" s="9">
        <f>IF(48&lt;=核心参数输入!$B$9*4,季度经营税费!AZ178-季度经营税费!AZ179-季度经营税费!AZ172,0)</f>
        <v>190.95240411828576</v>
      </c>
      <c r="BA120" s="9">
        <f>IF(49&lt;=核心参数输入!$B$9*4,季度经营税费!BA178-季度经营税费!BA179-季度经营税费!BA172,0)</f>
        <v>194.05231791218421</v>
      </c>
      <c r="BB120" s="9">
        <f>IF(50&lt;=核心参数输入!$B$9*4,季度经营税费!BB178-季度经营税费!BB179-季度经营税费!BB172,0)</f>
        <v>194.05231791218421</v>
      </c>
      <c r="BC120" s="9">
        <f>IF(51&lt;=核心参数输入!$B$9*4,季度经营税费!BC178-季度经营税费!BC179-季度经营税费!BC172,0)</f>
        <v>194.05231791218421</v>
      </c>
      <c r="BD120" s="9">
        <f>IF(52&lt;=核心参数输入!$B$9*4,季度经营税费!BD178-季度经营税费!BD179-季度经营税费!BD172,0)</f>
        <v>194.05231791218421</v>
      </c>
      <c r="BE120" s="9">
        <f>IF(53&lt;=核心参数输入!$B$9*4,季度经营税费!BE178-季度经营税费!BE179-季度经营税费!BE172,0)</f>
        <v>197.18994296763356</v>
      </c>
      <c r="BF120" s="9">
        <f>IF(54&lt;=核心参数输入!$B$9*4,季度经营税费!BF178-季度经营税费!BF179-季度经营税费!BF172,0)</f>
        <v>197.18994296763356</v>
      </c>
      <c r="BG120" s="9">
        <f>IF(55&lt;=核心参数输入!$B$9*4,季度经营税费!BG178-季度经营税费!BG179-季度经营税费!BG172,0)</f>
        <v>197.18994296763356</v>
      </c>
      <c r="BH120" s="9">
        <f>IF(56&lt;=核心参数输入!$B$9*4,季度经营税费!BH178-季度经营税费!BH179-季度经营税费!BH172,0)</f>
        <v>197.18994296763356</v>
      </c>
      <c r="BI120" s="9">
        <f>IF(57&lt;=核心参数输入!$B$9*4,季度经营税费!BI178-季度经营税费!BI179-季度经营税费!BI172,0)</f>
        <v>200.36566920464995</v>
      </c>
      <c r="BJ120" s="9">
        <f>IF(58&lt;=核心参数输入!$B$9*4,季度经营税费!BJ178-季度经营税费!BJ179-季度经营税费!BJ172,0)</f>
        <v>200.36566920464995</v>
      </c>
      <c r="BK120" s="9">
        <f>IF(59&lt;=核心参数输入!$B$9*4,季度经营税费!BK178-季度经营税费!BK179-季度经营税费!BK172,0)</f>
        <v>200.36566920464995</v>
      </c>
      <c r="BL120" s="9">
        <f>IF(60&lt;=核心参数输入!$B$9*4,季度经营税费!BL178-季度经营税费!BL179-季度经营税费!BL172,0)</f>
        <v>200.36566920464995</v>
      </c>
      <c r="BM120" s="9">
        <f>IF(61&lt;=核心参数输入!$B$9*4,季度经营税费!BM178-季度经营税费!BM179-季度经营税费!BM172,0)</f>
        <v>203.57988887707162</v>
      </c>
      <c r="BN120" s="9">
        <f>IF(62&lt;=核心参数输入!$B$9*4,季度经营税费!BN178-季度经营税费!BN179-季度经营税费!BN172,0)</f>
        <v>203.57988887707162</v>
      </c>
      <c r="BO120" s="9">
        <f>IF(63&lt;=核心参数输入!$B$9*4,季度经营税费!BO178-季度经营税费!BO179-季度经营税费!BO172,0)</f>
        <v>203.57988887707162</v>
      </c>
      <c r="BP120" s="9">
        <f>IF(64&lt;=核心参数输入!$B$9*4,季度经营税费!BP178-季度经营税费!BP179-季度经营税费!BP172,0)</f>
        <v>203.57988887707162</v>
      </c>
      <c r="BQ120" s="9">
        <f>IF(65&lt;=核心参数输入!$B$9*4,季度经营税费!BQ178-季度经营税费!BQ179-季度经营税费!BQ172,0)</f>
        <v>206.83299653726678</v>
      </c>
      <c r="BR120" s="9">
        <f>IF(66&lt;=核心参数输入!$B$9*4,季度经营税费!BR178-季度经营税费!BR179-季度经营税费!BR172,0)</f>
        <v>206.83299653726678</v>
      </c>
      <c r="BS120" s="9">
        <f>IF(67&lt;=核心参数输入!$B$9*4,季度经营税费!BS178-季度经营税费!BS179-季度经营税费!BS172,0)</f>
        <v>206.83299653726678</v>
      </c>
      <c r="BT120" s="9">
        <f>IF(68&lt;=核心参数输入!$B$9*4,季度经营税费!BT178-季度经营税费!BT179-季度经营税费!BT172,0)</f>
        <v>206.83299653726678</v>
      </c>
      <c r="BU120" s="9">
        <f>IF(69&lt;=核心参数输入!$B$9*4,季度经营税费!BU178-季度经营税费!BU179-季度经营税费!BU172,0)</f>
        <v>210.12538899890549</v>
      </c>
      <c r="BV120" s="9">
        <f>IF(70&lt;=核心参数输入!$B$9*4,季度经营税费!BV178-季度经营税费!BV179-季度经营税费!BV172,0)</f>
        <v>210.12538899890549</v>
      </c>
      <c r="BW120" s="9">
        <f>IF(71&lt;=核心参数输入!$B$9*4,季度经营税费!BW178-季度经营税费!BW179-季度经营税费!BW172,0)</f>
        <v>210.12538899890549</v>
      </c>
      <c r="BX120" s="9">
        <f>IF(72&lt;=核心参数输入!$B$9*4,季度经营税费!BX178-季度经营税费!BX179-季度经营税费!BX172,0)</f>
        <v>210.12538899890549</v>
      </c>
      <c r="BY120" s="9">
        <f>IF(73&lt;=核心参数输入!$B$9*4,季度经营税费!BY178-季度经营税费!BY179-季度经营税费!BY172,0)</f>
        <v>213.45746529774047</v>
      </c>
      <c r="BZ120" s="9">
        <f>IF(74&lt;=核心参数输入!$B$9*4,季度经营税费!BZ178-季度经营税费!BZ179-季度经营税费!BZ172,0)</f>
        <v>213.45746529774047</v>
      </c>
      <c r="CA120" s="9">
        <f>IF(75&lt;=核心参数输入!$B$9*4,季度经营税费!CA178-季度经营税费!CA179-季度经营税费!CA172,0)</f>
        <v>213.45746529774047</v>
      </c>
      <c r="CB120" s="9">
        <f>IF(76&lt;=核心参数输入!$B$9*4,季度经营税费!CB178-季度经营税费!CB179-季度经营税费!CB172,0)</f>
        <v>213.45746529774047</v>
      </c>
      <c r="CC120" s="9">
        <f>IF(77&lt;=核心参数输入!$B$9*4,季度经营税费!CC178-季度经营税费!CC179-季度经营税费!CC172,0)</f>
        <v>216.829626650335</v>
      </c>
      <c r="CD120" s="9">
        <f>IF(78&lt;=核心参数输入!$B$9*4,季度经营税费!CD178-季度经营税费!CD179-季度经营税费!CD172,0)</f>
        <v>216.829626650335</v>
      </c>
      <c r="CE120" s="9">
        <f>IF(79&lt;=核心参数输入!$B$9*4,季度经营税费!CE178-季度经营税费!CE179-季度经营税费!CE172,0)</f>
        <v>216.829626650335</v>
      </c>
      <c r="CF120" s="9">
        <f>IF(80&lt;=核心参数输入!$B$9*4,季度经营税费!CF178-季度经营税费!CF179-季度经营税费!CF172,0)</f>
        <v>216.829626650335</v>
      </c>
      <c r="CG120" s="9">
        <f>IF(81&lt;=核心参数输入!$B$9*4,季度经营税费!CG178-季度经营税费!CG179-季度经营税费!CG172,0)</f>
        <v>0</v>
      </c>
      <c r="CH120" s="9">
        <f>IF(82&lt;=核心参数输入!$B$9*4,季度经营税费!CH178-季度经营税费!CH179-季度经营税费!CH172,0)</f>
        <v>0</v>
      </c>
      <c r="CI120" s="9">
        <f>IF(83&lt;=核心参数输入!$B$9*4,季度经营税费!CI178-季度经营税费!CI179-季度经营税费!CI172,0)</f>
        <v>0</v>
      </c>
      <c r="CJ120" s="9">
        <f>IF(84&lt;=核心参数输入!$B$9*4,季度经营税费!CJ178-季度经营税费!CJ179-季度经营税费!CJ172,0)</f>
        <v>0</v>
      </c>
      <c r="CK120" s="9">
        <f>IF(85&lt;=核心参数输入!$B$9*4,季度经营税费!CK178-季度经营税费!CK179-季度经营税费!CK172,0)</f>
        <v>0</v>
      </c>
      <c r="CL120" s="9">
        <f>IF(86&lt;=核心参数输入!$B$9*4,季度经营税费!CL178-季度经营税费!CL179-季度经营税费!CL172,0)</f>
        <v>0</v>
      </c>
      <c r="CM120" s="9">
        <f>IF(87&lt;=核心参数输入!$B$9*4,季度经营税费!CM178-季度经营税费!CM179-季度经营税费!CM172,0)</f>
        <v>0</v>
      </c>
      <c r="CN120" s="9">
        <f>IF(88&lt;=核心参数输入!$B$9*4,季度经营税费!CN178-季度经营税费!CN179-季度经营税费!CN172,0)</f>
        <v>0</v>
      </c>
      <c r="CO120" s="9">
        <f>IF(89&lt;=核心参数输入!$B$9*4,季度经营税费!CO178-季度经营税费!CO179-季度经营税费!CO172,0)</f>
        <v>0</v>
      </c>
      <c r="CP120" s="9">
        <f>IF(90&lt;=核心参数输入!$B$9*4,季度经营税费!CP178-季度经营税费!CP179-季度经营税费!CP172,0)</f>
        <v>0</v>
      </c>
      <c r="CQ120" s="9">
        <f>IF(91&lt;=核心参数输入!$B$9*4,季度经营税费!CQ178-季度经营税费!CQ179-季度经营税费!CQ172,0)</f>
        <v>0</v>
      </c>
      <c r="CR120" s="9">
        <f>IF(92&lt;=核心参数输入!$B$9*4,季度经营税费!CR178-季度经营税费!CR179-季度经营税费!CR172,0)</f>
        <v>0</v>
      </c>
      <c r="CS120" s="9">
        <f>IF(93&lt;=核心参数输入!$B$9*4,季度经营税费!CS178-季度经营税费!CS179-季度经营税费!CS172,0)</f>
        <v>0</v>
      </c>
      <c r="CT120" s="9">
        <f>IF(94&lt;=核心参数输入!$B$9*4,季度经营税费!CT178-季度经营税费!CT179-季度经营税费!CT172,0)</f>
        <v>0</v>
      </c>
      <c r="CU120" s="9">
        <f>IF(95&lt;=核心参数输入!$B$9*4,季度经营税费!CU178-季度经营税费!CU179-季度经营税费!CU172,0)</f>
        <v>0</v>
      </c>
      <c r="CV120" s="9">
        <f>IF(96&lt;=核心参数输入!$B$9*4,季度经营税费!CV178-季度经营税费!CV179-季度经营税费!CV172,0)</f>
        <v>0</v>
      </c>
      <c r="CW120" s="9">
        <f>IF(97&lt;=核心参数输入!$B$9*4,季度经营税费!CW178-季度经营税费!CW179-季度经营税费!CW172,0)</f>
        <v>0</v>
      </c>
      <c r="CX120" s="9">
        <f>IF(98&lt;=核心参数输入!$B$9*4,季度经营税费!CX178-季度经营税费!CX179-季度经营税费!CX172,0)</f>
        <v>0</v>
      </c>
      <c r="CY120" s="9">
        <f>IF(99&lt;=核心参数输入!$B$9*4,季度经营税费!CY178-季度经营税费!CY179-季度经营税费!CY172,0)</f>
        <v>0</v>
      </c>
      <c r="CZ120" s="9">
        <f>IF(100&lt;=核心参数输入!$B$9*4,季度经营税费!CZ178-季度经营税费!CZ179-季度经营税费!CZ172,0)</f>
        <v>0</v>
      </c>
      <c r="DA120" s="9">
        <f>IF(101&lt;=核心参数输入!$B$9*4,季度经营税费!DA178-季度经营税费!DA179-季度经营税费!DA172,0)</f>
        <v>0</v>
      </c>
      <c r="DB120" s="9">
        <f>IF(102&lt;=核心参数输入!$B$9*4,季度经营税费!DB178-季度经营税费!DB179-季度经营税费!DB172,0)</f>
        <v>0</v>
      </c>
      <c r="DC120" s="9">
        <f>IF(103&lt;=核心参数输入!$B$9*4,季度经营税费!DC178-季度经营税费!DC179-季度经营税费!DC172,0)</f>
        <v>0</v>
      </c>
      <c r="DD120" s="9">
        <f>IF(104&lt;=核心参数输入!$B$9*4,季度经营税费!DD178-季度经营税费!DD179-季度经营税费!DD172,0)</f>
        <v>0</v>
      </c>
      <c r="DE120" s="9">
        <f>IF(105&lt;=核心参数输入!$B$9*4,季度经营税费!DE178-季度经营税费!DE179-季度经营税费!DE172,0)</f>
        <v>0</v>
      </c>
      <c r="DF120" s="9">
        <f>IF(106&lt;=核心参数输入!$B$9*4,季度经营税费!DF178-季度经营税费!DF179-季度经营税费!DF172,0)</f>
        <v>0</v>
      </c>
      <c r="DG120" s="9">
        <f>IF(107&lt;=核心参数输入!$B$9*4,季度经营税费!DG178-季度经营税费!DG179-季度经营税费!DG172,0)</f>
        <v>0</v>
      </c>
      <c r="DH120" s="9">
        <f>IF(108&lt;=核心参数输入!$B$9*4,季度经营税费!DH178-季度经营税费!DH179-季度经营税费!DH172,0)</f>
        <v>0</v>
      </c>
      <c r="DI120" s="9">
        <f>IF(109&lt;=核心参数输入!$B$9*4,季度经营税费!DI178-季度经营税费!DI179-季度经营税费!DI172,0)</f>
        <v>0</v>
      </c>
      <c r="DJ120" s="9">
        <f>IF(110&lt;=核心参数输入!$B$9*4,季度经营税费!DJ178-季度经营税费!DJ179-季度经营税费!DJ172,0)</f>
        <v>0</v>
      </c>
      <c r="DK120" s="9">
        <f>IF(111&lt;=核心参数输入!$B$9*4,季度经营税费!DK178-季度经营税费!DK179-季度经营税费!DK172,0)</f>
        <v>0</v>
      </c>
      <c r="DL120" s="9">
        <f>IF(112&lt;=核心参数输入!$B$9*4,季度经营税费!DL178-季度经营税费!DL179-季度经营税费!DL172,0)</f>
        <v>0</v>
      </c>
      <c r="DM120" s="9">
        <f>IF(113&lt;=核心参数输入!$B$9*4,季度经营税费!DM178-季度经营税费!DM179-季度经营税费!DM172,0)</f>
        <v>0</v>
      </c>
      <c r="DN120" s="9">
        <f>IF(114&lt;=核心参数输入!$B$9*4,季度经营税费!DN178-季度经营税费!DN179-季度经营税费!DN172,0)</f>
        <v>0</v>
      </c>
      <c r="DO120" s="9">
        <f>IF(115&lt;=核心参数输入!$B$9*4,季度经营税费!DO178-季度经营税费!DO179-季度经营税费!DO172,0)</f>
        <v>0</v>
      </c>
      <c r="DP120" s="9">
        <f>IF(116&lt;=核心参数输入!$B$9*4,季度经营税费!DP178-季度经营税费!DP179-季度经营税费!DP172,0)</f>
        <v>0</v>
      </c>
      <c r="DQ120" s="9">
        <f>IF(117&lt;=核心参数输入!$B$9*4,季度经营税费!DQ178-季度经营税费!DQ179-季度经营税费!DQ172,0)</f>
        <v>0</v>
      </c>
      <c r="DR120" s="9">
        <f>IF(118&lt;=核心参数输入!$B$9*4,季度经营税费!DR178-季度经营税费!DR179-季度经营税费!DR172,0)</f>
        <v>0</v>
      </c>
      <c r="DS120" s="9">
        <f>IF(119&lt;=核心参数输入!$B$9*4,季度经营税费!DS178-季度经营税费!DS179-季度经营税费!DS172,0)</f>
        <v>0</v>
      </c>
      <c r="DT120" s="9">
        <f>IF(120&lt;=核心参数输入!$B$9*4,季度经营税费!DT178-季度经营税费!DT179-季度经营税费!DT172,0)</f>
        <v>0</v>
      </c>
    </row>
    <row r="121" spans="1:124" ht="21" customHeight="1">
      <c r="A121" s="8" t="s">
        <v>512</v>
      </c>
      <c r="B121" s="8" t="s">
        <v>39</v>
      </c>
      <c r="C121" s="8"/>
      <c r="D121" s="9">
        <f>IF(0&lt;=核心参数输入!$B$9*4,季度投融资!D161,0)</f>
        <v>8000</v>
      </c>
      <c r="E121" s="9">
        <f>IF(1&lt;=核心参数输入!$B$9*4,季度投融资!E161,0)</f>
        <v>4365.8999999999996</v>
      </c>
      <c r="F121" s="9">
        <f>IF(2&lt;=核心参数输入!$B$9*4,季度投融资!F161,0)</f>
        <v>4365.8999999999996</v>
      </c>
      <c r="G121" s="9">
        <f>IF(3&lt;=核心参数输入!$B$9*4,季度投融资!G161,0)</f>
        <v>4365.8999999999996</v>
      </c>
      <c r="H121" s="9">
        <f>IF(4&lt;=核心参数输入!$B$9*4,季度投融资!H161,0)</f>
        <v>4365.8999999999996</v>
      </c>
      <c r="I121" s="9">
        <f>IF(5&lt;=核心参数输入!$B$9*4,季度投融资!I161,0)</f>
        <v>5821.2000000000007</v>
      </c>
      <c r="J121" s="9">
        <f>IF(6&lt;=核心参数输入!$B$9*4,季度投融资!J161,0)</f>
        <v>5821.2000000000007</v>
      </c>
      <c r="K121" s="9">
        <f>IF(7&lt;=核心参数输入!$B$9*4,季度投融资!K161,0)</f>
        <v>5821.2000000000007</v>
      </c>
      <c r="L121" s="9">
        <f>IF(8&lt;=核心参数输入!$B$9*4,季度投融资!L161,0)</f>
        <v>5821.2000000000007</v>
      </c>
      <c r="M121" s="9">
        <f>IF(9&lt;=核心参数输入!$B$9*4,季度投融资!M161,0)</f>
        <v>4365.8999999999996</v>
      </c>
      <c r="N121" s="9">
        <f>IF(10&lt;=核心参数输入!$B$9*4,季度投融资!N161,0)</f>
        <v>4365.8999999999996</v>
      </c>
      <c r="O121" s="9">
        <f>IF(11&lt;=核心参数输入!$B$9*4,季度投融资!O161,0)</f>
        <v>4365.8999999999996</v>
      </c>
      <c r="P121" s="9">
        <f>IF(12&lt;=核心参数输入!$B$9*4,季度投融资!P161,0)</f>
        <v>4365.8999999999996</v>
      </c>
      <c r="Q121" s="9">
        <f>IF(13&lt;=核心参数输入!$B$9*4,季度投融资!Q161,0)</f>
        <v>500</v>
      </c>
      <c r="R121" s="9">
        <f>IF(14&lt;=核心参数输入!$B$9*4,季度投融资!R161,0)</f>
        <v>0</v>
      </c>
      <c r="S121" s="9">
        <f>IF(15&lt;=核心参数输入!$B$9*4,季度投融资!S161,0)</f>
        <v>0</v>
      </c>
      <c r="T121" s="9">
        <f>IF(16&lt;=核心参数输入!$B$9*4,季度投融资!T161,0)</f>
        <v>0</v>
      </c>
      <c r="U121" s="9">
        <f>IF(17&lt;=核心参数输入!$B$9*4,季度投融资!U161,0)</f>
        <v>0</v>
      </c>
      <c r="V121" s="9">
        <f>IF(18&lt;=核心参数输入!$B$9*4,季度投融资!V161,0)</f>
        <v>0</v>
      </c>
      <c r="W121" s="9">
        <f>IF(19&lt;=核心参数输入!$B$9*4,季度投融资!W161,0)</f>
        <v>0</v>
      </c>
      <c r="X121" s="9">
        <f>IF(20&lt;=核心参数输入!$B$9*4,季度投融资!X161,0)</f>
        <v>0</v>
      </c>
      <c r="Y121" s="9">
        <f>IF(21&lt;=核心参数输入!$B$9*4,季度投融资!Y161,0)</f>
        <v>0</v>
      </c>
      <c r="Z121" s="9">
        <f>IF(22&lt;=核心参数输入!$B$9*4,季度投融资!Z161,0)</f>
        <v>0</v>
      </c>
      <c r="AA121" s="9">
        <f>IF(23&lt;=核心参数输入!$B$9*4,季度投融资!AA161,0)</f>
        <v>0</v>
      </c>
      <c r="AB121" s="9">
        <f>IF(24&lt;=核心参数输入!$B$9*4,季度投融资!AB161,0)</f>
        <v>0</v>
      </c>
      <c r="AC121" s="9">
        <f>IF(25&lt;=核心参数输入!$B$9*4,季度投融资!AC161,0)</f>
        <v>0</v>
      </c>
      <c r="AD121" s="9">
        <f>IF(26&lt;=核心参数输入!$B$9*4,季度投融资!AD161,0)</f>
        <v>0</v>
      </c>
      <c r="AE121" s="9">
        <f>IF(27&lt;=核心参数输入!$B$9*4,季度投融资!AE161,0)</f>
        <v>0</v>
      </c>
      <c r="AF121" s="9">
        <f>IF(28&lt;=核心参数输入!$B$9*4,季度投融资!AF161,0)</f>
        <v>0</v>
      </c>
      <c r="AG121" s="9">
        <f>IF(29&lt;=核心参数输入!$B$9*4,季度投融资!AG161,0)</f>
        <v>0</v>
      </c>
      <c r="AH121" s="9">
        <f>IF(30&lt;=核心参数输入!$B$9*4,季度投融资!AH161,0)</f>
        <v>0</v>
      </c>
      <c r="AI121" s="9">
        <f>IF(31&lt;=核心参数输入!$B$9*4,季度投融资!AI161,0)</f>
        <v>0</v>
      </c>
      <c r="AJ121" s="9">
        <f>IF(32&lt;=核心参数输入!$B$9*4,季度投融资!AJ161,0)</f>
        <v>0</v>
      </c>
      <c r="AK121" s="9">
        <f>IF(33&lt;=核心参数输入!$B$9*4,季度投融资!AK161,0)</f>
        <v>0</v>
      </c>
      <c r="AL121" s="9">
        <f>IF(34&lt;=核心参数输入!$B$9*4,季度投融资!AL161,0)</f>
        <v>0</v>
      </c>
      <c r="AM121" s="9">
        <f>IF(35&lt;=核心参数输入!$B$9*4,季度投融资!AM161,0)</f>
        <v>0</v>
      </c>
      <c r="AN121" s="9">
        <f>IF(36&lt;=核心参数输入!$B$9*4,季度投融资!AN161,0)</f>
        <v>0</v>
      </c>
      <c r="AO121" s="9">
        <f>IF(37&lt;=核心参数输入!$B$9*4,季度投融资!AO161,0)</f>
        <v>0</v>
      </c>
      <c r="AP121" s="9">
        <f>IF(38&lt;=核心参数输入!$B$9*4,季度投融资!AP161,0)</f>
        <v>0</v>
      </c>
      <c r="AQ121" s="9">
        <f>IF(39&lt;=核心参数输入!$B$9*4,季度投融资!AQ161,0)</f>
        <v>0</v>
      </c>
      <c r="AR121" s="9">
        <f>IF(40&lt;=核心参数输入!$B$9*4,季度投融资!AR161,0)</f>
        <v>0</v>
      </c>
      <c r="AS121" s="9">
        <f>IF(41&lt;=核心参数输入!$B$9*4,季度投融资!AS161,0)</f>
        <v>0</v>
      </c>
      <c r="AT121" s="9">
        <f>IF(42&lt;=核心参数输入!$B$9*4,季度投融资!AT161,0)</f>
        <v>0</v>
      </c>
      <c r="AU121" s="9">
        <f>IF(43&lt;=核心参数输入!$B$9*4,季度投融资!AU161,0)</f>
        <v>0</v>
      </c>
      <c r="AV121" s="9">
        <f>IF(44&lt;=核心参数输入!$B$9*4,季度投融资!AV161,0)</f>
        <v>0</v>
      </c>
      <c r="AW121" s="9">
        <f>IF(45&lt;=核心参数输入!$B$9*4,季度投融资!AW161,0)</f>
        <v>0</v>
      </c>
      <c r="AX121" s="9">
        <f>IF(46&lt;=核心参数输入!$B$9*4,季度投融资!AX161,0)</f>
        <v>0</v>
      </c>
      <c r="AY121" s="9">
        <f>IF(47&lt;=核心参数输入!$B$9*4,季度投融资!AY161,0)</f>
        <v>0</v>
      </c>
      <c r="AZ121" s="9">
        <f>IF(48&lt;=核心参数输入!$B$9*4,季度投融资!AZ161,0)</f>
        <v>0</v>
      </c>
      <c r="BA121" s="9">
        <f>IF(49&lt;=核心参数输入!$B$9*4,季度投融资!BA161,0)</f>
        <v>0</v>
      </c>
      <c r="BB121" s="9">
        <f>IF(50&lt;=核心参数输入!$B$9*4,季度投融资!BB161,0)</f>
        <v>0</v>
      </c>
      <c r="BC121" s="9">
        <f>IF(51&lt;=核心参数输入!$B$9*4,季度投融资!BC161,0)</f>
        <v>0</v>
      </c>
      <c r="BD121" s="9">
        <f>IF(52&lt;=核心参数输入!$B$9*4,季度投融资!BD161,0)</f>
        <v>0</v>
      </c>
      <c r="BE121" s="9">
        <f>IF(53&lt;=核心参数输入!$B$9*4,季度投融资!BE161,0)</f>
        <v>0</v>
      </c>
      <c r="BF121" s="9">
        <f>IF(54&lt;=核心参数输入!$B$9*4,季度投融资!BF161,0)</f>
        <v>0</v>
      </c>
      <c r="BG121" s="9">
        <f>IF(55&lt;=核心参数输入!$B$9*4,季度投融资!BG161,0)</f>
        <v>0</v>
      </c>
      <c r="BH121" s="9">
        <f>IF(56&lt;=核心参数输入!$B$9*4,季度投融资!BH161,0)</f>
        <v>0</v>
      </c>
      <c r="BI121" s="9">
        <f>IF(57&lt;=核心参数输入!$B$9*4,季度投融资!BI161,0)</f>
        <v>0</v>
      </c>
      <c r="BJ121" s="9">
        <f>IF(58&lt;=核心参数输入!$B$9*4,季度投融资!BJ161,0)</f>
        <v>0</v>
      </c>
      <c r="BK121" s="9">
        <f>IF(59&lt;=核心参数输入!$B$9*4,季度投融资!BK161,0)</f>
        <v>0</v>
      </c>
      <c r="BL121" s="9">
        <f>IF(60&lt;=核心参数输入!$B$9*4,季度投融资!BL161,0)</f>
        <v>0</v>
      </c>
      <c r="BM121" s="9">
        <f>IF(61&lt;=核心参数输入!$B$9*4,季度投融资!BM161,0)</f>
        <v>0</v>
      </c>
      <c r="BN121" s="9">
        <f>IF(62&lt;=核心参数输入!$B$9*4,季度投融资!BN161,0)</f>
        <v>0</v>
      </c>
      <c r="BO121" s="9">
        <f>IF(63&lt;=核心参数输入!$B$9*4,季度投融资!BO161,0)</f>
        <v>0</v>
      </c>
      <c r="BP121" s="9">
        <f>IF(64&lt;=核心参数输入!$B$9*4,季度投融资!BP161,0)</f>
        <v>0</v>
      </c>
      <c r="BQ121" s="9">
        <f>IF(65&lt;=核心参数输入!$B$9*4,季度投融资!BQ161,0)</f>
        <v>0</v>
      </c>
      <c r="BR121" s="9">
        <f>IF(66&lt;=核心参数输入!$B$9*4,季度投融资!BR161,0)</f>
        <v>0</v>
      </c>
      <c r="BS121" s="9">
        <f>IF(67&lt;=核心参数输入!$B$9*4,季度投融资!BS161,0)</f>
        <v>0</v>
      </c>
      <c r="BT121" s="9">
        <f>IF(68&lt;=核心参数输入!$B$9*4,季度投融资!BT161,0)</f>
        <v>0</v>
      </c>
      <c r="BU121" s="9">
        <f>IF(69&lt;=核心参数输入!$B$9*4,季度投融资!BU161,0)</f>
        <v>0</v>
      </c>
      <c r="BV121" s="9">
        <f>IF(70&lt;=核心参数输入!$B$9*4,季度投融资!BV161,0)</f>
        <v>0</v>
      </c>
      <c r="BW121" s="9">
        <f>IF(71&lt;=核心参数输入!$B$9*4,季度投融资!BW161,0)</f>
        <v>0</v>
      </c>
      <c r="BX121" s="9">
        <f>IF(72&lt;=核心参数输入!$B$9*4,季度投融资!BX161,0)</f>
        <v>0</v>
      </c>
      <c r="BY121" s="9">
        <f>IF(73&lt;=核心参数输入!$B$9*4,季度投融资!BY161,0)</f>
        <v>0</v>
      </c>
      <c r="BZ121" s="9">
        <f>IF(74&lt;=核心参数输入!$B$9*4,季度投融资!BZ161,0)</f>
        <v>0</v>
      </c>
      <c r="CA121" s="9">
        <f>IF(75&lt;=核心参数输入!$B$9*4,季度投融资!CA161,0)</f>
        <v>0</v>
      </c>
      <c r="CB121" s="9">
        <f>IF(76&lt;=核心参数输入!$B$9*4,季度投融资!CB161,0)</f>
        <v>0</v>
      </c>
      <c r="CC121" s="9">
        <f>IF(77&lt;=核心参数输入!$B$9*4,季度投融资!CC161,0)</f>
        <v>0</v>
      </c>
      <c r="CD121" s="9">
        <f>IF(78&lt;=核心参数输入!$B$9*4,季度投融资!CD161,0)</f>
        <v>0</v>
      </c>
      <c r="CE121" s="9">
        <f>IF(79&lt;=核心参数输入!$B$9*4,季度投融资!CE161,0)</f>
        <v>0</v>
      </c>
      <c r="CF121" s="9">
        <f>IF(80&lt;=核心参数输入!$B$9*4,季度投融资!CF161,0)</f>
        <v>0</v>
      </c>
      <c r="CG121" s="9">
        <f>IF(81&lt;=核心参数输入!$B$9*4,季度投融资!CG161,0)</f>
        <v>0</v>
      </c>
      <c r="CH121" s="9">
        <f>IF(82&lt;=核心参数输入!$B$9*4,季度投融资!CH161,0)</f>
        <v>0</v>
      </c>
      <c r="CI121" s="9">
        <f>IF(83&lt;=核心参数输入!$B$9*4,季度投融资!CI161,0)</f>
        <v>0</v>
      </c>
      <c r="CJ121" s="9">
        <f>IF(84&lt;=核心参数输入!$B$9*4,季度投融资!CJ161,0)</f>
        <v>0</v>
      </c>
      <c r="CK121" s="9">
        <f>IF(85&lt;=核心参数输入!$B$9*4,季度投融资!CK161,0)</f>
        <v>0</v>
      </c>
      <c r="CL121" s="9">
        <f>IF(86&lt;=核心参数输入!$B$9*4,季度投融资!CL161,0)</f>
        <v>0</v>
      </c>
      <c r="CM121" s="9">
        <f>IF(87&lt;=核心参数输入!$B$9*4,季度投融资!CM161,0)</f>
        <v>0</v>
      </c>
      <c r="CN121" s="9">
        <f>IF(88&lt;=核心参数输入!$B$9*4,季度投融资!CN161,0)</f>
        <v>0</v>
      </c>
      <c r="CO121" s="9">
        <f>IF(89&lt;=核心参数输入!$B$9*4,季度投融资!CO161,0)</f>
        <v>0</v>
      </c>
      <c r="CP121" s="9">
        <f>IF(90&lt;=核心参数输入!$B$9*4,季度投融资!CP161,0)</f>
        <v>0</v>
      </c>
      <c r="CQ121" s="9">
        <f>IF(91&lt;=核心参数输入!$B$9*4,季度投融资!CQ161,0)</f>
        <v>0</v>
      </c>
      <c r="CR121" s="9">
        <f>IF(92&lt;=核心参数输入!$B$9*4,季度投融资!CR161,0)</f>
        <v>0</v>
      </c>
      <c r="CS121" s="9">
        <f>IF(93&lt;=核心参数输入!$B$9*4,季度投融资!CS161,0)</f>
        <v>0</v>
      </c>
      <c r="CT121" s="9">
        <f>IF(94&lt;=核心参数输入!$B$9*4,季度投融资!CT161,0)</f>
        <v>0</v>
      </c>
      <c r="CU121" s="9">
        <f>IF(95&lt;=核心参数输入!$B$9*4,季度投融资!CU161,0)</f>
        <v>0</v>
      </c>
      <c r="CV121" s="9">
        <f>IF(96&lt;=核心参数输入!$B$9*4,季度投融资!CV161,0)</f>
        <v>0</v>
      </c>
      <c r="CW121" s="9">
        <f>IF(97&lt;=核心参数输入!$B$9*4,季度投融资!CW161,0)</f>
        <v>0</v>
      </c>
      <c r="CX121" s="9">
        <f>IF(98&lt;=核心参数输入!$B$9*4,季度投融资!CX161,0)</f>
        <v>0</v>
      </c>
      <c r="CY121" s="9">
        <f>IF(99&lt;=核心参数输入!$B$9*4,季度投融资!CY161,0)</f>
        <v>0</v>
      </c>
      <c r="CZ121" s="9">
        <f>IF(100&lt;=核心参数输入!$B$9*4,季度投融资!CZ161,0)</f>
        <v>0</v>
      </c>
      <c r="DA121" s="9">
        <f>IF(101&lt;=核心参数输入!$B$9*4,季度投融资!DA161,0)</f>
        <v>0</v>
      </c>
      <c r="DB121" s="9">
        <f>IF(102&lt;=核心参数输入!$B$9*4,季度投融资!DB161,0)</f>
        <v>0</v>
      </c>
      <c r="DC121" s="9">
        <f>IF(103&lt;=核心参数输入!$B$9*4,季度投融资!DC161,0)</f>
        <v>0</v>
      </c>
      <c r="DD121" s="9">
        <f>IF(104&lt;=核心参数输入!$B$9*4,季度投融资!DD161,0)</f>
        <v>0</v>
      </c>
      <c r="DE121" s="9">
        <f>IF(105&lt;=核心参数输入!$B$9*4,季度投融资!DE161,0)</f>
        <v>0</v>
      </c>
      <c r="DF121" s="9">
        <f>IF(106&lt;=核心参数输入!$B$9*4,季度投融资!DF161,0)</f>
        <v>0</v>
      </c>
      <c r="DG121" s="9">
        <f>IF(107&lt;=核心参数输入!$B$9*4,季度投融资!DG161,0)</f>
        <v>0</v>
      </c>
      <c r="DH121" s="9">
        <f>IF(108&lt;=核心参数输入!$B$9*4,季度投融资!DH161,0)</f>
        <v>0</v>
      </c>
      <c r="DI121" s="9">
        <f>IF(109&lt;=核心参数输入!$B$9*4,季度投融资!DI161,0)</f>
        <v>0</v>
      </c>
      <c r="DJ121" s="9">
        <f>IF(110&lt;=核心参数输入!$B$9*4,季度投融资!DJ161,0)</f>
        <v>0</v>
      </c>
      <c r="DK121" s="9">
        <f>IF(111&lt;=核心参数输入!$B$9*4,季度投融资!DK161,0)</f>
        <v>0</v>
      </c>
      <c r="DL121" s="9">
        <f>IF(112&lt;=核心参数输入!$B$9*4,季度投融资!DL161,0)</f>
        <v>0</v>
      </c>
      <c r="DM121" s="9">
        <f>IF(113&lt;=核心参数输入!$B$9*4,季度投融资!DM161,0)</f>
        <v>0</v>
      </c>
      <c r="DN121" s="9">
        <f>IF(114&lt;=核心参数输入!$B$9*4,季度投融资!DN161,0)</f>
        <v>0</v>
      </c>
      <c r="DO121" s="9">
        <f>IF(115&lt;=核心参数输入!$B$9*4,季度投融资!DO161,0)</f>
        <v>0</v>
      </c>
      <c r="DP121" s="9">
        <f>IF(116&lt;=核心参数输入!$B$9*4,季度投融资!DP161,0)</f>
        <v>0</v>
      </c>
      <c r="DQ121" s="9">
        <f>IF(117&lt;=核心参数输入!$B$9*4,季度投融资!DQ161,0)</f>
        <v>0</v>
      </c>
      <c r="DR121" s="9">
        <f>IF(118&lt;=核心参数输入!$B$9*4,季度投融资!DR161,0)</f>
        <v>0</v>
      </c>
      <c r="DS121" s="9">
        <f>IF(119&lt;=核心参数输入!$B$9*4,季度投融资!DS161,0)</f>
        <v>0</v>
      </c>
      <c r="DT121" s="9">
        <f>IF(120&lt;=核心参数输入!$B$9*4,季度投融资!DT161,0)</f>
        <v>0</v>
      </c>
    </row>
    <row r="122" spans="1:124" ht="21" customHeight="1">
      <c r="A122" s="8" t="s">
        <v>372</v>
      </c>
      <c r="B122" s="8" t="s">
        <v>39</v>
      </c>
      <c r="C122" s="8"/>
      <c r="D122" s="9">
        <f>IF(0&lt;=核心参数输入!$B$9*4,季度投融资!D149,0)</f>
        <v>0</v>
      </c>
      <c r="E122" s="9">
        <f>IF(1&lt;=核心参数输入!$B$9*4,季度投融资!E149,0)</f>
        <v>2250</v>
      </c>
      <c r="F122" s="9">
        <f>IF(2&lt;=核心参数输入!$B$9*4,季度投融资!F149,0)</f>
        <v>2250</v>
      </c>
      <c r="G122" s="9">
        <f>IF(3&lt;=核心参数输入!$B$9*4,季度投融资!G149,0)</f>
        <v>2250</v>
      </c>
      <c r="H122" s="9">
        <f>IF(4&lt;=核心参数输入!$B$9*4,季度投融资!H149,0)</f>
        <v>2250</v>
      </c>
      <c r="I122" s="9">
        <f>IF(5&lt;=核心参数输入!$B$9*4,季度投融资!I149,0)</f>
        <v>3000</v>
      </c>
      <c r="J122" s="9">
        <f>IF(6&lt;=核心参数输入!$B$9*4,季度投融资!J149,0)</f>
        <v>3000</v>
      </c>
      <c r="K122" s="9">
        <f>IF(7&lt;=核心参数输入!$B$9*4,季度投融资!K149,0)</f>
        <v>3000</v>
      </c>
      <c r="L122" s="9">
        <f>IF(8&lt;=核心参数输入!$B$9*4,季度投融资!L149,0)</f>
        <v>3000</v>
      </c>
      <c r="M122" s="9">
        <f>IF(9&lt;=核心参数输入!$B$9*4,季度投融资!M149,0)</f>
        <v>2250</v>
      </c>
      <c r="N122" s="9">
        <f>IF(10&lt;=核心参数输入!$B$9*4,季度投融资!N149,0)</f>
        <v>2250</v>
      </c>
      <c r="O122" s="9">
        <f>IF(11&lt;=核心参数输入!$B$9*4,季度投融资!O149,0)</f>
        <v>2250</v>
      </c>
      <c r="P122" s="9">
        <f>IF(12&lt;=核心参数输入!$B$9*4,季度投融资!P149,0)</f>
        <v>2250</v>
      </c>
      <c r="Q122" s="9">
        <f>IF(13&lt;=核心参数输入!$B$9*4,季度投融资!Q149,0)</f>
        <v>0</v>
      </c>
      <c r="R122" s="9">
        <f>IF(14&lt;=核心参数输入!$B$9*4,季度投融资!R149,0)</f>
        <v>0</v>
      </c>
      <c r="S122" s="9">
        <f>IF(15&lt;=核心参数输入!$B$9*4,季度投融资!S149,0)</f>
        <v>0</v>
      </c>
      <c r="T122" s="9">
        <f>IF(16&lt;=核心参数输入!$B$9*4,季度投融资!T149,0)</f>
        <v>0</v>
      </c>
      <c r="U122" s="9">
        <f>IF(17&lt;=核心参数输入!$B$9*4,季度投融资!U149,0)</f>
        <v>0</v>
      </c>
      <c r="V122" s="9">
        <f>IF(18&lt;=核心参数输入!$B$9*4,季度投融资!V149,0)</f>
        <v>0</v>
      </c>
      <c r="W122" s="9">
        <f>IF(19&lt;=核心参数输入!$B$9*4,季度投融资!W149,0)</f>
        <v>0</v>
      </c>
      <c r="X122" s="9">
        <f>IF(20&lt;=核心参数输入!$B$9*4,季度投融资!X149,0)</f>
        <v>0</v>
      </c>
      <c r="Y122" s="9">
        <f>IF(21&lt;=核心参数输入!$B$9*4,季度投融资!Y149,0)</f>
        <v>0</v>
      </c>
      <c r="Z122" s="9">
        <f>IF(22&lt;=核心参数输入!$B$9*4,季度投融资!Z149,0)</f>
        <v>0</v>
      </c>
      <c r="AA122" s="9">
        <f>IF(23&lt;=核心参数输入!$B$9*4,季度投融资!AA149,0)</f>
        <v>0</v>
      </c>
      <c r="AB122" s="9">
        <f>IF(24&lt;=核心参数输入!$B$9*4,季度投融资!AB149,0)</f>
        <v>0</v>
      </c>
      <c r="AC122" s="9">
        <f>IF(25&lt;=核心参数输入!$B$9*4,季度投融资!AC149,0)</f>
        <v>0</v>
      </c>
      <c r="AD122" s="9">
        <f>IF(26&lt;=核心参数输入!$B$9*4,季度投融资!AD149,0)</f>
        <v>0</v>
      </c>
      <c r="AE122" s="9">
        <f>IF(27&lt;=核心参数输入!$B$9*4,季度投融资!AE149,0)</f>
        <v>0</v>
      </c>
      <c r="AF122" s="9">
        <f>IF(28&lt;=核心参数输入!$B$9*4,季度投融资!AF149,0)</f>
        <v>0</v>
      </c>
      <c r="AG122" s="9">
        <f>IF(29&lt;=核心参数输入!$B$9*4,季度投融资!AG149,0)</f>
        <v>0</v>
      </c>
      <c r="AH122" s="9">
        <f>IF(30&lt;=核心参数输入!$B$9*4,季度投融资!AH149,0)</f>
        <v>0</v>
      </c>
      <c r="AI122" s="9">
        <f>IF(31&lt;=核心参数输入!$B$9*4,季度投融资!AI149,0)</f>
        <v>0</v>
      </c>
      <c r="AJ122" s="9">
        <f>IF(32&lt;=核心参数输入!$B$9*4,季度投融资!AJ149,0)</f>
        <v>0</v>
      </c>
      <c r="AK122" s="9">
        <f>IF(33&lt;=核心参数输入!$B$9*4,季度投融资!AK149,0)</f>
        <v>0</v>
      </c>
      <c r="AL122" s="9">
        <f>IF(34&lt;=核心参数输入!$B$9*4,季度投融资!AL149,0)</f>
        <v>0</v>
      </c>
      <c r="AM122" s="9">
        <f>IF(35&lt;=核心参数输入!$B$9*4,季度投融资!AM149,0)</f>
        <v>0</v>
      </c>
      <c r="AN122" s="9">
        <f>IF(36&lt;=核心参数输入!$B$9*4,季度投融资!AN149,0)</f>
        <v>0</v>
      </c>
      <c r="AO122" s="9">
        <f>IF(37&lt;=核心参数输入!$B$9*4,季度投融资!AO149,0)</f>
        <v>0</v>
      </c>
      <c r="AP122" s="9">
        <f>IF(38&lt;=核心参数输入!$B$9*4,季度投融资!AP149,0)</f>
        <v>0</v>
      </c>
      <c r="AQ122" s="9">
        <f>IF(39&lt;=核心参数输入!$B$9*4,季度投融资!AQ149,0)</f>
        <v>0</v>
      </c>
      <c r="AR122" s="9">
        <f>IF(40&lt;=核心参数输入!$B$9*4,季度投融资!AR149,0)</f>
        <v>0</v>
      </c>
      <c r="AS122" s="9">
        <f>IF(41&lt;=核心参数输入!$B$9*4,季度投融资!AS149,0)</f>
        <v>0</v>
      </c>
      <c r="AT122" s="9">
        <f>IF(42&lt;=核心参数输入!$B$9*4,季度投融资!AT149,0)</f>
        <v>0</v>
      </c>
      <c r="AU122" s="9">
        <f>IF(43&lt;=核心参数输入!$B$9*4,季度投融资!AU149,0)</f>
        <v>0</v>
      </c>
      <c r="AV122" s="9">
        <f>IF(44&lt;=核心参数输入!$B$9*4,季度投融资!AV149,0)</f>
        <v>0</v>
      </c>
      <c r="AW122" s="9">
        <f>IF(45&lt;=核心参数输入!$B$9*4,季度投融资!AW149,0)</f>
        <v>0</v>
      </c>
      <c r="AX122" s="9">
        <f>IF(46&lt;=核心参数输入!$B$9*4,季度投融资!AX149,0)</f>
        <v>0</v>
      </c>
      <c r="AY122" s="9">
        <f>IF(47&lt;=核心参数输入!$B$9*4,季度投融资!AY149,0)</f>
        <v>0</v>
      </c>
      <c r="AZ122" s="9">
        <f>IF(48&lt;=核心参数输入!$B$9*4,季度投融资!AZ149,0)</f>
        <v>0</v>
      </c>
      <c r="BA122" s="9">
        <f>IF(49&lt;=核心参数输入!$B$9*4,季度投融资!BA149,0)</f>
        <v>0</v>
      </c>
      <c r="BB122" s="9">
        <f>IF(50&lt;=核心参数输入!$B$9*4,季度投融资!BB149,0)</f>
        <v>0</v>
      </c>
      <c r="BC122" s="9">
        <f>IF(51&lt;=核心参数输入!$B$9*4,季度投融资!BC149,0)</f>
        <v>0</v>
      </c>
      <c r="BD122" s="9">
        <f>IF(52&lt;=核心参数输入!$B$9*4,季度投融资!BD149,0)</f>
        <v>0</v>
      </c>
      <c r="BE122" s="9">
        <f>IF(53&lt;=核心参数输入!$B$9*4,季度投融资!BE149,0)</f>
        <v>0</v>
      </c>
      <c r="BF122" s="9">
        <f>IF(54&lt;=核心参数输入!$B$9*4,季度投融资!BF149,0)</f>
        <v>0</v>
      </c>
      <c r="BG122" s="9">
        <f>IF(55&lt;=核心参数输入!$B$9*4,季度投融资!BG149,0)</f>
        <v>0</v>
      </c>
      <c r="BH122" s="9">
        <f>IF(56&lt;=核心参数输入!$B$9*4,季度投融资!BH149,0)</f>
        <v>0</v>
      </c>
      <c r="BI122" s="9">
        <f>IF(57&lt;=核心参数输入!$B$9*4,季度投融资!BI149,0)</f>
        <v>0</v>
      </c>
      <c r="BJ122" s="9">
        <f>IF(58&lt;=核心参数输入!$B$9*4,季度投融资!BJ149,0)</f>
        <v>0</v>
      </c>
      <c r="BK122" s="9">
        <f>IF(59&lt;=核心参数输入!$B$9*4,季度投融资!BK149,0)</f>
        <v>0</v>
      </c>
      <c r="BL122" s="9">
        <f>IF(60&lt;=核心参数输入!$B$9*4,季度投融资!BL149,0)</f>
        <v>0</v>
      </c>
      <c r="BM122" s="9">
        <f>IF(61&lt;=核心参数输入!$B$9*4,季度投融资!BM149,0)</f>
        <v>0</v>
      </c>
      <c r="BN122" s="9">
        <f>IF(62&lt;=核心参数输入!$B$9*4,季度投融资!BN149,0)</f>
        <v>0</v>
      </c>
      <c r="BO122" s="9">
        <f>IF(63&lt;=核心参数输入!$B$9*4,季度投融资!BO149,0)</f>
        <v>0</v>
      </c>
      <c r="BP122" s="9">
        <f>IF(64&lt;=核心参数输入!$B$9*4,季度投融资!BP149,0)</f>
        <v>0</v>
      </c>
      <c r="BQ122" s="9">
        <f>IF(65&lt;=核心参数输入!$B$9*4,季度投融资!BQ149,0)</f>
        <v>0</v>
      </c>
      <c r="BR122" s="9">
        <f>IF(66&lt;=核心参数输入!$B$9*4,季度投融资!BR149,0)</f>
        <v>0</v>
      </c>
      <c r="BS122" s="9">
        <f>IF(67&lt;=核心参数输入!$B$9*4,季度投融资!BS149,0)</f>
        <v>0</v>
      </c>
      <c r="BT122" s="9">
        <f>IF(68&lt;=核心参数输入!$B$9*4,季度投融资!BT149,0)</f>
        <v>0</v>
      </c>
      <c r="BU122" s="9">
        <f>IF(69&lt;=核心参数输入!$B$9*4,季度投融资!BU149,0)</f>
        <v>0</v>
      </c>
      <c r="BV122" s="9">
        <f>IF(70&lt;=核心参数输入!$B$9*4,季度投融资!BV149,0)</f>
        <v>0</v>
      </c>
      <c r="BW122" s="9">
        <f>IF(71&lt;=核心参数输入!$B$9*4,季度投融资!BW149,0)</f>
        <v>0</v>
      </c>
      <c r="BX122" s="9">
        <f>IF(72&lt;=核心参数输入!$B$9*4,季度投融资!BX149,0)</f>
        <v>0</v>
      </c>
      <c r="BY122" s="9">
        <f>IF(73&lt;=核心参数输入!$B$9*4,季度投融资!BY149,0)</f>
        <v>0</v>
      </c>
      <c r="BZ122" s="9">
        <f>IF(74&lt;=核心参数输入!$B$9*4,季度投融资!BZ149,0)</f>
        <v>0</v>
      </c>
      <c r="CA122" s="9">
        <f>IF(75&lt;=核心参数输入!$B$9*4,季度投融资!CA149,0)</f>
        <v>0</v>
      </c>
      <c r="CB122" s="9">
        <f>IF(76&lt;=核心参数输入!$B$9*4,季度投融资!CB149,0)</f>
        <v>0</v>
      </c>
      <c r="CC122" s="9">
        <f>IF(77&lt;=核心参数输入!$B$9*4,季度投融资!CC149,0)</f>
        <v>0</v>
      </c>
      <c r="CD122" s="9">
        <f>IF(78&lt;=核心参数输入!$B$9*4,季度投融资!CD149,0)</f>
        <v>0</v>
      </c>
      <c r="CE122" s="9">
        <f>IF(79&lt;=核心参数输入!$B$9*4,季度投融资!CE149,0)</f>
        <v>0</v>
      </c>
      <c r="CF122" s="9">
        <f>IF(80&lt;=核心参数输入!$B$9*4,季度投融资!CF149,0)</f>
        <v>0</v>
      </c>
      <c r="CG122" s="9">
        <f>IF(81&lt;=核心参数输入!$B$9*4,季度投融资!CG149,0)</f>
        <v>0</v>
      </c>
      <c r="CH122" s="9">
        <f>IF(82&lt;=核心参数输入!$B$9*4,季度投融资!CH149,0)</f>
        <v>0</v>
      </c>
      <c r="CI122" s="9">
        <f>IF(83&lt;=核心参数输入!$B$9*4,季度投融资!CI149,0)</f>
        <v>0</v>
      </c>
      <c r="CJ122" s="9">
        <f>IF(84&lt;=核心参数输入!$B$9*4,季度投融资!CJ149,0)</f>
        <v>0</v>
      </c>
      <c r="CK122" s="9">
        <f>IF(85&lt;=核心参数输入!$B$9*4,季度投融资!CK149,0)</f>
        <v>0</v>
      </c>
      <c r="CL122" s="9">
        <f>IF(86&lt;=核心参数输入!$B$9*4,季度投融资!CL149,0)</f>
        <v>0</v>
      </c>
      <c r="CM122" s="9">
        <f>IF(87&lt;=核心参数输入!$B$9*4,季度投融资!CM149,0)</f>
        <v>0</v>
      </c>
      <c r="CN122" s="9">
        <f>IF(88&lt;=核心参数输入!$B$9*4,季度投融资!CN149,0)</f>
        <v>0</v>
      </c>
      <c r="CO122" s="9">
        <f>IF(89&lt;=核心参数输入!$B$9*4,季度投融资!CO149,0)</f>
        <v>0</v>
      </c>
      <c r="CP122" s="9">
        <f>IF(90&lt;=核心参数输入!$B$9*4,季度投融资!CP149,0)</f>
        <v>0</v>
      </c>
      <c r="CQ122" s="9">
        <f>IF(91&lt;=核心参数输入!$B$9*4,季度投融资!CQ149,0)</f>
        <v>0</v>
      </c>
      <c r="CR122" s="9">
        <f>IF(92&lt;=核心参数输入!$B$9*4,季度投融资!CR149,0)</f>
        <v>0</v>
      </c>
      <c r="CS122" s="9">
        <f>IF(93&lt;=核心参数输入!$B$9*4,季度投融资!CS149,0)</f>
        <v>0</v>
      </c>
      <c r="CT122" s="9">
        <f>IF(94&lt;=核心参数输入!$B$9*4,季度投融资!CT149,0)</f>
        <v>0</v>
      </c>
      <c r="CU122" s="9">
        <f>IF(95&lt;=核心参数输入!$B$9*4,季度投融资!CU149,0)</f>
        <v>0</v>
      </c>
      <c r="CV122" s="9">
        <f>IF(96&lt;=核心参数输入!$B$9*4,季度投融资!CV149,0)</f>
        <v>0</v>
      </c>
      <c r="CW122" s="9">
        <f>IF(97&lt;=核心参数输入!$B$9*4,季度投融资!CW149,0)</f>
        <v>0</v>
      </c>
      <c r="CX122" s="9">
        <f>IF(98&lt;=核心参数输入!$B$9*4,季度投融资!CX149,0)</f>
        <v>0</v>
      </c>
      <c r="CY122" s="9">
        <f>IF(99&lt;=核心参数输入!$B$9*4,季度投融资!CY149,0)</f>
        <v>0</v>
      </c>
      <c r="CZ122" s="9">
        <f>IF(100&lt;=核心参数输入!$B$9*4,季度投融资!CZ149,0)</f>
        <v>0</v>
      </c>
      <c r="DA122" s="9">
        <f>IF(101&lt;=核心参数输入!$B$9*4,季度投融资!DA149,0)</f>
        <v>0</v>
      </c>
      <c r="DB122" s="9">
        <f>IF(102&lt;=核心参数输入!$B$9*4,季度投融资!DB149,0)</f>
        <v>0</v>
      </c>
      <c r="DC122" s="9">
        <f>IF(103&lt;=核心参数输入!$B$9*4,季度投融资!DC149,0)</f>
        <v>0</v>
      </c>
      <c r="DD122" s="9">
        <f>IF(104&lt;=核心参数输入!$B$9*4,季度投融资!DD149,0)</f>
        <v>0</v>
      </c>
      <c r="DE122" s="9">
        <f>IF(105&lt;=核心参数输入!$B$9*4,季度投融资!DE149,0)</f>
        <v>0</v>
      </c>
      <c r="DF122" s="9">
        <f>IF(106&lt;=核心参数输入!$B$9*4,季度投融资!DF149,0)</f>
        <v>0</v>
      </c>
      <c r="DG122" s="9">
        <f>IF(107&lt;=核心参数输入!$B$9*4,季度投融资!DG149,0)</f>
        <v>0</v>
      </c>
      <c r="DH122" s="9">
        <f>IF(108&lt;=核心参数输入!$B$9*4,季度投融资!DH149,0)</f>
        <v>0</v>
      </c>
      <c r="DI122" s="9">
        <f>IF(109&lt;=核心参数输入!$B$9*4,季度投融资!DI149,0)</f>
        <v>0</v>
      </c>
      <c r="DJ122" s="9">
        <f>IF(110&lt;=核心参数输入!$B$9*4,季度投融资!DJ149,0)</f>
        <v>0</v>
      </c>
      <c r="DK122" s="9">
        <f>IF(111&lt;=核心参数输入!$B$9*4,季度投融资!DK149,0)</f>
        <v>0</v>
      </c>
      <c r="DL122" s="9">
        <f>IF(112&lt;=核心参数输入!$B$9*4,季度投融资!DL149,0)</f>
        <v>0</v>
      </c>
      <c r="DM122" s="9">
        <f>IF(113&lt;=核心参数输入!$B$9*4,季度投融资!DM149,0)</f>
        <v>0</v>
      </c>
      <c r="DN122" s="9">
        <f>IF(114&lt;=核心参数输入!$B$9*4,季度投融资!DN149,0)</f>
        <v>0</v>
      </c>
      <c r="DO122" s="9">
        <f>IF(115&lt;=核心参数输入!$B$9*4,季度投融资!DO149,0)</f>
        <v>0</v>
      </c>
      <c r="DP122" s="9">
        <f>IF(116&lt;=核心参数输入!$B$9*4,季度投融资!DP149,0)</f>
        <v>0</v>
      </c>
      <c r="DQ122" s="9">
        <f>IF(117&lt;=核心参数输入!$B$9*4,季度投融资!DQ149,0)</f>
        <v>0</v>
      </c>
      <c r="DR122" s="9">
        <f>IF(118&lt;=核心参数输入!$B$9*4,季度投融资!DR149,0)</f>
        <v>0</v>
      </c>
      <c r="DS122" s="9">
        <f>IF(119&lt;=核心参数输入!$B$9*4,季度投融资!DS149,0)</f>
        <v>0</v>
      </c>
      <c r="DT122" s="9">
        <f>IF(120&lt;=核心参数输入!$B$9*4,季度投融资!DT149,0)</f>
        <v>0</v>
      </c>
    </row>
    <row r="123" spans="1:124" ht="21" customHeight="1">
      <c r="A123" s="8" t="s">
        <v>513</v>
      </c>
      <c r="B123" s="8" t="s">
        <v>39</v>
      </c>
      <c r="C123" s="8"/>
      <c r="D123" s="9">
        <f>IF(0&lt;=核心参数输入!$B$9*4,季度投融资!D152,0)</f>
        <v>0</v>
      </c>
      <c r="E123" s="9">
        <f>IF(1&lt;=核心参数输入!$B$9*4,季度投融资!E152,0)</f>
        <v>11.8125</v>
      </c>
      <c r="F123" s="9">
        <f>IF(2&lt;=核心参数输入!$B$9*4,季度投融资!F152,0)</f>
        <v>35.4375</v>
      </c>
      <c r="G123" s="9">
        <f>IF(3&lt;=核心参数输入!$B$9*4,季度投融资!G152,0)</f>
        <v>59.062500000000007</v>
      </c>
      <c r="H123" s="9">
        <f>IF(4&lt;=核心参数输入!$B$9*4,季度投融资!H152,0)</f>
        <v>82.6875</v>
      </c>
      <c r="I123" s="9">
        <f>IF(5&lt;=核心参数输入!$B$9*4,季度投融资!I152,0)</f>
        <v>110.25</v>
      </c>
      <c r="J123" s="9">
        <f>IF(6&lt;=核心参数输入!$B$9*4,季度投融资!J152,0)</f>
        <v>141.75</v>
      </c>
      <c r="K123" s="9">
        <f>IF(7&lt;=核心参数输入!$B$9*4,季度投融资!K152,0)</f>
        <v>173.25</v>
      </c>
      <c r="L123" s="9">
        <f>IF(8&lt;=核心参数输入!$B$9*4,季度投融资!L152,0)</f>
        <v>204.75</v>
      </c>
      <c r="M123" s="9">
        <f>IF(9&lt;=核心参数输入!$B$9*4,季度投融资!M152,0)</f>
        <v>232.31250000000003</v>
      </c>
      <c r="N123" s="9">
        <f>IF(10&lt;=核心参数输入!$B$9*4,季度投融资!N152,0)</f>
        <v>255.93750000000003</v>
      </c>
      <c r="O123" s="9">
        <f>IF(11&lt;=核心参数输入!$B$9*4,季度投融资!O152,0)</f>
        <v>279.5625</v>
      </c>
      <c r="P123" s="9">
        <f>IF(12&lt;=核心参数输入!$B$9*4,季度投融资!P152,0)</f>
        <v>303.1875</v>
      </c>
      <c r="Q123" s="9">
        <f>IF(13&lt;=核心参数输入!$B$9*4,季度投融资!Q152,0)</f>
        <v>315</v>
      </c>
      <c r="R123" s="9">
        <f>IF(14&lt;=核心参数输入!$B$9*4,季度投融资!R152,0)</f>
        <v>315</v>
      </c>
      <c r="S123" s="9">
        <f>IF(15&lt;=核心参数输入!$B$9*4,季度投融资!S152,0)</f>
        <v>315</v>
      </c>
      <c r="T123" s="9">
        <f>IF(16&lt;=核心参数输入!$B$9*4,季度投融资!T152,0)</f>
        <v>292.50000000000006</v>
      </c>
      <c r="U123" s="9">
        <f>IF(17&lt;=核心参数输入!$B$9*4,季度投融资!U152,0)</f>
        <v>270</v>
      </c>
      <c r="V123" s="9">
        <f>IF(18&lt;=核心参数输入!$B$9*4,季度投融资!V152,0)</f>
        <v>270</v>
      </c>
      <c r="W123" s="9">
        <f>IF(19&lt;=核心参数输入!$B$9*4,季度投融资!W152,0)</f>
        <v>270</v>
      </c>
      <c r="X123" s="9">
        <f>IF(20&lt;=核心参数输入!$B$9*4,季度投融资!X152,0)</f>
        <v>247.50000000000003</v>
      </c>
      <c r="Y123" s="9">
        <f>IF(21&lt;=核心参数输入!$B$9*4,季度投融资!Y152,0)</f>
        <v>225</v>
      </c>
      <c r="Z123" s="9">
        <f>IF(22&lt;=核心参数输入!$B$9*4,季度投融资!Z152,0)</f>
        <v>225</v>
      </c>
      <c r="AA123" s="9">
        <f>IF(23&lt;=核心参数输入!$B$9*4,季度投融资!AA152,0)</f>
        <v>225</v>
      </c>
      <c r="AB123" s="9">
        <f>IF(24&lt;=核心参数输入!$B$9*4,季度投融资!AB152,0)</f>
        <v>202.50000000000003</v>
      </c>
      <c r="AC123" s="9">
        <f>IF(25&lt;=核心参数输入!$B$9*4,季度投融资!AC152,0)</f>
        <v>180</v>
      </c>
      <c r="AD123" s="9">
        <f>IF(26&lt;=核心参数输入!$B$9*4,季度投融资!AD152,0)</f>
        <v>180</v>
      </c>
      <c r="AE123" s="9">
        <f>IF(27&lt;=核心参数输入!$B$9*4,季度投融资!AE152,0)</f>
        <v>180</v>
      </c>
      <c r="AF123" s="9">
        <f>IF(28&lt;=核心参数输入!$B$9*4,季度投融资!AF152,0)</f>
        <v>157.5</v>
      </c>
      <c r="AG123" s="9">
        <f>IF(29&lt;=核心参数输入!$B$9*4,季度投融资!AG152,0)</f>
        <v>135</v>
      </c>
      <c r="AH123" s="9">
        <f>IF(30&lt;=核心参数输入!$B$9*4,季度投融资!AH152,0)</f>
        <v>135</v>
      </c>
      <c r="AI123" s="9">
        <f>IF(31&lt;=核心参数输入!$B$9*4,季度投融资!AI152,0)</f>
        <v>135</v>
      </c>
      <c r="AJ123" s="9">
        <f>IF(32&lt;=核心参数输入!$B$9*4,季度投融资!AJ152,0)</f>
        <v>112.49999999999999</v>
      </c>
      <c r="AK123" s="9">
        <f>IF(33&lt;=核心参数输入!$B$9*4,季度投融资!AK152,0)</f>
        <v>89.999999999999972</v>
      </c>
      <c r="AL123" s="9">
        <f>IF(34&lt;=核心参数输入!$B$9*4,季度投融资!AL152,0)</f>
        <v>89.999999999999972</v>
      </c>
      <c r="AM123" s="9">
        <f>IF(35&lt;=核心参数输入!$B$9*4,季度投融资!AM152,0)</f>
        <v>89.999999999999972</v>
      </c>
      <c r="AN123" s="9">
        <f>IF(36&lt;=核心参数输入!$B$9*4,季度投融资!AN152,0)</f>
        <v>67.499999999999972</v>
      </c>
      <c r="AO123" s="9">
        <f>IF(37&lt;=核心参数输入!$B$9*4,季度投融资!AO152,0)</f>
        <v>44.999999999999979</v>
      </c>
      <c r="AP123" s="9">
        <f>IF(38&lt;=核心参数输入!$B$9*4,季度投融资!AP152,0)</f>
        <v>44.999999999999979</v>
      </c>
      <c r="AQ123" s="9">
        <f>IF(39&lt;=核心参数输入!$B$9*4,季度投融资!AQ152,0)</f>
        <v>44.999999999999979</v>
      </c>
      <c r="AR123" s="9">
        <f>IF(40&lt;=核心参数输入!$B$9*4,季度投融资!AR152,0)</f>
        <v>22.499999999999989</v>
      </c>
      <c r="AS123" s="9">
        <f>IF(41&lt;=核心参数输入!$B$9*4,季度投融资!AS152,0)</f>
        <v>0</v>
      </c>
      <c r="AT123" s="9">
        <f>IF(42&lt;=核心参数输入!$B$9*4,季度投融资!AT152,0)</f>
        <v>0</v>
      </c>
      <c r="AU123" s="9">
        <f>IF(43&lt;=核心参数输入!$B$9*4,季度投融资!AU152,0)</f>
        <v>0</v>
      </c>
      <c r="AV123" s="9">
        <f>IF(44&lt;=核心参数输入!$B$9*4,季度投融资!AV152,0)</f>
        <v>0</v>
      </c>
      <c r="AW123" s="9">
        <f>IF(45&lt;=核心参数输入!$B$9*4,季度投融资!AW152,0)</f>
        <v>0</v>
      </c>
      <c r="AX123" s="9">
        <f>IF(46&lt;=核心参数输入!$B$9*4,季度投融资!AX152,0)</f>
        <v>0</v>
      </c>
      <c r="AY123" s="9">
        <f>IF(47&lt;=核心参数输入!$B$9*4,季度投融资!AY152,0)</f>
        <v>0</v>
      </c>
      <c r="AZ123" s="9">
        <f>IF(48&lt;=核心参数输入!$B$9*4,季度投融资!AZ152,0)</f>
        <v>0</v>
      </c>
      <c r="BA123" s="9">
        <f>IF(49&lt;=核心参数输入!$B$9*4,季度投融资!BA152,0)</f>
        <v>0</v>
      </c>
      <c r="BB123" s="9">
        <f>IF(50&lt;=核心参数输入!$B$9*4,季度投融资!BB152,0)</f>
        <v>0</v>
      </c>
      <c r="BC123" s="9">
        <f>IF(51&lt;=核心参数输入!$B$9*4,季度投融资!BC152,0)</f>
        <v>0</v>
      </c>
      <c r="BD123" s="9">
        <f>IF(52&lt;=核心参数输入!$B$9*4,季度投融资!BD152,0)</f>
        <v>0</v>
      </c>
      <c r="BE123" s="9">
        <f>IF(53&lt;=核心参数输入!$B$9*4,季度投融资!BE152,0)</f>
        <v>0</v>
      </c>
      <c r="BF123" s="9">
        <f>IF(54&lt;=核心参数输入!$B$9*4,季度投融资!BF152,0)</f>
        <v>0</v>
      </c>
      <c r="BG123" s="9">
        <f>IF(55&lt;=核心参数输入!$B$9*4,季度投融资!BG152,0)</f>
        <v>0</v>
      </c>
      <c r="BH123" s="9">
        <f>IF(56&lt;=核心参数输入!$B$9*4,季度投融资!BH152,0)</f>
        <v>0</v>
      </c>
      <c r="BI123" s="9">
        <f>IF(57&lt;=核心参数输入!$B$9*4,季度投融资!BI152,0)</f>
        <v>0</v>
      </c>
      <c r="BJ123" s="9">
        <f>IF(58&lt;=核心参数输入!$B$9*4,季度投融资!BJ152,0)</f>
        <v>0</v>
      </c>
      <c r="BK123" s="9">
        <f>IF(59&lt;=核心参数输入!$B$9*4,季度投融资!BK152,0)</f>
        <v>0</v>
      </c>
      <c r="BL123" s="9">
        <f>IF(60&lt;=核心参数输入!$B$9*4,季度投融资!BL152,0)</f>
        <v>0</v>
      </c>
      <c r="BM123" s="9">
        <f>IF(61&lt;=核心参数输入!$B$9*4,季度投融资!BM152,0)</f>
        <v>0</v>
      </c>
      <c r="BN123" s="9">
        <f>IF(62&lt;=核心参数输入!$B$9*4,季度投融资!BN152,0)</f>
        <v>0</v>
      </c>
      <c r="BO123" s="9">
        <f>IF(63&lt;=核心参数输入!$B$9*4,季度投融资!BO152,0)</f>
        <v>0</v>
      </c>
      <c r="BP123" s="9">
        <f>IF(64&lt;=核心参数输入!$B$9*4,季度投融资!BP152,0)</f>
        <v>0</v>
      </c>
      <c r="BQ123" s="9">
        <f>IF(65&lt;=核心参数输入!$B$9*4,季度投融资!BQ152,0)</f>
        <v>0</v>
      </c>
      <c r="BR123" s="9">
        <f>IF(66&lt;=核心参数输入!$B$9*4,季度投融资!BR152,0)</f>
        <v>0</v>
      </c>
      <c r="BS123" s="9">
        <f>IF(67&lt;=核心参数输入!$B$9*4,季度投融资!BS152,0)</f>
        <v>0</v>
      </c>
      <c r="BT123" s="9">
        <f>IF(68&lt;=核心参数输入!$B$9*4,季度投融资!BT152,0)</f>
        <v>0</v>
      </c>
      <c r="BU123" s="9">
        <f>IF(69&lt;=核心参数输入!$B$9*4,季度投融资!BU152,0)</f>
        <v>0</v>
      </c>
      <c r="BV123" s="9">
        <f>IF(70&lt;=核心参数输入!$B$9*4,季度投融资!BV152,0)</f>
        <v>0</v>
      </c>
      <c r="BW123" s="9">
        <f>IF(71&lt;=核心参数输入!$B$9*4,季度投融资!BW152,0)</f>
        <v>0</v>
      </c>
      <c r="BX123" s="9">
        <f>IF(72&lt;=核心参数输入!$B$9*4,季度投融资!BX152,0)</f>
        <v>0</v>
      </c>
      <c r="BY123" s="9">
        <f>IF(73&lt;=核心参数输入!$B$9*4,季度投融资!BY152,0)</f>
        <v>0</v>
      </c>
      <c r="BZ123" s="9">
        <f>IF(74&lt;=核心参数输入!$B$9*4,季度投融资!BZ152,0)</f>
        <v>0</v>
      </c>
      <c r="CA123" s="9">
        <f>IF(75&lt;=核心参数输入!$B$9*4,季度投融资!CA152,0)</f>
        <v>0</v>
      </c>
      <c r="CB123" s="9">
        <f>IF(76&lt;=核心参数输入!$B$9*4,季度投融资!CB152,0)</f>
        <v>0</v>
      </c>
      <c r="CC123" s="9">
        <f>IF(77&lt;=核心参数输入!$B$9*4,季度投融资!CC152,0)</f>
        <v>0</v>
      </c>
      <c r="CD123" s="9">
        <f>IF(78&lt;=核心参数输入!$B$9*4,季度投融资!CD152,0)</f>
        <v>0</v>
      </c>
      <c r="CE123" s="9">
        <f>IF(79&lt;=核心参数输入!$B$9*4,季度投融资!CE152,0)</f>
        <v>0</v>
      </c>
      <c r="CF123" s="9">
        <f>IF(80&lt;=核心参数输入!$B$9*4,季度投融资!CF152,0)</f>
        <v>0</v>
      </c>
      <c r="CG123" s="9">
        <f>IF(81&lt;=核心参数输入!$B$9*4,季度投融资!CG152,0)</f>
        <v>0</v>
      </c>
      <c r="CH123" s="9">
        <f>IF(82&lt;=核心参数输入!$B$9*4,季度投融资!CH152,0)</f>
        <v>0</v>
      </c>
      <c r="CI123" s="9">
        <f>IF(83&lt;=核心参数输入!$B$9*4,季度投融资!CI152,0)</f>
        <v>0</v>
      </c>
      <c r="CJ123" s="9">
        <f>IF(84&lt;=核心参数输入!$B$9*4,季度投融资!CJ152,0)</f>
        <v>0</v>
      </c>
      <c r="CK123" s="9">
        <f>IF(85&lt;=核心参数输入!$B$9*4,季度投融资!CK152,0)</f>
        <v>0</v>
      </c>
      <c r="CL123" s="9">
        <f>IF(86&lt;=核心参数输入!$B$9*4,季度投融资!CL152,0)</f>
        <v>0</v>
      </c>
      <c r="CM123" s="9">
        <f>IF(87&lt;=核心参数输入!$B$9*4,季度投融资!CM152,0)</f>
        <v>0</v>
      </c>
      <c r="CN123" s="9">
        <f>IF(88&lt;=核心参数输入!$B$9*4,季度投融资!CN152,0)</f>
        <v>0</v>
      </c>
      <c r="CO123" s="9">
        <f>IF(89&lt;=核心参数输入!$B$9*4,季度投融资!CO152,0)</f>
        <v>0</v>
      </c>
      <c r="CP123" s="9">
        <f>IF(90&lt;=核心参数输入!$B$9*4,季度投融资!CP152,0)</f>
        <v>0</v>
      </c>
      <c r="CQ123" s="9">
        <f>IF(91&lt;=核心参数输入!$B$9*4,季度投融资!CQ152,0)</f>
        <v>0</v>
      </c>
      <c r="CR123" s="9">
        <f>IF(92&lt;=核心参数输入!$B$9*4,季度投融资!CR152,0)</f>
        <v>0</v>
      </c>
      <c r="CS123" s="9">
        <f>IF(93&lt;=核心参数输入!$B$9*4,季度投融资!CS152,0)</f>
        <v>0</v>
      </c>
      <c r="CT123" s="9">
        <f>IF(94&lt;=核心参数输入!$B$9*4,季度投融资!CT152,0)</f>
        <v>0</v>
      </c>
      <c r="CU123" s="9">
        <f>IF(95&lt;=核心参数输入!$B$9*4,季度投融资!CU152,0)</f>
        <v>0</v>
      </c>
      <c r="CV123" s="9">
        <f>IF(96&lt;=核心参数输入!$B$9*4,季度投融资!CV152,0)</f>
        <v>0</v>
      </c>
      <c r="CW123" s="9">
        <f>IF(97&lt;=核心参数输入!$B$9*4,季度投融资!CW152,0)</f>
        <v>0</v>
      </c>
      <c r="CX123" s="9">
        <f>IF(98&lt;=核心参数输入!$B$9*4,季度投融资!CX152,0)</f>
        <v>0</v>
      </c>
      <c r="CY123" s="9">
        <f>IF(99&lt;=核心参数输入!$B$9*4,季度投融资!CY152,0)</f>
        <v>0</v>
      </c>
      <c r="CZ123" s="9">
        <f>IF(100&lt;=核心参数输入!$B$9*4,季度投融资!CZ152,0)</f>
        <v>0</v>
      </c>
      <c r="DA123" s="9">
        <f>IF(101&lt;=核心参数输入!$B$9*4,季度投融资!DA152,0)</f>
        <v>0</v>
      </c>
      <c r="DB123" s="9">
        <f>IF(102&lt;=核心参数输入!$B$9*4,季度投融资!DB152,0)</f>
        <v>0</v>
      </c>
      <c r="DC123" s="9">
        <f>IF(103&lt;=核心参数输入!$B$9*4,季度投融资!DC152,0)</f>
        <v>0</v>
      </c>
      <c r="DD123" s="9">
        <f>IF(104&lt;=核心参数输入!$B$9*4,季度投融资!DD152,0)</f>
        <v>0</v>
      </c>
      <c r="DE123" s="9">
        <f>IF(105&lt;=核心参数输入!$B$9*4,季度投融资!DE152,0)</f>
        <v>0</v>
      </c>
      <c r="DF123" s="9">
        <f>IF(106&lt;=核心参数输入!$B$9*4,季度投融资!DF152,0)</f>
        <v>0</v>
      </c>
      <c r="DG123" s="9">
        <f>IF(107&lt;=核心参数输入!$B$9*4,季度投融资!DG152,0)</f>
        <v>0</v>
      </c>
      <c r="DH123" s="9">
        <f>IF(108&lt;=核心参数输入!$B$9*4,季度投融资!DH152,0)</f>
        <v>0</v>
      </c>
      <c r="DI123" s="9">
        <f>IF(109&lt;=核心参数输入!$B$9*4,季度投融资!DI152,0)</f>
        <v>0</v>
      </c>
      <c r="DJ123" s="9">
        <f>IF(110&lt;=核心参数输入!$B$9*4,季度投融资!DJ152,0)</f>
        <v>0</v>
      </c>
      <c r="DK123" s="9">
        <f>IF(111&lt;=核心参数输入!$B$9*4,季度投融资!DK152,0)</f>
        <v>0</v>
      </c>
      <c r="DL123" s="9">
        <f>IF(112&lt;=核心参数输入!$B$9*4,季度投融资!DL152,0)</f>
        <v>0</v>
      </c>
      <c r="DM123" s="9">
        <f>IF(113&lt;=核心参数输入!$B$9*4,季度投融资!DM152,0)</f>
        <v>0</v>
      </c>
      <c r="DN123" s="9">
        <f>IF(114&lt;=核心参数输入!$B$9*4,季度投融资!DN152,0)</f>
        <v>0</v>
      </c>
      <c r="DO123" s="9">
        <f>IF(115&lt;=核心参数输入!$B$9*4,季度投融资!DO152,0)</f>
        <v>0</v>
      </c>
      <c r="DP123" s="9">
        <f>IF(116&lt;=核心参数输入!$B$9*4,季度投融资!DP152,0)</f>
        <v>0</v>
      </c>
      <c r="DQ123" s="9">
        <f>IF(117&lt;=核心参数输入!$B$9*4,季度投融资!DQ152,0)</f>
        <v>0</v>
      </c>
      <c r="DR123" s="9">
        <f>IF(118&lt;=核心参数输入!$B$9*4,季度投融资!DR152,0)</f>
        <v>0</v>
      </c>
      <c r="DS123" s="9">
        <f>IF(119&lt;=核心参数输入!$B$9*4,季度投融资!DS152,0)</f>
        <v>0</v>
      </c>
      <c r="DT123" s="9">
        <f>IF(120&lt;=核心参数输入!$B$9*4,季度投融资!DT152,0)</f>
        <v>0</v>
      </c>
    </row>
    <row r="124" spans="1:124" ht="21" customHeight="1">
      <c r="A124" s="8" t="s">
        <v>432</v>
      </c>
      <c r="B124" s="8" t="s">
        <v>39</v>
      </c>
      <c r="C124" s="8"/>
      <c r="D124" s="9">
        <f>IF(0&lt;=核心参数输入!$B$9*4,季度投融资!D151,0)</f>
        <v>0</v>
      </c>
      <c r="E124" s="9">
        <f>IF(1&lt;=核心参数输入!$B$9*4,季度投融资!E151,0)</f>
        <v>0</v>
      </c>
      <c r="F124" s="9">
        <f>IF(2&lt;=核心参数输入!$B$9*4,季度投融资!F151,0)</f>
        <v>0</v>
      </c>
      <c r="G124" s="9">
        <f>IF(3&lt;=核心参数输入!$B$9*4,季度投融资!G151,0)</f>
        <v>0</v>
      </c>
      <c r="H124" s="9">
        <f>IF(4&lt;=核心参数输入!$B$9*4,季度投融资!H151,0)</f>
        <v>0</v>
      </c>
      <c r="I124" s="9">
        <f>IF(5&lt;=核心参数输入!$B$9*4,季度投融资!I151,0)</f>
        <v>0</v>
      </c>
      <c r="J124" s="9">
        <f>IF(6&lt;=核心参数输入!$B$9*4,季度投融资!J151,0)</f>
        <v>0</v>
      </c>
      <c r="K124" s="9">
        <f>IF(7&lt;=核心参数输入!$B$9*4,季度投融资!K151,0)</f>
        <v>0</v>
      </c>
      <c r="L124" s="9">
        <f>IF(8&lt;=核心参数输入!$B$9*4,季度投融资!L151,0)</f>
        <v>0</v>
      </c>
      <c r="M124" s="9">
        <f>IF(9&lt;=核心参数输入!$B$9*4,季度投融资!M151,0)</f>
        <v>0</v>
      </c>
      <c r="N124" s="9">
        <f>IF(10&lt;=核心参数输入!$B$9*4,季度投融资!N151,0)</f>
        <v>0</v>
      </c>
      <c r="O124" s="9">
        <f>IF(11&lt;=核心参数输入!$B$9*4,季度投融资!O151,0)</f>
        <v>0</v>
      </c>
      <c r="P124" s="9">
        <f>IF(12&lt;=核心参数输入!$B$9*4,季度投融资!P151,0)</f>
        <v>0</v>
      </c>
      <c r="Q124" s="9">
        <f>IF(13&lt;=核心参数输入!$B$9*4,季度投融资!Q151,0)</f>
        <v>0</v>
      </c>
      <c r="R124" s="9">
        <f>IF(14&lt;=核心参数输入!$B$9*4,季度投融资!R151,0)</f>
        <v>0</v>
      </c>
      <c r="S124" s="9">
        <f>IF(15&lt;=核心参数输入!$B$9*4,季度投融资!S151,0)</f>
        <v>0</v>
      </c>
      <c r="T124" s="9">
        <f>IF(16&lt;=核心参数输入!$B$9*4,季度投融资!T151,0)</f>
        <v>4285.7142857142853</v>
      </c>
      <c r="U124" s="9">
        <f>IF(17&lt;=核心参数输入!$B$9*4,季度投融资!U151,0)</f>
        <v>0</v>
      </c>
      <c r="V124" s="9">
        <f>IF(18&lt;=核心参数输入!$B$9*4,季度投融资!V151,0)</f>
        <v>0</v>
      </c>
      <c r="W124" s="9">
        <f>IF(19&lt;=核心参数输入!$B$9*4,季度投融资!W151,0)</f>
        <v>0</v>
      </c>
      <c r="X124" s="9">
        <f>IF(20&lt;=核心参数输入!$B$9*4,季度投融资!X151,0)</f>
        <v>4285.7142857142853</v>
      </c>
      <c r="Y124" s="9">
        <f>IF(21&lt;=核心参数输入!$B$9*4,季度投融资!Y151,0)</f>
        <v>0</v>
      </c>
      <c r="Z124" s="9">
        <f>IF(22&lt;=核心参数输入!$B$9*4,季度投融资!Z151,0)</f>
        <v>0</v>
      </c>
      <c r="AA124" s="9">
        <f>IF(23&lt;=核心参数输入!$B$9*4,季度投融资!AA151,0)</f>
        <v>0</v>
      </c>
      <c r="AB124" s="9">
        <f>IF(24&lt;=核心参数输入!$B$9*4,季度投融资!AB151,0)</f>
        <v>4285.7142857142853</v>
      </c>
      <c r="AC124" s="9">
        <f>IF(25&lt;=核心参数输入!$B$9*4,季度投融资!AC151,0)</f>
        <v>0</v>
      </c>
      <c r="AD124" s="9">
        <f>IF(26&lt;=核心参数输入!$B$9*4,季度投融资!AD151,0)</f>
        <v>0</v>
      </c>
      <c r="AE124" s="9">
        <f>IF(27&lt;=核心参数输入!$B$9*4,季度投融资!AE151,0)</f>
        <v>0</v>
      </c>
      <c r="AF124" s="9">
        <f>IF(28&lt;=核心参数输入!$B$9*4,季度投融资!AF151,0)</f>
        <v>4285.7142857142853</v>
      </c>
      <c r="AG124" s="9">
        <f>IF(29&lt;=核心参数输入!$B$9*4,季度投融资!AG151,0)</f>
        <v>0</v>
      </c>
      <c r="AH124" s="9">
        <f>IF(30&lt;=核心参数输入!$B$9*4,季度投融资!AH151,0)</f>
        <v>0</v>
      </c>
      <c r="AI124" s="9">
        <f>IF(31&lt;=核心参数输入!$B$9*4,季度投融资!AI151,0)</f>
        <v>0</v>
      </c>
      <c r="AJ124" s="9">
        <f>IF(32&lt;=核心参数输入!$B$9*4,季度投融资!AJ151,0)</f>
        <v>4285.7142857142853</v>
      </c>
      <c r="AK124" s="9">
        <f>IF(33&lt;=核心参数输入!$B$9*4,季度投融资!AK151,0)</f>
        <v>0</v>
      </c>
      <c r="AL124" s="9">
        <f>IF(34&lt;=核心参数输入!$B$9*4,季度投融资!AL151,0)</f>
        <v>0</v>
      </c>
      <c r="AM124" s="9">
        <f>IF(35&lt;=核心参数输入!$B$9*4,季度投融资!AM151,0)</f>
        <v>0</v>
      </c>
      <c r="AN124" s="9">
        <f>IF(36&lt;=核心参数输入!$B$9*4,季度投融资!AN151,0)</f>
        <v>4285.7142857142853</v>
      </c>
      <c r="AO124" s="9">
        <f>IF(37&lt;=核心参数输入!$B$9*4,季度投融资!AO151,0)</f>
        <v>0</v>
      </c>
      <c r="AP124" s="9">
        <f>IF(38&lt;=核心参数输入!$B$9*4,季度投融资!AP151,0)</f>
        <v>0</v>
      </c>
      <c r="AQ124" s="9">
        <f>IF(39&lt;=核心参数输入!$B$9*4,季度投融资!AQ151,0)</f>
        <v>0</v>
      </c>
      <c r="AR124" s="9">
        <f>IF(40&lt;=核心参数输入!$B$9*4,季度投融资!AR151,0)</f>
        <v>4285.7142857142835</v>
      </c>
      <c r="AS124" s="9">
        <f>IF(41&lt;=核心参数输入!$B$9*4,季度投融资!AS151,0)</f>
        <v>0</v>
      </c>
      <c r="AT124" s="9">
        <f>IF(42&lt;=核心参数输入!$B$9*4,季度投融资!AT151,0)</f>
        <v>0</v>
      </c>
      <c r="AU124" s="9">
        <f>IF(43&lt;=核心参数输入!$B$9*4,季度投融资!AU151,0)</f>
        <v>0</v>
      </c>
      <c r="AV124" s="9">
        <f>IF(44&lt;=核心参数输入!$B$9*4,季度投融资!AV151,0)</f>
        <v>0</v>
      </c>
      <c r="AW124" s="9">
        <f>IF(45&lt;=核心参数输入!$B$9*4,季度投融资!AW151,0)</f>
        <v>0</v>
      </c>
      <c r="AX124" s="9">
        <f>IF(46&lt;=核心参数输入!$B$9*4,季度投融资!AX151,0)</f>
        <v>0</v>
      </c>
      <c r="AY124" s="9">
        <f>IF(47&lt;=核心参数输入!$B$9*4,季度投融资!AY151,0)</f>
        <v>0</v>
      </c>
      <c r="AZ124" s="9">
        <f>IF(48&lt;=核心参数输入!$B$9*4,季度投融资!AZ151,0)</f>
        <v>0</v>
      </c>
      <c r="BA124" s="9">
        <f>IF(49&lt;=核心参数输入!$B$9*4,季度投融资!BA151,0)</f>
        <v>0</v>
      </c>
      <c r="BB124" s="9">
        <f>IF(50&lt;=核心参数输入!$B$9*4,季度投融资!BB151,0)</f>
        <v>0</v>
      </c>
      <c r="BC124" s="9">
        <f>IF(51&lt;=核心参数输入!$B$9*4,季度投融资!BC151,0)</f>
        <v>0</v>
      </c>
      <c r="BD124" s="9">
        <f>IF(52&lt;=核心参数输入!$B$9*4,季度投融资!BD151,0)</f>
        <v>0</v>
      </c>
      <c r="BE124" s="9">
        <f>IF(53&lt;=核心参数输入!$B$9*4,季度投融资!BE151,0)</f>
        <v>0</v>
      </c>
      <c r="BF124" s="9">
        <f>IF(54&lt;=核心参数输入!$B$9*4,季度投融资!BF151,0)</f>
        <v>0</v>
      </c>
      <c r="BG124" s="9">
        <f>IF(55&lt;=核心参数输入!$B$9*4,季度投融资!BG151,0)</f>
        <v>0</v>
      </c>
      <c r="BH124" s="9">
        <f>IF(56&lt;=核心参数输入!$B$9*4,季度投融资!BH151,0)</f>
        <v>0</v>
      </c>
      <c r="BI124" s="9">
        <f>IF(57&lt;=核心参数输入!$B$9*4,季度投融资!BI151,0)</f>
        <v>0</v>
      </c>
      <c r="BJ124" s="9">
        <f>IF(58&lt;=核心参数输入!$B$9*4,季度投融资!BJ151,0)</f>
        <v>0</v>
      </c>
      <c r="BK124" s="9">
        <f>IF(59&lt;=核心参数输入!$B$9*4,季度投融资!BK151,0)</f>
        <v>0</v>
      </c>
      <c r="BL124" s="9">
        <f>IF(60&lt;=核心参数输入!$B$9*4,季度投融资!BL151,0)</f>
        <v>0</v>
      </c>
      <c r="BM124" s="9">
        <f>IF(61&lt;=核心参数输入!$B$9*4,季度投融资!BM151,0)</f>
        <v>0</v>
      </c>
      <c r="BN124" s="9">
        <f>IF(62&lt;=核心参数输入!$B$9*4,季度投融资!BN151,0)</f>
        <v>0</v>
      </c>
      <c r="BO124" s="9">
        <f>IF(63&lt;=核心参数输入!$B$9*4,季度投融资!BO151,0)</f>
        <v>0</v>
      </c>
      <c r="BP124" s="9">
        <f>IF(64&lt;=核心参数输入!$B$9*4,季度投融资!BP151,0)</f>
        <v>0</v>
      </c>
      <c r="BQ124" s="9">
        <f>IF(65&lt;=核心参数输入!$B$9*4,季度投融资!BQ151,0)</f>
        <v>0</v>
      </c>
      <c r="BR124" s="9">
        <f>IF(66&lt;=核心参数输入!$B$9*4,季度投融资!BR151,0)</f>
        <v>0</v>
      </c>
      <c r="BS124" s="9">
        <f>IF(67&lt;=核心参数输入!$B$9*4,季度投融资!BS151,0)</f>
        <v>0</v>
      </c>
      <c r="BT124" s="9">
        <f>IF(68&lt;=核心参数输入!$B$9*4,季度投融资!BT151,0)</f>
        <v>0</v>
      </c>
      <c r="BU124" s="9">
        <f>IF(69&lt;=核心参数输入!$B$9*4,季度投融资!BU151,0)</f>
        <v>0</v>
      </c>
      <c r="BV124" s="9">
        <f>IF(70&lt;=核心参数输入!$B$9*4,季度投融资!BV151,0)</f>
        <v>0</v>
      </c>
      <c r="BW124" s="9">
        <f>IF(71&lt;=核心参数输入!$B$9*4,季度投融资!BW151,0)</f>
        <v>0</v>
      </c>
      <c r="BX124" s="9">
        <f>IF(72&lt;=核心参数输入!$B$9*4,季度投融资!BX151,0)</f>
        <v>0</v>
      </c>
      <c r="BY124" s="9">
        <f>IF(73&lt;=核心参数输入!$B$9*4,季度投融资!BY151,0)</f>
        <v>0</v>
      </c>
      <c r="BZ124" s="9">
        <f>IF(74&lt;=核心参数输入!$B$9*4,季度投融资!BZ151,0)</f>
        <v>0</v>
      </c>
      <c r="CA124" s="9">
        <f>IF(75&lt;=核心参数输入!$B$9*4,季度投融资!CA151,0)</f>
        <v>0</v>
      </c>
      <c r="CB124" s="9">
        <f>IF(76&lt;=核心参数输入!$B$9*4,季度投融资!CB151,0)</f>
        <v>0</v>
      </c>
      <c r="CC124" s="9">
        <f>IF(77&lt;=核心参数输入!$B$9*4,季度投融资!CC151,0)</f>
        <v>0</v>
      </c>
      <c r="CD124" s="9">
        <f>IF(78&lt;=核心参数输入!$B$9*4,季度投融资!CD151,0)</f>
        <v>0</v>
      </c>
      <c r="CE124" s="9">
        <f>IF(79&lt;=核心参数输入!$B$9*4,季度投融资!CE151,0)</f>
        <v>0</v>
      </c>
      <c r="CF124" s="9">
        <f>IF(80&lt;=核心参数输入!$B$9*4,季度投融资!CF151,0)</f>
        <v>0</v>
      </c>
      <c r="CG124" s="9">
        <f>IF(81&lt;=核心参数输入!$B$9*4,季度投融资!CG151,0)</f>
        <v>0</v>
      </c>
      <c r="CH124" s="9">
        <f>IF(82&lt;=核心参数输入!$B$9*4,季度投融资!CH151,0)</f>
        <v>0</v>
      </c>
      <c r="CI124" s="9">
        <f>IF(83&lt;=核心参数输入!$B$9*4,季度投融资!CI151,0)</f>
        <v>0</v>
      </c>
      <c r="CJ124" s="9">
        <f>IF(84&lt;=核心参数输入!$B$9*4,季度投融资!CJ151,0)</f>
        <v>0</v>
      </c>
      <c r="CK124" s="9">
        <f>IF(85&lt;=核心参数输入!$B$9*4,季度投融资!CK151,0)</f>
        <v>0</v>
      </c>
      <c r="CL124" s="9">
        <f>IF(86&lt;=核心参数输入!$B$9*4,季度投融资!CL151,0)</f>
        <v>0</v>
      </c>
      <c r="CM124" s="9">
        <f>IF(87&lt;=核心参数输入!$B$9*4,季度投融资!CM151,0)</f>
        <v>0</v>
      </c>
      <c r="CN124" s="9">
        <f>IF(88&lt;=核心参数输入!$B$9*4,季度投融资!CN151,0)</f>
        <v>0</v>
      </c>
      <c r="CO124" s="9">
        <f>IF(89&lt;=核心参数输入!$B$9*4,季度投融资!CO151,0)</f>
        <v>0</v>
      </c>
      <c r="CP124" s="9">
        <f>IF(90&lt;=核心参数输入!$B$9*4,季度投融资!CP151,0)</f>
        <v>0</v>
      </c>
      <c r="CQ124" s="9">
        <f>IF(91&lt;=核心参数输入!$B$9*4,季度投融资!CQ151,0)</f>
        <v>0</v>
      </c>
      <c r="CR124" s="9">
        <f>IF(92&lt;=核心参数输入!$B$9*4,季度投融资!CR151,0)</f>
        <v>0</v>
      </c>
      <c r="CS124" s="9">
        <f>IF(93&lt;=核心参数输入!$B$9*4,季度投融资!CS151,0)</f>
        <v>0</v>
      </c>
      <c r="CT124" s="9">
        <f>IF(94&lt;=核心参数输入!$B$9*4,季度投融资!CT151,0)</f>
        <v>0</v>
      </c>
      <c r="CU124" s="9">
        <f>IF(95&lt;=核心参数输入!$B$9*4,季度投融资!CU151,0)</f>
        <v>0</v>
      </c>
      <c r="CV124" s="9">
        <f>IF(96&lt;=核心参数输入!$B$9*4,季度投融资!CV151,0)</f>
        <v>0</v>
      </c>
      <c r="CW124" s="9">
        <f>IF(97&lt;=核心参数输入!$B$9*4,季度投融资!CW151,0)</f>
        <v>0</v>
      </c>
      <c r="CX124" s="9">
        <f>IF(98&lt;=核心参数输入!$B$9*4,季度投融资!CX151,0)</f>
        <v>0</v>
      </c>
      <c r="CY124" s="9">
        <f>IF(99&lt;=核心参数输入!$B$9*4,季度投融资!CY151,0)</f>
        <v>0</v>
      </c>
      <c r="CZ124" s="9">
        <f>IF(100&lt;=核心参数输入!$B$9*4,季度投融资!CZ151,0)</f>
        <v>0</v>
      </c>
      <c r="DA124" s="9">
        <f>IF(101&lt;=核心参数输入!$B$9*4,季度投融资!DA151,0)</f>
        <v>0</v>
      </c>
      <c r="DB124" s="9">
        <f>IF(102&lt;=核心参数输入!$B$9*4,季度投融资!DB151,0)</f>
        <v>0</v>
      </c>
      <c r="DC124" s="9">
        <f>IF(103&lt;=核心参数输入!$B$9*4,季度投融资!DC151,0)</f>
        <v>0</v>
      </c>
      <c r="DD124" s="9">
        <f>IF(104&lt;=核心参数输入!$B$9*4,季度投融资!DD151,0)</f>
        <v>0</v>
      </c>
      <c r="DE124" s="9">
        <f>IF(105&lt;=核心参数输入!$B$9*4,季度投融资!DE151,0)</f>
        <v>0</v>
      </c>
      <c r="DF124" s="9">
        <f>IF(106&lt;=核心参数输入!$B$9*4,季度投融资!DF151,0)</f>
        <v>0</v>
      </c>
      <c r="DG124" s="9">
        <f>IF(107&lt;=核心参数输入!$B$9*4,季度投融资!DG151,0)</f>
        <v>0</v>
      </c>
      <c r="DH124" s="9">
        <f>IF(108&lt;=核心参数输入!$B$9*4,季度投融资!DH151,0)</f>
        <v>0</v>
      </c>
      <c r="DI124" s="9">
        <f>IF(109&lt;=核心参数输入!$B$9*4,季度投融资!DI151,0)</f>
        <v>0</v>
      </c>
      <c r="DJ124" s="9">
        <f>IF(110&lt;=核心参数输入!$B$9*4,季度投融资!DJ151,0)</f>
        <v>0</v>
      </c>
      <c r="DK124" s="9">
        <f>IF(111&lt;=核心参数输入!$B$9*4,季度投融资!DK151,0)</f>
        <v>0</v>
      </c>
      <c r="DL124" s="9">
        <f>IF(112&lt;=核心参数输入!$B$9*4,季度投融资!DL151,0)</f>
        <v>0</v>
      </c>
      <c r="DM124" s="9">
        <f>IF(113&lt;=核心参数输入!$B$9*4,季度投融资!DM151,0)</f>
        <v>0</v>
      </c>
      <c r="DN124" s="9">
        <f>IF(114&lt;=核心参数输入!$B$9*4,季度投融资!DN151,0)</f>
        <v>0</v>
      </c>
      <c r="DO124" s="9">
        <f>IF(115&lt;=核心参数输入!$B$9*4,季度投融资!DO151,0)</f>
        <v>0</v>
      </c>
      <c r="DP124" s="9">
        <f>IF(116&lt;=核心参数输入!$B$9*4,季度投融资!DP151,0)</f>
        <v>0</v>
      </c>
      <c r="DQ124" s="9">
        <f>IF(117&lt;=核心参数输入!$B$9*4,季度投融资!DQ151,0)</f>
        <v>0</v>
      </c>
      <c r="DR124" s="9">
        <f>IF(118&lt;=核心参数输入!$B$9*4,季度投融资!DR151,0)</f>
        <v>0</v>
      </c>
      <c r="DS124" s="9">
        <f>IF(119&lt;=核心参数输入!$B$9*4,季度投融资!DS151,0)</f>
        <v>0</v>
      </c>
      <c r="DT124" s="9">
        <f>IF(120&lt;=核心参数输入!$B$9*4,季度投融资!DT151,0)</f>
        <v>0</v>
      </c>
    </row>
    <row r="125" spans="1:124" ht="21" customHeight="1">
      <c r="A125" s="8" t="s">
        <v>514</v>
      </c>
      <c r="B125" s="8" t="s">
        <v>39</v>
      </c>
      <c r="C125" s="8"/>
      <c r="D125" s="9">
        <f>IF(0&lt;=核心参数输入!$B$9*4,季度投融资!D159,0)</f>
        <v>0</v>
      </c>
      <c r="E125" s="9">
        <f>IF(1&lt;=核心参数输入!$B$9*4,季度投融资!E159,0)</f>
        <v>0</v>
      </c>
      <c r="F125" s="9">
        <f>IF(2&lt;=核心参数输入!$B$9*4,季度投融资!F159,0)</f>
        <v>0</v>
      </c>
      <c r="G125" s="9">
        <f>IF(3&lt;=核心参数输入!$B$9*4,季度投融资!G159,0)</f>
        <v>0</v>
      </c>
      <c r="H125" s="9">
        <f>IF(4&lt;=核心参数输入!$B$9*4,季度投融资!H159,0)</f>
        <v>0</v>
      </c>
      <c r="I125" s="9">
        <f>IF(5&lt;=核心参数输入!$B$9*4,季度投融资!I159,0)</f>
        <v>0</v>
      </c>
      <c r="J125" s="9">
        <f>IF(6&lt;=核心参数输入!$B$9*4,季度投融资!J159,0)</f>
        <v>0</v>
      </c>
      <c r="K125" s="9">
        <f>IF(7&lt;=核心参数输入!$B$9*4,季度投融资!K159,0)</f>
        <v>0</v>
      </c>
      <c r="L125" s="9">
        <f>IF(8&lt;=核心参数输入!$B$9*4,季度投融资!L159,0)</f>
        <v>0</v>
      </c>
      <c r="M125" s="9">
        <f>IF(9&lt;=核心参数输入!$B$9*4,季度投融资!M159,0)</f>
        <v>0</v>
      </c>
      <c r="N125" s="9">
        <f>IF(10&lt;=核心参数输入!$B$9*4,季度投融资!N159,0)</f>
        <v>0</v>
      </c>
      <c r="O125" s="9">
        <f>IF(11&lt;=核心参数输入!$B$9*4,季度投融资!O159,0)</f>
        <v>0</v>
      </c>
      <c r="P125" s="9">
        <f>IF(12&lt;=核心参数输入!$B$9*4,季度投融资!P159,0)</f>
        <v>0</v>
      </c>
      <c r="Q125" s="9">
        <f>IF(13&lt;=核心参数输入!$B$9*4,季度投融资!Q159,0)</f>
        <v>0</v>
      </c>
      <c r="R125" s="9">
        <f>IF(14&lt;=核心参数输入!$B$9*4,季度投融资!R159,0)</f>
        <v>0</v>
      </c>
      <c r="S125" s="9">
        <f>IF(15&lt;=核心参数输入!$B$9*4,季度投融资!S159,0)</f>
        <v>0</v>
      </c>
      <c r="T125" s="9">
        <f>IF(16&lt;=核心参数输入!$B$9*4,季度投融资!T159,0)</f>
        <v>0</v>
      </c>
      <c r="U125" s="9">
        <f>IF(17&lt;=核心参数输入!$B$9*4,季度投融资!U159,0)</f>
        <v>0</v>
      </c>
      <c r="V125" s="9">
        <f>IF(18&lt;=核心参数输入!$B$9*4,季度投融资!V159,0)</f>
        <v>0</v>
      </c>
      <c r="W125" s="9">
        <f>IF(19&lt;=核心参数输入!$B$9*4,季度投融资!W159,0)</f>
        <v>0</v>
      </c>
      <c r="X125" s="9">
        <f>IF(20&lt;=核心参数输入!$B$9*4,季度投融资!X159,0)</f>
        <v>0</v>
      </c>
      <c r="Y125" s="9">
        <f>IF(21&lt;=核心参数输入!$B$9*4,季度投融资!Y159,0)</f>
        <v>0</v>
      </c>
      <c r="Z125" s="9">
        <f>IF(22&lt;=核心参数输入!$B$9*4,季度投融资!Z159,0)</f>
        <v>0</v>
      </c>
      <c r="AA125" s="9">
        <f>IF(23&lt;=核心参数输入!$B$9*4,季度投融资!AA159,0)</f>
        <v>0</v>
      </c>
      <c r="AB125" s="9">
        <f>IF(24&lt;=核心参数输入!$B$9*4,季度投融资!AB159,0)</f>
        <v>0</v>
      </c>
      <c r="AC125" s="9">
        <f>IF(25&lt;=核心参数输入!$B$9*4,季度投融资!AC159,0)</f>
        <v>0</v>
      </c>
      <c r="AD125" s="9">
        <f>IF(26&lt;=核心参数输入!$B$9*4,季度投融资!AD159,0)</f>
        <v>0</v>
      </c>
      <c r="AE125" s="9">
        <f>IF(27&lt;=核心参数输入!$B$9*4,季度投融资!AE159,0)</f>
        <v>0</v>
      </c>
      <c r="AF125" s="9">
        <f>IF(28&lt;=核心参数输入!$B$9*4,季度投融资!AF159,0)</f>
        <v>0</v>
      </c>
      <c r="AG125" s="9">
        <f>IF(29&lt;=核心参数输入!$B$9*4,季度投融资!AG159,0)</f>
        <v>0</v>
      </c>
      <c r="AH125" s="9">
        <f>IF(30&lt;=核心参数输入!$B$9*4,季度投融资!AH159,0)</f>
        <v>0</v>
      </c>
      <c r="AI125" s="9">
        <f>IF(31&lt;=核心参数输入!$B$9*4,季度投融资!AI159,0)</f>
        <v>0</v>
      </c>
      <c r="AJ125" s="9">
        <f>IF(32&lt;=核心参数输入!$B$9*4,季度投融资!AJ159,0)</f>
        <v>0</v>
      </c>
      <c r="AK125" s="9">
        <f>IF(33&lt;=核心参数输入!$B$9*4,季度投融资!AK159,0)</f>
        <v>0</v>
      </c>
      <c r="AL125" s="9">
        <f>IF(34&lt;=核心参数输入!$B$9*4,季度投融资!AL159,0)</f>
        <v>0</v>
      </c>
      <c r="AM125" s="9">
        <f>IF(35&lt;=核心参数输入!$B$9*4,季度投融资!AM159,0)</f>
        <v>0</v>
      </c>
      <c r="AN125" s="9">
        <f>IF(36&lt;=核心参数输入!$B$9*4,季度投融资!AN159,0)</f>
        <v>0</v>
      </c>
      <c r="AO125" s="9">
        <f>IF(37&lt;=核心参数输入!$B$9*4,季度投融资!AO159,0)</f>
        <v>0</v>
      </c>
      <c r="AP125" s="9">
        <f>IF(38&lt;=核心参数输入!$B$9*4,季度投融资!AP159,0)</f>
        <v>0</v>
      </c>
      <c r="AQ125" s="9">
        <f>IF(39&lt;=核心参数输入!$B$9*4,季度投融资!AQ159,0)</f>
        <v>0</v>
      </c>
      <c r="AR125" s="9">
        <f>IF(40&lt;=核心参数输入!$B$9*4,季度投融资!AR159,0)</f>
        <v>0</v>
      </c>
      <c r="AS125" s="9">
        <f>IF(41&lt;=核心参数输入!$B$9*4,季度投融资!AS159,0)</f>
        <v>0</v>
      </c>
      <c r="AT125" s="9">
        <f>IF(42&lt;=核心参数输入!$B$9*4,季度投融资!AT159,0)</f>
        <v>0</v>
      </c>
      <c r="AU125" s="9">
        <f>IF(43&lt;=核心参数输入!$B$9*4,季度投融资!AU159,0)</f>
        <v>0</v>
      </c>
      <c r="AV125" s="9">
        <f>IF(44&lt;=核心参数输入!$B$9*4,季度投融资!AV159,0)</f>
        <v>0</v>
      </c>
      <c r="AW125" s="9">
        <f>IF(45&lt;=核心参数输入!$B$9*4,季度投融资!AW159,0)</f>
        <v>0</v>
      </c>
      <c r="AX125" s="9">
        <f>IF(46&lt;=核心参数输入!$B$9*4,季度投融资!AX159,0)</f>
        <v>0</v>
      </c>
      <c r="AY125" s="9">
        <f>IF(47&lt;=核心参数输入!$B$9*4,季度投融资!AY159,0)</f>
        <v>0</v>
      </c>
      <c r="AZ125" s="9">
        <f>IF(48&lt;=核心参数输入!$B$9*4,季度投融资!AZ159,0)</f>
        <v>0</v>
      </c>
      <c r="BA125" s="9">
        <f>IF(49&lt;=核心参数输入!$B$9*4,季度投融资!BA159,0)</f>
        <v>0</v>
      </c>
      <c r="BB125" s="9">
        <f>IF(50&lt;=核心参数输入!$B$9*4,季度投融资!BB159,0)</f>
        <v>0</v>
      </c>
      <c r="BC125" s="9">
        <f>IF(51&lt;=核心参数输入!$B$9*4,季度投融资!BC159,0)</f>
        <v>0</v>
      </c>
      <c r="BD125" s="9">
        <f>IF(52&lt;=核心参数输入!$B$9*4,季度投融资!BD159,0)</f>
        <v>0</v>
      </c>
      <c r="BE125" s="9">
        <f>IF(53&lt;=核心参数输入!$B$9*4,季度投融资!BE159,0)</f>
        <v>0</v>
      </c>
      <c r="BF125" s="9">
        <f>IF(54&lt;=核心参数输入!$B$9*4,季度投融资!BF159,0)</f>
        <v>0</v>
      </c>
      <c r="BG125" s="9">
        <f>IF(55&lt;=核心参数输入!$B$9*4,季度投融资!BG159,0)</f>
        <v>0</v>
      </c>
      <c r="BH125" s="9">
        <f>IF(56&lt;=核心参数输入!$B$9*4,季度投融资!BH159,0)</f>
        <v>0</v>
      </c>
      <c r="BI125" s="9">
        <f>IF(57&lt;=核心参数输入!$B$9*4,季度投融资!BI159,0)</f>
        <v>0</v>
      </c>
      <c r="BJ125" s="9">
        <f>IF(58&lt;=核心参数输入!$B$9*4,季度投融资!BJ159,0)</f>
        <v>0</v>
      </c>
      <c r="BK125" s="9">
        <f>IF(59&lt;=核心参数输入!$B$9*4,季度投融资!BK159,0)</f>
        <v>0</v>
      </c>
      <c r="BL125" s="9">
        <f>IF(60&lt;=核心参数输入!$B$9*4,季度投融资!BL159,0)</f>
        <v>0</v>
      </c>
      <c r="BM125" s="9">
        <f>IF(61&lt;=核心参数输入!$B$9*4,季度投融资!BM159,0)</f>
        <v>0</v>
      </c>
      <c r="BN125" s="9">
        <f>IF(62&lt;=核心参数输入!$B$9*4,季度投融资!BN159,0)</f>
        <v>0</v>
      </c>
      <c r="BO125" s="9">
        <f>IF(63&lt;=核心参数输入!$B$9*4,季度投融资!BO159,0)</f>
        <v>0</v>
      </c>
      <c r="BP125" s="9">
        <f>IF(64&lt;=核心参数输入!$B$9*4,季度投融资!BP159,0)</f>
        <v>0</v>
      </c>
      <c r="BQ125" s="9">
        <f>IF(65&lt;=核心参数输入!$B$9*4,季度投融资!BQ159,0)</f>
        <v>0</v>
      </c>
      <c r="BR125" s="9">
        <f>IF(66&lt;=核心参数输入!$B$9*4,季度投融资!BR159,0)</f>
        <v>0</v>
      </c>
      <c r="BS125" s="9">
        <f>IF(67&lt;=核心参数输入!$B$9*4,季度投融资!BS159,0)</f>
        <v>0</v>
      </c>
      <c r="BT125" s="9">
        <f>IF(68&lt;=核心参数输入!$B$9*4,季度投融资!BT159,0)</f>
        <v>0</v>
      </c>
      <c r="BU125" s="9">
        <f>IF(69&lt;=核心参数输入!$B$9*4,季度投融资!BU159,0)</f>
        <v>0</v>
      </c>
      <c r="BV125" s="9">
        <f>IF(70&lt;=核心参数输入!$B$9*4,季度投融资!BV159,0)</f>
        <v>0</v>
      </c>
      <c r="BW125" s="9">
        <f>IF(71&lt;=核心参数输入!$B$9*4,季度投融资!BW159,0)</f>
        <v>0</v>
      </c>
      <c r="BX125" s="9">
        <f>IF(72&lt;=核心参数输入!$B$9*4,季度投融资!BX159,0)</f>
        <v>0</v>
      </c>
      <c r="BY125" s="9">
        <f>IF(73&lt;=核心参数输入!$B$9*4,季度投融资!BY159,0)</f>
        <v>0</v>
      </c>
      <c r="BZ125" s="9">
        <f>IF(74&lt;=核心参数输入!$B$9*4,季度投融资!BZ159,0)</f>
        <v>0</v>
      </c>
      <c r="CA125" s="9">
        <f>IF(75&lt;=核心参数输入!$B$9*4,季度投融资!CA159,0)</f>
        <v>0</v>
      </c>
      <c r="CB125" s="9">
        <f>IF(76&lt;=核心参数输入!$B$9*4,季度投融资!CB159,0)</f>
        <v>0</v>
      </c>
      <c r="CC125" s="9">
        <f>IF(77&lt;=核心参数输入!$B$9*4,季度投融资!CC159,0)</f>
        <v>0</v>
      </c>
      <c r="CD125" s="9">
        <f>IF(78&lt;=核心参数输入!$B$9*4,季度投融资!CD159,0)</f>
        <v>0</v>
      </c>
      <c r="CE125" s="9">
        <f>IF(79&lt;=核心参数输入!$B$9*4,季度投融资!CE159,0)</f>
        <v>0</v>
      </c>
      <c r="CF125" s="9">
        <f>IF(80&lt;=核心参数输入!$B$9*4,季度投融资!CF159,0)</f>
        <v>0</v>
      </c>
      <c r="CG125" s="9">
        <f>IF(81&lt;=核心参数输入!$B$9*4,季度投融资!CG159,0)</f>
        <v>0</v>
      </c>
      <c r="CH125" s="9">
        <f>IF(82&lt;=核心参数输入!$B$9*4,季度投融资!CH159,0)</f>
        <v>0</v>
      </c>
      <c r="CI125" s="9">
        <f>IF(83&lt;=核心参数输入!$B$9*4,季度投融资!CI159,0)</f>
        <v>0</v>
      </c>
      <c r="CJ125" s="9">
        <f>IF(84&lt;=核心参数输入!$B$9*4,季度投融资!CJ159,0)</f>
        <v>0</v>
      </c>
      <c r="CK125" s="9">
        <f>IF(85&lt;=核心参数输入!$B$9*4,季度投融资!CK159,0)</f>
        <v>0</v>
      </c>
      <c r="CL125" s="9">
        <f>IF(86&lt;=核心参数输入!$B$9*4,季度投融资!CL159,0)</f>
        <v>0</v>
      </c>
      <c r="CM125" s="9">
        <f>IF(87&lt;=核心参数输入!$B$9*4,季度投融资!CM159,0)</f>
        <v>0</v>
      </c>
      <c r="CN125" s="9">
        <f>IF(88&lt;=核心参数输入!$B$9*4,季度投融资!CN159,0)</f>
        <v>0</v>
      </c>
      <c r="CO125" s="9">
        <f>IF(89&lt;=核心参数输入!$B$9*4,季度投融资!CO159,0)</f>
        <v>0</v>
      </c>
      <c r="CP125" s="9">
        <f>IF(90&lt;=核心参数输入!$B$9*4,季度投融资!CP159,0)</f>
        <v>0</v>
      </c>
      <c r="CQ125" s="9">
        <f>IF(91&lt;=核心参数输入!$B$9*4,季度投融资!CQ159,0)</f>
        <v>0</v>
      </c>
      <c r="CR125" s="9">
        <f>IF(92&lt;=核心参数输入!$B$9*4,季度投融资!CR159,0)</f>
        <v>0</v>
      </c>
      <c r="CS125" s="9">
        <f>IF(93&lt;=核心参数输入!$B$9*4,季度投融资!CS159,0)</f>
        <v>0</v>
      </c>
      <c r="CT125" s="9">
        <f>IF(94&lt;=核心参数输入!$B$9*4,季度投融资!CT159,0)</f>
        <v>0</v>
      </c>
      <c r="CU125" s="9">
        <f>IF(95&lt;=核心参数输入!$B$9*4,季度投融资!CU159,0)</f>
        <v>0</v>
      </c>
      <c r="CV125" s="9">
        <f>IF(96&lt;=核心参数输入!$B$9*4,季度投融资!CV159,0)</f>
        <v>0</v>
      </c>
      <c r="CW125" s="9">
        <f>IF(97&lt;=核心参数输入!$B$9*4,季度投融资!CW159,0)</f>
        <v>0</v>
      </c>
      <c r="CX125" s="9">
        <f>IF(98&lt;=核心参数输入!$B$9*4,季度投融资!CX159,0)</f>
        <v>0</v>
      </c>
      <c r="CY125" s="9">
        <f>IF(99&lt;=核心参数输入!$B$9*4,季度投融资!CY159,0)</f>
        <v>0</v>
      </c>
      <c r="CZ125" s="9">
        <f>IF(100&lt;=核心参数输入!$B$9*4,季度投融资!CZ159,0)</f>
        <v>0</v>
      </c>
      <c r="DA125" s="9">
        <f>IF(101&lt;=核心参数输入!$B$9*4,季度投融资!DA159,0)</f>
        <v>0</v>
      </c>
      <c r="DB125" s="9">
        <f>IF(102&lt;=核心参数输入!$B$9*4,季度投融资!DB159,0)</f>
        <v>0</v>
      </c>
      <c r="DC125" s="9">
        <f>IF(103&lt;=核心参数输入!$B$9*4,季度投融资!DC159,0)</f>
        <v>0</v>
      </c>
      <c r="DD125" s="9">
        <f>IF(104&lt;=核心参数输入!$B$9*4,季度投融资!DD159,0)</f>
        <v>0</v>
      </c>
      <c r="DE125" s="9">
        <f>IF(105&lt;=核心参数输入!$B$9*4,季度投融资!DE159,0)</f>
        <v>0</v>
      </c>
      <c r="DF125" s="9">
        <f>IF(106&lt;=核心参数输入!$B$9*4,季度投融资!DF159,0)</f>
        <v>0</v>
      </c>
      <c r="DG125" s="9">
        <f>IF(107&lt;=核心参数输入!$B$9*4,季度投融资!DG159,0)</f>
        <v>0</v>
      </c>
      <c r="DH125" s="9">
        <f>IF(108&lt;=核心参数输入!$B$9*4,季度投融资!DH159,0)</f>
        <v>0</v>
      </c>
      <c r="DI125" s="9">
        <f>IF(109&lt;=核心参数输入!$B$9*4,季度投融资!DI159,0)</f>
        <v>0</v>
      </c>
      <c r="DJ125" s="9">
        <f>IF(110&lt;=核心参数输入!$B$9*4,季度投融资!DJ159,0)</f>
        <v>0</v>
      </c>
      <c r="DK125" s="9">
        <f>IF(111&lt;=核心参数输入!$B$9*4,季度投融资!DK159,0)</f>
        <v>0</v>
      </c>
      <c r="DL125" s="9">
        <f>IF(112&lt;=核心参数输入!$B$9*4,季度投融资!DL159,0)</f>
        <v>0</v>
      </c>
      <c r="DM125" s="9">
        <f>IF(113&lt;=核心参数输入!$B$9*4,季度投融资!DM159,0)</f>
        <v>0</v>
      </c>
      <c r="DN125" s="9">
        <f>IF(114&lt;=核心参数输入!$B$9*4,季度投融资!DN159,0)</f>
        <v>0</v>
      </c>
      <c r="DO125" s="9">
        <f>IF(115&lt;=核心参数输入!$B$9*4,季度投融资!DO159,0)</f>
        <v>0</v>
      </c>
      <c r="DP125" s="9">
        <f>IF(116&lt;=核心参数输入!$B$9*4,季度投融资!DP159,0)</f>
        <v>0</v>
      </c>
      <c r="DQ125" s="9">
        <f>IF(117&lt;=核心参数输入!$B$9*4,季度投融资!DQ159,0)</f>
        <v>0</v>
      </c>
      <c r="DR125" s="9">
        <f>IF(118&lt;=核心参数输入!$B$9*4,季度投融资!DR159,0)</f>
        <v>0</v>
      </c>
      <c r="DS125" s="9">
        <f>IF(119&lt;=核心参数输入!$B$9*4,季度投融资!DS159,0)</f>
        <v>0</v>
      </c>
      <c r="DT125" s="9">
        <f>IF(120&lt;=核心参数输入!$B$9*4,季度投融资!DT159,0)</f>
        <v>0</v>
      </c>
    </row>
    <row r="126" spans="1:124" ht="21" customHeight="1">
      <c r="A126" s="8" t="s">
        <v>515</v>
      </c>
      <c r="B126" s="8" t="s">
        <v>39</v>
      </c>
      <c r="C126" s="8"/>
      <c r="D126" s="9">
        <f>IF(0&lt;=核心参数输入!$B$9*4,IF(0=核心参数输入!$B$9*4,季度投融资!$E$20*核心参数输入!$B$109,0),0)</f>
        <v>0</v>
      </c>
      <c r="E126" s="9">
        <f>IF(1&lt;=核心参数输入!$B$9*4,IF(1=核心参数输入!$B$9*4,季度投融资!$E$20*核心参数输入!$B$109,0),0)</f>
        <v>0</v>
      </c>
      <c r="F126" s="9">
        <f>IF(2&lt;=核心参数输入!$B$9*4,IF(2=核心参数输入!$B$9*4,季度投融资!$E$20*核心参数输入!$B$109,0),0)</f>
        <v>0</v>
      </c>
      <c r="G126" s="9">
        <f>IF(3&lt;=核心参数输入!$B$9*4,IF(3=核心参数输入!$B$9*4,季度投融资!$E$20*核心参数输入!$B$109,0),0)</f>
        <v>0</v>
      </c>
      <c r="H126" s="9">
        <f>IF(4&lt;=核心参数输入!$B$9*4,IF(4=核心参数输入!$B$9*4,季度投融资!$E$20*核心参数输入!$B$109,0),0)</f>
        <v>0</v>
      </c>
      <c r="I126" s="9">
        <f>IF(5&lt;=核心参数输入!$B$9*4,IF(5=核心参数输入!$B$9*4,季度投融资!$E$20*核心参数输入!$B$109,0),0)</f>
        <v>0</v>
      </c>
      <c r="J126" s="9">
        <f>IF(6&lt;=核心参数输入!$B$9*4,IF(6=核心参数输入!$B$9*4,季度投融资!$E$20*核心参数输入!$B$109,0),0)</f>
        <v>0</v>
      </c>
      <c r="K126" s="9">
        <f>IF(7&lt;=核心参数输入!$B$9*4,IF(7=核心参数输入!$B$9*4,季度投融资!$E$20*核心参数输入!$B$109,0),0)</f>
        <v>0</v>
      </c>
      <c r="L126" s="9">
        <f>IF(8&lt;=核心参数输入!$B$9*4,IF(8=核心参数输入!$B$9*4,季度投融资!$E$20*核心参数输入!$B$109,0),0)</f>
        <v>0</v>
      </c>
      <c r="M126" s="9">
        <f>IF(9&lt;=核心参数输入!$B$9*4,IF(9=核心参数输入!$B$9*4,季度投融资!$E$20*核心参数输入!$B$109,0),0)</f>
        <v>0</v>
      </c>
      <c r="N126" s="9">
        <f>IF(10&lt;=核心参数输入!$B$9*4,IF(10=核心参数输入!$B$9*4,季度投融资!$E$20*核心参数输入!$B$109,0),0)</f>
        <v>0</v>
      </c>
      <c r="O126" s="9">
        <f>IF(11&lt;=核心参数输入!$B$9*4,IF(11=核心参数输入!$B$9*4,季度投融资!$E$20*核心参数输入!$B$109,0),0)</f>
        <v>0</v>
      </c>
      <c r="P126" s="9">
        <f>IF(12&lt;=核心参数输入!$B$9*4,IF(12=核心参数输入!$B$9*4,季度投融资!$E$20*核心参数输入!$B$109,0),0)</f>
        <v>0</v>
      </c>
      <c r="Q126" s="9">
        <f>IF(13&lt;=核心参数输入!$B$9*4,IF(13=核心参数输入!$B$9*4,季度投融资!$E$20*核心参数输入!$B$109,0),0)</f>
        <v>0</v>
      </c>
      <c r="R126" s="9">
        <f>IF(14&lt;=核心参数输入!$B$9*4,IF(14=核心参数输入!$B$9*4,季度投融资!$E$20*核心参数输入!$B$109,0),0)</f>
        <v>0</v>
      </c>
      <c r="S126" s="9">
        <f>IF(15&lt;=核心参数输入!$B$9*4,IF(15=核心参数输入!$B$9*4,季度投融资!$E$20*核心参数输入!$B$109,0),0)</f>
        <v>0</v>
      </c>
      <c r="T126" s="9">
        <f>IF(16&lt;=核心参数输入!$B$9*4,IF(16=核心参数输入!$B$9*4,季度投融资!$E$20*核心参数输入!$B$109,0),0)</f>
        <v>0</v>
      </c>
      <c r="U126" s="9">
        <f>IF(17&lt;=核心参数输入!$B$9*4,IF(17=核心参数输入!$B$9*4,季度投融资!$E$20*核心参数输入!$B$109,0),0)</f>
        <v>0</v>
      </c>
      <c r="V126" s="9">
        <f>IF(18&lt;=核心参数输入!$B$9*4,IF(18=核心参数输入!$B$9*4,季度投融资!$E$20*核心参数输入!$B$109,0),0)</f>
        <v>0</v>
      </c>
      <c r="W126" s="9">
        <f>IF(19&lt;=核心参数输入!$B$9*4,IF(19=核心参数输入!$B$9*4,季度投融资!$E$20*核心参数输入!$B$109,0),0)</f>
        <v>0</v>
      </c>
      <c r="X126" s="9">
        <f>IF(20&lt;=核心参数输入!$B$9*4,IF(20=核心参数输入!$B$9*4,季度投融资!$E$20*核心参数输入!$B$109,0),0)</f>
        <v>0</v>
      </c>
      <c r="Y126" s="9">
        <f>IF(21&lt;=核心参数输入!$B$9*4,IF(21=核心参数输入!$B$9*4,季度投融资!$E$20*核心参数输入!$B$109,0),0)</f>
        <v>0</v>
      </c>
      <c r="Z126" s="9">
        <f>IF(22&lt;=核心参数输入!$B$9*4,IF(22=核心参数输入!$B$9*4,季度投融资!$E$20*核心参数输入!$B$109,0),0)</f>
        <v>0</v>
      </c>
      <c r="AA126" s="9">
        <f>IF(23&lt;=核心参数输入!$B$9*4,IF(23=核心参数输入!$B$9*4,季度投融资!$E$20*核心参数输入!$B$109,0),0)</f>
        <v>0</v>
      </c>
      <c r="AB126" s="9">
        <f>IF(24&lt;=核心参数输入!$B$9*4,IF(24=核心参数输入!$B$9*4,季度投融资!$E$20*核心参数输入!$B$109,0),0)</f>
        <v>0</v>
      </c>
      <c r="AC126" s="9">
        <f>IF(25&lt;=核心参数输入!$B$9*4,IF(25=核心参数输入!$B$9*4,季度投融资!$E$20*核心参数输入!$B$109,0),0)</f>
        <v>0</v>
      </c>
      <c r="AD126" s="9">
        <f>IF(26&lt;=核心参数输入!$B$9*4,IF(26=核心参数输入!$B$9*4,季度投融资!$E$20*核心参数输入!$B$109,0),0)</f>
        <v>0</v>
      </c>
      <c r="AE126" s="9">
        <f>IF(27&lt;=核心参数输入!$B$9*4,IF(27=核心参数输入!$B$9*4,季度投融资!$E$20*核心参数输入!$B$109,0),0)</f>
        <v>0</v>
      </c>
      <c r="AF126" s="9">
        <f>IF(28&lt;=核心参数输入!$B$9*4,IF(28=核心参数输入!$B$9*4,季度投融资!$E$20*核心参数输入!$B$109,0),0)</f>
        <v>0</v>
      </c>
      <c r="AG126" s="9">
        <f>IF(29&lt;=核心参数输入!$B$9*4,IF(29=核心参数输入!$B$9*4,季度投融资!$E$20*核心参数输入!$B$109,0),0)</f>
        <v>0</v>
      </c>
      <c r="AH126" s="9">
        <f>IF(30&lt;=核心参数输入!$B$9*4,IF(30=核心参数输入!$B$9*4,季度投融资!$E$20*核心参数输入!$B$109,0),0)</f>
        <v>0</v>
      </c>
      <c r="AI126" s="9">
        <f>IF(31&lt;=核心参数输入!$B$9*4,IF(31=核心参数输入!$B$9*4,季度投融资!$E$20*核心参数输入!$B$109,0),0)</f>
        <v>0</v>
      </c>
      <c r="AJ126" s="9">
        <f>IF(32&lt;=核心参数输入!$B$9*4,IF(32=核心参数输入!$B$9*4,季度投融资!$E$20*核心参数输入!$B$109,0),0)</f>
        <v>0</v>
      </c>
      <c r="AK126" s="9">
        <f>IF(33&lt;=核心参数输入!$B$9*4,IF(33=核心参数输入!$B$9*4,季度投融资!$E$20*核心参数输入!$B$109,0),0)</f>
        <v>0</v>
      </c>
      <c r="AL126" s="9">
        <f>IF(34&lt;=核心参数输入!$B$9*4,IF(34=核心参数输入!$B$9*4,季度投融资!$E$20*核心参数输入!$B$109,0),0)</f>
        <v>0</v>
      </c>
      <c r="AM126" s="9">
        <f>IF(35&lt;=核心参数输入!$B$9*4,IF(35=核心参数输入!$B$9*4,季度投融资!$E$20*核心参数输入!$B$109,0),0)</f>
        <v>0</v>
      </c>
      <c r="AN126" s="9">
        <f>IF(36&lt;=核心参数输入!$B$9*4,IF(36=核心参数输入!$B$9*4,季度投融资!$E$20*核心参数输入!$B$109,0),0)</f>
        <v>0</v>
      </c>
      <c r="AO126" s="9">
        <f>IF(37&lt;=核心参数输入!$B$9*4,IF(37=核心参数输入!$B$9*4,季度投融资!$E$20*核心参数输入!$B$109,0),0)</f>
        <v>0</v>
      </c>
      <c r="AP126" s="9">
        <f>IF(38&lt;=核心参数输入!$B$9*4,IF(38=核心参数输入!$B$9*4,季度投融资!$E$20*核心参数输入!$B$109,0),0)</f>
        <v>0</v>
      </c>
      <c r="AQ126" s="9">
        <f>IF(39&lt;=核心参数输入!$B$9*4,IF(39=核心参数输入!$B$9*4,季度投融资!$E$20*核心参数输入!$B$109,0),0)</f>
        <v>0</v>
      </c>
      <c r="AR126" s="9">
        <f>IF(40&lt;=核心参数输入!$B$9*4,IF(40=核心参数输入!$B$9*4,季度投融资!$E$20*核心参数输入!$B$109,0),0)</f>
        <v>0</v>
      </c>
      <c r="AS126" s="9">
        <f>IF(41&lt;=核心参数输入!$B$9*4,IF(41=核心参数输入!$B$9*4,季度投融资!$E$20*核心参数输入!$B$109,0),0)</f>
        <v>0</v>
      </c>
      <c r="AT126" s="9">
        <f>IF(42&lt;=核心参数输入!$B$9*4,IF(42=核心参数输入!$B$9*4,季度投融资!$E$20*核心参数输入!$B$109,0),0)</f>
        <v>0</v>
      </c>
      <c r="AU126" s="9">
        <f>IF(43&lt;=核心参数输入!$B$9*4,IF(43=核心参数输入!$B$9*4,季度投融资!$E$20*核心参数输入!$B$109,0),0)</f>
        <v>0</v>
      </c>
      <c r="AV126" s="9">
        <f>IF(44&lt;=核心参数输入!$B$9*4,IF(44=核心参数输入!$B$9*4,季度投融资!$E$20*核心参数输入!$B$109,0),0)</f>
        <v>0</v>
      </c>
      <c r="AW126" s="9">
        <f>IF(45&lt;=核心参数输入!$B$9*4,IF(45=核心参数输入!$B$9*4,季度投融资!$E$20*核心参数输入!$B$109,0),0)</f>
        <v>0</v>
      </c>
      <c r="AX126" s="9">
        <f>IF(46&lt;=核心参数输入!$B$9*4,IF(46=核心参数输入!$B$9*4,季度投融资!$E$20*核心参数输入!$B$109,0),0)</f>
        <v>0</v>
      </c>
      <c r="AY126" s="9">
        <f>IF(47&lt;=核心参数输入!$B$9*4,IF(47=核心参数输入!$B$9*4,季度投融资!$E$20*核心参数输入!$B$109,0),0)</f>
        <v>0</v>
      </c>
      <c r="AZ126" s="9">
        <f>IF(48&lt;=核心参数输入!$B$9*4,IF(48=核心参数输入!$B$9*4,季度投融资!$E$20*核心参数输入!$B$109,0),0)</f>
        <v>0</v>
      </c>
      <c r="BA126" s="9">
        <f>IF(49&lt;=核心参数输入!$B$9*4,IF(49=核心参数输入!$B$9*4,季度投融资!$E$20*核心参数输入!$B$109,0),0)</f>
        <v>0</v>
      </c>
      <c r="BB126" s="9">
        <f>IF(50&lt;=核心参数输入!$B$9*4,IF(50=核心参数输入!$B$9*4,季度投融资!$E$20*核心参数输入!$B$109,0),0)</f>
        <v>0</v>
      </c>
      <c r="BC126" s="9">
        <f>IF(51&lt;=核心参数输入!$B$9*4,IF(51=核心参数输入!$B$9*4,季度投融资!$E$20*核心参数输入!$B$109,0),0)</f>
        <v>0</v>
      </c>
      <c r="BD126" s="9">
        <f>IF(52&lt;=核心参数输入!$B$9*4,IF(52=核心参数输入!$B$9*4,季度投融资!$E$20*核心参数输入!$B$109,0),0)</f>
        <v>0</v>
      </c>
      <c r="BE126" s="9">
        <f>IF(53&lt;=核心参数输入!$B$9*4,IF(53=核心参数输入!$B$9*4,季度投融资!$E$20*核心参数输入!$B$109,0),0)</f>
        <v>0</v>
      </c>
      <c r="BF126" s="9">
        <f>IF(54&lt;=核心参数输入!$B$9*4,IF(54=核心参数输入!$B$9*4,季度投融资!$E$20*核心参数输入!$B$109,0),0)</f>
        <v>0</v>
      </c>
      <c r="BG126" s="9">
        <f>IF(55&lt;=核心参数输入!$B$9*4,IF(55=核心参数输入!$B$9*4,季度投融资!$E$20*核心参数输入!$B$109,0),0)</f>
        <v>0</v>
      </c>
      <c r="BH126" s="9">
        <f>IF(56&lt;=核心参数输入!$B$9*4,IF(56=核心参数输入!$B$9*4,季度投融资!$E$20*核心参数输入!$B$109,0),0)</f>
        <v>0</v>
      </c>
      <c r="BI126" s="9">
        <f>IF(57&lt;=核心参数输入!$B$9*4,IF(57=核心参数输入!$B$9*4,季度投融资!$E$20*核心参数输入!$B$109,0),0)</f>
        <v>0</v>
      </c>
      <c r="BJ126" s="9">
        <f>IF(58&lt;=核心参数输入!$B$9*4,IF(58=核心参数输入!$B$9*4,季度投融资!$E$20*核心参数输入!$B$109,0),0)</f>
        <v>0</v>
      </c>
      <c r="BK126" s="9">
        <f>IF(59&lt;=核心参数输入!$B$9*4,IF(59=核心参数输入!$B$9*4,季度投融资!$E$20*核心参数输入!$B$109,0),0)</f>
        <v>0</v>
      </c>
      <c r="BL126" s="9">
        <f>IF(60&lt;=核心参数输入!$B$9*4,IF(60=核心参数输入!$B$9*4,季度投融资!$E$20*核心参数输入!$B$109,0),0)</f>
        <v>0</v>
      </c>
      <c r="BM126" s="9">
        <f>IF(61&lt;=核心参数输入!$B$9*4,IF(61=核心参数输入!$B$9*4,季度投融资!$E$20*核心参数输入!$B$109,0),0)</f>
        <v>0</v>
      </c>
      <c r="BN126" s="9">
        <f>IF(62&lt;=核心参数输入!$B$9*4,IF(62=核心参数输入!$B$9*4,季度投融资!$E$20*核心参数输入!$B$109,0),0)</f>
        <v>0</v>
      </c>
      <c r="BO126" s="9">
        <f>IF(63&lt;=核心参数输入!$B$9*4,IF(63=核心参数输入!$B$9*4,季度投融资!$E$20*核心参数输入!$B$109,0),0)</f>
        <v>0</v>
      </c>
      <c r="BP126" s="9">
        <f>IF(64&lt;=核心参数输入!$B$9*4,IF(64=核心参数输入!$B$9*4,季度投融资!$E$20*核心参数输入!$B$109,0),0)</f>
        <v>0</v>
      </c>
      <c r="BQ126" s="9">
        <f>IF(65&lt;=核心参数输入!$B$9*4,IF(65=核心参数输入!$B$9*4,季度投融资!$E$20*核心参数输入!$B$109,0),0)</f>
        <v>0</v>
      </c>
      <c r="BR126" s="9">
        <f>IF(66&lt;=核心参数输入!$B$9*4,IF(66=核心参数输入!$B$9*4,季度投融资!$E$20*核心参数输入!$B$109,0),0)</f>
        <v>0</v>
      </c>
      <c r="BS126" s="9">
        <f>IF(67&lt;=核心参数输入!$B$9*4,IF(67=核心参数输入!$B$9*4,季度投融资!$E$20*核心参数输入!$B$109,0),0)</f>
        <v>0</v>
      </c>
      <c r="BT126" s="9">
        <f>IF(68&lt;=核心参数输入!$B$9*4,IF(68=核心参数输入!$B$9*4,季度投融资!$E$20*核心参数输入!$B$109,0),0)</f>
        <v>0</v>
      </c>
      <c r="BU126" s="9">
        <f>IF(69&lt;=核心参数输入!$B$9*4,IF(69=核心参数输入!$B$9*4,季度投融资!$E$20*核心参数输入!$B$109,0),0)</f>
        <v>0</v>
      </c>
      <c r="BV126" s="9">
        <f>IF(70&lt;=核心参数输入!$B$9*4,IF(70=核心参数输入!$B$9*4,季度投融资!$E$20*核心参数输入!$B$109,0),0)</f>
        <v>0</v>
      </c>
      <c r="BW126" s="9">
        <f>IF(71&lt;=核心参数输入!$B$9*4,IF(71=核心参数输入!$B$9*4,季度投融资!$E$20*核心参数输入!$B$109,0),0)</f>
        <v>0</v>
      </c>
      <c r="BX126" s="9">
        <f>IF(72&lt;=核心参数输入!$B$9*4,IF(72=核心参数输入!$B$9*4,季度投融资!$E$20*核心参数输入!$B$109,0),0)</f>
        <v>0</v>
      </c>
      <c r="BY126" s="9">
        <f>IF(73&lt;=核心参数输入!$B$9*4,IF(73=核心参数输入!$B$9*4,季度投融资!$E$20*核心参数输入!$B$109,0),0)</f>
        <v>0</v>
      </c>
      <c r="BZ126" s="9">
        <f>IF(74&lt;=核心参数输入!$B$9*4,IF(74=核心参数输入!$B$9*4,季度投融资!$E$20*核心参数输入!$B$109,0),0)</f>
        <v>0</v>
      </c>
      <c r="CA126" s="9">
        <f>IF(75&lt;=核心参数输入!$B$9*4,IF(75=核心参数输入!$B$9*4,季度投融资!$E$20*核心参数输入!$B$109,0),0)</f>
        <v>0</v>
      </c>
      <c r="CB126" s="9">
        <f>IF(76&lt;=核心参数输入!$B$9*4,IF(76=核心参数输入!$B$9*4,季度投融资!$E$20*核心参数输入!$B$109,0),0)</f>
        <v>0</v>
      </c>
      <c r="CC126" s="9">
        <f>IF(77&lt;=核心参数输入!$B$9*4,IF(77=核心参数输入!$B$9*4,季度投融资!$E$20*核心参数输入!$B$109,0),0)</f>
        <v>0</v>
      </c>
      <c r="CD126" s="9">
        <f>IF(78&lt;=核心参数输入!$B$9*4,IF(78=核心参数输入!$B$9*4,季度投融资!$E$20*核心参数输入!$B$109,0),0)</f>
        <v>0</v>
      </c>
      <c r="CE126" s="9">
        <f>IF(79&lt;=核心参数输入!$B$9*4,IF(79=核心参数输入!$B$9*4,季度投融资!$E$20*核心参数输入!$B$109,0),0)</f>
        <v>0</v>
      </c>
      <c r="CF126" s="9">
        <f>IF(80&lt;=核心参数输入!$B$9*4,IF(80=核心参数输入!$B$9*4,季度投融资!$E$20*核心参数输入!$B$109,0),0)</f>
        <v>0</v>
      </c>
      <c r="CG126" s="9">
        <f>IF(81&lt;=核心参数输入!$B$9*4,IF(81=核心参数输入!$B$9*4,季度投融资!$E$20*核心参数输入!$B$109,0),0)</f>
        <v>0</v>
      </c>
      <c r="CH126" s="9">
        <f>IF(82&lt;=核心参数输入!$B$9*4,IF(82=核心参数输入!$B$9*4,季度投融资!$E$20*核心参数输入!$B$109,0),0)</f>
        <v>0</v>
      </c>
      <c r="CI126" s="9">
        <f>IF(83&lt;=核心参数输入!$B$9*4,IF(83=核心参数输入!$B$9*4,季度投融资!$E$20*核心参数输入!$B$109,0),0)</f>
        <v>0</v>
      </c>
      <c r="CJ126" s="9">
        <f>IF(84&lt;=核心参数输入!$B$9*4,IF(84=核心参数输入!$B$9*4,季度投融资!$E$20*核心参数输入!$B$109,0),0)</f>
        <v>0</v>
      </c>
      <c r="CK126" s="9">
        <f>IF(85&lt;=核心参数输入!$B$9*4,IF(85=核心参数输入!$B$9*4,季度投融资!$E$20*核心参数输入!$B$109,0),0)</f>
        <v>0</v>
      </c>
      <c r="CL126" s="9">
        <f>IF(86&lt;=核心参数输入!$B$9*4,IF(86=核心参数输入!$B$9*4,季度投融资!$E$20*核心参数输入!$B$109,0),0)</f>
        <v>0</v>
      </c>
      <c r="CM126" s="9">
        <f>IF(87&lt;=核心参数输入!$B$9*4,IF(87=核心参数输入!$B$9*4,季度投融资!$E$20*核心参数输入!$B$109,0),0)</f>
        <v>0</v>
      </c>
      <c r="CN126" s="9">
        <f>IF(88&lt;=核心参数输入!$B$9*4,IF(88=核心参数输入!$B$9*4,季度投融资!$E$20*核心参数输入!$B$109,0),0)</f>
        <v>0</v>
      </c>
      <c r="CO126" s="9">
        <f>IF(89&lt;=核心参数输入!$B$9*4,IF(89=核心参数输入!$B$9*4,季度投融资!$E$20*核心参数输入!$B$109,0),0)</f>
        <v>0</v>
      </c>
      <c r="CP126" s="9">
        <f>IF(90&lt;=核心参数输入!$B$9*4,IF(90=核心参数输入!$B$9*4,季度投融资!$E$20*核心参数输入!$B$109,0),0)</f>
        <v>0</v>
      </c>
      <c r="CQ126" s="9">
        <f>IF(91&lt;=核心参数输入!$B$9*4,IF(91=核心参数输入!$B$9*4,季度投融资!$E$20*核心参数输入!$B$109,0),0)</f>
        <v>0</v>
      </c>
      <c r="CR126" s="9">
        <f>IF(92&lt;=核心参数输入!$B$9*4,IF(92=核心参数输入!$B$9*4,季度投融资!$E$20*核心参数输入!$B$109,0),0)</f>
        <v>0</v>
      </c>
      <c r="CS126" s="9">
        <f>IF(93&lt;=核心参数输入!$B$9*4,IF(93=核心参数输入!$B$9*4,季度投融资!$E$20*核心参数输入!$B$109,0),0)</f>
        <v>0</v>
      </c>
      <c r="CT126" s="9">
        <f>IF(94&lt;=核心参数输入!$B$9*4,IF(94=核心参数输入!$B$9*4,季度投融资!$E$20*核心参数输入!$B$109,0),0)</f>
        <v>0</v>
      </c>
      <c r="CU126" s="9">
        <f>IF(95&lt;=核心参数输入!$B$9*4,IF(95=核心参数输入!$B$9*4,季度投融资!$E$20*核心参数输入!$B$109,0),0)</f>
        <v>0</v>
      </c>
      <c r="CV126" s="9">
        <f>IF(96&lt;=核心参数输入!$B$9*4,IF(96=核心参数输入!$B$9*4,季度投融资!$E$20*核心参数输入!$B$109,0),0)</f>
        <v>0</v>
      </c>
      <c r="CW126" s="9">
        <f>IF(97&lt;=核心参数输入!$B$9*4,IF(97=核心参数输入!$B$9*4,季度投融资!$E$20*核心参数输入!$B$109,0),0)</f>
        <v>0</v>
      </c>
      <c r="CX126" s="9">
        <f>IF(98&lt;=核心参数输入!$B$9*4,IF(98=核心参数输入!$B$9*4,季度投融资!$E$20*核心参数输入!$B$109,0),0)</f>
        <v>0</v>
      </c>
      <c r="CY126" s="9">
        <f>IF(99&lt;=核心参数输入!$B$9*4,IF(99=核心参数输入!$B$9*4,季度投融资!$E$20*核心参数输入!$B$109,0),0)</f>
        <v>0</v>
      </c>
      <c r="CZ126" s="9">
        <f>IF(100&lt;=核心参数输入!$B$9*4,IF(100=核心参数输入!$B$9*4,季度投融资!$E$20*核心参数输入!$B$109,0),0)</f>
        <v>0</v>
      </c>
      <c r="DA126" s="9">
        <f>IF(101&lt;=核心参数输入!$B$9*4,IF(101=核心参数输入!$B$9*4,季度投融资!$E$20*核心参数输入!$B$109,0),0)</f>
        <v>0</v>
      </c>
      <c r="DB126" s="9">
        <f>IF(102&lt;=核心参数输入!$B$9*4,IF(102=核心参数输入!$B$9*4,季度投融资!$E$20*核心参数输入!$B$109,0),0)</f>
        <v>0</v>
      </c>
      <c r="DC126" s="9">
        <f>IF(103&lt;=核心参数输入!$B$9*4,IF(103=核心参数输入!$B$9*4,季度投融资!$E$20*核心参数输入!$B$109,0),0)</f>
        <v>0</v>
      </c>
      <c r="DD126" s="9">
        <f>IF(104&lt;=核心参数输入!$B$9*4,IF(104=核心参数输入!$B$9*4,季度投融资!$E$20*核心参数输入!$B$109,0),0)</f>
        <v>0</v>
      </c>
      <c r="DE126" s="9">
        <f>IF(105&lt;=核心参数输入!$B$9*4,IF(105=核心参数输入!$B$9*4,季度投融资!$E$20*核心参数输入!$B$109,0),0)</f>
        <v>0</v>
      </c>
      <c r="DF126" s="9">
        <f>IF(106&lt;=核心参数输入!$B$9*4,IF(106=核心参数输入!$B$9*4,季度投融资!$E$20*核心参数输入!$B$109,0),0)</f>
        <v>0</v>
      </c>
      <c r="DG126" s="9">
        <f>IF(107&lt;=核心参数输入!$B$9*4,IF(107=核心参数输入!$B$9*4,季度投融资!$E$20*核心参数输入!$B$109,0),0)</f>
        <v>0</v>
      </c>
      <c r="DH126" s="9">
        <f>IF(108&lt;=核心参数输入!$B$9*4,IF(108=核心参数输入!$B$9*4,季度投融资!$E$20*核心参数输入!$B$109,0),0)</f>
        <v>0</v>
      </c>
      <c r="DI126" s="9">
        <f>IF(109&lt;=核心参数输入!$B$9*4,IF(109=核心参数输入!$B$9*4,季度投融资!$E$20*核心参数输入!$B$109,0),0)</f>
        <v>0</v>
      </c>
      <c r="DJ126" s="9">
        <f>IF(110&lt;=核心参数输入!$B$9*4,IF(110=核心参数输入!$B$9*4,季度投融资!$E$20*核心参数输入!$B$109,0),0)</f>
        <v>0</v>
      </c>
      <c r="DK126" s="9">
        <f>IF(111&lt;=核心参数输入!$B$9*4,IF(111=核心参数输入!$B$9*4,季度投融资!$E$20*核心参数输入!$B$109,0),0)</f>
        <v>0</v>
      </c>
      <c r="DL126" s="9">
        <f>IF(112&lt;=核心参数输入!$B$9*4,IF(112=核心参数输入!$B$9*4,季度投融资!$E$20*核心参数输入!$B$109,0),0)</f>
        <v>0</v>
      </c>
      <c r="DM126" s="9">
        <f>IF(113&lt;=核心参数输入!$B$9*4,IF(113=核心参数输入!$B$9*4,季度投融资!$E$20*核心参数输入!$B$109,0),0)</f>
        <v>0</v>
      </c>
      <c r="DN126" s="9">
        <f>IF(114&lt;=核心参数输入!$B$9*4,IF(114=核心参数输入!$B$9*4,季度投融资!$E$20*核心参数输入!$B$109,0),0)</f>
        <v>0</v>
      </c>
      <c r="DO126" s="9">
        <f>IF(115&lt;=核心参数输入!$B$9*4,IF(115=核心参数输入!$B$9*4,季度投融资!$E$20*核心参数输入!$B$109,0),0)</f>
        <v>0</v>
      </c>
      <c r="DP126" s="9">
        <f>IF(116&lt;=核心参数输入!$B$9*4,IF(116=核心参数输入!$B$9*4,季度投融资!$E$20*核心参数输入!$B$109,0),0)</f>
        <v>0</v>
      </c>
      <c r="DQ126" s="9">
        <f>IF(117&lt;=核心参数输入!$B$9*4,IF(117=核心参数输入!$B$9*4,季度投融资!$E$20*核心参数输入!$B$109,0),0)</f>
        <v>0</v>
      </c>
      <c r="DR126" s="9">
        <f>IF(118&lt;=核心参数输入!$B$9*4,IF(118=核心参数输入!$B$9*4,季度投融资!$E$20*核心参数输入!$B$109,0),0)</f>
        <v>0</v>
      </c>
      <c r="DS126" s="9">
        <f>IF(119&lt;=核心参数输入!$B$9*4,IF(119=核心参数输入!$B$9*4,季度投融资!$E$20*核心参数输入!$B$109,0),0)</f>
        <v>0</v>
      </c>
      <c r="DT126" s="9">
        <f>IF(120&lt;=核心参数输入!$B$9*4,IF(120=核心参数输入!$B$9*4,季度投融资!$E$20*核心参数输入!$B$109,0),0)</f>
        <v>0</v>
      </c>
    </row>
    <row r="127" spans="1:124" ht="21" customHeight="1">
      <c r="A127" s="8" t="s">
        <v>516</v>
      </c>
      <c r="B127" s="8" t="s">
        <v>39</v>
      </c>
      <c r="C127" s="8"/>
      <c r="D127" s="9">
        <f>IF(0&lt;=核心参数输入!$B$9*4,IF(0=核心参数输入!$B$9*4,季度投融资!$E$20*核心参数输入!$B$110,0),0)</f>
        <v>0</v>
      </c>
      <c r="E127" s="9">
        <f>IF(1&lt;=核心参数输入!$B$9*4,IF(1=核心参数输入!$B$9*4,季度投融资!$E$20*核心参数输入!$B$110,0),0)</f>
        <v>0</v>
      </c>
      <c r="F127" s="9">
        <f>IF(2&lt;=核心参数输入!$B$9*4,IF(2=核心参数输入!$B$9*4,季度投融资!$E$20*核心参数输入!$B$110,0),0)</f>
        <v>0</v>
      </c>
      <c r="G127" s="9">
        <f>IF(3&lt;=核心参数输入!$B$9*4,IF(3=核心参数输入!$B$9*4,季度投融资!$E$20*核心参数输入!$B$110,0),0)</f>
        <v>0</v>
      </c>
      <c r="H127" s="9">
        <f>IF(4&lt;=核心参数输入!$B$9*4,IF(4=核心参数输入!$B$9*4,季度投融资!$E$20*核心参数输入!$B$110,0),0)</f>
        <v>0</v>
      </c>
      <c r="I127" s="9">
        <f>IF(5&lt;=核心参数输入!$B$9*4,IF(5=核心参数输入!$B$9*4,季度投融资!$E$20*核心参数输入!$B$110,0),0)</f>
        <v>0</v>
      </c>
      <c r="J127" s="9">
        <f>IF(6&lt;=核心参数输入!$B$9*4,IF(6=核心参数输入!$B$9*4,季度投融资!$E$20*核心参数输入!$B$110,0),0)</f>
        <v>0</v>
      </c>
      <c r="K127" s="9">
        <f>IF(7&lt;=核心参数输入!$B$9*4,IF(7=核心参数输入!$B$9*4,季度投融资!$E$20*核心参数输入!$B$110,0),0)</f>
        <v>0</v>
      </c>
      <c r="L127" s="9">
        <f>IF(8&lt;=核心参数输入!$B$9*4,IF(8=核心参数输入!$B$9*4,季度投融资!$E$20*核心参数输入!$B$110,0),0)</f>
        <v>0</v>
      </c>
      <c r="M127" s="9">
        <f>IF(9&lt;=核心参数输入!$B$9*4,IF(9=核心参数输入!$B$9*4,季度投融资!$E$20*核心参数输入!$B$110,0),0)</f>
        <v>0</v>
      </c>
      <c r="N127" s="9">
        <f>IF(10&lt;=核心参数输入!$B$9*4,IF(10=核心参数输入!$B$9*4,季度投融资!$E$20*核心参数输入!$B$110,0),0)</f>
        <v>0</v>
      </c>
      <c r="O127" s="9">
        <f>IF(11&lt;=核心参数输入!$B$9*4,IF(11=核心参数输入!$B$9*4,季度投融资!$E$20*核心参数输入!$B$110,0),0)</f>
        <v>0</v>
      </c>
      <c r="P127" s="9">
        <f>IF(12&lt;=核心参数输入!$B$9*4,IF(12=核心参数输入!$B$9*4,季度投融资!$E$20*核心参数输入!$B$110,0),0)</f>
        <v>0</v>
      </c>
      <c r="Q127" s="9">
        <f>IF(13&lt;=核心参数输入!$B$9*4,IF(13=核心参数输入!$B$9*4,季度投融资!$E$20*核心参数输入!$B$110,0),0)</f>
        <v>0</v>
      </c>
      <c r="R127" s="9">
        <f>IF(14&lt;=核心参数输入!$B$9*4,IF(14=核心参数输入!$B$9*4,季度投融资!$E$20*核心参数输入!$B$110,0),0)</f>
        <v>0</v>
      </c>
      <c r="S127" s="9">
        <f>IF(15&lt;=核心参数输入!$B$9*4,IF(15=核心参数输入!$B$9*4,季度投融资!$E$20*核心参数输入!$B$110,0),0)</f>
        <v>0</v>
      </c>
      <c r="T127" s="9">
        <f>IF(16&lt;=核心参数输入!$B$9*4,IF(16=核心参数输入!$B$9*4,季度投融资!$E$20*核心参数输入!$B$110,0),0)</f>
        <v>0</v>
      </c>
      <c r="U127" s="9">
        <f>IF(17&lt;=核心参数输入!$B$9*4,IF(17=核心参数输入!$B$9*4,季度投融资!$E$20*核心参数输入!$B$110,0),0)</f>
        <v>0</v>
      </c>
      <c r="V127" s="9">
        <f>IF(18&lt;=核心参数输入!$B$9*4,IF(18=核心参数输入!$B$9*4,季度投融资!$E$20*核心参数输入!$B$110,0),0)</f>
        <v>0</v>
      </c>
      <c r="W127" s="9">
        <f>IF(19&lt;=核心参数输入!$B$9*4,IF(19=核心参数输入!$B$9*4,季度投融资!$E$20*核心参数输入!$B$110,0),0)</f>
        <v>0</v>
      </c>
      <c r="X127" s="9">
        <f>IF(20&lt;=核心参数输入!$B$9*4,IF(20=核心参数输入!$B$9*4,季度投融资!$E$20*核心参数输入!$B$110,0),0)</f>
        <v>0</v>
      </c>
      <c r="Y127" s="9">
        <f>IF(21&lt;=核心参数输入!$B$9*4,IF(21=核心参数输入!$B$9*4,季度投融资!$E$20*核心参数输入!$B$110,0),0)</f>
        <v>0</v>
      </c>
      <c r="Z127" s="9">
        <f>IF(22&lt;=核心参数输入!$B$9*4,IF(22=核心参数输入!$B$9*4,季度投融资!$E$20*核心参数输入!$B$110,0),0)</f>
        <v>0</v>
      </c>
      <c r="AA127" s="9">
        <f>IF(23&lt;=核心参数输入!$B$9*4,IF(23=核心参数输入!$B$9*4,季度投融资!$E$20*核心参数输入!$B$110,0),0)</f>
        <v>0</v>
      </c>
      <c r="AB127" s="9">
        <f>IF(24&lt;=核心参数输入!$B$9*4,IF(24=核心参数输入!$B$9*4,季度投融资!$E$20*核心参数输入!$B$110,0),0)</f>
        <v>0</v>
      </c>
      <c r="AC127" s="9">
        <f>IF(25&lt;=核心参数输入!$B$9*4,IF(25=核心参数输入!$B$9*4,季度投融资!$E$20*核心参数输入!$B$110,0),0)</f>
        <v>0</v>
      </c>
      <c r="AD127" s="9">
        <f>IF(26&lt;=核心参数输入!$B$9*4,IF(26=核心参数输入!$B$9*4,季度投融资!$E$20*核心参数输入!$B$110,0),0)</f>
        <v>0</v>
      </c>
      <c r="AE127" s="9">
        <f>IF(27&lt;=核心参数输入!$B$9*4,IF(27=核心参数输入!$B$9*4,季度投融资!$E$20*核心参数输入!$B$110,0),0)</f>
        <v>0</v>
      </c>
      <c r="AF127" s="9">
        <f>IF(28&lt;=核心参数输入!$B$9*4,IF(28=核心参数输入!$B$9*4,季度投融资!$E$20*核心参数输入!$B$110,0),0)</f>
        <v>0</v>
      </c>
      <c r="AG127" s="9">
        <f>IF(29&lt;=核心参数输入!$B$9*4,IF(29=核心参数输入!$B$9*4,季度投融资!$E$20*核心参数输入!$B$110,0),0)</f>
        <v>0</v>
      </c>
      <c r="AH127" s="9">
        <f>IF(30&lt;=核心参数输入!$B$9*4,IF(30=核心参数输入!$B$9*4,季度投融资!$E$20*核心参数输入!$B$110,0),0)</f>
        <v>0</v>
      </c>
      <c r="AI127" s="9">
        <f>IF(31&lt;=核心参数输入!$B$9*4,IF(31=核心参数输入!$B$9*4,季度投融资!$E$20*核心参数输入!$B$110,0),0)</f>
        <v>0</v>
      </c>
      <c r="AJ127" s="9">
        <f>IF(32&lt;=核心参数输入!$B$9*4,IF(32=核心参数输入!$B$9*4,季度投融资!$E$20*核心参数输入!$B$110,0),0)</f>
        <v>0</v>
      </c>
      <c r="AK127" s="9">
        <f>IF(33&lt;=核心参数输入!$B$9*4,IF(33=核心参数输入!$B$9*4,季度投融资!$E$20*核心参数输入!$B$110,0),0)</f>
        <v>0</v>
      </c>
      <c r="AL127" s="9">
        <f>IF(34&lt;=核心参数输入!$B$9*4,IF(34=核心参数输入!$B$9*4,季度投融资!$E$20*核心参数输入!$B$110,0),0)</f>
        <v>0</v>
      </c>
      <c r="AM127" s="9">
        <f>IF(35&lt;=核心参数输入!$B$9*4,IF(35=核心参数输入!$B$9*4,季度投融资!$E$20*核心参数输入!$B$110,0),0)</f>
        <v>0</v>
      </c>
      <c r="AN127" s="9">
        <f>IF(36&lt;=核心参数输入!$B$9*4,IF(36=核心参数输入!$B$9*4,季度投融资!$E$20*核心参数输入!$B$110,0),0)</f>
        <v>0</v>
      </c>
      <c r="AO127" s="9">
        <f>IF(37&lt;=核心参数输入!$B$9*4,IF(37=核心参数输入!$B$9*4,季度投融资!$E$20*核心参数输入!$B$110,0),0)</f>
        <v>0</v>
      </c>
      <c r="AP127" s="9">
        <f>IF(38&lt;=核心参数输入!$B$9*4,IF(38=核心参数输入!$B$9*4,季度投融资!$E$20*核心参数输入!$B$110,0),0)</f>
        <v>0</v>
      </c>
      <c r="AQ127" s="9">
        <f>IF(39&lt;=核心参数输入!$B$9*4,IF(39=核心参数输入!$B$9*4,季度投融资!$E$20*核心参数输入!$B$110,0),0)</f>
        <v>0</v>
      </c>
      <c r="AR127" s="9">
        <f>IF(40&lt;=核心参数输入!$B$9*4,IF(40=核心参数输入!$B$9*4,季度投融资!$E$20*核心参数输入!$B$110,0),0)</f>
        <v>0</v>
      </c>
      <c r="AS127" s="9">
        <f>IF(41&lt;=核心参数输入!$B$9*4,IF(41=核心参数输入!$B$9*4,季度投融资!$E$20*核心参数输入!$B$110,0),0)</f>
        <v>0</v>
      </c>
      <c r="AT127" s="9">
        <f>IF(42&lt;=核心参数输入!$B$9*4,IF(42=核心参数输入!$B$9*4,季度投融资!$E$20*核心参数输入!$B$110,0),0)</f>
        <v>0</v>
      </c>
      <c r="AU127" s="9">
        <f>IF(43&lt;=核心参数输入!$B$9*4,IF(43=核心参数输入!$B$9*4,季度投融资!$E$20*核心参数输入!$B$110,0),0)</f>
        <v>0</v>
      </c>
      <c r="AV127" s="9">
        <f>IF(44&lt;=核心参数输入!$B$9*4,IF(44=核心参数输入!$B$9*4,季度投融资!$E$20*核心参数输入!$B$110,0),0)</f>
        <v>0</v>
      </c>
      <c r="AW127" s="9">
        <f>IF(45&lt;=核心参数输入!$B$9*4,IF(45=核心参数输入!$B$9*4,季度投融资!$E$20*核心参数输入!$B$110,0),0)</f>
        <v>0</v>
      </c>
      <c r="AX127" s="9">
        <f>IF(46&lt;=核心参数输入!$B$9*4,IF(46=核心参数输入!$B$9*4,季度投融资!$E$20*核心参数输入!$B$110,0),0)</f>
        <v>0</v>
      </c>
      <c r="AY127" s="9">
        <f>IF(47&lt;=核心参数输入!$B$9*4,IF(47=核心参数输入!$B$9*4,季度投融资!$E$20*核心参数输入!$B$110,0),0)</f>
        <v>0</v>
      </c>
      <c r="AZ127" s="9">
        <f>IF(48&lt;=核心参数输入!$B$9*4,IF(48=核心参数输入!$B$9*4,季度投融资!$E$20*核心参数输入!$B$110,0),0)</f>
        <v>0</v>
      </c>
      <c r="BA127" s="9">
        <f>IF(49&lt;=核心参数输入!$B$9*4,IF(49=核心参数输入!$B$9*4,季度投融资!$E$20*核心参数输入!$B$110,0),0)</f>
        <v>0</v>
      </c>
      <c r="BB127" s="9">
        <f>IF(50&lt;=核心参数输入!$B$9*4,IF(50=核心参数输入!$B$9*4,季度投融资!$E$20*核心参数输入!$B$110,0),0)</f>
        <v>0</v>
      </c>
      <c r="BC127" s="9">
        <f>IF(51&lt;=核心参数输入!$B$9*4,IF(51=核心参数输入!$B$9*4,季度投融资!$E$20*核心参数输入!$B$110,0),0)</f>
        <v>0</v>
      </c>
      <c r="BD127" s="9">
        <f>IF(52&lt;=核心参数输入!$B$9*4,IF(52=核心参数输入!$B$9*4,季度投融资!$E$20*核心参数输入!$B$110,0),0)</f>
        <v>0</v>
      </c>
      <c r="BE127" s="9">
        <f>IF(53&lt;=核心参数输入!$B$9*4,IF(53=核心参数输入!$B$9*4,季度投融资!$E$20*核心参数输入!$B$110,0),0)</f>
        <v>0</v>
      </c>
      <c r="BF127" s="9">
        <f>IF(54&lt;=核心参数输入!$B$9*4,IF(54=核心参数输入!$B$9*4,季度投融资!$E$20*核心参数输入!$B$110,0),0)</f>
        <v>0</v>
      </c>
      <c r="BG127" s="9">
        <f>IF(55&lt;=核心参数输入!$B$9*4,IF(55=核心参数输入!$B$9*4,季度投融资!$E$20*核心参数输入!$B$110,0),0)</f>
        <v>0</v>
      </c>
      <c r="BH127" s="9">
        <f>IF(56&lt;=核心参数输入!$B$9*4,IF(56=核心参数输入!$B$9*4,季度投融资!$E$20*核心参数输入!$B$110,0),0)</f>
        <v>0</v>
      </c>
      <c r="BI127" s="9">
        <f>IF(57&lt;=核心参数输入!$B$9*4,IF(57=核心参数输入!$B$9*4,季度投融资!$E$20*核心参数输入!$B$110,0),0)</f>
        <v>0</v>
      </c>
      <c r="BJ127" s="9">
        <f>IF(58&lt;=核心参数输入!$B$9*4,IF(58=核心参数输入!$B$9*4,季度投融资!$E$20*核心参数输入!$B$110,0),0)</f>
        <v>0</v>
      </c>
      <c r="BK127" s="9">
        <f>IF(59&lt;=核心参数输入!$B$9*4,IF(59=核心参数输入!$B$9*4,季度投融资!$E$20*核心参数输入!$B$110,0),0)</f>
        <v>0</v>
      </c>
      <c r="BL127" s="9">
        <f>IF(60&lt;=核心参数输入!$B$9*4,IF(60=核心参数输入!$B$9*4,季度投融资!$E$20*核心参数输入!$B$110,0),0)</f>
        <v>0</v>
      </c>
      <c r="BM127" s="9">
        <f>IF(61&lt;=核心参数输入!$B$9*4,IF(61=核心参数输入!$B$9*4,季度投融资!$E$20*核心参数输入!$B$110,0),0)</f>
        <v>0</v>
      </c>
      <c r="BN127" s="9">
        <f>IF(62&lt;=核心参数输入!$B$9*4,IF(62=核心参数输入!$B$9*4,季度投融资!$E$20*核心参数输入!$B$110,0),0)</f>
        <v>0</v>
      </c>
      <c r="BO127" s="9">
        <f>IF(63&lt;=核心参数输入!$B$9*4,IF(63=核心参数输入!$B$9*4,季度投融资!$E$20*核心参数输入!$B$110,0),0)</f>
        <v>0</v>
      </c>
      <c r="BP127" s="9">
        <f>IF(64&lt;=核心参数输入!$B$9*4,IF(64=核心参数输入!$B$9*4,季度投融资!$E$20*核心参数输入!$B$110,0),0)</f>
        <v>0</v>
      </c>
      <c r="BQ127" s="9">
        <f>IF(65&lt;=核心参数输入!$B$9*4,IF(65=核心参数输入!$B$9*4,季度投融资!$E$20*核心参数输入!$B$110,0),0)</f>
        <v>0</v>
      </c>
      <c r="BR127" s="9">
        <f>IF(66&lt;=核心参数输入!$B$9*4,IF(66=核心参数输入!$B$9*4,季度投融资!$E$20*核心参数输入!$B$110,0),0)</f>
        <v>0</v>
      </c>
      <c r="BS127" s="9">
        <f>IF(67&lt;=核心参数输入!$B$9*4,IF(67=核心参数输入!$B$9*4,季度投融资!$E$20*核心参数输入!$B$110,0),0)</f>
        <v>0</v>
      </c>
      <c r="BT127" s="9">
        <f>IF(68&lt;=核心参数输入!$B$9*4,IF(68=核心参数输入!$B$9*4,季度投融资!$E$20*核心参数输入!$B$110,0),0)</f>
        <v>0</v>
      </c>
      <c r="BU127" s="9">
        <f>IF(69&lt;=核心参数输入!$B$9*4,IF(69=核心参数输入!$B$9*4,季度投融资!$E$20*核心参数输入!$B$110,0),0)</f>
        <v>0</v>
      </c>
      <c r="BV127" s="9">
        <f>IF(70&lt;=核心参数输入!$B$9*4,IF(70=核心参数输入!$B$9*4,季度投融资!$E$20*核心参数输入!$B$110,0),0)</f>
        <v>0</v>
      </c>
      <c r="BW127" s="9">
        <f>IF(71&lt;=核心参数输入!$B$9*4,IF(71=核心参数输入!$B$9*4,季度投融资!$E$20*核心参数输入!$B$110,0),0)</f>
        <v>0</v>
      </c>
      <c r="BX127" s="9">
        <f>IF(72&lt;=核心参数输入!$B$9*4,IF(72=核心参数输入!$B$9*4,季度投融资!$E$20*核心参数输入!$B$110,0),0)</f>
        <v>0</v>
      </c>
      <c r="BY127" s="9">
        <f>IF(73&lt;=核心参数输入!$B$9*4,IF(73=核心参数输入!$B$9*4,季度投融资!$E$20*核心参数输入!$B$110,0),0)</f>
        <v>0</v>
      </c>
      <c r="BZ127" s="9">
        <f>IF(74&lt;=核心参数输入!$B$9*4,IF(74=核心参数输入!$B$9*4,季度投融资!$E$20*核心参数输入!$B$110,0),0)</f>
        <v>0</v>
      </c>
      <c r="CA127" s="9">
        <f>IF(75&lt;=核心参数输入!$B$9*4,IF(75=核心参数输入!$B$9*4,季度投融资!$E$20*核心参数输入!$B$110,0),0)</f>
        <v>0</v>
      </c>
      <c r="CB127" s="9">
        <f>IF(76&lt;=核心参数输入!$B$9*4,IF(76=核心参数输入!$B$9*4,季度投融资!$E$20*核心参数输入!$B$110,0),0)</f>
        <v>0</v>
      </c>
      <c r="CC127" s="9">
        <f>IF(77&lt;=核心参数输入!$B$9*4,IF(77=核心参数输入!$B$9*4,季度投融资!$E$20*核心参数输入!$B$110,0),0)</f>
        <v>0</v>
      </c>
      <c r="CD127" s="9">
        <f>IF(78&lt;=核心参数输入!$B$9*4,IF(78=核心参数输入!$B$9*4,季度投融资!$E$20*核心参数输入!$B$110,0),0)</f>
        <v>0</v>
      </c>
      <c r="CE127" s="9">
        <f>IF(79&lt;=核心参数输入!$B$9*4,IF(79=核心参数输入!$B$9*4,季度投融资!$E$20*核心参数输入!$B$110,0),0)</f>
        <v>0</v>
      </c>
      <c r="CF127" s="9">
        <f>IF(80&lt;=核心参数输入!$B$9*4,IF(80=核心参数输入!$B$9*4,季度投融资!$E$20*核心参数输入!$B$110,0),0)</f>
        <v>500</v>
      </c>
      <c r="CG127" s="9">
        <f>IF(81&lt;=核心参数输入!$B$9*4,IF(81=核心参数输入!$B$9*4,季度投融资!$E$20*核心参数输入!$B$110,0),0)</f>
        <v>0</v>
      </c>
      <c r="CH127" s="9">
        <f>IF(82&lt;=核心参数输入!$B$9*4,IF(82=核心参数输入!$B$9*4,季度投融资!$E$20*核心参数输入!$B$110,0),0)</f>
        <v>0</v>
      </c>
      <c r="CI127" s="9">
        <f>IF(83&lt;=核心参数输入!$B$9*4,IF(83=核心参数输入!$B$9*4,季度投融资!$E$20*核心参数输入!$B$110,0),0)</f>
        <v>0</v>
      </c>
      <c r="CJ127" s="9">
        <f>IF(84&lt;=核心参数输入!$B$9*4,IF(84=核心参数输入!$B$9*4,季度投融资!$E$20*核心参数输入!$B$110,0),0)</f>
        <v>0</v>
      </c>
      <c r="CK127" s="9">
        <f>IF(85&lt;=核心参数输入!$B$9*4,IF(85=核心参数输入!$B$9*4,季度投融资!$E$20*核心参数输入!$B$110,0),0)</f>
        <v>0</v>
      </c>
      <c r="CL127" s="9">
        <f>IF(86&lt;=核心参数输入!$B$9*4,IF(86=核心参数输入!$B$9*4,季度投融资!$E$20*核心参数输入!$B$110,0),0)</f>
        <v>0</v>
      </c>
      <c r="CM127" s="9">
        <f>IF(87&lt;=核心参数输入!$B$9*4,IF(87=核心参数输入!$B$9*4,季度投融资!$E$20*核心参数输入!$B$110,0),0)</f>
        <v>0</v>
      </c>
      <c r="CN127" s="9">
        <f>IF(88&lt;=核心参数输入!$B$9*4,IF(88=核心参数输入!$B$9*4,季度投融资!$E$20*核心参数输入!$B$110,0),0)</f>
        <v>0</v>
      </c>
      <c r="CO127" s="9">
        <f>IF(89&lt;=核心参数输入!$B$9*4,IF(89=核心参数输入!$B$9*4,季度投融资!$E$20*核心参数输入!$B$110,0),0)</f>
        <v>0</v>
      </c>
      <c r="CP127" s="9">
        <f>IF(90&lt;=核心参数输入!$B$9*4,IF(90=核心参数输入!$B$9*4,季度投融资!$E$20*核心参数输入!$B$110,0),0)</f>
        <v>0</v>
      </c>
      <c r="CQ127" s="9">
        <f>IF(91&lt;=核心参数输入!$B$9*4,IF(91=核心参数输入!$B$9*4,季度投融资!$E$20*核心参数输入!$B$110,0),0)</f>
        <v>0</v>
      </c>
      <c r="CR127" s="9">
        <f>IF(92&lt;=核心参数输入!$B$9*4,IF(92=核心参数输入!$B$9*4,季度投融资!$E$20*核心参数输入!$B$110,0),0)</f>
        <v>0</v>
      </c>
      <c r="CS127" s="9">
        <f>IF(93&lt;=核心参数输入!$B$9*4,IF(93=核心参数输入!$B$9*4,季度投融资!$E$20*核心参数输入!$B$110,0),0)</f>
        <v>0</v>
      </c>
      <c r="CT127" s="9">
        <f>IF(94&lt;=核心参数输入!$B$9*4,IF(94=核心参数输入!$B$9*4,季度投融资!$E$20*核心参数输入!$B$110,0),0)</f>
        <v>0</v>
      </c>
      <c r="CU127" s="9">
        <f>IF(95&lt;=核心参数输入!$B$9*4,IF(95=核心参数输入!$B$9*4,季度投融资!$E$20*核心参数输入!$B$110,0),0)</f>
        <v>0</v>
      </c>
      <c r="CV127" s="9">
        <f>IF(96&lt;=核心参数输入!$B$9*4,IF(96=核心参数输入!$B$9*4,季度投融资!$E$20*核心参数输入!$B$110,0),0)</f>
        <v>0</v>
      </c>
      <c r="CW127" s="9">
        <f>IF(97&lt;=核心参数输入!$B$9*4,IF(97=核心参数输入!$B$9*4,季度投融资!$E$20*核心参数输入!$B$110,0),0)</f>
        <v>0</v>
      </c>
      <c r="CX127" s="9">
        <f>IF(98&lt;=核心参数输入!$B$9*4,IF(98=核心参数输入!$B$9*4,季度投融资!$E$20*核心参数输入!$B$110,0),0)</f>
        <v>0</v>
      </c>
      <c r="CY127" s="9">
        <f>IF(99&lt;=核心参数输入!$B$9*4,IF(99=核心参数输入!$B$9*4,季度投融资!$E$20*核心参数输入!$B$110,0),0)</f>
        <v>0</v>
      </c>
      <c r="CZ127" s="9">
        <f>IF(100&lt;=核心参数输入!$B$9*4,IF(100=核心参数输入!$B$9*4,季度投融资!$E$20*核心参数输入!$B$110,0),0)</f>
        <v>0</v>
      </c>
      <c r="DA127" s="9">
        <f>IF(101&lt;=核心参数输入!$B$9*4,IF(101=核心参数输入!$B$9*4,季度投融资!$E$20*核心参数输入!$B$110,0),0)</f>
        <v>0</v>
      </c>
      <c r="DB127" s="9">
        <f>IF(102&lt;=核心参数输入!$B$9*4,IF(102=核心参数输入!$B$9*4,季度投融资!$E$20*核心参数输入!$B$110,0),0)</f>
        <v>0</v>
      </c>
      <c r="DC127" s="9">
        <f>IF(103&lt;=核心参数输入!$B$9*4,IF(103=核心参数输入!$B$9*4,季度投融资!$E$20*核心参数输入!$B$110,0),0)</f>
        <v>0</v>
      </c>
      <c r="DD127" s="9">
        <f>IF(104&lt;=核心参数输入!$B$9*4,IF(104=核心参数输入!$B$9*4,季度投融资!$E$20*核心参数输入!$B$110,0),0)</f>
        <v>0</v>
      </c>
      <c r="DE127" s="9">
        <f>IF(105&lt;=核心参数输入!$B$9*4,IF(105=核心参数输入!$B$9*4,季度投融资!$E$20*核心参数输入!$B$110,0),0)</f>
        <v>0</v>
      </c>
      <c r="DF127" s="9">
        <f>IF(106&lt;=核心参数输入!$B$9*4,IF(106=核心参数输入!$B$9*4,季度投融资!$E$20*核心参数输入!$B$110,0),0)</f>
        <v>0</v>
      </c>
      <c r="DG127" s="9">
        <f>IF(107&lt;=核心参数输入!$B$9*4,IF(107=核心参数输入!$B$9*4,季度投融资!$E$20*核心参数输入!$B$110,0),0)</f>
        <v>0</v>
      </c>
      <c r="DH127" s="9">
        <f>IF(108&lt;=核心参数输入!$B$9*4,IF(108=核心参数输入!$B$9*4,季度投融资!$E$20*核心参数输入!$B$110,0),0)</f>
        <v>0</v>
      </c>
      <c r="DI127" s="9">
        <f>IF(109&lt;=核心参数输入!$B$9*4,IF(109=核心参数输入!$B$9*4,季度投融资!$E$20*核心参数输入!$B$110,0),0)</f>
        <v>0</v>
      </c>
      <c r="DJ127" s="9">
        <f>IF(110&lt;=核心参数输入!$B$9*4,IF(110=核心参数输入!$B$9*4,季度投融资!$E$20*核心参数输入!$B$110,0),0)</f>
        <v>0</v>
      </c>
      <c r="DK127" s="9">
        <f>IF(111&lt;=核心参数输入!$B$9*4,IF(111=核心参数输入!$B$9*4,季度投融资!$E$20*核心参数输入!$B$110,0),0)</f>
        <v>0</v>
      </c>
      <c r="DL127" s="9">
        <f>IF(112&lt;=核心参数输入!$B$9*4,IF(112=核心参数输入!$B$9*4,季度投融资!$E$20*核心参数输入!$B$110,0),0)</f>
        <v>0</v>
      </c>
      <c r="DM127" s="9">
        <f>IF(113&lt;=核心参数输入!$B$9*4,IF(113=核心参数输入!$B$9*4,季度投融资!$E$20*核心参数输入!$B$110,0),0)</f>
        <v>0</v>
      </c>
      <c r="DN127" s="9">
        <f>IF(114&lt;=核心参数输入!$B$9*4,IF(114=核心参数输入!$B$9*4,季度投融资!$E$20*核心参数输入!$B$110,0),0)</f>
        <v>0</v>
      </c>
      <c r="DO127" s="9">
        <f>IF(115&lt;=核心参数输入!$B$9*4,IF(115=核心参数输入!$B$9*4,季度投融资!$E$20*核心参数输入!$B$110,0),0)</f>
        <v>0</v>
      </c>
      <c r="DP127" s="9">
        <f>IF(116&lt;=核心参数输入!$B$9*4,IF(116=核心参数输入!$B$9*4,季度投融资!$E$20*核心参数输入!$B$110,0),0)</f>
        <v>0</v>
      </c>
      <c r="DQ127" s="9">
        <f>IF(117&lt;=核心参数输入!$B$9*4,IF(117=核心参数输入!$B$9*4,季度投融资!$E$20*核心参数输入!$B$110,0),0)</f>
        <v>0</v>
      </c>
      <c r="DR127" s="9">
        <f>IF(118&lt;=核心参数输入!$B$9*4,IF(118=核心参数输入!$B$9*4,季度投融资!$E$20*核心参数输入!$B$110,0),0)</f>
        <v>0</v>
      </c>
      <c r="DS127" s="9">
        <f>IF(119&lt;=核心参数输入!$B$9*4,IF(119=核心参数输入!$B$9*4,季度投融资!$E$20*核心参数输入!$B$110,0),0)</f>
        <v>0</v>
      </c>
      <c r="DT127" s="9">
        <f>IF(120&lt;=核心参数输入!$B$9*4,IF(120=核心参数输入!$B$9*4,季度投融资!$E$20*核心参数输入!$B$110,0),0)</f>
        <v>0</v>
      </c>
    </row>
    <row r="128" spans="1:124" ht="21" customHeight="1">
      <c r="A128" s="8" t="s">
        <v>517</v>
      </c>
      <c r="B128" s="8" t="s">
        <v>39</v>
      </c>
      <c r="C128" s="8"/>
      <c r="D128" s="9">
        <f>IF(0&lt;=核心参数输入!$B$9*4,D120-D121+D126,0)</f>
        <v>-8000</v>
      </c>
      <c r="E128" s="9">
        <f>IF(1&lt;=核心参数输入!$B$9*4,E120-E121+E126,0)</f>
        <v>-4365.8999999999996</v>
      </c>
      <c r="F128" s="9">
        <f>IF(2&lt;=核心参数输入!$B$9*4,F120-F121+F126,0)</f>
        <v>-4365.8999999999996</v>
      </c>
      <c r="G128" s="9">
        <f>IF(3&lt;=核心参数输入!$B$9*4,G120-G121+G126,0)</f>
        <v>-4365.8999999999996</v>
      </c>
      <c r="H128" s="9">
        <f>IF(4&lt;=核心参数输入!$B$9*4,H120-H121+H126,0)</f>
        <v>-4365.8999999999996</v>
      </c>
      <c r="I128" s="9">
        <f>IF(5&lt;=核心参数输入!$B$9*4,I120-I121+I126,0)</f>
        <v>-5821.2000000000007</v>
      </c>
      <c r="J128" s="9">
        <f>IF(6&lt;=核心参数输入!$B$9*4,J120-J121+J126,0)</f>
        <v>-5821.2000000000007</v>
      </c>
      <c r="K128" s="9">
        <f>IF(7&lt;=核心参数输入!$B$9*4,K120-K121+K126,0)</f>
        <v>-5821.2000000000007</v>
      </c>
      <c r="L128" s="9">
        <f>IF(8&lt;=核心参数输入!$B$9*4,L120-L121+L126,0)</f>
        <v>-5821.2000000000007</v>
      </c>
      <c r="M128" s="9">
        <f>IF(9&lt;=核心参数输入!$B$9*4,M120-M121+M126,0)</f>
        <v>-4365.8999999999996</v>
      </c>
      <c r="N128" s="9">
        <f>IF(10&lt;=核心参数输入!$B$9*4,N120-N121+N126,0)</f>
        <v>-4365.8999999999996</v>
      </c>
      <c r="O128" s="9">
        <f>IF(11&lt;=核心参数输入!$B$9*4,O120-O121+O126,0)</f>
        <v>-4365.8999999999996</v>
      </c>
      <c r="P128" s="9">
        <f>IF(12&lt;=核心参数输入!$B$9*4,P120-P121+P126,0)</f>
        <v>-4365.8999999999996</v>
      </c>
      <c r="Q128" s="9">
        <f>IF(13&lt;=核心参数输入!$B$9*4,Q120-Q121+Q126,0)</f>
        <v>1318.3426562499999</v>
      </c>
      <c r="R128" s="9">
        <f>IF(14&lt;=核心参数输入!$B$9*4,R120-R121+R126,0)</f>
        <v>2813.6248252350001</v>
      </c>
      <c r="S128" s="9">
        <f>IF(15&lt;=核心参数输入!$B$9*4,S120-S121+S126,0)</f>
        <v>2849.5579132050007</v>
      </c>
      <c r="T128" s="9">
        <f>IF(16&lt;=核心参数输入!$B$9*4,T120-T121+T126,0)</f>
        <v>2885.4910011750003</v>
      </c>
      <c r="U128" s="9">
        <f>IF(17&lt;=核心参数输入!$B$9*4,U120-U121+U126,0)</f>
        <v>3567.924795013425</v>
      </c>
      <c r="V128" s="9">
        <f>IF(18&lt;=核心参数输入!$B$9*4,V120-V121+V126,0)</f>
        <v>3921.0507332305874</v>
      </c>
      <c r="W128" s="9">
        <f>IF(19&lt;=核心参数输入!$B$9*4,W120-W121+W126,0)</f>
        <v>3939.2867753753621</v>
      </c>
      <c r="X128" s="9">
        <f>IF(20&lt;=核心参数输入!$B$9*4,X120-X121+X126,0)</f>
        <v>3957.5228175201378</v>
      </c>
      <c r="Y128" s="9">
        <f>IF(21&lt;=核心参数输入!$B$9*4,Y120-Y121+Y126,0)</f>
        <v>3331.2603581848857</v>
      </c>
      <c r="Z128" s="9">
        <f>IF(22&lt;=核心参数输入!$B$9*4,Z120-Z121+Z126,0)</f>
        <v>3021.6843681147143</v>
      </c>
      <c r="AA128" s="9">
        <f>IF(23&lt;=核心参数输入!$B$9*4,AA120-AA121+AA126,0)</f>
        <v>3035.5665551974243</v>
      </c>
      <c r="AB128" s="9">
        <f>IF(24&lt;=核心参数输入!$B$9*4,AB120-AB121+AB126,0)</f>
        <v>3037.7202008347181</v>
      </c>
      <c r="AC128" s="9">
        <f>IF(25&lt;=核心参数输入!$B$9*4,AC120-AC121+AC126,0)</f>
        <v>1127.4882128345371</v>
      </c>
      <c r="AD128" s="9">
        <f>IF(26&lt;=核心参数输入!$B$9*4,AD120-AD121+AD126,0)</f>
        <v>159.56620109383732</v>
      </c>
      <c r="AE128" s="9">
        <f>IF(27&lt;=核心参数输入!$B$9*4,AE120-AE121+AE126,0)</f>
        <v>164.26300772348753</v>
      </c>
      <c r="AF128" s="9">
        <f>IF(28&lt;=核心参数输入!$B$9*4,AF120-AF121+AF126,0)</f>
        <v>168.9598143531378</v>
      </c>
      <c r="AG128" s="9">
        <f>IF(29&lt;=核心参数输入!$B$9*4,AG120-AG121+AG126,0)</f>
        <v>176.53851729752981</v>
      </c>
      <c r="AH128" s="9">
        <f>IF(30&lt;=核心参数输入!$B$9*4,AH120-AH121+AH126,0)</f>
        <v>178.92214666207724</v>
      </c>
      <c r="AI128" s="9">
        <f>IF(31&lt;=核心参数输入!$B$9*4,AI120-AI121+AI126,0)</f>
        <v>178.92214666207724</v>
      </c>
      <c r="AJ128" s="9">
        <f>IF(32&lt;=核心参数输入!$B$9*4,AJ120-AJ121+AJ126,0)</f>
        <v>178.92214666207724</v>
      </c>
      <c r="AK128" s="9">
        <f>IF(33&lt;=核心参数输入!$B$9*4,AK120-AK121+AK126,0)</f>
        <v>181.87506680200843</v>
      </c>
      <c r="AL128" s="9">
        <f>IF(34&lt;=核心参数输入!$B$9*4,AL120-AL121+AL126,0)</f>
        <v>181.87506680200843</v>
      </c>
      <c r="AM128" s="9">
        <f>IF(35&lt;=核心参数输入!$B$9*4,AM120-AM121+AM126,0)</f>
        <v>181.87506680200843</v>
      </c>
      <c r="AN128" s="9">
        <f>IF(36&lt;=核心参数输入!$B$9*4,AN120-AN121+AN126,0)</f>
        <v>181.87506680200843</v>
      </c>
      <c r="AO128" s="9">
        <f>IF(37&lt;=核心参数输入!$B$9*4,AO120-AO121+AO126,0)</f>
        <v>184.86416250283844</v>
      </c>
      <c r="AP128" s="9">
        <f>IF(38&lt;=核心参数输入!$B$9*4,AP120-AP121+AP126,0)</f>
        <v>184.86416250283844</v>
      </c>
      <c r="AQ128" s="9">
        <f>IF(39&lt;=核心参数输入!$B$9*4,AQ120-AQ121+AQ126,0)</f>
        <v>184.86416250283844</v>
      </c>
      <c r="AR128" s="9">
        <f>IF(40&lt;=核心参数输入!$B$9*4,AR120-AR121+AR126,0)</f>
        <v>184.86416250283844</v>
      </c>
      <c r="AS128" s="9">
        <f>IF(41&lt;=核心参数输入!$B$9*4,AS120-AS121+AS126,0)</f>
        <v>187.88981403315699</v>
      </c>
      <c r="AT128" s="9">
        <f>IF(42&lt;=核心参数输入!$B$9*4,AT120-AT121+AT126,0)</f>
        <v>187.88981403315699</v>
      </c>
      <c r="AU128" s="9">
        <f>IF(43&lt;=核心参数输入!$B$9*4,AU120-AU121+AU126,0)</f>
        <v>187.88981403315699</v>
      </c>
      <c r="AV128" s="9">
        <f>IF(44&lt;=核心参数输入!$B$9*4,AV120-AV121+AV126,0)</f>
        <v>187.88981403315699</v>
      </c>
      <c r="AW128" s="9">
        <f>IF(45&lt;=核心参数输入!$B$9*4,AW120-AW121+AW126,0)</f>
        <v>190.95240411828576</v>
      </c>
      <c r="AX128" s="9">
        <f>IF(46&lt;=核心参数输入!$B$9*4,AX120-AX121+AX126,0)</f>
        <v>190.95240411828576</v>
      </c>
      <c r="AY128" s="9">
        <f>IF(47&lt;=核心参数输入!$B$9*4,AY120-AY121+AY126,0)</f>
        <v>190.95240411828576</v>
      </c>
      <c r="AZ128" s="9">
        <f>IF(48&lt;=核心参数输入!$B$9*4,AZ120-AZ121+AZ126,0)</f>
        <v>190.95240411828576</v>
      </c>
      <c r="BA128" s="9">
        <f>IF(49&lt;=核心参数输入!$B$9*4,BA120-BA121+BA126,0)</f>
        <v>194.05231791218421</v>
      </c>
      <c r="BB128" s="9">
        <f>IF(50&lt;=核心参数输入!$B$9*4,BB120-BB121+BB126,0)</f>
        <v>194.05231791218421</v>
      </c>
      <c r="BC128" s="9">
        <f>IF(51&lt;=核心参数输入!$B$9*4,BC120-BC121+BC126,0)</f>
        <v>194.05231791218421</v>
      </c>
      <c r="BD128" s="9">
        <f>IF(52&lt;=核心参数输入!$B$9*4,BD120-BD121+BD126,0)</f>
        <v>194.05231791218421</v>
      </c>
      <c r="BE128" s="9">
        <f>IF(53&lt;=核心参数输入!$B$9*4,BE120-BE121+BE126,0)</f>
        <v>197.18994296763356</v>
      </c>
      <c r="BF128" s="9">
        <f>IF(54&lt;=核心参数输入!$B$9*4,BF120-BF121+BF126,0)</f>
        <v>197.18994296763356</v>
      </c>
      <c r="BG128" s="9">
        <f>IF(55&lt;=核心参数输入!$B$9*4,BG120-BG121+BG126,0)</f>
        <v>197.18994296763356</v>
      </c>
      <c r="BH128" s="9">
        <f>IF(56&lt;=核心参数输入!$B$9*4,BH120-BH121+BH126,0)</f>
        <v>197.18994296763356</v>
      </c>
      <c r="BI128" s="9">
        <f>IF(57&lt;=核心参数输入!$B$9*4,BI120-BI121+BI126,0)</f>
        <v>200.36566920464995</v>
      </c>
      <c r="BJ128" s="9">
        <f>IF(58&lt;=核心参数输入!$B$9*4,BJ120-BJ121+BJ126,0)</f>
        <v>200.36566920464995</v>
      </c>
      <c r="BK128" s="9">
        <f>IF(59&lt;=核心参数输入!$B$9*4,BK120-BK121+BK126,0)</f>
        <v>200.36566920464995</v>
      </c>
      <c r="BL128" s="9">
        <f>IF(60&lt;=核心参数输入!$B$9*4,BL120-BL121+BL126,0)</f>
        <v>200.36566920464995</v>
      </c>
      <c r="BM128" s="9">
        <f>IF(61&lt;=核心参数输入!$B$9*4,BM120-BM121+BM126,0)</f>
        <v>203.57988887707162</v>
      </c>
      <c r="BN128" s="9">
        <f>IF(62&lt;=核心参数输入!$B$9*4,BN120-BN121+BN126,0)</f>
        <v>203.57988887707162</v>
      </c>
      <c r="BO128" s="9">
        <f>IF(63&lt;=核心参数输入!$B$9*4,BO120-BO121+BO126,0)</f>
        <v>203.57988887707162</v>
      </c>
      <c r="BP128" s="9">
        <f>IF(64&lt;=核心参数输入!$B$9*4,BP120-BP121+BP126,0)</f>
        <v>203.57988887707162</v>
      </c>
      <c r="BQ128" s="9">
        <f>IF(65&lt;=核心参数输入!$B$9*4,BQ120-BQ121+BQ126,0)</f>
        <v>206.83299653726678</v>
      </c>
      <c r="BR128" s="9">
        <f>IF(66&lt;=核心参数输入!$B$9*4,BR120-BR121+BR126,0)</f>
        <v>206.83299653726678</v>
      </c>
      <c r="BS128" s="9">
        <f>IF(67&lt;=核心参数输入!$B$9*4,BS120-BS121+BS126,0)</f>
        <v>206.83299653726678</v>
      </c>
      <c r="BT128" s="9">
        <f>IF(68&lt;=核心参数输入!$B$9*4,BT120-BT121+BT126,0)</f>
        <v>206.83299653726678</v>
      </c>
      <c r="BU128" s="9">
        <f>IF(69&lt;=核心参数输入!$B$9*4,BU120-BU121+BU126,0)</f>
        <v>210.12538899890549</v>
      </c>
      <c r="BV128" s="9">
        <f>IF(70&lt;=核心参数输入!$B$9*4,BV120-BV121+BV126,0)</f>
        <v>210.12538899890549</v>
      </c>
      <c r="BW128" s="9">
        <f>IF(71&lt;=核心参数输入!$B$9*4,BW120-BW121+BW126,0)</f>
        <v>210.12538899890549</v>
      </c>
      <c r="BX128" s="9">
        <f>IF(72&lt;=核心参数输入!$B$9*4,BX120-BX121+BX126,0)</f>
        <v>210.12538899890549</v>
      </c>
      <c r="BY128" s="9">
        <f>IF(73&lt;=核心参数输入!$B$9*4,BY120-BY121+BY126,0)</f>
        <v>213.45746529774047</v>
      </c>
      <c r="BZ128" s="9">
        <f>IF(74&lt;=核心参数输入!$B$9*4,BZ120-BZ121+BZ126,0)</f>
        <v>213.45746529774047</v>
      </c>
      <c r="CA128" s="9">
        <f>IF(75&lt;=核心参数输入!$B$9*4,CA120-CA121+CA126,0)</f>
        <v>213.45746529774047</v>
      </c>
      <c r="CB128" s="9">
        <f>IF(76&lt;=核心参数输入!$B$9*4,CB120-CB121+CB126,0)</f>
        <v>213.45746529774047</v>
      </c>
      <c r="CC128" s="9">
        <f>IF(77&lt;=核心参数输入!$B$9*4,CC120-CC121+CC126,0)</f>
        <v>216.829626650335</v>
      </c>
      <c r="CD128" s="9">
        <f>IF(78&lt;=核心参数输入!$B$9*4,CD120-CD121+CD126,0)</f>
        <v>216.829626650335</v>
      </c>
      <c r="CE128" s="9">
        <f>IF(79&lt;=核心参数输入!$B$9*4,CE120-CE121+CE126,0)</f>
        <v>216.829626650335</v>
      </c>
      <c r="CF128" s="9">
        <f>IF(80&lt;=核心参数输入!$B$9*4,CF120-CF121+CF126,0)</f>
        <v>216.829626650335</v>
      </c>
      <c r="CG128" s="9">
        <f>IF(81&lt;=核心参数输入!$B$9*4,CG120-CG121+CG126,0)</f>
        <v>0</v>
      </c>
      <c r="CH128" s="9">
        <f>IF(82&lt;=核心参数输入!$B$9*4,CH120-CH121+CH126,0)</f>
        <v>0</v>
      </c>
      <c r="CI128" s="9">
        <f>IF(83&lt;=核心参数输入!$B$9*4,CI120-CI121+CI126,0)</f>
        <v>0</v>
      </c>
      <c r="CJ128" s="9">
        <f>IF(84&lt;=核心参数输入!$B$9*4,CJ120-CJ121+CJ126,0)</f>
        <v>0</v>
      </c>
      <c r="CK128" s="9">
        <f>IF(85&lt;=核心参数输入!$B$9*4,CK120-CK121+CK126,0)</f>
        <v>0</v>
      </c>
      <c r="CL128" s="9">
        <f>IF(86&lt;=核心参数输入!$B$9*4,CL120-CL121+CL126,0)</f>
        <v>0</v>
      </c>
      <c r="CM128" s="9">
        <f>IF(87&lt;=核心参数输入!$B$9*4,CM120-CM121+CM126,0)</f>
        <v>0</v>
      </c>
      <c r="CN128" s="9">
        <f>IF(88&lt;=核心参数输入!$B$9*4,CN120-CN121+CN126,0)</f>
        <v>0</v>
      </c>
      <c r="CO128" s="9">
        <f>IF(89&lt;=核心参数输入!$B$9*4,CO120-CO121+CO126,0)</f>
        <v>0</v>
      </c>
      <c r="CP128" s="9">
        <f>IF(90&lt;=核心参数输入!$B$9*4,CP120-CP121+CP126,0)</f>
        <v>0</v>
      </c>
      <c r="CQ128" s="9">
        <f>IF(91&lt;=核心参数输入!$B$9*4,CQ120-CQ121+CQ126,0)</f>
        <v>0</v>
      </c>
      <c r="CR128" s="9">
        <f>IF(92&lt;=核心参数输入!$B$9*4,CR120-CR121+CR126,0)</f>
        <v>0</v>
      </c>
      <c r="CS128" s="9">
        <f>IF(93&lt;=核心参数输入!$B$9*4,CS120-CS121+CS126,0)</f>
        <v>0</v>
      </c>
      <c r="CT128" s="9">
        <f>IF(94&lt;=核心参数输入!$B$9*4,CT120-CT121+CT126,0)</f>
        <v>0</v>
      </c>
      <c r="CU128" s="9">
        <f>IF(95&lt;=核心参数输入!$B$9*4,CU120-CU121+CU126,0)</f>
        <v>0</v>
      </c>
      <c r="CV128" s="9">
        <f>IF(96&lt;=核心参数输入!$B$9*4,CV120-CV121+CV126,0)</f>
        <v>0</v>
      </c>
      <c r="CW128" s="9">
        <f>IF(97&lt;=核心参数输入!$B$9*4,CW120-CW121+CW126,0)</f>
        <v>0</v>
      </c>
      <c r="CX128" s="9">
        <f>IF(98&lt;=核心参数输入!$B$9*4,CX120-CX121+CX126,0)</f>
        <v>0</v>
      </c>
      <c r="CY128" s="9">
        <f>IF(99&lt;=核心参数输入!$B$9*4,CY120-CY121+CY126,0)</f>
        <v>0</v>
      </c>
      <c r="CZ128" s="9">
        <f>IF(100&lt;=核心参数输入!$B$9*4,CZ120-CZ121+CZ126,0)</f>
        <v>0</v>
      </c>
      <c r="DA128" s="9">
        <f>IF(101&lt;=核心参数输入!$B$9*4,DA120-DA121+DA126,0)</f>
        <v>0</v>
      </c>
      <c r="DB128" s="9">
        <f>IF(102&lt;=核心参数输入!$B$9*4,DB120-DB121+DB126,0)</f>
        <v>0</v>
      </c>
      <c r="DC128" s="9">
        <f>IF(103&lt;=核心参数输入!$B$9*4,DC120-DC121+DC126,0)</f>
        <v>0</v>
      </c>
      <c r="DD128" s="9">
        <f>IF(104&lt;=核心参数输入!$B$9*4,DD120-DD121+DD126,0)</f>
        <v>0</v>
      </c>
      <c r="DE128" s="9">
        <f>IF(105&lt;=核心参数输入!$B$9*4,DE120-DE121+DE126,0)</f>
        <v>0</v>
      </c>
      <c r="DF128" s="9">
        <f>IF(106&lt;=核心参数输入!$B$9*4,DF120-DF121+DF126,0)</f>
        <v>0</v>
      </c>
      <c r="DG128" s="9">
        <f>IF(107&lt;=核心参数输入!$B$9*4,DG120-DG121+DG126,0)</f>
        <v>0</v>
      </c>
      <c r="DH128" s="9">
        <f>IF(108&lt;=核心参数输入!$B$9*4,DH120-DH121+DH126,0)</f>
        <v>0</v>
      </c>
      <c r="DI128" s="9">
        <f>IF(109&lt;=核心参数输入!$B$9*4,DI120-DI121+DI126,0)</f>
        <v>0</v>
      </c>
      <c r="DJ128" s="9">
        <f>IF(110&lt;=核心参数输入!$B$9*4,DJ120-DJ121+DJ126,0)</f>
        <v>0</v>
      </c>
      <c r="DK128" s="9">
        <f>IF(111&lt;=核心参数输入!$B$9*4,DK120-DK121+DK126,0)</f>
        <v>0</v>
      </c>
      <c r="DL128" s="9">
        <f>IF(112&lt;=核心参数输入!$B$9*4,DL120-DL121+DL126,0)</f>
        <v>0</v>
      </c>
      <c r="DM128" s="9">
        <f>IF(113&lt;=核心参数输入!$B$9*4,DM120-DM121+DM126,0)</f>
        <v>0</v>
      </c>
      <c r="DN128" s="9">
        <f>IF(114&lt;=核心参数输入!$B$9*4,DN120-DN121+DN126,0)</f>
        <v>0</v>
      </c>
      <c r="DO128" s="9">
        <f>IF(115&lt;=核心参数输入!$B$9*4,DO120-DO121+DO126,0)</f>
        <v>0</v>
      </c>
      <c r="DP128" s="9">
        <f>IF(116&lt;=核心参数输入!$B$9*4,DP120-DP121+DP126,0)</f>
        <v>0</v>
      </c>
      <c r="DQ128" s="9">
        <f>IF(117&lt;=核心参数输入!$B$9*4,DQ120-DQ121+DQ126,0)</f>
        <v>0</v>
      </c>
      <c r="DR128" s="9">
        <f>IF(118&lt;=核心参数输入!$B$9*4,DR120-DR121+DR126,0)</f>
        <v>0</v>
      </c>
      <c r="DS128" s="9">
        <f>IF(119&lt;=核心参数输入!$B$9*4,DS120-DS121+DS126,0)</f>
        <v>0</v>
      </c>
      <c r="DT128" s="9">
        <f>IF(120&lt;=核心参数输入!$B$9*4,DT120-DT121+DT126,0)</f>
        <v>0</v>
      </c>
    </row>
    <row r="129" spans="1:124" ht="21" customHeight="1">
      <c r="A129" s="8" t="s">
        <v>518</v>
      </c>
      <c r="B129" s="8" t="s">
        <v>39</v>
      </c>
      <c r="C129" s="8"/>
      <c r="D129" s="9">
        <f>IF(0&lt;=核心参数输入!$B$9*4,季度经营税费!D178-季度经营税费!D179-季度经营税费!D173-D121+D127+季度经营税费!D169,0)</f>
        <v>-8000</v>
      </c>
      <c r="E129" s="9">
        <f>IF(1&lt;=核心参数输入!$B$9*4,季度经营税费!E178-季度经营税费!E179-季度经营税费!E173-E121+E127+季度经营税费!E169,0)</f>
        <v>-4365.8999999999996</v>
      </c>
      <c r="F129" s="9">
        <f>IF(2&lt;=核心参数输入!$B$9*4,季度经营税费!F178-季度经营税费!F179-季度经营税费!F173-F121+F127+季度经营税费!F169,0)</f>
        <v>-4365.8999999999996</v>
      </c>
      <c r="G129" s="9">
        <f>IF(3&lt;=核心参数输入!$B$9*4,季度经营税费!G178-季度经营税费!G179-季度经营税费!G173-G121+G127+季度经营税费!G169,0)</f>
        <v>-4365.8999999999996</v>
      </c>
      <c r="H129" s="9">
        <f>IF(4&lt;=核心参数输入!$B$9*4,季度经营税费!H178-季度经营税费!H179-季度经营税费!H173-H121+H127+季度经营税费!H169,0)</f>
        <v>-4365.8999999999996</v>
      </c>
      <c r="I129" s="9">
        <f>IF(5&lt;=核心参数输入!$B$9*4,季度经营税费!I178-季度经营税费!I179-季度经营税费!I173-I121+I127+季度经营税费!I169,0)</f>
        <v>-5821.2000000000007</v>
      </c>
      <c r="J129" s="9">
        <f>IF(6&lt;=核心参数输入!$B$9*4,季度经营税费!J178-季度经营税费!J179-季度经营税费!J173-J121+J127+季度经营税费!J169,0)</f>
        <v>-5821.2000000000007</v>
      </c>
      <c r="K129" s="9">
        <f>IF(7&lt;=核心参数输入!$B$9*4,季度经营税费!K178-季度经营税费!K179-季度经营税费!K173-K121+K127+季度经营税费!K169,0)</f>
        <v>-5821.2000000000007</v>
      </c>
      <c r="L129" s="9">
        <f>IF(8&lt;=核心参数输入!$B$9*4,季度经营税费!L178-季度经营税费!L179-季度经营税费!L173-L121+L127+季度经营税费!L169,0)</f>
        <v>-5821.2000000000007</v>
      </c>
      <c r="M129" s="9">
        <f>IF(9&lt;=核心参数输入!$B$9*4,季度经营税费!M178-季度经营税费!M179-季度经营税费!M173-M121+M127+季度经营税费!M169,0)</f>
        <v>-4365.8999999999996</v>
      </c>
      <c r="N129" s="9">
        <f>IF(10&lt;=核心参数输入!$B$9*4,季度经营税费!N178-季度经营税费!N179-季度经营税费!N173-N121+N127+季度经营税费!N169,0)</f>
        <v>-4365.8999999999996</v>
      </c>
      <c r="O129" s="9">
        <f>IF(11&lt;=核心参数输入!$B$9*4,季度经营税费!O178-季度经营税费!O179-季度经营税费!O173-O121+O127+季度经营税费!O169,0)</f>
        <v>-4365.8999999999996</v>
      </c>
      <c r="P129" s="9">
        <f>IF(12&lt;=核心参数输入!$B$9*4,季度经营税费!P178-季度经营税费!P179-季度经营税费!P173-P121+P127+季度经营税费!P169,0)</f>
        <v>-4365.8999999999996</v>
      </c>
      <c r="Q129" s="9">
        <f>IF(13&lt;=核心参数输入!$B$9*4,季度经营税费!Q178-季度经营税费!Q179-季度经营税费!Q173-Q121+Q127+季度经营税费!Q169,0)</f>
        <v>1318.3426562499999</v>
      </c>
      <c r="R129" s="9">
        <f>IF(14&lt;=核心参数输入!$B$9*4,季度经营税费!R178-季度经营税费!R179-季度经营税费!R173-R121+R127+季度经营税费!R169,0)</f>
        <v>2813.6248252350001</v>
      </c>
      <c r="S129" s="9">
        <f>IF(15&lt;=核心参数输入!$B$9*4,季度经营税费!S178-季度经营税费!S179-季度经营税费!S173-S121+S127+季度经营税费!S169,0)</f>
        <v>2849.5579132050007</v>
      </c>
      <c r="T129" s="9">
        <f>IF(16&lt;=核心参数输入!$B$9*4,季度经营税费!T178-季度经营税费!T179-季度经营税费!T173-T121+T127+季度经营税费!T169,0)</f>
        <v>2885.4910011750003</v>
      </c>
      <c r="U129" s="9">
        <f>IF(17&lt;=核心参数输入!$B$9*4,季度经营税费!U178-季度经营税费!U179-季度经营税费!U173-U121+U127+季度经营税费!U169,0)</f>
        <v>3567.924795013425</v>
      </c>
      <c r="V129" s="9">
        <f>IF(18&lt;=核心参数输入!$B$9*4,季度经营税费!V178-季度经营税费!V179-季度经营税费!V173-V121+V127+季度经营税费!V169,0)</f>
        <v>3921.0507332305874</v>
      </c>
      <c r="W129" s="9">
        <f>IF(19&lt;=核心参数输入!$B$9*4,季度经营税费!W178-季度经营税费!W179-季度经营税费!W173-W121+W127+季度经营税费!W169,0)</f>
        <v>3939.2867753753621</v>
      </c>
      <c r="X129" s="9">
        <f>IF(20&lt;=核心参数输入!$B$9*4,季度经营税费!X178-季度经营税费!X179-季度经营税费!X173-X121+X127+季度经营税费!X169,0)</f>
        <v>3957.5228175201378</v>
      </c>
      <c r="Y129" s="9">
        <f>IF(21&lt;=核心参数输入!$B$9*4,季度经营税费!Y178-季度经营税费!Y179-季度经营税费!Y173-Y121+Y127+季度经营税费!Y169,0)</f>
        <v>3331.2603581848857</v>
      </c>
      <c r="Z129" s="9">
        <f>IF(22&lt;=核心参数输入!$B$9*4,季度经营税费!Z178-季度经营税费!Z179-季度经营税费!Z173-Z121+Z127+季度经营税费!Z169,0)</f>
        <v>3021.6843681147143</v>
      </c>
      <c r="AA129" s="9">
        <f>IF(23&lt;=核心参数输入!$B$9*4,季度经营税费!AA178-季度经营税费!AA179-季度经营税费!AA173-AA121+AA127+季度经营税费!AA169,0)</f>
        <v>3035.5665551974243</v>
      </c>
      <c r="AB129" s="9">
        <f>IF(24&lt;=核心参数输入!$B$9*4,季度经营税费!AB178-季度经营税费!AB179-季度经营税费!AB173-AB121+AB127+季度经营税费!AB169,0)</f>
        <v>3037.7202008347181</v>
      </c>
      <c r="AC129" s="9">
        <f>IF(25&lt;=核心参数输入!$B$9*4,季度经营税费!AC178-季度经营税费!AC179-季度经营税费!AC173-AC121+AC127+季度经营税费!AC169,0)</f>
        <v>1127.4882128345371</v>
      </c>
      <c r="AD129" s="9">
        <f>IF(26&lt;=核心参数输入!$B$9*4,季度经营税费!AD178-季度经营税费!AD179-季度经营税费!AD173-AD121+AD127+季度经营税费!AD169,0)</f>
        <v>159.56620109383732</v>
      </c>
      <c r="AE129" s="9">
        <f>IF(27&lt;=核心参数输入!$B$9*4,季度经营税费!AE178-季度经营税费!AE179-季度经营税费!AE173-AE121+AE127+季度经营税费!AE169,0)</f>
        <v>164.26300772348753</v>
      </c>
      <c r="AF129" s="9">
        <f>IF(28&lt;=核心参数输入!$B$9*4,季度经营税费!AF178-季度经营税费!AF179-季度经营税费!AF173-AF121+AF127+季度经营税费!AF169,0)</f>
        <v>168.9598143531378</v>
      </c>
      <c r="AG129" s="9">
        <f>IF(29&lt;=核心参数输入!$B$9*4,季度经营税费!AG178-季度经营税费!AG179-季度经营税费!AG173-AG121+AG127+季度经营税费!AG169,0)</f>
        <v>176.53851729752981</v>
      </c>
      <c r="AH129" s="9">
        <f>IF(30&lt;=核心参数输入!$B$9*4,季度经营税费!AH178-季度经营税费!AH179-季度经营税费!AH173-AH121+AH127+季度经营税费!AH169,0)</f>
        <v>178.92214666207724</v>
      </c>
      <c r="AI129" s="9">
        <f>IF(31&lt;=核心参数输入!$B$9*4,季度经营税费!AI178-季度经营税费!AI179-季度经营税费!AI173-AI121+AI127+季度经营税费!AI169,0)</f>
        <v>178.92214666207724</v>
      </c>
      <c r="AJ129" s="9">
        <f>IF(32&lt;=核心参数输入!$B$9*4,季度经营税费!AJ178-季度经营税费!AJ179-季度经营税费!AJ173-AJ121+AJ127+季度经营税费!AJ169,0)</f>
        <v>178.92214666207724</v>
      </c>
      <c r="AK129" s="9">
        <f>IF(33&lt;=核心参数输入!$B$9*4,季度经营税费!AK178-季度经营税费!AK179-季度经营税费!AK173-AK121+AK127+季度经营税费!AK169,0)</f>
        <v>181.87506680200843</v>
      </c>
      <c r="AL129" s="9">
        <f>IF(34&lt;=核心参数输入!$B$9*4,季度经营税费!AL178-季度经营税费!AL179-季度经营税费!AL173-AL121+AL127+季度经营税费!AL169,0)</f>
        <v>181.87506680200843</v>
      </c>
      <c r="AM129" s="9">
        <f>IF(35&lt;=核心参数输入!$B$9*4,季度经营税费!AM178-季度经营税费!AM179-季度经营税费!AM173-AM121+AM127+季度经营税费!AM169,0)</f>
        <v>181.87506680200843</v>
      </c>
      <c r="AN129" s="9">
        <f>IF(36&lt;=核心参数输入!$B$9*4,季度经营税费!AN178-季度经营税费!AN179-季度经营税费!AN173-AN121+AN127+季度经营税费!AN169,0)</f>
        <v>181.87506680200843</v>
      </c>
      <c r="AO129" s="9">
        <f>IF(37&lt;=核心参数输入!$B$9*4,季度经营税费!AO178-季度经营税费!AO179-季度经营税费!AO173-AO121+AO127+季度经营税费!AO169,0)</f>
        <v>184.86416250283844</v>
      </c>
      <c r="AP129" s="9">
        <f>IF(38&lt;=核心参数输入!$B$9*4,季度经营税费!AP178-季度经营税费!AP179-季度经营税费!AP173-AP121+AP127+季度经营税费!AP169,0)</f>
        <v>184.86416250283844</v>
      </c>
      <c r="AQ129" s="9">
        <f>IF(39&lt;=核心参数输入!$B$9*4,季度经营税费!AQ178-季度经营税费!AQ179-季度经营税费!AQ173-AQ121+AQ127+季度经营税费!AQ169,0)</f>
        <v>184.86416250283844</v>
      </c>
      <c r="AR129" s="9">
        <f>IF(40&lt;=核心参数输入!$B$9*4,季度经营税费!AR178-季度经营税费!AR179-季度经营税费!AR173-AR121+AR127+季度经营税费!AR169,0)</f>
        <v>184.86416250283844</v>
      </c>
      <c r="AS129" s="9">
        <f>IF(41&lt;=核心参数输入!$B$9*4,季度经营税费!AS178-季度经营税费!AS179-季度经营税费!AS173-AS121+AS127+季度经营税费!AS169,0)</f>
        <v>187.88981403315699</v>
      </c>
      <c r="AT129" s="9">
        <f>IF(42&lt;=核心参数输入!$B$9*4,季度经营税费!AT178-季度经营税费!AT179-季度经营税费!AT173-AT121+AT127+季度经营税费!AT169,0)</f>
        <v>187.88981403315699</v>
      </c>
      <c r="AU129" s="9">
        <f>IF(43&lt;=核心参数输入!$B$9*4,季度经营税费!AU178-季度经营税费!AU179-季度经营税费!AU173-AU121+AU127+季度经营税费!AU169,0)</f>
        <v>187.88981403315699</v>
      </c>
      <c r="AV129" s="9">
        <f>IF(44&lt;=核心参数输入!$B$9*4,季度经营税费!AV178-季度经营税费!AV179-季度经营税费!AV173-AV121+AV127+季度经营税费!AV169,0)</f>
        <v>187.88981403315699</v>
      </c>
      <c r="AW129" s="9">
        <f>IF(45&lt;=核心参数输入!$B$9*4,季度经营税费!AW178-季度经营税费!AW179-季度经营税费!AW173-AW121+AW127+季度经营税费!AW169,0)</f>
        <v>190.95240411828576</v>
      </c>
      <c r="AX129" s="9">
        <f>IF(46&lt;=核心参数输入!$B$9*4,季度经营税费!AX178-季度经营税费!AX179-季度经营税费!AX173-AX121+AX127+季度经营税费!AX169,0)</f>
        <v>190.95240411828576</v>
      </c>
      <c r="AY129" s="9">
        <f>IF(47&lt;=核心参数输入!$B$9*4,季度经营税费!AY178-季度经营税费!AY179-季度经营税费!AY173-AY121+AY127+季度经营税费!AY169,0)</f>
        <v>190.95240411828576</v>
      </c>
      <c r="AZ129" s="9">
        <f>IF(48&lt;=核心参数输入!$B$9*4,季度经营税费!AZ178-季度经营税费!AZ179-季度经营税费!AZ173-AZ121+AZ127+季度经营税费!AZ169,0)</f>
        <v>190.95240411828576</v>
      </c>
      <c r="BA129" s="9">
        <f>IF(49&lt;=核心参数输入!$B$9*4,季度经营税费!BA178-季度经营税费!BA179-季度经营税费!BA173-BA121+BA127+季度经营税费!BA169,0)</f>
        <v>194.05231791218421</v>
      </c>
      <c r="BB129" s="9">
        <f>IF(50&lt;=核心参数输入!$B$9*4,季度经营税费!BB178-季度经营税费!BB179-季度经营税费!BB173-BB121+BB127+季度经营税费!BB169,0)</f>
        <v>194.05231791218421</v>
      </c>
      <c r="BC129" s="9">
        <f>IF(51&lt;=核心参数输入!$B$9*4,季度经营税费!BC178-季度经营税费!BC179-季度经营税费!BC173-BC121+BC127+季度经营税费!BC169,0)</f>
        <v>194.05231791218421</v>
      </c>
      <c r="BD129" s="9">
        <f>IF(52&lt;=核心参数输入!$B$9*4,季度经营税费!BD178-季度经营税费!BD179-季度经营税费!BD173-BD121+BD127+季度经营税费!BD169,0)</f>
        <v>194.05231791218421</v>
      </c>
      <c r="BE129" s="9">
        <f>IF(53&lt;=核心参数输入!$B$9*4,季度经营税费!BE178-季度经营税费!BE179-季度经营税费!BE173-BE121+BE127+季度经营税费!BE169,0)</f>
        <v>197.18994296763356</v>
      </c>
      <c r="BF129" s="9">
        <f>IF(54&lt;=核心参数输入!$B$9*4,季度经营税费!BF178-季度经营税费!BF179-季度经营税费!BF173-BF121+BF127+季度经营税费!BF169,0)</f>
        <v>197.18994296763356</v>
      </c>
      <c r="BG129" s="9">
        <f>IF(55&lt;=核心参数输入!$B$9*4,季度经营税费!BG178-季度经营税费!BG179-季度经营税费!BG173-BG121+BG127+季度经营税费!BG169,0)</f>
        <v>197.18994296763356</v>
      </c>
      <c r="BH129" s="9">
        <f>IF(56&lt;=核心参数输入!$B$9*4,季度经营税费!BH178-季度经营税费!BH179-季度经营税费!BH173-BH121+BH127+季度经营税费!BH169,0)</f>
        <v>197.18994296763356</v>
      </c>
      <c r="BI129" s="9">
        <f>IF(57&lt;=核心参数输入!$B$9*4,季度经营税费!BI178-季度经营税费!BI179-季度经营税费!BI173-BI121+BI127+季度经营税费!BI169,0)</f>
        <v>200.36566920464995</v>
      </c>
      <c r="BJ129" s="9">
        <f>IF(58&lt;=核心参数输入!$B$9*4,季度经营税费!BJ178-季度经营税费!BJ179-季度经营税费!BJ173-BJ121+BJ127+季度经营税费!BJ169,0)</f>
        <v>200.36566920464995</v>
      </c>
      <c r="BK129" s="9">
        <f>IF(59&lt;=核心参数输入!$B$9*4,季度经营税费!BK178-季度经营税费!BK179-季度经营税费!BK173-BK121+BK127+季度经营税费!BK169,0)</f>
        <v>200.36566920464995</v>
      </c>
      <c r="BL129" s="9">
        <f>IF(60&lt;=核心参数输入!$B$9*4,季度经营税费!BL178-季度经营税费!BL179-季度经营税费!BL173-BL121+BL127+季度经营税费!BL169,0)</f>
        <v>200.36566920464995</v>
      </c>
      <c r="BM129" s="9">
        <f>IF(61&lt;=核心参数输入!$B$9*4,季度经营税费!BM178-季度经营税费!BM179-季度经营税费!BM173-BM121+BM127+季度经营税费!BM169,0)</f>
        <v>203.57988887707162</v>
      </c>
      <c r="BN129" s="9">
        <f>IF(62&lt;=核心参数输入!$B$9*4,季度经营税费!BN178-季度经营税费!BN179-季度经营税费!BN173-BN121+BN127+季度经营税费!BN169,0)</f>
        <v>203.57988887707162</v>
      </c>
      <c r="BO129" s="9">
        <f>IF(63&lt;=核心参数输入!$B$9*4,季度经营税费!BO178-季度经营税费!BO179-季度经营税费!BO173-BO121+BO127+季度经营税费!BO169,0)</f>
        <v>203.57988887707162</v>
      </c>
      <c r="BP129" s="9">
        <f>IF(64&lt;=核心参数输入!$B$9*4,季度经营税费!BP178-季度经营税费!BP179-季度经营税费!BP173-BP121+BP127+季度经营税费!BP169,0)</f>
        <v>203.57988887707162</v>
      </c>
      <c r="BQ129" s="9">
        <f>IF(65&lt;=核心参数输入!$B$9*4,季度经营税费!BQ178-季度经营税费!BQ179-季度经营税费!BQ173-BQ121+BQ127+季度经营税费!BQ169,0)</f>
        <v>206.83299653726678</v>
      </c>
      <c r="BR129" s="9">
        <f>IF(66&lt;=核心参数输入!$B$9*4,季度经营税费!BR178-季度经营税费!BR179-季度经营税费!BR173-BR121+BR127+季度经营税费!BR169,0)</f>
        <v>206.83299653726678</v>
      </c>
      <c r="BS129" s="9">
        <f>IF(67&lt;=核心参数输入!$B$9*4,季度经营税费!BS178-季度经营税费!BS179-季度经营税费!BS173-BS121+BS127+季度经营税费!BS169,0)</f>
        <v>206.83299653726678</v>
      </c>
      <c r="BT129" s="9">
        <f>IF(68&lt;=核心参数输入!$B$9*4,季度经营税费!BT178-季度经营税费!BT179-季度经营税费!BT173-BT121+BT127+季度经营税费!BT169,0)</f>
        <v>206.83299653726678</v>
      </c>
      <c r="BU129" s="9">
        <f>IF(69&lt;=核心参数输入!$B$9*4,季度经营税费!BU178-季度经营税费!BU179-季度经营税费!BU173-BU121+BU127+季度经营税费!BU169,0)</f>
        <v>210.12538899890549</v>
      </c>
      <c r="BV129" s="9">
        <f>IF(70&lt;=核心参数输入!$B$9*4,季度经营税费!BV178-季度经营税费!BV179-季度经营税费!BV173-BV121+BV127+季度经营税费!BV169,0)</f>
        <v>210.12538899890549</v>
      </c>
      <c r="BW129" s="9">
        <f>IF(71&lt;=核心参数输入!$B$9*4,季度经营税费!BW178-季度经营税费!BW179-季度经营税费!BW173-BW121+BW127+季度经营税费!BW169,0)</f>
        <v>210.12538899890549</v>
      </c>
      <c r="BX129" s="9">
        <f>IF(72&lt;=核心参数输入!$B$9*4,季度经营税费!BX178-季度经营税费!BX179-季度经营税费!BX173-BX121+BX127+季度经营税费!BX169,0)</f>
        <v>210.12538899890549</v>
      </c>
      <c r="BY129" s="9">
        <f>IF(73&lt;=核心参数输入!$B$9*4,季度经营税费!BY178-季度经营税费!BY179-季度经营税费!BY173-BY121+BY127+季度经营税费!BY169,0)</f>
        <v>213.45746529774047</v>
      </c>
      <c r="BZ129" s="9">
        <f>IF(74&lt;=核心参数输入!$B$9*4,季度经营税费!BZ178-季度经营税费!BZ179-季度经营税费!BZ173-BZ121+BZ127+季度经营税费!BZ169,0)</f>
        <v>213.45746529774047</v>
      </c>
      <c r="CA129" s="9">
        <f>IF(75&lt;=核心参数输入!$B$9*4,季度经营税费!CA178-季度经营税费!CA179-季度经营税费!CA173-CA121+CA127+季度经营税费!CA169,0)</f>
        <v>213.45746529774047</v>
      </c>
      <c r="CB129" s="9">
        <f>IF(76&lt;=核心参数输入!$B$9*4,季度经营税费!CB178-季度经营税费!CB179-季度经营税费!CB173-CB121+CB127+季度经营税费!CB169,0)</f>
        <v>213.45746529774047</v>
      </c>
      <c r="CC129" s="9">
        <f>IF(77&lt;=核心参数输入!$B$9*4,季度经营税费!CC178-季度经营税费!CC179-季度经营税费!CC173-CC121+CC127+季度经营税费!CC169,0)</f>
        <v>216.829626650335</v>
      </c>
      <c r="CD129" s="9">
        <f>IF(78&lt;=核心参数输入!$B$9*4,季度经营税费!CD178-季度经营税费!CD179-季度经营税费!CD173-CD121+CD127+季度经营税费!CD169,0)</f>
        <v>216.829626650335</v>
      </c>
      <c r="CE129" s="9">
        <f>IF(79&lt;=核心参数输入!$B$9*4,季度经营税费!CE178-季度经营税费!CE179-季度经营税费!CE173-CE121+CE127+季度经营税费!CE169,0)</f>
        <v>216.829626650335</v>
      </c>
      <c r="CF129" s="9">
        <f>IF(80&lt;=核心参数输入!$B$9*4,季度经营税费!CF178-季度经营税费!CF179-季度经营税费!CF173-CF121+CF127+季度经营税费!CF169,0)</f>
        <v>26260.305841084359</v>
      </c>
      <c r="CG129" s="9">
        <f>IF(81&lt;=核心参数输入!$B$9*4,季度经营税费!CG178-季度经营税费!CG179-季度经营税费!CG173-CG121+CG127+季度经营税费!CG169,0)</f>
        <v>0</v>
      </c>
      <c r="CH129" s="9">
        <f>IF(82&lt;=核心参数输入!$B$9*4,季度经营税费!CH178-季度经营税费!CH179-季度经营税费!CH173-CH121+CH127+季度经营税费!CH169,0)</f>
        <v>0</v>
      </c>
      <c r="CI129" s="9">
        <f>IF(83&lt;=核心参数输入!$B$9*4,季度经营税费!CI178-季度经营税费!CI179-季度经营税费!CI173-CI121+CI127+季度经营税费!CI169,0)</f>
        <v>0</v>
      </c>
      <c r="CJ129" s="9">
        <f>IF(84&lt;=核心参数输入!$B$9*4,季度经营税费!CJ178-季度经营税费!CJ179-季度经营税费!CJ173-CJ121+CJ127+季度经营税费!CJ169,0)</f>
        <v>0</v>
      </c>
      <c r="CK129" s="9">
        <f>IF(85&lt;=核心参数输入!$B$9*4,季度经营税费!CK178-季度经营税费!CK179-季度经营税费!CK173-CK121+CK127+季度经营税费!CK169,0)</f>
        <v>0</v>
      </c>
      <c r="CL129" s="9">
        <f>IF(86&lt;=核心参数输入!$B$9*4,季度经营税费!CL178-季度经营税费!CL179-季度经营税费!CL173-CL121+CL127+季度经营税费!CL169,0)</f>
        <v>0</v>
      </c>
      <c r="CM129" s="9">
        <f>IF(87&lt;=核心参数输入!$B$9*4,季度经营税费!CM178-季度经营税费!CM179-季度经营税费!CM173-CM121+CM127+季度经营税费!CM169,0)</f>
        <v>0</v>
      </c>
      <c r="CN129" s="9">
        <f>IF(88&lt;=核心参数输入!$B$9*4,季度经营税费!CN178-季度经营税费!CN179-季度经营税费!CN173-CN121+CN127+季度经营税费!CN169,0)</f>
        <v>0</v>
      </c>
      <c r="CO129" s="9">
        <f>IF(89&lt;=核心参数输入!$B$9*4,季度经营税费!CO178-季度经营税费!CO179-季度经营税费!CO173-CO121+CO127+季度经营税费!CO169,0)</f>
        <v>0</v>
      </c>
      <c r="CP129" s="9">
        <f>IF(90&lt;=核心参数输入!$B$9*4,季度经营税费!CP178-季度经营税费!CP179-季度经营税费!CP173-CP121+CP127+季度经营税费!CP169,0)</f>
        <v>0</v>
      </c>
      <c r="CQ129" s="9">
        <f>IF(91&lt;=核心参数输入!$B$9*4,季度经营税费!CQ178-季度经营税费!CQ179-季度经营税费!CQ173-CQ121+CQ127+季度经营税费!CQ169,0)</f>
        <v>0</v>
      </c>
      <c r="CR129" s="9">
        <f>IF(92&lt;=核心参数输入!$B$9*4,季度经营税费!CR178-季度经营税费!CR179-季度经营税费!CR173-CR121+CR127+季度经营税费!CR169,0)</f>
        <v>0</v>
      </c>
      <c r="CS129" s="9">
        <f>IF(93&lt;=核心参数输入!$B$9*4,季度经营税费!CS178-季度经营税费!CS179-季度经营税费!CS173-CS121+CS127+季度经营税费!CS169,0)</f>
        <v>0</v>
      </c>
      <c r="CT129" s="9">
        <f>IF(94&lt;=核心参数输入!$B$9*4,季度经营税费!CT178-季度经营税费!CT179-季度经营税费!CT173-CT121+CT127+季度经营税费!CT169,0)</f>
        <v>0</v>
      </c>
      <c r="CU129" s="9">
        <f>IF(95&lt;=核心参数输入!$B$9*4,季度经营税费!CU178-季度经营税费!CU179-季度经营税费!CU173-CU121+CU127+季度经营税费!CU169,0)</f>
        <v>0</v>
      </c>
      <c r="CV129" s="9">
        <f>IF(96&lt;=核心参数输入!$B$9*4,季度经营税费!CV178-季度经营税费!CV179-季度经营税费!CV173-CV121+CV127+季度经营税费!CV169,0)</f>
        <v>0</v>
      </c>
      <c r="CW129" s="9">
        <f>IF(97&lt;=核心参数输入!$B$9*4,季度经营税费!CW178-季度经营税费!CW179-季度经营税费!CW173-CW121+CW127+季度经营税费!CW169,0)</f>
        <v>0</v>
      </c>
      <c r="CX129" s="9">
        <f>IF(98&lt;=核心参数输入!$B$9*4,季度经营税费!CX178-季度经营税费!CX179-季度经营税费!CX173-CX121+CX127+季度经营税费!CX169,0)</f>
        <v>0</v>
      </c>
      <c r="CY129" s="9">
        <f>IF(99&lt;=核心参数输入!$B$9*4,季度经营税费!CY178-季度经营税费!CY179-季度经营税费!CY173-CY121+CY127+季度经营税费!CY169,0)</f>
        <v>0</v>
      </c>
      <c r="CZ129" s="9">
        <f>IF(100&lt;=核心参数输入!$B$9*4,季度经营税费!CZ178-季度经营税费!CZ179-季度经营税费!CZ173-CZ121+CZ127+季度经营税费!CZ169,0)</f>
        <v>0</v>
      </c>
      <c r="DA129" s="9">
        <f>IF(101&lt;=核心参数输入!$B$9*4,季度经营税费!DA178-季度经营税费!DA179-季度经营税费!DA173-DA121+DA127+季度经营税费!DA169,0)</f>
        <v>0</v>
      </c>
      <c r="DB129" s="9">
        <f>IF(102&lt;=核心参数输入!$B$9*4,季度经营税费!DB178-季度经营税费!DB179-季度经营税费!DB173-DB121+DB127+季度经营税费!DB169,0)</f>
        <v>0</v>
      </c>
      <c r="DC129" s="9">
        <f>IF(103&lt;=核心参数输入!$B$9*4,季度经营税费!DC178-季度经营税费!DC179-季度经营税费!DC173-DC121+DC127+季度经营税费!DC169,0)</f>
        <v>0</v>
      </c>
      <c r="DD129" s="9">
        <f>IF(104&lt;=核心参数输入!$B$9*4,季度经营税费!DD178-季度经营税费!DD179-季度经营税费!DD173-DD121+DD127+季度经营税费!DD169,0)</f>
        <v>0</v>
      </c>
      <c r="DE129" s="9">
        <f>IF(105&lt;=核心参数输入!$B$9*4,季度经营税费!DE178-季度经营税费!DE179-季度经营税费!DE173-DE121+DE127+季度经营税费!DE169,0)</f>
        <v>0</v>
      </c>
      <c r="DF129" s="9">
        <f>IF(106&lt;=核心参数输入!$B$9*4,季度经营税费!DF178-季度经营税费!DF179-季度经营税费!DF173-DF121+DF127+季度经营税费!DF169,0)</f>
        <v>0</v>
      </c>
      <c r="DG129" s="9">
        <f>IF(107&lt;=核心参数输入!$B$9*4,季度经营税费!DG178-季度经营税费!DG179-季度经营税费!DG173-DG121+DG127+季度经营税费!DG169,0)</f>
        <v>0</v>
      </c>
      <c r="DH129" s="9">
        <f>IF(108&lt;=核心参数输入!$B$9*4,季度经营税费!DH178-季度经营税费!DH179-季度经营税费!DH173-DH121+DH127+季度经营税费!DH169,0)</f>
        <v>0</v>
      </c>
      <c r="DI129" s="9">
        <f>IF(109&lt;=核心参数输入!$B$9*4,季度经营税费!DI178-季度经营税费!DI179-季度经营税费!DI173-DI121+DI127+季度经营税费!DI169,0)</f>
        <v>0</v>
      </c>
      <c r="DJ129" s="9">
        <f>IF(110&lt;=核心参数输入!$B$9*4,季度经营税费!DJ178-季度经营税费!DJ179-季度经营税费!DJ173-DJ121+DJ127+季度经营税费!DJ169,0)</f>
        <v>0</v>
      </c>
      <c r="DK129" s="9">
        <f>IF(111&lt;=核心参数输入!$B$9*4,季度经营税费!DK178-季度经营税费!DK179-季度经营税费!DK173-DK121+DK127+季度经营税费!DK169,0)</f>
        <v>0</v>
      </c>
      <c r="DL129" s="9">
        <f>IF(112&lt;=核心参数输入!$B$9*4,季度经营税费!DL178-季度经营税费!DL179-季度经营税费!DL173-DL121+DL127+季度经营税费!DL169,0)</f>
        <v>0</v>
      </c>
      <c r="DM129" s="9">
        <f>IF(113&lt;=核心参数输入!$B$9*4,季度经营税费!DM178-季度经营税费!DM179-季度经营税费!DM173-DM121+DM127+季度经营税费!DM169,0)</f>
        <v>0</v>
      </c>
      <c r="DN129" s="9">
        <f>IF(114&lt;=核心参数输入!$B$9*4,季度经营税费!DN178-季度经营税费!DN179-季度经营税费!DN173-DN121+DN127+季度经营税费!DN169,0)</f>
        <v>0</v>
      </c>
      <c r="DO129" s="9">
        <f>IF(115&lt;=核心参数输入!$B$9*4,季度经营税费!DO178-季度经营税费!DO179-季度经营税费!DO173-DO121+DO127+季度经营税费!DO169,0)</f>
        <v>0</v>
      </c>
      <c r="DP129" s="9">
        <f>IF(116&lt;=核心参数输入!$B$9*4,季度经营税费!DP178-季度经营税费!DP179-季度经营税费!DP173-DP121+DP127+季度经营税费!DP169,0)</f>
        <v>0</v>
      </c>
      <c r="DQ129" s="9">
        <f>IF(117&lt;=核心参数输入!$B$9*4,季度经营税费!DQ178-季度经营税费!DQ179-季度经营税费!DQ173-DQ121+DQ127+季度经营税费!DQ169,0)</f>
        <v>0</v>
      </c>
      <c r="DR129" s="9">
        <f>IF(118&lt;=核心参数输入!$B$9*4,季度经营税费!DR178-季度经营税费!DR179-季度经营税费!DR173-DR121+DR127+季度经营税费!DR169,0)</f>
        <v>0</v>
      </c>
      <c r="DS129" s="9">
        <f>IF(119&lt;=核心参数输入!$B$9*4,季度经营税费!DS178-季度经营税费!DS179-季度经营税费!DS173-DS121+DS127+季度经营税费!DS169,0)</f>
        <v>0</v>
      </c>
      <c r="DT129" s="9">
        <f>IF(120&lt;=核心参数输入!$B$9*4,季度经营税费!DT178-季度经营税费!DT179-季度经营税费!DT173-DT121+DT127+季度经营税费!DT169,0)</f>
        <v>0</v>
      </c>
    </row>
    <row r="130" spans="1:124" ht="21" customHeight="1">
      <c r="A130" s="8" t="s">
        <v>519</v>
      </c>
      <c r="B130" s="8" t="s">
        <v>39</v>
      </c>
      <c r="C130" s="8"/>
      <c r="D130" s="9">
        <f>IF(0&lt;=核心参数输入!$B$9*4,季度经营税费!D178-季度经营税费!D179-季度经营税费!D174-D121+D126+D122-D123-D124-D125,0)</f>
        <v>-8000</v>
      </c>
      <c r="E130" s="9">
        <f>IF(1&lt;=核心参数输入!$B$9*4,季度经营税费!E178-季度经营税费!E179-季度经营税费!E174-E121+E126+E122-E123-E124-E125,0)</f>
        <v>-2127.7124999999996</v>
      </c>
      <c r="F130" s="9">
        <f>IF(2&lt;=核心参数输入!$B$9*4,季度经营税费!F178-季度经营税费!F179-季度经营税费!F174-F121+F126+F122-F123-F124-F125,0)</f>
        <v>-2151.3374999999996</v>
      </c>
      <c r="G130" s="9">
        <f>IF(3&lt;=核心参数输入!$B$9*4,季度经营税费!G178-季度经营税费!G179-季度经营税费!G174-G121+G126+G122-G123-G124-G125,0)</f>
        <v>-2174.9624999999996</v>
      </c>
      <c r="H130" s="9">
        <f>IF(4&lt;=核心参数输入!$B$9*4,季度经营税费!H178-季度经营税费!H179-季度经营税费!H174-H121+H126+H122-H123-H124-H125,0)</f>
        <v>-2198.5874999999996</v>
      </c>
      <c r="I130" s="9">
        <f>IF(5&lt;=核心参数输入!$B$9*4,季度经营税费!I178-季度经营税费!I179-季度经营税费!I174-I121+I126+I122-I123-I124-I125,0)</f>
        <v>-2931.4500000000007</v>
      </c>
      <c r="J130" s="9">
        <f>IF(6&lt;=核心参数输入!$B$9*4,季度经营税费!J178-季度经营税费!J179-季度经营税费!J174-J121+J126+J122-J123-J124-J125,0)</f>
        <v>-2962.9500000000007</v>
      </c>
      <c r="K130" s="9">
        <f>IF(7&lt;=核心参数输入!$B$9*4,季度经营税费!K178-季度经营税费!K179-季度经营税费!K174-K121+K126+K122-K123-K124-K125,0)</f>
        <v>-2994.4500000000007</v>
      </c>
      <c r="L130" s="9">
        <f>IF(8&lt;=核心参数输入!$B$9*4,季度经营税费!L178-季度经营税费!L179-季度经营税费!L174-L121+L126+L122-L123-L124-L125,0)</f>
        <v>-3025.9500000000007</v>
      </c>
      <c r="M130" s="9">
        <f>IF(9&lt;=核心参数输入!$B$9*4,季度经营税费!M178-季度经营税费!M179-季度经营税费!M174-M121+M126+M122-M123-M124-M125,0)</f>
        <v>-2348.2124999999996</v>
      </c>
      <c r="N130" s="9">
        <f>IF(10&lt;=核心参数输入!$B$9*4,季度经营税费!N178-季度经营税费!N179-季度经营税费!N174-N121+N126+N122-N123-N124-N125,0)</f>
        <v>-2371.8374999999996</v>
      </c>
      <c r="O130" s="9">
        <f>IF(11&lt;=核心参数输入!$B$9*4,季度经营税费!O178-季度经营税费!O179-季度经营税费!O174-O121+O126+O122-O123-O124-O125,0)</f>
        <v>-2395.4624999999996</v>
      </c>
      <c r="P130" s="9">
        <f>IF(12&lt;=核心参数输入!$B$9*4,季度经营税费!P178-季度经营税费!P179-季度经营税费!P174-P121+P126+P122-P123-P124-P125,0)</f>
        <v>-2419.0874999999996</v>
      </c>
      <c r="Q130" s="9">
        <f>IF(13&lt;=核心参数输入!$B$9*4,季度经营税费!Q178-季度经营税费!Q179-季度经营税费!Q174-Q121+Q126+Q122-Q123-Q124-Q125,0)</f>
        <v>1003.3426562499999</v>
      </c>
      <c r="R130" s="9">
        <f>IF(14&lt;=核心参数输入!$B$9*4,季度经营税费!R178-季度经营税费!R179-季度经营税费!R174-R121+R126+R122-R123-R124-R125,0)</f>
        <v>2498.6248252350001</v>
      </c>
      <c r="S130" s="9">
        <f>IF(15&lt;=核心参数输入!$B$9*4,季度经营税费!S178-季度经营税费!S179-季度经营税费!S174-S121+S126+S122-S123-S124-S125,0)</f>
        <v>2534.5579132050007</v>
      </c>
      <c r="T130" s="9">
        <f>IF(16&lt;=核心参数输入!$B$9*4,季度经营税费!T178-季度经营税费!T179-季度经营税费!T174-T121+T126+T122-T123-T124-T125,0)</f>
        <v>-1692.723284539285</v>
      </c>
      <c r="U130" s="9">
        <f>IF(17&lt;=核心参数输入!$B$9*4,季度经营税费!U178-季度经营税费!U179-季度经营税费!U174-U121+U126+U122-U123-U124-U125,0)</f>
        <v>3297.924795013425</v>
      </c>
      <c r="V130" s="9">
        <f>IF(18&lt;=核心参数输入!$B$9*4,季度经营税费!V178-季度经营税费!V179-季度经营税费!V174-V121+V126+V122-V123-V124-V125,0)</f>
        <v>3651.0507332305874</v>
      </c>
      <c r="W130" s="9">
        <f>IF(19&lt;=核心参数输入!$B$9*4,季度经营税费!W178-季度经营税费!W179-季度经营税费!W174-W121+W126+W122-W123-W124-W125,0)</f>
        <v>3669.2867753753621</v>
      </c>
      <c r="X130" s="9">
        <f>IF(20&lt;=核心参数输入!$B$9*4,季度经营税费!X178-季度经营税费!X179-季度经营税费!X174-X121+X126+X122-X123-X124-X125,0)</f>
        <v>-575.69146819414755</v>
      </c>
      <c r="Y130" s="9">
        <f>IF(21&lt;=核心参数输入!$B$9*4,季度经营税费!Y178-季度经营税费!Y179-季度经营税费!Y174-Y121+Y126+Y122-Y123-Y124-Y125,0)</f>
        <v>3106.2603581848857</v>
      </c>
      <c r="Z130" s="9">
        <f>IF(22&lt;=核心参数输入!$B$9*4,季度经营税费!Z178-季度经营税费!Z179-季度经营税费!Z174-Z121+Z126+Z122-Z123-Z124-Z125,0)</f>
        <v>2796.6843681147143</v>
      </c>
      <c r="AA130" s="9">
        <f>IF(23&lt;=核心参数输入!$B$9*4,季度经营税费!AA178-季度经营税费!AA179-季度经营税费!AA174-AA121+AA126+AA122-AA123-AA124-AA125,0)</f>
        <v>2810.5665551974243</v>
      </c>
      <c r="AB130" s="9">
        <f>IF(24&lt;=核心参数输入!$B$9*4,季度经营税费!AB178-季度经营税费!AB179-季度经营税费!AB174-AB121+AB126+AB122-AB123-AB124-AB125,0)</f>
        <v>-1438.7655434341505</v>
      </c>
      <c r="AC130" s="9">
        <f>IF(25&lt;=核心参数输入!$B$9*4,季度经营税费!AC178-季度经营税费!AC179-季度经营税费!AC174-AC121+AC126+AC122-AC123-AC124-AC125,0)</f>
        <v>947.48821283453708</v>
      </c>
      <c r="AD130" s="9">
        <f>IF(26&lt;=核心参数输入!$B$9*4,季度经营税费!AD178-季度经营税费!AD179-季度经营税费!AD174-AD121+AD126+AD122-AD123-AD124-AD125,0)</f>
        <v>-20.433798906162679</v>
      </c>
      <c r="AE130" s="9">
        <f>IF(27&lt;=核心参数输入!$B$9*4,季度经营税费!AE178-季度经营税费!AE179-季度经营税费!AE174-AE121+AE126+AE122-AE123-AE124-AE125,0)</f>
        <v>-15.736992276512467</v>
      </c>
      <c r="AF130" s="9">
        <f>IF(28&lt;=核心参数输入!$B$9*4,季度经营税费!AF178-季度经营税费!AF179-季度经营税费!AF174-AF121+AF126+AF122-AF123-AF124-AF125,0)</f>
        <v>-4274.2544713611478</v>
      </c>
      <c r="AG130" s="9">
        <f>IF(29&lt;=核心参数输入!$B$9*4,季度经营税费!AG178-季度经营税费!AG179-季度经营税费!AG174-AG121+AG126+AG122-AG123-AG124-AG125,0)</f>
        <v>41.538517297529808</v>
      </c>
      <c r="AH130" s="9">
        <f>IF(30&lt;=核心参数输入!$B$9*4,季度经营税费!AH178-季度经营税费!AH179-季度经营税费!AH174-AH121+AH126+AH122-AH123-AH124-AH125,0)</f>
        <v>43.922146662077239</v>
      </c>
      <c r="AI130" s="9">
        <f>IF(31&lt;=核心参数输入!$B$9*4,季度经营税费!AI178-季度经营税费!AI179-季度经营税费!AI174-AI121+AI126+AI122-AI123-AI124-AI125,0)</f>
        <v>43.922146662077239</v>
      </c>
      <c r="AJ130" s="9">
        <f>IF(32&lt;=核心参数输入!$B$9*4,季度经营税费!AJ178-季度经营税费!AJ179-季度经营税费!AJ174-AJ121+AJ126+AJ122-AJ123-AJ124-AJ125,0)</f>
        <v>-4219.2921390522079</v>
      </c>
      <c r="AK130" s="9">
        <f>IF(33&lt;=核心参数输入!$B$9*4,季度经营税费!AK178-季度经营税费!AK179-季度经营税费!AK174-AK121+AK126+AK122-AK123-AK124-AK125,0)</f>
        <v>91.875066802008462</v>
      </c>
      <c r="AL130" s="9">
        <f>IF(34&lt;=核心参数输入!$B$9*4,季度经营税费!AL178-季度经营税费!AL179-季度经营税费!AL174-AL121+AL126+AL122-AL123-AL124-AL125,0)</f>
        <v>91.875066802008462</v>
      </c>
      <c r="AM130" s="9">
        <f>IF(35&lt;=核心参数输入!$B$9*4,季度经营税费!AM178-季度经营税费!AM179-季度经营税费!AM174-AM121+AM126+AM122-AM123-AM124-AM125,0)</f>
        <v>91.875066802008462</v>
      </c>
      <c r="AN130" s="9">
        <f>IF(36&lt;=核心参数输入!$B$9*4,季度经营税费!AN178-季度经营税费!AN179-季度经营税费!AN174-AN121+AN126+AN122-AN123-AN124-AN125,0)</f>
        <v>-4171.3392189122769</v>
      </c>
      <c r="AO130" s="9">
        <f>IF(37&lt;=核心参数输入!$B$9*4,季度经营税费!AO178-季度经营税费!AO179-季度经营税费!AO174-AO121+AO126+AO122-AO123-AO124-AO125,0)</f>
        <v>139.86416250283847</v>
      </c>
      <c r="AP130" s="9">
        <f>IF(38&lt;=核心参数输入!$B$9*4,季度经营税费!AP178-季度经营税费!AP179-季度经营税费!AP174-AP121+AP126+AP122-AP123-AP124-AP125,0)</f>
        <v>139.86416250283847</v>
      </c>
      <c r="AQ130" s="9">
        <f>IF(39&lt;=核心参数输入!$B$9*4,季度经营税费!AQ178-季度经营税费!AQ179-季度经营税费!AQ174-AQ121+AQ126+AQ122-AQ123-AQ124-AQ125,0)</f>
        <v>139.86416250283847</v>
      </c>
      <c r="AR130" s="9">
        <f>IF(40&lt;=核心参数输入!$B$9*4,季度经营税费!AR178-季度经营税费!AR179-季度经营税费!AR174-AR121+AR126+AR122-AR123-AR124-AR125,0)</f>
        <v>-4123.350123211445</v>
      </c>
      <c r="AS130" s="9">
        <f>IF(41&lt;=核心参数输入!$B$9*4,季度经营税费!AS178-季度经营税费!AS179-季度经营税费!AS174-AS121+AS126+AS122-AS123-AS124-AS125,0)</f>
        <v>187.88981403315699</v>
      </c>
      <c r="AT130" s="9">
        <f>IF(42&lt;=核心参数输入!$B$9*4,季度经营税费!AT178-季度经营税费!AT179-季度经营税费!AT174-AT121+AT126+AT122-AT123-AT124-AT125,0)</f>
        <v>187.88981403315699</v>
      </c>
      <c r="AU130" s="9">
        <f>IF(43&lt;=核心参数输入!$B$9*4,季度经营税费!AU178-季度经营税费!AU179-季度经营税费!AU174-AU121+AU126+AU122-AU123-AU124-AU125,0)</f>
        <v>187.88981403315699</v>
      </c>
      <c r="AV130" s="9">
        <f>IF(44&lt;=核心参数输入!$B$9*4,季度经营税费!AV178-季度经营税费!AV179-季度经营税费!AV174-AV121+AV126+AV122-AV123-AV124-AV125,0)</f>
        <v>187.88981403315699</v>
      </c>
      <c r="AW130" s="9">
        <f>IF(45&lt;=核心参数输入!$B$9*4,季度经营税费!AW178-季度经营税费!AW179-季度经营税费!AW174-AW121+AW126+AW122-AW123-AW124-AW125,0)</f>
        <v>190.95240411828576</v>
      </c>
      <c r="AX130" s="9">
        <f>IF(46&lt;=核心参数输入!$B$9*4,季度经营税费!AX178-季度经营税费!AX179-季度经营税费!AX174-AX121+AX126+AX122-AX123-AX124-AX125,0)</f>
        <v>190.95240411828576</v>
      </c>
      <c r="AY130" s="9">
        <f>IF(47&lt;=核心参数输入!$B$9*4,季度经营税费!AY178-季度经营税费!AY179-季度经营税费!AY174-AY121+AY126+AY122-AY123-AY124-AY125,0)</f>
        <v>190.95240411828576</v>
      </c>
      <c r="AZ130" s="9">
        <f>IF(48&lt;=核心参数输入!$B$9*4,季度经营税费!AZ178-季度经营税费!AZ179-季度经营税费!AZ174-AZ121+AZ126+AZ122-AZ123-AZ124-AZ125,0)</f>
        <v>190.95240411828576</v>
      </c>
      <c r="BA130" s="9">
        <f>IF(49&lt;=核心参数输入!$B$9*4,季度经营税费!BA178-季度经营税费!BA179-季度经营税费!BA174-BA121+BA126+BA122-BA123-BA124-BA125,0)</f>
        <v>194.05231791218421</v>
      </c>
      <c r="BB130" s="9">
        <f>IF(50&lt;=核心参数输入!$B$9*4,季度经营税费!BB178-季度经营税费!BB179-季度经营税费!BB174-BB121+BB126+BB122-BB123-BB124-BB125,0)</f>
        <v>194.05231791218421</v>
      </c>
      <c r="BC130" s="9">
        <f>IF(51&lt;=核心参数输入!$B$9*4,季度经营税费!BC178-季度经营税费!BC179-季度经营税费!BC174-BC121+BC126+BC122-BC123-BC124-BC125,0)</f>
        <v>194.05231791218421</v>
      </c>
      <c r="BD130" s="9">
        <f>IF(52&lt;=核心参数输入!$B$9*4,季度经营税费!BD178-季度经营税费!BD179-季度经营税费!BD174-BD121+BD126+BD122-BD123-BD124-BD125,0)</f>
        <v>194.05231791218421</v>
      </c>
      <c r="BE130" s="9">
        <f>IF(53&lt;=核心参数输入!$B$9*4,季度经营税费!BE178-季度经营税费!BE179-季度经营税费!BE174-BE121+BE126+BE122-BE123-BE124-BE125,0)</f>
        <v>197.18994296763356</v>
      </c>
      <c r="BF130" s="9">
        <f>IF(54&lt;=核心参数输入!$B$9*4,季度经营税费!BF178-季度经营税费!BF179-季度经营税费!BF174-BF121+BF126+BF122-BF123-BF124-BF125,0)</f>
        <v>197.18994296763356</v>
      </c>
      <c r="BG130" s="9">
        <f>IF(55&lt;=核心参数输入!$B$9*4,季度经营税费!BG178-季度经营税费!BG179-季度经营税费!BG174-BG121+BG126+BG122-BG123-BG124-BG125,0)</f>
        <v>197.18994296763356</v>
      </c>
      <c r="BH130" s="9">
        <f>IF(56&lt;=核心参数输入!$B$9*4,季度经营税费!BH178-季度经营税费!BH179-季度经营税费!BH174-BH121+BH126+BH122-BH123-BH124-BH125,0)</f>
        <v>197.18994296763356</v>
      </c>
      <c r="BI130" s="9">
        <f>IF(57&lt;=核心参数输入!$B$9*4,季度经营税费!BI178-季度经营税费!BI179-季度经营税费!BI174-BI121+BI126+BI122-BI123-BI124-BI125,0)</f>
        <v>200.36566920464995</v>
      </c>
      <c r="BJ130" s="9">
        <f>IF(58&lt;=核心参数输入!$B$9*4,季度经营税费!BJ178-季度经营税费!BJ179-季度经营税费!BJ174-BJ121+BJ126+BJ122-BJ123-BJ124-BJ125,0)</f>
        <v>200.36566920464995</v>
      </c>
      <c r="BK130" s="9">
        <f>IF(59&lt;=核心参数输入!$B$9*4,季度经营税费!BK178-季度经营税费!BK179-季度经营税费!BK174-BK121+BK126+BK122-BK123-BK124-BK125,0)</f>
        <v>200.36566920464995</v>
      </c>
      <c r="BL130" s="9">
        <f>IF(60&lt;=核心参数输入!$B$9*4,季度经营税费!BL178-季度经营税费!BL179-季度经营税费!BL174-BL121+BL126+BL122-BL123-BL124-BL125,0)</f>
        <v>200.36566920464995</v>
      </c>
      <c r="BM130" s="9">
        <f>IF(61&lt;=核心参数输入!$B$9*4,季度经营税费!BM178-季度经营税费!BM179-季度经营税费!BM174-BM121+BM126+BM122-BM123-BM124-BM125,0)</f>
        <v>203.57988887707162</v>
      </c>
      <c r="BN130" s="9">
        <f>IF(62&lt;=核心参数输入!$B$9*4,季度经营税费!BN178-季度经营税费!BN179-季度经营税费!BN174-BN121+BN126+BN122-BN123-BN124-BN125,0)</f>
        <v>203.57988887707162</v>
      </c>
      <c r="BO130" s="9">
        <f>IF(63&lt;=核心参数输入!$B$9*4,季度经营税费!BO178-季度经营税费!BO179-季度经营税费!BO174-BO121+BO126+BO122-BO123-BO124-BO125,0)</f>
        <v>203.57988887707162</v>
      </c>
      <c r="BP130" s="9">
        <f>IF(64&lt;=核心参数输入!$B$9*4,季度经营税费!BP178-季度经营税费!BP179-季度经营税费!BP174-BP121+BP126+BP122-BP123-BP124-BP125,0)</f>
        <v>203.57988887707162</v>
      </c>
      <c r="BQ130" s="9">
        <f>IF(65&lt;=核心参数输入!$B$9*4,季度经营税费!BQ178-季度经营税费!BQ179-季度经营税费!BQ174-BQ121+BQ126+BQ122-BQ123-BQ124-BQ125,0)</f>
        <v>206.83299653726678</v>
      </c>
      <c r="BR130" s="9">
        <f>IF(66&lt;=核心参数输入!$B$9*4,季度经营税费!BR178-季度经营税费!BR179-季度经营税费!BR174-BR121+BR126+BR122-BR123-BR124-BR125,0)</f>
        <v>206.83299653726678</v>
      </c>
      <c r="BS130" s="9">
        <f>IF(67&lt;=核心参数输入!$B$9*4,季度经营税费!BS178-季度经营税费!BS179-季度经营税费!BS174-BS121+BS126+BS122-BS123-BS124-BS125,0)</f>
        <v>206.83299653726678</v>
      </c>
      <c r="BT130" s="9">
        <f>IF(68&lt;=核心参数输入!$B$9*4,季度经营税费!BT178-季度经营税费!BT179-季度经营税费!BT174-BT121+BT126+BT122-BT123-BT124-BT125,0)</f>
        <v>206.83299653726678</v>
      </c>
      <c r="BU130" s="9">
        <f>IF(69&lt;=核心参数输入!$B$9*4,季度经营税费!BU178-季度经营税费!BU179-季度经营税费!BU174-BU121+BU126+BU122-BU123-BU124-BU125,0)</f>
        <v>210.12538899890549</v>
      </c>
      <c r="BV130" s="9">
        <f>IF(70&lt;=核心参数输入!$B$9*4,季度经营税费!BV178-季度经营税费!BV179-季度经营税费!BV174-BV121+BV126+BV122-BV123-BV124-BV125,0)</f>
        <v>210.12538899890549</v>
      </c>
      <c r="BW130" s="9">
        <f>IF(71&lt;=核心参数输入!$B$9*4,季度经营税费!BW178-季度经营税费!BW179-季度经营税费!BW174-BW121+BW126+BW122-BW123-BW124-BW125,0)</f>
        <v>210.12538899890549</v>
      </c>
      <c r="BX130" s="9">
        <f>IF(72&lt;=核心参数输入!$B$9*4,季度经营税费!BX178-季度经营税费!BX179-季度经营税费!BX174-BX121+BX126+BX122-BX123-BX124-BX125,0)</f>
        <v>210.12538899890549</v>
      </c>
      <c r="BY130" s="9">
        <f>IF(73&lt;=核心参数输入!$B$9*4,季度经营税费!BY178-季度经营税费!BY179-季度经营税费!BY174-BY121+BY126+BY122-BY123-BY124-BY125,0)</f>
        <v>213.45746529774047</v>
      </c>
      <c r="BZ130" s="9">
        <f>IF(74&lt;=核心参数输入!$B$9*4,季度经营税费!BZ178-季度经营税费!BZ179-季度经营税费!BZ174-BZ121+BZ126+BZ122-BZ123-BZ124-BZ125,0)</f>
        <v>213.45746529774047</v>
      </c>
      <c r="CA130" s="9">
        <f>IF(75&lt;=核心参数输入!$B$9*4,季度经营税费!CA178-季度经营税费!CA179-季度经营税费!CA174-CA121+CA126+CA122-CA123-CA124-CA125,0)</f>
        <v>213.45746529774047</v>
      </c>
      <c r="CB130" s="9">
        <f>IF(76&lt;=核心参数输入!$B$9*4,季度经营税费!CB178-季度经营税费!CB179-季度经营税费!CB174-CB121+CB126+CB122-CB123-CB124-CB125,0)</f>
        <v>213.45746529774047</v>
      </c>
      <c r="CC130" s="9">
        <f>IF(77&lt;=核心参数输入!$B$9*4,季度经营税费!CC178-季度经营税费!CC179-季度经营税费!CC174-CC121+CC126+CC122-CC123-CC124-CC125,0)</f>
        <v>216.829626650335</v>
      </c>
      <c r="CD130" s="9">
        <f>IF(78&lt;=核心参数输入!$B$9*4,季度经营税费!CD178-季度经营税费!CD179-季度经营税费!CD174-CD121+CD126+CD122-CD123-CD124-CD125,0)</f>
        <v>216.829626650335</v>
      </c>
      <c r="CE130" s="9">
        <f>IF(79&lt;=核心参数输入!$B$9*4,季度经营税费!CE178-季度经营税费!CE179-季度经营税费!CE174-CE121+CE126+CE122-CE123-CE124-CE125,0)</f>
        <v>216.829626650335</v>
      </c>
      <c r="CF130" s="9">
        <f>IF(80&lt;=核心参数输入!$B$9*4,季度经营税费!CF178-季度经营税费!CF179-季度经营税费!CF174-CF121+CF126+CF122-CF123-CF124-CF125,0)</f>
        <v>216.829626650335</v>
      </c>
      <c r="CG130" s="9">
        <f>IF(81&lt;=核心参数输入!$B$9*4,季度经营税费!CG178-季度经营税费!CG179-季度经营税费!CG174-CG121+CG126+CG122-CG123-CG124-CG125,0)</f>
        <v>0</v>
      </c>
      <c r="CH130" s="9">
        <f>IF(82&lt;=核心参数输入!$B$9*4,季度经营税费!CH178-季度经营税费!CH179-季度经营税费!CH174-CH121+CH126+CH122-CH123-CH124-CH125,0)</f>
        <v>0</v>
      </c>
      <c r="CI130" s="9">
        <f>IF(83&lt;=核心参数输入!$B$9*4,季度经营税费!CI178-季度经营税费!CI179-季度经营税费!CI174-CI121+CI126+CI122-CI123-CI124-CI125,0)</f>
        <v>0</v>
      </c>
      <c r="CJ130" s="9">
        <f>IF(84&lt;=核心参数输入!$B$9*4,季度经营税费!CJ178-季度经营税费!CJ179-季度经营税费!CJ174-CJ121+CJ126+CJ122-CJ123-CJ124-CJ125,0)</f>
        <v>0</v>
      </c>
      <c r="CK130" s="9">
        <f>IF(85&lt;=核心参数输入!$B$9*4,季度经营税费!CK178-季度经营税费!CK179-季度经营税费!CK174-CK121+CK126+CK122-CK123-CK124-CK125,0)</f>
        <v>0</v>
      </c>
      <c r="CL130" s="9">
        <f>IF(86&lt;=核心参数输入!$B$9*4,季度经营税费!CL178-季度经营税费!CL179-季度经营税费!CL174-CL121+CL126+CL122-CL123-CL124-CL125,0)</f>
        <v>0</v>
      </c>
      <c r="CM130" s="9">
        <f>IF(87&lt;=核心参数输入!$B$9*4,季度经营税费!CM178-季度经营税费!CM179-季度经营税费!CM174-CM121+CM126+CM122-CM123-CM124-CM125,0)</f>
        <v>0</v>
      </c>
      <c r="CN130" s="9">
        <f>IF(88&lt;=核心参数输入!$B$9*4,季度经营税费!CN178-季度经营税费!CN179-季度经营税费!CN174-CN121+CN126+CN122-CN123-CN124-CN125,0)</f>
        <v>0</v>
      </c>
      <c r="CO130" s="9">
        <f>IF(89&lt;=核心参数输入!$B$9*4,季度经营税费!CO178-季度经营税费!CO179-季度经营税费!CO174-CO121+CO126+CO122-CO123-CO124-CO125,0)</f>
        <v>0</v>
      </c>
      <c r="CP130" s="9">
        <f>IF(90&lt;=核心参数输入!$B$9*4,季度经营税费!CP178-季度经营税费!CP179-季度经营税费!CP174-CP121+CP126+CP122-CP123-CP124-CP125,0)</f>
        <v>0</v>
      </c>
      <c r="CQ130" s="9">
        <f>IF(91&lt;=核心参数输入!$B$9*4,季度经营税费!CQ178-季度经营税费!CQ179-季度经营税费!CQ174-CQ121+CQ126+CQ122-CQ123-CQ124-CQ125,0)</f>
        <v>0</v>
      </c>
      <c r="CR130" s="9">
        <f>IF(92&lt;=核心参数输入!$B$9*4,季度经营税费!CR178-季度经营税费!CR179-季度经营税费!CR174-CR121+CR126+CR122-CR123-CR124-CR125,0)</f>
        <v>0</v>
      </c>
      <c r="CS130" s="9">
        <f>IF(93&lt;=核心参数输入!$B$9*4,季度经营税费!CS178-季度经营税费!CS179-季度经营税费!CS174-CS121+CS126+CS122-CS123-CS124-CS125,0)</f>
        <v>0</v>
      </c>
      <c r="CT130" s="9">
        <f>IF(94&lt;=核心参数输入!$B$9*4,季度经营税费!CT178-季度经营税费!CT179-季度经营税费!CT174-CT121+CT126+CT122-CT123-CT124-CT125,0)</f>
        <v>0</v>
      </c>
      <c r="CU130" s="9">
        <f>IF(95&lt;=核心参数输入!$B$9*4,季度经营税费!CU178-季度经营税费!CU179-季度经营税费!CU174-CU121+CU126+CU122-CU123-CU124-CU125,0)</f>
        <v>0</v>
      </c>
      <c r="CV130" s="9">
        <f>IF(96&lt;=核心参数输入!$B$9*4,季度经营税费!CV178-季度经营税费!CV179-季度经营税费!CV174-CV121+CV126+CV122-CV123-CV124-CV125,0)</f>
        <v>0</v>
      </c>
      <c r="CW130" s="9">
        <f>IF(97&lt;=核心参数输入!$B$9*4,季度经营税费!CW178-季度经营税费!CW179-季度经营税费!CW174-CW121+CW126+CW122-CW123-CW124-CW125,0)</f>
        <v>0</v>
      </c>
      <c r="CX130" s="9">
        <f>IF(98&lt;=核心参数输入!$B$9*4,季度经营税费!CX178-季度经营税费!CX179-季度经营税费!CX174-CX121+CX126+CX122-CX123-CX124-CX125,0)</f>
        <v>0</v>
      </c>
      <c r="CY130" s="9">
        <f>IF(99&lt;=核心参数输入!$B$9*4,季度经营税费!CY178-季度经营税费!CY179-季度经营税费!CY174-CY121+CY126+CY122-CY123-CY124-CY125,0)</f>
        <v>0</v>
      </c>
      <c r="CZ130" s="9">
        <f>IF(100&lt;=核心参数输入!$B$9*4,季度经营税费!CZ178-季度经营税费!CZ179-季度经营税费!CZ174-CZ121+CZ126+CZ122-CZ123-CZ124-CZ125,0)</f>
        <v>0</v>
      </c>
      <c r="DA130" s="9">
        <f>IF(101&lt;=核心参数输入!$B$9*4,季度经营税费!DA178-季度经营税费!DA179-季度经营税费!DA174-DA121+DA126+DA122-DA123-DA124-DA125,0)</f>
        <v>0</v>
      </c>
      <c r="DB130" s="9">
        <f>IF(102&lt;=核心参数输入!$B$9*4,季度经营税费!DB178-季度经营税费!DB179-季度经营税费!DB174-DB121+DB126+DB122-DB123-DB124-DB125,0)</f>
        <v>0</v>
      </c>
      <c r="DC130" s="9">
        <f>IF(103&lt;=核心参数输入!$B$9*4,季度经营税费!DC178-季度经营税费!DC179-季度经营税费!DC174-DC121+DC126+DC122-DC123-DC124-DC125,0)</f>
        <v>0</v>
      </c>
      <c r="DD130" s="9">
        <f>IF(104&lt;=核心参数输入!$B$9*4,季度经营税费!DD178-季度经营税费!DD179-季度经营税费!DD174-DD121+DD126+DD122-DD123-DD124-DD125,0)</f>
        <v>0</v>
      </c>
      <c r="DE130" s="9">
        <f>IF(105&lt;=核心参数输入!$B$9*4,季度经营税费!DE178-季度经营税费!DE179-季度经营税费!DE174-DE121+DE126+DE122-DE123-DE124-DE125,0)</f>
        <v>0</v>
      </c>
      <c r="DF130" s="9">
        <f>IF(106&lt;=核心参数输入!$B$9*4,季度经营税费!DF178-季度经营税费!DF179-季度经营税费!DF174-DF121+DF126+DF122-DF123-DF124-DF125,0)</f>
        <v>0</v>
      </c>
      <c r="DG130" s="9">
        <f>IF(107&lt;=核心参数输入!$B$9*4,季度经营税费!DG178-季度经营税费!DG179-季度经营税费!DG174-DG121+DG126+DG122-DG123-DG124-DG125,0)</f>
        <v>0</v>
      </c>
      <c r="DH130" s="9">
        <f>IF(108&lt;=核心参数输入!$B$9*4,季度经营税费!DH178-季度经营税费!DH179-季度经营税费!DH174-DH121+DH126+DH122-DH123-DH124-DH125,0)</f>
        <v>0</v>
      </c>
      <c r="DI130" s="9">
        <f>IF(109&lt;=核心参数输入!$B$9*4,季度经营税费!DI178-季度经营税费!DI179-季度经营税费!DI174-DI121+DI126+DI122-DI123-DI124-DI125,0)</f>
        <v>0</v>
      </c>
      <c r="DJ130" s="9">
        <f>IF(110&lt;=核心参数输入!$B$9*4,季度经营税费!DJ178-季度经营税费!DJ179-季度经营税费!DJ174-DJ121+DJ126+DJ122-DJ123-DJ124-DJ125,0)</f>
        <v>0</v>
      </c>
      <c r="DK130" s="9">
        <f>IF(111&lt;=核心参数输入!$B$9*4,季度经营税费!DK178-季度经营税费!DK179-季度经营税费!DK174-DK121+DK126+DK122-DK123-DK124-DK125,0)</f>
        <v>0</v>
      </c>
      <c r="DL130" s="9">
        <f>IF(112&lt;=核心参数输入!$B$9*4,季度经营税费!DL178-季度经营税费!DL179-季度经营税费!DL174-DL121+DL126+DL122-DL123-DL124-DL125,0)</f>
        <v>0</v>
      </c>
      <c r="DM130" s="9">
        <f>IF(113&lt;=核心参数输入!$B$9*4,季度经营税费!DM178-季度经营税费!DM179-季度经营税费!DM174-DM121+DM126+DM122-DM123-DM124-DM125,0)</f>
        <v>0</v>
      </c>
      <c r="DN130" s="9">
        <f>IF(114&lt;=核心参数输入!$B$9*4,季度经营税费!DN178-季度经营税费!DN179-季度经营税费!DN174-DN121+DN126+DN122-DN123-DN124-DN125,0)</f>
        <v>0</v>
      </c>
      <c r="DO130" s="9">
        <f>IF(115&lt;=核心参数输入!$B$9*4,季度经营税费!DO178-季度经营税费!DO179-季度经营税费!DO174-DO121+DO126+DO122-DO123-DO124-DO125,0)</f>
        <v>0</v>
      </c>
      <c r="DP130" s="9">
        <f>IF(116&lt;=核心参数输入!$B$9*4,季度经营税费!DP178-季度经营税费!DP179-季度经营税费!DP174-DP121+DP126+DP122-DP123-DP124-DP125,0)</f>
        <v>0</v>
      </c>
      <c r="DQ130" s="9">
        <f>IF(117&lt;=核心参数输入!$B$9*4,季度经营税费!DQ178-季度经营税费!DQ179-季度经营税费!DQ174-DQ121+DQ126+DQ122-DQ123-DQ124-DQ125,0)</f>
        <v>0</v>
      </c>
      <c r="DR130" s="9">
        <f>IF(118&lt;=核心参数输入!$B$9*4,季度经营税费!DR178-季度经营税费!DR179-季度经营税费!DR174-DR121+DR126+DR122-DR123-DR124-DR125,0)</f>
        <v>0</v>
      </c>
      <c r="DS130" s="9">
        <f>IF(119&lt;=核心参数输入!$B$9*4,季度经营税费!DS178-季度经营税费!DS179-季度经营税费!DS174-DS121+DS126+DS122-DS123-DS124-DS125,0)</f>
        <v>0</v>
      </c>
      <c r="DT130" s="9">
        <f>IF(120&lt;=核心参数输入!$B$9*4,季度经营税费!DT178-季度经营税费!DT179-季度经营税费!DT174-DT121+DT126+DT122-DT123-DT124-DT125,0)</f>
        <v>0</v>
      </c>
    </row>
    <row r="131" spans="1:124" ht="21" customHeight="1">
      <c r="A131" s="8" t="s">
        <v>520</v>
      </c>
      <c r="B131" s="8" t="s">
        <v>39</v>
      </c>
      <c r="C131" s="8"/>
      <c r="D131" s="9">
        <f>IF(0&lt;=核心参数输入!$B$9*4,季度经营税费!D178-季度经营税费!D179-季度经营税费!D175-D121+D127+季度经营税费!D169+D122-D123-D124-D125,0)</f>
        <v>-8000</v>
      </c>
      <c r="E131" s="9">
        <f>IF(1&lt;=核心参数输入!$B$9*4,季度经营税费!E178-季度经营税费!E179-季度经营税费!E175-E121+E127+季度经营税费!E169+E122-E123-E124-E125,0)</f>
        <v>-2127.7124999999996</v>
      </c>
      <c r="F131" s="9">
        <f>IF(2&lt;=核心参数输入!$B$9*4,季度经营税费!F178-季度经营税费!F179-季度经营税费!F175-F121+F127+季度经营税费!F169+F122-F123-F124-F125,0)</f>
        <v>-2151.3374999999996</v>
      </c>
      <c r="G131" s="9">
        <f>IF(3&lt;=核心参数输入!$B$9*4,季度经营税费!G178-季度经营税费!G179-季度经营税费!G175-G121+G127+季度经营税费!G169+G122-G123-G124-G125,0)</f>
        <v>-2174.9624999999996</v>
      </c>
      <c r="H131" s="9">
        <f>IF(4&lt;=核心参数输入!$B$9*4,季度经营税费!H178-季度经营税费!H179-季度经营税费!H175-H121+H127+季度经营税费!H169+H122-H123-H124-H125,0)</f>
        <v>-2198.5874999999996</v>
      </c>
      <c r="I131" s="9">
        <f>IF(5&lt;=核心参数输入!$B$9*4,季度经营税费!I178-季度经营税费!I179-季度经营税费!I175-I121+I127+季度经营税费!I169+I122-I123-I124-I125,0)</f>
        <v>-2931.4500000000007</v>
      </c>
      <c r="J131" s="9">
        <f>IF(6&lt;=核心参数输入!$B$9*4,季度经营税费!J178-季度经营税费!J179-季度经营税费!J175-J121+J127+季度经营税费!J169+J122-J123-J124-J125,0)</f>
        <v>-2962.9500000000007</v>
      </c>
      <c r="K131" s="9">
        <f>IF(7&lt;=核心参数输入!$B$9*4,季度经营税费!K178-季度经营税费!K179-季度经营税费!K175-K121+K127+季度经营税费!K169+K122-K123-K124-K125,0)</f>
        <v>-2994.4500000000007</v>
      </c>
      <c r="L131" s="9">
        <f>IF(8&lt;=核心参数输入!$B$9*4,季度经营税费!L178-季度经营税费!L179-季度经营税费!L175-L121+L127+季度经营税费!L169+L122-L123-L124-L125,0)</f>
        <v>-3025.9500000000007</v>
      </c>
      <c r="M131" s="9">
        <f>IF(9&lt;=核心参数输入!$B$9*4,季度经营税费!M178-季度经营税费!M179-季度经营税费!M175-M121+M127+季度经营税费!M169+M122-M123-M124-M125,0)</f>
        <v>-2348.2124999999996</v>
      </c>
      <c r="N131" s="9">
        <f>IF(10&lt;=核心参数输入!$B$9*4,季度经营税费!N178-季度经营税费!N179-季度经营税费!N175-N121+N127+季度经营税费!N169+N122-N123-N124-N125,0)</f>
        <v>-2371.8374999999996</v>
      </c>
      <c r="O131" s="9">
        <f>IF(11&lt;=核心参数输入!$B$9*4,季度经营税费!O178-季度经营税费!O179-季度经营税费!O175-O121+O127+季度经营税费!O169+O122-O123-O124-O125,0)</f>
        <v>-2395.4624999999996</v>
      </c>
      <c r="P131" s="9">
        <f>IF(12&lt;=核心参数输入!$B$9*4,季度经营税费!P178-季度经营税费!P179-季度经营税费!P175-P121+P127+季度经营税费!P169+P122-P123-P124-P125,0)</f>
        <v>-2419.0874999999996</v>
      </c>
      <c r="Q131" s="9">
        <f>IF(13&lt;=核心参数输入!$B$9*4,季度经营税费!Q178-季度经营税费!Q179-季度经营税费!Q175-Q121+Q127+季度经营税费!Q169+Q122-Q123-Q124-Q125,0)</f>
        <v>1003.3426562499999</v>
      </c>
      <c r="R131" s="9">
        <f>IF(14&lt;=核心参数输入!$B$9*4,季度经营税费!R178-季度经营税费!R179-季度经营税费!R175-R121+R127+季度经营税费!R169+R122-R123-R124-R125,0)</f>
        <v>2498.6248252350001</v>
      </c>
      <c r="S131" s="9">
        <f>IF(15&lt;=核心参数输入!$B$9*4,季度经营税费!S178-季度经营税费!S179-季度经营税费!S175-S121+S127+季度经营税费!S169+S122-S123-S124-S125,0)</f>
        <v>2534.5579132050007</v>
      </c>
      <c r="T131" s="9">
        <f>IF(16&lt;=核心参数输入!$B$9*4,季度经营税费!T178-季度经营税费!T179-季度经营税费!T175-T121+T127+季度经营税费!T169+T122-T123-T124-T125,0)</f>
        <v>-1692.723284539285</v>
      </c>
      <c r="U131" s="9">
        <f>IF(17&lt;=核心参数输入!$B$9*4,季度经营税费!U178-季度经营税费!U179-季度经营税费!U175-U121+U127+季度经营税费!U169+U122-U123-U124-U125,0)</f>
        <v>3297.924795013425</v>
      </c>
      <c r="V131" s="9">
        <f>IF(18&lt;=核心参数输入!$B$9*4,季度经营税费!V178-季度经营税费!V179-季度经营税费!V175-V121+V127+季度经营税费!V169+V122-V123-V124-V125,0)</f>
        <v>3651.0507332305874</v>
      </c>
      <c r="W131" s="9">
        <f>IF(19&lt;=核心参数输入!$B$9*4,季度经营税费!W178-季度经营税费!W179-季度经营税费!W175-W121+W127+季度经营税费!W169+W122-W123-W124-W125,0)</f>
        <v>3669.2867753753621</v>
      </c>
      <c r="X131" s="9">
        <f>IF(20&lt;=核心参数输入!$B$9*4,季度经营税费!X178-季度经营税费!X179-季度经营税费!X175-X121+X127+季度经营税费!X169+X122-X123-X124-X125,0)</f>
        <v>-575.69146819414755</v>
      </c>
      <c r="Y131" s="9">
        <f>IF(21&lt;=核心参数输入!$B$9*4,季度经营税费!Y178-季度经营税费!Y179-季度经营税费!Y175-Y121+Y127+季度经营税费!Y169+Y122-Y123-Y124-Y125,0)</f>
        <v>3106.2603581848857</v>
      </c>
      <c r="Z131" s="9">
        <f>IF(22&lt;=核心参数输入!$B$9*4,季度经营税费!Z178-季度经营税费!Z179-季度经营税费!Z175-Z121+Z127+季度经营税费!Z169+Z122-Z123-Z124-Z125,0)</f>
        <v>2796.6843681147143</v>
      </c>
      <c r="AA131" s="9">
        <f>IF(23&lt;=核心参数输入!$B$9*4,季度经营税费!AA178-季度经营税费!AA179-季度经营税费!AA175-AA121+AA127+季度经营税费!AA169+AA122-AA123-AA124-AA125,0)</f>
        <v>2810.5665551974243</v>
      </c>
      <c r="AB131" s="9">
        <f>IF(24&lt;=核心参数输入!$B$9*4,季度经营税费!AB178-季度经营税费!AB179-季度经营税费!AB175-AB121+AB127+季度经营税费!AB169+AB122-AB123-AB124-AB125,0)</f>
        <v>-1438.7655434341505</v>
      </c>
      <c r="AC131" s="9">
        <f>IF(25&lt;=核心参数输入!$B$9*4,季度经营税费!AC178-季度经营税费!AC179-季度经营税费!AC175-AC121+AC127+季度经营税费!AC169+AC122-AC123-AC124-AC125,0)</f>
        <v>947.48821283453708</v>
      </c>
      <c r="AD131" s="9">
        <f>IF(26&lt;=核心参数输入!$B$9*4,季度经营税费!AD178-季度经营税费!AD179-季度经营税费!AD175-AD121+AD127+季度经营税费!AD169+AD122-AD123-AD124-AD125,0)</f>
        <v>-20.433798906162679</v>
      </c>
      <c r="AE131" s="9">
        <f>IF(27&lt;=核心参数输入!$B$9*4,季度经营税费!AE178-季度经营税费!AE179-季度经营税费!AE175-AE121+AE127+季度经营税费!AE169+AE122-AE123-AE124-AE125,0)</f>
        <v>-15.736992276512467</v>
      </c>
      <c r="AF131" s="9">
        <f>IF(28&lt;=核心参数输入!$B$9*4,季度经营税费!AF178-季度经营税费!AF179-季度经营税费!AF175-AF121+AF127+季度经营税费!AF169+AF122-AF123-AF124-AF125,0)</f>
        <v>-4274.2544713611478</v>
      </c>
      <c r="AG131" s="9">
        <f>IF(29&lt;=核心参数输入!$B$9*4,季度经营税费!AG178-季度经营税费!AG179-季度经营税费!AG175-AG121+AG127+季度经营税费!AG169+AG122-AG123-AG124-AG125,0)</f>
        <v>41.538517297529808</v>
      </c>
      <c r="AH131" s="9">
        <f>IF(30&lt;=核心参数输入!$B$9*4,季度经营税费!AH178-季度经营税费!AH179-季度经营税费!AH175-AH121+AH127+季度经营税费!AH169+AH122-AH123-AH124-AH125,0)</f>
        <v>43.922146662077239</v>
      </c>
      <c r="AI131" s="9">
        <f>IF(31&lt;=核心参数输入!$B$9*4,季度经营税费!AI178-季度经营税费!AI179-季度经营税费!AI175-AI121+AI127+季度经营税费!AI169+AI122-AI123-AI124-AI125,0)</f>
        <v>43.922146662077239</v>
      </c>
      <c r="AJ131" s="9">
        <f>IF(32&lt;=核心参数输入!$B$9*4,季度经营税费!AJ178-季度经营税费!AJ179-季度经营税费!AJ175-AJ121+AJ127+季度经营税费!AJ169+AJ122-AJ123-AJ124-AJ125,0)</f>
        <v>-4219.2921390522079</v>
      </c>
      <c r="AK131" s="9">
        <f>IF(33&lt;=核心参数输入!$B$9*4,季度经营税费!AK178-季度经营税费!AK179-季度经营税费!AK175-AK121+AK127+季度经营税费!AK169+AK122-AK123-AK124-AK125,0)</f>
        <v>91.875066802008462</v>
      </c>
      <c r="AL131" s="9">
        <f>IF(34&lt;=核心参数输入!$B$9*4,季度经营税费!AL178-季度经营税费!AL179-季度经营税费!AL175-AL121+AL127+季度经营税费!AL169+AL122-AL123-AL124-AL125,0)</f>
        <v>91.875066802008462</v>
      </c>
      <c r="AM131" s="9">
        <f>IF(35&lt;=核心参数输入!$B$9*4,季度经营税费!AM178-季度经营税费!AM179-季度经营税费!AM175-AM121+AM127+季度经营税费!AM169+AM122-AM123-AM124-AM125,0)</f>
        <v>91.875066802008462</v>
      </c>
      <c r="AN131" s="9">
        <f>IF(36&lt;=核心参数输入!$B$9*4,季度经营税费!AN178-季度经营税费!AN179-季度经营税费!AN175-AN121+AN127+季度经营税费!AN169+AN122-AN123-AN124-AN125,0)</f>
        <v>-4171.3392189122769</v>
      </c>
      <c r="AO131" s="9">
        <f>IF(37&lt;=核心参数输入!$B$9*4,季度经营税费!AO178-季度经营税费!AO179-季度经营税费!AO175-AO121+AO127+季度经营税费!AO169+AO122-AO123-AO124-AO125,0)</f>
        <v>139.86416250283847</v>
      </c>
      <c r="AP131" s="9">
        <f>IF(38&lt;=核心参数输入!$B$9*4,季度经营税费!AP178-季度经营税费!AP179-季度经营税费!AP175-AP121+AP127+季度经营税费!AP169+AP122-AP123-AP124-AP125,0)</f>
        <v>139.86416250283847</v>
      </c>
      <c r="AQ131" s="9">
        <f>IF(39&lt;=核心参数输入!$B$9*4,季度经营税费!AQ178-季度经营税费!AQ179-季度经营税费!AQ175-AQ121+AQ127+季度经营税费!AQ169+AQ122-AQ123-AQ124-AQ125,0)</f>
        <v>139.86416250283847</v>
      </c>
      <c r="AR131" s="9">
        <f>IF(40&lt;=核心参数输入!$B$9*4,季度经营税费!AR178-季度经营税费!AR179-季度经营税费!AR175-AR121+AR127+季度经营税费!AR169+AR122-AR123-AR124-AR125,0)</f>
        <v>-4123.350123211445</v>
      </c>
      <c r="AS131" s="9">
        <f>IF(41&lt;=核心参数输入!$B$9*4,季度经营税费!AS178-季度经营税费!AS179-季度经营税费!AS175-AS121+AS127+季度经营税费!AS169+AS122-AS123-AS124-AS125,0)</f>
        <v>187.88981403315699</v>
      </c>
      <c r="AT131" s="9">
        <f>IF(42&lt;=核心参数输入!$B$9*4,季度经营税费!AT178-季度经营税费!AT179-季度经营税费!AT175-AT121+AT127+季度经营税费!AT169+AT122-AT123-AT124-AT125,0)</f>
        <v>187.88981403315699</v>
      </c>
      <c r="AU131" s="9">
        <f>IF(43&lt;=核心参数输入!$B$9*4,季度经营税费!AU178-季度经营税费!AU179-季度经营税费!AU175-AU121+AU127+季度经营税费!AU169+AU122-AU123-AU124-AU125,0)</f>
        <v>187.88981403315699</v>
      </c>
      <c r="AV131" s="9">
        <f>IF(44&lt;=核心参数输入!$B$9*4,季度经营税费!AV178-季度经营税费!AV179-季度经营税费!AV175-AV121+AV127+季度经营税费!AV169+AV122-AV123-AV124-AV125,0)</f>
        <v>187.88981403315699</v>
      </c>
      <c r="AW131" s="9">
        <f>IF(45&lt;=核心参数输入!$B$9*4,季度经营税费!AW178-季度经营税费!AW179-季度经营税费!AW175-AW121+AW127+季度经营税费!AW169+AW122-AW123-AW124-AW125,0)</f>
        <v>190.95240411828576</v>
      </c>
      <c r="AX131" s="9">
        <f>IF(46&lt;=核心参数输入!$B$9*4,季度经营税费!AX178-季度经营税费!AX179-季度经营税费!AX175-AX121+AX127+季度经营税费!AX169+AX122-AX123-AX124-AX125,0)</f>
        <v>190.95240411828576</v>
      </c>
      <c r="AY131" s="9">
        <f>IF(47&lt;=核心参数输入!$B$9*4,季度经营税费!AY178-季度经营税费!AY179-季度经营税费!AY175-AY121+AY127+季度经营税费!AY169+AY122-AY123-AY124-AY125,0)</f>
        <v>190.95240411828576</v>
      </c>
      <c r="AZ131" s="9">
        <f>IF(48&lt;=核心参数输入!$B$9*4,季度经营税费!AZ178-季度经营税费!AZ179-季度经营税费!AZ175-AZ121+AZ127+季度经营税费!AZ169+AZ122-AZ123-AZ124-AZ125,0)</f>
        <v>190.95240411828576</v>
      </c>
      <c r="BA131" s="9">
        <f>IF(49&lt;=核心参数输入!$B$9*4,季度经营税费!BA178-季度经营税费!BA179-季度经营税费!BA175-BA121+BA127+季度经营税费!BA169+BA122-BA123-BA124-BA125,0)</f>
        <v>194.05231791218421</v>
      </c>
      <c r="BB131" s="9">
        <f>IF(50&lt;=核心参数输入!$B$9*4,季度经营税费!BB178-季度经营税费!BB179-季度经营税费!BB175-BB121+BB127+季度经营税费!BB169+BB122-BB123-BB124-BB125,0)</f>
        <v>194.05231791218421</v>
      </c>
      <c r="BC131" s="9">
        <f>IF(51&lt;=核心参数输入!$B$9*4,季度经营税费!BC178-季度经营税费!BC179-季度经营税费!BC175-BC121+BC127+季度经营税费!BC169+BC122-BC123-BC124-BC125,0)</f>
        <v>194.05231791218421</v>
      </c>
      <c r="BD131" s="9">
        <f>IF(52&lt;=核心参数输入!$B$9*4,季度经营税费!BD178-季度经营税费!BD179-季度经营税费!BD175-BD121+BD127+季度经营税费!BD169+BD122-BD123-BD124-BD125,0)</f>
        <v>194.05231791218421</v>
      </c>
      <c r="BE131" s="9">
        <f>IF(53&lt;=核心参数输入!$B$9*4,季度经营税费!BE178-季度经营税费!BE179-季度经营税费!BE175-BE121+BE127+季度经营税费!BE169+BE122-BE123-BE124-BE125,0)</f>
        <v>197.18994296763356</v>
      </c>
      <c r="BF131" s="9">
        <f>IF(54&lt;=核心参数输入!$B$9*4,季度经营税费!BF178-季度经营税费!BF179-季度经营税费!BF175-BF121+BF127+季度经营税费!BF169+BF122-BF123-BF124-BF125,0)</f>
        <v>197.18994296763356</v>
      </c>
      <c r="BG131" s="9">
        <f>IF(55&lt;=核心参数输入!$B$9*4,季度经营税费!BG178-季度经营税费!BG179-季度经营税费!BG175-BG121+BG127+季度经营税费!BG169+BG122-BG123-BG124-BG125,0)</f>
        <v>197.18994296763356</v>
      </c>
      <c r="BH131" s="9">
        <f>IF(56&lt;=核心参数输入!$B$9*4,季度经营税费!BH178-季度经营税费!BH179-季度经营税费!BH175-BH121+BH127+季度经营税费!BH169+BH122-BH123-BH124-BH125,0)</f>
        <v>197.18994296763356</v>
      </c>
      <c r="BI131" s="9">
        <f>IF(57&lt;=核心参数输入!$B$9*4,季度经营税费!BI178-季度经营税费!BI179-季度经营税费!BI175-BI121+BI127+季度经营税费!BI169+BI122-BI123-BI124-BI125,0)</f>
        <v>200.36566920464995</v>
      </c>
      <c r="BJ131" s="9">
        <f>IF(58&lt;=核心参数输入!$B$9*4,季度经营税费!BJ178-季度经营税费!BJ179-季度经营税费!BJ175-BJ121+BJ127+季度经营税费!BJ169+BJ122-BJ123-BJ124-BJ125,0)</f>
        <v>200.36566920464995</v>
      </c>
      <c r="BK131" s="9">
        <f>IF(59&lt;=核心参数输入!$B$9*4,季度经营税费!BK178-季度经营税费!BK179-季度经营税费!BK175-BK121+BK127+季度经营税费!BK169+BK122-BK123-BK124-BK125,0)</f>
        <v>200.36566920464995</v>
      </c>
      <c r="BL131" s="9">
        <f>IF(60&lt;=核心参数输入!$B$9*4,季度经营税费!BL178-季度经营税费!BL179-季度经营税费!BL175-BL121+BL127+季度经营税费!BL169+BL122-BL123-BL124-BL125,0)</f>
        <v>200.36566920464995</v>
      </c>
      <c r="BM131" s="9">
        <f>IF(61&lt;=核心参数输入!$B$9*4,季度经营税费!BM178-季度经营税费!BM179-季度经营税费!BM175-BM121+BM127+季度经营税费!BM169+BM122-BM123-BM124-BM125,0)</f>
        <v>203.57988887707162</v>
      </c>
      <c r="BN131" s="9">
        <f>IF(62&lt;=核心参数输入!$B$9*4,季度经营税费!BN178-季度经营税费!BN179-季度经营税费!BN175-BN121+BN127+季度经营税费!BN169+BN122-BN123-BN124-BN125,0)</f>
        <v>203.57988887707162</v>
      </c>
      <c r="BO131" s="9">
        <f>IF(63&lt;=核心参数输入!$B$9*4,季度经营税费!BO178-季度经营税费!BO179-季度经营税费!BO175-BO121+BO127+季度经营税费!BO169+BO122-BO123-BO124-BO125,0)</f>
        <v>203.57988887707162</v>
      </c>
      <c r="BP131" s="9">
        <f>IF(64&lt;=核心参数输入!$B$9*4,季度经营税费!BP178-季度经营税费!BP179-季度经营税费!BP175-BP121+BP127+季度经营税费!BP169+BP122-BP123-BP124-BP125,0)</f>
        <v>203.57988887707162</v>
      </c>
      <c r="BQ131" s="9">
        <f>IF(65&lt;=核心参数输入!$B$9*4,季度经营税费!BQ178-季度经营税费!BQ179-季度经营税费!BQ175-BQ121+BQ127+季度经营税费!BQ169+BQ122-BQ123-BQ124-BQ125,0)</f>
        <v>206.83299653726678</v>
      </c>
      <c r="BR131" s="9">
        <f>IF(66&lt;=核心参数输入!$B$9*4,季度经营税费!BR178-季度经营税费!BR179-季度经营税费!BR175-BR121+BR127+季度经营税费!BR169+BR122-BR123-BR124-BR125,0)</f>
        <v>206.83299653726678</v>
      </c>
      <c r="BS131" s="9">
        <f>IF(67&lt;=核心参数输入!$B$9*4,季度经营税费!BS178-季度经营税费!BS179-季度经营税费!BS175-BS121+BS127+季度经营税费!BS169+BS122-BS123-BS124-BS125,0)</f>
        <v>206.83299653726678</v>
      </c>
      <c r="BT131" s="9">
        <f>IF(68&lt;=核心参数输入!$B$9*4,季度经营税费!BT178-季度经营税费!BT179-季度经营税费!BT175-BT121+BT127+季度经营税费!BT169+BT122-BT123-BT124-BT125,0)</f>
        <v>206.83299653726678</v>
      </c>
      <c r="BU131" s="9">
        <f>IF(69&lt;=核心参数输入!$B$9*4,季度经营税费!BU178-季度经营税费!BU179-季度经营税费!BU175-BU121+BU127+季度经营税费!BU169+BU122-BU123-BU124-BU125,0)</f>
        <v>210.12538899890549</v>
      </c>
      <c r="BV131" s="9">
        <f>IF(70&lt;=核心参数输入!$B$9*4,季度经营税费!BV178-季度经营税费!BV179-季度经营税费!BV175-BV121+BV127+季度经营税费!BV169+BV122-BV123-BV124-BV125,0)</f>
        <v>210.12538899890549</v>
      </c>
      <c r="BW131" s="9">
        <f>IF(71&lt;=核心参数输入!$B$9*4,季度经营税费!BW178-季度经营税费!BW179-季度经营税费!BW175-BW121+BW127+季度经营税费!BW169+BW122-BW123-BW124-BW125,0)</f>
        <v>210.12538899890549</v>
      </c>
      <c r="BX131" s="9">
        <f>IF(72&lt;=核心参数输入!$B$9*4,季度经营税费!BX178-季度经营税费!BX179-季度经营税费!BX175-BX121+BX127+季度经营税费!BX169+BX122-BX123-BX124-BX125,0)</f>
        <v>210.12538899890549</v>
      </c>
      <c r="BY131" s="9">
        <f>IF(73&lt;=核心参数输入!$B$9*4,季度经营税费!BY178-季度经营税费!BY179-季度经营税费!BY175-BY121+BY127+季度经营税费!BY169+BY122-BY123-BY124-BY125,0)</f>
        <v>213.45746529774047</v>
      </c>
      <c r="BZ131" s="9">
        <f>IF(74&lt;=核心参数输入!$B$9*4,季度经营税费!BZ178-季度经营税费!BZ179-季度经营税费!BZ175-BZ121+BZ127+季度经营税费!BZ169+BZ122-BZ123-BZ124-BZ125,0)</f>
        <v>213.45746529774047</v>
      </c>
      <c r="CA131" s="9">
        <f>IF(75&lt;=核心参数输入!$B$9*4,季度经营税费!CA178-季度经营税费!CA179-季度经营税费!CA175-CA121+CA127+季度经营税费!CA169+CA122-CA123-CA124-CA125,0)</f>
        <v>213.45746529774047</v>
      </c>
      <c r="CB131" s="9">
        <f>IF(76&lt;=核心参数输入!$B$9*4,季度经营税费!CB178-季度经营税费!CB179-季度经营税费!CB175-CB121+CB127+季度经营税费!CB169+CB122-CB123-CB124-CB125,0)</f>
        <v>213.45746529774047</v>
      </c>
      <c r="CC131" s="9">
        <f>IF(77&lt;=核心参数输入!$B$9*4,季度经营税费!CC178-季度经营税费!CC179-季度经营税费!CC175-CC121+CC127+季度经营税费!CC169+CC122-CC123-CC124-CC125,0)</f>
        <v>216.829626650335</v>
      </c>
      <c r="CD131" s="9">
        <f>IF(78&lt;=核心参数输入!$B$9*4,季度经营税费!CD178-季度经营税费!CD179-季度经营税费!CD175-CD121+CD127+季度经营税费!CD169+CD122-CD123-CD124-CD125,0)</f>
        <v>216.829626650335</v>
      </c>
      <c r="CE131" s="9">
        <f>IF(79&lt;=核心参数输入!$B$9*4,季度经营税费!CE178-季度经营税费!CE179-季度经营税费!CE175-CE121+CE127+季度经营税费!CE169+CE122-CE123-CE124-CE125,0)</f>
        <v>216.829626650335</v>
      </c>
      <c r="CF131" s="9">
        <f>IF(80&lt;=核心参数输入!$B$9*4,季度经营税费!CF178-季度经营税费!CF179-季度经营税费!CF175-CF121+CF127+季度经营税费!CF169+CF122-CF123-CF124-CF125,0)</f>
        <v>26398.866466084357</v>
      </c>
      <c r="CG131" s="9">
        <f>IF(81&lt;=核心参数输入!$B$9*4,季度经营税费!CG178-季度经营税费!CG179-季度经营税费!CG175-CG121+CG127+季度经营税费!CG169+CG122-CG123-CG124-CG125,0)</f>
        <v>0</v>
      </c>
      <c r="CH131" s="9">
        <f>IF(82&lt;=核心参数输入!$B$9*4,季度经营税费!CH178-季度经营税费!CH179-季度经营税费!CH175-CH121+CH127+季度经营税费!CH169+CH122-CH123-CH124-CH125,0)</f>
        <v>0</v>
      </c>
      <c r="CI131" s="9">
        <f>IF(83&lt;=核心参数输入!$B$9*4,季度经营税费!CI178-季度经营税费!CI179-季度经营税费!CI175-CI121+CI127+季度经营税费!CI169+CI122-CI123-CI124-CI125,0)</f>
        <v>0</v>
      </c>
      <c r="CJ131" s="9">
        <f>IF(84&lt;=核心参数输入!$B$9*4,季度经营税费!CJ178-季度经营税费!CJ179-季度经营税费!CJ175-CJ121+CJ127+季度经营税费!CJ169+CJ122-CJ123-CJ124-CJ125,0)</f>
        <v>0</v>
      </c>
      <c r="CK131" s="9">
        <f>IF(85&lt;=核心参数输入!$B$9*4,季度经营税费!CK178-季度经营税费!CK179-季度经营税费!CK175-CK121+CK127+季度经营税费!CK169+CK122-CK123-CK124-CK125,0)</f>
        <v>0</v>
      </c>
      <c r="CL131" s="9">
        <f>IF(86&lt;=核心参数输入!$B$9*4,季度经营税费!CL178-季度经营税费!CL179-季度经营税费!CL175-CL121+CL127+季度经营税费!CL169+CL122-CL123-CL124-CL125,0)</f>
        <v>0</v>
      </c>
      <c r="CM131" s="9">
        <f>IF(87&lt;=核心参数输入!$B$9*4,季度经营税费!CM178-季度经营税费!CM179-季度经营税费!CM175-CM121+CM127+季度经营税费!CM169+CM122-CM123-CM124-CM125,0)</f>
        <v>0</v>
      </c>
      <c r="CN131" s="9">
        <f>IF(88&lt;=核心参数输入!$B$9*4,季度经营税费!CN178-季度经营税费!CN179-季度经营税费!CN175-CN121+CN127+季度经营税费!CN169+CN122-CN123-CN124-CN125,0)</f>
        <v>0</v>
      </c>
      <c r="CO131" s="9">
        <f>IF(89&lt;=核心参数输入!$B$9*4,季度经营税费!CO178-季度经营税费!CO179-季度经营税费!CO175-CO121+CO127+季度经营税费!CO169+CO122-CO123-CO124-CO125,0)</f>
        <v>0</v>
      </c>
      <c r="CP131" s="9">
        <f>IF(90&lt;=核心参数输入!$B$9*4,季度经营税费!CP178-季度经营税费!CP179-季度经营税费!CP175-CP121+CP127+季度经营税费!CP169+CP122-CP123-CP124-CP125,0)</f>
        <v>0</v>
      </c>
      <c r="CQ131" s="9">
        <f>IF(91&lt;=核心参数输入!$B$9*4,季度经营税费!CQ178-季度经营税费!CQ179-季度经营税费!CQ175-CQ121+CQ127+季度经营税费!CQ169+CQ122-CQ123-CQ124-CQ125,0)</f>
        <v>0</v>
      </c>
      <c r="CR131" s="9">
        <f>IF(92&lt;=核心参数输入!$B$9*4,季度经营税费!CR178-季度经营税费!CR179-季度经营税费!CR175-CR121+CR127+季度经营税费!CR169+CR122-CR123-CR124-CR125,0)</f>
        <v>0</v>
      </c>
      <c r="CS131" s="9">
        <f>IF(93&lt;=核心参数输入!$B$9*4,季度经营税费!CS178-季度经营税费!CS179-季度经营税费!CS175-CS121+CS127+季度经营税费!CS169+CS122-CS123-CS124-CS125,0)</f>
        <v>0</v>
      </c>
      <c r="CT131" s="9">
        <f>IF(94&lt;=核心参数输入!$B$9*4,季度经营税费!CT178-季度经营税费!CT179-季度经营税费!CT175-CT121+CT127+季度经营税费!CT169+CT122-CT123-CT124-CT125,0)</f>
        <v>0</v>
      </c>
      <c r="CU131" s="9">
        <f>IF(95&lt;=核心参数输入!$B$9*4,季度经营税费!CU178-季度经营税费!CU179-季度经营税费!CU175-CU121+CU127+季度经营税费!CU169+CU122-CU123-CU124-CU125,0)</f>
        <v>0</v>
      </c>
      <c r="CV131" s="9">
        <f>IF(96&lt;=核心参数输入!$B$9*4,季度经营税费!CV178-季度经营税费!CV179-季度经营税费!CV175-CV121+CV127+季度经营税费!CV169+CV122-CV123-CV124-CV125,0)</f>
        <v>0</v>
      </c>
      <c r="CW131" s="9">
        <f>IF(97&lt;=核心参数输入!$B$9*4,季度经营税费!CW178-季度经营税费!CW179-季度经营税费!CW175-CW121+CW127+季度经营税费!CW169+CW122-CW123-CW124-CW125,0)</f>
        <v>0</v>
      </c>
      <c r="CX131" s="9">
        <f>IF(98&lt;=核心参数输入!$B$9*4,季度经营税费!CX178-季度经营税费!CX179-季度经营税费!CX175-CX121+CX127+季度经营税费!CX169+CX122-CX123-CX124-CX125,0)</f>
        <v>0</v>
      </c>
      <c r="CY131" s="9">
        <f>IF(99&lt;=核心参数输入!$B$9*4,季度经营税费!CY178-季度经营税费!CY179-季度经营税费!CY175-CY121+CY127+季度经营税费!CY169+CY122-CY123-CY124-CY125,0)</f>
        <v>0</v>
      </c>
      <c r="CZ131" s="9">
        <f>IF(100&lt;=核心参数输入!$B$9*4,季度经营税费!CZ178-季度经营税费!CZ179-季度经营税费!CZ175-CZ121+CZ127+季度经营税费!CZ169+CZ122-CZ123-CZ124-CZ125,0)</f>
        <v>0</v>
      </c>
      <c r="DA131" s="9">
        <f>IF(101&lt;=核心参数输入!$B$9*4,季度经营税费!DA178-季度经营税费!DA179-季度经营税费!DA175-DA121+DA127+季度经营税费!DA169+DA122-DA123-DA124-DA125,0)</f>
        <v>0</v>
      </c>
      <c r="DB131" s="9">
        <f>IF(102&lt;=核心参数输入!$B$9*4,季度经营税费!DB178-季度经营税费!DB179-季度经营税费!DB175-DB121+DB127+季度经营税费!DB169+DB122-DB123-DB124-DB125,0)</f>
        <v>0</v>
      </c>
      <c r="DC131" s="9">
        <f>IF(103&lt;=核心参数输入!$B$9*4,季度经营税费!DC178-季度经营税费!DC179-季度经营税费!DC175-DC121+DC127+季度经营税费!DC169+DC122-DC123-DC124-DC125,0)</f>
        <v>0</v>
      </c>
      <c r="DD131" s="9">
        <f>IF(104&lt;=核心参数输入!$B$9*4,季度经营税费!DD178-季度经营税费!DD179-季度经营税费!DD175-DD121+DD127+季度经营税费!DD169+DD122-DD123-DD124-DD125,0)</f>
        <v>0</v>
      </c>
      <c r="DE131" s="9">
        <f>IF(105&lt;=核心参数输入!$B$9*4,季度经营税费!DE178-季度经营税费!DE179-季度经营税费!DE175-DE121+DE127+季度经营税费!DE169+DE122-DE123-DE124-DE125,0)</f>
        <v>0</v>
      </c>
      <c r="DF131" s="9">
        <f>IF(106&lt;=核心参数输入!$B$9*4,季度经营税费!DF178-季度经营税费!DF179-季度经营税费!DF175-DF121+DF127+季度经营税费!DF169+DF122-DF123-DF124-DF125,0)</f>
        <v>0</v>
      </c>
      <c r="DG131" s="9">
        <f>IF(107&lt;=核心参数输入!$B$9*4,季度经营税费!DG178-季度经营税费!DG179-季度经营税费!DG175-DG121+DG127+季度经营税费!DG169+DG122-DG123-DG124-DG125,0)</f>
        <v>0</v>
      </c>
      <c r="DH131" s="9">
        <f>IF(108&lt;=核心参数输入!$B$9*4,季度经营税费!DH178-季度经营税费!DH179-季度经营税费!DH175-DH121+DH127+季度经营税费!DH169+DH122-DH123-DH124-DH125,0)</f>
        <v>0</v>
      </c>
      <c r="DI131" s="9">
        <f>IF(109&lt;=核心参数输入!$B$9*4,季度经营税费!DI178-季度经营税费!DI179-季度经营税费!DI175-DI121+DI127+季度经营税费!DI169+DI122-DI123-DI124-DI125,0)</f>
        <v>0</v>
      </c>
      <c r="DJ131" s="9">
        <f>IF(110&lt;=核心参数输入!$B$9*4,季度经营税费!DJ178-季度经营税费!DJ179-季度经营税费!DJ175-DJ121+DJ127+季度经营税费!DJ169+DJ122-DJ123-DJ124-DJ125,0)</f>
        <v>0</v>
      </c>
      <c r="DK131" s="9">
        <f>IF(111&lt;=核心参数输入!$B$9*4,季度经营税费!DK178-季度经营税费!DK179-季度经营税费!DK175-DK121+DK127+季度经营税费!DK169+DK122-DK123-DK124-DK125,0)</f>
        <v>0</v>
      </c>
      <c r="DL131" s="9">
        <f>IF(112&lt;=核心参数输入!$B$9*4,季度经营税费!DL178-季度经营税费!DL179-季度经营税费!DL175-DL121+DL127+季度经营税费!DL169+DL122-DL123-DL124-DL125,0)</f>
        <v>0</v>
      </c>
      <c r="DM131" s="9">
        <f>IF(113&lt;=核心参数输入!$B$9*4,季度经营税费!DM178-季度经营税费!DM179-季度经营税费!DM175-DM121+DM127+季度经营税费!DM169+DM122-DM123-DM124-DM125,0)</f>
        <v>0</v>
      </c>
      <c r="DN131" s="9">
        <f>IF(114&lt;=核心参数输入!$B$9*4,季度经营税费!DN178-季度经营税费!DN179-季度经营税费!DN175-DN121+DN127+季度经营税费!DN169+DN122-DN123-DN124-DN125,0)</f>
        <v>0</v>
      </c>
      <c r="DO131" s="9">
        <f>IF(115&lt;=核心参数输入!$B$9*4,季度经营税费!DO178-季度经营税费!DO179-季度经营税费!DO175-DO121+DO127+季度经营税费!DO169+DO122-DO123-DO124-DO125,0)</f>
        <v>0</v>
      </c>
      <c r="DP131" s="9">
        <f>IF(116&lt;=核心参数输入!$B$9*4,季度经营税费!DP178-季度经营税费!DP179-季度经营税费!DP175-DP121+DP127+季度经营税费!DP169+DP122-DP123-DP124-DP125,0)</f>
        <v>0</v>
      </c>
      <c r="DQ131" s="9">
        <f>IF(117&lt;=核心参数输入!$B$9*4,季度经营税费!DQ178-季度经营税费!DQ179-季度经营税费!DQ175-DQ121+DQ127+季度经营税费!DQ169+DQ122-DQ123-DQ124-DQ125,0)</f>
        <v>0</v>
      </c>
      <c r="DR131" s="9">
        <f>IF(118&lt;=核心参数输入!$B$9*4,季度经营税费!DR178-季度经营税费!DR179-季度经营税费!DR175-DR121+DR127+季度经营税费!DR169+DR122-DR123-DR124-DR125,0)</f>
        <v>0</v>
      </c>
      <c r="DS131" s="9">
        <f>IF(119&lt;=核心参数输入!$B$9*4,季度经营税费!DS178-季度经营税费!DS179-季度经营税费!DS175-DS121+DS127+季度经营税费!DS169+DS122-DS123-DS124-DS125,0)</f>
        <v>0</v>
      </c>
      <c r="DT131" s="9">
        <f>IF(120&lt;=核心参数输入!$B$9*4,季度经营税费!DT178-季度经营税费!DT179-季度经营税费!DT175-DT121+DT127+季度经营税费!DT169+DT122-DT123-DT124-DT125,0)</f>
        <v>0</v>
      </c>
    </row>
    <row r="132" spans="1:124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</row>
    <row r="133" spans="1:124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</row>
    <row r="134" spans="1:124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</row>
    <row r="135" spans="1:124" ht="21" customHeight="1">
      <c r="A135" s="8" t="s">
        <v>521</v>
      </c>
      <c r="B135" s="8" t="s">
        <v>39</v>
      </c>
      <c r="C135" s="8"/>
      <c r="D135" s="9">
        <f>IF(0&lt;=核心参数输入!$B$9*4,IF(0&lt;核心参数输入!$B$9*4,MAX(0,季度现金流!E135-季度现金流!E130),0),0)</f>
        <v>30102.000000000007</v>
      </c>
      <c r="E135" s="9">
        <f>IF(1&lt;=核心参数输入!$B$9*4,IF(1&lt;核心参数输入!$B$9*4,MAX(0,季度现金流!F135-季度现金流!F130),0),0)</f>
        <v>27974.287500000006</v>
      </c>
      <c r="F135" s="9">
        <f>IF(2&lt;=核心参数输入!$B$9*4,IF(2&lt;核心参数输入!$B$9*4,MAX(0,季度现金流!G135-季度现金流!G130),0),0)</f>
        <v>25822.950000000004</v>
      </c>
      <c r="G135" s="9">
        <f>IF(3&lt;=核心参数输入!$B$9*4,IF(3&lt;核心参数输入!$B$9*4,MAX(0,季度现金流!H135-季度现金流!H130),0),0)</f>
        <v>23647.987500000003</v>
      </c>
      <c r="H135" s="9">
        <f>IF(4&lt;=核心参数输入!$B$9*4,IF(4&lt;核心参数输入!$B$9*4,MAX(0,季度现金流!I135-季度现金流!I130),0),0)</f>
        <v>21449.4</v>
      </c>
      <c r="I135" s="9">
        <f>IF(5&lt;=核心参数输入!$B$9*4,IF(5&lt;核心参数输入!$B$9*4,MAX(0,季度现金流!J135-季度现金流!J130),0),0)</f>
        <v>18517.95</v>
      </c>
      <c r="J135" s="9">
        <f>IF(6&lt;=核心参数输入!$B$9*4,IF(6&lt;核心参数输入!$B$9*4,MAX(0,季度现金流!K135-季度现金流!K130),0),0)</f>
        <v>15555</v>
      </c>
      <c r="K135" s="9">
        <f>IF(7&lt;=核心参数输入!$B$9*4,IF(7&lt;核心参数输入!$B$9*4,MAX(0,季度现金流!L135-季度现金流!L130),0),0)</f>
        <v>12560.55</v>
      </c>
      <c r="L135" s="9">
        <f>IF(8&lt;=核心参数输入!$B$9*4,IF(8&lt;核心参数输入!$B$9*4,MAX(0,季度现金流!M135-季度现金流!M130),0),0)</f>
        <v>9534.5999999999985</v>
      </c>
      <c r="M135" s="9">
        <f>IF(9&lt;=核心参数输入!$B$9*4,IF(9&lt;核心参数输入!$B$9*4,MAX(0,季度现金流!N135-季度现金流!N130),0),0)</f>
        <v>7186.3874999999989</v>
      </c>
      <c r="N135" s="9">
        <f>IF(10&lt;=核心参数输入!$B$9*4,IF(10&lt;核心参数输入!$B$9*4,MAX(0,季度现金流!O135-季度现金流!O130),0),0)</f>
        <v>4814.5499999999993</v>
      </c>
      <c r="O135" s="9">
        <f>IF(11&lt;=核心参数输入!$B$9*4,IF(11&lt;核心参数输入!$B$9*4,MAX(0,季度现金流!P135-季度现金流!P130),0),0)</f>
        <v>2419.0874999999996</v>
      </c>
      <c r="P135" s="9">
        <f>IF(12&lt;=核心参数输入!$B$9*4,IF(12&lt;核心参数输入!$B$9*4,MAX(0,季度现金流!Q135-季度现金流!Q130),0),0)</f>
        <v>0</v>
      </c>
      <c r="Q135" s="9">
        <f>IF(13&lt;=核心参数输入!$B$9*4,IF(13&lt;核心参数输入!$B$9*4,MAX(0,季度现金流!R135-季度现金流!R130),0),0)</f>
        <v>0</v>
      </c>
      <c r="R135" s="9">
        <f>IF(14&lt;=核心参数输入!$B$9*4,IF(14&lt;核心参数输入!$B$9*4,MAX(0,季度现金流!S135-季度现金流!S130),0),0)</f>
        <v>0</v>
      </c>
      <c r="S135" s="9">
        <f>IF(15&lt;=核心参数输入!$B$9*4,IF(15&lt;核心参数输入!$B$9*4,MAX(0,季度现金流!T135-季度现金流!T130),0),0)</f>
        <v>1692.723284539285</v>
      </c>
      <c r="T135" s="9">
        <f>IF(16&lt;=核心参数输入!$B$9*4,IF(16&lt;核心参数输入!$B$9*4,MAX(0,季度现金流!U135-季度现金流!U130),0),0)</f>
        <v>0</v>
      </c>
      <c r="U135" s="9">
        <f>IF(17&lt;=核心参数输入!$B$9*4,IF(17&lt;核心参数输入!$B$9*4,MAX(0,季度现金流!V135-季度现金流!V130),0),0)</f>
        <v>1032.9262538743155</v>
      </c>
      <c r="V135" s="9">
        <f>IF(18&lt;=核心参数输入!$B$9*4,IF(18&lt;核心参数输入!$B$9*4,MAX(0,季度现金流!W135-季度现金流!W130),0),0)</f>
        <v>4683.9769871049029</v>
      </c>
      <c r="W135" s="9">
        <f>IF(19&lt;=核心参数输入!$B$9*4,IF(19&lt;核心参数输入!$B$9*4,MAX(0,季度现金流!X135-季度现金流!X130),0),0)</f>
        <v>8353.2637624802646</v>
      </c>
      <c r="X135" s="9">
        <f>IF(20&lt;=核心参数输入!$B$9*4,IF(20&lt;核心参数输入!$B$9*4,MAX(0,季度现金流!Y135-季度现金流!Y130),0),0)</f>
        <v>7777.5722942861175</v>
      </c>
      <c r="Y135" s="9">
        <f>IF(21&lt;=核心参数输入!$B$9*4,IF(21&lt;核心参数输入!$B$9*4,MAX(0,季度现金流!Z135-季度现金流!Z130),0),0)</f>
        <v>10883.832652471003</v>
      </c>
      <c r="Z135" s="9">
        <f>IF(22&lt;=核心参数输入!$B$9*4,IF(22&lt;核心参数输入!$B$9*4,MAX(0,季度现金流!AA135-季度现金流!AA130),0),0)</f>
        <v>13680.517020585718</v>
      </c>
      <c r="AA135" s="9">
        <f>IF(23&lt;=核心参数输入!$B$9*4,IF(23&lt;核心参数输入!$B$9*4,MAX(0,季度现金流!AB135-季度现金流!AB130),0),0)</f>
        <v>16491.083575783141</v>
      </c>
      <c r="AB135" s="9">
        <f>IF(24&lt;=核心参数输入!$B$9*4,IF(24&lt;核心参数输入!$B$9*4,MAX(0,季度现金流!AC135-季度现金流!AC130),0),0)</f>
        <v>15052.318032348991</v>
      </c>
      <c r="AC135" s="9">
        <f>IF(25&lt;=核心参数输入!$B$9*4,IF(25&lt;核心参数输入!$B$9*4,MAX(0,季度现金流!AD135-季度现金流!AD130),0),0)</f>
        <v>15999.806245183529</v>
      </c>
      <c r="AD135" s="9">
        <f>IF(26&lt;=核心参数输入!$B$9*4,IF(26&lt;核心参数输入!$B$9*4,MAX(0,季度现金流!AE135-季度现金流!AE130),0),0)</f>
        <v>15979.372446277366</v>
      </c>
      <c r="AE135" s="9">
        <f>IF(27&lt;=核心参数输入!$B$9*4,IF(27&lt;核心参数输入!$B$9*4,MAX(0,季度现金流!AF135-季度现金流!AF130),0),0)</f>
        <v>15963.635454000854</v>
      </c>
      <c r="AF135" s="9">
        <f>IF(28&lt;=核心参数输入!$B$9*4,IF(28&lt;核心参数输入!$B$9*4,MAX(0,季度现金流!AG135-季度现金流!AG130),0),0)</f>
        <v>11689.380982639706</v>
      </c>
      <c r="AG135" s="9">
        <f>IF(29&lt;=核心参数输入!$B$9*4,IF(29&lt;核心参数输入!$B$9*4,MAX(0,季度现金流!AH135-季度现金流!AH130),0),0)</f>
        <v>11730.919499937236</v>
      </c>
      <c r="AH135" s="9">
        <f>IF(30&lt;=核心参数输入!$B$9*4,IF(30&lt;核心参数输入!$B$9*4,MAX(0,季度现金流!AI135-季度现金流!AI130),0),0)</f>
        <v>11774.841646599312</v>
      </c>
      <c r="AI135" s="9">
        <f>IF(31&lt;=核心参数输入!$B$9*4,IF(31&lt;核心参数输入!$B$9*4,MAX(0,季度现金流!AJ135-季度现金流!AJ130),0),0)</f>
        <v>11818.763793261389</v>
      </c>
      <c r="AJ135" s="9">
        <f>IF(32&lt;=核心参数输入!$B$9*4,IF(32&lt;核心参数输入!$B$9*4,MAX(0,季度现金流!AK135-季度现金流!AK130),0),0)</f>
        <v>7599.471654209181</v>
      </c>
      <c r="AK135" s="9">
        <f>IF(33&lt;=核心参数输入!$B$9*4,IF(33&lt;核心参数输入!$B$9*4,MAX(0,季度现金流!AL135-季度现金流!AL130),0),0)</f>
        <v>7691.3467210111894</v>
      </c>
      <c r="AL135" s="9">
        <f>IF(34&lt;=核心参数输入!$B$9*4,IF(34&lt;核心参数输入!$B$9*4,MAX(0,季度现金流!AM135-季度现金流!AM130),0),0)</f>
        <v>7783.2217878131978</v>
      </c>
      <c r="AM135" s="9">
        <f>IF(35&lt;=核心参数输入!$B$9*4,IF(35&lt;核心参数输入!$B$9*4,MAX(0,季度现金流!AN135-季度现金流!AN130),0),0)</f>
        <v>7875.0968546152062</v>
      </c>
      <c r="AN135" s="9">
        <f>IF(36&lt;=核心参数输入!$B$9*4,IF(36&lt;核心参数输入!$B$9*4,MAX(0,季度现金流!AO135-季度现金流!AO130),0),0)</f>
        <v>3703.7576357029293</v>
      </c>
      <c r="AO135" s="9">
        <f>IF(37&lt;=核心参数输入!$B$9*4,IF(37&lt;核心参数输入!$B$9*4,MAX(0,季度现金流!AP135-季度现金流!AP130),0),0)</f>
        <v>3843.6217982057678</v>
      </c>
      <c r="AP135" s="9">
        <f>IF(38&lt;=核心参数输入!$B$9*4,IF(38&lt;核心参数输入!$B$9*4,MAX(0,季度现金流!AQ135-季度现金流!AQ130),0),0)</f>
        <v>3983.4859607086064</v>
      </c>
      <c r="AQ135" s="9">
        <f>IF(39&lt;=核心参数输入!$B$9*4,IF(39&lt;核心参数输入!$B$9*4,MAX(0,季度现金流!AR135-季度现金流!AR130),0),0)</f>
        <v>4123.350123211445</v>
      </c>
      <c r="AR135" s="9">
        <f>IF(40&lt;=核心参数输入!$B$9*4,IF(40&lt;核心参数输入!$B$9*4,MAX(0,季度现金流!AS135-季度现金流!AS130),0),0)</f>
        <v>0</v>
      </c>
      <c r="AS135" s="9">
        <f>IF(41&lt;=核心参数输入!$B$9*4,IF(41&lt;核心参数输入!$B$9*4,MAX(0,季度现金流!AT135-季度现金流!AT130),0),0)</f>
        <v>0</v>
      </c>
      <c r="AT135" s="9">
        <f>IF(42&lt;=核心参数输入!$B$9*4,IF(42&lt;核心参数输入!$B$9*4,MAX(0,季度现金流!AU135-季度现金流!AU130),0),0)</f>
        <v>0</v>
      </c>
      <c r="AU135" s="9">
        <f>IF(43&lt;=核心参数输入!$B$9*4,IF(43&lt;核心参数输入!$B$9*4,MAX(0,季度现金流!AV135-季度现金流!AV130),0),0)</f>
        <v>0</v>
      </c>
      <c r="AV135" s="9">
        <f>IF(44&lt;=核心参数输入!$B$9*4,IF(44&lt;核心参数输入!$B$9*4,MAX(0,季度现金流!AW135-季度现金流!AW130),0),0)</f>
        <v>0</v>
      </c>
      <c r="AW135" s="9">
        <f>IF(45&lt;=核心参数输入!$B$9*4,IF(45&lt;核心参数输入!$B$9*4,MAX(0,季度现金流!AX135-季度现金流!AX130),0),0)</f>
        <v>0</v>
      </c>
      <c r="AX135" s="9">
        <f>IF(46&lt;=核心参数输入!$B$9*4,IF(46&lt;核心参数输入!$B$9*4,MAX(0,季度现金流!AY135-季度现金流!AY130),0),0)</f>
        <v>0</v>
      </c>
      <c r="AY135" s="9">
        <f>IF(47&lt;=核心参数输入!$B$9*4,IF(47&lt;核心参数输入!$B$9*4,MAX(0,季度现金流!AZ135-季度现金流!AZ130),0),0)</f>
        <v>0</v>
      </c>
      <c r="AZ135" s="9">
        <f>IF(48&lt;=核心参数输入!$B$9*4,IF(48&lt;核心参数输入!$B$9*4,MAX(0,季度现金流!BA135-季度现金流!BA130),0),0)</f>
        <v>0</v>
      </c>
      <c r="BA135" s="9">
        <f>IF(49&lt;=核心参数输入!$B$9*4,IF(49&lt;核心参数输入!$B$9*4,MAX(0,季度现金流!BB135-季度现金流!BB130),0),0)</f>
        <v>0</v>
      </c>
      <c r="BB135" s="9">
        <f>IF(50&lt;=核心参数输入!$B$9*4,IF(50&lt;核心参数输入!$B$9*4,MAX(0,季度现金流!BC135-季度现金流!BC130),0),0)</f>
        <v>0</v>
      </c>
      <c r="BC135" s="9">
        <f>IF(51&lt;=核心参数输入!$B$9*4,IF(51&lt;核心参数输入!$B$9*4,MAX(0,季度现金流!BD135-季度现金流!BD130),0),0)</f>
        <v>0</v>
      </c>
      <c r="BD135" s="9">
        <f>IF(52&lt;=核心参数输入!$B$9*4,IF(52&lt;核心参数输入!$B$9*4,MAX(0,季度现金流!BE135-季度现金流!BE130),0),0)</f>
        <v>0</v>
      </c>
      <c r="BE135" s="9">
        <f>IF(53&lt;=核心参数输入!$B$9*4,IF(53&lt;核心参数输入!$B$9*4,MAX(0,季度现金流!BF135-季度现金流!BF130),0),0)</f>
        <v>0</v>
      </c>
      <c r="BF135" s="9">
        <f>IF(54&lt;=核心参数输入!$B$9*4,IF(54&lt;核心参数输入!$B$9*4,MAX(0,季度现金流!BG135-季度现金流!BG130),0),0)</f>
        <v>0</v>
      </c>
      <c r="BG135" s="9">
        <f>IF(55&lt;=核心参数输入!$B$9*4,IF(55&lt;核心参数输入!$B$9*4,MAX(0,季度现金流!BH135-季度现金流!BH130),0),0)</f>
        <v>0</v>
      </c>
      <c r="BH135" s="9">
        <f>IF(56&lt;=核心参数输入!$B$9*4,IF(56&lt;核心参数输入!$B$9*4,MAX(0,季度现金流!BI135-季度现金流!BI130),0),0)</f>
        <v>0</v>
      </c>
      <c r="BI135" s="9">
        <f>IF(57&lt;=核心参数输入!$B$9*4,IF(57&lt;核心参数输入!$B$9*4,MAX(0,季度现金流!BJ135-季度现金流!BJ130),0),0)</f>
        <v>0</v>
      </c>
      <c r="BJ135" s="9">
        <f>IF(58&lt;=核心参数输入!$B$9*4,IF(58&lt;核心参数输入!$B$9*4,MAX(0,季度现金流!BK135-季度现金流!BK130),0),0)</f>
        <v>0</v>
      </c>
      <c r="BK135" s="9">
        <f>IF(59&lt;=核心参数输入!$B$9*4,IF(59&lt;核心参数输入!$B$9*4,MAX(0,季度现金流!BL135-季度现金流!BL130),0),0)</f>
        <v>0</v>
      </c>
      <c r="BL135" s="9">
        <f>IF(60&lt;=核心参数输入!$B$9*4,IF(60&lt;核心参数输入!$B$9*4,MAX(0,季度现金流!BM135-季度现金流!BM130),0),0)</f>
        <v>0</v>
      </c>
      <c r="BM135" s="9">
        <f>IF(61&lt;=核心参数输入!$B$9*4,IF(61&lt;核心参数输入!$B$9*4,MAX(0,季度现金流!BN135-季度现金流!BN130),0),0)</f>
        <v>0</v>
      </c>
      <c r="BN135" s="9">
        <f>IF(62&lt;=核心参数输入!$B$9*4,IF(62&lt;核心参数输入!$B$9*4,MAX(0,季度现金流!BO135-季度现金流!BO130),0),0)</f>
        <v>0</v>
      </c>
      <c r="BO135" s="9">
        <f>IF(63&lt;=核心参数输入!$B$9*4,IF(63&lt;核心参数输入!$B$9*4,MAX(0,季度现金流!BP135-季度现金流!BP130),0),0)</f>
        <v>0</v>
      </c>
      <c r="BP135" s="9">
        <f>IF(64&lt;=核心参数输入!$B$9*4,IF(64&lt;核心参数输入!$B$9*4,MAX(0,季度现金流!BQ135-季度现金流!BQ130),0),0)</f>
        <v>0</v>
      </c>
      <c r="BQ135" s="9">
        <f>IF(65&lt;=核心参数输入!$B$9*4,IF(65&lt;核心参数输入!$B$9*4,MAX(0,季度现金流!BR135-季度现金流!BR130),0),0)</f>
        <v>0</v>
      </c>
      <c r="BR135" s="9">
        <f>IF(66&lt;=核心参数输入!$B$9*4,IF(66&lt;核心参数输入!$B$9*4,MAX(0,季度现金流!BS135-季度现金流!BS130),0),0)</f>
        <v>0</v>
      </c>
      <c r="BS135" s="9">
        <f>IF(67&lt;=核心参数输入!$B$9*4,IF(67&lt;核心参数输入!$B$9*4,MAX(0,季度现金流!BT135-季度现金流!BT130),0),0)</f>
        <v>0</v>
      </c>
      <c r="BT135" s="9">
        <f>IF(68&lt;=核心参数输入!$B$9*4,IF(68&lt;核心参数输入!$B$9*4,MAX(0,季度现金流!BU135-季度现金流!BU130),0),0)</f>
        <v>0</v>
      </c>
      <c r="BU135" s="9">
        <f>IF(69&lt;=核心参数输入!$B$9*4,IF(69&lt;核心参数输入!$B$9*4,MAX(0,季度现金流!BV135-季度现金流!BV130),0),0)</f>
        <v>0</v>
      </c>
      <c r="BV135" s="9">
        <f>IF(70&lt;=核心参数输入!$B$9*4,IF(70&lt;核心参数输入!$B$9*4,MAX(0,季度现金流!BW135-季度现金流!BW130),0),0)</f>
        <v>0</v>
      </c>
      <c r="BW135" s="9">
        <f>IF(71&lt;=核心参数输入!$B$9*4,IF(71&lt;核心参数输入!$B$9*4,MAX(0,季度现金流!BX135-季度现金流!BX130),0),0)</f>
        <v>0</v>
      </c>
      <c r="BX135" s="9">
        <f>IF(72&lt;=核心参数输入!$B$9*4,IF(72&lt;核心参数输入!$B$9*4,MAX(0,季度现金流!BY135-季度现金流!BY130),0),0)</f>
        <v>0</v>
      </c>
      <c r="BY135" s="9">
        <f>IF(73&lt;=核心参数输入!$B$9*4,IF(73&lt;核心参数输入!$B$9*4,MAX(0,季度现金流!BZ135-季度现金流!BZ130),0),0)</f>
        <v>0</v>
      </c>
      <c r="BZ135" s="9">
        <f>IF(74&lt;=核心参数输入!$B$9*4,IF(74&lt;核心参数输入!$B$9*4,MAX(0,季度现金流!CA135-季度现金流!CA130),0),0)</f>
        <v>0</v>
      </c>
      <c r="CA135" s="9">
        <f>IF(75&lt;=核心参数输入!$B$9*4,IF(75&lt;核心参数输入!$B$9*4,MAX(0,季度现金流!CB135-季度现金流!CB130),0),0)</f>
        <v>0</v>
      </c>
      <c r="CB135" s="9">
        <f>IF(76&lt;=核心参数输入!$B$9*4,IF(76&lt;核心参数输入!$B$9*4,MAX(0,季度现金流!CC135-季度现金流!CC130),0),0)</f>
        <v>0</v>
      </c>
      <c r="CC135" s="9">
        <f>IF(77&lt;=核心参数输入!$B$9*4,IF(77&lt;核心参数输入!$B$9*4,MAX(0,季度现金流!CD135-季度现金流!CD130),0),0)</f>
        <v>0</v>
      </c>
      <c r="CD135" s="9">
        <f>IF(78&lt;=核心参数输入!$B$9*4,IF(78&lt;核心参数输入!$B$9*4,MAX(0,季度现金流!CE135-季度现金流!CE130),0),0)</f>
        <v>0</v>
      </c>
      <c r="CE135" s="9">
        <f>IF(79&lt;=核心参数输入!$B$9*4,IF(79&lt;核心参数输入!$B$9*4,MAX(0,季度现金流!CF135-季度现金流!CF130),0),0)</f>
        <v>0</v>
      </c>
      <c r="CF135" s="9">
        <f>IF(80&lt;=核心参数输入!$B$9*4,IF(80&lt;核心参数输入!$B$9*4,MAX(0,季度现金流!CG135-季度现金流!CG130),0),0)</f>
        <v>0</v>
      </c>
      <c r="CG135" s="9">
        <f>IF(81&lt;=核心参数输入!$B$9*4,IF(81&lt;核心参数输入!$B$9*4,MAX(0,季度现金流!CH135-季度现金流!CH130),0),0)</f>
        <v>0</v>
      </c>
      <c r="CH135" s="9">
        <f>IF(82&lt;=核心参数输入!$B$9*4,IF(82&lt;核心参数输入!$B$9*4,MAX(0,季度现金流!CI135-季度现金流!CI130),0),0)</f>
        <v>0</v>
      </c>
      <c r="CI135" s="9">
        <f>IF(83&lt;=核心参数输入!$B$9*4,IF(83&lt;核心参数输入!$B$9*4,MAX(0,季度现金流!CJ135-季度现金流!CJ130),0),0)</f>
        <v>0</v>
      </c>
      <c r="CJ135" s="9">
        <f>IF(84&lt;=核心参数输入!$B$9*4,IF(84&lt;核心参数输入!$B$9*4,MAX(0,季度现金流!CK135-季度现金流!CK130),0),0)</f>
        <v>0</v>
      </c>
      <c r="CK135" s="9">
        <f>IF(85&lt;=核心参数输入!$B$9*4,IF(85&lt;核心参数输入!$B$9*4,MAX(0,季度现金流!CL135-季度现金流!CL130),0),0)</f>
        <v>0</v>
      </c>
      <c r="CL135" s="9">
        <f>IF(86&lt;=核心参数输入!$B$9*4,IF(86&lt;核心参数输入!$B$9*4,MAX(0,季度现金流!CM135-季度现金流!CM130),0),0)</f>
        <v>0</v>
      </c>
      <c r="CM135" s="9">
        <f>IF(87&lt;=核心参数输入!$B$9*4,IF(87&lt;核心参数输入!$B$9*4,MAX(0,季度现金流!CN135-季度现金流!CN130),0),0)</f>
        <v>0</v>
      </c>
      <c r="CN135" s="9">
        <f>IF(88&lt;=核心参数输入!$B$9*4,IF(88&lt;核心参数输入!$B$9*4,MAX(0,季度现金流!CO135-季度现金流!CO130),0),0)</f>
        <v>0</v>
      </c>
      <c r="CO135" s="9">
        <f>IF(89&lt;=核心参数输入!$B$9*4,IF(89&lt;核心参数输入!$B$9*4,MAX(0,季度现金流!CP135-季度现金流!CP130),0),0)</f>
        <v>0</v>
      </c>
      <c r="CP135" s="9">
        <f>IF(90&lt;=核心参数输入!$B$9*4,IF(90&lt;核心参数输入!$B$9*4,MAX(0,季度现金流!CQ135-季度现金流!CQ130),0),0)</f>
        <v>0</v>
      </c>
      <c r="CQ135" s="9">
        <f>IF(91&lt;=核心参数输入!$B$9*4,IF(91&lt;核心参数输入!$B$9*4,MAX(0,季度现金流!CR135-季度现金流!CR130),0),0)</f>
        <v>0</v>
      </c>
      <c r="CR135" s="9">
        <f>IF(92&lt;=核心参数输入!$B$9*4,IF(92&lt;核心参数输入!$B$9*4,MAX(0,季度现金流!CS135-季度现金流!CS130),0),0)</f>
        <v>0</v>
      </c>
      <c r="CS135" s="9">
        <f>IF(93&lt;=核心参数输入!$B$9*4,IF(93&lt;核心参数输入!$B$9*4,MAX(0,季度现金流!CT135-季度现金流!CT130),0),0)</f>
        <v>0</v>
      </c>
      <c r="CT135" s="9">
        <f>IF(94&lt;=核心参数输入!$B$9*4,IF(94&lt;核心参数输入!$B$9*4,MAX(0,季度现金流!CU135-季度现金流!CU130),0),0)</f>
        <v>0</v>
      </c>
      <c r="CU135" s="9">
        <f>IF(95&lt;=核心参数输入!$B$9*4,IF(95&lt;核心参数输入!$B$9*4,MAX(0,季度现金流!CV135-季度现金流!CV130),0),0)</f>
        <v>0</v>
      </c>
      <c r="CV135" s="9">
        <f>IF(96&lt;=核心参数输入!$B$9*4,IF(96&lt;核心参数输入!$B$9*4,MAX(0,季度现金流!CW135-季度现金流!CW130),0),0)</f>
        <v>0</v>
      </c>
      <c r="CW135" s="9">
        <f>IF(97&lt;=核心参数输入!$B$9*4,IF(97&lt;核心参数输入!$B$9*4,MAX(0,季度现金流!CX135-季度现金流!CX130),0),0)</f>
        <v>0</v>
      </c>
      <c r="CX135" s="9">
        <f>IF(98&lt;=核心参数输入!$B$9*4,IF(98&lt;核心参数输入!$B$9*4,MAX(0,季度现金流!CY135-季度现金流!CY130),0),0)</f>
        <v>0</v>
      </c>
      <c r="CY135" s="9">
        <f>IF(99&lt;=核心参数输入!$B$9*4,IF(99&lt;核心参数输入!$B$9*4,MAX(0,季度现金流!CZ135-季度现金流!CZ130),0),0)</f>
        <v>0</v>
      </c>
      <c r="CZ135" s="9">
        <f>IF(100&lt;=核心参数输入!$B$9*4,IF(100&lt;核心参数输入!$B$9*4,MAX(0,季度现金流!DA135-季度现金流!DA130),0),0)</f>
        <v>0</v>
      </c>
      <c r="DA135" s="9">
        <f>IF(101&lt;=核心参数输入!$B$9*4,IF(101&lt;核心参数输入!$B$9*4,MAX(0,季度现金流!DB135-季度现金流!DB130),0),0)</f>
        <v>0</v>
      </c>
      <c r="DB135" s="9">
        <f>IF(102&lt;=核心参数输入!$B$9*4,IF(102&lt;核心参数输入!$B$9*4,MAX(0,季度现金流!DC135-季度现金流!DC130),0),0)</f>
        <v>0</v>
      </c>
      <c r="DC135" s="9">
        <f>IF(103&lt;=核心参数输入!$B$9*4,IF(103&lt;核心参数输入!$B$9*4,MAX(0,季度现金流!DD135-季度现金流!DD130),0),0)</f>
        <v>0</v>
      </c>
      <c r="DD135" s="9">
        <f>IF(104&lt;=核心参数输入!$B$9*4,IF(104&lt;核心参数输入!$B$9*4,MAX(0,季度现金流!DE135-季度现金流!DE130),0),0)</f>
        <v>0</v>
      </c>
      <c r="DE135" s="9">
        <f>IF(105&lt;=核心参数输入!$B$9*4,IF(105&lt;核心参数输入!$B$9*4,MAX(0,季度现金流!DF135-季度现金流!DF130),0),0)</f>
        <v>0</v>
      </c>
      <c r="DF135" s="9">
        <f>IF(106&lt;=核心参数输入!$B$9*4,IF(106&lt;核心参数输入!$B$9*4,MAX(0,季度现金流!DG135-季度现金流!DG130),0),0)</f>
        <v>0</v>
      </c>
      <c r="DG135" s="9">
        <f>IF(107&lt;=核心参数输入!$B$9*4,IF(107&lt;核心参数输入!$B$9*4,MAX(0,季度现金流!DH135-季度现金流!DH130),0),0)</f>
        <v>0</v>
      </c>
      <c r="DH135" s="9">
        <f>IF(108&lt;=核心参数输入!$B$9*4,IF(108&lt;核心参数输入!$B$9*4,MAX(0,季度现金流!DI135-季度现金流!DI130),0),0)</f>
        <v>0</v>
      </c>
      <c r="DI135" s="9">
        <f>IF(109&lt;=核心参数输入!$B$9*4,IF(109&lt;核心参数输入!$B$9*4,MAX(0,季度现金流!DJ135-季度现金流!DJ130),0),0)</f>
        <v>0</v>
      </c>
      <c r="DJ135" s="9">
        <f>IF(110&lt;=核心参数输入!$B$9*4,IF(110&lt;核心参数输入!$B$9*4,MAX(0,季度现金流!DK135-季度现金流!DK130),0),0)</f>
        <v>0</v>
      </c>
      <c r="DK135" s="9">
        <f>IF(111&lt;=核心参数输入!$B$9*4,IF(111&lt;核心参数输入!$B$9*4,MAX(0,季度现金流!DL135-季度现金流!DL130),0),0)</f>
        <v>0</v>
      </c>
      <c r="DL135" s="9">
        <f>IF(112&lt;=核心参数输入!$B$9*4,IF(112&lt;核心参数输入!$B$9*4,MAX(0,季度现金流!DM135-季度现金流!DM130),0),0)</f>
        <v>0</v>
      </c>
      <c r="DM135" s="9">
        <f>IF(113&lt;=核心参数输入!$B$9*4,IF(113&lt;核心参数输入!$B$9*4,MAX(0,季度现金流!DN135-季度现金流!DN130),0),0)</f>
        <v>0</v>
      </c>
      <c r="DN135" s="9">
        <f>IF(114&lt;=核心参数输入!$B$9*4,IF(114&lt;核心参数输入!$B$9*4,MAX(0,季度现金流!DO135-季度现金流!DO130),0),0)</f>
        <v>0</v>
      </c>
      <c r="DO135" s="9">
        <f>IF(115&lt;=核心参数输入!$B$9*4,IF(115&lt;核心参数输入!$B$9*4,MAX(0,季度现金流!DP135-季度现金流!DP130),0),0)</f>
        <v>0</v>
      </c>
      <c r="DP135" s="9">
        <f>IF(116&lt;=核心参数输入!$B$9*4,IF(116&lt;核心参数输入!$B$9*4,MAX(0,季度现金流!DQ135-季度现金流!DQ130),0),0)</f>
        <v>0</v>
      </c>
      <c r="DQ135" s="9">
        <f>IF(117&lt;=核心参数输入!$B$9*4,IF(117&lt;核心参数输入!$B$9*4,MAX(0,季度现金流!DR135-季度现金流!DR130),0),0)</f>
        <v>0</v>
      </c>
      <c r="DR135" s="9">
        <f>IF(118&lt;=核心参数输入!$B$9*4,IF(118&lt;核心参数输入!$B$9*4,MAX(0,季度现金流!DS135-季度现金流!DS130),0),0)</f>
        <v>0</v>
      </c>
      <c r="DS135" s="9">
        <f>IF(119&lt;=核心参数输入!$B$9*4,IF(119&lt;核心参数输入!$B$9*4,MAX(0,季度现金流!DT135-季度现金流!DT130),0),0)</f>
        <v>0</v>
      </c>
      <c r="DT135" s="9">
        <f>IF(120&lt;=核心参数输入!$B$9*4,0,0)</f>
        <v>0</v>
      </c>
    </row>
    <row r="136" spans="1:124" ht="21" customHeight="1">
      <c r="A136" s="8" t="s">
        <v>522</v>
      </c>
      <c r="B136" s="8" t="s">
        <v>39</v>
      </c>
      <c r="C136" s="8"/>
      <c r="D136" s="9">
        <f>IF(0&lt;=核心参数输入!$B$9*4,0,0)</f>
        <v>0</v>
      </c>
      <c r="E136" s="9">
        <f>IF(1&lt;=核心参数输入!$B$9*4,季度现金流!D139,0)</f>
        <v>0</v>
      </c>
      <c r="F136" s="9">
        <f>IF(2&lt;=核心参数输入!$B$9*4,季度现金流!E139,0)</f>
        <v>0</v>
      </c>
      <c r="G136" s="9">
        <f>IF(3&lt;=核心参数输入!$B$9*4,季度现金流!F139,0)</f>
        <v>0</v>
      </c>
      <c r="H136" s="9">
        <f>IF(4&lt;=核心参数输入!$B$9*4,季度现金流!G139,0)</f>
        <v>0</v>
      </c>
      <c r="I136" s="9">
        <f>IF(5&lt;=核心参数输入!$B$9*4,季度现金流!H139,0)</f>
        <v>0</v>
      </c>
      <c r="J136" s="9">
        <f>IF(6&lt;=核心参数输入!$B$9*4,季度现金流!I139,0)</f>
        <v>0</v>
      </c>
      <c r="K136" s="9">
        <f>IF(7&lt;=核心参数输入!$B$9*4,季度现金流!J139,0)</f>
        <v>0</v>
      </c>
      <c r="L136" s="9">
        <f>IF(8&lt;=核心参数输入!$B$9*4,季度现金流!K139,0)</f>
        <v>0</v>
      </c>
      <c r="M136" s="9">
        <f>IF(9&lt;=核心参数输入!$B$9*4,季度现金流!L139,0)</f>
        <v>0</v>
      </c>
      <c r="N136" s="9">
        <f>IF(10&lt;=核心参数输入!$B$9*4,季度现金流!M139,0)</f>
        <v>0</v>
      </c>
      <c r="O136" s="9">
        <f>IF(11&lt;=核心参数输入!$B$9*4,季度现金流!N139,0)</f>
        <v>0</v>
      </c>
      <c r="P136" s="9">
        <f>IF(12&lt;=核心参数输入!$B$9*4,季度现金流!O139,0)</f>
        <v>0</v>
      </c>
      <c r="Q136" s="9">
        <f>IF(13&lt;=核心参数输入!$B$9*4,季度现金流!P139,0)</f>
        <v>0</v>
      </c>
      <c r="R136" s="9">
        <f>IF(14&lt;=核心参数输入!$B$9*4,季度现金流!Q139,0)</f>
        <v>0</v>
      </c>
      <c r="S136" s="9">
        <f>IF(15&lt;=核心参数输入!$B$9*4,季度现金流!R139,0)</f>
        <v>0</v>
      </c>
      <c r="T136" s="9">
        <f>IF(16&lt;=核心参数输入!$B$9*4,季度现金流!S139,0)</f>
        <v>1692.723284539285</v>
      </c>
      <c r="U136" s="9">
        <f>IF(17&lt;=核心参数输入!$B$9*4,季度现金流!T139,0)</f>
        <v>0</v>
      </c>
      <c r="V136" s="9">
        <f>IF(18&lt;=核心参数输入!$B$9*4,季度现金流!U139,0)</f>
        <v>1032.9262538743155</v>
      </c>
      <c r="W136" s="9">
        <f>IF(19&lt;=核心参数输入!$B$9*4,季度现金流!V139,0)</f>
        <v>4683.9769871049029</v>
      </c>
      <c r="X136" s="9">
        <f>IF(20&lt;=核心参数输入!$B$9*4,季度现金流!W139,0)</f>
        <v>8353.2637624802646</v>
      </c>
      <c r="Y136" s="9">
        <f>IF(21&lt;=核心参数输入!$B$9*4,季度现金流!X139,0)</f>
        <v>7777.5722942861175</v>
      </c>
      <c r="Z136" s="9">
        <f>IF(22&lt;=核心参数输入!$B$9*4,季度现金流!Y139,0)</f>
        <v>10883.832652471003</v>
      </c>
      <c r="AA136" s="9">
        <f>IF(23&lt;=核心参数输入!$B$9*4,季度现金流!Z139,0)</f>
        <v>13680.517020585718</v>
      </c>
      <c r="AB136" s="9">
        <f>IF(24&lt;=核心参数输入!$B$9*4,季度现金流!AA139,0)</f>
        <v>16491.083575783141</v>
      </c>
      <c r="AC136" s="9">
        <f>IF(25&lt;=核心参数输入!$B$9*4,季度现金流!AB139,0)</f>
        <v>15052.318032348991</v>
      </c>
      <c r="AD136" s="9">
        <f>IF(26&lt;=核心参数输入!$B$9*4,季度现金流!AC139,0)</f>
        <v>15999.806245183529</v>
      </c>
      <c r="AE136" s="9">
        <f>IF(27&lt;=核心参数输入!$B$9*4,季度现金流!AD139,0)</f>
        <v>15979.372446277366</v>
      </c>
      <c r="AF136" s="9">
        <f>IF(28&lt;=核心参数输入!$B$9*4,季度现金流!AE139,0)</f>
        <v>15963.635454000854</v>
      </c>
      <c r="AG136" s="9">
        <f>IF(29&lt;=核心参数输入!$B$9*4,季度现金流!AF139,0)</f>
        <v>11689.380982639706</v>
      </c>
      <c r="AH136" s="9">
        <f>IF(30&lt;=核心参数输入!$B$9*4,季度现金流!AG139,0)</f>
        <v>11730.919499937236</v>
      </c>
      <c r="AI136" s="9">
        <f>IF(31&lt;=核心参数输入!$B$9*4,季度现金流!AH139,0)</f>
        <v>11774.841646599312</v>
      </c>
      <c r="AJ136" s="9">
        <f>IF(32&lt;=核心参数输入!$B$9*4,季度现金流!AI139,0)</f>
        <v>11818.763793261389</v>
      </c>
      <c r="AK136" s="9">
        <f>IF(33&lt;=核心参数输入!$B$9*4,季度现金流!AJ139,0)</f>
        <v>7599.471654209181</v>
      </c>
      <c r="AL136" s="9">
        <f>IF(34&lt;=核心参数输入!$B$9*4,季度现金流!AK139,0)</f>
        <v>7691.3467210111894</v>
      </c>
      <c r="AM136" s="9">
        <f>IF(35&lt;=核心参数输入!$B$9*4,季度现金流!AL139,0)</f>
        <v>7783.2217878131978</v>
      </c>
      <c r="AN136" s="9">
        <f>IF(36&lt;=核心参数输入!$B$9*4,季度现金流!AM139,0)</f>
        <v>7875.0968546152062</v>
      </c>
      <c r="AO136" s="9">
        <f>IF(37&lt;=核心参数输入!$B$9*4,季度现金流!AN139,0)</f>
        <v>3703.7576357029293</v>
      </c>
      <c r="AP136" s="9">
        <f>IF(38&lt;=核心参数输入!$B$9*4,季度现金流!AO139,0)</f>
        <v>3843.6217982057678</v>
      </c>
      <c r="AQ136" s="9">
        <f>IF(39&lt;=核心参数输入!$B$9*4,季度现金流!AP139,0)</f>
        <v>3983.4859607086064</v>
      </c>
      <c r="AR136" s="9">
        <f>IF(40&lt;=核心参数输入!$B$9*4,季度现金流!AQ139,0)</f>
        <v>4123.350123211445</v>
      </c>
      <c r="AS136" s="9">
        <f>IF(41&lt;=核心参数输入!$B$9*4,季度现金流!AR139,0)</f>
        <v>0</v>
      </c>
      <c r="AT136" s="9">
        <f>IF(42&lt;=核心参数输入!$B$9*4,季度现金流!AS139,0)</f>
        <v>0</v>
      </c>
      <c r="AU136" s="9">
        <f>IF(43&lt;=核心参数输入!$B$9*4,季度现金流!AT139,0)</f>
        <v>0</v>
      </c>
      <c r="AV136" s="9">
        <f>IF(44&lt;=核心参数输入!$B$9*4,季度现金流!AU139,0)</f>
        <v>0</v>
      </c>
      <c r="AW136" s="9">
        <f>IF(45&lt;=核心参数输入!$B$9*4,季度现金流!AV139,0)</f>
        <v>0</v>
      </c>
      <c r="AX136" s="9">
        <f>IF(46&lt;=核心参数输入!$B$9*4,季度现金流!AW139,0)</f>
        <v>0</v>
      </c>
      <c r="AY136" s="9">
        <f>IF(47&lt;=核心参数输入!$B$9*4,季度现金流!AX139,0)</f>
        <v>0</v>
      </c>
      <c r="AZ136" s="9">
        <f>IF(48&lt;=核心参数输入!$B$9*4,季度现金流!AY139,0)</f>
        <v>0</v>
      </c>
      <c r="BA136" s="9">
        <f>IF(49&lt;=核心参数输入!$B$9*4,季度现金流!AZ139,0)</f>
        <v>0</v>
      </c>
      <c r="BB136" s="9">
        <f>IF(50&lt;=核心参数输入!$B$9*4,季度现金流!BA139,0)</f>
        <v>0</v>
      </c>
      <c r="BC136" s="9">
        <f>IF(51&lt;=核心参数输入!$B$9*4,季度现金流!BB139,0)</f>
        <v>0</v>
      </c>
      <c r="BD136" s="9">
        <f>IF(52&lt;=核心参数输入!$B$9*4,季度现金流!BC139,0)</f>
        <v>0</v>
      </c>
      <c r="BE136" s="9">
        <f>IF(53&lt;=核心参数输入!$B$9*4,季度现金流!BD139,0)</f>
        <v>0</v>
      </c>
      <c r="BF136" s="9">
        <f>IF(54&lt;=核心参数输入!$B$9*4,季度现金流!BE139,0)</f>
        <v>0</v>
      </c>
      <c r="BG136" s="9">
        <f>IF(55&lt;=核心参数输入!$B$9*4,季度现金流!BF139,0)</f>
        <v>0</v>
      </c>
      <c r="BH136" s="9">
        <f>IF(56&lt;=核心参数输入!$B$9*4,季度现金流!BG139,0)</f>
        <v>0</v>
      </c>
      <c r="BI136" s="9">
        <f>IF(57&lt;=核心参数输入!$B$9*4,季度现金流!BH139,0)</f>
        <v>0</v>
      </c>
      <c r="BJ136" s="9">
        <f>IF(58&lt;=核心参数输入!$B$9*4,季度现金流!BI139,0)</f>
        <v>0</v>
      </c>
      <c r="BK136" s="9">
        <f>IF(59&lt;=核心参数输入!$B$9*4,季度现金流!BJ139,0)</f>
        <v>0</v>
      </c>
      <c r="BL136" s="9">
        <f>IF(60&lt;=核心参数输入!$B$9*4,季度现金流!BK139,0)</f>
        <v>0</v>
      </c>
      <c r="BM136" s="9">
        <f>IF(61&lt;=核心参数输入!$B$9*4,季度现金流!BL139,0)</f>
        <v>0</v>
      </c>
      <c r="BN136" s="9">
        <f>IF(62&lt;=核心参数输入!$B$9*4,季度现金流!BM139,0)</f>
        <v>0</v>
      </c>
      <c r="BO136" s="9">
        <f>IF(63&lt;=核心参数输入!$B$9*4,季度现金流!BN139,0)</f>
        <v>0</v>
      </c>
      <c r="BP136" s="9">
        <f>IF(64&lt;=核心参数输入!$B$9*4,季度现金流!BO139,0)</f>
        <v>0</v>
      </c>
      <c r="BQ136" s="9">
        <f>IF(65&lt;=核心参数输入!$B$9*4,季度现金流!BP139,0)</f>
        <v>0</v>
      </c>
      <c r="BR136" s="9">
        <f>IF(66&lt;=核心参数输入!$B$9*4,季度现金流!BQ139,0)</f>
        <v>0</v>
      </c>
      <c r="BS136" s="9">
        <f>IF(67&lt;=核心参数输入!$B$9*4,季度现金流!BR139,0)</f>
        <v>0</v>
      </c>
      <c r="BT136" s="9">
        <f>IF(68&lt;=核心参数输入!$B$9*4,季度现金流!BS139,0)</f>
        <v>0</v>
      </c>
      <c r="BU136" s="9">
        <f>IF(69&lt;=核心参数输入!$B$9*4,季度现金流!BT139,0)</f>
        <v>0</v>
      </c>
      <c r="BV136" s="9">
        <f>IF(70&lt;=核心参数输入!$B$9*4,季度现金流!BU139,0)</f>
        <v>0</v>
      </c>
      <c r="BW136" s="9">
        <f>IF(71&lt;=核心参数输入!$B$9*4,季度现金流!BV139,0)</f>
        <v>0</v>
      </c>
      <c r="BX136" s="9">
        <f>IF(72&lt;=核心参数输入!$B$9*4,季度现金流!BW139,0)</f>
        <v>0</v>
      </c>
      <c r="BY136" s="9">
        <f>IF(73&lt;=核心参数输入!$B$9*4,季度现金流!BX139,0)</f>
        <v>0</v>
      </c>
      <c r="BZ136" s="9">
        <f>IF(74&lt;=核心参数输入!$B$9*4,季度现金流!BY139,0)</f>
        <v>0</v>
      </c>
      <c r="CA136" s="9">
        <f>IF(75&lt;=核心参数输入!$B$9*4,季度现金流!BZ139,0)</f>
        <v>0</v>
      </c>
      <c r="CB136" s="9">
        <f>IF(76&lt;=核心参数输入!$B$9*4,季度现金流!CA139,0)</f>
        <v>0</v>
      </c>
      <c r="CC136" s="9">
        <f>IF(77&lt;=核心参数输入!$B$9*4,季度现金流!CB139,0)</f>
        <v>0</v>
      </c>
      <c r="CD136" s="9">
        <f>IF(78&lt;=核心参数输入!$B$9*4,季度现金流!CC139,0)</f>
        <v>0</v>
      </c>
      <c r="CE136" s="9">
        <f>IF(79&lt;=核心参数输入!$B$9*4,季度现金流!CD139,0)</f>
        <v>0</v>
      </c>
      <c r="CF136" s="9">
        <f>IF(80&lt;=核心参数输入!$B$9*4,季度现金流!CE139,0)</f>
        <v>0</v>
      </c>
      <c r="CG136" s="9">
        <f>IF(81&lt;=核心参数输入!$B$9*4,季度现金流!CF139,0)</f>
        <v>0</v>
      </c>
      <c r="CH136" s="9">
        <f>IF(82&lt;=核心参数输入!$B$9*4,季度现金流!CG139,0)</f>
        <v>0</v>
      </c>
      <c r="CI136" s="9">
        <f>IF(83&lt;=核心参数输入!$B$9*4,季度现金流!CH139,0)</f>
        <v>0</v>
      </c>
      <c r="CJ136" s="9">
        <f>IF(84&lt;=核心参数输入!$B$9*4,季度现金流!CI139,0)</f>
        <v>0</v>
      </c>
      <c r="CK136" s="9">
        <f>IF(85&lt;=核心参数输入!$B$9*4,季度现金流!CJ139,0)</f>
        <v>0</v>
      </c>
      <c r="CL136" s="9">
        <f>IF(86&lt;=核心参数输入!$B$9*4,季度现金流!CK139,0)</f>
        <v>0</v>
      </c>
      <c r="CM136" s="9">
        <f>IF(87&lt;=核心参数输入!$B$9*4,季度现金流!CL139,0)</f>
        <v>0</v>
      </c>
      <c r="CN136" s="9">
        <f>IF(88&lt;=核心参数输入!$B$9*4,季度现金流!CM139,0)</f>
        <v>0</v>
      </c>
      <c r="CO136" s="9">
        <f>IF(89&lt;=核心参数输入!$B$9*4,季度现金流!CN139,0)</f>
        <v>0</v>
      </c>
      <c r="CP136" s="9">
        <f>IF(90&lt;=核心参数输入!$B$9*4,季度现金流!CO139,0)</f>
        <v>0</v>
      </c>
      <c r="CQ136" s="9">
        <f>IF(91&lt;=核心参数输入!$B$9*4,季度现金流!CP139,0)</f>
        <v>0</v>
      </c>
      <c r="CR136" s="9">
        <f>IF(92&lt;=核心参数输入!$B$9*4,季度现金流!CQ139,0)</f>
        <v>0</v>
      </c>
      <c r="CS136" s="9">
        <f>IF(93&lt;=核心参数输入!$B$9*4,季度现金流!CR139,0)</f>
        <v>0</v>
      </c>
      <c r="CT136" s="9">
        <f>IF(94&lt;=核心参数输入!$B$9*4,季度现金流!CS139,0)</f>
        <v>0</v>
      </c>
      <c r="CU136" s="9">
        <f>IF(95&lt;=核心参数输入!$B$9*4,季度现金流!CT139,0)</f>
        <v>0</v>
      </c>
      <c r="CV136" s="9">
        <f>IF(96&lt;=核心参数输入!$B$9*4,季度现金流!CU139,0)</f>
        <v>0</v>
      </c>
      <c r="CW136" s="9">
        <f>IF(97&lt;=核心参数输入!$B$9*4,季度现金流!CV139,0)</f>
        <v>0</v>
      </c>
      <c r="CX136" s="9">
        <f>IF(98&lt;=核心参数输入!$B$9*4,季度现金流!CW139,0)</f>
        <v>0</v>
      </c>
      <c r="CY136" s="9">
        <f>IF(99&lt;=核心参数输入!$B$9*4,季度现金流!CX139,0)</f>
        <v>0</v>
      </c>
      <c r="CZ136" s="9">
        <f>IF(100&lt;=核心参数输入!$B$9*4,季度现金流!CY139,0)</f>
        <v>0</v>
      </c>
      <c r="DA136" s="9">
        <f>IF(101&lt;=核心参数输入!$B$9*4,季度现金流!CZ139,0)</f>
        <v>0</v>
      </c>
      <c r="DB136" s="9">
        <f>IF(102&lt;=核心参数输入!$B$9*4,季度现金流!DA139,0)</f>
        <v>0</v>
      </c>
      <c r="DC136" s="9">
        <f>IF(103&lt;=核心参数输入!$B$9*4,季度现金流!DB139,0)</f>
        <v>0</v>
      </c>
      <c r="DD136" s="9">
        <f>IF(104&lt;=核心参数输入!$B$9*4,季度现金流!DC139,0)</f>
        <v>0</v>
      </c>
      <c r="DE136" s="9">
        <f>IF(105&lt;=核心参数输入!$B$9*4,季度现金流!DD139,0)</f>
        <v>0</v>
      </c>
      <c r="DF136" s="9">
        <f>IF(106&lt;=核心参数输入!$B$9*4,季度现金流!DE139,0)</f>
        <v>0</v>
      </c>
      <c r="DG136" s="9">
        <f>IF(107&lt;=核心参数输入!$B$9*4,季度现金流!DF139,0)</f>
        <v>0</v>
      </c>
      <c r="DH136" s="9">
        <f>IF(108&lt;=核心参数输入!$B$9*4,季度现金流!DG139,0)</f>
        <v>0</v>
      </c>
      <c r="DI136" s="9">
        <f>IF(109&lt;=核心参数输入!$B$9*4,季度现金流!DH139,0)</f>
        <v>0</v>
      </c>
      <c r="DJ136" s="9">
        <f>IF(110&lt;=核心参数输入!$B$9*4,季度现金流!DI139,0)</f>
        <v>0</v>
      </c>
      <c r="DK136" s="9">
        <f>IF(111&lt;=核心参数输入!$B$9*4,季度现金流!DJ139,0)</f>
        <v>0</v>
      </c>
      <c r="DL136" s="9">
        <f>IF(112&lt;=核心参数输入!$B$9*4,季度现金流!DK139,0)</f>
        <v>0</v>
      </c>
      <c r="DM136" s="9">
        <f>IF(113&lt;=核心参数输入!$B$9*4,季度现金流!DL139,0)</f>
        <v>0</v>
      </c>
      <c r="DN136" s="9">
        <f>IF(114&lt;=核心参数输入!$B$9*4,季度现金流!DM139,0)</f>
        <v>0</v>
      </c>
      <c r="DO136" s="9">
        <f>IF(115&lt;=核心参数输入!$B$9*4,季度现金流!DN139,0)</f>
        <v>0</v>
      </c>
      <c r="DP136" s="9">
        <f>IF(116&lt;=核心参数输入!$B$9*4,季度现金流!DO139,0)</f>
        <v>0</v>
      </c>
      <c r="DQ136" s="9">
        <f>IF(117&lt;=核心参数输入!$B$9*4,季度现金流!DP139,0)</f>
        <v>0</v>
      </c>
      <c r="DR136" s="9">
        <f>IF(118&lt;=核心参数输入!$B$9*4,季度现金流!DQ139,0)</f>
        <v>0</v>
      </c>
      <c r="DS136" s="9">
        <f>IF(119&lt;=核心参数输入!$B$9*4,季度现金流!DR139,0)</f>
        <v>0</v>
      </c>
      <c r="DT136" s="9">
        <f>IF(120&lt;=核心参数输入!$B$9*4,季度现金流!DS139,0)</f>
        <v>0</v>
      </c>
    </row>
    <row r="137" spans="1:124" ht="21" customHeight="1">
      <c r="A137" s="8" t="s">
        <v>523</v>
      </c>
      <c r="B137" s="8" t="s">
        <v>39</v>
      </c>
      <c r="C137" s="8"/>
      <c r="D137" s="9">
        <f>IF(0&lt;=核心参数输入!$B$9*4,MAX(0,0-(D136+D130)),0)</f>
        <v>8000</v>
      </c>
      <c r="E137" s="9">
        <f>IF(1&lt;=核心参数输入!$B$9*4,MAX(0,核心参数输入!$B$123-(E136+E130)),0)</f>
        <v>2127.7124999999996</v>
      </c>
      <c r="F137" s="9">
        <f>IF(2&lt;=核心参数输入!$B$9*4,MAX(0,核心参数输入!$B$123-(F136+F130)),0)</f>
        <v>2151.3374999999996</v>
      </c>
      <c r="G137" s="9">
        <f>IF(3&lt;=核心参数输入!$B$9*4,MAX(0,核心参数输入!$B$123-(G136+G130)),0)</f>
        <v>2174.9624999999996</v>
      </c>
      <c r="H137" s="9">
        <f>IF(4&lt;=核心参数输入!$B$9*4,MAX(0,核心参数输入!$B$123-(H136+H130)),0)</f>
        <v>2198.5874999999996</v>
      </c>
      <c r="I137" s="9">
        <f>IF(5&lt;=核心参数输入!$B$9*4,MAX(0,核心参数输入!$B$123-(I136+I130)),0)</f>
        <v>2931.4500000000007</v>
      </c>
      <c r="J137" s="9">
        <f>IF(6&lt;=核心参数输入!$B$9*4,MAX(0,核心参数输入!$B$123-(J136+J130)),0)</f>
        <v>2962.9500000000007</v>
      </c>
      <c r="K137" s="9">
        <f>IF(7&lt;=核心参数输入!$B$9*4,MAX(0,核心参数输入!$B$123-(K136+K130)),0)</f>
        <v>2994.4500000000007</v>
      </c>
      <c r="L137" s="9">
        <f>IF(8&lt;=核心参数输入!$B$9*4,MAX(0,核心参数输入!$B$123-(L136+L130)),0)</f>
        <v>3025.9500000000007</v>
      </c>
      <c r="M137" s="9">
        <f>IF(9&lt;=核心参数输入!$B$9*4,MAX(0,核心参数输入!$B$123-(M136+M130)),0)</f>
        <v>2348.2124999999996</v>
      </c>
      <c r="N137" s="9">
        <f>IF(10&lt;=核心参数输入!$B$9*4,MAX(0,核心参数输入!$B$123-(N136+N130)),0)</f>
        <v>2371.8374999999996</v>
      </c>
      <c r="O137" s="9">
        <f>IF(11&lt;=核心参数输入!$B$9*4,MAX(0,核心参数输入!$B$123-(O136+O130)),0)</f>
        <v>2395.4624999999996</v>
      </c>
      <c r="P137" s="9">
        <f>IF(12&lt;=核心参数输入!$B$9*4,MAX(0,核心参数输入!$B$123-(P136+P130)),0)</f>
        <v>2419.0874999999996</v>
      </c>
      <c r="Q137" s="9">
        <f>IF(13&lt;=核心参数输入!$B$9*4,MAX(0,核心参数输入!$B$123-(Q136+Q130)),0)</f>
        <v>0</v>
      </c>
      <c r="R137" s="9">
        <f>IF(14&lt;=核心参数输入!$B$9*4,MAX(0,核心参数输入!$B$123-(R136+R130)),0)</f>
        <v>0</v>
      </c>
      <c r="S137" s="9">
        <f>IF(15&lt;=核心参数输入!$B$9*4,MAX(0,核心参数输入!$B$123-(S136+S130)),0)</f>
        <v>0</v>
      </c>
      <c r="T137" s="9">
        <f>IF(16&lt;=核心参数输入!$B$9*4,MAX(0,核心参数输入!$B$123-(T136+T130)),0)</f>
        <v>0</v>
      </c>
      <c r="U137" s="9">
        <f>IF(17&lt;=核心参数输入!$B$9*4,MAX(0,核心参数输入!$B$123-(U136+U130)),0)</f>
        <v>0</v>
      </c>
      <c r="V137" s="9">
        <f>IF(18&lt;=核心参数输入!$B$9*4,MAX(0,核心参数输入!$B$123-(V136+V130)),0)</f>
        <v>0</v>
      </c>
      <c r="W137" s="9">
        <f>IF(19&lt;=核心参数输入!$B$9*4,MAX(0,核心参数输入!$B$123-(W136+W130)),0)</f>
        <v>0</v>
      </c>
      <c r="X137" s="9">
        <f>IF(20&lt;=核心参数输入!$B$9*4,MAX(0,核心参数输入!$B$123-(X136+X130)),0)</f>
        <v>0</v>
      </c>
      <c r="Y137" s="9">
        <f>IF(21&lt;=核心参数输入!$B$9*4,MAX(0,核心参数输入!$B$123-(Y136+Y130)),0)</f>
        <v>0</v>
      </c>
      <c r="Z137" s="9">
        <f>IF(22&lt;=核心参数输入!$B$9*4,MAX(0,核心参数输入!$B$123-(Z136+Z130)),0)</f>
        <v>0</v>
      </c>
      <c r="AA137" s="9">
        <f>IF(23&lt;=核心参数输入!$B$9*4,MAX(0,核心参数输入!$B$123-(AA136+AA130)),0)</f>
        <v>0</v>
      </c>
      <c r="AB137" s="9">
        <f>IF(24&lt;=核心参数输入!$B$9*4,MAX(0,核心参数输入!$B$123-(AB136+AB130)),0)</f>
        <v>0</v>
      </c>
      <c r="AC137" s="9">
        <f>IF(25&lt;=核心参数输入!$B$9*4,MAX(0,核心参数输入!$B$123-(AC136+AC130)),0)</f>
        <v>0</v>
      </c>
      <c r="AD137" s="9">
        <f>IF(26&lt;=核心参数输入!$B$9*4,MAX(0,核心参数输入!$B$123-(AD136+AD130)),0)</f>
        <v>0</v>
      </c>
      <c r="AE137" s="9">
        <f>IF(27&lt;=核心参数输入!$B$9*4,MAX(0,核心参数输入!$B$123-(AE136+AE130)),0)</f>
        <v>0</v>
      </c>
      <c r="AF137" s="9">
        <f>IF(28&lt;=核心参数输入!$B$9*4,MAX(0,核心参数输入!$B$123-(AF136+AF130)),0)</f>
        <v>0</v>
      </c>
      <c r="AG137" s="9">
        <f>IF(29&lt;=核心参数输入!$B$9*4,MAX(0,核心参数输入!$B$123-(AG136+AG130)),0)</f>
        <v>0</v>
      </c>
      <c r="AH137" s="9">
        <f>IF(30&lt;=核心参数输入!$B$9*4,MAX(0,核心参数输入!$B$123-(AH136+AH130)),0)</f>
        <v>0</v>
      </c>
      <c r="AI137" s="9">
        <f>IF(31&lt;=核心参数输入!$B$9*4,MAX(0,核心参数输入!$B$123-(AI136+AI130)),0)</f>
        <v>0</v>
      </c>
      <c r="AJ137" s="9">
        <f>IF(32&lt;=核心参数输入!$B$9*4,MAX(0,核心参数输入!$B$123-(AJ136+AJ130)),0)</f>
        <v>0</v>
      </c>
      <c r="AK137" s="9">
        <f>IF(33&lt;=核心参数输入!$B$9*4,MAX(0,核心参数输入!$B$123-(AK136+AK130)),0)</f>
        <v>0</v>
      </c>
      <c r="AL137" s="9">
        <f>IF(34&lt;=核心参数输入!$B$9*4,MAX(0,核心参数输入!$B$123-(AL136+AL130)),0)</f>
        <v>0</v>
      </c>
      <c r="AM137" s="9">
        <f>IF(35&lt;=核心参数输入!$B$9*4,MAX(0,核心参数输入!$B$123-(AM136+AM130)),0)</f>
        <v>0</v>
      </c>
      <c r="AN137" s="9">
        <f>IF(36&lt;=核心参数输入!$B$9*4,MAX(0,核心参数输入!$B$123-(AN136+AN130)),0)</f>
        <v>0</v>
      </c>
      <c r="AO137" s="9">
        <f>IF(37&lt;=核心参数输入!$B$9*4,MAX(0,核心参数输入!$B$123-(AO136+AO130)),0)</f>
        <v>0</v>
      </c>
      <c r="AP137" s="9">
        <f>IF(38&lt;=核心参数输入!$B$9*4,MAX(0,核心参数输入!$B$123-(AP136+AP130)),0)</f>
        <v>0</v>
      </c>
      <c r="AQ137" s="9">
        <f>IF(39&lt;=核心参数输入!$B$9*4,MAX(0,核心参数输入!$B$123-(AQ136+AQ130)),0)</f>
        <v>0</v>
      </c>
      <c r="AR137" s="9">
        <f>IF(40&lt;=核心参数输入!$B$9*4,MAX(0,核心参数输入!$B$123-(AR136+AR130)),0)</f>
        <v>0</v>
      </c>
      <c r="AS137" s="9">
        <f>IF(41&lt;=核心参数输入!$B$9*4,MAX(0,核心参数输入!$B$123-(AS136+AS130)),0)</f>
        <v>0</v>
      </c>
      <c r="AT137" s="9">
        <f>IF(42&lt;=核心参数输入!$B$9*4,MAX(0,核心参数输入!$B$123-(AT136+AT130)),0)</f>
        <v>0</v>
      </c>
      <c r="AU137" s="9">
        <f>IF(43&lt;=核心参数输入!$B$9*4,MAX(0,核心参数输入!$B$123-(AU136+AU130)),0)</f>
        <v>0</v>
      </c>
      <c r="AV137" s="9">
        <f>IF(44&lt;=核心参数输入!$B$9*4,MAX(0,核心参数输入!$B$123-(AV136+AV130)),0)</f>
        <v>0</v>
      </c>
      <c r="AW137" s="9">
        <f>IF(45&lt;=核心参数输入!$B$9*4,MAX(0,核心参数输入!$B$123-(AW136+AW130)),0)</f>
        <v>0</v>
      </c>
      <c r="AX137" s="9">
        <f>IF(46&lt;=核心参数输入!$B$9*4,MAX(0,核心参数输入!$B$123-(AX136+AX130)),0)</f>
        <v>0</v>
      </c>
      <c r="AY137" s="9">
        <f>IF(47&lt;=核心参数输入!$B$9*4,MAX(0,核心参数输入!$B$123-(AY136+AY130)),0)</f>
        <v>0</v>
      </c>
      <c r="AZ137" s="9">
        <f>IF(48&lt;=核心参数输入!$B$9*4,MAX(0,核心参数输入!$B$123-(AZ136+AZ130)),0)</f>
        <v>0</v>
      </c>
      <c r="BA137" s="9">
        <f>IF(49&lt;=核心参数输入!$B$9*4,MAX(0,核心参数输入!$B$123-(BA136+BA130)),0)</f>
        <v>0</v>
      </c>
      <c r="BB137" s="9">
        <f>IF(50&lt;=核心参数输入!$B$9*4,MAX(0,核心参数输入!$B$123-(BB136+BB130)),0)</f>
        <v>0</v>
      </c>
      <c r="BC137" s="9">
        <f>IF(51&lt;=核心参数输入!$B$9*4,MAX(0,核心参数输入!$B$123-(BC136+BC130)),0)</f>
        <v>0</v>
      </c>
      <c r="BD137" s="9">
        <f>IF(52&lt;=核心参数输入!$B$9*4,MAX(0,核心参数输入!$B$123-(BD136+BD130)),0)</f>
        <v>0</v>
      </c>
      <c r="BE137" s="9">
        <f>IF(53&lt;=核心参数输入!$B$9*4,MAX(0,核心参数输入!$B$123-(BE136+BE130)),0)</f>
        <v>0</v>
      </c>
      <c r="BF137" s="9">
        <f>IF(54&lt;=核心参数输入!$B$9*4,MAX(0,核心参数输入!$B$123-(BF136+BF130)),0)</f>
        <v>0</v>
      </c>
      <c r="BG137" s="9">
        <f>IF(55&lt;=核心参数输入!$B$9*4,MAX(0,核心参数输入!$B$123-(BG136+BG130)),0)</f>
        <v>0</v>
      </c>
      <c r="BH137" s="9">
        <f>IF(56&lt;=核心参数输入!$B$9*4,MAX(0,核心参数输入!$B$123-(BH136+BH130)),0)</f>
        <v>0</v>
      </c>
      <c r="BI137" s="9">
        <f>IF(57&lt;=核心参数输入!$B$9*4,MAX(0,核心参数输入!$B$123-(BI136+BI130)),0)</f>
        <v>0</v>
      </c>
      <c r="BJ137" s="9">
        <f>IF(58&lt;=核心参数输入!$B$9*4,MAX(0,核心参数输入!$B$123-(BJ136+BJ130)),0)</f>
        <v>0</v>
      </c>
      <c r="BK137" s="9">
        <f>IF(59&lt;=核心参数输入!$B$9*4,MAX(0,核心参数输入!$B$123-(BK136+BK130)),0)</f>
        <v>0</v>
      </c>
      <c r="BL137" s="9">
        <f>IF(60&lt;=核心参数输入!$B$9*4,MAX(0,核心参数输入!$B$123-(BL136+BL130)),0)</f>
        <v>0</v>
      </c>
      <c r="BM137" s="9">
        <f>IF(61&lt;=核心参数输入!$B$9*4,MAX(0,核心参数输入!$B$123-(BM136+BM130)),0)</f>
        <v>0</v>
      </c>
      <c r="BN137" s="9">
        <f>IF(62&lt;=核心参数输入!$B$9*4,MAX(0,核心参数输入!$B$123-(BN136+BN130)),0)</f>
        <v>0</v>
      </c>
      <c r="BO137" s="9">
        <f>IF(63&lt;=核心参数输入!$B$9*4,MAX(0,核心参数输入!$B$123-(BO136+BO130)),0)</f>
        <v>0</v>
      </c>
      <c r="BP137" s="9">
        <f>IF(64&lt;=核心参数输入!$B$9*4,MAX(0,核心参数输入!$B$123-(BP136+BP130)),0)</f>
        <v>0</v>
      </c>
      <c r="BQ137" s="9">
        <f>IF(65&lt;=核心参数输入!$B$9*4,MAX(0,核心参数输入!$B$123-(BQ136+BQ130)),0)</f>
        <v>0</v>
      </c>
      <c r="BR137" s="9">
        <f>IF(66&lt;=核心参数输入!$B$9*4,MAX(0,核心参数输入!$B$123-(BR136+BR130)),0)</f>
        <v>0</v>
      </c>
      <c r="BS137" s="9">
        <f>IF(67&lt;=核心参数输入!$B$9*4,MAX(0,核心参数输入!$B$123-(BS136+BS130)),0)</f>
        <v>0</v>
      </c>
      <c r="BT137" s="9">
        <f>IF(68&lt;=核心参数输入!$B$9*4,MAX(0,核心参数输入!$B$123-(BT136+BT130)),0)</f>
        <v>0</v>
      </c>
      <c r="BU137" s="9">
        <f>IF(69&lt;=核心参数输入!$B$9*4,MAX(0,核心参数输入!$B$123-(BU136+BU130)),0)</f>
        <v>0</v>
      </c>
      <c r="BV137" s="9">
        <f>IF(70&lt;=核心参数输入!$B$9*4,MAX(0,核心参数输入!$B$123-(BV136+BV130)),0)</f>
        <v>0</v>
      </c>
      <c r="BW137" s="9">
        <f>IF(71&lt;=核心参数输入!$B$9*4,MAX(0,核心参数输入!$B$123-(BW136+BW130)),0)</f>
        <v>0</v>
      </c>
      <c r="BX137" s="9">
        <f>IF(72&lt;=核心参数输入!$B$9*4,MAX(0,核心参数输入!$B$123-(BX136+BX130)),0)</f>
        <v>0</v>
      </c>
      <c r="BY137" s="9">
        <f>IF(73&lt;=核心参数输入!$B$9*4,MAX(0,核心参数输入!$B$123-(BY136+BY130)),0)</f>
        <v>0</v>
      </c>
      <c r="BZ137" s="9">
        <f>IF(74&lt;=核心参数输入!$B$9*4,MAX(0,核心参数输入!$B$123-(BZ136+BZ130)),0)</f>
        <v>0</v>
      </c>
      <c r="CA137" s="9">
        <f>IF(75&lt;=核心参数输入!$B$9*4,MAX(0,核心参数输入!$B$123-(CA136+CA130)),0)</f>
        <v>0</v>
      </c>
      <c r="CB137" s="9">
        <f>IF(76&lt;=核心参数输入!$B$9*4,MAX(0,核心参数输入!$B$123-(CB136+CB130)),0)</f>
        <v>0</v>
      </c>
      <c r="CC137" s="9">
        <f>IF(77&lt;=核心参数输入!$B$9*4,MAX(0,核心参数输入!$B$123-(CC136+CC130)),0)</f>
        <v>0</v>
      </c>
      <c r="CD137" s="9">
        <f>IF(78&lt;=核心参数输入!$B$9*4,MAX(0,核心参数输入!$B$123-(CD136+CD130)),0)</f>
        <v>0</v>
      </c>
      <c r="CE137" s="9">
        <f>IF(79&lt;=核心参数输入!$B$9*4,MAX(0,核心参数输入!$B$123-(CE136+CE130)),0)</f>
        <v>0</v>
      </c>
      <c r="CF137" s="9">
        <f>IF(80&lt;=核心参数输入!$B$9*4,MAX(0,核心参数输入!$B$123-(CF136+CF130)),0)</f>
        <v>0</v>
      </c>
      <c r="CG137" s="9">
        <f>IF(81&lt;=核心参数输入!$B$9*4,MAX(0,核心参数输入!$B$123-(CG136+CG130)),0)</f>
        <v>0</v>
      </c>
      <c r="CH137" s="9">
        <f>IF(82&lt;=核心参数输入!$B$9*4,MAX(0,核心参数输入!$B$123-(CH136+CH130)),0)</f>
        <v>0</v>
      </c>
      <c r="CI137" s="9">
        <f>IF(83&lt;=核心参数输入!$B$9*4,MAX(0,核心参数输入!$B$123-(CI136+CI130)),0)</f>
        <v>0</v>
      </c>
      <c r="CJ137" s="9">
        <f>IF(84&lt;=核心参数输入!$B$9*4,MAX(0,核心参数输入!$B$123-(CJ136+CJ130)),0)</f>
        <v>0</v>
      </c>
      <c r="CK137" s="9">
        <f>IF(85&lt;=核心参数输入!$B$9*4,MAX(0,核心参数输入!$B$123-(CK136+CK130)),0)</f>
        <v>0</v>
      </c>
      <c r="CL137" s="9">
        <f>IF(86&lt;=核心参数输入!$B$9*4,MAX(0,核心参数输入!$B$123-(CL136+CL130)),0)</f>
        <v>0</v>
      </c>
      <c r="CM137" s="9">
        <f>IF(87&lt;=核心参数输入!$B$9*4,MAX(0,核心参数输入!$B$123-(CM136+CM130)),0)</f>
        <v>0</v>
      </c>
      <c r="CN137" s="9">
        <f>IF(88&lt;=核心参数输入!$B$9*4,MAX(0,核心参数输入!$B$123-(CN136+CN130)),0)</f>
        <v>0</v>
      </c>
      <c r="CO137" s="9">
        <f>IF(89&lt;=核心参数输入!$B$9*4,MAX(0,核心参数输入!$B$123-(CO136+CO130)),0)</f>
        <v>0</v>
      </c>
      <c r="CP137" s="9">
        <f>IF(90&lt;=核心参数输入!$B$9*4,MAX(0,核心参数输入!$B$123-(CP136+CP130)),0)</f>
        <v>0</v>
      </c>
      <c r="CQ137" s="9">
        <f>IF(91&lt;=核心参数输入!$B$9*4,MAX(0,核心参数输入!$B$123-(CQ136+CQ130)),0)</f>
        <v>0</v>
      </c>
      <c r="CR137" s="9">
        <f>IF(92&lt;=核心参数输入!$B$9*4,MAX(0,核心参数输入!$B$123-(CR136+CR130)),0)</f>
        <v>0</v>
      </c>
      <c r="CS137" s="9">
        <f>IF(93&lt;=核心参数输入!$B$9*4,MAX(0,核心参数输入!$B$123-(CS136+CS130)),0)</f>
        <v>0</v>
      </c>
      <c r="CT137" s="9">
        <f>IF(94&lt;=核心参数输入!$B$9*4,MAX(0,核心参数输入!$B$123-(CT136+CT130)),0)</f>
        <v>0</v>
      </c>
      <c r="CU137" s="9">
        <f>IF(95&lt;=核心参数输入!$B$9*4,MAX(0,核心参数输入!$B$123-(CU136+CU130)),0)</f>
        <v>0</v>
      </c>
      <c r="CV137" s="9">
        <f>IF(96&lt;=核心参数输入!$B$9*4,MAX(0,核心参数输入!$B$123-(CV136+CV130)),0)</f>
        <v>0</v>
      </c>
      <c r="CW137" s="9">
        <f>IF(97&lt;=核心参数输入!$B$9*4,MAX(0,核心参数输入!$B$123-(CW136+CW130)),0)</f>
        <v>0</v>
      </c>
      <c r="CX137" s="9">
        <f>IF(98&lt;=核心参数输入!$B$9*4,MAX(0,核心参数输入!$B$123-(CX136+CX130)),0)</f>
        <v>0</v>
      </c>
      <c r="CY137" s="9">
        <f>IF(99&lt;=核心参数输入!$B$9*4,MAX(0,核心参数输入!$B$123-(CY136+CY130)),0)</f>
        <v>0</v>
      </c>
      <c r="CZ137" s="9">
        <f>IF(100&lt;=核心参数输入!$B$9*4,MAX(0,核心参数输入!$B$123-(CZ136+CZ130)),0)</f>
        <v>0</v>
      </c>
      <c r="DA137" s="9">
        <f>IF(101&lt;=核心参数输入!$B$9*4,MAX(0,核心参数输入!$B$123-(DA136+DA130)),0)</f>
        <v>0</v>
      </c>
      <c r="DB137" s="9">
        <f>IF(102&lt;=核心参数输入!$B$9*4,MAX(0,核心参数输入!$B$123-(DB136+DB130)),0)</f>
        <v>0</v>
      </c>
      <c r="DC137" s="9">
        <f>IF(103&lt;=核心参数输入!$B$9*4,MAX(0,核心参数输入!$B$123-(DC136+DC130)),0)</f>
        <v>0</v>
      </c>
      <c r="DD137" s="9">
        <f>IF(104&lt;=核心参数输入!$B$9*4,MAX(0,核心参数输入!$B$123-(DD136+DD130)),0)</f>
        <v>0</v>
      </c>
      <c r="DE137" s="9">
        <f>IF(105&lt;=核心参数输入!$B$9*4,MAX(0,核心参数输入!$B$123-(DE136+DE130)),0)</f>
        <v>0</v>
      </c>
      <c r="DF137" s="9">
        <f>IF(106&lt;=核心参数输入!$B$9*4,MAX(0,核心参数输入!$B$123-(DF136+DF130)),0)</f>
        <v>0</v>
      </c>
      <c r="DG137" s="9">
        <f>IF(107&lt;=核心参数输入!$B$9*4,MAX(0,核心参数输入!$B$123-(DG136+DG130)),0)</f>
        <v>0</v>
      </c>
      <c r="DH137" s="9">
        <f>IF(108&lt;=核心参数输入!$B$9*4,MAX(0,核心参数输入!$B$123-(DH136+DH130)),0)</f>
        <v>0</v>
      </c>
      <c r="DI137" s="9">
        <f>IF(109&lt;=核心参数输入!$B$9*4,MAX(0,核心参数输入!$B$123-(DI136+DI130)),0)</f>
        <v>0</v>
      </c>
      <c r="DJ137" s="9">
        <f>IF(110&lt;=核心参数输入!$B$9*4,MAX(0,核心参数输入!$B$123-(DJ136+DJ130)),0)</f>
        <v>0</v>
      </c>
      <c r="DK137" s="9">
        <f>IF(111&lt;=核心参数输入!$B$9*4,MAX(0,核心参数输入!$B$123-(DK136+DK130)),0)</f>
        <v>0</v>
      </c>
      <c r="DL137" s="9">
        <f>IF(112&lt;=核心参数输入!$B$9*4,MAX(0,核心参数输入!$B$123-(DL136+DL130)),0)</f>
        <v>0</v>
      </c>
      <c r="DM137" s="9">
        <f>IF(113&lt;=核心参数输入!$B$9*4,MAX(0,核心参数输入!$B$123-(DM136+DM130)),0)</f>
        <v>0</v>
      </c>
      <c r="DN137" s="9">
        <f>IF(114&lt;=核心参数输入!$B$9*4,MAX(0,核心参数输入!$B$123-(DN136+DN130)),0)</f>
        <v>0</v>
      </c>
      <c r="DO137" s="9">
        <f>IF(115&lt;=核心参数输入!$B$9*4,MAX(0,核心参数输入!$B$123-(DO136+DO130)),0)</f>
        <v>0</v>
      </c>
      <c r="DP137" s="9">
        <f>IF(116&lt;=核心参数输入!$B$9*4,MAX(0,核心参数输入!$B$123-(DP136+DP130)),0)</f>
        <v>0</v>
      </c>
      <c r="DQ137" s="9">
        <f>IF(117&lt;=核心参数输入!$B$9*4,MAX(0,核心参数输入!$B$123-(DQ136+DQ130)),0)</f>
        <v>0</v>
      </c>
      <c r="DR137" s="9">
        <f>IF(118&lt;=核心参数输入!$B$9*4,MAX(0,核心参数输入!$B$123-(DR136+DR130)),0)</f>
        <v>0</v>
      </c>
      <c r="DS137" s="9">
        <f>IF(119&lt;=核心参数输入!$B$9*4,MAX(0,核心参数输入!$B$123-(DS136+DS130)),0)</f>
        <v>0</v>
      </c>
      <c r="DT137" s="9">
        <f>IF(120&lt;=核心参数输入!$B$9*4,MAX(0,核心参数输入!$B$123-(DT136+DT130)),0)</f>
        <v>0</v>
      </c>
    </row>
    <row r="138" spans="1:124" ht="21" customHeight="1">
      <c r="A138" s="8" t="s">
        <v>524</v>
      </c>
      <c r="B138" s="8" t="s">
        <v>39</v>
      </c>
      <c r="C138" s="8"/>
      <c r="D138" s="9">
        <f>IF(0&lt;=核心参数输入!$B$9*4,MAX(0,D136+D130+D137-D135-核心参数输入!$B$123),0)</f>
        <v>0</v>
      </c>
      <c r="E138" s="9">
        <f>IF(1&lt;=核心参数输入!$B$9*4,MAX(0,E136+E130+E137-E135-核心参数输入!$B$123),0)</f>
        <v>0</v>
      </c>
      <c r="F138" s="9">
        <f>IF(2&lt;=核心参数输入!$B$9*4,MAX(0,F136+F130+F137-F135-核心参数输入!$B$123),0)</f>
        <v>0</v>
      </c>
      <c r="G138" s="9">
        <f>IF(3&lt;=核心参数输入!$B$9*4,MAX(0,G136+G130+G137-G135-核心参数输入!$B$123),0)</f>
        <v>0</v>
      </c>
      <c r="H138" s="9">
        <f>IF(4&lt;=核心参数输入!$B$9*4,MAX(0,H136+H130+H137-H135-核心参数输入!$B$123),0)</f>
        <v>0</v>
      </c>
      <c r="I138" s="9">
        <f>IF(5&lt;=核心参数输入!$B$9*4,MAX(0,I136+I130+I137-I135-核心参数输入!$B$123),0)</f>
        <v>0</v>
      </c>
      <c r="J138" s="9">
        <f>IF(6&lt;=核心参数输入!$B$9*4,MAX(0,J136+J130+J137-J135-核心参数输入!$B$123),0)</f>
        <v>0</v>
      </c>
      <c r="K138" s="9">
        <f>IF(7&lt;=核心参数输入!$B$9*4,MAX(0,K136+K130+K137-K135-核心参数输入!$B$123),0)</f>
        <v>0</v>
      </c>
      <c r="L138" s="9">
        <f>IF(8&lt;=核心参数输入!$B$9*4,MAX(0,L136+L130+L137-L135-核心参数输入!$B$123),0)</f>
        <v>0</v>
      </c>
      <c r="M138" s="9">
        <f>IF(9&lt;=核心参数输入!$B$9*4,MAX(0,M136+M130+M137-M135-核心参数输入!$B$123),0)</f>
        <v>0</v>
      </c>
      <c r="N138" s="9">
        <f>IF(10&lt;=核心参数输入!$B$9*4,MAX(0,N136+N130+N137-N135-核心参数输入!$B$123),0)</f>
        <v>0</v>
      </c>
      <c r="O138" s="9">
        <f>IF(11&lt;=核心参数输入!$B$9*4,MAX(0,O136+O130+O137-O135-核心参数输入!$B$123),0)</f>
        <v>0</v>
      </c>
      <c r="P138" s="9">
        <f>IF(12&lt;=核心参数输入!$B$9*4,MAX(0,P136+P130+P137-P135-核心参数输入!$B$123),0)</f>
        <v>0</v>
      </c>
      <c r="Q138" s="9">
        <f>IF(13&lt;=核心参数输入!$B$9*4,MAX(0,Q136+Q130+Q137-Q135-核心参数输入!$B$123),0)</f>
        <v>1003.3426562499999</v>
      </c>
      <c r="R138" s="9">
        <f>IF(14&lt;=核心参数输入!$B$9*4,MAX(0,R136+R130+R137-R135-核心参数输入!$B$123),0)</f>
        <v>2498.6248252350001</v>
      </c>
      <c r="S138" s="9">
        <f>IF(15&lt;=核心参数输入!$B$9*4,MAX(0,S136+S130+S137-S135-核心参数输入!$B$123),0)</f>
        <v>841.83462866571563</v>
      </c>
      <c r="T138" s="9">
        <f>IF(16&lt;=核心参数输入!$B$9*4,MAX(0,T136+T130+T137-T135-核心参数输入!$B$123),0)</f>
        <v>0</v>
      </c>
      <c r="U138" s="9">
        <f>IF(17&lt;=核心参数输入!$B$9*4,MAX(0,U136+U130+U137-U135-核心参数输入!$B$123),0)</f>
        <v>2264.9985411391094</v>
      </c>
      <c r="V138" s="9">
        <f>IF(18&lt;=核心参数输入!$B$9*4,MAX(0,V136+V130+V137-V135-核心参数输入!$B$123),0)</f>
        <v>0</v>
      </c>
      <c r="W138" s="9">
        <f>IF(19&lt;=核心参数输入!$B$9*4,MAX(0,W136+W130+W137-W135-核心参数输入!$B$123),0)</f>
        <v>0</v>
      </c>
      <c r="X138" s="9">
        <f>IF(20&lt;=核心参数输入!$B$9*4,MAX(0,X136+X130+X137-X135-核心参数输入!$B$123),0)</f>
        <v>0</v>
      </c>
      <c r="Y138" s="9">
        <f>IF(21&lt;=核心参数输入!$B$9*4,MAX(0,Y136+Y130+Y137-Y135-核心参数输入!$B$123),0)</f>
        <v>0</v>
      </c>
      <c r="Z138" s="9">
        <f>IF(22&lt;=核心参数输入!$B$9*4,MAX(0,Z136+Z130+Z137-Z135-核心参数输入!$B$123),0)</f>
        <v>0</v>
      </c>
      <c r="AA138" s="9">
        <f>IF(23&lt;=核心参数输入!$B$9*4,MAX(0,AA136+AA130+AA137-AA135-核心参数输入!$B$123),0)</f>
        <v>0</v>
      </c>
      <c r="AB138" s="9">
        <f>IF(24&lt;=核心参数输入!$B$9*4,MAX(0,AB136+AB130+AB137-AB135-核心参数输入!$B$123),0)</f>
        <v>0</v>
      </c>
      <c r="AC138" s="9">
        <f>IF(25&lt;=核心参数输入!$B$9*4,MAX(0,AC136+AC130+AC137-AC135-核心参数输入!$B$123),0)</f>
        <v>0</v>
      </c>
      <c r="AD138" s="9">
        <f>IF(26&lt;=核心参数输入!$B$9*4,MAX(0,AD136+AD130+AD137-AD135-核心参数输入!$B$123),0)</f>
        <v>0</v>
      </c>
      <c r="AE138" s="9">
        <f>IF(27&lt;=核心参数输入!$B$9*4,MAX(0,AE136+AE130+AE137-AE135-核心参数输入!$B$123),0)</f>
        <v>0</v>
      </c>
      <c r="AF138" s="9">
        <f>IF(28&lt;=核心参数输入!$B$9*4,MAX(0,AF136+AF130+AF137-AF135-核心参数输入!$B$123),0)</f>
        <v>0</v>
      </c>
      <c r="AG138" s="9">
        <f>IF(29&lt;=核心参数输入!$B$9*4,MAX(0,AG136+AG130+AG137-AG135-核心参数输入!$B$123),0)</f>
        <v>0</v>
      </c>
      <c r="AH138" s="9">
        <f>IF(30&lt;=核心参数输入!$B$9*4,MAX(0,AH136+AH130+AH137-AH135-核心参数输入!$B$123),0)</f>
        <v>0</v>
      </c>
      <c r="AI138" s="9">
        <f>IF(31&lt;=核心参数输入!$B$9*4,MAX(0,AI136+AI130+AI137-AI135-核心参数输入!$B$123),0)</f>
        <v>0</v>
      </c>
      <c r="AJ138" s="9">
        <f>IF(32&lt;=核心参数输入!$B$9*4,MAX(0,AJ136+AJ130+AJ137-AJ135-核心参数输入!$B$123),0)</f>
        <v>0</v>
      </c>
      <c r="AK138" s="9">
        <f>IF(33&lt;=核心参数输入!$B$9*4,MAX(0,AK136+AK130+AK137-AK135-核心参数输入!$B$123),0)</f>
        <v>0</v>
      </c>
      <c r="AL138" s="9">
        <f>IF(34&lt;=核心参数输入!$B$9*4,MAX(0,AL136+AL130+AL137-AL135-核心参数输入!$B$123),0)</f>
        <v>0</v>
      </c>
      <c r="AM138" s="9">
        <f>IF(35&lt;=核心参数输入!$B$9*4,MAX(0,AM136+AM130+AM137-AM135-核心参数输入!$B$123),0)</f>
        <v>0</v>
      </c>
      <c r="AN138" s="9">
        <f>IF(36&lt;=核心参数输入!$B$9*4,MAX(0,AN136+AN130+AN137-AN135-核心参数输入!$B$123),0)</f>
        <v>0</v>
      </c>
      <c r="AO138" s="9">
        <f>IF(37&lt;=核心参数输入!$B$9*4,MAX(0,AO136+AO130+AO137-AO135-核心参数输入!$B$123),0)</f>
        <v>0</v>
      </c>
      <c r="AP138" s="9">
        <f>IF(38&lt;=核心参数输入!$B$9*4,MAX(0,AP136+AP130+AP137-AP135-核心参数输入!$B$123),0)</f>
        <v>0</v>
      </c>
      <c r="AQ138" s="9">
        <f>IF(39&lt;=核心参数输入!$B$9*4,MAX(0,AQ136+AQ130+AQ137-AQ135-核心参数输入!$B$123),0)</f>
        <v>0</v>
      </c>
      <c r="AR138" s="9">
        <f>IF(40&lt;=核心参数输入!$B$9*4,MAX(0,AR136+AR130+AR137-AR135-核心参数输入!$B$123),0)</f>
        <v>0</v>
      </c>
      <c r="AS138" s="9">
        <f>IF(41&lt;=核心参数输入!$B$9*4,MAX(0,AS136+AS130+AS137-AS135-核心参数输入!$B$123),0)</f>
        <v>187.88981403315699</v>
      </c>
      <c r="AT138" s="9">
        <f>IF(42&lt;=核心参数输入!$B$9*4,MAX(0,AT136+AT130+AT137-AT135-核心参数输入!$B$123),0)</f>
        <v>187.88981403315699</v>
      </c>
      <c r="AU138" s="9">
        <f>IF(43&lt;=核心参数输入!$B$9*4,MAX(0,AU136+AU130+AU137-AU135-核心参数输入!$B$123),0)</f>
        <v>187.88981403315699</v>
      </c>
      <c r="AV138" s="9">
        <f>IF(44&lt;=核心参数输入!$B$9*4,MAX(0,AV136+AV130+AV137-AV135-核心参数输入!$B$123),0)</f>
        <v>187.88981403315699</v>
      </c>
      <c r="AW138" s="9">
        <f>IF(45&lt;=核心参数输入!$B$9*4,MAX(0,AW136+AW130+AW137-AW135-核心参数输入!$B$123),0)</f>
        <v>190.95240411828576</v>
      </c>
      <c r="AX138" s="9">
        <f>IF(46&lt;=核心参数输入!$B$9*4,MAX(0,AX136+AX130+AX137-AX135-核心参数输入!$B$123),0)</f>
        <v>190.95240411828576</v>
      </c>
      <c r="AY138" s="9">
        <f>IF(47&lt;=核心参数输入!$B$9*4,MAX(0,AY136+AY130+AY137-AY135-核心参数输入!$B$123),0)</f>
        <v>190.95240411828576</v>
      </c>
      <c r="AZ138" s="9">
        <f>IF(48&lt;=核心参数输入!$B$9*4,MAX(0,AZ136+AZ130+AZ137-AZ135-核心参数输入!$B$123),0)</f>
        <v>190.95240411828576</v>
      </c>
      <c r="BA138" s="9">
        <f>IF(49&lt;=核心参数输入!$B$9*4,MAX(0,BA136+BA130+BA137-BA135-核心参数输入!$B$123),0)</f>
        <v>194.05231791218421</v>
      </c>
      <c r="BB138" s="9">
        <f>IF(50&lt;=核心参数输入!$B$9*4,MAX(0,BB136+BB130+BB137-BB135-核心参数输入!$B$123),0)</f>
        <v>194.05231791218421</v>
      </c>
      <c r="BC138" s="9">
        <f>IF(51&lt;=核心参数输入!$B$9*4,MAX(0,BC136+BC130+BC137-BC135-核心参数输入!$B$123),0)</f>
        <v>194.05231791218421</v>
      </c>
      <c r="BD138" s="9">
        <f>IF(52&lt;=核心参数输入!$B$9*4,MAX(0,BD136+BD130+BD137-BD135-核心参数输入!$B$123),0)</f>
        <v>194.05231791218421</v>
      </c>
      <c r="BE138" s="9">
        <f>IF(53&lt;=核心参数输入!$B$9*4,MAX(0,BE136+BE130+BE137-BE135-核心参数输入!$B$123),0)</f>
        <v>197.18994296763356</v>
      </c>
      <c r="BF138" s="9">
        <f>IF(54&lt;=核心参数输入!$B$9*4,MAX(0,BF136+BF130+BF137-BF135-核心参数输入!$B$123),0)</f>
        <v>197.18994296763356</v>
      </c>
      <c r="BG138" s="9">
        <f>IF(55&lt;=核心参数输入!$B$9*4,MAX(0,BG136+BG130+BG137-BG135-核心参数输入!$B$123),0)</f>
        <v>197.18994296763356</v>
      </c>
      <c r="BH138" s="9">
        <f>IF(56&lt;=核心参数输入!$B$9*4,MAX(0,BH136+BH130+BH137-BH135-核心参数输入!$B$123),0)</f>
        <v>197.18994296763356</v>
      </c>
      <c r="BI138" s="9">
        <f>IF(57&lt;=核心参数输入!$B$9*4,MAX(0,BI136+BI130+BI137-BI135-核心参数输入!$B$123),0)</f>
        <v>200.36566920464995</v>
      </c>
      <c r="BJ138" s="9">
        <f>IF(58&lt;=核心参数输入!$B$9*4,MAX(0,BJ136+BJ130+BJ137-BJ135-核心参数输入!$B$123),0)</f>
        <v>200.36566920464995</v>
      </c>
      <c r="BK138" s="9">
        <f>IF(59&lt;=核心参数输入!$B$9*4,MAX(0,BK136+BK130+BK137-BK135-核心参数输入!$B$123),0)</f>
        <v>200.36566920464995</v>
      </c>
      <c r="BL138" s="9">
        <f>IF(60&lt;=核心参数输入!$B$9*4,MAX(0,BL136+BL130+BL137-BL135-核心参数输入!$B$123),0)</f>
        <v>200.36566920464995</v>
      </c>
      <c r="BM138" s="9">
        <f>IF(61&lt;=核心参数输入!$B$9*4,MAX(0,BM136+BM130+BM137-BM135-核心参数输入!$B$123),0)</f>
        <v>203.57988887707162</v>
      </c>
      <c r="BN138" s="9">
        <f>IF(62&lt;=核心参数输入!$B$9*4,MAX(0,BN136+BN130+BN137-BN135-核心参数输入!$B$123),0)</f>
        <v>203.57988887707162</v>
      </c>
      <c r="BO138" s="9">
        <f>IF(63&lt;=核心参数输入!$B$9*4,MAX(0,BO136+BO130+BO137-BO135-核心参数输入!$B$123),0)</f>
        <v>203.57988887707162</v>
      </c>
      <c r="BP138" s="9">
        <f>IF(64&lt;=核心参数输入!$B$9*4,MAX(0,BP136+BP130+BP137-BP135-核心参数输入!$B$123),0)</f>
        <v>203.57988887707162</v>
      </c>
      <c r="BQ138" s="9">
        <f>IF(65&lt;=核心参数输入!$B$9*4,MAX(0,BQ136+BQ130+BQ137-BQ135-核心参数输入!$B$123),0)</f>
        <v>206.83299653726678</v>
      </c>
      <c r="BR138" s="9">
        <f>IF(66&lt;=核心参数输入!$B$9*4,MAX(0,BR136+BR130+BR137-BR135-核心参数输入!$B$123),0)</f>
        <v>206.83299653726678</v>
      </c>
      <c r="BS138" s="9">
        <f>IF(67&lt;=核心参数输入!$B$9*4,MAX(0,BS136+BS130+BS137-BS135-核心参数输入!$B$123),0)</f>
        <v>206.83299653726678</v>
      </c>
      <c r="BT138" s="9">
        <f>IF(68&lt;=核心参数输入!$B$9*4,MAX(0,BT136+BT130+BT137-BT135-核心参数输入!$B$123),0)</f>
        <v>206.83299653726678</v>
      </c>
      <c r="BU138" s="9">
        <f>IF(69&lt;=核心参数输入!$B$9*4,MAX(0,BU136+BU130+BU137-BU135-核心参数输入!$B$123),0)</f>
        <v>210.12538899890549</v>
      </c>
      <c r="BV138" s="9">
        <f>IF(70&lt;=核心参数输入!$B$9*4,MAX(0,BV136+BV130+BV137-BV135-核心参数输入!$B$123),0)</f>
        <v>210.12538899890549</v>
      </c>
      <c r="BW138" s="9">
        <f>IF(71&lt;=核心参数输入!$B$9*4,MAX(0,BW136+BW130+BW137-BW135-核心参数输入!$B$123),0)</f>
        <v>210.12538899890549</v>
      </c>
      <c r="BX138" s="9">
        <f>IF(72&lt;=核心参数输入!$B$9*4,MAX(0,BX136+BX130+BX137-BX135-核心参数输入!$B$123),0)</f>
        <v>210.12538899890549</v>
      </c>
      <c r="BY138" s="9">
        <f>IF(73&lt;=核心参数输入!$B$9*4,MAX(0,BY136+BY130+BY137-BY135-核心参数输入!$B$123),0)</f>
        <v>213.45746529774047</v>
      </c>
      <c r="BZ138" s="9">
        <f>IF(74&lt;=核心参数输入!$B$9*4,MAX(0,BZ136+BZ130+BZ137-BZ135-核心参数输入!$B$123),0)</f>
        <v>213.45746529774047</v>
      </c>
      <c r="CA138" s="9">
        <f>IF(75&lt;=核心参数输入!$B$9*4,MAX(0,CA136+CA130+CA137-CA135-核心参数输入!$B$123),0)</f>
        <v>213.45746529774047</v>
      </c>
      <c r="CB138" s="9">
        <f>IF(76&lt;=核心参数输入!$B$9*4,MAX(0,CB136+CB130+CB137-CB135-核心参数输入!$B$123),0)</f>
        <v>213.45746529774047</v>
      </c>
      <c r="CC138" s="9">
        <f>IF(77&lt;=核心参数输入!$B$9*4,MAX(0,CC136+CC130+CC137-CC135-核心参数输入!$B$123),0)</f>
        <v>216.829626650335</v>
      </c>
      <c r="CD138" s="9">
        <f>IF(78&lt;=核心参数输入!$B$9*4,MAX(0,CD136+CD130+CD137-CD135-核心参数输入!$B$123),0)</f>
        <v>216.829626650335</v>
      </c>
      <c r="CE138" s="9">
        <f>IF(79&lt;=核心参数输入!$B$9*4,MAX(0,CE136+CE130+CE137-CE135-核心参数输入!$B$123),0)</f>
        <v>216.829626650335</v>
      </c>
      <c r="CF138" s="9">
        <f>IF(80&lt;=核心参数输入!$B$9*4,MAX(0,CF136+CF130+CF137-CF135-核心参数输入!$B$123),0)</f>
        <v>216.829626650335</v>
      </c>
      <c r="CG138" s="9">
        <f>IF(81&lt;=核心参数输入!$B$9*4,MAX(0,CG136+CG130+CG137-CG135-核心参数输入!$B$123),0)</f>
        <v>0</v>
      </c>
      <c r="CH138" s="9">
        <f>IF(82&lt;=核心参数输入!$B$9*4,MAX(0,CH136+CH130+CH137-CH135-核心参数输入!$B$123),0)</f>
        <v>0</v>
      </c>
      <c r="CI138" s="9">
        <f>IF(83&lt;=核心参数输入!$B$9*4,MAX(0,CI136+CI130+CI137-CI135-核心参数输入!$B$123),0)</f>
        <v>0</v>
      </c>
      <c r="CJ138" s="9">
        <f>IF(84&lt;=核心参数输入!$B$9*4,MAX(0,CJ136+CJ130+CJ137-CJ135-核心参数输入!$B$123),0)</f>
        <v>0</v>
      </c>
      <c r="CK138" s="9">
        <f>IF(85&lt;=核心参数输入!$B$9*4,MAX(0,CK136+CK130+CK137-CK135-核心参数输入!$B$123),0)</f>
        <v>0</v>
      </c>
      <c r="CL138" s="9">
        <f>IF(86&lt;=核心参数输入!$B$9*4,MAX(0,CL136+CL130+CL137-CL135-核心参数输入!$B$123),0)</f>
        <v>0</v>
      </c>
      <c r="CM138" s="9">
        <f>IF(87&lt;=核心参数输入!$B$9*4,MAX(0,CM136+CM130+CM137-CM135-核心参数输入!$B$123),0)</f>
        <v>0</v>
      </c>
      <c r="CN138" s="9">
        <f>IF(88&lt;=核心参数输入!$B$9*4,MAX(0,CN136+CN130+CN137-CN135-核心参数输入!$B$123),0)</f>
        <v>0</v>
      </c>
      <c r="CO138" s="9">
        <f>IF(89&lt;=核心参数输入!$B$9*4,MAX(0,CO136+CO130+CO137-CO135-核心参数输入!$B$123),0)</f>
        <v>0</v>
      </c>
      <c r="CP138" s="9">
        <f>IF(90&lt;=核心参数输入!$B$9*4,MAX(0,CP136+CP130+CP137-CP135-核心参数输入!$B$123),0)</f>
        <v>0</v>
      </c>
      <c r="CQ138" s="9">
        <f>IF(91&lt;=核心参数输入!$B$9*4,MAX(0,CQ136+CQ130+CQ137-CQ135-核心参数输入!$B$123),0)</f>
        <v>0</v>
      </c>
      <c r="CR138" s="9">
        <f>IF(92&lt;=核心参数输入!$B$9*4,MAX(0,CR136+CR130+CR137-CR135-核心参数输入!$B$123),0)</f>
        <v>0</v>
      </c>
      <c r="CS138" s="9">
        <f>IF(93&lt;=核心参数输入!$B$9*4,MAX(0,CS136+CS130+CS137-CS135-核心参数输入!$B$123),0)</f>
        <v>0</v>
      </c>
      <c r="CT138" s="9">
        <f>IF(94&lt;=核心参数输入!$B$9*4,MAX(0,CT136+CT130+CT137-CT135-核心参数输入!$B$123),0)</f>
        <v>0</v>
      </c>
      <c r="CU138" s="9">
        <f>IF(95&lt;=核心参数输入!$B$9*4,MAX(0,CU136+CU130+CU137-CU135-核心参数输入!$B$123),0)</f>
        <v>0</v>
      </c>
      <c r="CV138" s="9">
        <f>IF(96&lt;=核心参数输入!$B$9*4,MAX(0,CV136+CV130+CV137-CV135-核心参数输入!$B$123),0)</f>
        <v>0</v>
      </c>
      <c r="CW138" s="9">
        <f>IF(97&lt;=核心参数输入!$B$9*4,MAX(0,CW136+CW130+CW137-CW135-核心参数输入!$B$123),0)</f>
        <v>0</v>
      </c>
      <c r="CX138" s="9">
        <f>IF(98&lt;=核心参数输入!$B$9*4,MAX(0,CX136+CX130+CX137-CX135-核心参数输入!$B$123),0)</f>
        <v>0</v>
      </c>
      <c r="CY138" s="9">
        <f>IF(99&lt;=核心参数输入!$B$9*4,MAX(0,CY136+CY130+CY137-CY135-核心参数输入!$B$123),0)</f>
        <v>0</v>
      </c>
      <c r="CZ138" s="9">
        <f>IF(100&lt;=核心参数输入!$B$9*4,MAX(0,CZ136+CZ130+CZ137-CZ135-核心参数输入!$B$123),0)</f>
        <v>0</v>
      </c>
      <c r="DA138" s="9">
        <f>IF(101&lt;=核心参数输入!$B$9*4,MAX(0,DA136+DA130+DA137-DA135-核心参数输入!$B$123),0)</f>
        <v>0</v>
      </c>
      <c r="DB138" s="9">
        <f>IF(102&lt;=核心参数输入!$B$9*4,MAX(0,DB136+DB130+DB137-DB135-核心参数输入!$B$123),0)</f>
        <v>0</v>
      </c>
      <c r="DC138" s="9">
        <f>IF(103&lt;=核心参数输入!$B$9*4,MAX(0,DC136+DC130+DC137-DC135-核心参数输入!$B$123),0)</f>
        <v>0</v>
      </c>
      <c r="DD138" s="9">
        <f>IF(104&lt;=核心参数输入!$B$9*4,MAX(0,DD136+DD130+DD137-DD135-核心参数输入!$B$123),0)</f>
        <v>0</v>
      </c>
      <c r="DE138" s="9">
        <f>IF(105&lt;=核心参数输入!$B$9*4,MAX(0,DE136+DE130+DE137-DE135-核心参数输入!$B$123),0)</f>
        <v>0</v>
      </c>
      <c r="DF138" s="9">
        <f>IF(106&lt;=核心参数输入!$B$9*4,MAX(0,DF136+DF130+DF137-DF135-核心参数输入!$B$123),0)</f>
        <v>0</v>
      </c>
      <c r="DG138" s="9">
        <f>IF(107&lt;=核心参数输入!$B$9*4,MAX(0,DG136+DG130+DG137-DG135-核心参数输入!$B$123),0)</f>
        <v>0</v>
      </c>
      <c r="DH138" s="9">
        <f>IF(108&lt;=核心参数输入!$B$9*4,MAX(0,DH136+DH130+DH137-DH135-核心参数输入!$B$123),0)</f>
        <v>0</v>
      </c>
      <c r="DI138" s="9">
        <f>IF(109&lt;=核心参数输入!$B$9*4,MAX(0,DI136+DI130+DI137-DI135-核心参数输入!$B$123),0)</f>
        <v>0</v>
      </c>
      <c r="DJ138" s="9">
        <f>IF(110&lt;=核心参数输入!$B$9*4,MAX(0,DJ136+DJ130+DJ137-DJ135-核心参数输入!$B$123),0)</f>
        <v>0</v>
      </c>
      <c r="DK138" s="9">
        <f>IF(111&lt;=核心参数输入!$B$9*4,MAX(0,DK136+DK130+DK137-DK135-核心参数输入!$B$123),0)</f>
        <v>0</v>
      </c>
      <c r="DL138" s="9">
        <f>IF(112&lt;=核心参数输入!$B$9*4,MAX(0,DL136+DL130+DL137-DL135-核心参数输入!$B$123),0)</f>
        <v>0</v>
      </c>
      <c r="DM138" s="9">
        <f>IF(113&lt;=核心参数输入!$B$9*4,MAX(0,DM136+DM130+DM137-DM135-核心参数输入!$B$123),0)</f>
        <v>0</v>
      </c>
      <c r="DN138" s="9">
        <f>IF(114&lt;=核心参数输入!$B$9*4,MAX(0,DN136+DN130+DN137-DN135-核心参数输入!$B$123),0)</f>
        <v>0</v>
      </c>
      <c r="DO138" s="9">
        <f>IF(115&lt;=核心参数输入!$B$9*4,MAX(0,DO136+DO130+DO137-DO135-核心参数输入!$B$123),0)</f>
        <v>0</v>
      </c>
      <c r="DP138" s="9">
        <f>IF(116&lt;=核心参数输入!$B$9*4,MAX(0,DP136+DP130+DP137-DP135-核心参数输入!$B$123),0)</f>
        <v>0</v>
      </c>
      <c r="DQ138" s="9">
        <f>IF(117&lt;=核心参数输入!$B$9*4,MAX(0,DQ136+DQ130+DQ137-DQ135-核心参数输入!$B$123),0)</f>
        <v>0</v>
      </c>
      <c r="DR138" s="9">
        <f>IF(118&lt;=核心参数输入!$B$9*4,MAX(0,DR136+DR130+DR137-DR135-核心参数输入!$B$123),0)</f>
        <v>0</v>
      </c>
      <c r="DS138" s="9">
        <f>IF(119&lt;=核心参数输入!$B$9*4,MAX(0,DS136+DS130+DS137-DS135-核心参数输入!$B$123),0)</f>
        <v>0</v>
      </c>
      <c r="DT138" s="9">
        <f>IF(120&lt;=核心参数输入!$B$9*4,MAX(0,DT136+DT130+DT137-DT135-核心参数输入!$B$123),0)</f>
        <v>0</v>
      </c>
    </row>
    <row r="139" spans="1:124" ht="21" customHeight="1">
      <c r="A139" s="8" t="s">
        <v>525</v>
      </c>
      <c r="B139" s="8" t="s">
        <v>39</v>
      </c>
      <c r="C139" s="8"/>
      <c r="D139" s="9">
        <f>IF(0&lt;=核心参数输入!$B$9*4,D136+D130+D137-D138,0)</f>
        <v>0</v>
      </c>
      <c r="E139" s="9">
        <f>IF(1&lt;=核心参数输入!$B$9*4,E136+E130+E137-E138,0)</f>
        <v>0</v>
      </c>
      <c r="F139" s="9">
        <f>IF(2&lt;=核心参数输入!$B$9*4,F136+F130+F137-F138,0)</f>
        <v>0</v>
      </c>
      <c r="G139" s="9">
        <f>IF(3&lt;=核心参数输入!$B$9*4,G136+G130+G137-G138,0)</f>
        <v>0</v>
      </c>
      <c r="H139" s="9">
        <f>IF(4&lt;=核心参数输入!$B$9*4,H136+H130+H137-H138,0)</f>
        <v>0</v>
      </c>
      <c r="I139" s="9">
        <f>IF(5&lt;=核心参数输入!$B$9*4,I136+I130+I137-I138,0)</f>
        <v>0</v>
      </c>
      <c r="J139" s="9">
        <f>IF(6&lt;=核心参数输入!$B$9*4,J136+J130+J137-J138,0)</f>
        <v>0</v>
      </c>
      <c r="K139" s="9">
        <f>IF(7&lt;=核心参数输入!$B$9*4,K136+K130+K137-K138,0)</f>
        <v>0</v>
      </c>
      <c r="L139" s="9">
        <f>IF(8&lt;=核心参数输入!$B$9*4,L136+L130+L137-L138,0)</f>
        <v>0</v>
      </c>
      <c r="M139" s="9">
        <f>IF(9&lt;=核心参数输入!$B$9*4,M136+M130+M137-M138,0)</f>
        <v>0</v>
      </c>
      <c r="N139" s="9">
        <f>IF(10&lt;=核心参数输入!$B$9*4,N136+N130+N137-N138,0)</f>
        <v>0</v>
      </c>
      <c r="O139" s="9">
        <f>IF(11&lt;=核心参数输入!$B$9*4,O136+O130+O137-O138,0)</f>
        <v>0</v>
      </c>
      <c r="P139" s="9">
        <f>IF(12&lt;=核心参数输入!$B$9*4,P136+P130+P137-P138,0)</f>
        <v>0</v>
      </c>
      <c r="Q139" s="9">
        <f>IF(13&lt;=核心参数输入!$B$9*4,Q136+Q130+Q137-Q138,0)</f>
        <v>0</v>
      </c>
      <c r="R139" s="9">
        <f>IF(14&lt;=核心参数输入!$B$9*4,R136+R130+R137-R138,0)</f>
        <v>0</v>
      </c>
      <c r="S139" s="9">
        <f>IF(15&lt;=核心参数输入!$B$9*4,S136+S130+S137-S138,0)</f>
        <v>1692.723284539285</v>
      </c>
      <c r="T139" s="9">
        <f>IF(16&lt;=核心参数输入!$B$9*4,T136+T130+T137-T138,0)</f>
        <v>0</v>
      </c>
      <c r="U139" s="9">
        <f>IF(17&lt;=核心参数输入!$B$9*4,U136+U130+U137-U138,0)</f>
        <v>1032.9262538743155</v>
      </c>
      <c r="V139" s="9">
        <f>IF(18&lt;=核心参数输入!$B$9*4,V136+V130+V137-V138,0)</f>
        <v>4683.9769871049029</v>
      </c>
      <c r="W139" s="9">
        <f>IF(19&lt;=核心参数输入!$B$9*4,W136+W130+W137-W138,0)</f>
        <v>8353.2637624802646</v>
      </c>
      <c r="X139" s="9">
        <f>IF(20&lt;=核心参数输入!$B$9*4,X136+X130+X137-X138,0)</f>
        <v>7777.5722942861175</v>
      </c>
      <c r="Y139" s="9">
        <f>IF(21&lt;=核心参数输入!$B$9*4,Y136+Y130+Y137-Y138,0)</f>
        <v>10883.832652471003</v>
      </c>
      <c r="Z139" s="9">
        <f>IF(22&lt;=核心参数输入!$B$9*4,Z136+Z130+Z137-Z138,0)</f>
        <v>13680.517020585718</v>
      </c>
      <c r="AA139" s="9">
        <f>IF(23&lt;=核心参数输入!$B$9*4,AA136+AA130+AA137-AA138,0)</f>
        <v>16491.083575783141</v>
      </c>
      <c r="AB139" s="9">
        <f>IF(24&lt;=核心参数输入!$B$9*4,AB136+AB130+AB137-AB138,0)</f>
        <v>15052.318032348991</v>
      </c>
      <c r="AC139" s="9">
        <f>IF(25&lt;=核心参数输入!$B$9*4,AC136+AC130+AC137-AC138,0)</f>
        <v>15999.806245183529</v>
      </c>
      <c r="AD139" s="9">
        <f>IF(26&lt;=核心参数输入!$B$9*4,AD136+AD130+AD137-AD138,0)</f>
        <v>15979.372446277366</v>
      </c>
      <c r="AE139" s="9">
        <f>IF(27&lt;=核心参数输入!$B$9*4,AE136+AE130+AE137-AE138,0)</f>
        <v>15963.635454000854</v>
      </c>
      <c r="AF139" s="9">
        <f>IF(28&lt;=核心参数输入!$B$9*4,AF136+AF130+AF137-AF138,0)</f>
        <v>11689.380982639706</v>
      </c>
      <c r="AG139" s="9">
        <f>IF(29&lt;=核心参数输入!$B$9*4,AG136+AG130+AG137-AG138,0)</f>
        <v>11730.919499937236</v>
      </c>
      <c r="AH139" s="9">
        <f>IF(30&lt;=核心参数输入!$B$9*4,AH136+AH130+AH137-AH138,0)</f>
        <v>11774.841646599312</v>
      </c>
      <c r="AI139" s="9">
        <f>IF(31&lt;=核心参数输入!$B$9*4,AI136+AI130+AI137-AI138,0)</f>
        <v>11818.763793261389</v>
      </c>
      <c r="AJ139" s="9">
        <f>IF(32&lt;=核心参数输入!$B$9*4,AJ136+AJ130+AJ137-AJ138,0)</f>
        <v>7599.471654209181</v>
      </c>
      <c r="AK139" s="9">
        <f>IF(33&lt;=核心参数输入!$B$9*4,AK136+AK130+AK137-AK138,0)</f>
        <v>7691.3467210111894</v>
      </c>
      <c r="AL139" s="9">
        <f>IF(34&lt;=核心参数输入!$B$9*4,AL136+AL130+AL137-AL138,0)</f>
        <v>7783.2217878131978</v>
      </c>
      <c r="AM139" s="9">
        <f>IF(35&lt;=核心参数输入!$B$9*4,AM136+AM130+AM137-AM138,0)</f>
        <v>7875.0968546152062</v>
      </c>
      <c r="AN139" s="9">
        <f>IF(36&lt;=核心参数输入!$B$9*4,AN136+AN130+AN137-AN138,0)</f>
        <v>3703.7576357029293</v>
      </c>
      <c r="AO139" s="9">
        <f>IF(37&lt;=核心参数输入!$B$9*4,AO136+AO130+AO137-AO138,0)</f>
        <v>3843.6217982057678</v>
      </c>
      <c r="AP139" s="9">
        <f>IF(38&lt;=核心参数输入!$B$9*4,AP136+AP130+AP137-AP138,0)</f>
        <v>3983.4859607086064</v>
      </c>
      <c r="AQ139" s="9">
        <f>IF(39&lt;=核心参数输入!$B$9*4,AQ136+AQ130+AQ137-AQ138,0)</f>
        <v>4123.350123211445</v>
      </c>
      <c r="AR139" s="9">
        <f>IF(40&lt;=核心参数输入!$B$9*4,AR136+AR130+AR137-AR138,0)</f>
        <v>0</v>
      </c>
      <c r="AS139" s="9">
        <f>IF(41&lt;=核心参数输入!$B$9*4,AS136+AS130+AS137-AS138,0)</f>
        <v>0</v>
      </c>
      <c r="AT139" s="9">
        <f>IF(42&lt;=核心参数输入!$B$9*4,AT136+AT130+AT137-AT138,0)</f>
        <v>0</v>
      </c>
      <c r="AU139" s="9">
        <f>IF(43&lt;=核心参数输入!$B$9*4,AU136+AU130+AU137-AU138,0)</f>
        <v>0</v>
      </c>
      <c r="AV139" s="9">
        <f>IF(44&lt;=核心参数输入!$B$9*4,AV136+AV130+AV137-AV138,0)</f>
        <v>0</v>
      </c>
      <c r="AW139" s="9">
        <f>IF(45&lt;=核心参数输入!$B$9*4,AW136+AW130+AW137-AW138,0)</f>
        <v>0</v>
      </c>
      <c r="AX139" s="9">
        <f>IF(46&lt;=核心参数输入!$B$9*4,AX136+AX130+AX137-AX138,0)</f>
        <v>0</v>
      </c>
      <c r="AY139" s="9">
        <f>IF(47&lt;=核心参数输入!$B$9*4,AY136+AY130+AY137-AY138,0)</f>
        <v>0</v>
      </c>
      <c r="AZ139" s="9">
        <f>IF(48&lt;=核心参数输入!$B$9*4,AZ136+AZ130+AZ137-AZ138,0)</f>
        <v>0</v>
      </c>
      <c r="BA139" s="9">
        <f>IF(49&lt;=核心参数输入!$B$9*4,BA136+BA130+BA137-BA138,0)</f>
        <v>0</v>
      </c>
      <c r="BB139" s="9">
        <f>IF(50&lt;=核心参数输入!$B$9*4,BB136+BB130+BB137-BB138,0)</f>
        <v>0</v>
      </c>
      <c r="BC139" s="9">
        <f>IF(51&lt;=核心参数输入!$B$9*4,BC136+BC130+BC137-BC138,0)</f>
        <v>0</v>
      </c>
      <c r="BD139" s="9">
        <f>IF(52&lt;=核心参数输入!$B$9*4,BD136+BD130+BD137-BD138,0)</f>
        <v>0</v>
      </c>
      <c r="BE139" s="9">
        <f>IF(53&lt;=核心参数输入!$B$9*4,BE136+BE130+BE137-BE138,0)</f>
        <v>0</v>
      </c>
      <c r="BF139" s="9">
        <f>IF(54&lt;=核心参数输入!$B$9*4,BF136+BF130+BF137-BF138,0)</f>
        <v>0</v>
      </c>
      <c r="BG139" s="9">
        <f>IF(55&lt;=核心参数输入!$B$9*4,BG136+BG130+BG137-BG138,0)</f>
        <v>0</v>
      </c>
      <c r="BH139" s="9">
        <f>IF(56&lt;=核心参数输入!$B$9*4,BH136+BH130+BH137-BH138,0)</f>
        <v>0</v>
      </c>
      <c r="BI139" s="9">
        <f>IF(57&lt;=核心参数输入!$B$9*4,BI136+BI130+BI137-BI138,0)</f>
        <v>0</v>
      </c>
      <c r="BJ139" s="9">
        <f>IF(58&lt;=核心参数输入!$B$9*4,BJ136+BJ130+BJ137-BJ138,0)</f>
        <v>0</v>
      </c>
      <c r="BK139" s="9">
        <f>IF(59&lt;=核心参数输入!$B$9*4,BK136+BK130+BK137-BK138,0)</f>
        <v>0</v>
      </c>
      <c r="BL139" s="9">
        <f>IF(60&lt;=核心参数输入!$B$9*4,BL136+BL130+BL137-BL138,0)</f>
        <v>0</v>
      </c>
      <c r="BM139" s="9">
        <f>IF(61&lt;=核心参数输入!$B$9*4,BM136+BM130+BM137-BM138,0)</f>
        <v>0</v>
      </c>
      <c r="BN139" s="9">
        <f>IF(62&lt;=核心参数输入!$B$9*4,BN136+BN130+BN137-BN138,0)</f>
        <v>0</v>
      </c>
      <c r="BO139" s="9">
        <f>IF(63&lt;=核心参数输入!$B$9*4,BO136+BO130+BO137-BO138,0)</f>
        <v>0</v>
      </c>
      <c r="BP139" s="9">
        <f>IF(64&lt;=核心参数输入!$B$9*4,BP136+BP130+BP137-BP138,0)</f>
        <v>0</v>
      </c>
      <c r="BQ139" s="9">
        <f>IF(65&lt;=核心参数输入!$B$9*4,BQ136+BQ130+BQ137-BQ138,0)</f>
        <v>0</v>
      </c>
      <c r="BR139" s="9">
        <f>IF(66&lt;=核心参数输入!$B$9*4,BR136+BR130+BR137-BR138,0)</f>
        <v>0</v>
      </c>
      <c r="BS139" s="9">
        <f>IF(67&lt;=核心参数输入!$B$9*4,BS136+BS130+BS137-BS138,0)</f>
        <v>0</v>
      </c>
      <c r="BT139" s="9">
        <f>IF(68&lt;=核心参数输入!$B$9*4,BT136+BT130+BT137-BT138,0)</f>
        <v>0</v>
      </c>
      <c r="BU139" s="9">
        <f>IF(69&lt;=核心参数输入!$B$9*4,BU136+BU130+BU137-BU138,0)</f>
        <v>0</v>
      </c>
      <c r="BV139" s="9">
        <f>IF(70&lt;=核心参数输入!$B$9*4,BV136+BV130+BV137-BV138,0)</f>
        <v>0</v>
      </c>
      <c r="BW139" s="9">
        <f>IF(71&lt;=核心参数输入!$B$9*4,BW136+BW130+BW137-BW138,0)</f>
        <v>0</v>
      </c>
      <c r="BX139" s="9">
        <f>IF(72&lt;=核心参数输入!$B$9*4,BX136+BX130+BX137-BX138,0)</f>
        <v>0</v>
      </c>
      <c r="BY139" s="9">
        <f>IF(73&lt;=核心参数输入!$B$9*4,BY136+BY130+BY137-BY138,0)</f>
        <v>0</v>
      </c>
      <c r="BZ139" s="9">
        <f>IF(74&lt;=核心参数输入!$B$9*4,BZ136+BZ130+BZ137-BZ138,0)</f>
        <v>0</v>
      </c>
      <c r="CA139" s="9">
        <f>IF(75&lt;=核心参数输入!$B$9*4,CA136+CA130+CA137-CA138,0)</f>
        <v>0</v>
      </c>
      <c r="CB139" s="9">
        <f>IF(76&lt;=核心参数输入!$B$9*4,CB136+CB130+CB137-CB138,0)</f>
        <v>0</v>
      </c>
      <c r="CC139" s="9">
        <f>IF(77&lt;=核心参数输入!$B$9*4,CC136+CC130+CC137-CC138,0)</f>
        <v>0</v>
      </c>
      <c r="CD139" s="9">
        <f>IF(78&lt;=核心参数输入!$B$9*4,CD136+CD130+CD137-CD138,0)</f>
        <v>0</v>
      </c>
      <c r="CE139" s="9">
        <f>IF(79&lt;=核心参数输入!$B$9*4,CE136+CE130+CE137-CE138,0)</f>
        <v>0</v>
      </c>
      <c r="CF139" s="9">
        <f>IF(80&lt;=核心参数输入!$B$9*4,CF136+CF130+CF137-CF138,0)</f>
        <v>0</v>
      </c>
      <c r="CG139" s="9">
        <f>IF(81&lt;=核心参数输入!$B$9*4,CG136+CG130+CG137-CG138,0)</f>
        <v>0</v>
      </c>
      <c r="CH139" s="9">
        <f>IF(82&lt;=核心参数输入!$B$9*4,CH136+CH130+CH137-CH138,0)</f>
        <v>0</v>
      </c>
      <c r="CI139" s="9">
        <f>IF(83&lt;=核心参数输入!$B$9*4,CI136+CI130+CI137-CI138,0)</f>
        <v>0</v>
      </c>
      <c r="CJ139" s="9">
        <f>IF(84&lt;=核心参数输入!$B$9*4,CJ136+CJ130+CJ137-CJ138,0)</f>
        <v>0</v>
      </c>
      <c r="CK139" s="9">
        <f>IF(85&lt;=核心参数输入!$B$9*4,CK136+CK130+CK137-CK138,0)</f>
        <v>0</v>
      </c>
      <c r="CL139" s="9">
        <f>IF(86&lt;=核心参数输入!$B$9*4,CL136+CL130+CL137-CL138,0)</f>
        <v>0</v>
      </c>
      <c r="CM139" s="9">
        <f>IF(87&lt;=核心参数输入!$B$9*4,CM136+CM130+CM137-CM138,0)</f>
        <v>0</v>
      </c>
      <c r="CN139" s="9">
        <f>IF(88&lt;=核心参数输入!$B$9*4,CN136+CN130+CN137-CN138,0)</f>
        <v>0</v>
      </c>
      <c r="CO139" s="9">
        <f>IF(89&lt;=核心参数输入!$B$9*4,CO136+CO130+CO137-CO138,0)</f>
        <v>0</v>
      </c>
      <c r="CP139" s="9">
        <f>IF(90&lt;=核心参数输入!$B$9*4,CP136+CP130+CP137-CP138,0)</f>
        <v>0</v>
      </c>
      <c r="CQ139" s="9">
        <f>IF(91&lt;=核心参数输入!$B$9*4,CQ136+CQ130+CQ137-CQ138,0)</f>
        <v>0</v>
      </c>
      <c r="CR139" s="9">
        <f>IF(92&lt;=核心参数输入!$B$9*4,CR136+CR130+CR137-CR138,0)</f>
        <v>0</v>
      </c>
      <c r="CS139" s="9">
        <f>IF(93&lt;=核心参数输入!$B$9*4,CS136+CS130+CS137-CS138,0)</f>
        <v>0</v>
      </c>
      <c r="CT139" s="9">
        <f>IF(94&lt;=核心参数输入!$B$9*4,CT136+CT130+CT137-CT138,0)</f>
        <v>0</v>
      </c>
      <c r="CU139" s="9">
        <f>IF(95&lt;=核心参数输入!$B$9*4,CU136+CU130+CU137-CU138,0)</f>
        <v>0</v>
      </c>
      <c r="CV139" s="9">
        <f>IF(96&lt;=核心参数输入!$B$9*4,CV136+CV130+CV137-CV138,0)</f>
        <v>0</v>
      </c>
      <c r="CW139" s="9">
        <f>IF(97&lt;=核心参数输入!$B$9*4,CW136+CW130+CW137-CW138,0)</f>
        <v>0</v>
      </c>
      <c r="CX139" s="9">
        <f>IF(98&lt;=核心参数输入!$B$9*4,CX136+CX130+CX137-CX138,0)</f>
        <v>0</v>
      </c>
      <c r="CY139" s="9">
        <f>IF(99&lt;=核心参数输入!$B$9*4,CY136+CY130+CY137-CY138,0)</f>
        <v>0</v>
      </c>
      <c r="CZ139" s="9">
        <f>IF(100&lt;=核心参数输入!$B$9*4,CZ136+CZ130+CZ137-CZ138,0)</f>
        <v>0</v>
      </c>
      <c r="DA139" s="9">
        <f>IF(101&lt;=核心参数输入!$B$9*4,DA136+DA130+DA137-DA138,0)</f>
        <v>0</v>
      </c>
      <c r="DB139" s="9">
        <f>IF(102&lt;=核心参数输入!$B$9*4,DB136+DB130+DB137-DB138,0)</f>
        <v>0</v>
      </c>
      <c r="DC139" s="9">
        <f>IF(103&lt;=核心参数输入!$B$9*4,DC136+DC130+DC137-DC138,0)</f>
        <v>0</v>
      </c>
      <c r="DD139" s="9">
        <f>IF(104&lt;=核心参数输入!$B$9*4,DD136+DD130+DD137-DD138,0)</f>
        <v>0</v>
      </c>
      <c r="DE139" s="9">
        <f>IF(105&lt;=核心参数输入!$B$9*4,DE136+DE130+DE137-DE138,0)</f>
        <v>0</v>
      </c>
      <c r="DF139" s="9">
        <f>IF(106&lt;=核心参数输入!$B$9*4,DF136+DF130+DF137-DF138,0)</f>
        <v>0</v>
      </c>
      <c r="DG139" s="9">
        <f>IF(107&lt;=核心参数输入!$B$9*4,DG136+DG130+DG137-DG138,0)</f>
        <v>0</v>
      </c>
      <c r="DH139" s="9">
        <f>IF(108&lt;=核心参数输入!$B$9*4,DH136+DH130+DH137-DH138,0)</f>
        <v>0</v>
      </c>
      <c r="DI139" s="9">
        <f>IF(109&lt;=核心参数输入!$B$9*4,DI136+DI130+DI137-DI138,0)</f>
        <v>0</v>
      </c>
      <c r="DJ139" s="9">
        <f>IF(110&lt;=核心参数输入!$B$9*4,DJ136+DJ130+DJ137-DJ138,0)</f>
        <v>0</v>
      </c>
      <c r="DK139" s="9">
        <f>IF(111&lt;=核心参数输入!$B$9*4,DK136+DK130+DK137-DK138,0)</f>
        <v>0</v>
      </c>
      <c r="DL139" s="9">
        <f>IF(112&lt;=核心参数输入!$B$9*4,DL136+DL130+DL137-DL138,0)</f>
        <v>0</v>
      </c>
      <c r="DM139" s="9">
        <f>IF(113&lt;=核心参数输入!$B$9*4,DM136+DM130+DM137-DM138,0)</f>
        <v>0</v>
      </c>
      <c r="DN139" s="9">
        <f>IF(114&lt;=核心参数输入!$B$9*4,DN136+DN130+DN137-DN138,0)</f>
        <v>0</v>
      </c>
      <c r="DO139" s="9">
        <f>IF(115&lt;=核心参数输入!$B$9*4,DO136+DO130+DO137-DO138,0)</f>
        <v>0</v>
      </c>
      <c r="DP139" s="9">
        <f>IF(116&lt;=核心参数输入!$B$9*4,DP136+DP130+DP137-DP138,0)</f>
        <v>0</v>
      </c>
      <c r="DQ139" s="9">
        <f>IF(117&lt;=核心参数输入!$B$9*4,DQ136+DQ130+DQ137-DQ138,0)</f>
        <v>0</v>
      </c>
      <c r="DR139" s="9">
        <f>IF(118&lt;=核心参数输入!$B$9*4,DR136+DR130+DR137-DR138,0)</f>
        <v>0</v>
      </c>
      <c r="DS139" s="9">
        <f>IF(119&lt;=核心参数输入!$B$9*4,DS136+DS130+DS137-DS138,0)</f>
        <v>0</v>
      </c>
      <c r="DT139" s="9">
        <f>IF(120&lt;=核心参数输入!$B$9*4,DT136+DT130+DT137-DT138,0)</f>
        <v>0</v>
      </c>
    </row>
    <row r="140" spans="1:124" ht="21" customHeight="1">
      <c r="A140" s="8" t="s">
        <v>526</v>
      </c>
      <c r="B140" s="8" t="s">
        <v>39</v>
      </c>
      <c r="C140" s="8"/>
      <c r="D140" s="9">
        <f>IF(0&lt;=核心参数输入!$B$9*4,SUM($D137:D137),0)</f>
        <v>8000</v>
      </c>
      <c r="E140" s="9">
        <f>IF(1&lt;=核心参数输入!$B$9*4,SUM($D137:E137),0)</f>
        <v>10127.7125</v>
      </c>
      <c r="F140" s="9">
        <f>IF(2&lt;=核心参数输入!$B$9*4,SUM($D137:F137),0)</f>
        <v>12279.05</v>
      </c>
      <c r="G140" s="9">
        <f>IF(3&lt;=核心参数输入!$B$9*4,SUM($D137:G137),0)</f>
        <v>14454.012499999999</v>
      </c>
      <c r="H140" s="9">
        <f>IF(4&lt;=核心参数输入!$B$9*4,SUM($D137:H137),0)</f>
        <v>16652.599999999999</v>
      </c>
      <c r="I140" s="9">
        <f>IF(5&lt;=核心参数输入!$B$9*4,SUM($D137:I137),0)</f>
        <v>19584.05</v>
      </c>
      <c r="J140" s="9">
        <f>IF(6&lt;=核心参数输入!$B$9*4,SUM($D137:J137),0)</f>
        <v>22547</v>
      </c>
      <c r="K140" s="9">
        <f>IF(7&lt;=核心参数输入!$B$9*4,SUM($D137:K137),0)</f>
        <v>25541.45</v>
      </c>
      <c r="L140" s="9">
        <f>IF(8&lt;=核心参数输入!$B$9*4,SUM($D137:L137),0)</f>
        <v>28567.4</v>
      </c>
      <c r="M140" s="9">
        <f>IF(9&lt;=核心参数输入!$B$9*4,SUM($D137:M137),0)</f>
        <v>30915.612500000003</v>
      </c>
      <c r="N140" s="9">
        <f>IF(10&lt;=核心参数输入!$B$9*4,SUM($D137:N137),0)</f>
        <v>33287.450000000004</v>
      </c>
      <c r="O140" s="9">
        <f>IF(11&lt;=核心参数输入!$B$9*4,SUM($D137:O137),0)</f>
        <v>35682.912500000006</v>
      </c>
      <c r="P140" s="9">
        <f>IF(12&lt;=核心参数输入!$B$9*4,SUM($D137:P137),0)</f>
        <v>38102.000000000007</v>
      </c>
      <c r="Q140" s="9">
        <f>IF(13&lt;=核心参数输入!$B$9*4,SUM($D137:Q137),0)</f>
        <v>38102.000000000007</v>
      </c>
      <c r="R140" s="9">
        <f>IF(14&lt;=核心参数输入!$B$9*4,SUM($D137:R137),0)</f>
        <v>38102.000000000007</v>
      </c>
      <c r="S140" s="9">
        <f>IF(15&lt;=核心参数输入!$B$9*4,SUM($D137:S137),0)</f>
        <v>38102.000000000007</v>
      </c>
      <c r="T140" s="9">
        <f>IF(16&lt;=核心参数输入!$B$9*4,SUM($D137:T137),0)</f>
        <v>38102.000000000007</v>
      </c>
      <c r="U140" s="9">
        <f>IF(17&lt;=核心参数输入!$B$9*4,SUM($D137:U137),0)</f>
        <v>38102.000000000007</v>
      </c>
      <c r="V140" s="9">
        <f>IF(18&lt;=核心参数输入!$B$9*4,SUM($D137:V137),0)</f>
        <v>38102.000000000007</v>
      </c>
      <c r="W140" s="9">
        <f>IF(19&lt;=核心参数输入!$B$9*4,SUM($D137:W137),0)</f>
        <v>38102.000000000007</v>
      </c>
      <c r="X140" s="9">
        <f>IF(20&lt;=核心参数输入!$B$9*4,SUM($D137:X137),0)</f>
        <v>38102.000000000007</v>
      </c>
      <c r="Y140" s="9">
        <f>IF(21&lt;=核心参数输入!$B$9*4,SUM($D137:Y137),0)</f>
        <v>38102.000000000007</v>
      </c>
      <c r="Z140" s="9">
        <f>IF(22&lt;=核心参数输入!$B$9*4,SUM($D137:Z137),0)</f>
        <v>38102.000000000007</v>
      </c>
      <c r="AA140" s="9">
        <f>IF(23&lt;=核心参数输入!$B$9*4,SUM($D137:AA137),0)</f>
        <v>38102.000000000007</v>
      </c>
      <c r="AB140" s="9">
        <f>IF(24&lt;=核心参数输入!$B$9*4,SUM($D137:AB137),0)</f>
        <v>38102.000000000007</v>
      </c>
      <c r="AC140" s="9">
        <f>IF(25&lt;=核心参数输入!$B$9*4,SUM($D137:AC137),0)</f>
        <v>38102.000000000007</v>
      </c>
      <c r="AD140" s="9">
        <f>IF(26&lt;=核心参数输入!$B$9*4,SUM($D137:AD137),0)</f>
        <v>38102.000000000007</v>
      </c>
      <c r="AE140" s="9">
        <f>IF(27&lt;=核心参数输入!$B$9*4,SUM($D137:AE137),0)</f>
        <v>38102.000000000007</v>
      </c>
      <c r="AF140" s="9">
        <f>IF(28&lt;=核心参数输入!$B$9*4,SUM($D137:AF137),0)</f>
        <v>38102.000000000007</v>
      </c>
      <c r="AG140" s="9">
        <f>IF(29&lt;=核心参数输入!$B$9*4,SUM($D137:AG137),0)</f>
        <v>38102.000000000007</v>
      </c>
      <c r="AH140" s="9">
        <f>IF(30&lt;=核心参数输入!$B$9*4,SUM($D137:AH137),0)</f>
        <v>38102.000000000007</v>
      </c>
      <c r="AI140" s="9">
        <f>IF(31&lt;=核心参数输入!$B$9*4,SUM($D137:AI137),0)</f>
        <v>38102.000000000007</v>
      </c>
      <c r="AJ140" s="9">
        <f>IF(32&lt;=核心参数输入!$B$9*4,SUM($D137:AJ137),0)</f>
        <v>38102.000000000007</v>
      </c>
      <c r="AK140" s="9">
        <f>IF(33&lt;=核心参数输入!$B$9*4,SUM($D137:AK137),0)</f>
        <v>38102.000000000007</v>
      </c>
      <c r="AL140" s="9">
        <f>IF(34&lt;=核心参数输入!$B$9*4,SUM($D137:AL137),0)</f>
        <v>38102.000000000007</v>
      </c>
      <c r="AM140" s="9">
        <f>IF(35&lt;=核心参数输入!$B$9*4,SUM($D137:AM137),0)</f>
        <v>38102.000000000007</v>
      </c>
      <c r="AN140" s="9">
        <f>IF(36&lt;=核心参数输入!$B$9*4,SUM($D137:AN137),0)</f>
        <v>38102.000000000007</v>
      </c>
      <c r="AO140" s="9">
        <f>IF(37&lt;=核心参数输入!$B$9*4,SUM($D137:AO137),0)</f>
        <v>38102.000000000007</v>
      </c>
      <c r="AP140" s="9">
        <f>IF(38&lt;=核心参数输入!$B$9*4,SUM($D137:AP137),0)</f>
        <v>38102.000000000007</v>
      </c>
      <c r="AQ140" s="9">
        <f>IF(39&lt;=核心参数输入!$B$9*4,SUM($D137:AQ137),0)</f>
        <v>38102.000000000007</v>
      </c>
      <c r="AR140" s="9">
        <f>IF(40&lt;=核心参数输入!$B$9*4,SUM($D137:AR137),0)</f>
        <v>38102.000000000007</v>
      </c>
      <c r="AS140" s="9">
        <f>IF(41&lt;=核心参数输入!$B$9*4,SUM($D137:AS137),0)</f>
        <v>38102.000000000007</v>
      </c>
      <c r="AT140" s="9">
        <f>IF(42&lt;=核心参数输入!$B$9*4,SUM($D137:AT137),0)</f>
        <v>38102.000000000007</v>
      </c>
      <c r="AU140" s="9">
        <f>IF(43&lt;=核心参数输入!$B$9*4,SUM($D137:AU137),0)</f>
        <v>38102.000000000007</v>
      </c>
      <c r="AV140" s="9">
        <f>IF(44&lt;=核心参数输入!$B$9*4,SUM($D137:AV137),0)</f>
        <v>38102.000000000007</v>
      </c>
      <c r="AW140" s="9">
        <f>IF(45&lt;=核心参数输入!$B$9*4,SUM($D137:AW137),0)</f>
        <v>38102.000000000007</v>
      </c>
      <c r="AX140" s="9">
        <f>IF(46&lt;=核心参数输入!$B$9*4,SUM($D137:AX137),0)</f>
        <v>38102.000000000007</v>
      </c>
      <c r="AY140" s="9">
        <f>IF(47&lt;=核心参数输入!$B$9*4,SUM($D137:AY137),0)</f>
        <v>38102.000000000007</v>
      </c>
      <c r="AZ140" s="9">
        <f>IF(48&lt;=核心参数输入!$B$9*4,SUM($D137:AZ137),0)</f>
        <v>38102.000000000007</v>
      </c>
      <c r="BA140" s="9">
        <f>IF(49&lt;=核心参数输入!$B$9*4,SUM($D137:BA137),0)</f>
        <v>38102.000000000007</v>
      </c>
      <c r="BB140" s="9">
        <f>IF(50&lt;=核心参数输入!$B$9*4,SUM($D137:BB137),0)</f>
        <v>38102.000000000007</v>
      </c>
      <c r="BC140" s="9">
        <f>IF(51&lt;=核心参数输入!$B$9*4,SUM($D137:BC137),0)</f>
        <v>38102.000000000007</v>
      </c>
      <c r="BD140" s="9">
        <f>IF(52&lt;=核心参数输入!$B$9*4,SUM($D137:BD137),0)</f>
        <v>38102.000000000007</v>
      </c>
      <c r="BE140" s="9">
        <f>IF(53&lt;=核心参数输入!$B$9*4,SUM($D137:BE137),0)</f>
        <v>38102.000000000007</v>
      </c>
      <c r="BF140" s="9">
        <f>IF(54&lt;=核心参数输入!$B$9*4,SUM($D137:BF137),0)</f>
        <v>38102.000000000007</v>
      </c>
      <c r="BG140" s="9">
        <f>IF(55&lt;=核心参数输入!$B$9*4,SUM($D137:BG137),0)</f>
        <v>38102.000000000007</v>
      </c>
      <c r="BH140" s="9">
        <f>IF(56&lt;=核心参数输入!$B$9*4,SUM($D137:BH137),0)</f>
        <v>38102.000000000007</v>
      </c>
      <c r="BI140" s="9">
        <f>IF(57&lt;=核心参数输入!$B$9*4,SUM($D137:BI137),0)</f>
        <v>38102.000000000007</v>
      </c>
      <c r="BJ140" s="9">
        <f>IF(58&lt;=核心参数输入!$B$9*4,SUM($D137:BJ137),0)</f>
        <v>38102.000000000007</v>
      </c>
      <c r="BK140" s="9">
        <f>IF(59&lt;=核心参数输入!$B$9*4,SUM($D137:BK137),0)</f>
        <v>38102.000000000007</v>
      </c>
      <c r="BL140" s="9">
        <f>IF(60&lt;=核心参数输入!$B$9*4,SUM($D137:BL137),0)</f>
        <v>38102.000000000007</v>
      </c>
      <c r="BM140" s="9">
        <f>IF(61&lt;=核心参数输入!$B$9*4,SUM($D137:BM137),0)</f>
        <v>38102.000000000007</v>
      </c>
      <c r="BN140" s="9">
        <f>IF(62&lt;=核心参数输入!$B$9*4,SUM($D137:BN137),0)</f>
        <v>38102.000000000007</v>
      </c>
      <c r="BO140" s="9">
        <f>IF(63&lt;=核心参数输入!$B$9*4,SUM($D137:BO137),0)</f>
        <v>38102.000000000007</v>
      </c>
      <c r="BP140" s="9">
        <f>IF(64&lt;=核心参数输入!$B$9*4,SUM($D137:BP137),0)</f>
        <v>38102.000000000007</v>
      </c>
      <c r="BQ140" s="9">
        <f>IF(65&lt;=核心参数输入!$B$9*4,SUM($D137:BQ137),0)</f>
        <v>38102.000000000007</v>
      </c>
      <c r="BR140" s="9">
        <f>IF(66&lt;=核心参数输入!$B$9*4,SUM($D137:BR137),0)</f>
        <v>38102.000000000007</v>
      </c>
      <c r="BS140" s="9">
        <f>IF(67&lt;=核心参数输入!$B$9*4,SUM($D137:BS137),0)</f>
        <v>38102.000000000007</v>
      </c>
      <c r="BT140" s="9">
        <f>IF(68&lt;=核心参数输入!$B$9*4,SUM($D137:BT137),0)</f>
        <v>38102.000000000007</v>
      </c>
      <c r="BU140" s="9">
        <f>IF(69&lt;=核心参数输入!$B$9*4,SUM($D137:BU137),0)</f>
        <v>38102.000000000007</v>
      </c>
      <c r="BV140" s="9">
        <f>IF(70&lt;=核心参数输入!$B$9*4,SUM($D137:BV137),0)</f>
        <v>38102.000000000007</v>
      </c>
      <c r="BW140" s="9">
        <f>IF(71&lt;=核心参数输入!$B$9*4,SUM($D137:BW137),0)</f>
        <v>38102.000000000007</v>
      </c>
      <c r="BX140" s="9">
        <f>IF(72&lt;=核心参数输入!$B$9*4,SUM($D137:BX137),0)</f>
        <v>38102.000000000007</v>
      </c>
      <c r="BY140" s="9">
        <f>IF(73&lt;=核心参数输入!$B$9*4,SUM($D137:BY137),0)</f>
        <v>38102.000000000007</v>
      </c>
      <c r="BZ140" s="9">
        <f>IF(74&lt;=核心参数输入!$B$9*4,SUM($D137:BZ137),0)</f>
        <v>38102.000000000007</v>
      </c>
      <c r="CA140" s="9">
        <f>IF(75&lt;=核心参数输入!$B$9*4,SUM($D137:CA137),0)</f>
        <v>38102.000000000007</v>
      </c>
      <c r="CB140" s="9">
        <f>IF(76&lt;=核心参数输入!$B$9*4,SUM($D137:CB137),0)</f>
        <v>38102.000000000007</v>
      </c>
      <c r="CC140" s="9">
        <f>IF(77&lt;=核心参数输入!$B$9*4,SUM($D137:CC137),0)</f>
        <v>38102.000000000007</v>
      </c>
      <c r="CD140" s="9">
        <f>IF(78&lt;=核心参数输入!$B$9*4,SUM($D137:CD137),0)</f>
        <v>38102.000000000007</v>
      </c>
      <c r="CE140" s="9">
        <f>IF(79&lt;=核心参数输入!$B$9*4,SUM($D137:CE137),0)</f>
        <v>38102.000000000007</v>
      </c>
      <c r="CF140" s="9">
        <f>IF(80&lt;=核心参数输入!$B$9*4,SUM($D137:CF137),0)</f>
        <v>38102.000000000007</v>
      </c>
      <c r="CG140" s="9">
        <f>IF(81&lt;=核心参数输入!$B$9*4,SUM($D137:CG137),0)</f>
        <v>0</v>
      </c>
      <c r="CH140" s="9">
        <f>IF(82&lt;=核心参数输入!$B$9*4,SUM($D137:CH137),0)</f>
        <v>0</v>
      </c>
      <c r="CI140" s="9">
        <f>IF(83&lt;=核心参数输入!$B$9*4,SUM($D137:CI137),0)</f>
        <v>0</v>
      </c>
      <c r="CJ140" s="9">
        <f>IF(84&lt;=核心参数输入!$B$9*4,SUM($D137:CJ137),0)</f>
        <v>0</v>
      </c>
      <c r="CK140" s="9">
        <f>IF(85&lt;=核心参数输入!$B$9*4,SUM($D137:CK137),0)</f>
        <v>0</v>
      </c>
      <c r="CL140" s="9">
        <f>IF(86&lt;=核心参数输入!$B$9*4,SUM($D137:CL137),0)</f>
        <v>0</v>
      </c>
      <c r="CM140" s="9">
        <f>IF(87&lt;=核心参数输入!$B$9*4,SUM($D137:CM137),0)</f>
        <v>0</v>
      </c>
      <c r="CN140" s="9">
        <f>IF(88&lt;=核心参数输入!$B$9*4,SUM($D137:CN137),0)</f>
        <v>0</v>
      </c>
      <c r="CO140" s="9">
        <f>IF(89&lt;=核心参数输入!$B$9*4,SUM($D137:CO137),0)</f>
        <v>0</v>
      </c>
      <c r="CP140" s="9">
        <f>IF(90&lt;=核心参数输入!$B$9*4,SUM($D137:CP137),0)</f>
        <v>0</v>
      </c>
      <c r="CQ140" s="9">
        <f>IF(91&lt;=核心参数输入!$B$9*4,SUM($D137:CQ137),0)</f>
        <v>0</v>
      </c>
      <c r="CR140" s="9">
        <f>IF(92&lt;=核心参数输入!$B$9*4,SUM($D137:CR137),0)</f>
        <v>0</v>
      </c>
      <c r="CS140" s="9">
        <f>IF(93&lt;=核心参数输入!$B$9*4,SUM($D137:CS137),0)</f>
        <v>0</v>
      </c>
      <c r="CT140" s="9">
        <f>IF(94&lt;=核心参数输入!$B$9*4,SUM($D137:CT137),0)</f>
        <v>0</v>
      </c>
      <c r="CU140" s="9">
        <f>IF(95&lt;=核心参数输入!$B$9*4,SUM($D137:CU137),0)</f>
        <v>0</v>
      </c>
      <c r="CV140" s="9">
        <f>IF(96&lt;=核心参数输入!$B$9*4,SUM($D137:CV137),0)</f>
        <v>0</v>
      </c>
      <c r="CW140" s="9">
        <f>IF(97&lt;=核心参数输入!$B$9*4,SUM($D137:CW137),0)</f>
        <v>0</v>
      </c>
      <c r="CX140" s="9">
        <f>IF(98&lt;=核心参数输入!$B$9*4,SUM($D137:CX137),0)</f>
        <v>0</v>
      </c>
      <c r="CY140" s="9">
        <f>IF(99&lt;=核心参数输入!$B$9*4,SUM($D137:CY137),0)</f>
        <v>0</v>
      </c>
      <c r="CZ140" s="9">
        <f>IF(100&lt;=核心参数输入!$B$9*4,SUM($D137:CZ137),0)</f>
        <v>0</v>
      </c>
      <c r="DA140" s="9">
        <f>IF(101&lt;=核心参数输入!$B$9*4,SUM($D137:DA137),0)</f>
        <v>0</v>
      </c>
      <c r="DB140" s="9">
        <f>IF(102&lt;=核心参数输入!$B$9*4,SUM($D137:DB137),0)</f>
        <v>0</v>
      </c>
      <c r="DC140" s="9">
        <f>IF(103&lt;=核心参数输入!$B$9*4,SUM($D137:DC137),0)</f>
        <v>0</v>
      </c>
      <c r="DD140" s="9">
        <f>IF(104&lt;=核心参数输入!$B$9*4,SUM($D137:DD137),0)</f>
        <v>0</v>
      </c>
      <c r="DE140" s="9">
        <f>IF(105&lt;=核心参数输入!$B$9*4,SUM($D137:DE137),0)</f>
        <v>0</v>
      </c>
      <c r="DF140" s="9">
        <f>IF(106&lt;=核心参数输入!$B$9*4,SUM($D137:DF137),0)</f>
        <v>0</v>
      </c>
      <c r="DG140" s="9">
        <f>IF(107&lt;=核心参数输入!$B$9*4,SUM($D137:DG137),0)</f>
        <v>0</v>
      </c>
      <c r="DH140" s="9">
        <f>IF(108&lt;=核心参数输入!$B$9*4,SUM($D137:DH137),0)</f>
        <v>0</v>
      </c>
      <c r="DI140" s="9">
        <f>IF(109&lt;=核心参数输入!$B$9*4,SUM($D137:DI137),0)</f>
        <v>0</v>
      </c>
      <c r="DJ140" s="9">
        <f>IF(110&lt;=核心参数输入!$B$9*4,SUM($D137:DJ137),0)</f>
        <v>0</v>
      </c>
      <c r="DK140" s="9">
        <f>IF(111&lt;=核心参数输入!$B$9*4,SUM($D137:DK137),0)</f>
        <v>0</v>
      </c>
      <c r="DL140" s="9">
        <f>IF(112&lt;=核心参数输入!$B$9*4,SUM($D137:DL137),0)</f>
        <v>0</v>
      </c>
      <c r="DM140" s="9">
        <f>IF(113&lt;=核心参数输入!$B$9*4,SUM($D137:DM137),0)</f>
        <v>0</v>
      </c>
      <c r="DN140" s="9">
        <f>IF(114&lt;=核心参数输入!$B$9*4,SUM($D137:DN137),0)</f>
        <v>0</v>
      </c>
      <c r="DO140" s="9">
        <f>IF(115&lt;=核心参数输入!$B$9*4,SUM($D137:DO137),0)</f>
        <v>0</v>
      </c>
      <c r="DP140" s="9">
        <f>IF(116&lt;=核心参数输入!$B$9*4,SUM($D137:DP137),0)</f>
        <v>0</v>
      </c>
      <c r="DQ140" s="9">
        <f>IF(117&lt;=核心参数输入!$B$9*4,SUM($D137:DQ137),0)</f>
        <v>0</v>
      </c>
      <c r="DR140" s="9">
        <f>IF(118&lt;=核心参数输入!$B$9*4,SUM($D137:DR137),0)</f>
        <v>0</v>
      </c>
      <c r="DS140" s="9">
        <f>IF(119&lt;=核心参数输入!$B$9*4,SUM($D137:DS137),0)</f>
        <v>0</v>
      </c>
      <c r="DT140" s="9">
        <f>IF(120&lt;=核心参数输入!$B$9*4,SUM($D137:DT137),0)</f>
        <v>0</v>
      </c>
    </row>
    <row r="141" spans="1:124" ht="21" customHeight="1">
      <c r="A141" s="8" t="s">
        <v>527</v>
      </c>
      <c r="B141" s="8" t="s">
        <v>39</v>
      </c>
      <c r="C141" s="8"/>
      <c r="D141" s="9">
        <f>IF(0&lt;=核心参数输入!$B$9*4,D138-D137,0)</f>
        <v>-8000</v>
      </c>
      <c r="E141" s="9">
        <f>IF(1&lt;=核心参数输入!$B$9*4,E138-E137,0)</f>
        <v>-2127.7124999999996</v>
      </c>
      <c r="F141" s="9">
        <f>IF(2&lt;=核心参数输入!$B$9*4,F138-F137,0)</f>
        <v>-2151.3374999999996</v>
      </c>
      <c r="G141" s="9">
        <f>IF(3&lt;=核心参数输入!$B$9*4,G138-G137,0)</f>
        <v>-2174.9624999999996</v>
      </c>
      <c r="H141" s="9">
        <f>IF(4&lt;=核心参数输入!$B$9*4,H138-H137,0)</f>
        <v>-2198.5874999999996</v>
      </c>
      <c r="I141" s="9">
        <f>IF(5&lt;=核心参数输入!$B$9*4,I138-I137,0)</f>
        <v>-2931.4500000000007</v>
      </c>
      <c r="J141" s="9">
        <f>IF(6&lt;=核心参数输入!$B$9*4,J138-J137,0)</f>
        <v>-2962.9500000000007</v>
      </c>
      <c r="K141" s="9">
        <f>IF(7&lt;=核心参数输入!$B$9*4,K138-K137,0)</f>
        <v>-2994.4500000000007</v>
      </c>
      <c r="L141" s="9">
        <f>IF(8&lt;=核心参数输入!$B$9*4,L138-L137,0)</f>
        <v>-3025.9500000000007</v>
      </c>
      <c r="M141" s="9">
        <f>IF(9&lt;=核心参数输入!$B$9*4,M138-M137,0)</f>
        <v>-2348.2124999999996</v>
      </c>
      <c r="N141" s="9">
        <f>IF(10&lt;=核心参数输入!$B$9*4,N138-N137,0)</f>
        <v>-2371.8374999999996</v>
      </c>
      <c r="O141" s="9">
        <f>IF(11&lt;=核心参数输入!$B$9*4,O138-O137,0)</f>
        <v>-2395.4624999999996</v>
      </c>
      <c r="P141" s="9">
        <f>IF(12&lt;=核心参数输入!$B$9*4,P138-P137,0)</f>
        <v>-2419.0874999999996</v>
      </c>
      <c r="Q141" s="9">
        <f>IF(13&lt;=核心参数输入!$B$9*4,Q138-Q137,0)</f>
        <v>1003.3426562499999</v>
      </c>
      <c r="R141" s="9">
        <f>IF(14&lt;=核心参数输入!$B$9*4,R138-R137,0)</f>
        <v>2498.6248252350001</v>
      </c>
      <c r="S141" s="9">
        <f>IF(15&lt;=核心参数输入!$B$9*4,S138-S137,0)</f>
        <v>841.83462866571563</v>
      </c>
      <c r="T141" s="9">
        <f>IF(16&lt;=核心参数输入!$B$9*4,T138-T137,0)</f>
        <v>0</v>
      </c>
      <c r="U141" s="9">
        <f>IF(17&lt;=核心参数输入!$B$9*4,U138-U137,0)</f>
        <v>2264.9985411391094</v>
      </c>
      <c r="V141" s="9">
        <f>IF(18&lt;=核心参数输入!$B$9*4,V138-V137,0)</f>
        <v>0</v>
      </c>
      <c r="W141" s="9">
        <f>IF(19&lt;=核心参数输入!$B$9*4,W138-W137,0)</f>
        <v>0</v>
      </c>
      <c r="X141" s="9">
        <f>IF(20&lt;=核心参数输入!$B$9*4,X138-X137,0)</f>
        <v>0</v>
      </c>
      <c r="Y141" s="9">
        <f>IF(21&lt;=核心参数输入!$B$9*4,Y138-Y137,0)</f>
        <v>0</v>
      </c>
      <c r="Z141" s="9">
        <f>IF(22&lt;=核心参数输入!$B$9*4,Z138-Z137,0)</f>
        <v>0</v>
      </c>
      <c r="AA141" s="9">
        <f>IF(23&lt;=核心参数输入!$B$9*4,AA138-AA137,0)</f>
        <v>0</v>
      </c>
      <c r="AB141" s="9">
        <f>IF(24&lt;=核心参数输入!$B$9*4,AB138-AB137,0)</f>
        <v>0</v>
      </c>
      <c r="AC141" s="9">
        <f>IF(25&lt;=核心参数输入!$B$9*4,AC138-AC137,0)</f>
        <v>0</v>
      </c>
      <c r="AD141" s="9">
        <f>IF(26&lt;=核心参数输入!$B$9*4,AD138-AD137,0)</f>
        <v>0</v>
      </c>
      <c r="AE141" s="9">
        <f>IF(27&lt;=核心参数输入!$B$9*4,AE138-AE137,0)</f>
        <v>0</v>
      </c>
      <c r="AF141" s="9">
        <f>IF(28&lt;=核心参数输入!$B$9*4,AF138-AF137,0)</f>
        <v>0</v>
      </c>
      <c r="AG141" s="9">
        <f>IF(29&lt;=核心参数输入!$B$9*4,AG138-AG137,0)</f>
        <v>0</v>
      </c>
      <c r="AH141" s="9">
        <f>IF(30&lt;=核心参数输入!$B$9*4,AH138-AH137,0)</f>
        <v>0</v>
      </c>
      <c r="AI141" s="9">
        <f>IF(31&lt;=核心参数输入!$B$9*4,AI138-AI137,0)</f>
        <v>0</v>
      </c>
      <c r="AJ141" s="9">
        <f>IF(32&lt;=核心参数输入!$B$9*4,AJ138-AJ137,0)</f>
        <v>0</v>
      </c>
      <c r="AK141" s="9">
        <f>IF(33&lt;=核心参数输入!$B$9*4,AK138-AK137,0)</f>
        <v>0</v>
      </c>
      <c r="AL141" s="9">
        <f>IF(34&lt;=核心参数输入!$B$9*4,AL138-AL137,0)</f>
        <v>0</v>
      </c>
      <c r="AM141" s="9">
        <f>IF(35&lt;=核心参数输入!$B$9*4,AM138-AM137,0)</f>
        <v>0</v>
      </c>
      <c r="AN141" s="9">
        <f>IF(36&lt;=核心参数输入!$B$9*4,AN138-AN137,0)</f>
        <v>0</v>
      </c>
      <c r="AO141" s="9">
        <f>IF(37&lt;=核心参数输入!$B$9*4,AO138-AO137,0)</f>
        <v>0</v>
      </c>
      <c r="AP141" s="9">
        <f>IF(38&lt;=核心参数输入!$B$9*4,AP138-AP137,0)</f>
        <v>0</v>
      </c>
      <c r="AQ141" s="9">
        <f>IF(39&lt;=核心参数输入!$B$9*4,AQ138-AQ137,0)</f>
        <v>0</v>
      </c>
      <c r="AR141" s="9">
        <f>IF(40&lt;=核心参数输入!$B$9*4,AR138-AR137,0)</f>
        <v>0</v>
      </c>
      <c r="AS141" s="9">
        <f>IF(41&lt;=核心参数输入!$B$9*4,AS138-AS137,0)</f>
        <v>187.88981403315699</v>
      </c>
      <c r="AT141" s="9">
        <f>IF(42&lt;=核心参数输入!$B$9*4,AT138-AT137,0)</f>
        <v>187.88981403315699</v>
      </c>
      <c r="AU141" s="9">
        <f>IF(43&lt;=核心参数输入!$B$9*4,AU138-AU137,0)</f>
        <v>187.88981403315699</v>
      </c>
      <c r="AV141" s="9">
        <f>IF(44&lt;=核心参数输入!$B$9*4,AV138-AV137,0)</f>
        <v>187.88981403315699</v>
      </c>
      <c r="AW141" s="9">
        <f>IF(45&lt;=核心参数输入!$B$9*4,AW138-AW137,0)</f>
        <v>190.95240411828576</v>
      </c>
      <c r="AX141" s="9">
        <f>IF(46&lt;=核心参数输入!$B$9*4,AX138-AX137,0)</f>
        <v>190.95240411828576</v>
      </c>
      <c r="AY141" s="9">
        <f>IF(47&lt;=核心参数输入!$B$9*4,AY138-AY137,0)</f>
        <v>190.95240411828576</v>
      </c>
      <c r="AZ141" s="9">
        <f>IF(48&lt;=核心参数输入!$B$9*4,AZ138-AZ137,0)</f>
        <v>190.95240411828576</v>
      </c>
      <c r="BA141" s="9">
        <f>IF(49&lt;=核心参数输入!$B$9*4,BA138-BA137,0)</f>
        <v>194.05231791218421</v>
      </c>
      <c r="BB141" s="9">
        <f>IF(50&lt;=核心参数输入!$B$9*4,BB138-BB137,0)</f>
        <v>194.05231791218421</v>
      </c>
      <c r="BC141" s="9">
        <f>IF(51&lt;=核心参数输入!$B$9*4,BC138-BC137,0)</f>
        <v>194.05231791218421</v>
      </c>
      <c r="BD141" s="9">
        <f>IF(52&lt;=核心参数输入!$B$9*4,BD138-BD137,0)</f>
        <v>194.05231791218421</v>
      </c>
      <c r="BE141" s="9">
        <f>IF(53&lt;=核心参数输入!$B$9*4,BE138-BE137,0)</f>
        <v>197.18994296763356</v>
      </c>
      <c r="BF141" s="9">
        <f>IF(54&lt;=核心参数输入!$B$9*4,BF138-BF137,0)</f>
        <v>197.18994296763356</v>
      </c>
      <c r="BG141" s="9">
        <f>IF(55&lt;=核心参数输入!$B$9*4,BG138-BG137,0)</f>
        <v>197.18994296763356</v>
      </c>
      <c r="BH141" s="9">
        <f>IF(56&lt;=核心参数输入!$B$9*4,BH138-BH137,0)</f>
        <v>197.18994296763356</v>
      </c>
      <c r="BI141" s="9">
        <f>IF(57&lt;=核心参数输入!$B$9*4,BI138-BI137,0)</f>
        <v>200.36566920464995</v>
      </c>
      <c r="BJ141" s="9">
        <f>IF(58&lt;=核心参数输入!$B$9*4,BJ138-BJ137,0)</f>
        <v>200.36566920464995</v>
      </c>
      <c r="BK141" s="9">
        <f>IF(59&lt;=核心参数输入!$B$9*4,BK138-BK137,0)</f>
        <v>200.36566920464995</v>
      </c>
      <c r="BL141" s="9">
        <f>IF(60&lt;=核心参数输入!$B$9*4,BL138-BL137,0)</f>
        <v>200.36566920464995</v>
      </c>
      <c r="BM141" s="9">
        <f>IF(61&lt;=核心参数输入!$B$9*4,BM138-BM137,0)</f>
        <v>203.57988887707162</v>
      </c>
      <c r="BN141" s="9">
        <f>IF(62&lt;=核心参数输入!$B$9*4,BN138-BN137,0)</f>
        <v>203.57988887707162</v>
      </c>
      <c r="BO141" s="9">
        <f>IF(63&lt;=核心参数输入!$B$9*4,BO138-BO137,0)</f>
        <v>203.57988887707162</v>
      </c>
      <c r="BP141" s="9">
        <f>IF(64&lt;=核心参数输入!$B$9*4,BP138-BP137,0)</f>
        <v>203.57988887707162</v>
      </c>
      <c r="BQ141" s="9">
        <f>IF(65&lt;=核心参数输入!$B$9*4,BQ138-BQ137,0)</f>
        <v>206.83299653726678</v>
      </c>
      <c r="BR141" s="9">
        <f>IF(66&lt;=核心参数输入!$B$9*4,BR138-BR137,0)</f>
        <v>206.83299653726678</v>
      </c>
      <c r="BS141" s="9">
        <f>IF(67&lt;=核心参数输入!$B$9*4,BS138-BS137,0)</f>
        <v>206.83299653726678</v>
      </c>
      <c r="BT141" s="9">
        <f>IF(68&lt;=核心参数输入!$B$9*4,BT138-BT137,0)</f>
        <v>206.83299653726678</v>
      </c>
      <c r="BU141" s="9">
        <f>IF(69&lt;=核心参数输入!$B$9*4,BU138-BU137,0)</f>
        <v>210.12538899890549</v>
      </c>
      <c r="BV141" s="9">
        <f>IF(70&lt;=核心参数输入!$B$9*4,BV138-BV137,0)</f>
        <v>210.12538899890549</v>
      </c>
      <c r="BW141" s="9">
        <f>IF(71&lt;=核心参数输入!$B$9*4,BW138-BW137,0)</f>
        <v>210.12538899890549</v>
      </c>
      <c r="BX141" s="9">
        <f>IF(72&lt;=核心参数输入!$B$9*4,BX138-BX137,0)</f>
        <v>210.12538899890549</v>
      </c>
      <c r="BY141" s="9">
        <f>IF(73&lt;=核心参数输入!$B$9*4,BY138-BY137,0)</f>
        <v>213.45746529774047</v>
      </c>
      <c r="BZ141" s="9">
        <f>IF(74&lt;=核心参数输入!$B$9*4,BZ138-BZ137,0)</f>
        <v>213.45746529774047</v>
      </c>
      <c r="CA141" s="9">
        <f>IF(75&lt;=核心参数输入!$B$9*4,CA138-CA137,0)</f>
        <v>213.45746529774047</v>
      </c>
      <c r="CB141" s="9">
        <f>IF(76&lt;=核心参数输入!$B$9*4,CB138-CB137,0)</f>
        <v>213.45746529774047</v>
      </c>
      <c r="CC141" s="9">
        <f>IF(77&lt;=核心参数输入!$B$9*4,CC138-CC137,0)</f>
        <v>216.829626650335</v>
      </c>
      <c r="CD141" s="9">
        <f>IF(78&lt;=核心参数输入!$B$9*4,CD138-CD137,0)</f>
        <v>216.829626650335</v>
      </c>
      <c r="CE141" s="9">
        <f>IF(79&lt;=核心参数输入!$B$9*4,CE138-CE137,0)</f>
        <v>216.829626650335</v>
      </c>
      <c r="CF141" s="9">
        <f>IF(80&lt;=核心参数输入!$B$9*4,CF138-CF137,0)</f>
        <v>216.829626650335</v>
      </c>
      <c r="CG141" s="9">
        <f>IF(81&lt;=核心参数输入!$B$9*4,CG138-CG137,0)</f>
        <v>0</v>
      </c>
      <c r="CH141" s="9">
        <f>IF(82&lt;=核心参数输入!$B$9*4,CH138-CH137,0)</f>
        <v>0</v>
      </c>
      <c r="CI141" s="9">
        <f>IF(83&lt;=核心参数输入!$B$9*4,CI138-CI137,0)</f>
        <v>0</v>
      </c>
      <c r="CJ141" s="9">
        <f>IF(84&lt;=核心参数输入!$B$9*4,CJ138-CJ137,0)</f>
        <v>0</v>
      </c>
      <c r="CK141" s="9">
        <f>IF(85&lt;=核心参数输入!$B$9*4,CK138-CK137,0)</f>
        <v>0</v>
      </c>
      <c r="CL141" s="9">
        <f>IF(86&lt;=核心参数输入!$B$9*4,CL138-CL137,0)</f>
        <v>0</v>
      </c>
      <c r="CM141" s="9">
        <f>IF(87&lt;=核心参数输入!$B$9*4,CM138-CM137,0)</f>
        <v>0</v>
      </c>
      <c r="CN141" s="9">
        <f>IF(88&lt;=核心参数输入!$B$9*4,CN138-CN137,0)</f>
        <v>0</v>
      </c>
      <c r="CO141" s="9">
        <f>IF(89&lt;=核心参数输入!$B$9*4,CO138-CO137,0)</f>
        <v>0</v>
      </c>
      <c r="CP141" s="9">
        <f>IF(90&lt;=核心参数输入!$B$9*4,CP138-CP137,0)</f>
        <v>0</v>
      </c>
      <c r="CQ141" s="9">
        <f>IF(91&lt;=核心参数输入!$B$9*4,CQ138-CQ137,0)</f>
        <v>0</v>
      </c>
      <c r="CR141" s="9">
        <f>IF(92&lt;=核心参数输入!$B$9*4,CR138-CR137,0)</f>
        <v>0</v>
      </c>
      <c r="CS141" s="9">
        <f>IF(93&lt;=核心参数输入!$B$9*4,CS138-CS137,0)</f>
        <v>0</v>
      </c>
      <c r="CT141" s="9">
        <f>IF(94&lt;=核心参数输入!$B$9*4,CT138-CT137,0)</f>
        <v>0</v>
      </c>
      <c r="CU141" s="9">
        <f>IF(95&lt;=核心参数输入!$B$9*4,CU138-CU137,0)</f>
        <v>0</v>
      </c>
      <c r="CV141" s="9">
        <f>IF(96&lt;=核心参数输入!$B$9*4,CV138-CV137,0)</f>
        <v>0</v>
      </c>
      <c r="CW141" s="9">
        <f>IF(97&lt;=核心参数输入!$B$9*4,CW138-CW137,0)</f>
        <v>0</v>
      </c>
      <c r="CX141" s="9">
        <f>IF(98&lt;=核心参数输入!$B$9*4,CX138-CX137,0)</f>
        <v>0</v>
      </c>
      <c r="CY141" s="9">
        <f>IF(99&lt;=核心参数输入!$B$9*4,CY138-CY137,0)</f>
        <v>0</v>
      </c>
      <c r="CZ141" s="9">
        <f>IF(100&lt;=核心参数输入!$B$9*4,CZ138-CZ137,0)</f>
        <v>0</v>
      </c>
      <c r="DA141" s="9">
        <f>IF(101&lt;=核心参数输入!$B$9*4,DA138-DA137,0)</f>
        <v>0</v>
      </c>
      <c r="DB141" s="9">
        <f>IF(102&lt;=核心参数输入!$B$9*4,DB138-DB137,0)</f>
        <v>0</v>
      </c>
      <c r="DC141" s="9">
        <f>IF(103&lt;=核心参数输入!$B$9*4,DC138-DC137,0)</f>
        <v>0</v>
      </c>
      <c r="DD141" s="9">
        <f>IF(104&lt;=核心参数输入!$B$9*4,DD138-DD137,0)</f>
        <v>0</v>
      </c>
      <c r="DE141" s="9">
        <f>IF(105&lt;=核心参数输入!$B$9*4,DE138-DE137,0)</f>
        <v>0</v>
      </c>
      <c r="DF141" s="9">
        <f>IF(106&lt;=核心参数输入!$B$9*4,DF138-DF137,0)</f>
        <v>0</v>
      </c>
      <c r="DG141" s="9">
        <f>IF(107&lt;=核心参数输入!$B$9*4,DG138-DG137,0)</f>
        <v>0</v>
      </c>
      <c r="DH141" s="9">
        <f>IF(108&lt;=核心参数输入!$B$9*4,DH138-DH137,0)</f>
        <v>0</v>
      </c>
      <c r="DI141" s="9">
        <f>IF(109&lt;=核心参数输入!$B$9*4,DI138-DI137,0)</f>
        <v>0</v>
      </c>
      <c r="DJ141" s="9">
        <f>IF(110&lt;=核心参数输入!$B$9*4,DJ138-DJ137,0)</f>
        <v>0</v>
      </c>
      <c r="DK141" s="9">
        <f>IF(111&lt;=核心参数输入!$B$9*4,DK138-DK137,0)</f>
        <v>0</v>
      </c>
      <c r="DL141" s="9">
        <f>IF(112&lt;=核心参数输入!$B$9*4,DL138-DL137,0)</f>
        <v>0</v>
      </c>
      <c r="DM141" s="9">
        <f>IF(113&lt;=核心参数输入!$B$9*4,DM138-DM137,0)</f>
        <v>0</v>
      </c>
      <c r="DN141" s="9">
        <f>IF(114&lt;=核心参数输入!$B$9*4,DN138-DN137,0)</f>
        <v>0</v>
      </c>
      <c r="DO141" s="9">
        <f>IF(115&lt;=核心参数输入!$B$9*4,DO138-DO137,0)</f>
        <v>0</v>
      </c>
      <c r="DP141" s="9">
        <f>IF(116&lt;=核心参数输入!$B$9*4,DP138-DP137,0)</f>
        <v>0</v>
      </c>
      <c r="DQ141" s="9">
        <f>IF(117&lt;=核心参数输入!$B$9*4,DQ138-DQ137,0)</f>
        <v>0</v>
      </c>
      <c r="DR141" s="9">
        <f>IF(118&lt;=核心参数输入!$B$9*4,DR138-DR137,0)</f>
        <v>0</v>
      </c>
      <c r="DS141" s="9">
        <f>IF(119&lt;=核心参数输入!$B$9*4,DS138-DS137,0)</f>
        <v>0</v>
      </c>
      <c r="DT141" s="9">
        <f>IF(120&lt;=核心参数输入!$B$9*4,DT138-DT137,0)</f>
        <v>0</v>
      </c>
    </row>
    <row r="142" spans="1:124" ht="21" customHeight="1">
      <c r="A142" s="8" t="s">
        <v>528</v>
      </c>
      <c r="B142" s="8" t="s">
        <v>39</v>
      </c>
      <c r="C142" s="8"/>
      <c r="D142" s="9">
        <f>IF(0&lt;=核心参数输入!$B$9*4,D136+D130+D137-D138-D139,0)</f>
        <v>0</v>
      </c>
      <c r="E142" s="9">
        <f>IF(1&lt;=核心参数输入!$B$9*4,E136+E130+E137-E138-E139,0)</f>
        <v>0</v>
      </c>
      <c r="F142" s="9">
        <f>IF(2&lt;=核心参数输入!$B$9*4,F136+F130+F137-F138-F139,0)</f>
        <v>0</v>
      </c>
      <c r="G142" s="9">
        <f>IF(3&lt;=核心参数输入!$B$9*4,G136+G130+G137-G138-G139,0)</f>
        <v>0</v>
      </c>
      <c r="H142" s="9">
        <f>IF(4&lt;=核心参数输入!$B$9*4,H136+H130+H137-H138-H139,0)</f>
        <v>0</v>
      </c>
      <c r="I142" s="9">
        <f>IF(5&lt;=核心参数输入!$B$9*4,I136+I130+I137-I138-I139,0)</f>
        <v>0</v>
      </c>
      <c r="J142" s="9">
        <f>IF(6&lt;=核心参数输入!$B$9*4,J136+J130+J137-J138-J139,0)</f>
        <v>0</v>
      </c>
      <c r="K142" s="9">
        <f>IF(7&lt;=核心参数输入!$B$9*4,K136+K130+K137-K138-K139,0)</f>
        <v>0</v>
      </c>
      <c r="L142" s="9">
        <f>IF(8&lt;=核心参数输入!$B$9*4,L136+L130+L137-L138-L139,0)</f>
        <v>0</v>
      </c>
      <c r="M142" s="9">
        <f>IF(9&lt;=核心参数输入!$B$9*4,M136+M130+M137-M138-M139,0)</f>
        <v>0</v>
      </c>
      <c r="N142" s="9">
        <f>IF(10&lt;=核心参数输入!$B$9*4,N136+N130+N137-N138-N139,0)</f>
        <v>0</v>
      </c>
      <c r="O142" s="9">
        <f>IF(11&lt;=核心参数输入!$B$9*4,O136+O130+O137-O138-O139,0)</f>
        <v>0</v>
      </c>
      <c r="P142" s="9">
        <f>IF(12&lt;=核心参数输入!$B$9*4,P136+P130+P137-P138-P139,0)</f>
        <v>0</v>
      </c>
      <c r="Q142" s="9">
        <f>IF(13&lt;=核心参数输入!$B$9*4,Q136+Q130+Q137-Q138-Q139,0)</f>
        <v>0</v>
      </c>
      <c r="R142" s="9">
        <f>IF(14&lt;=核心参数输入!$B$9*4,R136+R130+R137-R138-R139,0)</f>
        <v>0</v>
      </c>
      <c r="S142" s="9">
        <f>IF(15&lt;=核心参数输入!$B$9*4,S136+S130+S137-S138-S139,0)</f>
        <v>0</v>
      </c>
      <c r="T142" s="9">
        <f>IF(16&lt;=核心参数输入!$B$9*4,T136+T130+T137-T138-T139,0)</f>
        <v>0</v>
      </c>
      <c r="U142" s="9">
        <f>IF(17&lt;=核心参数输入!$B$9*4,U136+U130+U137-U138-U139,0)</f>
        <v>0</v>
      </c>
      <c r="V142" s="9">
        <f>IF(18&lt;=核心参数输入!$B$9*4,V136+V130+V137-V138-V139,0)</f>
        <v>0</v>
      </c>
      <c r="W142" s="9">
        <f>IF(19&lt;=核心参数输入!$B$9*4,W136+W130+W137-W138-W139,0)</f>
        <v>0</v>
      </c>
      <c r="X142" s="9">
        <f>IF(20&lt;=核心参数输入!$B$9*4,X136+X130+X137-X138-X139,0)</f>
        <v>0</v>
      </c>
      <c r="Y142" s="9">
        <f>IF(21&lt;=核心参数输入!$B$9*4,Y136+Y130+Y137-Y138-Y139,0)</f>
        <v>0</v>
      </c>
      <c r="Z142" s="9">
        <f>IF(22&lt;=核心参数输入!$B$9*4,Z136+Z130+Z137-Z138-Z139,0)</f>
        <v>0</v>
      </c>
      <c r="AA142" s="9">
        <f>IF(23&lt;=核心参数输入!$B$9*4,AA136+AA130+AA137-AA138-AA139,0)</f>
        <v>0</v>
      </c>
      <c r="AB142" s="9">
        <f>IF(24&lt;=核心参数输入!$B$9*4,AB136+AB130+AB137-AB138-AB139,0)</f>
        <v>0</v>
      </c>
      <c r="AC142" s="9">
        <f>IF(25&lt;=核心参数输入!$B$9*4,AC136+AC130+AC137-AC138-AC139,0)</f>
        <v>0</v>
      </c>
      <c r="AD142" s="9">
        <f>IF(26&lt;=核心参数输入!$B$9*4,AD136+AD130+AD137-AD138-AD139,0)</f>
        <v>0</v>
      </c>
      <c r="AE142" s="9">
        <f>IF(27&lt;=核心参数输入!$B$9*4,AE136+AE130+AE137-AE138-AE139,0)</f>
        <v>0</v>
      </c>
      <c r="AF142" s="9">
        <f>IF(28&lt;=核心参数输入!$B$9*4,AF136+AF130+AF137-AF138-AF139,0)</f>
        <v>0</v>
      </c>
      <c r="AG142" s="9">
        <f>IF(29&lt;=核心参数输入!$B$9*4,AG136+AG130+AG137-AG138-AG139,0)</f>
        <v>0</v>
      </c>
      <c r="AH142" s="9">
        <f>IF(30&lt;=核心参数输入!$B$9*4,AH136+AH130+AH137-AH138-AH139,0)</f>
        <v>0</v>
      </c>
      <c r="AI142" s="9">
        <f>IF(31&lt;=核心参数输入!$B$9*4,AI136+AI130+AI137-AI138-AI139,0)</f>
        <v>0</v>
      </c>
      <c r="AJ142" s="9">
        <f>IF(32&lt;=核心参数输入!$B$9*4,AJ136+AJ130+AJ137-AJ138-AJ139,0)</f>
        <v>0</v>
      </c>
      <c r="AK142" s="9">
        <f>IF(33&lt;=核心参数输入!$B$9*4,AK136+AK130+AK137-AK138-AK139,0)</f>
        <v>0</v>
      </c>
      <c r="AL142" s="9">
        <f>IF(34&lt;=核心参数输入!$B$9*4,AL136+AL130+AL137-AL138-AL139,0)</f>
        <v>0</v>
      </c>
      <c r="AM142" s="9">
        <f>IF(35&lt;=核心参数输入!$B$9*4,AM136+AM130+AM137-AM138-AM139,0)</f>
        <v>0</v>
      </c>
      <c r="AN142" s="9">
        <f>IF(36&lt;=核心参数输入!$B$9*4,AN136+AN130+AN137-AN138-AN139,0)</f>
        <v>0</v>
      </c>
      <c r="AO142" s="9">
        <f>IF(37&lt;=核心参数输入!$B$9*4,AO136+AO130+AO137-AO138-AO139,0)</f>
        <v>0</v>
      </c>
      <c r="AP142" s="9">
        <f>IF(38&lt;=核心参数输入!$B$9*4,AP136+AP130+AP137-AP138-AP139,0)</f>
        <v>0</v>
      </c>
      <c r="AQ142" s="9">
        <f>IF(39&lt;=核心参数输入!$B$9*4,AQ136+AQ130+AQ137-AQ138-AQ139,0)</f>
        <v>0</v>
      </c>
      <c r="AR142" s="9">
        <f>IF(40&lt;=核心参数输入!$B$9*4,AR136+AR130+AR137-AR138-AR139,0)</f>
        <v>0</v>
      </c>
      <c r="AS142" s="9">
        <f>IF(41&lt;=核心参数输入!$B$9*4,AS136+AS130+AS137-AS138-AS139,0)</f>
        <v>0</v>
      </c>
      <c r="AT142" s="9">
        <f>IF(42&lt;=核心参数输入!$B$9*4,AT136+AT130+AT137-AT138-AT139,0)</f>
        <v>0</v>
      </c>
      <c r="AU142" s="9">
        <f>IF(43&lt;=核心参数输入!$B$9*4,AU136+AU130+AU137-AU138-AU139,0)</f>
        <v>0</v>
      </c>
      <c r="AV142" s="9">
        <f>IF(44&lt;=核心参数输入!$B$9*4,AV136+AV130+AV137-AV138-AV139,0)</f>
        <v>0</v>
      </c>
      <c r="AW142" s="9">
        <f>IF(45&lt;=核心参数输入!$B$9*4,AW136+AW130+AW137-AW138-AW139,0)</f>
        <v>0</v>
      </c>
      <c r="AX142" s="9">
        <f>IF(46&lt;=核心参数输入!$B$9*4,AX136+AX130+AX137-AX138-AX139,0)</f>
        <v>0</v>
      </c>
      <c r="AY142" s="9">
        <f>IF(47&lt;=核心参数输入!$B$9*4,AY136+AY130+AY137-AY138-AY139,0)</f>
        <v>0</v>
      </c>
      <c r="AZ142" s="9">
        <f>IF(48&lt;=核心参数输入!$B$9*4,AZ136+AZ130+AZ137-AZ138-AZ139,0)</f>
        <v>0</v>
      </c>
      <c r="BA142" s="9">
        <f>IF(49&lt;=核心参数输入!$B$9*4,BA136+BA130+BA137-BA138-BA139,0)</f>
        <v>0</v>
      </c>
      <c r="BB142" s="9">
        <f>IF(50&lt;=核心参数输入!$B$9*4,BB136+BB130+BB137-BB138-BB139,0)</f>
        <v>0</v>
      </c>
      <c r="BC142" s="9">
        <f>IF(51&lt;=核心参数输入!$B$9*4,BC136+BC130+BC137-BC138-BC139,0)</f>
        <v>0</v>
      </c>
      <c r="BD142" s="9">
        <f>IF(52&lt;=核心参数输入!$B$9*4,BD136+BD130+BD137-BD138-BD139,0)</f>
        <v>0</v>
      </c>
      <c r="BE142" s="9">
        <f>IF(53&lt;=核心参数输入!$B$9*4,BE136+BE130+BE137-BE138-BE139,0)</f>
        <v>0</v>
      </c>
      <c r="BF142" s="9">
        <f>IF(54&lt;=核心参数输入!$B$9*4,BF136+BF130+BF137-BF138-BF139,0)</f>
        <v>0</v>
      </c>
      <c r="BG142" s="9">
        <f>IF(55&lt;=核心参数输入!$B$9*4,BG136+BG130+BG137-BG138-BG139,0)</f>
        <v>0</v>
      </c>
      <c r="BH142" s="9">
        <f>IF(56&lt;=核心参数输入!$B$9*4,BH136+BH130+BH137-BH138-BH139,0)</f>
        <v>0</v>
      </c>
      <c r="BI142" s="9">
        <f>IF(57&lt;=核心参数输入!$B$9*4,BI136+BI130+BI137-BI138-BI139,0)</f>
        <v>0</v>
      </c>
      <c r="BJ142" s="9">
        <f>IF(58&lt;=核心参数输入!$B$9*4,BJ136+BJ130+BJ137-BJ138-BJ139,0)</f>
        <v>0</v>
      </c>
      <c r="BK142" s="9">
        <f>IF(59&lt;=核心参数输入!$B$9*4,BK136+BK130+BK137-BK138-BK139,0)</f>
        <v>0</v>
      </c>
      <c r="BL142" s="9">
        <f>IF(60&lt;=核心参数输入!$B$9*4,BL136+BL130+BL137-BL138-BL139,0)</f>
        <v>0</v>
      </c>
      <c r="BM142" s="9">
        <f>IF(61&lt;=核心参数输入!$B$9*4,BM136+BM130+BM137-BM138-BM139,0)</f>
        <v>0</v>
      </c>
      <c r="BN142" s="9">
        <f>IF(62&lt;=核心参数输入!$B$9*4,BN136+BN130+BN137-BN138-BN139,0)</f>
        <v>0</v>
      </c>
      <c r="BO142" s="9">
        <f>IF(63&lt;=核心参数输入!$B$9*4,BO136+BO130+BO137-BO138-BO139,0)</f>
        <v>0</v>
      </c>
      <c r="BP142" s="9">
        <f>IF(64&lt;=核心参数输入!$B$9*4,BP136+BP130+BP137-BP138-BP139,0)</f>
        <v>0</v>
      </c>
      <c r="BQ142" s="9">
        <f>IF(65&lt;=核心参数输入!$B$9*4,BQ136+BQ130+BQ137-BQ138-BQ139,0)</f>
        <v>0</v>
      </c>
      <c r="BR142" s="9">
        <f>IF(66&lt;=核心参数输入!$B$9*4,BR136+BR130+BR137-BR138-BR139,0)</f>
        <v>0</v>
      </c>
      <c r="BS142" s="9">
        <f>IF(67&lt;=核心参数输入!$B$9*4,BS136+BS130+BS137-BS138-BS139,0)</f>
        <v>0</v>
      </c>
      <c r="BT142" s="9">
        <f>IF(68&lt;=核心参数输入!$B$9*4,BT136+BT130+BT137-BT138-BT139,0)</f>
        <v>0</v>
      </c>
      <c r="BU142" s="9">
        <f>IF(69&lt;=核心参数输入!$B$9*4,BU136+BU130+BU137-BU138-BU139,0)</f>
        <v>0</v>
      </c>
      <c r="BV142" s="9">
        <f>IF(70&lt;=核心参数输入!$B$9*4,BV136+BV130+BV137-BV138-BV139,0)</f>
        <v>0</v>
      </c>
      <c r="BW142" s="9">
        <f>IF(71&lt;=核心参数输入!$B$9*4,BW136+BW130+BW137-BW138-BW139,0)</f>
        <v>0</v>
      </c>
      <c r="BX142" s="9">
        <f>IF(72&lt;=核心参数输入!$B$9*4,BX136+BX130+BX137-BX138-BX139,0)</f>
        <v>0</v>
      </c>
      <c r="BY142" s="9">
        <f>IF(73&lt;=核心参数输入!$B$9*4,BY136+BY130+BY137-BY138-BY139,0)</f>
        <v>0</v>
      </c>
      <c r="BZ142" s="9">
        <f>IF(74&lt;=核心参数输入!$B$9*4,BZ136+BZ130+BZ137-BZ138-BZ139,0)</f>
        <v>0</v>
      </c>
      <c r="CA142" s="9">
        <f>IF(75&lt;=核心参数输入!$B$9*4,CA136+CA130+CA137-CA138-CA139,0)</f>
        <v>0</v>
      </c>
      <c r="CB142" s="9">
        <f>IF(76&lt;=核心参数输入!$B$9*4,CB136+CB130+CB137-CB138-CB139,0)</f>
        <v>0</v>
      </c>
      <c r="CC142" s="9">
        <f>IF(77&lt;=核心参数输入!$B$9*4,CC136+CC130+CC137-CC138-CC139,0)</f>
        <v>0</v>
      </c>
      <c r="CD142" s="9">
        <f>IF(78&lt;=核心参数输入!$B$9*4,CD136+CD130+CD137-CD138-CD139,0)</f>
        <v>0</v>
      </c>
      <c r="CE142" s="9">
        <f>IF(79&lt;=核心参数输入!$B$9*4,CE136+CE130+CE137-CE138-CE139,0)</f>
        <v>0</v>
      </c>
      <c r="CF142" s="9">
        <f>IF(80&lt;=核心参数输入!$B$9*4,CF136+CF130+CF137-CF138-CF139,0)</f>
        <v>0</v>
      </c>
      <c r="CG142" s="9">
        <f>IF(81&lt;=核心参数输入!$B$9*4,CG136+CG130+CG137-CG138-CG139,0)</f>
        <v>0</v>
      </c>
      <c r="CH142" s="9">
        <f>IF(82&lt;=核心参数输入!$B$9*4,CH136+CH130+CH137-CH138-CH139,0)</f>
        <v>0</v>
      </c>
      <c r="CI142" s="9">
        <f>IF(83&lt;=核心参数输入!$B$9*4,CI136+CI130+CI137-CI138-CI139,0)</f>
        <v>0</v>
      </c>
      <c r="CJ142" s="9">
        <f>IF(84&lt;=核心参数输入!$B$9*4,CJ136+CJ130+CJ137-CJ138-CJ139,0)</f>
        <v>0</v>
      </c>
      <c r="CK142" s="9">
        <f>IF(85&lt;=核心参数输入!$B$9*4,CK136+CK130+CK137-CK138-CK139,0)</f>
        <v>0</v>
      </c>
      <c r="CL142" s="9">
        <f>IF(86&lt;=核心参数输入!$B$9*4,CL136+CL130+CL137-CL138-CL139,0)</f>
        <v>0</v>
      </c>
      <c r="CM142" s="9">
        <f>IF(87&lt;=核心参数输入!$B$9*4,CM136+CM130+CM137-CM138-CM139,0)</f>
        <v>0</v>
      </c>
      <c r="CN142" s="9">
        <f>IF(88&lt;=核心参数输入!$B$9*4,CN136+CN130+CN137-CN138-CN139,0)</f>
        <v>0</v>
      </c>
      <c r="CO142" s="9">
        <f>IF(89&lt;=核心参数输入!$B$9*4,CO136+CO130+CO137-CO138-CO139,0)</f>
        <v>0</v>
      </c>
      <c r="CP142" s="9">
        <f>IF(90&lt;=核心参数输入!$B$9*4,CP136+CP130+CP137-CP138-CP139,0)</f>
        <v>0</v>
      </c>
      <c r="CQ142" s="9">
        <f>IF(91&lt;=核心参数输入!$B$9*4,CQ136+CQ130+CQ137-CQ138-CQ139,0)</f>
        <v>0</v>
      </c>
      <c r="CR142" s="9">
        <f>IF(92&lt;=核心参数输入!$B$9*4,CR136+CR130+CR137-CR138-CR139,0)</f>
        <v>0</v>
      </c>
      <c r="CS142" s="9">
        <f>IF(93&lt;=核心参数输入!$B$9*4,CS136+CS130+CS137-CS138-CS139,0)</f>
        <v>0</v>
      </c>
      <c r="CT142" s="9">
        <f>IF(94&lt;=核心参数输入!$B$9*4,CT136+CT130+CT137-CT138-CT139,0)</f>
        <v>0</v>
      </c>
      <c r="CU142" s="9">
        <f>IF(95&lt;=核心参数输入!$B$9*4,CU136+CU130+CU137-CU138-CU139,0)</f>
        <v>0</v>
      </c>
      <c r="CV142" s="9">
        <f>IF(96&lt;=核心参数输入!$B$9*4,CV136+CV130+CV137-CV138-CV139,0)</f>
        <v>0</v>
      </c>
      <c r="CW142" s="9">
        <f>IF(97&lt;=核心参数输入!$B$9*4,CW136+CW130+CW137-CW138-CW139,0)</f>
        <v>0</v>
      </c>
      <c r="CX142" s="9">
        <f>IF(98&lt;=核心参数输入!$B$9*4,CX136+CX130+CX137-CX138-CX139,0)</f>
        <v>0</v>
      </c>
      <c r="CY142" s="9">
        <f>IF(99&lt;=核心参数输入!$B$9*4,CY136+CY130+CY137-CY138-CY139,0)</f>
        <v>0</v>
      </c>
      <c r="CZ142" s="9">
        <f>IF(100&lt;=核心参数输入!$B$9*4,CZ136+CZ130+CZ137-CZ138-CZ139,0)</f>
        <v>0</v>
      </c>
      <c r="DA142" s="9">
        <f>IF(101&lt;=核心参数输入!$B$9*4,DA136+DA130+DA137-DA138-DA139,0)</f>
        <v>0</v>
      </c>
      <c r="DB142" s="9">
        <f>IF(102&lt;=核心参数输入!$B$9*4,DB136+DB130+DB137-DB138-DB139,0)</f>
        <v>0</v>
      </c>
      <c r="DC142" s="9">
        <f>IF(103&lt;=核心参数输入!$B$9*4,DC136+DC130+DC137-DC138-DC139,0)</f>
        <v>0</v>
      </c>
      <c r="DD142" s="9">
        <f>IF(104&lt;=核心参数输入!$B$9*4,DD136+DD130+DD137-DD138-DD139,0)</f>
        <v>0</v>
      </c>
      <c r="DE142" s="9">
        <f>IF(105&lt;=核心参数输入!$B$9*4,DE136+DE130+DE137-DE138-DE139,0)</f>
        <v>0</v>
      </c>
      <c r="DF142" s="9">
        <f>IF(106&lt;=核心参数输入!$B$9*4,DF136+DF130+DF137-DF138-DF139,0)</f>
        <v>0</v>
      </c>
      <c r="DG142" s="9">
        <f>IF(107&lt;=核心参数输入!$B$9*4,DG136+DG130+DG137-DG138-DG139,0)</f>
        <v>0</v>
      </c>
      <c r="DH142" s="9">
        <f>IF(108&lt;=核心参数输入!$B$9*4,DH136+DH130+DH137-DH138-DH139,0)</f>
        <v>0</v>
      </c>
      <c r="DI142" s="9">
        <f>IF(109&lt;=核心参数输入!$B$9*4,DI136+DI130+DI137-DI138-DI139,0)</f>
        <v>0</v>
      </c>
      <c r="DJ142" s="9">
        <f>IF(110&lt;=核心参数输入!$B$9*4,DJ136+DJ130+DJ137-DJ138-DJ139,0)</f>
        <v>0</v>
      </c>
      <c r="DK142" s="9">
        <f>IF(111&lt;=核心参数输入!$B$9*4,DK136+DK130+DK137-DK138-DK139,0)</f>
        <v>0</v>
      </c>
      <c r="DL142" s="9">
        <f>IF(112&lt;=核心参数输入!$B$9*4,DL136+DL130+DL137-DL138-DL139,0)</f>
        <v>0</v>
      </c>
      <c r="DM142" s="9">
        <f>IF(113&lt;=核心参数输入!$B$9*4,DM136+DM130+DM137-DM138-DM139,0)</f>
        <v>0</v>
      </c>
      <c r="DN142" s="9">
        <f>IF(114&lt;=核心参数输入!$B$9*4,DN136+DN130+DN137-DN138-DN139,0)</f>
        <v>0</v>
      </c>
      <c r="DO142" s="9">
        <f>IF(115&lt;=核心参数输入!$B$9*4,DO136+DO130+DO137-DO138-DO139,0)</f>
        <v>0</v>
      </c>
      <c r="DP142" s="9">
        <f>IF(116&lt;=核心参数输入!$B$9*4,DP136+DP130+DP137-DP138-DP139,0)</f>
        <v>0</v>
      </c>
      <c r="DQ142" s="9">
        <f>IF(117&lt;=核心参数输入!$B$9*4,DQ136+DQ130+DQ137-DQ138-DQ139,0)</f>
        <v>0</v>
      </c>
      <c r="DR142" s="9">
        <f>IF(118&lt;=核心参数输入!$B$9*4,DR136+DR130+DR137-DR138-DR139,0)</f>
        <v>0</v>
      </c>
      <c r="DS142" s="9">
        <f>IF(119&lt;=核心参数输入!$B$9*4,DS136+DS130+DS137-DS138-DS139,0)</f>
        <v>0</v>
      </c>
      <c r="DT142" s="9">
        <f>IF(120&lt;=核心参数输入!$B$9*4,DT136+DT130+DT137-DT138-DT139,0)</f>
        <v>0</v>
      </c>
    </row>
    <row r="143" spans="1:124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</row>
    <row r="144" spans="1:124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</row>
    <row r="145" spans="1:124" ht="21" customHeight="1">
      <c r="A145" s="8" t="s">
        <v>529</v>
      </c>
      <c r="B145" s="8" t="s">
        <v>39</v>
      </c>
      <c r="C145" s="8"/>
      <c r="D145" s="9">
        <f>IF(0&lt;=核心参数输入!$B$9*4,IF(0&lt;核心参数输入!$B$9*4,MAX(0,季度现金流!E145-季度现金流!E131),0),0)</f>
        <v>30102.000000000007</v>
      </c>
      <c r="E145" s="9">
        <f>IF(1&lt;=核心参数输入!$B$9*4,IF(1&lt;核心参数输入!$B$9*4,MAX(0,季度现金流!F145-季度现金流!F131),0),0)</f>
        <v>27974.287500000006</v>
      </c>
      <c r="F145" s="9">
        <f>IF(2&lt;=核心参数输入!$B$9*4,IF(2&lt;核心参数输入!$B$9*4,MAX(0,季度现金流!G145-季度现金流!G131),0),0)</f>
        <v>25822.950000000004</v>
      </c>
      <c r="G145" s="9">
        <f>IF(3&lt;=核心参数输入!$B$9*4,IF(3&lt;核心参数输入!$B$9*4,MAX(0,季度现金流!H145-季度现金流!H131),0),0)</f>
        <v>23647.987500000003</v>
      </c>
      <c r="H145" s="9">
        <f>IF(4&lt;=核心参数输入!$B$9*4,IF(4&lt;核心参数输入!$B$9*4,MAX(0,季度现金流!I145-季度现金流!I131),0),0)</f>
        <v>21449.4</v>
      </c>
      <c r="I145" s="9">
        <f>IF(5&lt;=核心参数输入!$B$9*4,IF(5&lt;核心参数输入!$B$9*4,MAX(0,季度现金流!J145-季度现金流!J131),0),0)</f>
        <v>18517.95</v>
      </c>
      <c r="J145" s="9">
        <f>IF(6&lt;=核心参数输入!$B$9*4,IF(6&lt;核心参数输入!$B$9*4,MAX(0,季度现金流!K145-季度现金流!K131),0),0)</f>
        <v>15555</v>
      </c>
      <c r="K145" s="9">
        <f>IF(7&lt;=核心参数输入!$B$9*4,IF(7&lt;核心参数输入!$B$9*4,MAX(0,季度现金流!L145-季度现金流!L131),0),0)</f>
        <v>12560.55</v>
      </c>
      <c r="L145" s="9">
        <f>IF(8&lt;=核心参数输入!$B$9*4,IF(8&lt;核心参数输入!$B$9*4,MAX(0,季度现金流!M145-季度现金流!M131),0),0)</f>
        <v>9534.5999999999985</v>
      </c>
      <c r="M145" s="9">
        <f>IF(9&lt;=核心参数输入!$B$9*4,IF(9&lt;核心参数输入!$B$9*4,MAX(0,季度现金流!N145-季度现金流!N131),0),0)</f>
        <v>7186.3874999999989</v>
      </c>
      <c r="N145" s="9">
        <f>IF(10&lt;=核心参数输入!$B$9*4,IF(10&lt;核心参数输入!$B$9*4,MAX(0,季度现金流!O145-季度现金流!O131),0),0)</f>
        <v>4814.5499999999993</v>
      </c>
      <c r="O145" s="9">
        <f>IF(11&lt;=核心参数输入!$B$9*4,IF(11&lt;核心参数输入!$B$9*4,MAX(0,季度现金流!P145-季度现金流!P131),0),0)</f>
        <v>2419.0874999999996</v>
      </c>
      <c r="P145" s="9">
        <f>IF(12&lt;=核心参数输入!$B$9*4,IF(12&lt;核心参数输入!$B$9*4,MAX(0,季度现金流!Q145-季度现金流!Q131),0),0)</f>
        <v>0</v>
      </c>
      <c r="Q145" s="9">
        <f>IF(13&lt;=核心参数输入!$B$9*4,IF(13&lt;核心参数输入!$B$9*4,MAX(0,季度现金流!R145-季度现金流!R131),0),0)</f>
        <v>0</v>
      </c>
      <c r="R145" s="9">
        <f>IF(14&lt;=核心参数输入!$B$9*4,IF(14&lt;核心参数输入!$B$9*4,MAX(0,季度现金流!S145-季度现金流!S131),0),0)</f>
        <v>0</v>
      </c>
      <c r="S145" s="9">
        <f>IF(15&lt;=核心参数输入!$B$9*4,IF(15&lt;核心参数输入!$B$9*4,MAX(0,季度现金流!T145-季度现金流!T131),0),0)</f>
        <v>1692.723284539285</v>
      </c>
      <c r="T145" s="9">
        <f>IF(16&lt;=核心参数输入!$B$9*4,IF(16&lt;核心参数输入!$B$9*4,MAX(0,季度现金流!U145-季度现金流!U131),0),0)</f>
        <v>0</v>
      </c>
      <c r="U145" s="9">
        <f>IF(17&lt;=核心参数输入!$B$9*4,IF(17&lt;核心参数输入!$B$9*4,MAX(0,季度现金流!V145-季度现金流!V131),0),0)</f>
        <v>1032.9262538743155</v>
      </c>
      <c r="V145" s="9">
        <f>IF(18&lt;=核心参数输入!$B$9*4,IF(18&lt;核心参数输入!$B$9*4,MAX(0,季度现金流!W145-季度现金流!W131),0),0)</f>
        <v>4683.9769871049029</v>
      </c>
      <c r="W145" s="9">
        <f>IF(19&lt;=核心参数输入!$B$9*4,IF(19&lt;核心参数输入!$B$9*4,MAX(0,季度现金流!X145-季度现金流!X131),0),0)</f>
        <v>8353.2637624802646</v>
      </c>
      <c r="X145" s="9">
        <f>IF(20&lt;=核心参数输入!$B$9*4,IF(20&lt;核心参数输入!$B$9*4,MAX(0,季度现金流!Y145-季度现金流!Y131),0),0)</f>
        <v>7777.5722942861175</v>
      </c>
      <c r="Y145" s="9">
        <f>IF(21&lt;=核心参数输入!$B$9*4,IF(21&lt;核心参数输入!$B$9*4,MAX(0,季度现金流!Z145-季度现金流!Z131),0),0)</f>
        <v>10883.832652471003</v>
      </c>
      <c r="Z145" s="9">
        <f>IF(22&lt;=核心参数输入!$B$9*4,IF(22&lt;核心参数输入!$B$9*4,MAX(0,季度现金流!AA145-季度现金流!AA131),0),0)</f>
        <v>13680.517020585718</v>
      </c>
      <c r="AA145" s="9">
        <f>IF(23&lt;=核心参数输入!$B$9*4,IF(23&lt;核心参数输入!$B$9*4,MAX(0,季度现金流!AB145-季度现金流!AB131),0),0)</f>
        <v>16491.083575783141</v>
      </c>
      <c r="AB145" s="9">
        <f>IF(24&lt;=核心参数输入!$B$9*4,IF(24&lt;核心参数输入!$B$9*4,MAX(0,季度现金流!AC145-季度现金流!AC131),0),0)</f>
        <v>15052.318032348991</v>
      </c>
      <c r="AC145" s="9">
        <f>IF(25&lt;=核心参数输入!$B$9*4,IF(25&lt;核心参数输入!$B$9*4,MAX(0,季度现金流!AD145-季度现金流!AD131),0),0)</f>
        <v>15999.806245183529</v>
      </c>
      <c r="AD145" s="9">
        <f>IF(26&lt;=核心参数输入!$B$9*4,IF(26&lt;核心参数输入!$B$9*4,MAX(0,季度现金流!AE145-季度现金流!AE131),0),0)</f>
        <v>15979.372446277366</v>
      </c>
      <c r="AE145" s="9">
        <f>IF(27&lt;=核心参数输入!$B$9*4,IF(27&lt;核心参数输入!$B$9*4,MAX(0,季度现金流!AF145-季度现金流!AF131),0),0)</f>
        <v>15963.635454000854</v>
      </c>
      <c r="AF145" s="9">
        <f>IF(28&lt;=核心参数输入!$B$9*4,IF(28&lt;核心参数输入!$B$9*4,MAX(0,季度现金流!AG145-季度现金流!AG131),0),0)</f>
        <v>11689.380982639706</v>
      </c>
      <c r="AG145" s="9">
        <f>IF(29&lt;=核心参数输入!$B$9*4,IF(29&lt;核心参数输入!$B$9*4,MAX(0,季度现金流!AH145-季度现金流!AH131),0),0)</f>
        <v>11730.919499937236</v>
      </c>
      <c r="AH145" s="9">
        <f>IF(30&lt;=核心参数输入!$B$9*4,IF(30&lt;核心参数输入!$B$9*4,MAX(0,季度现金流!AI145-季度现金流!AI131),0),0)</f>
        <v>11774.841646599312</v>
      </c>
      <c r="AI145" s="9">
        <f>IF(31&lt;=核心参数输入!$B$9*4,IF(31&lt;核心参数输入!$B$9*4,MAX(0,季度现金流!AJ145-季度现金流!AJ131),0),0)</f>
        <v>11818.763793261389</v>
      </c>
      <c r="AJ145" s="9">
        <f>IF(32&lt;=核心参数输入!$B$9*4,IF(32&lt;核心参数输入!$B$9*4,MAX(0,季度现金流!AK145-季度现金流!AK131),0),0)</f>
        <v>7599.471654209181</v>
      </c>
      <c r="AK145" s="9">
        <f>IF(33&lt;=核心参数输入!$B$9*4,IF(33&lt;核心参数输入!$B$9*4,MAX(0,季度现金流!AL145-季度现金流!AL131),0),0)</f>
        <v>7691.3467210111894</v>
      </c>
      <c r="AL145" s="9">
        <f>IF(34&lt;=核心参数输入!$B$9*4,IF(34&lt;核心参数输入!$B$9*4,MAX(0,季度现金流!AM145-季度现金流!AM131),0),0)</f>
        <v>7783.2217878131978</v>
      </c>
      <c r="AM145" s="9">
        <f>IF(35&lt;=核心参数输入!$B$9*4,IF(35&lt;核心参数输入!$B$9*4,MAX(0,季度现金流!AN145-季度现金流!AN131),0),0)</f>
        <v>7875.0968546152062</v>
      </c>
      <c r="AN145" s="9">
        <f>IF(36&lt;=核心参数输入!$B$9*4,IF(36&lt;核心参数输入!$B$9*4,MAX(0,季度现金流!AO145-季度现金流!AO131),0),0)</f>
        <v>3703.7576357029293</v>
      </c>
      <c r="AO145" s="9">
        <f>IF(37&lt;=核心参数输入!$B$9*4,IF(37&lt;核心参数输入!$B$9*4,MAX(0,季度现金流!AP145-季度现金流!AP131),0),0)</f>
        <v>3843.6217982057678</v>
      </c>
      <c r="AP145" s="9">
        <f>IF(38&lt;=核心参数输入!$B$9*4,IF(38&lt;核心参数输入!$B$9*4,MAX(0,季度现金流!AQ145-季度现金流!AQ131),0),0)</f>
        <v>3983.4859607086064</v>
      </c>
      <c r="AQ145" s="9">
        <f>IF(39&lt;=核心参数输入!$B$9*4,IF(39&lt;核心参数输入!$B$9*4,MAX(0,季度现金流!AR145-季度现金流!AR131),0),0)</f>
        <v>4123.350123211445</v>
      </c>
      <c r="AR145" s="9">
        <f>IF(40&lt;=核心参数输入!$B$9*4,IF(40&lt;核心参数输入!$B$9*4,MAX(0,季度现金流!AS145-季度现金流!AS131),0),0)</f>
        <v>0</v>
      </c>
      <c r="AS145" s="9">
        <f>IF(41&lt;=核心参数输入!$B$9*4,IF(41&lt;核心参数输入!$B$9*4,MAX(0,季度现金流!AT145-季度现金流!AT131),0),0)</f>
        <v>0</v>
      </c>
      <c r="AT145" s="9">
        <f>IF(42&lt;=核心参数输入!$B$9*4,IF(42&lt;核心参数输入!$B$9*4,MAX(0,季度现金流!AU145-季度现金流!AU131),0),0)</f>
        <v>0</v>
      </c>
      <c r="AU145" s="9">
        <f>IF(43&lt;=核心参数输入!$B$9*4,IF(43&lt;核心参数输入!$B$9*4,MAX(0,季度现金流!AV145-季度现金流!AV131),0),0)</f>
        <v>0</v>
      </c>
      <c r="AV145" s="9">
        <f>IF(44&lt;=核心参数输入!$B$9*4,IF(44&lt;核心参数输入!$B$9*4,MAX(0,季度现金流!AW145-季度现金流!AW131),0),0)</f>
        <v>0</v>
      </c>
      <c r="AW145" s="9">
        <f>IF(45&lt;=核心参数输入!$B$9*4,IF(45&lt;核心参数输入!$B$9*4,MAX(0,季度现金流!AX145-季度现金流!AX131),0),0)</f>
        <v>0</v>
      </c>
      <c r="AX145" s="9">
        <f>IF(46&lt;=核心参数输入!$B$9*4,IF(46&lt;核心参数输入!$B$9*4,MAX(0,季度现金流!AY145-季度现金流!AY131),0),0)</f>
        <v>0</v>
      </c>
      <c r="AY145" s="9">
        <f>IF(47&lt;=核心参数输入!$B$9*4,IF(47&lt;核心参数输入!$B$9*4,MAX(0,季度现金流!AZ145-季度现金流!AZ131),0),0)</f>
        <v>0</v>
      </c>
      <c r="AZ145" s="9">
        <f>IF(48&lt;=核心参数输入!$B$9*4,IF(48&lt;核心参数输入!$B$9*4,MAX(0,季度现金流!BA145-季度现金流!BA131),0),0)</f>
        <v>0</v>
      </c>
      <c r="BA145" s="9">
        <f>IF(49&lt;=核心参数输入!$B$9*4,IF(49&lt;核心参数输入!$B$9*4,MAX(0,季度现金流!BB145-季度现金流!BB131),0),0)</f>
        <v>0</v>
      </c>
      <c r="BB145" s="9">
        <f>IF(50&lt;=核心参数输入!$B$9*4,IF(50&lt;核心参数输入!$B$9*4,MAX(0,季度现金流!BC145-季度现金流!BC131),0),0)</f>
        <v>0</v>
      </c>
      <c r="BC145" s="9">
        <f>IF(51&lt;=核心参数输入!$B$9*4,IF(51&lt;核心参数输入!$B$9*4,MAX(0,季度现金流!BD145-季度现金流!BD131),0),0)</f>
        <v>0</v>
      </c>
      <c r="BD145" s="9">
        <f>IF(52&lt;=核心参数输入!$B$9*4,IF(52&lt;核心参数输入!$B$9*4,MAX(0,季度现金流!BE145-季度现金流!BE131),0),0)</f>
        <v>0</v>
      </c>
      <c r="BE145" s="9">
        <f>IF(53&lt;=核心参数输入!$B$9*4,IF(53&lt;核心参数输入!$B$9*4,MAX(0,季度现金流!BF145-季度现金流!BF131),0),0)</f>
        <v>0</v>
      </c>
      <c r="BF145" s="9">
        <f>IF(54&lt;=核心参数输入!$B$9*4,IF(54&lt;核心参数输入!$B$9*4,MAX(0,季度现金流!BG145-季度现金流!BG131),0),0)</f>
        <v>0</v>
      </c>
      <c r="BG145" s="9">
        <f>IF(55&lt;=核心参数输入!$B$9*4,IF(55&lt;核心参数输入!$B$9*4,MAX(0,季度现金流!BH145-季度现金流!BH131),0),0)</f>
        <v>0</v>
      </c>
      <c r="BH145" s="9">
        <f>IF(56&lt;=核心参数输入!$B$9*4,IF(56&lt;核心参数输入!$B$9*4,MAX(0,季度现金流!BI145-季度现金流!BI131),0),0)</f>
        <v>0</v>
      </c>
      <c r="BI145" s="9">
        <f>IF(57&lt;=核心参数输入!$B$9*4,IF(57&lt;核心参数输入!$B$9*4,MAX(0,季度现金流!BJ145-季度现金流!BJ131),0),0)</f>
        <v>0</v>
      </c>
      <c r="BJ145" s="9">
        <f>IF(58&lt;=核心参数输入!$B$9*4,IF(58&lt;核心参数输入!$B$9*4,MAX(0,季度现金流!BK145-季度现金流!BK131),0),0)</f>
        <v>0</v>
      </c>
      <c r="BK145" s="9">
        <f>IF(59&lt;=核心参数输入!$B$9*4,IF(59&lt;核心参数输入!$B$9*4,MAX(0,季度现金流!BL145-季度现金流!BL131),0),0)</f>
        <v>0</v>
      </c>
      <c r="BL145" s="9">
        <f>IF(60&lt;=核心参数输入!$B$9*4,IF(60&lt;核心参数输入!$B$9*4,MAX(0,季度现金流!BM145-季度现金流!BM131),0),0)</f>
        <v>0</v>
      </c>
      <c r="BM145" s="9">
        <f>IF(61&lt;=核心参数输入!$B$9*4,IF(61&lt;核心参数输入!$B$9*4,MAX(0,季度现金流!BN145-季度现金流!BN131),0),0)</f>
        <v>0</v>
      </c>
      <c r="BN145" s="9">
        <f>IF(62&lt;=核心参数输入!$B$9*4,IF(62&lt;核心参数输入!$B$9*4,MAX(0,季度现金流!BO145-季度现金流!BO131),0),0)</f>
        <v>0</v>
      </c>
      <c r="BO145" s="9">
        <f>IF(63&lt;=核心参数输入!$B$9*4,IF(63&lt;核心参数输入!$B$9*4,MAX(0,季度现金流!BP145-季度现金流!BP131),0),0)</f>
        <v>0</v>
      </c>
      <c r="BP145" s="9">
        <f>IF(64&lt;=核心参数输入!$B$9*4,IF(64&lt;核心参数输入!$B$9*4,MAX(0,季度现金流!BQ145-季度现金流!BQ131),0),0)</f>
        <v>0</v>
      </c>
      <c r="BQ145" s="9">
        <f>IF(65&lt;=核心参数输入!$B$9*4,IF(65&lt;核心参数输入!$B$9*4,MAX(0,季度现金流!BR145-季度现金流!BR131),0),0)</f>
        <v>0</v>
      </c>
      <c r="BR145" s="9">
        <f>IF(66&lt;=核心参数输入!$B$9*4,IF(66&lt;核心参数输入!$B$9*4,MAX(0,季度现金流!BS145-季度现金流!BS131),0),0)</f>
        <v>0</v>
      </c>
      <c r="BS145" s="9">
        <f>IF(67&lt;=核心参数输入!$B$9*4,IF(67&lt;核心参数输入!$B$9*4,MAX(0,季度现金流!BT145-季度现金流!BT131),0),0)</f>
        <v>0</v>
      </c>
      <c r="BT145" s="9">
        <f>IF(68&lt;=核心参数输入!$B$9*4,IF(68&lt;核心参数输入!$B$9*4,MAX(0,季度现金流!BU145-季度现金流!BU131),0),0)</f>
        <v>0</v>
      </c>
      <c r="BU145" s="9">
        <f>IF(69&lt;=核心参数输入!$B$9*4,IF(69&lt;核心参数输入!$B$9*4,MAX(0,季度现金流!BV145-季度现金流!BV131),0),0)</f>
        <v>0</v>
      </c>
      <c r="BV145" s="9">
        <f>IF(70&lt;=核心参数输入!$B$9*4,IF(70&lt;核心参数输入!$B$9*4,MAX(0,季度现金流!BW145-季度现金流!BW131),0),0)</f>
        <v>0</v>
      </c>
      <c r="BW145" s="9">
        <f>IF(71&lt;=核心参数输入!$B$9*4,IF(71&lt;核心参数输入!$B$9*4,MAX(0,季度现金流!BX145-季度现金流!BX131),0),0)</f>
        <v>0</v>
      </c>
      <c r="BX145" s="9">
        <f>IF(72&lt;=核心参数输入!$B$9*4,IF(72&lt;核心参数输入!$B$9*4,MAX(0,季度现金流!BY145-季度现金流!BY131),0),0)</f>
        <v>0</v>
      </c>
      <c r="BY145" s="9">
        <f>IF(73&lt;=核心参数输入!$B$9*4,IF(73&lt;核心参数输入!$B$9*4,MAX(0,季度现金流!BZ145-季度现金流!BZ131),0),0)</f>
        <v>0</v>
      </c>
      <c r="BZ145" s="9">
        <f>IF(74&lt;=核心参数输入!$B$9*4,IF(74&lt;核心参数输入!$B$9*4,MAX(0,季度现金流!CA145-季度现金流!CA131),0),0)</f>
        <v>0</v>
      </c>
      <c r="CA145" s="9">
        <f>IF(75&lt;=核心参数输入!$B$9*4,IF(75&lt;核心参数输入!$B$9*4,MAX(0,季度现金流!CB145-季度现金流!CB131),0),0)</f>
        <v>0</v>
      </c>
      <c r="CB145" s="9">
        <f>IF(76&lt;=核心参数输入!$B$9*4,IF(76&lt;核心参数输入!$B$9*4,MAX(0,季度现金流!CC145-季度现金流!CC131),0),0)</f>
        <v>0</v>
      </c>
      <c r="CC145" s="9">
        <f>IF(77&lt;=核心参数输入!$B$9*4,IF(77&lt;核心参数输入!$B$9*4,MAX(0,季度现金流!CD145-季度现金流!CD131),0),0)</f>
        <v>0</v>
      </c>
      <c r="CD145" s="9">
        <f>IF(78&lt;=核心参数输入!$B$9*4,IF(78&lt;核心参数输入!$B$9*4,MAX(0,季度现金流!CE145-季度现金流!CE131),0),0)</f>
        <v>0</v>
      </c>
      <c r="CE145" s="9">
        <f>IF(79&lt;=核心参数输入!$B$9*4,IF(79&lt;核心参数输入!$B$9*4,MAX(0,季度现金流!CF145-季度现金流!CF131),0),0)</f>
        <v>0</v>
      </c>
      <c r="CF145" s="9">
        <f>IF(80&lt;=核心参数输入!$B$9*4,IF(80&lt;核心参数输入!$B$9*4,MAX(0,季度现金流!CG145-季度现金流!CG131),0),0)</f>
        <v>0</v>
      </c>
      <c r="CG145" s="9">
        <f>IF(81&lt;=核心参数输入!$B$9*4,IF(81&lt;核心参数输入!$B$9*4,MAX(0,季度现金流!CH145-季度现金流!CH131),0),0)</f>
        <v>0</v>
      </c>
      <c r="CH145" s="9">
        <f>IF(82&lt;=核心参数输入!$B$9*4,IF(82&lt;核心参数输入!$B$9*4,MAX(0,季度现金流!CI145-季度现金流!CI131),0),0)</f>
        <v>0</v>
      </c>
      <c r="CI145" s="9">
        <f>IF(83&lt;=核心参数输入!$B$9*4,IF(83&lt;核心参数输入!$B$9*4,MAX(0,季度现金流!CJ145-季度现金流!CJ131),0),0)</f>
        <v>0</v>
      </c>
      <c r="CJ145" s="9">
        <f>IF(84&lt;=核心参数输入!$B$9*4,IF(84&lt;核心参数输入!$B$9*4,MAX(0,季度现金流!CK145-季度现金流!CK131),0),0)</f>
        <v>0</v>
      </c>
      <c r="CK145" s="9">
        <f>IF(85&lt;=核心参数输入!$B$9*4,IF(85&lt;核心参数输入!$B$9*4,MAX(0,季度现金流!CL145-季度现金流!CL131),0),0)</f>
        <v>0</v>
      </c>
      <c r="CL145" s="9">
        <f>IF(86&lt;=核心参数输入!$B$9*4,IF(86&lt;核心参数输入!$B$9*4,MAX(0,季度现金流!CM145-季度现金流!CM131),0),0)</f>
        <v>0</v>
      </c>
      <c r="CM145" s="9">
        <f>IF(87&lt;=核心参数输入!$B$9*4,IF(87&lt;核心参数输入!$B$9*4,MAX(0,季度现金流!CN145-季度现金流!CN131),0),0)</f>
        <v>0</v>
      </c>
      <c r="CN145" s="9">
        <f>IF(88&lt;=核心参数输入!$B$9*4,IF(88&lt;核心参数输入!$B$9*4,MAX(0,季度现金流!CO145-季度现金流!CO131),0),0)</f>
        <v>0</v>
      </c>
      <c r="CO145" s="9">
        <f>IF(89&lt;=核心参数输入!$B$9*4,IF(89&lt;核心参数输入!$B$9*4,MAX(0,季度现金流!CP145-季度现金流!CP131),0),0)</f>
        <v>0</v>
      </c>
      <c r="CP145" s="9">
        <f>IF(90&lt;=核心参数输入!$B$9*4,IF(90&lt;核心参数输入!$B$9*4,MAX(0,季度现金流!CQ145-季度现金流!CQ131),0),0)</f>
        <v>0</v>
      </c>
      <c r="CQ145" s="9">
        <f>IF(91&lt;=核心参数输入!$B$9*4,IF(91&lt;核心参数输入!$B$9*4,MAX(0,季度现金流!CR145-季度现金流!CR131),0),0)</f>
        <v>0</v>
      </c>
      <c r="CR145" s="9">
        <f>IF(92&lt;=核心参数输入!$B$9*4,IF(92&lt;核心参数输入!$B$9*4,MAX(0,季度现金流!CS145-季度现金流!CS131),0),0)</f>
        <v>0</v>
      </c>
      <c r="CS145" s="9">
        <f>IF(93&lt;=核心参数输入!$B$9*4,IF(93&lt;核心参数输入!$B$9*4,MAX(0,季度现金流!CT145-季度现金流!CT131),0),0)</f>
        <v>0</v>
      </c>
      <c r="CT145" s="9">
        <f>IF(94&lt;=核心参数输入!$B$9*4,IF(94&lt;核心参数输入!$B$9*4,MAX(0,季度现金流!CU145-季度现金流!CU131),0),0)</f>
        <v>0</v>
      </c>
      <c r="CU145" s="9">
        <f>IF(95&lt;=核心参数输入!$B$9*4,IF(95&lt;核心参数输入!$B$9*4,MAX(0,季度现金流!CV145-季度现金流!CV131),0),0)</f>
        <v>0</v>
      </c>
      <c r="CV145" s="9">
        <f>IF(96&lt;=核心参数输入!$B$9*4,IF(96&lt;核心参数输入!$B$9*4,MAX(0,季度现金流!CW145-季度现金流!CW131),0),0)</f>
        <v>0</v>
      </c>
      <c r="CW145" s="9">
        <f>IF(97&lt;=核心参数输入!$B$9*4,IF(97&lt;核心参数输入!$B$9*4,MAX(0,季度现金流!CX145-季度现金流!CX131),0),0)</f>
        <v>0</v>
      </c>
      <c r="CX145" s="9">
        <f>IF(98&lt;=核心参数输入!$B$9*4,IF(98&lt;核心参数输入!$B$9*4,MAX(0,季度现金流!CY145-季度现金流!CY131),0),0)</f>
        <v>0</v>
      </c>
      <c r="CY145" s="9">
        <f>IF(99&lt;=核心参数输入!$B$9*4,IF(99&lt;核心参数输入!$B$9*4,MAX(0,季度现金流!CZ145-季度现金流!CZ131),0),0)</f>
        <v>0</v>
      </c>
      <c r="CZ145" s="9">
        <f>IF(100&lt;=核心参数输入!$B$9*4,IF(100&lt;核心参数输入!$B$9*4,MAX(0,季度现金流!DA145-季度现金流!DA131),0),0)</f>
        <v>0</v>
      </c>
      <c r="DA145" s="9">
        <f>IF(101&lt;=核心参数输入!$B$9*4,IF(101&lt;核心参数输入!$B$9*4,MAX(0,季度现金流!DB145-季度现金流!DB131),0),0)</f>
        <v>0</v>
      </c>
      <c r="DB145" s="9">
        <f>IF(102&lt;=核心参数输入!$B$9*4,IF(102&lt;核心参数输入!$B$9*4,MAX(0,季度现金流!DC145-季度现金流!DC131),0),0)</f>
        <v>0</v>
      </c>
      <c r="DC145" s="9">
        <f>IF(103&lt;=核心参数输入!$B$9*4,IF(103&lt;核心参数输入!$B$9*4,MAX(0,季度现金流!DD145-季度现金流!DD131),0),0)</f>
        <v>0</v>
      </c>
      <c r="DD145" s="9">
        <f>IF(104&lt;=核心参数输入!$B$9*4,IF(104&lt;核心参数输入!$B$9*4,MAX(0,季度现金流!DE145-季度现金流!DE131),0),0)</f>
        <v>0</v>
      </c>
      <c r="DE145" s="9">
        <f>IF(105&lt;=核心参数输入!$B$9*4,IF(105&lt;核心参数输入!$B$9*4,MAX(0,季度现金流!DF145-季度现金流!DF131),0),0)</f>
        <v>0</v>
      </c>
      <c r="DF145" s="9">
        <f>IF(106&lt;=核心参数输入!$B$9*4,IF(106&lt;核心参数输入!$B$9*4,MAX(0,季度现金流!DG145-季度现金流!DG131),0),0)</f>
        <v>0</v>
      </c>
      <c r="DG145" s="9">
        <f>IF(107&lt;=核心参数输入!$B$9*4,IF(107&lt;核心参数输入!$B$9*4,MAX(0,季度现金流!DH145-季度现金流!DH131),0),0)</f>
        <v>0</v>
      </c>
      <c r="DH145" s="9">
        <f>IF(108&lt;=核心参数输入!$B$9*4,IF(108&lt;核心参数输入!$B$9*4,MAX(0,季度现金流!DI145-季度现金流!DI131),0),0)</f>
        <v>0</v>
      </c>
      <c r="DI145" s="9">
        <f>IF(109&lt;=核心参数输入!$B$9*4,IF(109&lt;核心参数输入!$B$9*4,MAX(0,季度现金流!DJ145-季度现金流!DJ131),0),0)</f>
        <v>0</v>
      </c>
      <c r="DJ145" s="9">
        <f>IF(110&lt;=核心参数输入!$B$9*4,IF(110&lt;核心参数输入!$B$9*4,MAX(0,季度现金流!DK145-季度现金流!DK131),0),0)</f>
        <v>0</v>
      </c>
      <c r="DK145" s="9">
        <f>IF(111&lt;=核心参数输入!$B$9*4,IF(111&lt;核心参数输入!$B$9*4,MAX(0,季度现金流!DL145-季度现金流!DL131),0),0)</f>
        <v>0</v>
      </c>
      <c r="DL145" s="9">
        <f>IF(112&lt;=核心参数输入!$B$9*4,IF(112&lt;核心参数输入!$B$9*4,MAX(0,季度现金流!DM145-季度现金流!DM131),0),0)</f>
        <v>0</v>
      </c>
      <c r="DM145" s="9">
        <f>IF(113&lt;=核心参数输入!$B$9*4,IF(113&lt;核心参数输入!$B$9*4,MAX(0,季度现金流!DN145-季度现金流!DN131),0),0)</f>
        <v>0</v>
      </c>
      <c r="DN145" s="9">
        <f>IF(114&lt;=核心参数输入!$B$9*4,IF(114&lt;核心参数输入!$B$9*4,MAX(0,季度现金流!DO145-季度现金流!DO131),0),0)</f>
        <v>0</v>
      </c>
      <c r="DO145" s="9">
        <f>IF(115&lt;=核心参数输入!$B$9*4,IF(115&lt;核心参数输入!$B$9*4,MAX(0,季度现金流!DP145-季度现金流!DP131),0),0)</f>
        <v>0</v>
      </c>
      <c r="DP145" s="9">
        <f>IF(116&lt;=核心参数输入!$B$9*4,IF(116&lt;核心参数输入!$B$9*4,MAX(0,季度现金流!DQ145-季度现金流!DQ131),0),0)</f>
        <v>0</v>
      </c>
      <c r="DQ145" s="9">
        <f>IF(117&lt;=核心参数输入!$B$9*4,IF(117&lt;核心参数输入!$B$9*4,MAX(0,季度现金流!DR145-季度现金流!DR131),0),0)</f>
        <v>0</v>
      </c>
      <c r="DR145" s="9">
        <f>IF(118&lt;=核心参数输入!$B$9*4,IF(118&lt;核心参数输入!$B$9*4,MAX(0,季度现金流!DS145-季度现金流!DS131),0),0)</f>
        <v>0</v>
      </c>
      <c r="DS145" s="9">
        <f>IF(119&lt;=核心参数输入!$B$9*4,IF(119&lt;核心参数输入!$B$9*4,MAX(0,季度现金流!DT145-季度现金流!DT131),0),0)</f>
        <v>0</v>
      </c>
      <c r="DT145" s="9">
        <f>IF(120&lt;=核心参数输入!$B$9*4,0,0)</f>
        <v>0</v>
      </c>
    </row>
    <row r="146" spans="1:124" ht="21" customHeight="1">
      <c r="A146" s="8" t="s">
        <v>530</v>
      </c>
      <c r="B146" s="8" t="s">
        <v>39</v>
      </c>
      <c r="C146" s="8"/>
      <c r="D146" s="9">
        <f>IF(0&lt;=核心参数输入!$B$9*4,0,0)</f>
        <v>0</v>
      </c>
      <c r="E146" s="9">
        <f>IF(1&lt;=核心参数输入!$B$9*4,季度现金流!D149,0)</f>
        <v>0</v>
      </c>
      <c r="F146" s="9">
        <f>IF(2&lt;=核心参数输入!$B$9*4,季度现金流!E149,0)</f>
        <v>0</v>
      </c>
      <c r="G146" s="9">
        <f>IF(3&lt;=核心参数输入!$B$9*4,季度现金流!F149,0)</f>
        <v>0</v>
      </c>
      <c r="H146" s="9">
        <f>IF(4&lt;=核心参数输入!$B$9*4,季度现金流!G149,0)</f>
        <v>0</v>
      </c>
      <c r="I146" s="9">
        <f>IF(5&lt;=核心参数输入!$B$9*4,季度现金流!H149,0)</f>
        <v>0</v>
      </c>
      <c r="J146" s="9">
        <f>IF(6&lt;=核心参数输入!$B$9*4,季度现金流!I149,0)</f>
        <v>0</v>
      </c>
      <c r="K146" s="9">
        <f>IF(7&lt;=核心参数输入!$B$9*4,季度现金流!J149,0)</f>
        <v>0</v>
      </c>
      <c r="L146" s="9">
        <f>IF(8&lt;=核心参数输入!$B$9*4,季度现金流!K149,0)</f>
        <v>0</v>
      </c>
      <c r="M146" s="9">
        <f>IF(9&lt;=核心参数输入!$B$9*4,季度现金流!L149,0)</f>
        <v>0</v>
      </c>
      <c r="N146" s="9">
        <f>IF(10&lt;=核心参数输入!$B$9*4,季度现金流!M149,0)</f>
        <v>0</v>
      </c>
      <c r="O146" s="9">
        <f>IF(11&lt;=核心参数输入!$B$9*4,季度现金流!N149,0)</f>
        <v>0</v>
      </c>
      <c r="P146" s="9">
        <f>IF(12&lt;=核心参数输入!$B$9*4,季度现金流!O149,0)</f>
        <v>0</v>
      </c>
      <c r="Q146" s="9">
        <f>IF(13&lt;=核心参数输入!$B$9*4,季度现金流!P149,0)</f>
        <v>0</v>
      </c>
      <c r="R146" s="9">
        <f>IF(14&lt;=核心参数输入!$B$9*4,季度现金流!Q149,0)</f>
        <v>0</v>
      </c>
      <c r="S146" s="9">
        <f>IF(15&lt;=核心参数输入!$B$9*4,季度现金流!R149,0)</f>
        <v>0</v>
      </c>
      <c r="T146" s="9">
        <f>IF(16&lt;=核心参数输入!$B$9*4,季度现金流!S149,0)</f>
        <v>1692.723284539285</v>
      </c>
      <c r="U146" s="9">
        <f>IF(17&lt;=核心参数输入!$B$9*4,季度现金流!T149,0)</f>
        <v>0</v>
      </c>
      <c r="V146" s="9">
        <f>IF(18&lt;=核心参数输入!$B$9*4,季度现金流!U149,0)</f>
        <v>1032.9262538743155</v>
      </c>
      <c r="W146" s="9">
        <f>IF(19&lt;=核心参数输入!$B$9*4,季度现金流!V149,0)</f>
        <v>4683.9769871049029</v>
      </c>
      <c r="X146" s="9">
        <f>IF(20&lt;=核心参数输入!$B$9*4,季度现金流!W149,0)</f>
        <v>8353.2637624802646</v>
      </c>
      <c r="Y146" s="9">
        <f>IF(21&lt;=核心参数输入!$B$9*4,季度现金流!X149,0)</f>
        <v>7777.5722942861175</v>
      </c>
      <c r="Z146" s="9">
        <f>IF(22&lt;=核心参数输入!$B$9*4,季度现金流!Y149,0)</f>
        <v>10883.832652471003</v>
      </c>
      <c r="AA146" s="9">
        <f>IF(23&lt;=核心参数输入!$B$9*4,季度现金流!Z149,0)</f>
        <v>13680.517020585718</v>
      </c>
      <c r="AB146" s="9">
        <f>IF(24&lt;=核心参数输入!$B$9*4,季度现金流!AA149,0)</f>
        <v>16491.083575783141</v>
      </c>
      <c r="AC146" s="9">
        <f>IF(25&lt;=核心参数输入!$B$9*4,季度现金流!AB149,0)</f>
        <v>15052.318032348991</v>
      </c>
      <c r="AD146" s="9">
        <f>IF(26&lt;=核心参数输入!$B$9*4,季度现金流!AC149,0)</f>
        <v>15999.806245183529</v>
      </c>
      <c r="AE146" s="9">
        <f>IF(27&lt;=核心参数输入!$B$9*4,季度现金流!AD149,0)</f>
        <v>15979.372446277366</v>
      </c>
      <c r="AF146" s="9">
        <f>IF(28&lt;=核心参数输入!$B$9*4,季度现金流!AE149,0)</f>
        <v>15963.635454000854</v>
      </c>
      <c r="AG146" s="9">
        <f>IF(29&lt;=核心参数输入!$B$9*4,季度现金流!AF149,0)</f>
        <v>11689.380982639706</v>
      </c>
      <c r="AH146" s="9">
        <f>IF(30&lt;=核心参数输入!$B$9*4,季度现金流!AG149,0)</f>
        <v>11730.919499937236</v>
      </c>
      <c r="AI146" s="9">
        <f>IF(31&lt;=核心参数输入!$B$9*4,季度现金流!AH149,0)</f>
        <v>11774.841646599312</v>
      </c>
      <c r="AJ146" s="9">
        <f>IF(32&lt;=核心参数输入!$B$9*4,季度现金流!AI149,0)</f>
        <v>11818.763793261389</v>
      </c>
      <c r="AK146" s="9">
        <f>IF(33&lt;=核心参数输入!$B$9*4,季度现金流!AJ149,0)</f>
        <v>7599.471654209181</v>
      </c>
      <c r="AL146" s="9">
        <f>IF(34&lt;=核心参数输入!$B$9*4,季度现金流!AK149,0)</f>
        <v>7691.3467210111894</v>
      </c>
      <c r="AM146" s="9">
        <f>IF(35&lt;=核心参数输入!$B$9*4,季度现金流!AL149,0)</f>
        <v>7783.2217878131978</v>
      </c>
      <c r="AN146" s="9">
        <f>IF(36&lt;=核心参数输入!$B$9*4,季度现金流!AM149,0)</f>
        <v>7875.0968546152062</v>
      </c>
      <c r="AO146" s="9">
        <f>IF(37&lt;=核心参数输入!$B$9*4,季度现金流!AN149,0)</f>
        <v>3703.7576357029293</v>
      </c>
      <c r="AP146" s="9">
        <f>IF(38&lt;=核心参数输入!$B$9*4,季度现金流!AO149,0)</f>
        <v>3843.6217982057678</v>
      </c>
      <c r="AQ146" s="9">
        <f>IF(39&lt;=核心参数输入!$B$9*4,季度现金流!AP149,0)</f>
        <v>3983.4859607086064</v>
      </c>
      <c r="AR146" s="9">
        <f>IF(40&lt;=核心参数输入!$B$9*4,季度现金流!AQ149,0)</f>
        <v>4123.350123211445</v>
      </c>
      <c r="AS146" s="9">
        <f>IF(41&lt;=核心参数输入!$B$9*4,季度现金流!AR149,0)</f>
        <v>0</v>
      </c>
      <c r="AT146" s="9">
        <f>IF(42&lt;=核心参数输入!$B$9*4,季度现金流!AS149,0)</f>
        <v>0</v>
      </c>
      <c r="AU146" s="9">
        <f>IF(43&lt;=核心参数输入!$B$9*4,季度现金流!AT149,0)</f>
        <v>0</v>
      </c>
      <c r="AV146" s="9">
        <f>IF(44&lt;=核心参数输入!$B$9*4,季度现金流!AU149,0)</f>
        <v>0</v>
      </c>
      <c r="AW146" s="9">
        <f>IF(45&lt;=核心参数输入!$B$9*4,季度现金流!AV149,0)</f>
        <v>0</v>
      </c>
      <c r="AX146" s="9">
        <f>IF(46&lt;=核心参数输入!$B$9*4,季度现金流!AW149,0)</f>
        <v>0</v>
      </c>
      <c r="AY146" s="9">
        <f>IF(47&lt;=核心参数输入!$B$9*4,季度现金流!AX149,0)</f>
        <v>0</v>
      </c>
      <c r="AZ146" s="9">
        <f>IF(48&lt;=核心参数输入!$B$9*4,季度现金流!AY149,0)</f>
        <v>0</v>
      </c>
      <c r="BA146" s="9">
        <f>IF(49&lt;=核心参数输入!$B$9*4,季度现金流!AZ149,0)</f>
        <v>0</v>
      </c>
      <c r="BB146" s="9">
        <f>IF(50&lt;=核心参数输入!$B$9*4,季度现金流!BA149,0)</f>
        <v>0</v>
      </c>
      <c r="BC146" s="9">
        <f>IF(51&lt;=核心参数输入!$B$9*4,季度现金流!BB149,0)</f>
        <v>0</v>
      </c>
      <c r="BD146" s="9">
        <f>IF(52&lt;=核心参数输入!$B$9*4,季度现金流!BC149,0)</f>
        <v>0</v>
      </c>
      <c r="BE146" s="9">
        <f>IF(53&lt;=核心参数输入!$B$9*4,季度现金流!BD149,0)</f>
        <v>0</v>
      </c>
      <c r="BF146" s="9">
        <f>IF(54&lt;=核心参数输入!$B$9*4,季度现金流!BE149,0)</f>
        <v>0</v>
      </c>
      <c r="BG146" s="9">
        <f>IF(55&lt;=核心参数输入!$B$9*4,季度现金流!BF149,0)</f>
        <v>0</v>
      </c>
      <c r="BH146" s="9">
        <f>IF(56&lt;=核心参数输入!$B$9*4,季度现金流!BG149,0)</f>
        <v>0</v>
      </c>
      <c r="BI146" s="9">
        <f>IF(57&lt;=核心参数输入!$B$9*4,季度现金流!BH149,0)</f>
        <v>0</v>
      </c>
      <c r="BJ146" s="9">
        <f>IF(58&lt;=核心参数输入!$B$9*4,季度现金流!BI149,0)</f>
        <v>0</v>
      </c>
      <c r="BK146" s="9">
        <f>IF(59&lt;=核心参数输入!$B$9*4,季度现金流!BJ149,0)</f>
        <v>0</v>
      </c>
      <c r="BL146" s="9">
        <f>IF(60&lt;=核心参数输入!$B$9*4,季度现金流!BK149,0)</f>
        <v>0</v>
      </c>
      <c r="BM146" s="9">
        <f>IF(61&lt;=核心参数输入!$B$9*4,季度现金流!BL149,0)</f>
        <v>0</v>
      </c>
      <c r="BN146" s="9">
        <f>IF(62&lt;=核心参数输入!$B$9*4,季度现金流!BM149,0)</f>
        <v>0</v>
      </c>
      <c r="BO146" s="9">
        <f>IF(63&lt;=核心参数输入!$B$9*4,季度现金流!BN149,0)</f>
        <v>0</v>
      </c>
      <c r="BP146" s="9">
        <f>IF(64&lt;=核心参数输入!$B$9*4,季度现金流!BO149,0)</f>
        <v>0</v>
      </c>
      <c r="BQ146" s="9">
        <f>IF(65&lt;=核心参数输入!$B$9*4,季度现金流!BP149,0)</f>
        <v>0</v>
      </c>
      <c r="BR146" s="9">
        <f>IF(66&lt;=核心参数输入!$B$9*4,季度现金流!BQ149,0)</f>
        <v>0</v>
      </c>
      <c r="BS146" s="9">
        <f>IF(67&lt;=核心参数输入!$B$9*4,季度现金流!BR149,0)</f>
        <v>0</v>
      </c>
      <c r="BT146" s="9">
        <f>IF(68&lt;=核心参数输入!$B$9*4,季度现金流!BS149,0)</f>
        <v>0</v>
      </c>
      <c r="BU146" s="9">
        <f>IF(69&lt;=核心参数输入!$B$9*4,季度现金流!BT149,0)</f>
        <v>0</v>
      </c>
      <c r="BV146" s="9">
        <f>IF(70&lt;=核心参数输入!$B$9*4,季度现金流!BU149,0)</f>
        <v>0</v>
      </c>
      <c r="BW146" s="9">
        <f>IF(71&lt;=核心参数输入!$B$9*4,季度现金流!BV149,0)</f>
        <v>0</v>
      </c>
      <c r="BX146" s="9">
        <f>IF(72&lt;=核心参数输入!$B$9*4,季度现金流!BW149,0)</f>
        <v>0</v>
      </c>
      <c r="BY146" s="9">
        <f>IF(73&lt;=核心参数输入!$B$9*4,季度现金流!BX149,0)</f>
        <v>0</v>
      </c>
      <c r="BZ146" s="9">
        <f>IF(74&lt;=核心参数输入!$B$9*4,季度现金流!BY149,0)</f>
        <v>0</v>
      </c>
      <c r="CA146" s="9">
        <f>IF(75&lt;=核心参数输入!$B$9*4,季度现金流!BZ149,0)</f>
        <v>0</v>
      </c>
      <c r="CB146" s="9">
        <f>IF(76&lt;=核心参数输入!$B$9*4,季度现金流!CA149,0)</f>
        <v>0</v>
      </c>
      <c r="CC146" s="9">
        <f>IF(77&lt;=核心参数输入!$B$9*4,季度现金流!CB149,0)</f>
        <v>0</v>
      </c>
      <c r="CD146" s="9">
        <f>IF(78&lt;=核心参数输入!$B$9*4,季度现金流!CC149,0)</f>
        <v>0</v>
      </c>
      <c r="CE146" s="9">
        <f>IF(79&lt;=核心参数输入!$B$9*4,季度现金流!CD149,0)</f>
        <v>0</v>
      </c>
      <c r="CF146" s="9">
        <f>IF(80&lt;=核心参数输入!$B$9*4,季度现金流!CE149,0)</f>
        <v>0</v>
      </c>
      <c r="CG146" s="9">
        <f>IF(81&lt;=核心参数输入!$B$9*4,季度现金流!CF149,0)</f>
        <v>0</v>
      </c>
      <c r="CH146" s="9">
        <f>IF(82&lt;=核心参数输入!$B$9*4,季度现金流!CG149,0)</f>
        <v>0</v>
      </c>
      <c r="CI146" s="9">
        <f>IF(83&lt;=核心参数输入!$B$9*4,季度现金流!CH149,0)</f>
        <v>0</v>
      </c>
      <c r="CJ146" s="9">
        <f>IF(84&lt;=核心参数输入!$B$9*4,季度现金流!CI149,0)</f>
        <v>0</v>
      </c>
      <c r="CK146" s="9">
        <f>IF(85&lt;=核心参数输入!$B$9*4,季度现金流!CJ149,0)</f>
        <v>0</v>
      </c>
      <c r="CL146" s="9">
        <f>IF(86&lt;=核心参数输入!$B$9*4,季度现金流!CK149,0)</f>
        <v>0</v>
      </c>
      <c r="CM146" s="9">
        <f>IF(87&lt;=核心参数输入!$B$9*4,季度现金流!CL149,0)</f>
        <v>0</v>
      </c>
      <c r="CN146" s="9">
        <f>IF(88&lt;=核心参数输入!$B$9*4,季度现金流!CM149,0)</f>
        <v>0</v>
      </c>
      <c r="CO146" s="9">
        <f>IF(89&lt;=核心参数输入!$B$9*4,季度现金流!CN149,0)</f>
        <v>0</v>
      </c>
      <c r="CP146" s="9">
        <f>IF(90&lt;=核心参数输入!$B$9*4,季度现金流!CO149,0)</f>
        <v>0</v>
      </c>
      <c r="CQ146" s="9">
        <f>IF(91&lt;=核心参数输入!$B$9*4,季度现金流!CP149,0)</f>
        <v>0</v>
      </c>
      <c r="CR146" s="9">
        <f>IF(92&lt;=核心参数输入!$B$9*4,季度现金流!CQ149,0)</f>
        <v>0</v>
      </c>
      <c r="CS146" s="9">
        <f>IF(93&lt;=核心参数输入!$B$9*4,季度现金流!CR149,0)</f>
        <v>0</v>
      </c>
      <c r="CT146" s="9">
        <f>IF(94&lt;=核心参数输入!$B$9*4,季度现金流!CS149,0)</f>
        <v>0</v>
      </c>
      <c r="CU146" s="9">
        <f>IF(95&lt;=核心参数输入!$B$9*4,季度现金流!CT149,0)</f>
        <v>0</v>
      </c>
      <c r="CV146" s="9">
        <f>IF(96&lt;=核心参数输入!$B$9*4,季度现金流!CU149,0)</f>
        <v>0</v>
      </c>
      <c r="CW146" s="9">
        <f>IF(97&lt;=核心参数输入!$B$9*4,季度现金流!CV149,0)</f>
        <v>0</v>
      </c>
      <c r="CX146" s="9">
        <f>IF(98&lt;=核心参数输入!$B$9*4,季度现金流!CW149,0)</f>
        <v>0</v>
      </c>
      <c r="CY146" s="9">
        <f>IF(99&lt;=核心参数输入!$B$9*4,季度现金流!CX149,0)</f>
        <v>0</v>
      </c>
      <c r="CZ146" s="9">
        <f>IF(100&lt;=核心参数输入!$B$9*4,季度现金流!CY149,0)</f>
        <v>0</v>
      </c>
      <c r="DA146" s="9">
        <f>IF(101&lt;=核心参数输入!$B$9*4,季度现金流!CZ149,0)</f>
        <v>0</v>
      </c>
      <c r="DB146" s="9">
        <f>IF(102&lt;=核心参数输入!$B$9*4,季度现金流!DA149,0)</f>
        <v>0</v>
      </c>
      <c r="DC146" s="9">
        <f>IF(103&lt;=核心参数输入!$B$9*4,季度现金流!DB149,0)</f>
        <v>0</v>
      </c>
      <c r="DD146" s="9">
        <f>IF(104&lt;=核心参数输入!$B$9*4,季度现金流!DC149,0)</f>
        <v>0</v>
      </c>
      <c r="DE146" s="9">
        <f>IF(105&lt;=核心参数输入!$B$9*4,季度现金流!DD149,0)</f>
        <v>0</v>
      </c>
      <c r="DF146" s="9">
        <f>IF(106&lt;=核心参数输入!$B$9*4,季度现金流!DE149,0)</f>
        <v>0</v>
      </c>
      <c r="DG146" s="9">
        <f>IF(107&lt;=核心参数输入!$B$9*4,季度现金流!DF149,0)</f>
        <v>0</v>
      </c>
      <c r="DH146" s="9">
        <f>IF(108&lt;=核心参数输入!$B$9*4,季度现金流!DG149,0)</f>
        <v>0</v>
      </c>
      <c r="DI146" s="9">
        <f>IF(109&lt;=核心参数输入!$B$9*4,季度现金流!DH149,0)</f>
        <v>0</v>
      </c>
      <c r="DJ146" s="9">
        <f>IF(110&lt;=核心参数输入!$B$9*4,季度现金流!DI149,0)</f>
        <v>0</v>
      </c>
      <c r="DK146" s="9">
        <f>IF(111&lt;=核心参数输入!$B$9*4,季度现金流!DJ149,0)</f>
        <v>0</v>
      </c>
      <c r="DL146" s="9">
        <f>IF(112&lt;=核心参数输入!$B$9*4,季度现金流!DK149,0)</f>
        <v>0</v>
      </c>
      <c r="DM146" s="9">
        <f>IF(113&lt;=核心参数输入!$B$9*4,季度现金流!DL149,0)</f>
        <v>0</v>
      </c>
      <c r="DN146" s="9">
        <f>IF(114&lt;=核心参数输入!$B$9*4,季度现金流!DM149,0)</f>
        <v>0</v>
      </c>
      <c r="DO146" s="9">
        <f>IF(115&lt;=核心参数输入!$B$9*4,季度现金流!DN149,0)</f>
        <v>0</v>
      </c>
      <c r="DP146" s="9">
        <f>IF(116&lt;=核心参数输入!$B$9*4,季度现金流!DO149,0)</f>
        <v>0</v>
      </c>
      <c r="DQ146" s="9">
        <f>IF(117&lt;=核心参数输入!$B$9*4,季度现金流!DP149,0)</f>
        <v>0</v>
      </c>
      <c r="DR146" s="9">
        <f>IF(118&lt;=核心参数输入!$B$9*4,季度现金流!DQ149,0)</f>
        <v>0</v>
      </c>
      <c r="DS146" s="9">
        <f>IF(119&lt;=核心参数输入!$B$9*4,季度现金流!DR149,0)</f>
        <v>0</v>
      </c>
      <c r="DT146" s="9">
        <f>IF(120&lt;=核心参数输入!$B$9*4,季度现金流!DS149,0)</f>
        <v>0</v>
      </c>
    </row>
    <row r="147" spans="1:124" ht="21" customHeight="1">
      <c r="A147" s="8" t="s">
        <v>531</v>
      </c>
      <c r="B147" s="8" t="s">
        <v>39</v>
      </c>
      <c r="C147" s="8"/>
      <c r="D147" s="9">
        <f>IF(0&lt;=核心参数输入!$B$9*4,MAX(0,0-(D146+D131)),0)</f>
        <v>8000</v>
      </c>
      <c r="E147" s="9">
        <f>IF(1&lt;=核心参数输入!$B$9*4,MAX(0,IF(1=核心参数输入!$B$9*4,0,核心参数输入!$B$123)-(E146+E131)),0)</f>
        <v>2127.7124999999996</v>
      </c>
      <c r="F147" s="9">
        <f>IF(2&lt;=核心参数输入!$B$9*4,MAX(0,IF(2=核心参数输入!$B$9*4,0,核心参数输入!$B$123)-(F146+F131)),0)</f>
        <v>2151.3374999999996</v>
      </c>
      <c r="G147" s="9">
        <f>IF(3&lt;=核心参数输入!$B$9*4,MAX(0,IF(3=核心参数输入!$B$9*4,0,核心参数输入!$B$123)-(G146+G131)),0)</f>
        <v>2174.9624999999996</v>
      </c>
      <c r="H147" s="9">
        <f>IF(4&lt;=核心参数输入!$B$9*4,MAX(0,IF(4=核心参数输入!$B$9*4,0,核心参数输入!$B$123)-(H146+H131)),0)</f>
        <v>2198.5874999999996</v>
      </c>
      <c r="I147" s="9">
        <f>IF(5&lt;=核心参数输入!$B$9*4,MAX(0,IF(5=核心参数输入!$B$9*4,0,核心参数输入!$B$123)-(I146+I131)),0)</f>
        <v>2931.4500000000007</v>
      </c>
      <c r="J147" s="9">
        <f>IF(6&lt;=核心参数输入!$B$9*4,MAX(0,IF(6=核心参数输入!$B$9*4,0,核心参数输入!$B$123)-(J146+J131)),0)</f>
        <v>2962.9500000000007</v>
      </c>
      <c r="K147" s="9">
        <f>IF(7&lt;=核心参数输入!$B$9*4,MAX(0,IF(7=核心参数输入!$B$9*4,0,核心参数输入!$B$123)-(K146+K131)),0)</f>
        <v>2994.4500000000007</v>
      </c>
      <c r="L147" s="9">
        <f>IF(8&lt;=核心参数输入!$B$9*4,MAX(0,IF(8=核心参数输入!$B$9*4,0,核心参数输入!$B$123)-(L146+L131)),0)</f>
        <v>3025.9500000000007</v>
      </c>
      <c r="M147" s="9">
        <f>IF(9&lt;=核心参数输入!$B$9*4,MAX(0,IF(9=核心参数输入!$B$9*4,0,核心参数输入!$B$123)-(M146+M131)),0)</f>
        <v>2348.2124999999996</v>
      </c>
      <c r="N147" s="9">
        <f>IF(10&lt;=核心参数输入!$B$9*4,MAX(0,IF(10=核心参数输入!$B$9*4,0,核心参数输入!$B$123)-(N146+N131)),0)</f>
        <v>2371.8374999999996</v>
      </c>
      <c r="O147" s="9">
        <f>IF(11&lt;=核心参数输入!$B$9*4,MAX(0,IF(11=核心参数输入!$B$9*4,0,核心参数输入!$B$123)-(O146+O131)),0)</f>
        <v>2395.4624999999996</v>
      </c>
      <c r="P147" s="9">
        <f>IF(12&lt;=核心参数输入!$B$9*4,MAX(0,IF(12=核心参数输入!$B$9*4,0,核心参数输入!$B$123)-(P146+P131)),0)</f>
        <v>2419.0874999999996</v>
      </c>
      <c r="Q147" s="9">
        <f>IF(13&lt;=核心参数输入!$B$9*4,MAX(0,IF(13=核心参数输入!$B$9*4,0,核心参数输入!$B$123)-(Q146+Q131)),0)</f>
        <v>0</v>
      </c>
      <c r="R147" s="9">
        <f>IF(14&lt;=核心参数输入!$B$9*4,MAX(0,IF(14=核心参数输入!$B$9*4,0,核心参数输入!$B$123)-(R146+R131)),0)</f>
        <v>0</v>
      </c>
      <c r="S147" s="9">
        <f>IF(15&lt;=核心参数输入!$B$9*4,MAX(0,IF(15=核心参数输入!$B$9*4,0,核心参数输入!$B$123)-(S146+S131)),0)</f>
        <v>0</v>
      </c>
      <c r="T147" s="9">
        <f>IF(16&lt;=核心参数输入!$B$9*4,MAX(0,IF(16=核心参数输入!$B$9*4,0,核心参数输入!$B$123)-(T146+T131)),0)</f>
        <v>0</v>
      </c>
      <c r="U147" s="9">
        <f>IF(17&lt;=核心参数输入!$B$9*4,MAX(0,IF(17=核心参数输入!$B$9*4,0,核心参数输入!$B$123)-(U146+U131)),0)</f>
        <v>0</v>
      </c>
      <c r="V147" s="9">
        <f>IF(18&lt;=核心参数输入!$B$9*4,MAX(0,IF(18=核心参数输入!$B$9*4,0,核心参数输入!$B$123)-(V146+V131)),0)</f>
        <v>0</v>
      </c>
      <c r="W147" s="9">
        <f>IF(19&lt;=核心参数输入!$B$9*4,MAX(0,IF(19=核心参数输入!$B$9*4,0,核心参数输入!$B$123)-(W146+W131)),0)</f>
        <v>0</v>
      </c>
      <c r="X147" s="9">
        <f>IF(20&lt;=核心参数输入!$B$9*4,MAX(0,IF(20=核心参数输入!$B$9*4,0,核心参数输入!$B$123)-(X146+X131)),0)</f>
        <v>0</v>
      </c>
      <c r="Y147" s="9">
        <f>IF(21&lt;=核心参数输入!$B$9*4,MAX(0,IF(21=核心参数输入!$B$9*4,0,核心参数输入!$B$123)-(Y146+Y131)),0)</f>
        <v>0</v>
      </c>
      <c r="Z147" s="9">
        <f>IF(22&lt;=核心参数输入!$B$9*4,MAX(0,IF(22=核心参数输入!$B$9*4,0,核心参数输入!$B$123)-(Z146+Z131)),0)</f>
        <v>0</v>
      </c>
      <c r="AA147" s="9">
        <f>IF(23&lt;=核心参数输入!$B$9*4,MAX(0,IF(23=核心参数输入!$B$9*4,0,核心参数输入!$B$123)-(AA146+AA131)),0)</f>
        <v>0</v>
      </c>
      <c r="AB147" s="9">
        <f>IF(24&lt;=核心参数输入!$B$9*4,MAX(0,IF(24=核心参数输入!$B$9*4,0,核心参数输入!$B$123)-(AB146+AB131)),0)</f>
        <v>0</v>
      </c>
      <c r="AC147" s="9">
        <f>IF(25&lt;=核心参数输入!$B$9*4,MAX(0,IF(25=核心参数输入!$B$9*4,0,核心参数输入!$B$123)-(AC146+AC131)),0)</f>
        <v>0</v>
      </c>
      <c r="AD147" s="9">
        <f>IF(26&lt;=核心参数输入!$B$9*4,MAX(0,IF(26=核心参数输入!$B$9*4,0,核心参数输入!$B$123)-(AD146+AD131)),0)</f>
        <v>0</v>
      </c>
      <c r="AE147" s="9">
        <f>IF(27&lt;=核心参数输入!$B$9*4,MAX(0,IF(27=核心参数输入!$B$9*4,0,核心参数输入!$B$123)-(AE146+AE131)),0)</f>
        <v>0</v>
      </c>
      <c r="AF147" s="9">
        <f>IF(28&lt;=核心参数输入!$B$9*4,MAX(0,IF(28=核心参数输入!$B$9*4,0,核心参数输入!$B$123)-(AF146+AF131)),0)</f>
        <v>0</v>
      </c>
      <c r="AG147" s="9">
        <f>IF(29&lt;=核心参数输入!$B$9*4,MAX(0,IF(29=核心参数输入!$B$9*4,0,核心参数输入!$B$123)-(AG146+AG131)),0)</f>
        <v>0</v>
      </c>
      <c r="AH147" s="9">
        <f>IF(30&lt;=核心参数输入!$B$9*4,MAX(0,IF(30=核心参数输入!$B$9*4,0,核心参数输入!$B$123)-(AH146+AH131)),0)</f>
        <v>0</v>
      </c>
      <c r="AI147" s="9">
        <f>IF(31&lt;=核心参数输入!$B$9*4,MAX(0,IF(31=核心参数输入!$B$9*4,0,核心参数输入!$B$123)-(AI146+AI131)),0)</f>
        <v>0</v>
      </c>
      <c r="AJ147" s="9">
        <f>IF(32&lt;=核心参数输入!$B$9*4,MAX(0,IF(32=核心参数输入!$B$9*4,0,核心参数输入!$B$123)-(AJ146+AJ131)),0)</f>
        <v>0</v>
      </c>
      <c r="AK147" s="9">
        <f>IF(33&lt;=核心参数输入!$B$9*4,MAX(0,IF(33=核心参数输入!$B$9*4,0,核心参数输入!$B$123)-(AK146+AK131)),0)</f>
        <v>0</v>
      </c>
      <c r="AL147" s="9">
        <f>IF(34&lt;=核心参数输入!$B$9*4,MAX(0,IF(34=核心参数输入!$B$9*4,0,核心参数输入!$B$123)-(AL146+AL131)),0)</f>
        <v>0</v>
      </c>
      <c r="AM147" s="9">
        <f>IF(35&lt;=核心参数输入!$B$9*4,MAX(0,IF(35=核心参数输入!$B$9*4,0,核心参数输入!$B$123)-(AM146+AM131)),0)</f>
        <v>0</v>
      </c>
      <c r="AN147" s="9">
        <f>IF(36&lt;=核心参数输入!$B$9*4,MAX(0,IF(36=核心参数输入!$B$9*4,0,核心参数输入!$B$123)-(AN146+AN131)),0)</f>
        <v>0</v>
      </c>
      <c r="AO147" s="9">
        <f>IF(37&lt;=核心参数输入!$B$9*4,MAX(0,IF(37=核心参数输入!$B$9*4,0,核心参数输入!$B$123)-(AO146+AO131)),0)</f>
        <v>0</v>
      </c>
      <c r="AP147" s="9">
        <f>IF(38&lt;=核心参数输入!$B$9*4,MAX(0,IF(38=核心参数输入!$B$9*4,0,核心参数输入!$B$123)-(AP146+AP131)),0)</f>
        <v>0</v>
      </c>
      <c r="AQ147" s="9">
        <f>IF(39&lt;=核心参数输入!$B$9*4,MAX(0,IF(39=核心参数输入!$B$9*4,0,核心参数输入!$B$123)-(AQ146+AQ131)),0)</f>
        <v>0</v>
      </c>
      <c r="AR147" s="9">
        <f>IF(40&lt;=核心参数输入!$B$9*4,MAX(0,IF(40=核心参数输入!$B$9*4,0,核心参数输入!$B$123)-(AR146+AR131)),0)</f>
        <v>0</v>
      </c>
      <c r="AS147" s="9">
        <f>IF(41&lt;=核心参数输入!$B$9*4,MAX(0,IF(41=核心参数输入!$B$9*4,0,核心参数输入!$B$123)-(AS146+AS131)),0)</f>
        <v>0</v>
      </c>
      <c r="AT147" s="9">
        <f>IF(42&lt;=核心参数输入!$B$9*4,MAX(0,IF(42=核心参数输入!$B$9*4,0,核心参数输入!$B$123)-(AT146+AT131)),0)</f>
        <v>0</v>
      </c>
      <c r="AU147" s="9">
        <f>IF(43&lt;=核心参数输入!$B$9*4,MAX(0,IF(43=核心参数输入!$B$9*4,0,核心参数输入!$B$123)-(AU146+AU131)),0)</f>
        <v>0</v>
      </c>
      <c r="AV147" s="9">
        <f>IF(44&lt;=核心参数输入!$B$9*4,MAX(0,IF(44=核心参数输入!$B$9*4,0,核心参数输入!$B$123)-(AV146+AV131)),0)</f>
        <v>0</v>
      </c>
      <c r="AW147" s="9">
        <f>IF(45&lt;=核心参数输入!$B$9*4,MAX(0,IF(45=核心参数输入!$B$9*4,0,核心参数输入!$B$123)-(AW146+AW131)),0)</f>
        <v>0</v>
      </c>
      <c r="AX147" s="9">
        <f>IF(46&lt;=核心参数输入!$B$9*4,MAX(0,IF(46=核心参数输入!$B$9*4,0,核心参数输入!$B$123)-(AX146+AX131)),0)</f>
        <v>0</v>
      </c>
      <c r="AY147" s="9">
        <f>IF(47&lt;=核心参数输入!$B$9*4,MAX(0,IF(47=核心参数输入!$B$9*4,0,核心参数输入!$B$123)-(AY146+AY131)),0)</f>
        <v>0</v>
      </c>
      <c r="AZ147" s="9">
        <f>IF(48&lt;=核心参数输入!$B$9*4,MAX(0,IF(48=核心参数输入!$B$9*4,0,核心参数输入!$B$123)-(AZ146+AZ131)),0)</f>
        <v>0</v>
      </c>
      <c r="BA147" s="9">
        <f>IF(49&lt;=核心参数输入!$B$9*4,MAX(0,IF(49=核心参数输入!$B$9*4,0,核心参数输入!$B$123)-(BA146+BA131)),0)</f>
        <v>0</v>
      </c>
      <c r="BB147" s="9">
        <f>IF(50&lt;=核心参数输入!$B$9*4,MAX(0,IF(50=核心参数输入!$B$9*4,0,核心参数输入!$B$123)-(BB146+BB131)),0)</f>
        <v>0</v>
      </c>
      <c r="BC147" s="9">
        <f>IF(51&lt;=核心参数输入!$B$9*4,MAX(0,IF(51=核心参数输入!$B$9*4,0,核心参数输入!$B$123)-(BC146+BC131)),0)</f>
        <v>0</v>
      </c>
      <c r="BD147" s="9">
        <f>IF(52&lt;=核心参数输入!$B$9*4,MAX(0,IF(52=核心参数输入!$B$9*4,0,核心参数输入!$B$123)-(BD146+BD131)),0)</f>
        <v>0</v>
      </c>
      <c r="BE147" s="9">
        <f>IF(53&lt;=核心参数输入!$B$9*4,MAX(0,IF(53=核心参数输入!$B$9*4,0,核心参数输入!$B$123)-(BE146+BE131)),0)</f>
        <v>0</v>
      </c>
      <c r="BF147" s="9">
        <f>IF(54&lt;=核心参数输入!$B$9*4,MAX(0,IF(54=核心参数输入!$B$9*4,0,核心参数输入!$B$123)-(BF146+BF131)),0)</f>
        <v>0</v>
      </c>
      <c r="BG147" s="9">
        <f>IF(55&lt;=核心参数输入!$B$9*4,MAX(0,IF(55=核心参数输入!$B$9*4,0,核心参数输入!$B$123)-(BG146+BG131)),0)</f>
        <v>0</v>
      </c>
      <c r="BH147" s="9">
        <f>IF(56&lt;=核心参数输入!$B$9*4,MAX(0,IF(56=核心参数输入!$B$9*4,0,核心参数输入!$B$123)-(BH146+BH131)),0)</f>
        <v>0</v>
      </c>
      <c r="BI147" s="9">
        <f>IF(57&lt;=核心参数输入!$B$9*4,MAX(0,IF(57=核心参数输入!$B$9*4,0,核心参数输入!$B$123)-(BI146+BI131)),0)</f>
        <v>0</v>
      </c>
      <c r="BJ147" s="9">
        <f>IF(58&lt;=核心参数输入!$B$9*4,MAX(0,IF(58=核心参数输入!$B$9*4,0,核心参数输入!$B$123)-(BJ146+BJ131)),0)</f>
        <v>0</v>
      </c>
      <c r="BK147" s="9">
        <f>IF(59&lt;=核心参数输入!$B$9*4,MAX(0,IF(59=核心参数输入!$B$9*4,0,核心参数输入!$B$123)-(BK146+BK131)),0)</f>
        <v>0</v>
      </c>
      <c r="BL147" s="9">
        <f>IF(60&lt;=核心参数输入!$B$9*4,MAX(0,IF(60=核心参数输入!$B$9*4,0,核心参数输入!$B$123)-(BL146+BL131)),0)</f>
        <v>0</v>
      </c>
      <c r="BM147" s="9">
        <f>IF(61&lt;=核心参数输入!$B$9*4,MAX(0,IF(61=核心参数输入!$B$9*4,0,核心参数输入!$B$123)-(BM146+BM131)),0)</f>
        <v>0</v>
      </c>
      <c r="BN147" s="9">
        <f>IF(62&lt;=核心参数输入!$B$9*4,MAX(0,IF(62=核心参数输入!$B$9*4,0,核心参数输入!$B$123)-(BN146+BN131)),0)</f>
        <v>0</v>
      </c>
      <c r="BO147" s="9">
        <f>IF(63&lt;=核心参数输入!$B$9*4,MAX(0,IF(63=核心参数输入!$B$9*4,0,核心参数输入!$B$123)-(BO146+BO131)),0)</f>
        <v>0</v>
      </c>
      <c r="BP147" s="9">
        <f>IF(64&lt;=核心参数输入!$B$9*4,MAX(0,IF(64=核心参数输入!$B$9*4,0,核心参数输入!$B$123)-(BP146+BP131)),0)</f>
        <v>0</v>
      </c>
      <c r="BQ147" s="9">
        <f>IF(65&lt;=核心参数输入!$B$9*4,MAX(0,IF(65=核心参数输入!$B$9*4,0,核心参数输入!$B$123)-(BQ146+BQ131)),0)</f>
        <v>0</v>
      </c>
      <c r="BR147" s="9">
        <f>IF(66&lt;=核心参数输入!$B$9*4,MAX(0,IF(66=核心参数输入!$B$9*4,0,核心参数输入!$B$123)-(BR146+BR131)),0)</f>
        <v>0</v>
      </c>
      <c r="BS147" s="9">
        <f>IF(67&lt;=核心参数输入!$B$9*4,MAX(0,IF(67=核心参数输入!$B$9*4,0,核心参数输入!$B$123)-(BS146+BS131)),0)</f>
        <v>0</v>
      </c>
      <c r="BT147" s="9">
        <f>IF(68&lt;=核心参数输入!$B$9*4,MAX(0,IF(68=核心参数输入!$B$9*4,0,核心参数输入!$B$123)-(BT146+BT131)),0)</f>
        <v>0</v>
      </c>
      <c r="BU147" s="9">
        <f>IF(69&lt;=核心参数输入!$B$9*4,MAX(0,IF(69=核心参数输入!$B$9*4,0,核心参数输入!$B$123)-(BU146+BU131)),0)</f>
        <v>0</v>
      </c>
      <c r="BV147" s="9">
        <f>IF(70&lt;=核心参数输入!$B$9*4,MAX(0,IF(70=核心参数输入!$B$9*4,0,核心参数输入!$B$123)-(BV146+BV131)),0)</f>
        <v>0</v>
      </c>
      <c r="BW147" s="9">
        <f>IF(71&lt;=核心参数输入!$B$9*4,MAX(0,IF(71=核心参数输入!$B$9*4,0,核心参数输入!$B$123)-(BW146+BW131)),0)</f>
        <v>0</v>
      </c>
      <c r="BX147" s="9">
        <f>IF(72&lt;=核心参数输入!$B$9*4,MAX(0,IF(72=核心参数输入!$B$9*4,0,核心参数输入!$B$123)-(BX146+BX131)),0)</f>
        <v>0</v>
      </c>
      <c r="BY147" s="9">
        <f>IF(73&lt;=核心参数输入!$B$9*4,MAX(0,IF(73=核心参数输入!$B$9*4,0,核心参数输入!$B$123)-(BY146+BY131)),0)</f>
        <v>0</v>
      </c>
      <c r="BZ147" s="9">
        <f>IF(74&lt;=核心参数输入!$B$9*4,MAX(0,IF(74=核心参数输入!$B$9*4,0,核心参数输入!$B$123)-(BZ146+BZ131)),0)</f>
        <v>0</v>
      </c>
      <c r="CA147" s="9">
        <f>IF(75&lt;=核心参数输入!$B$9*4,MAX(0,IF(75=核心参数输入!$B$9*4,0,核心参数输入!$B$123)-(CA146+CA131)),0)</f>
        <v>0</v>
      </c>
      <c r="CB147" s="9">
        <f>IF(76&lt;=核心参数输入!$B$9*4,MAX(0,IF(76=核心参数输入!$B$9*4,0,核心参数输入!$B$123)-(CB146+CB131)),0)</f>
        <v>0</v>
      </c>
      <c r="CC147" s="9">
        <f>IF(77&lt;=核心参数输入!$B$9*4,MAX(0,IF(77=核心参数输入!$B$9*4,0,核心参数输入!$B$123)-(CC146+CC131)),0)</f>
        <v>0</v>
      </c>
      <c r="CD147" s="9">
        <f>IF(78&lt;=核心参数输入!$B$9*4,MAX(0,IF(78=核心参数输入!$B$9*4,0,核心参数输入!$B$123)-(CD146+CD131)),0)</f>
        <v>0</v>
      </c>
      <c r="CE147" s="9">
        <f>IF(79&lt;=核心参数输入!$B$9*4,MAX(0,IF(79=核心参数输入!$B$9*4,0,核心参数输入!$B$123)-(CE146+CE131)),0)</f>
        <v>0</v>
      </c>
      <c r="CF147" s="9">
        <f>IF(80&lt;=核心参数输入!$B$9*4,MAX(0,IF(80=核心参数输入!$B$9*4,0,核心参数输入!$B$123)-(CF146+CF131)),0)</f>
        <v>0</v>
      </c>
      <c r="CG147" s="9">
        <f>IF(81&lt;=核心参数输入!$B$9*4,MAX(0,IF(81=核心参数输入!$B$9*4,0,核心参数输入!$B$123)-(CG146+CG131)),0)</f>
        <v>0</v>
      </c>
      <c r="CH147" s="9">
        <f>IF(82&lt;=核心参数输入!$B$9*4,MAX(0,IF(82=核心参数输入!$B$9*4,0,核心参数输入!$B$123)-(CH146+CH131)),0)</f>
        <v>0</v>
      </c>
      <c r="CI147" s="9">
        <f>IF(83&lt;=核心参数输入!$B$9*4,MAX(0,IF(83=核心参数输入!$B$9*4,0,核心参数输入!$B$123)-(CI146+CI131)),0)</f>
        <v>0</v>
      </c>
      <c r="CJ147" s="9">
        <f>IF(84&lt;=核心参数输入!$B$9*4,MAX(0,IF(84=核心参数输入!$B$9*4,0,核心参数输入!$B$123)-(CJ146+CJ131)),0)</f>
        <v>0</v>
      </c>
      <c r="CK147" s="9">
        <f>IF(85&lt;=核心参数输入!$B$9*4,MAX(0,IF(85=核心参数输入!$B$9*4,0,核心参数输入!$B$123)-(CK146+CK131)),0)</f>
        <v>0</v>
      </c>
      <c r="CL147" s="9">
        <f>IF(86&lt;=核心参数输入!$B$9*4,MAX(0,IF(86=核心参数输入!$B$9*4,0,核心参数输入!$B$123)-(CL146+CL131)),0)</f>
        <v>0</v>
      </c>
      <c r="CM147" s="9">
        <f>IF(87&lt;=核心参数输入!$B$9*4,MAX(0,IF(87=核心参数输入!$B$9*4,0,核心参数输入!$B$123)-(CM146+CM131)),0)</f>
        <v>0</v>
      </c>
      <c r="CN147" s="9">
        <f>IF(88&lt;=核心参数输入!$B$9*4,MAX(0,IF(88=核心参数输入!$B$9*4,0,核心参数输入!$B$123)-(CN146+CN131)),0)</f>
        <v>0</v>
      </c>
      <c r="CO147" s="9">
        <f>IF(89&lt;=核心参数输入!$B$9*4,MAX(0,IF(89=核心参数输入!$B$9*4,0,核心参数输入!$B$123)-(CO146+CO131)),0)</f>
        <v>0</v>
      </c>
      <c r="CP147" s="9">
        <f>IF(90&lt;=核心参数输入!$B$9*4,MAX(0,IF(90=核心参数输入!$B$9*4,0,核心参数输入!$B$123)-(CP146+CP131)),0)</f>
        <v>0</v>
      </c>
      <c r="CQ147" s="9">
        <f>IF(91&lt;=核心参数输入!$B$9*4,MAX(0,IF(91=核心参数输入!$B$9*4,0,核心参数输入!$B$123)-(CQ146+CQ131)),0)</f>
        <v>0</v>
      </c>
      <c r="CR147" s="9">
        <f>IF(92&lt;=核心参数输入!$B$9*4,MAX(0,IF(92=核心参数输入!$B$9*4,0,核心参数输入!$B$123)-(CR146+CR131)),0)</f>
        <v>0</v>
      </c>
      <c r="CS147" s="9">
        <f>IF(93&lt;=核心参数输入!$B$9*4,MAX(0,IF(93=核心参数输入!$B$9*4,0,核心参数输入!$B$123)-(CS146+CS131)),0)</f>
        <v>0</v>
      </c>
      <c r="CT147" s="9">
        <f>IF(94&lt;=核心参数输入!$B$9*4,MAX(0,IF(94=核心参数输入!$B$9*4,0,核心参数输入!$B$123)-(CT146+CT131)),0)</f>
        <v>0</v>
      </c>
      <c r="CU147" s="9">
        <f>IF(95&lt;=核心参数输入!$B$9*4,MAX(0,IF(95=核心参数输入!$B$9*4,0,核心参数输入!$B$123)-(CU146+CU131)),0)</f>
        <v>0</v>
      </c>
      <c r="CV147" s="9">
        <f>IF(96&lt;=核心参数输入!$B$9*4,MAX(0,IF(96=核心参数输入!$B$9*4,0,核心参数输入!$B$123)-(CV146+CV131)),0)</f>
        <v>0</v>
      </c>
      <c r="CW147" s="9">
        <f>IF(97&lt;=核心参数输入!$B$9*4,MAX(0,IF(97=核心参数输入!$B$9*4,0,核心参数输入!$B$123)-(CW146+CW131)),0)</f>
        <v>0</v>
      </c>
      <c r="CX147" s="9">
        <f>IF(98&lt;=核心参数输入!$B$9*4,MAX(0,IF(98=核心参数输入!$B$9*4,0,核心参数输入!$B$123)-(CX146+CX131)),0)</f>
        <v>0</v>
      </c>
      <c r="CY147" s="9">
        <f>IF(99&lt;=核心参数输入!$B$9*4,MAX(0,IF(99=核心参数输入!$B$9*4,0,核心参数输入!$B$123)-(CY146+CY131)),0)</f>
        <v>0</v>
      </c>
      <c r="CZ147" s="9">
        <f>IF(100&lt;=核心参数输入!$B$9*4,MAX(0,IF(100=核心参数输入!$B$9*4,0,核心参数输入!$B$123)-(CZ146+CZ131)),0)</f>
        <v>0</v>
      </c>
      <c r="DA147" s="9">
        <f>IF(101&lt;=核心参数输入!$B$9*4,MAX(0,IF(101=核心参数输入!$B$9*4,0,核心参数输入!$B$123)-(DA146+DA131)),0)</f>
        <v>0</v>
      </c>
      <c r="DB147" s="9">
        <f>IF(102&lt;=核心参数输入!$B$9*4,MAX(0,IF(102=核心参数输入!$B$9*4,0,核心参数输入!$B$123)-(DB146+DB131)),0)</f>
        <v>0</v>
      </c>
      <c r="DC147" s="9">
        <f>IF(103&lt;=核心参数输入!$B$9*4,MAX(0,IF(103=核心参数输入!$B$9*4,0,核心参数输入!$B$123)-(DC146+DC131)),0)</f>
        <v>0</v>
      </c>
      <c r="DD147" s="9">
        <f>IF(104&lt;=核心参数输入!$B$9*4,MAX(0,IF(104=核心参数输入!$B$9*4,0,核心参数输入!$B$123)-(DD146+DD131)),0)</f>
        <v>0</v>
      </c>
      <c r="DE147" s="9">
        <f>IF(105&lt;=核心参数输入!$B$9*4,MAX(0,IF(105=核心参数输入!$B$9*4,0,核心参数输入!$B$123)-(DE146+DE131)),0)</f>
        <v>0</v>
      </c>
      <c r="DF147" s="9">
        <f>IF(106&lt;=核心参数输入!$B$9*4,MAX(0,IF(106=核心参数输入!$B$9*4,0,核心参数输入!$B$123)-(DF146+DF131)),0)</f>
        <v>0</v>
      </c>
      <c r="DG147" s="9">
        <f>IF(107&lt;=核心参数输入!$B$9*4,MAX(0,IF(107=核心参数输入!$B$9*4,0,核心参数输入!$B$123)-(DG146+DG131)),0)</f>
        <v>0</v>
      </c>
      <c r="DH147" s="9">
        <f>IF(108&lt;=核心参数输入!$B$9*4,MAX(0,IF(108=核心参数输入!$B$9*4,0,核心参数输入!$B$123)-(DH146+DH131)),0)</f>
        <v>0</v>
      </c>
      <c r="DI147" s="9">
        <f>IF(109&lt;=核心参数输入!$B$9*4,MAX(0,IF(109=核心参数输入!$B$9*4,0,核心参数输入!$B$123)-(DI146+DI131)),0)</f>
        <v>0</v>
      </c>
      <c r="DJ147" s="9">
        <f>IF(110&lt;=核心参数输入!$B$9*4,MAX(0,IF(110=核心参数输入!$B$9*4,0,核心参数输入!$B$123)-(DJ146+DJ131)),0)</f>
        <v>0</v>
      </c>
      <c r="DK147" s="9">
        <f>IF(111&lt;=核心参数输入!$B$9*4,MAX(0,IF(111=核心参数输入!$B$9*4,0,核心参数输入!$B$123)-(DK146+DK131)),0)</f>
        <v>0</v>
      </c>
      <c r="DL147" s="9">
        <f>IF(112&lt;=核心参数输入!$B$9*4,MAX(0,IF(112=核心参数输入!$B$9*4,0,核心参数输入!$B$123)-(DL146+DL131)),0)</f>
        <v>0</v>
      </c>
      <c r="DM147" s="9">
        <f>IF(113&lt;=核心参数输入!$B$9*4,MAX(0,IF(113=核心参数输入!$B$9*4,0,核心参数输入!$B$123)-(DM146+DM131)),0)</f>
        <v>0</v>
      </c>
      <c r="DN147" s="9">
        <f>IF(114&lt;=核心参数输入!$B$9*4,MAX(0,IF(114=核心参数输入!$B$9*4,0,核心参数输入!$B$123)-(DN146+DN131)),0)</f>
        <v>0</v>
      </c>
      <c r="DO147" s="9">
        <f>IF(115&lt;=核心参数输入!$B$9*4,MAX(0,IF(115=核心参数输入!$B$9*4,0,核心参数输入!$B$123)-(DO146+DO131)),0)</f>
        <v>0</v>
      </c>
      <c r="DP147" s="9">
        <f>IF(116&lt;=核心参数输入!$B$9*4,MAX(0,IF(116=核心参数输入!$B$9*4,0,核心参数输入!$B$123)-(DP146+DP131)),0)</f>
        <v>0</v>
      </c>
      <c r="DQ147" s="9">
        <f>IF(117&lt;=核心参数输入!$B$9*4,MAX(0,IF(117=核心参数输入!$B$9*4,0,核心参数输入!$B$123)-(DQ146+DQ131)),0)</f>
        <v>0</v>
      </c>
      <c r="DR147" s="9">
        <f>IF(118&lt;=核心参数输入!$B$9*4,MAX(0,IF(118=核心参数输入!$B$9*4,0,核心参数输入!$B$123)-(DR146+DR131)),0)</f>
        <v>0</v>
      </c>
      <c r="DS147" s="9">
        <f>IF(119&lt;=核心参数输入!$B$9*4,MAX(0,IF(119=核心参数输入!$B$9*4,0,核心参数输入!$B$123)-(DS146+DS131)),0)</f>
        <v>0</v>
      </c>
      <c r="DT147" s="9">
        <f>IF(120&lt;=核心参数输入!$B$9*4,MAX(0,IF(120=核心参数输入!$B$9*4,0,核心参数输入!$B$123)-(DT146+DT131)),0)</f>
        <v>0</v>
      </c>
    </row>
    <row r="148" spans="1:124" ht="21" customHeight="1">
      <c r="A148" s="8" t="s">
        <v>532</v>
      </c>
      <c r="B148" s="8" t="s">
        <v>39</v>
      </c>
      <c r="C148" s="8"/>
      <c r="D148" s="9">
        <f>IF(0&lt;=核心参数输入!$B$9*4,MAX(0,D146+D131+D147-D145-IF(0=核心参数输入!$B$9*4,0,核心参数输入!$B$123)),0)</f>
        <v>0</v>
      </c>
      <c r="E148" s="9">
        <f>IF(1&lt;=核心参数输入!$B$9*4,MAX(0,E146+E131+E147-E145-IF(1=核心参数输入!$B$9*4,0,核心参数输入!$B$123)),0)</f>
        <v>0</v>
      </c>
      <c r="F148" s="9">
        <f>IF(2&lt;=核心参数输入!$B$9*4,MAX(0,F146+F131+F147-F145-IF(2=核心参数输入!$B$9*4,0,核心参数输入!$B$123)),0)</f>
        <v>0</v>
      </c>
      <c r="G148" s="9">
        <f>IF(3&lt;=核心参数输入!$B$9*4,MAX(0,G146+G131+G147-G145-IF(3=核心参数输入!$B$9*4,0,核心参数输入!$B$123)),0)</f>
        <v>0</v>
      </c>
      <c r="H148" s="9">
        <f>IF(4&lt;=核心参数输入!$B$9*4,MAX(0,H146+H131+H147-H145-IF(4=核心参数输入!$B$9*4,0,核心参数输入!$B$123)),0)</f>
        <v>0</v>
      </c>
      <c r="I148" s="9">
        <f>IF(5&lt;=核心参数输入!$B$9*4,MAX(0,I146+I131+I147-I145-IF(5=核心参数输入!$B$9*4,0,核心参数输入!$B$123)),0)</f>
        <v>0</v>
      </c>
      <c r="J148" s="9">
        <f>IF(6&lt;=核心参数输入!$B$9*4,MAX(0,J146+J131+J147-J145-IF(6=核心参数输入!$B$9*4,0,核心参数输入!$B$123)),0)</f>
        <v>0</v>
      </c>
      <c r="K148" s="9">
        <f>IF(7&lt;=核心参数输入!$B$9*4,MAX(0,K146+K131+K147-K145-IF(7=核心参数输入!$B$9*4,0,核心参数输入!$B$123)),0)</f>
        <v>0</v>
      </c>
      <c r="L148" s="9">
        <f>IF(8&lt;=核心参数输入!$B$9*4,MAX(0,L146+L131+L147-L145-IF(8=核心参数输入!$B$9*4,0,核心参数输入!$B$123)),0)</f>
        <v>0</v>
      </c>
      <c r="M148" s="9">
        <f>IF(9&lt;=核心参数输入!$B$9*4,MAX(0,M146+M131+M147-M145-IF(9=核心参数输入!$B$9*4,0,核心参数输入!$B$123)),0)</f>
        <v>0</v>
      </c>
      <c r="N148" s="9">
        <f>IF(10&lt;=核心参数输入!$B$9*4,MAX(0,N146+N131+N147-N145-IF(10=核心参数输入!$B$9*4,0,核心参数输入!$B$123)),0)</f>
        <v>0</v>
      </c>
      <c r="O148" s="9">
        <f>IF(11&lt;=核心参数输入!$B$9*4,MAX(0,O146+O131+O147-O145-IF(11=核心参数输入!$B$9*4,0,核心参数输入!$B$123)),0)</f>
        <v>0</v>
      </c>
      <c r="P148" s="9">
        <f>IF(12&lt;=核心参数输入!$B$9*4,MAX(0,P146+P131+P147-P145-IF(12=核心参数输入!$B$9*4,0,核心参数输入!$B$123)),0)</f>
        <v>0</v>
      </c>
      <c r="Q148" s="9">
        <f>IF(13&lt;=核心参数输入!$B$9*4,MAX(0,Q146+Q131+Q147-Q145-IF(13=核心参数输入!$B$9*4,0,核心参数输入!$B$123)),0)</f>
        <v>1003.3426562499999</v>
      </c>
      <c r="R148" s="9">
        <f>IF(14&lt;=核心参数输入!$B$9*4,MAX(0,R146+R131+R147-R145-IF(14=核心参数输入!$B$9*4,0,核心参数输入!$B$123)),0)</f>
        <v>2498.6248252350001</v>
      </c>
      <c r="S148" s="9">
        <f>IF(15&lt;=核心参数输入!$B$9*4,MAX(0,S146+S131+S147-S145-IF(15=核心参数输入!$B$9*4,0,核心参数输入!$B$123)),0)</f>
        <v>841.83462866571563</v>
      </c>
      <c r="T148" s="9">
        <f>IF(16&lt;=核心参数输入!$B$9*4,MAX(0,T146+T131+T147-T145-IF(16=核心参数输入!$B$9*4,0,核心参数输入!$B$123)),0)</f>
        <v>0</v>
      </c>
      <c r="U148" s="9">
        <f>IF(17&lt;=核心参数输入!$B$9*4,MAX(0,U146+U131+U147-U145-IF(17=核心参数输入!$B$9*4,0,核心参数输入!$B$123)),0)</f>
        <v>2264.9985411391094</v>
      </c>
      <c r="V148" s="9">
        <f>IF(18&lt;=核心参数输入!$B$9*4,MAX(0,V146+V131+V147-V145-IF(18=核心参数输入!$B$9*4,0,核心参数输入!$B$123)),0)</f>
        <v>0</v>
      </c>
      <c r="W148" s="9">
        <f>IF(19&lt;=核心参数输入!$B$9*4,MAX(0,W146+W131+W147-W145-IF(19=核心参数输入!$B$9*4,0,核心参数输入!$B$123)),0)</f>
        <v>0</v>
      </c>
      <c r="X148" s="9">
        <f>IF(20&lt;=核心参数输入!$B$9*4,MAX(0,X146+X131+X147-X145-IF(20=核心参数输入!$B$9*4,0,核心参数输入!$B$123)),0)</f>
        <v>0</v>
      </c>
      <c r="Y148" s="9">
        <f>IF(21&lt;=核心参数输入!$B$9*4,MAX(0,Y146+Y131+Y147-Y145-IF(21=核心参数输入!$B$9*4,0,核心参数输入!$B$123)),0)</f>
        <v>0</v>
      </c>
      <c r="Z148" s="9">
        <f>IF(22&lt;=核心参数输入!$B$9*4,MAX(0,Z146+Z131+Z147-Z145-IF(22=核心参数输入!$B$9*4,0,核心参数输入!$B$123)),0)</f>
        <v>0</v>
      </c>
      <c r="AA148" s="9">
        <f>IF(23&lt;=核心参数输入!$B$9*4,MAX(0,AA146+AA131+AA147-AA145-IF(23=核心参数输入!$B$9*4,0,核心参数输入!$B$123)),0)</f>
        <v>0</v>
      </c>
      <c r="AB148" s="9">
        <f>IF(24&lt;=核心参数输入!$B$9*4,MAX(0,AB146+AB131+AB147-AB145-IF(24=核心参数输入!$B$9*4,0,核心参数输入!$B$123)),0)</f>
        <v>0</v>
      </c>
      <c r="AC148" s="9">
        <f>IF(25&lt;=核心参数输入!$B$9*4,MAX(0,AC146+AC131+AC147-AC145-IF(25=核心参数输入!$B$9*4,0,核心参数输入!$B$123)),0)</f>
        <v>0</v>
      </c>
      <c r="AD148" s="9">
        <f>IF(26&lt;=核心参数输入!$B$9*4,MAX(0,AD146+AD131+AD147-AD145-IF(26=核心参数输入!$B$9*4,0,核心参数输入!$B$123)),0)</f>
        <v>0</v>
      </c>
      <c r="AE148" s="9">
        <f>IF(27&lt;=核心参数输入!$B$9*4,MAX(0,AE146+AE131+AE147-AE145-IF(27=核心参数输入!$B$9*4,0,核心参数输入!$B$123)),0)</f>
        <v>0</v>
      </c>
      <c r="AF148" s="9">
        <f>IF(28&lt;=核心参数输入!$B$9*4,MAX(0,AF146+AF131+AF147-AF145-IF(28=核心参数输入!$B$9*4,0,核心参数输入!$B$123)),0)</f>
        <v>0</v>
      </c>
      <c r="AG148" s="9">
        <f>IF(29&lt;=核心参数输入!$B$9*4,MAX(0,AG146+AG131+AG147-AG145-IF(29=核心参数输入!$B$9*4,0,核心参数输入!$B$123)),0)</f>
        <v>0</v>
      </c>
      <c r="AH148" s="9">
        <f>IF(30&lt;=核心参数输入!$B$9*4,MAX(0,AH146+AH131+AH147-AH145-IF(30=核心参数输入!$B$9*4,0,核心参数输入!$B$123)),0)</f>
        <v>0</v>
      </c>
      <c r="AI148" s="9">
        <f>IF(31&lt;=核心参数输入!$B$9*4,MAX(0,AI146+AI131+AI147-AI145-IF(31=核心参数输入!$B$9*4,0,核心参数输入!$B$123)),0)</f>
        <v>0</v>
      </c>
      <c r="AJ148" s="9">
        <f>IF(32&lt;=核心参数输入!$B$9*4,MAX(0,AJ146+AJ131+AJ147-AJ145-IF(32=核心参数输入!$B$9*4,0,核心参数输入!$B$123)),0)</f>
        <v>0</v>
      </c>
      <c r="AK148" s="9">
        <f>IF(33&lt;=核心参数输入!$B$9*4,MAX(0,AK146+AK131+AK147-AK145-IF(33=核心参数输入!$B$9*4,0,核心参数输入!$B$123)),0)</f>
        <v>0</v>
      </c>
      <c r="AL148" s="9">
        <f>IF(34&lt;=核心参数输入!$B$9*4,MAX(0,AL146+AL131+AL147-AL145-IF(34=核心参数输入!$B$9*4,0,核心参数输入!$B$123)),0)</f>
        <v>0</v>
      </c>
      <c r="AM148" s="9">
        <f>IF(35&lt;=核心参数输入!$B$9*4,MAX(0,AM146+AM131+AM147-AM145-IF(35=核心参数输入!$B$9*4,0,核心参数输入!$B$123)),0)</f>
        <v>0</v>
      </c>
      <c r="AN148" s="9">
        <f>IF(36&lt;=核心参数输入!$B$9*4,MAX(0,AN146+AN131+AN147-AN145-IF(36=核心参数输入!$B$9*4,0,核心参数输入!$B$123)),0)</f>
        <v>0</v>
      </c>
      <c r="AO148" s="9">
        <f>IF(37&lt;=核心参数输入!$B$9*4,MAX(0,AO146+AO131+AO147-AO145-IF(37=核心参数输入!$B$9*4,0,核心参数输入!$B$123)),0)</f>
        <v>0</v>
      </c>
      <c r="AP148" s="9">
        <f>IF(38&lt;=核心参数输入!$B$9*4,MAX(0,AP146+AP131+AP147-AP145-IF(38=核心参数输入!$B$9*4,0,核心参数输入!$B$123)),0)</f>
        <v>0</v>
      </c>
      <c r="AQ148" s="9">
        <f>IF(39&lt;=核心参数输入!$B$9*4,MAX(0,AQ146+AQ131+AQ147-AQ145-IF(39=核心参数输入!$B$9*4,0,核心参数输入!$B$123)),0)</f>
        <v>0</v>
      </c>
      <c r="AR148" s="9">
        <f>IF(40&lt;=核心参数输入!$B$9*4,MAX(0,AR146+AR131+AR147-AR145-IF(40=核心参数输入!$B$9*4,0,核心参数输入!$B$123)),0)</f>
        <v>0</v>
      </c>
      <c r="AS148" s="9">
        <f>IF(41&lt;=核心参数输入!$B$9*4,MAX(0,AS146+AS131+AS147-AS145-IF(41=核心参数输入!$B$9*4,0,核心参数输入!$B$123)),0)</f>
        <v>187.88981403315699</v>
      </c>
      <c r="AT148" s="9">
        <f>IF(42&lt;=核心参数输入!$B$9*4,MAX(0,AT146+AT131+AT147-AT145-IF(42=核心参数输入!$B$9*4,0,核心参数输入!$B$123)),0)</f>
        <v>187.88981403315699</v>
      </c>
      <c r="AU148" s="9">
        <f>IF(43&lt;=核心参数输入!$B$9*4,MAX(0,AU146+AU131+AU147-AU145-IF(43=核心参数输入!$B$9*4,0,核心参数输入!$B$123)),0)</f>
        <v>187.88981403315699</v>
      </c>
      <c r="AV148" s="9">
        <f>IF(44&lt;=核心参数输入!$B$9*4,MAX(0,AV146+AV131+AV147-AV145-IF(44=核心参数输入!$B$9*4,0,核心参数输入!$B$123)),0)</f>
        <v>187.88981403315699</v>
      </c>
      <c r="AW148" s="9">
        <f>IF(45&lt;=核心参数输入!$B$9*4,MAX(0,AW146+AW131+AW147-AW145-IF(45=核心参数输入!$B$9*4,0,核心参数输入!$B$123)),0)</f>
        <v>190.95240411828576</v>
      </c>
      <c r="AX148" s="9">
        <f>IF(46&lt;=核心参数输入!$B$9*4,MAX(0,AX146+AX131+AX147-AX145-IF(46=核心参数输入!$B$9*4,0,核心参数输入!$B$123)),0)</f>
        <v>190.95240411828576</v>
      </c>
      <c r="AY148" s="9">
        <f>IF(47&lt;=核心参数输入!$B$9*4,MAX(0,AY146+AY131+AY147-AY145-IF(47=核心参数输入!$B$9*4,0,核心参数输入!$B$123)),0)</f>
        <v>190.95240411828576</v>
      </c>
      <c r="AZ148" s="9">
        <f>IF(48&lt;=核心参数输入!$B$9*4,MAX(0,AZ146+AZ131+AZ147-AZ145-IF(48=核心参数输入!$B$9*4,0,核心参数输入!$B$123)),0)</f>
        <v>190.95240411828576</v>
      </c>
      <c r="BA148" s="9">
        <f>IF(49&lt;=核心参数输入!$B$9*4,MAX(0,BA146+BA131+BA147-BA145-IF(49=核心参数输入!$B$9*4,0,核心参数输入!$B$123)),0)</f>
        <v>194.05231791218421</v>
      </c>
      <c r="BB148" s="9">
        <f>IF(50&lt;=核心参数输入!$B$9*4,MAX(0,BB146+BB131+BB147-BB145-IF(50=核心参数输入!$B$9*4,0,核心参数输入!$B$123)),0)</f>
        <v>194.05231791218421</v>
      </c>
      <c r="BC148" s="9">
        <f>IF(51&lt;=核心参数输入!$B$9*4,MAX(0,BC146+BC131+BC147-BC145-IF(51=核心参数输入!$B$9*4,0,核心参数输入!$B$123)),0)</f>
        <v>194.05231791218421</v>
      </c>
      <c r="BD148" s="9">
        <f>IF(52&lt;=核心参数输入!$B$9*4,MAX(0,BD146+BD131+BD147-BD145-IF(52=核心参数输入!$B$9*4,0,核心参数输入!$B$123)),0)</f>
        <v>194.05231791218421</v>
      </c>
      <c r="BE148" s="9">
        <f>IF(53&lt;=核心参数输入!$B$9*4,MAX(0,BE146+BE131+BE147-BE145-IF(53=核心参数输入!$B$9*4,0,核心参数输入!$B$123)),0)</f>
        <v>197.18994296763356</v>
      </c>
      <c r="BF148" s="9">
        <f>IF(54&lt;=核心参数输入!$B$9*4,MAX(0,BF146+BF131+BF147-BF145-IF(54=核心参数输入!$B$9*4,0,核心参数输入!$B$123)),0)</f>
        <v>197.18994296763356</v>
      </c>
      <c r="BG148" s="9">
        <f>IF(55&lt;=核心参数输入!$B$9*4,MAX(0,BG146+BG131+BG147-BG145-IF(55=核心参数输入!$B$9*4,0,核心参数输入!$B$123)),0)</f>
        <v>197.18994296763356</v>
      </c>
      <c r="BH148" s="9">
        <f>IF(56&lt;=核心参数输入!$B$9*4,MAX(0,BH146+BH131+BH147-BH145-IF(56=核心参数输入!$B$9*4,0,核心参数输入!$B$123)),0)</f>
        <v>197.18994296763356</v>
      </c>
      <c r="BI148" s="9">
        <f>IF(57&lt;=核心参数输入!$B$9*4,MAX(0,BI146+BI131+BI147-BI145-IF(57=核心参数输入!$B$9*4,0,核心参数输入!$B$123)),0)</f>
        <v>200.36566920464995</v>
      </c>
      <c r="BJ148" s="9">
        <f>IF(58&lt;=核心参数输入!$B$9*4,MAX(0,BJ146+BJ131+BJ147-BJ145-IF(58=核心参数输入!$B$9*4,0,核心参数输入!$B$123)),0)</f>
        <v>200.36566920464995</v>
      </c>
      <c r="BK148" s="9">
        <f>IF(59&lt;=核心参数输入!$B$9*4,MAX(0,BK146+BK131+BK147-BK145-IF(59=核心参数输入!$B$9*4,0,核心参数输入!$B$123)),0)</f>
        <v>200.36566920464995</v>
      </c>
      <c r="BL148" s="9">
        <f>IF(60&lt;=核心参数输入!$B$9*4,MAX(0,BL146+BL131+BL147-BL145-IF(60=核心参数输入!$B$9*4,0,核心参数输入!$B$123)),0)</f>
        <v>200.36566920464995</v>
      </c>
      <c r="BM148" s="9">
        <f>IF(61&lt;=核心参数输入!$B$9*4,MAX(0,BM146+BM131+BM147-BM145-IF(61=核心参数输入!$B$9*4,0,核心参数输入!$B$123)),0)</f>
        <v>203.57988887707162</v>
      </c>
      <c r="BN148" s="9">
        <f>IF(62&lt;=核心参数输入!$B$9*4,MAX(0,BN146+BN131+BN147-BN145-IF(62=核心参数输入!$B$9*4,0,核心参数输入!$B$123)),0)</f>
        <v>203.57988887707162</v>
      </c>
      <c r="BO148" s="9">
        <f>IF(63&lt;=核心参数输入!$B$9*4,MAX(0,BO146+BO131+BO147-BO145-IF(63=核心参数输入!$B$9*4,0,核心参数输入!$B$123)),0)</f>
        <v>203.57988887707162</v>
      </c>
      <c r="BP148" s="9">
        <f>IF(64&lt;=核心参数输入!$B$9*4,MAX(0,BP146+BP131+BP147-BP145-IF(64=核心参数输入!$B$9*4,0,核心参数输入!$B$123)),0)</f>
        <v>203.57988887707162</v>
      </c>
      <c r="BQ148" s="9">
        <f>IF(65&lt;=核心参数输入!$B$9*4,MAX(0,BQ146+BQ131+BQ147-BQ145-IF(65=核心参数输入!$B$9*4,0,核心参数输入!$B$123)),0)</f>
        <v>206.83299653726678</v>
      </c>
      <c r="BR148" s="9">
        <f>IF(66&lt;=核心参数输入!$B$9*4,MAX(0,BR146+BR131+BR147-BR145-IF(66=核心参数输入!$B$9*4,0,核心参数输入!$B$123)),0)</f>
        <v>206.83299653726678</v>
      </c>
      <c r="BS148" s="9">
        <f>IF(67&lt;=核心参数输入!$B$9*4,MAX(0,BS146+BS131+BS147-BS145-IF(67=核心参数输入!$B$9*4,0,核心参数输入!$B$123)),0)</f>
        <v>206.83299653726678</v>
      </c>
      <c r="BT148" s="9">
        <f>IF(68&lt;=核心参数输入!$B$9*4,MAX(0,BT146+BT131+BT147-BT145-IF(68=核心参数输入!$B$9*4,0,核心参数输入!$B$123)),0)</f>
        <v>206.83299653726678</v>
      </c>
      <c r="BU148" s="9">
        <f>IF(69&lt;=核心参数输入!$B$9*4,MAX(0,BU146+BU131+BU147-BU145-IF(69=核心参数输入!$B$9*4,0,核心参数输入!$B$123)),0)</f>
        <v>210.12538899890549</v>
      </c>
      <c r="BV148" s="9">
        <f>IF(70&lt;=核心参数输入!$B$9*4,MAX(0,BV146+BV131+BV147-BV145-IF(70=核心参数输入!$B$9*4,0,核心参数输入!$B$123)),0)</f>
        <v>210.12538899890549</v>
      </c>
      <c r="BW148" s="9">
        <f>IF(71&lt;=核心参数输入!$B$9*4,MAX(0,BW146+BW131+BW147-BW145-IF(71=核心参数输入!$B$9*4,0,核心参数输入!$B$123)),0)</f>
        <v>210.12538899890549</v>
      </c>
      <c r="BX148" s="9">
        <f>IF(72&lt;=核心参数输入!$B$9*4,MAX(0,BX146+BX131+BX147-BX145-IF(72=核心参数输入!$B$9*4,0,核心参数输入!$B$123)),0)</f>
        <v>210.12538899890549</v>
      </c>
      <c r="BY148" s="9">
        <f>IF(73&lt;=核心参数输入!$B$9*4,MAX(0,BY146+BY131+BY147-BY145-IF(73=核心参数输入!$B$9*4,0,核心参数输入!$B$123)),0)</f>
        <v>213.45746529774047</v>
      </c>
      <c r="BZ148" s="9">
        <f>IF(74&lt;=核心参数输入!$B$9*4,MAX(0,BZ146+BZ131+BZ147-BZ145-IF(74=核心参数输入!$B$9*4,0,核心参数输入!$B$123)),0)</f>
        <v>213.45746529774047</v>
      </c>
      <c r="CA148" s="9">
        <f>IF(75&lt;=核心参数输入!$B$9*4,MAX(0,CA146+CA131+CA147-CA145-IF(75=核心参数输入!$B$9*4,0,核心参数输入!$B$123)),0)</f>
        <v>213.45746529774047</v>
      </c>
      <c r="CB148" s="9">
        <f>IF(76&lt;=核心参数输入!$B$9*4,MAX(0,CB146+CB131+CB147-CB145-IF(76=核心参数输入!$B$9*4,0,核心参数输入!$B$123)),0)</f>
        <v>213.45746529774047</v>
      </c>
      <c r="CC148" s="9">
        <f>IF(77&lt;=核心参数输入!$B$9*4,MAX(0,CC146+CC131+CC147-CC145-IF(77=核心参数输入!$B$9*4,0,核心参数输入!$B$123)),0)</f>
        <v>216.829626650335</v>
      </c>
      <c r="CD148" s="9">
        <f>IF(78&lt;=核心参数输入!$B$9*4,MAX(0,CD146+CD131+CD147-CD145-IF(78=核心参数输入!$B$9*4,0,核心参数输入!$B$123)),0)</f>
        <v>216.829626650335</v>
      </c>
      <c r="CE148" s="9">
        <f>IF(79&lt;=核心参数输入!$B$9*4,MAX(0,CE146+CE131+CE147-CE145-IF(79=核心参数输入!$B$9*4,0,核心参数输入!$B$123)),0)</f>
        <v>216.829626650335</v>
      </c>
      <c r="CF148" s="9">
        <f>IF(80&lt;=核心参数输入!$B$9*4,MAX(0,CF146+CF131+CF147-CF145-IF(80=核心参数输入!$B$9*4,0,核心参数输入!$B$123)),0)</f>
        <v>26398.866466084357</v>
      </c>
      <c r="CG148" s="9">
        <f>IF(81&lt;=核心参数输入!$B$9*4,MAX(0,CG146+CG131+CG147-CG145-IF(81=核心参数输入!$B$9*4,0,核心参数输入!$B$123)),0)</f>
        <v>0</v>
      </c>
      <c r="CH148" s="9">
        <f>IF(82&lt;=核心参数输入!$B$9*4,MAX(0,CH146+CH131+CH147-CH145-IF(82=核心参数输入!$B$9*4,0,核心参数输入!$B$123)),0)</f>
        <v>0</v>
      </c>
      <c r="CI148" s="9">
        <f>IF(83&lt;=核心参数输入!$B$9*4,MAX(0,CI146+CI131+CI147-CI145-IF(83=核心参数输入!$B$9*4,0,核心参数输入!$B$123)),0)</f>
        <v>0</v>
      </c>
      <c r="CJ148" s="9">
        <f>IF(84&lt;=核心参数输入!$B$9*4,MAX(0,CJ146+CJ131+CJ147-CJ145-IF(84=核心参数输入!$B$9*4,0,核心参数输入!$B$123)),0)</f>
        <v>0</v>
      </c>
      <c r="CK148" s="9">
        <f>IF(85&lt;=核心参数输入!$B$9*4,MAX(0,CK146+CK131+CK147-CK145-IF(85=核心参数输入!$B$9*4,0,核心参数输入!$B$123)),0)</f>
        <v>0</v>
      </c>
      <c r="CL148" s="9">
        <f>IF(86&lt;=核心参数输入!$B$9*4,MAX(0,CL146+CL131+CL147-CL145-IF(86=核心参数输入!$B$9*4,0,核心参数输入!$B$123)),0)</f>
        <v>0</v>
      </c>
      <c r="CM148" s="9">
        <f>IF(87&lt;=核心参数输入!$B$9*4,MAX(0,CM146+CM131+CM147-CM145-IF(87=核心参数输入!$B$9*4,0,核心参数输入!$B$123)),0)</f>
        <v>0</v>
      </c>
      <c r="CN148" s="9">
        <f>IF(88&lt;=核心参数输入!$B$9*4,MAX(0,CN146+CN131+CN147-CN145-IF(88=核心参数输入!$B$9*4,0,核心参数输入!$B$123)),0)</f>
        <v>0</v>
      </c>
      <c r="CO148" s="9">
        <f>IF(89&lt;=核心参数输入!$B$9*4,MAX(0,CO146+CO131+CO147-CO145-IF(89=核心参数输入!$B$9*4,0,核心参数输入!$B$123)),0)</f>
        <v>0</v>
      </c>
      <c r="CP148" s="9">
        <f>IF(90&lt;=核心参数输入!$B$9*4,MAX(0,CP146+CP131+CP147-CP145-IF(90=核心参数输入!$B$9*4,0,核心参数输入!$B$123)),0)</f>
        <v>0</v>
      </c>
      <c r="CQ148" s="9">
        <f>IF(91&lt;=核心参数输入!$B$9*4,MAX(0,CQ146+CQ131+CQ147-CQ145-IF(91=核心参数输入!$B$9*4,0,核心参数输入!$B$123)),0)</f>
        <v>0</v>
      </c>
      <c r="CR148" s="9">
        <f>IF(92&lt;=核心参数输入!$B$9*4,MAX(0,CR146+CR131+CR147-CR145-IF(92=核心参数输入!$B$9*4,0,核心参数输入!$B$123)),0)</f>
        <v>0</v>
      </c>
      <c r="CS148" s="9">
        <f>IF(93&lt;=核心参数输入!$B$9*4,MAX(0,CS146+CS131+CS147-CS145-IF(93=核心参数输入!$B$9*4,0,核心参数输入!$B$123)),0)</f>
        <v>0</v>
      </c>
      <c r="CT148" s="9">
        <f>IF(94&lt;=核心参数输入!$B$9*4,MAX(0,CT146+CT131+CT147-CT145-IF(94=核心参数输入!$B$9*4,0,核心参数输入!$B$123)),0)</f>
        <v>0</v>
      </c>
      <c r="CU148" s="9">
        <f>IF(95&lt;=核心参数输入!$B$9*4,MAX(0,CU146+CU131+CU147-CU145-IF(95=核心参数输入!$B$9*4,0,核心参数输入!$B$123)),0)</f>
        <v>0</v>
      </c>
      <c r="CV148" s="9">
        <f>IF(96&lt;=核心参数输入!$B$9*4,MAX(0,CV146+CV131+CV147-CV145-IF(96=核心参数输入!$B$9*4,0,核心参数输入!$B$123)),0)</f>
        <v>0</v>
      </c>
      <c r="CW148" s="9">
        <f>IF(97&lt;=核心参数输入!$B$9*4,MAX(0,CW146+CW131+CW147-CW145-IF(97=核心参数输入!$B$9*4,0,核心参数输入!$B$123)),0)</f>
        <v>0</v>
      </c>
      <c r="CX148" s="9">
        <f>IF(98&lt;=核心参数输入!$B$9*4,MAX(0,CX146+CX131+CX147-CX145-IF(98=核心参数输入!$B$9*4,0,核心参数输入!$B$123)),0)</f>
        <v>0</v>
      </c>
      <c r="CY148" s="9">
        <f>IF(99&lt;=核心参数输入!$B$9*4,MAX(0,CY146+CY131+CY147-CY145-IF(99=核心参数输入!$B$9*4,0,核心参数输入!$B$123)),0)</f>
        <v>0</v>
      </c>
      <c r="CZ148" s="9">
        <f>IF(100&lt;=核心参数输入!$B$9*4,MAX(0,CZ146+CZ131+CZ147-CZ145-IF(100=核心参数输入!$B$9*4,0,核心参数输入!$B$123)),0)</f>
        <v>0</v>
      </c>
      <c r="DA148" s="9">
        <f>IF(101&lt;=核心参数输入!$B$9*4,MAX(0,DA146+DA131+DA147-DA145-IF(101=核心参数输入!$B$9*4,0,核心参数输入!$B$123)),0)</f>
        <v>0</v>
      </c>
      <c r="DB148" s="9">
        <f>IF(102&lt;=核心参数输入!$B$9*4,MAX(0,DB146+DB131+DB147-DB145-IF(102=核心参数输入!$B$9*4,0,核心参数输入!$B$123)),0)</f>
        <v>0</v>
      </c>
      <c r="DC148" s="9">
        <f>IF(103&lt;=核心参数输入!$B$9*4,MAX(0,DC146+DC131+DC147-DC145-IF(103=核心参数输入!$B$9*4,0,核心参数输入!$B$123)),0)</f>
        <v>0</v>
      </c>
      <c r="DD148" s="9">
        <f>IF(104&lt;=核心参数输入!$B$9*4,MAX(0,DD146+DD131+DD147-DD145-IF(104=核心参数输入!$B$9*4,0,核心参数输入!$B$123)),0)</f>
        <v>0</v>
      </c>
      <c r="DE148" s="9">
        <f>IF(105&lt;=核心参数输入!$B$9*4,MAX(0,DE146+DE131+DE147-DE145-IF(105=核心参数输入!$B$9*4,0,核心参数输入!$B$123)),0)</f>
        <v>0</v>
      </c>
      <c r="DF148" s="9">
        <f>IF(106&lt;=核心参数输入!$B$9*4,MAX(0,DF146+DF131+DF147-DF145-IF(106=核心参数输入!$B$9*4,0,核心参数输入!$B$123)),0)</f>
        <v>0</v>
      </c>
      <c r="DG148" s="9">
        <f>IF(107&lt;=核心参数输入!$B$9*4,MAX(0,DG146+DG131+DG147-DG145-IF(107=核心参数输入!$B$9*4,0,核心参数输入!$B$123)),0)</f>
        <v>0</v>
      </c>
      <c r="DH148" s="9">
        <f>IF(108&lt;=核心参数输入!$B$9*4,MAX(0,DH146+DH131+DH147-DH145-IF(108=核心参数输入!$B$9*4,0,核心参数输入!$B$123)),0)</f>
        <v>0</v>
      </c>
      <c r="DI148" s="9">
        <f>IF(109&lt;=核心参数输入!$B$9*4,MAX(0,DI146+DI131+DI147-DI145-IF(109=核心参数输入!$B$9*4,0,核心参数输入!$B$123)),0)</f>
        <v>0</v>
      </c>
      <c r="DJ148" s="9">
        <f>IF(110&lt;=核心参数输入!$B$9*4,MAX(0,DJ146+DJ131+DJ147-DJ145-IF(110=核心参数输入!$B$9*4,0,核心参数输入!$B$123)),0)</f>
        <v>0</v>
      </c>
      <c r="DK148" s="9">
        <f>IF(111&lt;=核心参数输入!$B$9*4,MAX(0,DK146+DK131+DK147-DK145-IF(111=核心参数输入!$B$9*4,0,核心参数输入!$B$123)),0)</f>
        <v>0</v>
      </c>
      <c r="DL148" s="9">
        <f>IF(112&lt;=核心参数输入!$B$9*4,MAX(0,DL146+DL131+DL147-DL145-IF(112=核心参数输入!$B$9*4,0,核心参数输入!$B$123)),0)</f>
        <v>0</v>
      </c>
      <c r="DM148" s="9">
        <f>IF(113&lt;=核心参数输入!$B$9*4,MAX(0,DM146+DM131+DM147-DM145-IF(113=核心参数输入!$B$9*4,0,核心参数输入!$B$123)),0)</f>
        <v>0</v>
      </c>
      <c r="DN148" s="9">
        <f>IF(114&lt;=核心参数输入!$B$9*4,MAX(0,DN146+DN131+DN147-DN145-IF(114=核心参数输入!$B$9*4,0,核心参数输入!$B$123)),0)</f>
        <v>0</v>
      </c>
      <c r="DO148" s="9">
        <f>IF(115&lt;=核心参数输入!$B$9*4,MAX(0,DO146+DO131+DO147-DO145-IF(115=核心参数输入!$B$9*4,0,核心参数输入!$B$123)),0)</f>
        <v>0</v>
      </c>
      <c r="DP148" s="9">
        <f>IF(116&lt;=核心参数输入!$B$9*4,MAX(0,DP146+DP131+DP147-DP145-IF(116=核心参数输入!$B$9*4,0,核心参数输入!$B$123)),0)</f>
        <v>0</v>
      </c>
      <c r="DQ148" s="9">
        <f>IF(117&lt;=核心参数输入!$B$9*4,MAX(0,DQ146+DQ131+DQ147-DQ145-IF(117=核心参数输入!$B$9*4,0,核心参数输入!$B$123)),0)</f>
        <v>0</v>
      </c>
      <c r="DR148" s="9">
        <f>IF(118&lt;=核心参数输入!$B$9*4,MAX(0,DR146+DR131+DR147-DR145-IF(118=核心参数输入!$B$9*4,0,核心参数输入!$B$123)),0)</f>
        <v>0</v>
      </c>
      <c r="DS148" s="9">
        <f>IF(119&lt;=核心参数输入!$B$9*4,MAX(0,DS146+DS131+DS147-DS145-IF(119=核心参数输入!$B$9*4,0,核心参数输入!$B$123)),0)</f>
        <v>0</v>
      </c>
      <c r="DT148" s="9">
        <f>IF(120&lt;=核心参数输入!$B$9*4,MAX(0,DT146+DT131+DT147-DT145-IF(120=核心参数输入!$B$9*4,0,核心参数输入!$B$123)),0)</f>
        <v>0</v>
      </c>
    </row>
    <row r="149" spans="1:124" ht="21" customHeight="1">
      <c r="A149" s="8" t="s">
        <v>533</v>
      </c>
      <c r="B149" s="8" t="s">
        <v>39</v>
      </c>
      <c r="C149" s="8"/>
      <c r="D149" s="9">
        <f>IF(0&lt;=核心参数输入!$B$9*4,D146+D131+D147-D148,0)</f>
        <v>0</v>
      </c>
      <c r="E149" s="9">
        <f>IF(1&lt;=核心参数输入!$B$9*4,E146+E131+E147-E148,0)</f>
        <v>0</v>
      </c>
      <c r="F149" s="9">
        <f>IF(2&lt;=核心参数输入!$B$9*4,F146+F131+F147-F148,0)</f>
        <v>0</v>
      </c>
      <c r="G149" s="9">
        <f>IF(3&lt;=核心参数输入!$B$9*4,G146+G131+G147-G148,0)</f>
        <v>0</v>
      </c>
      <c r="H149" s="9">
        <f>IF(4&lt;=核心参数输入!$B$9*4,H146+H131+H147-H148,0)</f>
        <v>0</v>
      </c>
      <c r="I149" s="9">
        <f>IF(5&lt;=核心参数输入!$B$9*4,I146+I131+I147-I148,0)</f>
        <v>0</v>
      </c>
      <c r="J149" s="9">
        <f>IF(6&lt;=核心参数输入!$B$9*4,J146+J131+J147-J148,0)</f>
        <v>0</v>
      </c>
      <c r="K149" s="9">
        <f>IF(7&lt;=核心参数输入!$B$9*4,K146+K131+K147-K148,0)</f>
        <v>0</v>
      </c>
      <c r="L149" s="9">
        <f>IF(8&lt;=核心参数输入!$B$9*4,L146+L131+L147-L148,0)</f>
        <v>0</v>
      </c>
      <c r="M149" s="9">
        <f>IF(9&lt;=核心参数输入!$B$9*4,M146+M131+M147-M148,0)</f>
        <v>0</v>
      </c>
      <c r="N149" s="9">
        <f>IF(10&lt;=核心参数输入!$B$9*4,N146+N131+N147-N148,0)</f>
        <v>0</v>
      </c>
      <c r="O149" s="9">
        <f>IF(11&lt;=核心参数输入!$B$9*4,O146+O131+O147-O148,0)</f>
        <v>0</v>
      </c>
      <c r="P149" s="9">
        <f>IF(12&lt;=核心参数输入!$B$9*4,P146+P131+P147-P148,0)</f>
        <v>0</v>
      </c>
      <c r="Q149" s="9">
        <f>IF(13&lt;=核心参数输入!$B$9*4,Q146+Q131+Q147-Q148,0)</f>
        <v>0</v>
      </c>
      <c r="R149" s="9">
        <f>IF(14&lt;=核心参数输入!$B$9*4,R146+R131+R147-R148,0)</f>
        <v>0</v>
      </c>
      <c r="S149" s="9">
        <f>IF(15&lt;=核心参数输入!$B$9*4,S146+S131+S147-S148,0)</f>
        <v>1692.723284539285</v>
      </c>
      <c r="T149" s="9">
        <f>IF(16&lt;=核心参数输入!$B$9*4,T146+T131+T147-T148,0)</f>
        <v>0</v>
      </c>
      <c r="U149" s="9">
        <f>IF(17&lt;=核心参数输入!$B$9*4,U146+U131+U147-U148,0)</f>
        <v>1032.9262538743155</v>
      </c>
      <c r="V149" s="9">
        <f>IF(18&lt;=核心参数输入!$B$9*4,V146+V131+V147-V148,0)</f>
        <v>4683.9769871049029</v>
      </c>
      <c r="W149" s="9">
        <f>IF(19&lt;=核心参数输入!$B$9*4,W146+W131+W147-W148,0)</f>
        <v>8353.2637624802646</v>
      </c>
      <c r="X149" s="9">
        <f>IF(20&lt;=核心参数输入!$B$9*4,X146+X131+X147-X148,0)</f>
        <v>7777.5722942861175</v>
      </c>
      <c r="Y149" s="9">
        <f>IF(21&lt;=核心参数输入!$B$9*4,Y146+Y131+Y147-Y148,0)</f>
        <v>10883.832652471003</v>
      </c>
      <c r="Z149" s="9">
        <f>IF(22&lt;=核心参数输入!$B$9*4,Z146+Z131+Z147-Z148,0)</f>
        <v>13680.517020585718</v>
      </c>
      <c r="AA149" s="9">
        <f>IF(23&lt;=核心参数输入!$B$9*4,AA146+AA131+AA147-AA148,0)</f>
        <v>16491.083575783141</v>
      </c>
      <c r="AB149" s="9">
        <f>IF(24&lt;=核心参数输入!$B$9*4,AB146+AB131+AB147-AB148,0)</f>
        <v>15052.318032348991</v>
      </c>
      <c r="AC149" s="9">
        <f>IF(25&lt;=核心参数输入!$B$9*4,AC146+AC131+AC147-AC148,0)</f>
        <v>15999.806245183529</v>
      </c>
      <c r="AD149" s="9">
        <f>IF(26&lt;=核心参数输入!$B$9*4,AD146+AD131+AD147-AD148,0)</f>
        <v>15979.372446277366</v>
      </c>
      <c r="AE149" s="9">
        <f>IF(27&lt;=核心参数输入!$B$9*4,AE146+AE131+AE147-AE148,0)</f>
        <v>15963.635454000854</v>
      </c>
      <c r="AF149" s="9">
        <f>IF(28&lt;=核心参数输入!$B$9*4,AF146+AF131+AF147-AF148,0)</f>
        <v>11689.380982639706</v>
      </c>
      <c r="AG149" s="9">
        <f>IF(29&lt;=核心参数输入!$B$9*4,AG146+AG131+AG147-AG148,0)</f>
        <v>11730.919499937236</v>
      </c>
      <c r="AH149" s="9">
        <f>IF(30&lt;=核心参数输入!$B$9*4,AH146+AH131+AH147-AH148,0)</f>
        <v>11774.841646599312</v>
      </c>
      <c r="AI149" s="9">
        <f>IF(31&lt;=核心参数输入!$B$9*4,AI146+AI131+AI147-AI148,0)</f>
        <v>11818.763793261389</v>
      </c>
      <c r="AJ149" s="9">
        <f>IF(32&lt;=核心参数输入!$B$9*4,AJ146+AJ131+AJ147-AJ148,0)</f>
        <v>7599.471654209181</v>
      </c>
      <c r="AK149" s="9">
        <f>IF(33&lt;=核心参数输入!$B$9*4,AK146+AK131+AK147-AK148,0)</f>
        <v>7691.3467210111894</v>
      </c>
      <c r="AL149" s="9">
        <f>IF(34&lt;=核心参数输入!$B$9*4,AL146+AL131+AL147-AL148,0)</f>
        <v>7783.2217878131978</v>
      </c>
      <c r="AM149" s="9">
        <f>IF(35&lt;=核心参数输入!$B$9*4,AM146+AM131+AM147-AM148,0)</f>
        <v>7875.0968546152062</v>
      </c>
      <c r="AN149" s="9">
        <f>IF(36&lt;=核心参数输入!$B$9*4,AN146+AN131+AN147-AN148,0)</f>
        <v>3703.7576357029293</v>
      </c>
      <c r="AO149" s="9">
        <f>IF(37&lt;=核心参数输入!$B$9*4,AO146+AO131+AO147-AO148,0)</f>
        <v>3843.6217982057678</v>
      </c>
      <c r="AP149" s="9">
        <f>IF(38&lt;=核心参数输入!$B$9*4,AP146+AP131+AP147-AP148,0)</f>
        <v>3983.4859607086064</v>
      </c>
      <c r="AQ149" s="9">
        <f>IF(39&lt;=核心参数输入!$B$9*4,AQ146+AQ131+AQ147-AQ148,0)</f>
        <v>4123.350123211445</v>
      </c>
      <c r="AR149" s="9">
        <f>IF(40&lt;=核心参数输入!$B$9*4,AR146+AR131+AR147-AR148,0)</f>
        <v>0</v>
      </c>
      <c r="AS149" s="9">
        <f>IF(41&lt;=核心参数输入!$B$9*4,AS146+AS131+AS147-AS148,0)</f>
        <v>0</v>
      </c>
      <c r="AT149" s="9">
        <f>IF(42&lt;=核心参数输入!$B$9*4,AT146+AT131+AT147-AT148,0)</f>
        <v>0</v>
      </c>
      <c r="AU149" s="9">
        <f>IF(43&lt;=核心参数输入!$B$9*4,AU146+AU131+AU147-AU148,0)</f>
        <v>0</v>
      </c>
      <c r="AV149" s="9">
        <f>IF(44&lt;=核心参数输入!$B$9*4,AV146+AV131+AV147-AV148,0)</f>
        <v>0</v>
      </c>
      <c r="AW149" s="9">
        <f>IF(45&lt;=核心参数输入!$B$9*4,AW146+AW131+AW147-AW148,0)</f>
        <v>0</v>
      </c>
      <c r="AX149" s="9">
        <f>IF(46&lt;=核心参数输入!$B$9*4,AX146+AX131+AX147-AX148,0)</f>
        <v>0</v>
      </c>
      <c r="AY149" s="9">
        <f>IF(47&lt;=核心参数输入!$B$9*4,AY146+AY131+AY147-AY148,0)</f>
        <v>0</v>
      </c>
      <c r="AZ149" s="9">
        <f>IF(48&lt;=核心参数输入!$B$9*4,AZ146+AZ131+AZ147-AZ148,0)</f>
        <v>0</v>
      </c>
      <c r="BA149" s="9">
        <f>IF(49&lt;=核心参数输入!$B$9*4,BA146+BA131+BA147-BA148,0)</f>
        <v>0</v>
      </c>
      <c r="BB149" s="9">
        <f>IF(50&lt;=核心参数输入!$B$9*4,BB146+BB131+BB147-BB148,0)</f>
        <v>0</v>
      </c>
      <c r="BC149" s="9">
        <f>IF(51&lt;=核心参数输入!$B$9*4,BC146+BC131+BC147-BC148,0)</f>
        <v>0</v>
      </c>
      <c r="BD149" s="9">
        <f>IF(52&lt;=核心参数输入!$B$9*4,BD146+BD131+BD147-BD148,0)</f>
        <v>0</v>
      </c>
      <c r="BE149" s="9">
        <f>IF(53&lt;=核心参数输入!$B$9*4,BE146+BE131+BE147-BE148,0)</f>
        <v>0</v>
      </c>
      <c r="BF149" s="9">
        <f>IF(54&lt;=核心参数输入!$B$9*4,BF146+BF131+BF147-BF148,0)</f>
        <v>0</v>
      </c>
      <c r="BG149" s="9">
        <f>IF(55&lt;=核心参数输入!$B$9*4,BG146+BG131+BG147-BG148,0)</f>
        <v>0</v>
      </c>
      <c r="BH149" s="9">
        <f>IF(56&lt;=核心参数输入!$B$9*4,BH146+BH131+BH147-BH148,0)</f>
        <v>0</v>
      </c>
      <c r="BI149" s="9">
        <f>IF(57&lt;=核心参数输入!$B$9*4,BI146+BI131+BI147-BI148,0)</f>
        <v>0</v>
      </c>
      <c r="BJ149" s="9">
        <f>IF(58&lt;=核心参数输入!$B$9*4,BJ146+BJ131+BJ147-BJ148,0)</f>
        <v>0</v>
      </c>
      <c r="BK149" s="9">
        <f>IF(59&lt;=核心参数输入!$B$9*4,BK146+BK131+BK147-BK148,0)</f>
        <v>0</v>
      </c>
      <c r="BL149" s="9">
        <f>IF(60&lt;=核心参数输入!$B$9*4,BL146+BL131+BL147-BL148,0)</f>
        <v>0</v>
      </c>
      <c r="BM149" s="9">
        <f>IF(61&lt;=核心参数输入!$B$9*4,BM146+BM131+BM147-BM148,0)</f>
        <v>0</v>
      </c>
      <c r="BN149" s="9">
        <f>IF(62&lt;=核心参数输入!$B$9*4,BN146+BN131+BN147-BN148,0)</f>
        <v>0</v>
      </c>
      <c r="BO149" s="9">
        <f>IF(63&lt;=核心参数输入!$B$9*4,BO146+BO131+BO147-BO148,0)</f>
        <v>0</v>
      </c>
      <c r="BP149" s="9">
        <f>IF(64&lt;=核心参数输入!$B$9*4,BP146+BP131+BP147-BP148,0)</f>
        <v>0</v>
      </c>
      <c r="BQ149" s="9">
        <f>IF(65&lt;=核心参数输入!$B$9*4,BQ146+BQ131+BQ147-BQ148,0)</f>
        <v>0</v>
      </c>
      <c r="BR149" s="9">
        <f>IF(66&lt;=核心参数输入!$B$9*4,BR146+BR131+BR147-BR148,0)</f>
        <v>0</v>
      </c>
      <c r="BS149" s="9">
        <f>IF(67&lt;=核心参数输入!$B$9*4,BS146+BS131+BS147-BS148,0)</f>
        <v>0</v>
      </c>
      <c r="BT149" s="9">
        <f>IF(68&lt;=核心参数输入!$B$9*4,BT146+BT131+BT147-BT148,0)</f>
        <v>0</v>
      </c>
      <c r="BU149" s="9">
        <f>IF(69&lt;=核心参数输入!$B$9*4,BU146+BU131+BU147-BU148,0)</f>
        <v>0</v>
      </c>
      <c r="BV149" s="9">
        <f>IF(70&lt;=核心参数输入!$B$9*4,BV146+BV131+BV147-BV148,0)</f>
        <v>0</v>
      </c>
      <c r="BW149" s="9">
        <f>IF(71&lt;=核心参数输入!$B$9*4,BW146+BW131+BW147-BW148,0)</f>
        <v>0</v>
      </c>
      <c r="BX149" s="9">
        <f>IF(72&lt;=核心参数输入!$B$9*4,BX146+BX131+BX147-BX148,0)</f>
        <v>0</v>
      </c>
      <c r="BY149" s="9">
        <f>IF(73&lt;=核心参数输入!$B$9*4,BY146+BY131+BY147-BY148,0)</f>
        <v>0</v>
      </c>
      <c r="BZ149" s="9">
        <f>IF(74&lt;=核心参数输入!$B$9*4,BZ146+BZ131+BZ147-BZ148,0)</f>
        <v>0</v>
      </c>
      <c r="CA149" s="9">
        <f>IF(75&lt;=核心参数输入!$B$9*4,CA146+CA131+CA147-CA148,0)</f>
        <v>0</v>
      </c>
      <c r="CB149" s="9">
        <f>IF(76&lt;=核心参数输入!$B$9*4,CB146+CB131+CB147-CB148,0)</f>
        <v>0</v>
      </c>
      <c r="CC149" s="9">
        <f>IF(77&lt;=核心参数输入!$B$9*4,CC146+CC131+CC147-CC148,0)</f>
        <v>0</v>
      </c>
      <c r="CD149" s="9">
        <f>IF(78&lt;=核心参数输入!$B$9*4,CD146+CD131+CD147-CD148,0)</f>
        <v>0</v>
      </c>
      <c r="CE149" s="9">
        <f>IF(79&lt;=核心参数输入!$B$9*4,CE146+CE131+CE147-CE148,0)</f>
        <v>0</v>
      </c>
      <c r="CF149" s="9">
        <f>IF(80&lt;=核心参数输入!$B$9*4,CF146+CF131+CF147-CF148,0)</f>
        <v>0</v>
      </c>
      <c r="CG149" s="9">
        <f>IF(81&lt;=核心参数输入!$B$9*4,CG146+CG131+CG147-CG148,0)</f>
        <v>0</v>
      </c>
      <c r="CH149" s="9">
        <f>IF(82&lt;=核心参数输入!$B$9*4,CH146+CH131+CH147-CH148,0)</f>
        <v>0</v>
      </c>
      <c r="CI149" s="9">
        <f>IF(83&lt;=核心参数输入!$B$9*4,CI146+CI131+CI147-CI148,0)</f>
        <v>0</v>
      </c>
      <c r="CJ149" s="9">
        <f>IF(84&lt;=核心参数输入!$B$9*4,CJ146+CJ131+CJ147-CJ148,0)</f>
        <v>0</v>
      </c>
      <c r="CK149" s="9">
        <f>IF(85&lt;=核心参数输入!$B$9*4,CK146+CK131+CK147-CK148,0)</f>
        <v>0</v>
      </c>
      <c r="CL149" s="9">
        <f>IF(86&lt;=核心参数输入!$B$9*4,CL146+CL131+CL147-CL148,0)</f>
        <v>0</v>
      </c>
      <c r="CM149" s="9">
        <f>IF(87&lt;=核心参数输入!$B$9*4,CM146+CM131+CM147-CM148,0)</f>
        <v>0</v>
      </c>
      <c r="CN149" s="9">
        <f>IF(88&lt;=核心参数输入!$B$9*4,CN146+CN131+CN147-CN148,0)</f>
        <v>0</v>
      </c>
      <c r="CO149" s="9">
        <f>IF(89&lt;=核心参数输入!$B$9*4,CO146+CO131+CO147-CO148,0)</f>
        <v>0</v>
      </c>
      <c r="CP149" s="9">
        <f>IF(90&lt;=核心参数输入!$B$9*4,CP146+CP131+CP147-CP148,0)</f>
        <v>0</v>
      </c>
      <c r="CQ149" s="9">
        <f>IF(91&lt;=核心参数输入!$B$9*4,CQ146+CQ131+CQ147-CQ148,0)</f>
        <v>0</v>
      </c>
      <c r="CR149" s="9">
        <f>IF(92&lt;=核心参数输入!$B$9*4,CR146+CR131+CR147-CR148,0)</f>
        <v>0</v>
      </c>
      <c r="CS149" s="9">
        <f>IF(93&lt;=核心参数输入!$B$9*4,CS146+CS131+CS147-CS148,0)</f>
        <v>0</v>
      </c>
      <c r="CT149" s="9">
        <f>IF(94&lt;=核心参数输入!$B$9*4,CT146+CT131+CT147-CT148,0)</f>
        <v>0</v>
      </c>
      <c r="CU149" s="9">
        <f>IF(95&lt;=核心参数输入!$B$9*4,CU146+CU131+CU147-CU148,0)</f>
        <v>0</v>
      </c>
      <c r="CV149" s="9">
        <f>IF(96&lt;=核心参数输入!$B$9*4,CV146+CV131+CV147-CV148,0)</f>
        <v>0</v>
      </c>
      <c r="CW149" s="9">
        <f>IF(97&lt;=核心参数输入!$B$9*4,CW146+CW131+CW147-CW148,0)</f>
        <v>0</v>
      </c>
      <c r="CX149" s="9">
        <f>IF(98&lt;=核心参数输入!$B$9*4,CX146+CX131+CX147-CX148,0)</f>
        <v>0</v>
      </c>
      <c r="CY149" s="9">
        <f>IF(99&lt;=核心参数输入!$B$9*4,CY146+CY131+CY147-CY148,0)</f>
        <v>0</v>
      </c>
      <c r="CZ149" s="9">
        <f>IF(100&lt;=核心参数输入!$B$9*4,CZ146+CZ131+CZ147-CZ148,0)</f>
        <v>0</v>
      </c>
      <c r="DA149" s="9">
        <f>IF(101&lt;=核心参数输入!$B$9*4,DA146+DA131+DA147-DA148,0)</f>
        <v>0</v>
      </c>
      <c r="DB149" s="9">
        <f>IF(102&lt;=核心参数输入!$B$9*4,DB146+DB131+DB147-DB148,0)</f>
        <v>0</v>
      </c>
      <c r="DC149" s="9">
        <f>IF(103&lt;=核心参数输入!$B$9*4,DC146+DC131+DC147-DC148,0)</f>
        <v>0</v>
      </c>
      <c r="DD149" s="9">
        <f>IF(104&lt;=核心参数输入!$B$9*4,DD146+DD131+DD147-DD148,0)</f>
        <v>0</v>
      </c>
      <c r="DE149" s="9">
        <f>IF(105&lt;=核心参数输入!$B$9*4,DE146+DE131+DE147-DE148,0)</f>
        <v>0</v>
      </c>
      <c r="DF149" s="9">
        <f>IF(106&lt;=核心参数输入!$B$9*4,DF146+DF131+DF147-DF148,0)</f>
        <v>0</v>
      </c>
      <c r="DG149" s="9">
        <f>IF(107&lt;=核心参数输入!$B$9*4,DG146+DG131+DG147-DG148,0)</f>
        <v>0</v>
      </c>
      <c r="DH149" s="9">
        <f>IF(108&lt;=核心参数输入!$B$9*4,DH146+DH131+DH147-DH148,0)</f>
        <v>0</v>
      </c>
      <c r="DI149" s="9">
        <f>IF(109&lt;=核心参数输入!$B$9*4,DI146+DI131+DI147-DI148,0)</f>
        <v>0</v>
      </c>
      <c r="DJ149" s="9">
        <f>IF(110&lt;=核心参数输入!$B$9*4,DJ146+DJ131+DJ147-DJ148,0)</f>
        <v>0</v>
      </c>
      <c r="DK149" s="9">
        <f>IF(111&lt;=核心参数输入!$B$9*4,DK146+DK131+DK147-DK148,0)</f>
        <v>0</v>
      </c>
      <c r="DL149" s="9">
        <f>IF(112&lt;=核心参数输入!$B$9*4,DL146+DL131+DL147-DL148,0)</f>
        <v>0</v>
      </c>
      <c r="DM149" s="9">
        <f>IF(113&lt;=核心参数输入!$B$9*4,DM146+DM131+DM147-DM148,0)</f>
        <v>0</v>
      </c>
      <c r="DN149" s="9">
        <f>IF(114&lt;=核心参数输入!$B$9*4,DN146+DN131+DN147-DN148,0)</f>
        <v>0</v>
      </c>
      <c r="DO149" s="9">
        <f>IF(115&lt;=核心参数输入!$B$9*4,DO146+DO131+DO147-DO148,0)</f>
        <v>0</v>
      </c>
      <c r="DP149" s="9">
        <f>IF(116&lt;=核心参数输入!$B$9*4,DP146+DP131+DP147-DP148,0)</f>
        <v>0</v>
      </c>
      <c r="DQ149" s="9">
        <f>IF(117&lt;=核心参数输入!$B$9*4,DQ146+DQ131+DQ147-DQ148,0)</f>
        <v>0</v>
      </c>
      <c r="DR149" s="9">
        <f>IF(118&lt;=核心参数输入!$B$9*4,DR146+DR131+DR147-DR148,0)</f>
        <v>0</v>
      </c>
      <c r="DS149" s="9">
        <f>IF(119&lt;=核心参数输入!$B$9*4,DS146+DS131+DS147-DS148,0)</f>
        <v>0</v>
      </c>
      <c r="DT149" s="9">
        <f>IF(120&lt;=核心参数输入!$B$9*4,DT146+DT131+DT147-DT148,0)</f>
        <v>0</v>
      </c>
    </row>
    <row r="150" spans="1:124" ht="21" customHeight="1">
      <c r="A150" s="8" t="s">
        <v>534</v>
      </c>
      <c r="B150" s="8" t="s">
        <v>39</v>
      </c>
      <c r="C150" s="8"/>
      <c r="D150" s="9">
        <f>IF(0&lt;=核心参数输入!$B$9*4,SUM($D147:D147),0)</f>
        <v>8000</v>
      </c>
      <c r="E150" s="9">
        <f>IF(1&lt;=核心参数输入!$B$9*4,SUM($D147:E147),0)</f>
        <v>10127.7125</v>
      </c>
      <c r="F150" s="9">
        <f>IF(2&lt;=核心参数输入!$B$9*4,SUM($D147:F147),0)</f>
        <v>12279.05</v>
      </c>
      <c r="G150" s="9">
        <f>IF(3&lt;=核心参数输入!$B$9*4,SUM($D147:G147),0)</f>
        <v>14454.012499999999</v>
      </c>
      <c r="H150" s="9">
        <f>IF(4&lt;=核心参数输入!$B$9*4,SUM($D147:H147),0)</f>
        <v>16652.599999999999</v>
      </c>
      <c r="I150" s="9">
        <f>IF(5&lt;=核心参数输入!$B$9*4,SUM($D147:I147),0)</f>
        <v>19584.05</v>
      </c>
      <c r="J150" s="9">
        <f>IF(6&lt;=核心参数输入!$B$9*4,SUM($D147:J147),0)</f>
        <v>22547</v>
      </c>
      <c r="K150" s="9">
        <f>IF(7&lt;=核心参数输入!$B$9*4,SUM($D147:K147),0)</f>
        <v>25541.45</v>
      </c>
      <c r="L150" s="9">
        <f>IF(8&lt;=核心参数输入!$B$9*4,SUM($D147:L147),0)</f>
        <v>28567.4</v>
      </c>
      <c r="M150" s="9">
        <f>IF(9&lt;=核心参数输入!$B$9*4,SUM($D147:M147),0)</f>
        <v>30915.612500000003</v>
      </c>
      <c r="N150" s="9">
        <f>IF(10&lt;=核心参数输入!$B$9*4,SUM($D147:N147),0)</f>
        <v>33287.450000000004</v>
      </c>
      <c r="O150" s="9">
        <f>IF(11&lt;=核心参数输入!$B$9*4,SUM($D147:O147),0)</f>
        <v>35682.912500000006</v>
      </c>
      <c r="P150" s="9">
        <f>IF(12&lt;=核心参数输入!$B$9*4,SUM($D147:P147),0)</f>
        <v>38102.000000000007</v>
      </c>
      <c r="Q150" s="9">
        <f>IF(13&lt;=核心参数输入!$B$9*4,SUM($D147:Q147),0)</f>
        <v>38102.000000000007</v>
      </c>
      <c r="R150" s="9">
        <f>IF(14&lt;=核心参数输入!$B$9*4,SUM($D147:R147),0)</f>
        <v>38102.000000000007</v>
      </c>
      <c r="S150" s="9">
        <f>IF(15&lt;=核心参数输入!$B$9*4,SUM($D147:S147),0)</f>
        <v>38102.000000000007</v>
      </c>
      <c r="T150" s="9">
        <f>IF(16&lt;=核心参数输入!$B$9*4,SUM($D147:T147),0)</f>
        <v>38102.000000000007</v>
      </c>
      <c r="U150" s="9">
        <f>IF(17&lt;=核心参数输入!$B$9*4,SUM($D147:U147),0)</f>
        <v>38102.000000000007</v>
      </c>
      <c r="V150" s="9">
        <f>IF(18&lt;=核心参数输入!$B$9*4,SUM($D147:V147),0)</f>
        <v>38102.000000000007</v>
      </c>
      <c r="W150" s="9">
        <f>IF(19&lt;=核心参数输入!$B$9*4,SUM($D147:W147),0)</f>
        <v>38102.000000000007</v>
      </c>
      <c r="X150" s="9">
        <f>IF(20&lt;=核心参数输入!$B$9*4,SUM($D147:X147),0)</f>
        <v>38102.000000000007</v>
      </c>
      <c r="Y150" s="9">
        <f>IF(21&lt;=核心参数输入!$B$9*4,SUM($D147:Y147),0)</f>
        <v>38102.000000000007</v>
      </c>
      <c r="Z150" s="9">
        <f>IF(22&lt;=核心参数输入!$B$9*4,SUM($D147:Z147),0)</f>
        <v>38102.000000000007</v>
      </c>
      <c r="AA150" s="9">
        <f>IF(23&lt;=核心参数输入!$B$9*4,SUM($D147:AA147),0)</f>
        <v>38102.000000000007</v>
      </c>
      <c r="AB150" s="9">
        <f>IF(24&lt;=核心参数输入!$B$9*4,SUM($D147:AB147),0)</f>
        <v>38102.000000000007</v>
      </c>
      <c r="AC150" s="9">
        <f>IF(25&lt;=核心参数输入!$B$9*4,SUM($D147:AC147),0)</f>
        <v>38102.000000000007</v>
      </c>
      <c r="AD150" s="9">
        <f>IF(26&lt;=核心参数输入!$B$9*4,SUM($D147:AD147),0)</f>
        <v>38102.000000000007</v>
      </c>
      <c r="AE150" s="9">
        <f>IF(27&lt;=核心参数输入!$B$9*4,SUM($D147:AE147),0)</f>
        <v>38102.000000000007</v>
      </c>
      <c r="AF150" s="9">
        <f>IF(28&lt;=核心参数输入!$B$9*4,SUM($D147:AF147),0)</f>
        <v>38102.000000000007</v>
      </c>
      <c r="AG150" s="9">
        <f>IF(29&lt;=核心参数输入!$B$9*4,SUM($D147:AG147),0)</f>
        <v>38102.000000000007</v>
      </c>
      <c r="AH150" s="9">
        <f>IF(30&lt;=核心参数输入!$B$9*4,SUM($D147:AH147),0)</f>
        <v>38102.000000000007</v>
      </c>
      <c r="AI150" s="9">
        <f>IF(31&lt;=核心参数输入!$B$9*4,SUM($D147:AI147),0)</f>
        <v>38102.000000000007</v>
      </c>
      <c r="AJ150" s="9">
        <f>IF(32&lt;=核心参数输入!$B$9*4,SUM($D147:AJ147),0)</f>
        <v>38102.000000000007</v>
      </c>
      <c r="AK150" s="9">
        <f>IF(33&lt;=核心参数输入!$B$9*4,SUM($D147:AK147),0)</f>
        <v>38102.000000000007</v>
      </c>
      <c r="AL150" s="9">
        <f>IF(34&lt;=核心参数输入!$B$9*4,SUM($D147:AL147),0)</f>
        <v>38102.000000000007</v>
      </c>
      <c r="AM150" s="9">
        <f>IF(35&lt;=核心参数输入!$B$9*4,SUM($D147:AM147),0)</f>
        <v>38102.000000000007</v>
      </c>
      <c r="AN150" s="9">
        <f>IF(36&lt;=核心参数输入!$B$9*4,SUM($D147:AN147),0)</f>
        <v>38102.000000000007</v>
      </c>
      <c r="AO150" s="9">
        <f>IF(37&lt;=核心参数输入!$B$9*4,SUM($D147:AO147),0)</f>
        <v>38102.000000000007</v>
      </c>
      <c r="AP150" s="9">
        <f>IF(38&lt;=核心参数输入!$B$9*4,SUM($D147:AP147),0)</f>
        <v>38102.000000000007</v>
      </c>
      <c r="AQ150" s="9">
        <f>IF(39&lt;=核心参数输入!$B$9*4,SUM($D147:AQ147),0)</f>
        <v>38102.000000000007</v>
      </c>
      <c r="AR150" s="9">
        <f>IF(40&lt;=核心参数输入!$B$9*4,SUM($D147:AR147),0)</f>
        <v>38102.000000000007</v>
      </c>
      <c r="AS150" s="9">
        <f>IF(41&lt;=核心参数输入!$B$9*4,SUM($D147:AS147),0)</f>
        <v>38102.000000000007</v>
      </c>
      <c r="AT150" s="9">
        <f>IF(42&lt;=核心参数输入!$B$9*4,SUM($D147:AT147),0)</f>
        <v>38102.000000000007</v>
      </c>
      <c r="AU150" s="9">
        <f>IF(43&lt;=核心参数输入!$B$9*4,SUM($D147:AU147),0)</f>
        <v>38102.000000000007</v>
      </c>
      <c r="AV150" s="9">
        <f>IF(44&lt;=核心参数输入!$B$9*4,SUM($D147:AV147),0)</f>
        <v>38102.000000000007</v>
      </c>
      <c r="AW150" s="9">
        <f>IF(45&lt;=核心参数输入!$B$9*4,SUM($D147:AW147),0)</f>
        <v>38102.000000000007</v>
      </c>
      <c r="AX150" s="9">
        <f>IF(46&lt;=核心参数输入!$B$9*4,SUM($D147:AX147),0)</f>
        <v>38102.000000000007</v>
      </c>
      <c r="AY150" s="9">
        <f>IF(47&lt;=核心参数输入!$B$9*4,SUM($D147:AY147),0)</f>
        <v>38102.000000000007</v>
      </c>
      <c r="AZ150" s="9">
        <f>IF(48&lt;=核心参数输入!$B$9*4,SUM($D147:AZ147),0)</f>
        <v>38102.000000000007</v>
      </c>
      <c r="BA150" s="9">
        <f>IF(49&lt;=核心参数输入!$B$9*4,SUM($D147:BA147),0)</f>
        <v>38102.000000000007</v>
      </c>
      <c r="BB150" s="9">
        <f>IF(50&lt;=核心参数输入!$B$9*4,SUM($D147:BB147),0)</f>
        <v>38102.000000000007</v>
      </c>
      <c r="BC150" s="9">
        <f>IF(51&lt;=核心参数输入!$B$9*4,SUM($D147:BC147),0)</f>
        <v>38102.000000000007</v>
      </c>
      <c r="BD150" s="9">
        <f>IF(52&lt;=核心参数输入!$B$9*4,SUM($D147:BD147),0)</f>
        <v>38102.000000000007</v>
      </c>
      <c r="BE150" s="9">
        <f>IF(53&lt;=核心参数输入!$B$9*4,SUM($D147:BE147),0)</f>
        <v>38102.000000000007</v>
      </c>
      <c r="BF150" s="9">
        <f>IF(54&lt;=核心参数输入!$B$9*4,SUM($D147:BF147),0)</f>
        <v>38102.000000000007</v>
      </c>
      <c r="BG150" s="9">
        <f>IF(55&lt;=核心参数输入!$B$9*4,SUM($D147:BG147),0)</f>
        <v>38102.000000000007</v>
      </c>
      <c r="BH150" s="9">
        <f>IF(56&lt;=核心参数输入!$B$9*4,SUM($D147:BH147),0)</f>
        <v>38102.000000000007</v>
      </c>
      <c r="BI150" s="9">
        <f>IF(57&lt;=核心参数输入!$B$9*4,SUM($D147:BI147),0)</f>
        <v>38102.000000000007</v>
      </c>
      <c r="BJ150" s="9">
        <f>IF(58&lt;=核心参数输入!$B$9*4,SUM($D147:BJ147),0)</f>
        <v>38102.000000000007</v>
      </c>
      <c r="BK150" s="9">
        <f>IF(59&lt;=核心参数输入!$B$9*4,SUM($D147:BK147),0)</f>
        <v>38102.000000000007</v>
      </c>
      <c r="BL150" s="9">
        <f>IF(60&lt;=核心参数输入!$B$9*4,SUM($D147:BL147),0)</f>
        <v>38102.000000000007</v>
      </c>
      <c r="BM150" s="9">
        <f>IF(61&lt;=核心参数输入!$B$9*4,SUM($D147:BM147),0)</f>
        <v>38102.000000000007</v>
      </c>
      <c r="BN150" s="9">
        <f>IF(62&lt;=核心参数输入!$B$9*4,SUM($D147:BN147),0)</f>
        <v>38102.000000000007</v>
      </c>
      <c r="BO150" s="9">
        <f>IF(63&lt;=核心参数输入!$B$9*4,SUM($D147:BO147),0)</f>
        <v>38102.000000000007</v>
      </c>
      <c r="BP150" s="9">
        <f>IF(64&lt;=核心参数输入!$B$9*4,SUM($D147:BP147),0)</f>
        <v>38102.000000000007</v>
      </c>
      <c r="BQ150" s="9">
        <f>IF(65&lt;=核心参数输入!$B$9*4,SUM($D147:BQ147),0)</f>
        <v>38102.000000000007</v>
      </c>
      <c r="BR150" s="9">
        <f>IF(66&lt;=核心参数输入!$B$9*4,SUM($D147:BR147),0)</f>
        <v>38102.000000000007</v>
      </c>
      <c r="BS150" s="9">
        <f>IF(67&lt;=核心参数输入!$B$9*4,SUM($D147:BS147),0)</f>
        <v>38102.000000000007</v>
      </c>
      <c r="BT150" s="9">
        <f>IF(68&lt;=核心参数输入!$B$9*4,SUM($D147:BT147),0)</f>
        <v>38102.000000000007</v>
      </c>
      <c r="BU150" s="9">
        <f>IF(69&lt;=核心参数输入!$B$9*4,SUM($D147:BU147),0)</f>
        <v>38102.000000000007</v>
      </c>
      <c r="BV150" s="9">
        <f>IF(70&lt;=核心参数输入!$B$9*4,SUM($D147:BV147),0)</f>
        <v>38102.000000000007</v>
      </c>
      <c r="BW150" s="9">
        <f>IF(71&lt;=核心参数输入!$B$9*4,SUM($D147:BW147),0)</f>
        <v>38102.000000000007</v>
      </c>
      <c r="BX150" s="9">
        <f>IF(72&lt;=核心参数输入!$B$9*4,SUM($D147:BX147),0)</f>
        <v>38102.000000000007</v>
      </c>
      <c r="BY150" s="9">
        <f>IF(73&lt;=核心参数输入!$B$9*4,SUM($D147:BY147),0)</f>
        <v>38102.000000000007</v>
      </c>
      <c r="BZ150" s="9">
        <f>IF(74&lt;=核心参数输入!$B$9*4,SUM($D147:BZ147),0)</f>
        <v>38102.000000000007</v>
      </c>
      <c r="CA150" s="9">
        <f>IF(75&lt;=核心参数输入!$B$9*4,SUM($D147:CA147),0)</f>
        <v>38102.000000000007</v>
      </c>
      <c r="CB150" s="9">
        <f>IF(76&lt;=核心参数输入!$B$9*4,SUM($D147:CB147),0)</f>
        <v>38102.000000000007</v>
      </c>
      <c r="CC150" s="9">
        <f>IF(77&lt;=核心参数输入!$B$9*4,SUM($D147:CC147),0)</f>
        <v>38102.000000000007</v>
      </c>
      <c r="CD150" s="9">
        <f>IF(78&lt;=核心参数输入!$B$9*4,SUM($D147:CD147),0)</f>
        <v>38102.000000000007</v>
      </c>
      <c r="CE150" s="9">
        <f>IF(79&lt;=核心参数输入!$B$9*4,SUM($D147:CE147),0)</f>
        <v>38102.000000000007</v>
      </c>
      <c r="CF150" s="9">
        <f>IF(80&lt;=核心参数输入!$B$9*4,SUM($D147:CF147),0)</f>
        <v>38102.000000000007</v>
      </c>
      <c r="CG150" s="9">
        <f>IF(81&lt;=核心参数输入!$B$9*4,SUM($D147:CG147),0)</f>
        <v>0</v>
      </c>
      <c r="CH150" s="9">
        <f>IF(82&lt;=核心参数输入!$B$9*4,SUM($D147:CH147),0)</f>
        <v>0</v>
      </c>
      <c r="CI150" s="9">
        <f>IF(83&lt;=核心参数输入!$B$9*4,SUM($D147:CI147),0)</f>
        <v>0</v>
      </c>
      <c r="CJ150" s="9">
        <f>IF(84&lt;=核心参数输入!$B$9*4,SUM($D147:CJ147),0)</f>
        <v>0</v>
      </c>
      <c r="CK150" s="9">
        <f>IF(85&lt;=核心参数输入!$B$9*4,SUM($D147:CK147),0)</f>
        <v>0</v>
      </c>
      <c r="CL150" s="9">
        <f>IF(86&lt;=核心参数输入!$B$9*4,SUM($D147:CL147),0)</f>
        <v>0</v>
      </c>
      <c r="CM150" s="9">
        <f>IF(87&lt;=核心参数输入!$B$9*4,SUM($D147:CM147),0)</f>
        <v>0</v>
      </c>
      <c r="CN150" s="9">
        <f>IF(88&lt;=核心参数输入!$B$9*4,SUM($D147:CN147),0)</f>
        <v>0</v>
      </c>
      <c r="CO150" s="9">
        <f>IF(89&lt;=核心参数输入!$B$9*4,SUM($D147:CO147),0)</f>
        <v>0</v>
      </c>
      <c r="CP150" s="9">
        <f>IF(90&lt;=核心参数输入!$B$9*4,SUM($D147:CP147),0)</f>
        <v>0</v>
      </c>
      <c r="CQ150" s="9">
        <f>IF(91&lt;=核心参数输入!$B$9*4,SUM($D147:CQ147),0)</f>
        <v>0</v>
      </c>
      <c r="CR150" s="9">
        <f>IF(92&lt;=核心参数输入!$B$9*4,SUM($D147:CR147),0)</f>
        <v>0</v>
      </c>
      <c r="CS150" s="9">
        <f>IF(93&lt;=核心参数输入!$B$9*4,SUM($D147:CS147),0)</f>
        <v>0</v>
      </c>
      <c r="CT150" s="9">
        <f>IF(94&lt;=核心参数输入!$B$9*4,SUM($D147:CT147),0)</f>
        <v>0</v>
      </c>
      <c r="CU150" s="9">
        <f>IF(95&lt;=核心参数输入!$B$9*4,SUM($D147:CU147),0)</f>
        <v>0</v>
      </c>
      <c r="CV150" s="9">
        <f>IF(96&lt;=核心参数输入!$B$9*4,SUM($D147:CV147),0)</f>
        <v>0</v>
      </c>
      <c r="CW150" s="9">
        <f>IF(97&lt;=核心参数输入!$B$9*4,SUM($D147:CW147),0)</f>
        <v>0</v>
      </c>
      <c r="CX150" s="9">
        <f>IF(98&lt;=核心参数输入!$B$9*4,SUM($D147:CX147),0)</f>
        <v>0</v>
      </c>
      <c r="CY150" s="9">
        <f>IF(99&lt;=核心参数输入!$B$9*4,SUM($D147:CY147),0)</f>
        <v>0</v>
      </c>
      <c r="CZ150" s="9">
        <f>IF(100&lt;=核心参数输入!$B$9*4,SUM($D147:CZ147),0)</f>
        <v>0</v>
      </c>
      <c r="DA150" s="9">
        <f>IF(101&lt;=核心参数输入!$B$9*4,SUM($D147:DA147),0)</f>
        <v>0</v>
      </c>
      <c r="DB150" s="9">
        <f>IF(102&lt;=核心参数输入!$B$9*4,SUM($D147:DB147),0)</f>
        <v>0</v>
      </c>
      <c r="DC150" s="9">
        <f>IF(103&lt;=核心参数输入!$B$9*4,SUM($D147:DC147),0)</f>
        <v>0</v>
      </c>
      <c r="DD150" s="9">
        <f>IF(104&lt;=核心参数输入!$B$9*4,SUM($D147:DD147),0)</f>
        <v>0</v>
      </c>
      <c r="DE150" s="9">
        <f>IF(105&lt;=核心参数输入!$B$9*4,SUM($D147:DE147),0)</f>
        <v>0</v>
      </c>
      <c r="DF150" s="9">
        <f>IF(106&lt;=核心参数输入!$B$9*4,SUM($D147:DF147),0)</f>
        <v>0</v>
      </c>
      <c r="DG150" s="9">
        <f>IF(107&lt;=核心参数输入!$B$9*4,SUM($D147:DG147),0)</f>
        <v>0</v>
      </c>
      <c r="DH150" s="9">
        <f>IF(108&lt;=核心参数输入!$B$9*4,SUM($D147:DH147),0)</f>
        <v>0</v>
      </c>
      <c r="DI150" s="9">
        <f>IF(109&lt;=核心参数输入!$B$9*4,SUM($D147:DI147),0)</f>
        <v>0</v>
      </c>
      <c r="DJ150" s="9">
        <f>IF(110&lt;=核心参数输入!$B$9*4,SUM($D147:DJ147),0)</f>
        <v>0</v>
      </c>
      <c r="DK150" s="9">
        <f>IF(111&lt;=核心参数输入!$B$9*4,SUM($D147:DK147),0)</f>
        <v>0</v>
      </c>
      <c r="DL150" s="9">
        <f>IF(112&lt;=核心参数输入!$B$9*4,SUM($D147:DL147),0)</f>
        <v>0</v>
      </c>
      <c r="DM150" s="9">
        <f>IF(113&lt;=核心参数输入!$B$9*4,SUM($D147:DM147),0)</f>
        <v>0</v>
      </c>
      <c r="DN150" s="9">
        <f>IF(114&lt;=核心参数输入!$B$9*4,SUM($D147:DN147),0)</f>
        <v>0</v>
      </c>
      <c r="DO150" s="9">
        <f>IF(115&lt;=核心参数输入!$B$9*4,SUM($D147:DO147),0)</f>
        <v>0</v>
      </c>
      <c r="DP150" s="9">
        <f>IF(116&lt;=核心参数输入!$B$9*4,SUM($D147:DP147),0)</f>
        <v>0</v>
      </c>
      <c r="DQ150" s="9">
        <f>IF(117&lt;=核心参数输入!$B$9*4,SUM($D147:DQ147),0)</f>
        <v>0</v>
      </c>
      <c r="DR150" s="9">
        <f>IF(118&lt;=核心参数输入!$B$9*4,SUM($D147:DR147),0)</f>
        <v>0</v>
      </c>
      <c r="DS150" s="9">
        <f>IF(119&lt;=核心参数输入!$B$9*4,SUM($D147:DS147),0)</f>
        <v>0</v>
      </c>
      <c r="DT150" s="9">
        <f>IF(120&lt;=核心参数输入!$B$9*4,SUM($D147:DT147),0)</f>
        <v>0</v>
      </c>
    </row>
    <row r="151" spans="1:124" ht="21" customHeight="1">
      <c r="A151" s="8" t="s">
        <v>535</v>
      </c>
      <c r="B151" s="8" t="s">
        <v>39</v>
      </c>
      <c r="C151" s="8"/>
      <c r="D151" s="9">
        <f>IF(0&lt;=核心参数输入!$B$9*4,D148-D147,0)</f>
        <v>-8000</v>
      </c>
      <c r="E151" s="9">
        <f>IF(1&lt;=核心参数输入!$B$9*4,E148-E147,0)</f>
        <v>-2127.7124999999996</v>
      </c>
      <c r="F151" s="9">
        <f>IF(2&lt;=核心参数输入!$B$9*4,F148-F147,0)</f>
        <v>-2151.3374999999996</v>
      </c>
      <c r="G151" s="9">
        <f>IF(3&lt;=核心参数输入!$B$9*4,G148-G147,0)</f>
        <v>-2174.9624999999996</v>
      </c>
      <c r="H151" s="9">
        <f>IF(4&lt;=核心参数输入!$B$9*4,H148-H147,0)</f>
        <v>-2198.5874999999996</v>
      </c>
      <c r="I151" s="9">
        <f>IF(5&lt;=核心参数输入!$B$9*4,I148-I147,0)</f>
        <v>-2931.4500000000007</v>
      </c>
      <c r="J151" s="9">
        <f>IF(6&lt;=核心参数输入!$B$9*4,J148-J147,0)</f>
        <v>-2962.9500000000007</v>
      </c>
      <c r="K151" s="9">
        <f>IF(7&lt;=核心参数输入!$B$9*4,K148-K147,0)</f>
        <v>-2994.4500000000007</v>
      </c>
      <c r="L151" s="9">
        <f>IF(8&lt;=核心参数输入!$B$9*4,L148-L147,0)</f>
        <v>-3025.9500000000007</v>
      </c>
      <c r="M151" s="9">
        <f>IF(9&lt;=核心参数输入!$B$9*4,M148-M147,0)</f>
        <v>-2348.2124999999996</v>
      </c>
      <c r="N151" s="9">
        <f>IF(10&lt;=核心参数输入!$B$9*4,N148-N147,0)</f>
        <v>-2371.8374999999996</v>
      </c>
      <c r="O151" s="9">
        <f>IF(11&lt;=核心参数输入!$B$9*4,O148-O147,0)</f>
        <v>-2395.4624999999996</v>
      </c>
      <c r="P151" s="9">
        <f>IF(12&lt;=核心参数输入!$B$9*4,P148-P147,0)</f>
        <v>-2419.0874999999996</v>
      </c>
      <c r="Q151" s="9">
        <f>IF(13&lt;=核心参数输入!$B$9*4,Q148-Q147,0)</f>
        <v>1003.3426562499999</v>
      </c>
      <c r="R151" s="9">
        <f>IF(14&lt;=核心参数输入!$B$9*4,R148-R147,0)</f>
        <v>2498.6248252350001</v>
      </c>
      <c r="S151" s="9">
        <f>IF(15&lt;=核心参数输入!$B$9*4,S148-S147,0)</f>
        <v>841.83462866571563</v>
      </c>
      <c r="T151" s="9">
        <f>IF(16&lt;=核心参数输入!$B$9*4,T148-T147,0)</f>
        <v>0</v>
      </c>
      <c r="U151" s="9">
        <f>IF(17&lt;=核心参数输入!$B$9*4,U148-U147,0)</f>
        <v>2264.9985411391094</v>
      </c>
      <c r="V151" s="9">
        <f>IF(18&lt;=核心参数输入!$B$9*4,V148-V147,0)</f>
        <v>0</v>
      </c>
      <c r="W151" s="9">
        <f>IF(19&lt;=核心参数输入!$B$9*4,W148-W147,0)</f>
        <v>0</v>
      </c>
      <c r="X151" s="9">
        <f>IF(20&lt;=核心参数输入!$B$9*4,X148-X147,0)</f>
        <v>0</v>
      </c>
      <c r="Y151" s="9">
        <f>IF(21&lt;=核心参数输入!$B$9*4,Y148-Y147,0)</f>
        <v>0</v>
      </c>
      <c r="Z151" s="9">
        <f>IF(22&lt;=核心参数输入!$B$9*4,Z148-Z147,0)</f>
        <v>0</v>
      </c>
      <c r="AA151" s="9">
        <f>IF(23&lt;=核心参数输入!$B$9*4,AA148-AA147,0)</f>
        <v>0</v>
      </c>
      <c r="AB151" s="9">
        <f>IF(24&lt;=核心参数输入!$B$9*4,AB148-AB147,0)</f>
        <v>0</v>
      </c>
      <c r="AC151" s="9">
        <f>IF(25&lt;=核心参数输入!$B$9*4,AC148-AC147,0)</f>
        <v>0</v>
      </c>
      <c r="AD151" s="9">
        <f>IF(26&lt;=核心参数输入!$B$9*4,AD148-AD147,0)</f>
        <v>0</v>
      </c>
      <c r="AE151" s="9">
        <f>IF(27&lt;=核心参数输入!$B$9*4,AE148-AE147,0)</f>
        <v>0</v>
      </c>
      <c r="AF151" s="9">
        <f>IF(28&lt;=核心参数输入!$B$9*4,AF148-AF147,0)</f>
        <v>0</v>
      </c>
      <c r="AG151" s="9">
        <f>IF(29&lt;=核心参数输入!$B$9*4,AG148-AG147,0)</f>
        <v>0</v>
      </c>
      <c r="AH151" s="9">
        <f>IF(30&lt;=核心参数输入!$B$9*4,AH148-AH147,0)</f>
        <v>0</v>
      </c>
      <c r="AI151" s="9">
        <f>IF(31&lt;=核心参数输入!$B$9*4,AI148-AI147,0)</f>
        <v>0</v>
      </c>
      <c r="AJ151" s="9">
        <f>IF(32&lt;=核心参数输入!$B$9*4,AJ148-AJ147,0)</f>
        <v>0</v>
      </c>
      <c r="AK151" s="9">
        <f>IF(33&lt;=核心参数输入!$B$9*4,AK148-AK147,0)</f>
        <v>0</v>
      </c>
      <c r="AL151" s="9">
        <f>IF(34&lt;=核心参数输入!$B$9*4,AL148-AL147,0)</f>
        <v>0</v>
      </c>
      <c r="AM151" s="9">
        <f>IF(35&lt;=核心参数输入!$B$9*4,AM148-AM147,0)</f>
        <v>0</v>
      </c>
      <c r="AN151" s="9">
        <f>IF(36&lt;=核心参数输入!$B$9*4,AN148-AN147,0)</f>
        <v>0</v>
      </c>
      <c r="AO151" s="9">
        <f>IF(37&lt;=核心参数输入!$B$9*4,AO148-AO147,0)</f>
        <v>0</v>
      </c>
      <c r="AP151" s="9">
        <f>IF(38&lt;=核心参数输入!$B$9*4,AP148-AP147,0)</f>
        <v>0</v>
      </c>
      <c r="AQ151" s="9">
        <f>IF(39&lt;=核心参数输入!$B$9*4,AQ148-AQ147,0)</f>
        <v>0</v>
      </c>
      <c r="AR151" s="9">
        <f>IF(40&lt;=核心参数输入!$B$9*4,AR148-AR147,0)</f>
        <v>0</v>
      </c>
      <c r="AS151" s="9">
        <f>IF(41&lt;=核心参数输入!$B$9*4,AS148-AS147,0)</f>
        <v>187.88981403315699</v>
      </c>
      <c r="AT151" s="9">
        <f>IF(42&lt;=核心参数输入!$B$9*4,AT148-AT147,0)</f>
        <v>187.88981403315699</v>
      </c>
      <c r="AU151" s="9">
        <f>IF(43&lt;=核心参数输入!$B$9*4,AU148-AU147,0)</f>
        <v>187.88981403315699</v>
      </c>
      <c r="AV151" s="9">
        <f>IF(44&lt;=核心参数输入!$B$9*4,AV148-AV147,0)</f>
        <v>187.88981403315699</v>
      </c>
      <c r="AW151" s="9">
        <f>IF(45&lt;=核心参数输入!$B$9*4,AW148-AW147,0)</f>
        <v>190.95240411828576</v>
      </c>
      <c r="AX151" s="9">
        <f>IF(46&lt;=核心参数输入!$B$9*4,AX148-AX147,0)</f>
        <v>190.95240411828576</v>
      </c>
      <c r="AY151" s="9">
        <f>IF(47&lt;=核心参数输入!$B$9*4,AY148-AY147,0)</f>
        <v>190.95240411828576</v>
      </c>
      <c r="AZ151" s="9">
        <f>IF(48&lt;=核心参数输入!$B$9*4,AZ148-AZ147,0)</f>
        <v>190.95240411828576</v>
      </c>
      <c r="BA151" s="9">
        <f>IF(49&lt;=核心参数输入!$B$9*4,BA148-BA147,0)</f>
        <v>194.05231791218421</v>
      </c>
      <c r="BB151" s="9">
        <f>IF(50&lt;=核心参数输入!$B$9*4,BB148-BB147,0)</f>
        <v>194.05231791218421</v>
      </c>
      <c r="BC151" s="9">
        <f>IF(51&lt;=核心参数输入!$B$9*4,BC148-BC147,0)</f>
        <v>194.05231791218421</v>
      </c>
      <c r="BD151" s="9">
        <f>IF(52&lt;=核心参数输入!$B$9*4,BD148-BD147,0)</f>
        <v>194.05231791218421</v>
      </c>
      <c r="BE151" s="9">
        <f>IF(53&lt;=核心参数输入!$B$9*4,BE148-BE147,0)</f>
        <v>197.18994296763356</v>
      </c>
      <c r="BF151" s="9">
        <f>IF(54&lt;=核心参数输入!$B$9*4,BF148-BF147,0)</f>
        <v>197.18994296763356</v>
      </c>
      <c r="BG151" s="9">
        <f>IF(55&lt;=核心参数输入!$B$9*4,BG148-BG147,0)</f>
        <v>197.18994296763356</v>
      </c>
      <c r="BH151" s="9">
        <f>IF(56&lt;=核心参数输入!$B$9*4,BH148-BH147,0)</f>
        <v>197.18994296763356</v>
      </c>
      <c r="BI151" s="9">
        <f>IF(57&lt;=核心参数输入!$B$9*4,BI148-BI147,0)</f>
        <v>200.36566920464995</v>
      </c>
      <c r="BJ151" s="9">
        <f>IF(58&lt;=核心参数输入!$B$9*4,BJ148-BJ147,0)</f>
        <v>200.36566920464995</v>
      </c>
      <c r="BK151" s="9">
        <f>IF(59&lt;=核心参数输入!$B$9*4,BK148-BK147,0)</f>
        <v>200.36566920464995</v>
      </c>
      <c r="BL151" s="9">
        <f>IF(60&lt;=核心参数输入!$B$9*4,BL148-BL147,0)</f>
        <v>200.36566920464995</v>
      </c>
      <c r="BM151" s="9">
        <f>IF(61&lt;=核心参数输入!$B$9*4,BM148-BM147,0)</f>
        <v>203.57988887707162</v>
      </c>
      <c r="BN151" s="9">
        <f>IF(62&lt;=核心参数输入!$B$9*4,BN148-BN147,0)</f>
        <v>203.57988887707162</v>
      </c>
      <c r="BO151" s="9">
        <f>IF(63&lt;=核心参数输入!$B$9*4,BO148-BO147,0)</f>
        <v>203.57988887707162</v>
      </c>
      <c r="BP151" s="9">
        <f>IF(64&lt;=核心参数输入!$B$9*4,BP148-BP147,0)</f>
        <v>203.57988887707162</v>
      </c>
      <c r="BQ151" s="9">
        <f>IF(65&lt;=核心参数输入!$B$9*4,BQ148-BQ147,0)</f>
        <v>206.83299653726678</v>
      </c>
      <c r="BR151" s="9">
        <f>IF(66&lt;=核心参数输入!$B$9*4,BR148-BR147,0)</f>
        <v>206.83299653726678</v>
      </c>
      <c r="BS151" s="9">
        <f>IF(67&lt;=核心参数输入!$B$9*4,BS148-BS147,0)</f>
        <v>206.83299653726678</v>
      </c>
      <c r="BT151" s="9">
        <f>IF(68&lt;=核心参数输入!$B$9*4,BT148-BT147,0)</f>
        <v>206.83299653726678</v>
      </c>
      <c r="BU151" s="9">
        <f>IF(69&lt;=核心参数输入!$B$9*4,BU148-BU147,0)</f>
        <v>210.12538899890549</v>
      </c>
      <c r="BV151" s="9">
        <f>IF(70&lt;=核心参数输入!$B$9*4,BV148-BV147,0)</f>
        <v>210.12538899890549</v>
      </c>
      <c r="BW151" s="9">
        <f>IF(71&lt;=核心参数输入!$B$9*4,BW148-BW147,0)</f>
        <v>210.12538899890549</v>
      </c>
      <c r="BX151" s="9">
        <f>IF(72&lt;=核心参数输入!$B$9*4,BX148-BX147,0)</f>
        <v>210.12538899890549</v>
      </c>
      <c r="BY151" s="9">
        <f>IF(73&lt;=核心参数输入!$B$9*4,BY148-BY147,0)</f>
        <v>213.45746529774047</v>
      </c>
      <c r="BZ151" s="9">
        <f>IF(74&lt;=核心参数输入!$B$9*4,BZ148-BZ147,0)</f>
        <v>213.45746529774047</v>
      </c>
      <c r="CA151" s="9">
        <f>IF(75&lt;=核心参数输入!$B$9*4,CA148-CA147,0)</f>
        <v>213.45746529774047</v>
      </c>
      <c r="CB151" s="9">
        <f>IF(76&lt;=核心参数输入!$B$9*4,CB148-CB147,0)</f>
        <v>213.45746529774047</v>
      </c>
      <c r="CC151" s="9">
        <f>IF(77&lt;=核心参数输入!$B$9*4,CC148-CC147,0)</f>
        <v>216.829626650335</v>
      </c>
      <c r="CD151" s="9">
        <f>IF(78&lt;=核心参数输入!$B$9*4,CD148-CD147,0)</f>
        <v>216.829626650335</v>
      </c>
      <c r="CE151" s="9">
        <f>IF(79&lt;=核心参数输入!$B$9*4,CE148-CE147,0)</f>
        <v>216.829626650335</v>
      </c>
      <c r="CF151" s="9">
        <f>IF(80&lt;=核心参数输入!$B$9*4,CF148-CF147,0)</f>
        <v>26398.866466084357</v>
      </c>
      <c r="CG151" s="9">
        <f>IF(81&lt;=核心参数输入!$B$9*4,CG148-CG147,0)</f>
        <v>0</v>
      </c>
      <c r="CH151" s="9">
        <f>IF(82&lt;=核心参数输入!$B$9*4,CH148-CH147,0)</f>
        <v>0</v>
      </c>
      <c r="CI151" s="9">
        <f>IF(83&lt;=核心参数输入!$B$9*4,CI148-CI147,0)</f>
        <v>0</v>
      </c>
      <c r="CJ151" s="9">
        <f>IF(84&lt;=核心参数输入!$B$9*4,CJ148-CJ147,0)</f>
        <v>0</v>
      </c>
      <c r="CK151" s="9">
        <f>IF(85&lt;=核心参数输入!$B$9*4,CK148-CK147,0)</f>
        <v>0</v>
      </c>
      <c r="CL151" s="9">
        <f>IF(86&lt;=核心参数输入!$B$9*4,CL148-CL147,0)</f>
        <v>0</v>
      </c>
      <c r="CM151" s="9">
        <f>IF(87&lt;=核心参数输入!$B$9*4,CM148-CM147,0)</f>
        <v>0</v>
      </c>
      <c r="CN151" s="9">
        <f>IF(88&lt;=核心参数输入!$B$9*4,CN148-CN147,0)</f>
        <v>0</v>
      </c>
      <c r="CO151" s="9">
        <f>IF(89&lt;=核心参数输入!$B$9*4,CO148-CO147,0)</f>
        <v>0</v>
      </c>
      <c r="CP151" s="9">
        <f>IF(90&lt;=核心参数输入!$B$9*4,CP148-CP147,0)</f>
        <v>0</v>
      </c>
      <c r="CQ151" s="9">
        <f>IF(91&lt;=核心参数输入!$B$9*4,CQ148-CQ147,0)</f>
        <v>0</v>
      </c>
      <c r="CR151" s="9">
        <f>IF(92&lt;=核心参数输入!$B$9*4,CR148-CR147,0)</f>
        <v>0</v>
      </c>
      <c r="CS151" s="9">
        <f>IF(93&lt;=核心参数输入!$B$9*4,CS148-CS147,0)</f>
        <v>0</v>
      </c>
      <c r="CT151" s="9">
        <f>IF(94&lt;=核心参数输入!$B$9*4,CT148-CT147,0)</f>
        <v>0</v>
      </c>
      <c r="CU151" s="9">
        <f>IF(95&lt;=核心参数输入!$B$9*4,CU148-CU147,0)</f>
        <v>0</v>
      </c>
      <c r="CV151" s="9">
        <f>IF(96&lt;=核心参数输入!$B$9*4,CV148-CV147,0)</f>
        <v>0</v>
      </c>
      <c r="CW151" s="9">
        <f>IF(97&lt;=核心参数输入!$B$9*4,CW148-CW147,0)</f>
        <v>0</v>
      </c>
      <c r="CX151" s="9">
        <f>IF(98&lt;=核心参数输入!$B$9*4,CX148-CX147,0)</f>
        <v>0</v>
      </c>
      <c r="CY151" s="9">
        <f>IF(99&lt;=核心参数输入!$B$9*4,CY148-CY147,0)</f>
        <v>0</v>
      </c>
      <c r="CZ151" s="9">
        <f>IF(100&lt;=核心参数输入!$B$9*4,CZ148-CZ147,0)</f>
        <v>0</v>
      </c>
      <c r="DA151" s="9">
        <f>IF(101&lt;=核心参数输入!$B$9*4,DA148-DA147,0)</f>
        <v>0</v>
      </c>
      <c r="DB151" s="9">
        <f>IF(102&lt;=核心参数输入!$B$9*4,DB148-DB147,0)</f>
        <v>0</v>
      </c>
      <c r="DC151" s="9">
        <f>IF(103&lt;=核心参数输入!$B$9*4,DC148-DC147,0)</f>
        <v>0</v>
      </c>
      <c r="DD151" s="9">
        <f>IF(104&lt;=核心参数输入!$B$9*4,DD148-DD147,0)</f>
        <v>0</v>
      </c>
      <c r="DE151" s="9">
        <f>IF(105&lt;=核心参数输入!$B$9*4,DE148-DE147,0)</f>
        <v>0</v>
      </c>
      <c r="DF151" s="9">
        <f>IF(106&lt;=核心参数输入!$B$9*4,DF148-DF147,0)</f>
        <v>0</v>
      </c>
      <c r="DG151" s="9">
        <f>IF(107&lt;=核心参数输入!$B$9*4,DG148-DG147,0)</f>
        <v>0</v>
      </c>
      <c r="DH151" s="9">
        <f>IF(108&lt;=核心参数输入!$B$9*4,DH148-DH147,0)</f>
        <v>0</v>
      </c>
      <c r="DI151" s="9">
        <f>IF(109&lt;=核心参数输入!$B$9*4,DI148-DI147,0)</f>
        <v>0</v>
      </c>
      <c r="DJ151" s="9">
        <f>IF(110&lt;=核心参数输入!$B$9*4,DJ148-DJ147,0)</f>
        <v>0</v>
      </c>
      <c r="DK151" s="9">
        <f>IF(111&lt;=核心参数输入!$B$9*4,DK148-DK147,0)</f>
        <v>0</v>
      </c>
      <c r="DL151" s="9">
        <f>IF(112&lt;=核心参数输入!$B$9*4,DL148-DL147,0)</f>
        <v>0</v>
      </c>
      <c r="DM151" s="9">
        <f>IF(113&lt;=核心参数输入!$B$9*4,DM148-DM147,0)</f>
        <v>0</v>
      </c>
      <c r="DN151" s="9">
        <f>IF(114&lt;=核心参数输入!$B$9*4,DN148-DN147,0)</f>
        <v>0</v>
      </c>
      <c r="DO151" s="9">
        <f>IF(115&lt;=核心参数输入!$B$9*4,DO148-DO147,0)</f>
        <v>0</v>
      </c>
      <c r="DP151" s="9">
        <f>IF(116&lt;=核心参数输入!$B$9*4,DP148-DP147,0)</f>
        <v>0</v>
      </c>
      <c r="DQ151" s="9">
        <f>IF(117&lt;=核心参数输入!$B$9*4,DQ148-DQ147,0)</f>
        <v>0</v>
      </c>
      <c r="DR151" s="9">
        <f>IF(118&lt;=核心参数输入!$B$9*4,DR148-DR147,0)</f>
        <v>0</v>
      </c>
      <c r="DS151" s="9">
        <f>IF(119&lt;=核心参数输入!$B$9*4,DS148-DS147,0)</f>
        <v>0</v>
      </c>
      <c r="DT151" s="9">
        <f>IF(120&lt;=核心参数输入!$B$9*4,DT148-DT147,0)</f>
        <v>0</v>
      </c>
    </row>
    <row r="152" spans="1:124" ht="21" customHeight="1">
      <c r="A152" s="8" t="s">
        <v>536</v>
      </c>
      <c r="B152" s="8" t="s">
        <v>39</v>
      </c>
      <c r="C152" s="8"/>
      <c r="D152" s="9">
        <f>IF(0&lt;=核心参数输入!$B$9*4,D146+D131+D147-D148-D149,0)</f>
        <v>0</v>
      </c>
      <c r="E152" s="9">
        <f>IF(1&lt;=核心参数输入!$B$9*4,E146+E131+E147-E148-E149,0)</f>
        <v>0</v>
      </c>
      <c r="F152" s="9">
        <f>IF(2&lt;=核心参数输入!$B$9*4,F146+F131+F147-F148-F149,0)</f>
        <v>0</v>
      </c>
      <c r="G152" s="9">
        <f>IF(3&lt;=核心参数输入!$B$9*4,G146+G131+G147-G148-G149,0)</f>
        <v>0</v>
      </c>
      <c r="H152" s="9">
        <f>IF(4&lt;=核心参数输入!$B$9*4,H146+H131+H147-H148-H149,0)</f>
        <v>0</v>
      </c>
      <c r="I152" s="9">
        <f>IF(5&lt;=核心参数输入!$B$9*4,I146+I131+I147-I148-I149,0)</f>
        <v>0</v>
      </c>
      <c r="J152" s="9">
        <f>IF(6&lt;=核心参数输入!$B$9*4,J146+J131+J147-J148-J149,0)</f>
        <v>0</v>
      </c>
      <c r="K152" s="9">
        <f>IF(7&lt;=核心参数输入!$B$9*4,K146+K131+K147-K148-K149,0)</f>
        <v>0</v>
      </c>
      <c r="L152" s="9">
        <f>IF(8&lt;=核心参数输入!$B$9*4,L146+L131+L147-L148-L149,0)</f>
        <v>0</v>
      </c>
      <c r="M152" s="9">
        <f>IF(9&lt;=核心参数输入!$B$9*4,M146+M131+M147-M148-M149,0)</f>
        <v>0</v>
      </c>
      <c r="N152" s="9">
        <f>IF(10&lt;=核心参数输入!$B$9*4,N146+N131+N147-N148-N149,0)</f>
        <v>0</v>
      </c>
      <c r="O152" s="9">
        <f>IF(11&lt;=核心参数输入!$B$9*4,O146+O131+O147-O148-O149,0)</f>
        <v>0</v>
      </c>
      <c r="P152" s="9">
        <f>IF(12&lt;=核心参数输入!$B$9*4,P146+P131+P147-P148-P149,0)</f>
        <v>0</v>
      </c>
      <c r="Q152" s="9">
        <f>IF(13&lt;=核心参数输入!$B$9*4,Q146+Q131+Q147-Q148-Q149,0)</f>
        <v>0</v>
      </c>
      <c r="R152" s="9">
        <f>IF(14&lt;=核心参数输入!$B$9*4,R146+R131+R147-R148-R149,0)</f>
        <v>0</v>
      </c>
      <c r="S152" s="9">
        <f>IF(15&lt;=核心参数输入!$B$9*4,S146+S131+S147-S148-S149,0)</f>
        <v>0</v>
      </c>
      <c r="T152" s="9">
        <f>IF(16&lt;=核心参数输入!$B$9*4,T146+T131+T147-T148-T149,0)</f>
        <v>0</v>
      </c>
      <c r="U152" s="9">
        <f>IF(17&lt;=核心参数输入!$B$9*4,U146+U131+U147-U148-U149,0)</f>
        <v>0</v>
      </c>
      <c r="V152" s="9">
        <f>IF(18&lt;=核心参数输入!$B$9*4,V146+V131+V147-V148-V149,0)</f>
        <v>0</v>
      </c>
      <c r="W152" s="9">
        <f>IF(19&lt;=核心参数输入!$B$9*4,W146+W131+W147-W148-W149,0)</f>
        <v>0</v>
      </c>
      <c r="X152" s="9">
        <f>IF(20&lt;=核心参数输入!$B$9*4,X146+X131+X147-X148-X149,0)</f>
        <v>0</v>
      </c>
      <c r="Y152" s="9">
        <f>IF(21&lt;=核心参数输入!$B$9*4,Y146+Y131+Y147-Y148-Y149,0)</f>
        <v>0</v>
      </c>
      <c r="Z152" s="9">
        <f>IF(22&lt;=核心参数输入!$B$9*4,Z146+Z131+Z147-Z148-Z149,0)</f>
        <v>0</v>
      </c>
      <c r="AA152" s="9">
        <f>IF(23&lt;=核心参数输入!$B$9*4,AA146+AA131+AA147-AA148-AA149,0)</f>
        <v>0</v>
      </c>
      <c r="AB152" s="9">
        <f>IF(24&lt;=核心参数输入!$B$9*4,AB146+AB131+AB147-AB148-AB149,0)</f>
        <v>0</v>
      </c>
      <c r="AC152" s="9">
        <f>IF(25&lt;=核心参数输入!$B$9*4,AC146+AC131+AC147-AC148-AC149,0)</f>
        <v>0</v>
      </c>
      <c r="AD152" s="9">
        <f>IF(26&lt;=核心参数输入!$B$9*4,AD146+AD131+AD147-AD148-AD149,0)</f>
        <v>0</v>
      </c>
      <c r="AE152" s="9">
        <f>IF(27&lt;=核心参数输入!$B$9*4,AE146+AE131+AE147-AE148-AE149,0)</f>
        <v>0</v>
      </c>
      <c r="AF152" s="9">
        <f>IF(28&lt;=核心参数输入!$B$9*4,AF146+AF131+AF147-AF148-AF149,0)</f>
        <v>0</v>
      </c>
      <c r="AG152" s="9">
        <f>IF(29&lt;=核心参数输入!$B$9*4,AG146+AG131+AG147-AG148-AG149,0)</f>
        <v>0</v>
      </c>
      <c r="AH152" s="9">
        <f>IF(30&lt;=核心参数输入!$B$9*4,AH146+AH131+AH147-AH148-AH149,0)</f>
        <v>0</v>
      </c>
      <c r="AI152" s="9">
        <f>IF(31&lt;=核心参数输入!$B$9*4,AI146+AI131+AI147-AI148-AI149,0)</f>
        <v>0</v>
      </c>
      <c r="AJ152" s="9">
        <f>IF(32&lt;=核心参数输入!$B$9*4,AJ146+AJ131+AJ147-AJ148-AJ149,0)</f>
        <v>0</v>
      </c>
      <c r="AK152" s="9">
        <f>IF(33&lt;=核心参数输入!$B$9*4,AK146+AK131+AK147-AK148-AK149,0)</f>
        <v>0</v>
      </c>
      <c r="AL152" s="9">
        <f>IF(34&lt;=核心参数输入!$B$9*4,AL146+AL131+AL147-AL148-AL149,0)</f>
        <v>0</v>
      </c>
      <c r="AM152" s="9">
        <f>IF(35&lt;=核心参数输入!$B$9*4,AM146+AM131+AM147-AM148-AM149,0)</f>
        <v>0</v>
      </c>
      <c r="AN152" s="9">
        <f>IF(36&lt;=核心参数输入!$B$9*4,AN146+AN131+AN147-AN148-AN149,0)</f>
        <v>0</v>
      </c>
      <c r="AO152" s="9">
        <f>IF(37&lt;=核心参数输入!$B$9*4,AO146+AO131+AO147-AO148-AO149,0)</f>
        <v>0</v>
      </c>
      <c r="AP152" s="9">
        <f>IF(38&lt;=核心参数输入!$B$9*4,AP146+AP131+AP147-AP148-AP149,0)</f>
        <v>0</v>
      </c>
      <c r="AQ152" s="9">
        <f>IF(39&lt;=核心参数输入!$B$9*4,AQ146+AQ131+AQ147-AQ148-AQ149,0)</f>
        <v>0</v>
      </c>
      <c r="AR152" s="9">
        <f>IF(40&lt;=核心参数输入!$B$9*4,AR146+AR131+AR147-AR148-AR149,0)</f>
        <v>0</v>
      </c>
      <c r="AS152" s="9">
        <f>IF(41&lt;=核心参数输入!$B$9*4,AS146+AS131+AS147-AS148-AS149,0)</f>
        <v>0</v>
      </c>
      <c r="AT152" s="9">
        <f>IF(42&lt;=核心参数输入!$B$9*4,AT146+AT131+AT147-AT148-AT149,0)</f>
        <v>0</v>
      </c>
      <c r="AU152" s="9">
        <f>IF(43&lt;=核心参数输入!$B$9*4,AU146+AU131+AU147-AU148-AU149,0)</f>
        <v>0</v>
      </c>
      <c r="AV152" s="9">
        <f>IF(44&lt;=核心参数输入!$B$9*4,AV146+AV131+AV147-AV148-AV149,0)</f>
        <v>0</v>
      </c>
      <c r="AW152" s="9">
        <f>IF(45&lt;=核心参数输入!$B$9*4,AW146+AW131+AW147-AW148-AW149,0)</f>
        <v>0</v>
      </c>
      <c r="AX152" s="9">
        <f>IF(46&lt;=核心参数输入!$B$9*4,AX146+AX131+AX147-AX148-AX149,0)</f>
        <v>0</v>
      </c>
      <c r="AY152" s="9">
        <f>IF(47&lt;=核心参数输入!$B$9*4,AY146+AY131+AY147-AY148-AY149,0)</f>
        <v>0</v>
      </c>
      <c r="AZ152" s="9">
        <f>IF(48&lt;=核心参数输入!$B$9*4,AZ146+AZ131+AZ147-AZ148-AZ149,0)</f>
        <v>0</v>
      </c>
      <c r="BA152" s="9">
        <f>IF(49&lt;=核心参数输入!$B$9*4,BA146+BA131+BA147-BA148-BA149,0)</f>
        <v>0</v>
      </c>
      <c r="BB152" s="9">
        <f>IF(50&lt;=核心参数输入!$B$9*4,BB146+BB131+BB147-BB148-BB149,0)</f>
        <v>0</v>
      </c>
      <c r="BC152" s="9">
        <f>IF(51&lt;=核心参数输入!$B$9*4,BC146+BC131+BC147-BC148-BC149,0)</f>
        <v>0</v>
      </c>
      <c r="BD152" s="9">
        <f>IF(52&lt;=核心参数输入!$B$9*4,BD146+BD131+BD147-BD148-BD149,0)</f>
        <v>0</v>
      </c>
      <c r="BE152" s="9">
        <f>IF(53&lt;=核心参数输入!$B$9*4,BE146+BE131+BE147-BE148-BE149,0)</f>
        <v>0</v>
      </c>
      <c r="BF152" s="9">
        <f>IF(54&lt;=核心参数输入!$B$9*4,BF146+BF131+BF147-BF148-BF149,0)</f>
        <v>0</v>
      </c>
      <c r="BG152" s="9">
        <f>IF(55&lt;=核心参数输入!$B$9*4,BG146+BG131+BG147-BG148-BG149,0)</f>
        <v>0</v>
      </c>
      <c r="BH152" s="9">
        <f>IF(56&lt;=核心参数输入!$B$9*4,BH146+BH131+BH147-BH148-BH149,0)</f>
        <v>0</v>
      </c>
      <c r="BI152" s="9">
        <f>IF(57&lt;=核心参数输入!$B$9*4,BI146+BI131+BI147-BI148-BI149,0)</f>
        <v>0</v>
      </c>
      <c r="BJ152" s="9">
        <f>IF(58&lt;=核心参数输入!$B$9*4,BJ146+BJ131+BJ147-BJ148-BJ149,0)</f>
        <v>0</v>
      </c>
      <c r="BK152" s="9">
        <f>IF(59&lt;=核心参数输入!$B$9*4,BK146+BK131+BK147-BK148-BK149,0)</f>
        <v>0</v>
      </c>
      <c r="BL152" s="9">
        <f>IF(60&lt;=核心参数输入!$B$9*4,BL146+BL131+BL147-BL148-BL149,0)</f>
        <v>0</v>
      </c>
      <c r="BM152" s="9">
        <f>IF(61&lt;=核心参数输入!$B$9*4,BM146+BM131+BM147-BM148-BM149,0)</f>
        <v>0</v>
      </c>
      <c r="BN152" s="9">
        <f>IF(62&lt;=核心参数输入!$B$9*4,BN146+BN131+BN147-BN148-BN149,0)</f>
        <v>0</v>
      </c>
      <c r="BO152" s="9">
        <f>IF(63&lt;=核心参数输入!$B$9*4,BO146+BO131+BO147-BO148-BO149,0)</f>
        <v>0</v>
      </c>
      <c r="BP152" s="9">
        <f>IF(64&lt;=核心参数输入!$B$9*4,BP146+BP131+BP147-BP148-BP149,0)</f>
        <v>0</v>
      </c>
      <c r="BQ152" s="9">
        <f>IF(65&lt;=核心参数输入!$B$9*4,BQ146+BQ131+BQ147-BQ148-BQ149,0)</f>
        <v>0</v>
      </c>
      <c r="BR152" s="9">
        <f>IF(66&lt;=核心参数输入!$B$9*4,BR146+BR131+BR147-BR148-BR149,0)</f>
        <v>0</v>
      </c>
      <c r="BS152" s="9">
        <f>IF(67&lt;=核心参数输入!$B$9*4,BS146+BS131+BS147-BS148-BS149,0)</f>
        <v>0</v>
      </c>
      <c r="BT152" s="9">
        <f>IF(68&lt;=核心参数输入!$B$9*4,BT146+BT131+BT147-BT148-BT149,0)</f>
        <v>0</v>
      </c>
      <c r="BU152" s="9">
        <f>IF(69&lt;=核心参数输入!$B$9*4,BU146+BU131+BU147-BU148-BU149,0)</f>
        <v>0</v>
      </c>
      <c r="BV152" s="9">
        <f>IF(70&lt;=核心参数输入!$B$9*4,BV146+BV131+BV147-BV148-BV149,0)</f>
        <v>0</v>
      </c>
      <c r="BW152" s="9">
        <f>IF(71&lt;=核心参数输入!$B$9*4,BW146+BW131+BW147-BW148-BW149,0)</f>
        <v>0</v>
      </c>
      <c r="BX152" s="9">
        <f>IF(72&lt;=核心参数输入!$B$9*4,BX146+BX131+BX147-BX148-BX149,0)</f>
        <v>0</v>
      </c>
      <c r="BY152" s="9">
        <f>IF(73&lt;=核心参数输入!$B$9*4,BY146+BY131+BY147-BY148-BY149,0)</f>
        <v>0</v>
      </c>
      <c r="BZ152" s="9">
        <f>IF(74&lt;=核心参数输入!$B$9*4,BZ146+BZ131+BZ147-BZ148-BZ149,0)</f>
        <v>0</v>
      </c>
      <c r="CA152" s="9">
        <f>IF(75&lt;=核心参数输入!$B$9*4,CA146+CA131+CA147-CA148-CA149,0)</f>
        <v>0</v>
      </c>
      <c r="CB152" s="9">
        <f>IF(76&lt;=核心参数输入!$B$9*4,CB146+CB131+CB147-CB148-CB149,0)</f>
        <v>0</v>
      </c>
      <c r="CC152" s="9">
        <f>IF(77&lt;=核心参数输入!$B$9*4,CC146+CC131+CC147-CC148-CC149,0)</f>
        <v>0</v>
      </c>
      <c r="CD152" s="9">
        <f>IF(78&lt;=核心参数输入!$B$9*4,CD146+CD131+CD147-CD148-CD149,0)</f>
        <v>0</v>
      </c>
      <c r="CE152" s="9">
        <f>IF(79&lt;=核心参数输入!$B$9*4,CE146+CE131+CE147-CE148-CE149,0)</f>
        <v>0</v>
      </c>
      <c r="CF152" s="9">
        <f>IF(80&lt;=核心参数输入!$B$9*4,CF146+CF131+CF147-CF148-CF149,0)</f>
        <v>0</v>
      </c>
      <c r="CG152" s="9">
        <f>IF(81&lt;=核心参数输入!$B$9*4,CG146+CG131+CG147-CG148-CG149,0)</f>
        <v>0</v>
      </c>
      <c r="CH152" s="9">
        <f>IF(82&lt;=核心参数输入!$B$9*4,CH146+CH131+CH147-CH148-CH149,0)</f>
        <v>0</v>
      </c>
      <c r="CI152" s="9">
        <f>IF(83&lt;=核心参数输入!$B$9*4,CI146+CI131+CI147-CI148-CI149,0)</f>
        <v>0</v>
      </c>
      <c r="CJ152" s="9">
        <f>IF(84&lt;=核心参数输入!$B$9*4,CJ146+CJ131+CJ147-CJ148-CJ149,0)</f>
        <v>0</v>
      </c>
      <c r="CK152" s="9">
        <f>IF(85&lt;=核心参数输入!$B$9*4,CK146+CK131+CK147-CK148-CK149,0)</f>
        <v>0</v>
      </c>
      <c r="CL152" s="9">
        <f>IF(86&lt;=核心参数输入!$B$9*4,CL146+CL131+CL147-CL148-CL149,0)</f>
        <v>0</v>
      </c>
      <c r="CM152" s="9">
        <f>IF(87&lt;=核心参数输入!$B$9*4,CM146+CM131+CM147-CM148-CM149,0)</f>
        <v>0</v>
      </c>
      <c r="CN152" s="9">
        <f>IF(88&lt;=核心参数输入!$B$9*4,CN146+CN131+CN147-CN148-CN149,0)</f>
        <v>0</v>
      </c>
      <c r="CO152" s="9">
        <f>IF(89&lt;=核心参数输入!$B$9*4,CO146+CO131+CO147-CO148-CO149,0)</f>
        <v>0</v>
      </c>
      <c r="CP152" s="9">
        <f>IF(90&lt;=核心参数输入!$B$9*4,CP146+CP131+CP147-CP148-CP149,0)</f>
        <v>0</v>
      </c>
      <c r="CQ152" s="9">
        <f>IF(91&lt;=核心参数输入!$B$9*4,CQ146+CQ131+CQ147-CQ148-CQ149,0)</f>
        <v>0</v>
      </c>
      <c r="CR152" s="9">
        <f>IF(92&lt;=核心参数输入!$B$9*4,CR146+CR131+CR147-CR148-CR149,0)</f>
        <v>0</v>
      </c>
      <c r="CS152" s="9">
        <f>IF(93&lt;=核心参数输入!$B$9*4,CS146+CS131+CS147-CS148-CS149,0)</f>
        <v>0</v>
      </c>
      <c r="CT152" s="9">
        <f>IF(94&lt;=核心参数输入!$B$9*4,CT146+CT131+CT147-CT148-CT149,0)</f>
        <v>0</v>
      </c>
      <c r="CU152" s="9">
        <f>IF(95&lt;=核心参数输入!$B$9*4,CU146+CU131+CU147-CU148-CU149,0)</f>
        <v>0</v>
      </c>
      <c r="CV152" s="9">
        <f>IF(96&lt;=核心参数输入!$B$9*4,CV146+CV131+CV147-CV148-CV149,0)</f>
        <v>0</v>
      </c>
      <c r="CW152" s="9">
        <f>IF(97&lt;=核心参数输入!$B$9*4,CW146+CW131+CW147-CW148-CW149,0)</f>
        <v>0</v>
      </c>
      <c r="CX152" s="9">
        <f>IF(98&lt;=核心参数输入!$B$9*4,CX146+CX131+CX147-CX148-CX149,0)</f>
        <v>0</v>
      </c>
      <c r="CY152" s="9">
        <f>IF(99&lt;=核心参数输入!$B$9*4,CY146+CY131+CY147-CY148-CY149,0)</f>
        <v>0</v>
      </c>
      <c r="CZ152" s="9">
        <f>IF(100&lt;=核心参数输入!$B$9*4,CZ146+CZ131+CZ147-CZ148-CZ149,0)</f>
        <v>0</v>
      </c>
      <c r="DA152" s="9">
        <f>IF(101&lt;=核心参数输入!$B$9*4,DA146+DA131+DA147-DA148-DA149,0)</f>
        <v>0</v>
      </c>
      <c r="DB152" s="9">
        <f>IF(102&lt;=核心参数输入!$B$9*4,DB146+DB131+DB147-DB148-DB149,0)</f>
        <v>0</v>
      </c>
      <c r="DC152" s="9">
        <f>IF(103&lt;=核心参数输入!$B$9*4,DC146+DC131+DC147-DC148-DC149,0)</f>
        <v>0</v>
      </c>
      <c r="DD152" s="9">
        <f>IF(104&lt;=核心参数输入!$B$9*4,DD146+DD131+DD147-DD148-DD149,0)</f>
        <v>0</v>
      </c>
      <c r="DE152" s="9">
        <f>IF(105&lt;=核心参数输入!$B$9*4,DE146+DE131+DE147-DE148-DE149,0)</f>
        <v>0</v>
      </c>
      <c r="DF152" s="9">
        <f>IF(106&lt;=核心参数输入!$B$9*4,DF146+DF131+DF147-DF148-DF149,0)</f>
        <v>0</v>
      </c>
      <c r="DG152" s="9">
        <f>IF(107&lt;=核心参数输入!$B$9*4,DG146+DG131+DG147-DG148-DG149,0)</f>
        <v>0</v>
      </c>
      <c r="DH152" s="9">
        <f>IF(108&lt;=核心参数输入!$B$9*4,DH146+DH131+DH147-DH148-DH149,0)</f>
        <v>0</v>
      </c>
      <c r="DI152" s="9">
        <f>IF(109&lt;=核心参数输入!$B$9*4,DI146+DI131+DI147-DI148-DI149,0)</f>
        <v>0</v>
      </c>
      <c r="DJ152" s="9">
        <f>IF(110&lt;=核心参数输入!$B$9*4,DJ146+DJ131+DJ147-DJ148-DJ149,0)</f>
        <v>0</v>
      </c>
      <c r="DK152" s="9">
        <f>IF(111&lt;=核心参数输入!$B$9*4,DK146+DK131+DK147-DK148-DK149,0)</f>
        <v>0</v>
      </c>
      <c r="DL152" s="9">
        <f>IF(112&lt;=核心参数输入!$B$9*4,DL146+DL131+DL147-DL148-DL149,0)</f>
        <v>0</v>
      </c>
      <c r="DM152" s="9">
        <f>IF(113&lt;=核心参数输入!$B$9*4,DM146+DM131+DM147-DM148-DM149,0)</f>
        <v>0</v>
      </c>
      <c r="DN152" s="9">
        <f>IF(114&lt;=核心参数输入!$B$9*4,DN146+DN131+DN147-DN148-DN149,0)</f>
        <v>0</v>
      </c>
      <c r="DO152" s="9">
        <f>IF(115&lt;=核心参数输入!$B$9*4,DO146+DO131+DO147-DO148-DO149,0)</f>
        <v>0</v>
      </c>
      <c r="DP152" s="9">
        <f>IF(116&lt;=核心参数输入!$B$9*4,DP146+DP131+DP147-DP148-DP149,0)</f>
        <v>0</v>
      </c>
      <c r="DQ152" s="9">
        <f>IF(117&lt;=核心参数输入!$B$9*4,DQ146+DQ131+DQ147-DQ148-DQ149,0)</f>
        <v>0</v>
      </c>
      <c r="DR152" s="9">
        <f>IF(118&lt;=核心参数输入!$B$9*4,DR146+DR131+DR147-DR148-DR149,0)</f>
        <v>0</v>
      </c>
      <c r="DS152" s="9">
        <f>IF(119&lt;=核心参数输入!$B$9*4,DS146+DS131+DS147-DS148-DS149,0)</f>
        <v>0</v>
      </c>
      <c r="DT152" s="9">
        <f>IF(120&lt;=核心参数输入!$B$9*4,DT146+DT131+DT147-DT148-DT149,0)</f>
        <v>0</v>
      </c>
    </row>
    <row r="153" spans="1:124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</row>
    <row r="154" spans="1:124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</row>
    <row r="155" spans="1:124" ht="21" customHeight="1">
      <c r="A155" s="8" t="s">
        <v>537</v>
      </c>
      <c r="B155" s="8" t="s">
        <v>39</v>
      </c>
      <c r="C155" s="8"/>
      <c r="D155" s="9">
        <f>IF(0&lt;=核心参数输入!$B$9*4,IF(核心参数输入!$B$64=1,D129,D128),0)</f>
        <v>-8000</v>
      </c>
      <c r="E155" s="9">
        <f>IF(1&lt;=核心参数输入!$B$9*4,IF(核心参数输入!$B$64=1,E129,E128),0)</f>
        <v>-4365.8999999999996</v>
      </c>
      <c r="F155" s="9">
        <f>IF(2&lt;=核心参数输入!$B$9*4,IF(核心参数输入!$B$64=1,F129,F128),0)</f>
        <v>-4365.8999999999996</v>
      </c>
      <c r="G155" s="9">
        <f>IF(3&lt;=核心参数输入!$B$9*4,IF(核心参数输入!$B$64=1,G129,G128),0)</f>
        <v>-4365.8999999999996</v>
      </c>
      <c r="H155" s="9">
        <f>IF(4&lt;=核心参数输入!$B$9*4,IF(核心参数输入!$B$64=1,H129,H128),0)</f>
        <v>-4365.8999999999996</v>
      </c>
      <c r="I155" s="9">
        <f>IF(5&lt;=核心参数输入!$B$9*4,IF(核心参数输入!$B$64=1,I129,I128),0)</f>
        <v>-5821.2000000000007</v>
      </c>
      <c r="J155" s="9">
        <f>IF(6&lt;=核心参数输入!$B$9*4,IF(核心参数输入!$B$64=1,J129,J128),0)</f>
        <v>-5821.2000000000007</v>
      </c>
      <c r="K155" s="9">
        <f>IF(7&lt;=核心参数输入!$B$9*4,IF(核心参数输入!$B$64=1,K129,K128),0)</f>
        <v>-5821.2000000000007</v>
      </c>
      <c r="L155" s="9">
        <f>IF(8&lt;=核心参数输入!$B$9*4,IF(核心参数输入!$B$64=1,L129,L128),0)</f>
        <v>-5821.2000000000007</v>
      </c>
      <c r="M155" s="9">
        <f>IF(9&lt;=核心参数输入!$B$9*4,IF(核心参数输入!$B$64=1,M129,M128),0)</f>
        <v>-4365.8999999999996</v>
      </c>
      <c r="N155" s="9">
        <f>IF(10&lt;=核心参数输入!$B$9*4,IF(核心参数输入!$B$64=1,N129,N128),0)</f>
        <v>-4365.8999999999996</v>
      </c>
      <c r="O155" s="9">
        <f>IF(11&lt;=核心参数输入!$B$9*4,IF(核心参数输入!$B$64=1,O129,O128),0)</f>
        <v>-4365.8999999999996</v>
      </c>
      <c r="P155" s="9">
        <f>IF(12&lt;=核心参数输入!$B$9*4,IF(核心参数输入!$B$64=1,P129,P128),0)</f>
        <v>-4365.8999999999996</v>
      </c>
      <c r="Q155" s="9">
        <f>IF(13&lt;=核心参数输入!$B$9*4,IF(核心参数输入!$B$64=1,Q129,Q128),0)</f>
        <v>1318.3426562499999</v>
      </c>
      <c r="R155" s="9">
        <f>IF(14&lt;=核心参数输入!$B$9*4,IF(核心参数输入!$B$64=1,R129,R128),0)</f>
        <v>2813.6248252350001</v>
      </c>
      <c r="S155" s="9">
        <f>IF(15&lt;=核心参数输入!$B$9*4,IF(核心参数输入!$B$64=1,S129,S128),0)</f>
        <v>2849.5579132050007</v>
      </c>
      <c r="T155" s="9">
        <f>IF(16&lt;=核心参数输入!$B$9*4,IF(核心参数输入!$B$64=1,T129,T128),0)</f>
        <v>2885.4910011750003</v>
      </c>
      <c r="U155" s="9">
        <f>IF(17&lt;=核心参数输入!$B$9*4,IF(核心参数输入!$B$64=1,U129,U128),0)</f>
        <v>3567.924795013425</v>
      </c>
      <c r="V155" s="9">
        <f>IF(18&lt;=核心参数输入!$B$9*4,IF(核心参数输入!$B$64=1,V129,V128),0)</f>
        <v>3921.0507332305874</v>
      </c>
      <c r="W155" s="9">
        <f>IF(19&lt;=核心参数输入!$B$9*4,IF(核心参数输入!$B$64=1,W129,W128),0)</f>
        <v>3939.2867753753621</v>
      </c>
      <c r="X155" s="9">
        <f>IF(20&lt;=核心参数输入!$B$9*4,IF(核心参数输入!$B$64=1,X129,X128),0)</f>
        <v>3957.5228175201378</v>
      </c>
      <c r="Y155" s="9">
        <f>IF(21&lt;=核心参数输入!$B$9*4,IF(核心参数输入!$B$64=1,Y129,Y128),0)</f>
        <v>3331.2603581848857</v>
      </c>
      <c r="Z155" s="9">
        <f>IF(22&lt;=核心参数输入!$B$9*4,IF(核心参数输入!$B$64=1,Z129,Z128),0)</f>
        <v>3021.6843681147143</v>
      </c>
      <c r="AA155" s="9">
        <f>IF(23&lt;=核心参数输入!$B$9*4,IF(核心参数输入!$B$64=1,AA129,AA128),0)</f>
        <v>3035.5665551974243</v>
      </c>
      <c r="AB155" s="9">
        <f>IF(24&lt;=核心参数输入!$B$9*4,IF(核心参数输入!$B$64=1,AB129,AB128),0)</f>
        <v>3037.7202008347181</v>
      </c>
      <c r="AC155" s="9">
        <f>IF(25&lt;=核心参数输入!$B$9*4,IF(核心参数输入!$B$64=1,AC129,AC128),0)</f>
        <v>1127.4882128345371</v>
      </c>
      <c r="AD155" s="9">
        <f>IF(26&lt;=核心参数输入!$B$9*4,IF(核心参数输入!$B$64=1,AD129,AD128),0)</f>
        <v>159.56620109383732</v>
      </c>
      <c r="AE155" s="9">
        <f>IF(27&lt;=核心参数输入!$B$9*4,IF(核心参数输入!$B$64=1,AE129,AE128),0)</f>
        <v>164.26300772348753</v>
      </c>
      <c r="AF155" s="9">
        <f>IF(28&lt;=核心参数输入!$B$9*4,IF(核心参数输入!$B$64=1,AF129,AF128),0)</f>
        <v>168.9598143531378</v>
      </c>
      <c r="AG155" s="9">
        <f>IF(29&lt;=核心参数输入!$B$9*4,IF(核心参数输入!$B$64=1,AG129,AG128),0)</f>
        <v>176.53851729752981</v>
      </c>
      <c r="AH155" s="9">
        <f>IF(30&lt;=核心参数输入!$B$9*4,IF(核心参数输入!$B$64=1,AH129,AH128),0)</f>
        <v>178.92214666207724</v>
      </c>
      <c r="AI155" s="9">
        <f>IF(31&lt;=核心参数输入!$B$9*4,IF(核心参数输入!$B$64=1,AI129,AI128),0)</f>
        <v>178.92214666207724</v>
      </c>
      <c r="AJ155" s="9">
        <f>IF(32&lt;=核心参数输入!$B$9*4,IF(核心参数输入!$B$64=1,AJ129,AJ128),0)</f>
        <v>178.92214666207724</v>
      </c>
      <c r="AK155" s="9">
        <f>IF(33&lt;=核心参数输入!$B$9*4,IF(核心参数输入!$B$64=1,AK129,AK128),0)</f>
        <v>181.87506680200843</v>
      </c>
      <c r="AL155" s="9">
        <f>IF(34&lt;=核心参数输入!$B$9*4,IF(核心参数输入!$B$64=1,AL129,AL128),0)</f>
        <v>181.87506680200843</v>
      </c>
      <c r="AM155" s="9">
        <f>IF(35&lt;=核心参数输入!$B$9*4,IF(核心参数输入!$B$64=1,AM129,AM128),0)</f>
        <v>181.87506680200843</v>
      </c>
      <c r="AN155" s="9">
        <f>IF(36&lt;=核心参数输入!$B$9*4,IF(核心参数输入!$B$64=1,AN129,AN128),0)</f>
        <v>181.87506680200843</v>
      </c>
      <c r="AO155" s="9">
        <f>IF(37&lt;=核心参数输入!$B$9*4,IF(核心参数输入!$B$64=1,AO129,AO128),0)</f>
        <v>184.86416250283844</v>
      </c>
      <c r="AP155" s="9">
        <f>IF(38&lt;=核心参数输入!$B$9*4,IF(核心参数输入!$B$64=1,AP129,AP128),0)</f>
        <v>184.86416250283844</v>
      </c>
      <c r="AQ155" s="9">
        <f>IF(39&lt;=核心参数输入!$B$9*4,IF(核心参数输入!$B$64=1,AQ129,AQ128),0)</f>
        <v>184.86416250283844</v>
      </c>
      <c r="AR155" s="9">
        <f>IF(40&lt;=核心参数输入!$B$9*4,IF(核心参数输入!$B$64=1,AR129,AR128),0)</f>
        <v>184.86416250283844</v>
      </c>
      <c r="AS155" s="9">
        <f>IF(41&lt;=核心参数输入!$B$9*4,IF(核心参数输入!$B$64=1,AS129,AS128),0)</f>
        <v>187.88981403315699</v>
      </c>
      <c r="AT155" s="9">
        <f>IF(42&lt;=核心参数输入!$B$9*4,IF(核心参数输入!$B$64=1,AT129,AT128),0)</f>
        <v>187.88981403315699</v>
      </c>
      <c r="AU155" s="9">
        <f>IF(43&lt;=核心参数输入!$B$9*4,IF(核心参数输入!$B$64=1,AU129,AU128),0)</f>
        <v>187.88981403315699</v>
      </c>
      <c r="AV155" s="9">
        <f>IF(44&lt;=核心参数输入!$B$9*4,IF(核心参数输入!$B$64=1,AV129,AV128),0)</f>
        <v>187.88981403315699</v>
      </c>
      <c r="AW155" s="9">
        <f>IF(45&lt;=核心参数输入!$B$9*4,IF(核心参数输入!$B$64=1,AW129,AW128),0)</f>
        <v>190.95240411828576</v>
      </c>
      <c r="AX155" s="9">
        <f>IF(46&lt;=核心参数输入!$B$9*4,IF(核心参数输入!$B$64=1,AX129,AX128),0)</f>
        <v>190.95240411828576</v>
      </c>
      <c r="AY155" s="9">
        <f>IF(47&lt;=核心参数输入!$B$9*4,IF(核心参数输入!$B$64=1,AY129,AY128),0)</f>
        <v>190.95240411828576</v>
      </c>
      <c r="AZ155" s="9">
        <f>IF(48&lt;=核心参数输入!$B$9*4,IF(核心参数输入!$B$64=1,AZ129,AZ128),0)</f>
        <v>190.95240411828576</v>
      </c>
      <c r="BA155" s="9">
        <f>IF(49&lt;=核心参数输入!$B$9*4,IF(核心参数输入!$B$64=1,BA129,BA128),0)</f>
        <v>194.05231791218421</v>
      </c>
      <c r="BB155" s="9">
        <f>IF(50&lt;=核心参数输入!$B$9*4,IF(核心参数输入!$B$64=1,BB129,BB128),0)</f>
        <v>194.05231791218421</v>
      </c>
      <c r="BC155" s="9">
        <f>IF(51&lt;=核心参数输入!$B$9*4,IF(核心参数输入!$B$64=1,BC129,BC128),0)</f>
        <v>194.05231791218421</v>
      </c>
      <c r="BD155" s="9">
        <f>IF(52&lt;=核心参数输入!$B$9*4,IF(核心参数输入!$B$64=1,BD129,BD128),0)</f>
        <v>194.05231791218421</v>
      </c>
      <c r="BE155" s="9">
        <f>IF(53&lt;=核心参数输入!$B$9*4,IF(核心参数输入!$B$64=1,BE129,BE128),0)</f>
        <v>197.18994296763356</v>
      </c>
      <c r="BF155" s="9">
        <f>IF(54&lt;=核心参数输入!$B$9*4,IF(核心参数输入!$B$64=1,BF129,BF128),0)</f>
        <v>197.18994296763356</v>
      </c>
      <c r="BG155" s="9">
        <f>IF(55&lt;=核心参数输入!$B$9*4,IF(核心参数输入!$B$64=1,BG129,BG128),0)</f>
        <v>197.18994296763356</v>
      </c>
      <c r="BH155" s="9">
        <f>IF(56&lt;=核心参数输入!$B$9*4,IF(核心参数输入!$B$64=1,BH129,BH128),0)</f>
        <v>197.18994296763356</v>
      </c>
      <c r="BI155" s="9">
        <f>IF(57&lt;=核心参数输入!$B$9*4,IF(核心参数输入!$B$64=1,BI129,BI128),0)</f>
        <v>200.36566920464995</v>
      </c>
      <c r="BJ155" s="9">
        <f>IF(58&lt;=核心参数输入!$B$9*4,IF(核心参数输入!$B$64=1,BJ129,BJ128),0)</f>
        <v>200.36566920464995</v>
      </c>
      <c r="BK155" s="9">
        <f>IF(59&lt;=核心参数输入!$B$9*4,IF(核心参数输入!$B$64=1,BK129,BK128),0)</f>
        <v>200.36566920464995</v>
      </c>
      <c r="BL155" s="9">
        <f>IF(60&lt;=核心参数输入!$B$9*4,IF(核心参数输入!$B$64=1,BL129,BL128),0)</f>
        <v>200.36566920464995</v>
      </c>
      <c r="BM155" s="9">
        <f>IF(61&lt;=核心参数输入!$B$9*4,IF(核心参数输入!$B$64=1,BM129,BM128),0)</f>
        <v>203.57988887707162</v>
      </c>
      <c r="BN155" s="9">
        <f>IF(62&lt;=核心参数输入!$B$9*4,IF(核心参数输入!$B$64=1,BN129,BN128),0)</f>
        <v>203.57988887707162</v>
      </c>
      <c r="BO155" s="9">
        <f>IF(63&lt;=核心参数输入!$B$9*4,IF(核心参数输入!$B$64=1,BO129,BO128),0)</f>
        <v>203.57988887707162</v>
      </c>
      <c r="BP155" s="9">
        <f>IF(64&lt;=核心参数输入!$B$9*4,IF(核心参数输入!$B$64=1,BP129,BP128),0)</f>
        <v>203.57988887707162</v>
      </c>
      <c r="BQ155" s="9">
        <f>IF(65&lt;=核心参数输入!$B$9*4,IF(核心参数输入!$B$64=1,BQ129,BQ128),0)</f>
        <v>206.83299653726678</v>
      </c>
      <c r="BR155" s="9">
        <f>IF(66&lt;=核心参数输入!$B$9*4,IF(核心参数输入!$B$64=1,BR129,BR128),0)</f>
        <v>206.83299653726678</v>
      </c>
      <c r="BS155" s="9">
        <f>IF(67&lt;=核心参数输入!$B$9*4,IF(核心参数输入!$B$64=1,BS129,BS128),0)</f>
        <v>206.83299653726678</v>
      </c>
      <c r="BT155" s="9">
        <f>IF(68&lt;=核心参数输入!$B$9*4,IF(核心参数输入!$B$64=1,BT129,BT128),0)</f>
        <v>206.83299653726678</v>
      </c>
      <c r="BU155" s="9">
        <f>IF(69&lt;=核心参数输入!$B$9*4,IF(核心参数输入!$B$64=1,BU129,BU128),0)</f>
        <v>210.12538899890549</v>
      </c>
      <c r="BV155" s="9">
        <f>IF(70&lt;=核心参数输入!$B$9*4,IF(核心参数输入!$B$64=1,BV129,BV128),0)</f>
        <v>210.12538899890549</v>
      </c>
      <c r="BW155" s="9">
        <f>IF(71&lt;=核心参数输入!$B$9*4,IF(核心参数输入!$B$64=1,BW129,BW128),0)</f>
        <v>210.12538899890549</v>
      </c>
      <c r="BX155" s="9">
        <f>IF(72&lt;=核心参数输入!$B$9*4,IF(核心参数输入!$B$64=1,BX129,BX128),0)</f>
        <v>210.12538899890549</v>
      </c>
      <c r="BY155" s="9">
        <f>IF(73&lt;=核心参数输入!$B$9*4,IF(核心参数输入!$B$64=1,BY129,BY128),0)</f>
        <v>213.45746529774047</v>
      </c>
      <c r="BZ155" s="9">
        <f>IF(74&lt;=核心参数输入!$B$9*4,IF(核心参数输入!$B$64=1,BZ129,BZ128),0)</f>
        <v>213.45746529774047</v>
      </c>
      <c r="CA155" s="9">
        <f>IF(75&lt;=核心参数输入!$B$9*4,IF(核心参数输入!$B$64=1,CA129,CA128),0)</f>
        <v>213.45746529774047</v>
      </c>
      <c r="CB155" s="9">
        <f>IF(76&lt;=核心参数输入!$B$9*4,IF(核心参数输入!$B$64=1,CB129,CB128),0)</f>
        <v>213.45746529774047</v>
      </c>
      <c r="CC155" s="9">
        <f>IF(77&lt;=核心参数输入!$B$9*4,IF(核心参数输入!$B$64=1,CC129,CC128),0)</f>
        <v>216.829626650335</v>
      </c>
      <c r="CD155" s="9">
        <f>IF(78&lt;=核心参数输入!$B$9*4,IF(核心参数输入!$B$64=1,CD129,CD128),0)</f>
        <v>216.829626650335</v>
      </c>
      <c r="CE155" s="9">
        <f>IF(79&lt;=核心参数输入!$B$9*4,IF(核心参数输入!$B$64=1,CE129,CE128),0)</f>
        <v>216.829626650335</v>
      </c>
      <c r="CF155" s="9">
        <f>IF(80&lt;=核心参数输入!$B$9*4,IF(核心参数输入!$B$64=1,CF129,CF128),0)</f>
        <v>216.829626650335</v>
      </c>
      <c r="CG155" s="9">
        <f>IF(81&lt;=核心参数输入!$B$9*4,IF(核心参数输入!$B$64=1,CG129,CG128),0)</f>
        <v>0</v>
      </c>
      <c r="CH155" s="9">
        <f>IF(82&lt;=核心参数输入!$B$9*4,IF(核心参数输入!$B$64=1,CH129,CH128),0)</f>
        <v>0</v>
      </c>
      <c r="CI155" s="9">
        <f>IF(83&lt;=核心参数输入!$B$9*4,IF(核心参数输入!$B$64=1,CI129,CI128),0)</f>
        <v>0</v>
      </c>
      <c r="CJ155" s="9">
        <f>IF(84&lt;=核心参数输入!$B$9*4,IF(核心参数输入!$B$64=1,CJ129,CJ128),0)</f>
        <v>0</v>
      </c>
      <c r="CK155" s="9">
        <f>IF(85&lt;=核心参数输入!$B$9*4,IF(核心参数输入!$B$64=1,CK129,CK128),0)</f>
        <v>0</v>
      </c>
      <c r="CL155" s="9">
        <f>IF(86&lt;=核心参数输入!$B$9*4,IF(核心参数输入!$B$64=1,CL129,CL128),0)</f>
        <v>0</v>
      </c>
      <c r="CM155" s="9">
        <f>IF(87&lt;=核心参数输入!$B$9*4,IF(核心参数输入!$B$64=1,CM129,CM128),0)</f>
        <v>0</v>
      </c>
      <c r="CN155" s="9">
        <f>IF(88&lt;=核心参数输入!$B$9*4,IF(核心参数输入!$B$64=1,CN129,CN128),0)</f>
        <v>0</v>
      </c>
      <c r="CO155" s="9">
        <f>IF(89&lt;=核心参数输入!$B$9*4,IF(核心参数输入!$B$64=1,CO129,CO128),0)</f>
        <v>0</v>
      </c>
      <c r="CP155" s="9">
        <f>IF(90&lt;=核心参数输入!$B$9*4,IF(核心参数输入!$B$64=1,CP129,CP128),0)</f>
        <v>0</v>
      </c>
      <c r="CQ155" s="9">
        <f>IF(91&lt;=核心参数输入!$B$9*4,IF(核心参数输入!$B$64=1,CQ129,CQ128),0)</f>
        <v>0</v>
      </c>
      <c r="CR155" s="9">
        <f>IF(92&lt;=核心参数输入!$B$9*4,IF(核心参数输入!$B$64=1,CR129,CR128),0)</f>
        <v>0</v>
      </c>
      <c r="CS155" s="9">
        <f>IF(93&lt;=核心参数输入!$B$9*4,IF(核心参数输入!$B$64=1,CS129,CS128),0)</f>
        <v>0</v>
      </c>
      <c r="CT155" s="9">
        <f>IF(94&lt;=核心参数输入!$B$9*4,IF(核心参数输入!$B$64=1,CT129,CT128),0)</f>
        <v>0</v>
      </c>
      <c r="CU155" s="9">
        <f>IF(95&lt;=核心参数输入!$B$9*4,IF(核心参数输入!$B$64=1,CU129,CU128),0)</f>
        <v>0</v>
      </c>
      <c r="CV155" s="9">
        <f>IF(96&lt;=核心参数输入!$B$9*4,IF(核心参数输入!$B$64=1,CV129,CV128),0)</f>
        <v>0</v>
      </c>
      <c r="CW155" s="9">
        <f>IF(97&lt;=核心参数输入!$B$9*4,IF(核心参数输入!$B$64=1,CW129,CW128),0)</f>
        <v>0</v>
      </c>
      <c r="CX155" s="9">
        <f>IF(98&lt;=核心参数输入!$B$9*4,IF(核心参数输入!$B$64=1,CX129,CX128),0)</f>
        <v>0</v>
      </c>
      <c r="CY155" s="9">
        <f>IF(99&lt;=核心参数输入!$B$9*4,IF(核心参数输入!$B$64=1,CY129,CY128),0)</f>
        <v>0</v>
      </c>
      <c r="CZ155" s="9">
        <f>IF(100&lt;=核心参数输入!$B$9*4,IF(核心参数输入!$B$64=1,CZ129,CZ128),0)</f>
        <v>0</v>
      </c>
      <c r="DA155" s="9">
        <f>IF(101&lt;=核心参数输入!$B$9*4,IF(核心参数输入!$B$64=1,DA129,DA128),0)</f>
        <v>0</v>
      </c>
      <c r="DB155" s="9">
        <f>IF(102&lt;=核心参数输入!$B$9*4,IF(核心参数输入!$B$64=1,DB129,DB128),0)</f>
        <v>0</v>
      </c>
      <c r="DC155" s="9">
        <f>IF(103&lt;=核心参数输入!$B$9*4,IF(核心参数输入!$B$64=1,DC129,DC128),0)</f>
        <v>0</v>
      </c>
      <c r="DD155" s="9">
        <f>IF(104&lt;=核心参数输入!$B$9*4,IF(核心参数输入!$B$64=1,DD129,DD128),0)</f>
        <v>0</v>
      </c>
      <c r="DE155" s="9">
        <f>IF(105&lt;=核心参数输入!$B$9*4,IF(核心参数输入!$B$64=1,DE129,DE128),0)</f>
        <v>0</v>
      </c>
      <c r="DF155" s="9">
        <f>IF(106&lt;=核心参数输入!$B$9*4,IF(核心参数输入!$B$64=1,DF129,DF128),0)</f>
        <v>0</v>
      </c>
      <c r="DG155" s="9">
        <f>IF(107&lt;=核心参数输入!$B$9*4,IF(核心参数输入!$B$64=1,DG129,DG128),0)</f>
        <v>0</v>
      </c>
      <c r="DH155" s="9">
        <f>IF(108&lt;=核心参数输入!$B$9*4,IF(核心参数输入!$B$64=1,DH129,DH128),0)</f>
        <v>0</v>
      </c>
      <c r="DI155" s="9">
        <f>IF(109&lt;=核心参数输入!$B$9*4,IF(核心参数输入!$B$64=1,DI129,DI128),0)</f>
        <v>0</v>
      </c>
      <c r="DJ155" s="9">
        <f>IF(110&lt;=核心参数输入!$B$9*4,IF(核心参数输入!$B$64=1,DJ129,DJ128),0)</f>
        <v>0</v>
      </c>
      <c r="DK155" s="9">
        <f>IF(111&lt;=核心参数输入!$B$9*4,IF(核心参数输入!$B$64=1,DK129,DK128),0)</f>
        <v>0</v>
      </c>
      <c r="DL155" s="9">
        <f>IF(112&lt;=核心参数输入!$B$9*4,IF(核心参数输入!$B$64=1,DL129,DL128),0)</f>
        <v>0</v>
      </c>
      <c r="DM155" s="9">
        <f>IF(113&lt;=核心参数输入!$B$9*4,IF(核心参数输入!$B$64=1,DM129,DM128),0)</f>
        <v>0</v>
      </c>
      <c r="DN155" s="9">
        <f>IF(114&lt;=核心参数输入!$B$9*4,IF(核心参数输入!$B$64=1,DN129,DN128),0)</f>
        <v>0</v>
      </c>
      <c r="DO155" s="9">
        <f>IF(115&lt;=核心参数输入!$B$9*4,IF(核心参数输入!$B$64=1,DO129,DO128),0)</f>
        <v>0</v>
      </c>
      <c r="DP155" s="9">
        <f>IF(116&lt;=核心参数输入!$B$9*4,IF(核心参数输入!$B$64=1,DP129,DP128),0)</f>
        <v>0</v>
      </c>
      <c r="DQ155" s="9">
        <f>IF(117&lt;=核心参数输入!$B$9*4,IF(核心参数输入!$B$64=1,DQ129,DQ128),0)</f>
        <v>0</v>
      </c>
      <c r="DR155" s="9">
        <f>IF(118&lt;=核心参数输入!$B$9*4,IF(核心参数输入!$B$64=1,DR129,DR128),0)</f>
        <v>0</v>
      </c>
      <c r="DS155" s="9">
        <f>IF(119&lt;=核心参数输入!$B$9*4,IF(核心参数输入!$B$64=1,DS129,DS128),0)</f>
        <v>0</v>
      </c>
      <c r="DT155" s="9">
        <f>IF(120&lt;=核心参数输入!$B$9*4,IF(核心参数输入!$B$64=1,DT129,DT128),0)</f>
        <v>0</v>
      </c>
    </row>
    <row r="156" spans="1:124" ht="21" customHeight="1">
      <c r="A156" s="8" t="s">
        <v>538</v>
      </c>
      <c r="B156" s="8" t="s">
        <v>39</v>
      </c>
      <c r="C156" s="8"/>
      <c r="D156" s="9">
        <f>IF(0&lt;=核心参数输入!$B$9*4,IF(核心参数输入!$B$64=1,D131,D130),0)</f>
        <v>-8000</v>
      </c>
      <c r="E156" s="9">
        <f>IF(1&lt;=核心参数输入!$B$9*4,IF(核心参数输入!$B$64=1,E131,E130),0)</f>
        <v>-2127.7124999999996</v>
      </c>
      <c r="F156" s="9">
        <f>IF(2&lt;=核心参数输入!$B$9*4,IF(核心参数输入!$B$64=1,F131,F130),0)</f>
        <v>-2151.3374999999996</v>
      </c>
      <c r="G156" s="9">
        <f>IF(3&lt;=核心参数输入!$B$9*4,IF(核心参数输入!$B$64=1,G131,G130),0)</f>
        <v>-2174.9624999999996</v>
      </c>
      <c r="H156" s="9">
        <f>IF(4&lt;=核心参数输入!$B$9*4,IF(核心参数输入!$B$64=1,H131,H130),0)</f>
        <v>-2198.5874999999996</v>
      </c>
      <c r="I156" s="9">
        <f>IF(5&lt;=核心参数输入!$B$9*4,IF(核心参数输入!$B$64=1,I131,I130),0)</f>
        <v>-2931.4500000000007</v>
      </c>
      <c r="J156" s="9">
        <f>IF(6&lt;=核心参数输入!$B$9*4,IF(核心参数输入!$B$64=1,J131,J130),0)</f>
        <v>-2962.9500000000007</v>
      </c>
      <c r="K156" s="9">
        <f>IF(7&lt;=核心参数输入!$B$9*4,IF(核心参数输入!$B$64=1,K131,K130),0)</f>
        <v>-2994.4500000000007</v>
      </c>
      <c r="L156" s="9">
        <f>IF(8&lt;=核心参数输入!$B$9*4,IF(核心参数输入!$B$64=1,L131,L130),0)</f>
        <v>-3025.9500000000007</v>
      </c>
      <c r="M156" s="9">
        <f>IF(9&lt;=核心参数输入!$B$9*4,IF(核心参数输入!$B$64=1,M131,M130),0)</f>
        <v>-2348.2124999999996</v>
      </c>
      <c r="N156" s="9">
        <f>IF(10&lt;=核心参数输入!$B$9*4,IF(核心参数输入!$B$64=1,N131,N130),0)</f>
        <v>-2371.8374999999996</v>
      </c>
      <c r="O156" s="9">
        <f>IF(11&lt;=核心参数输入!$B$9*4,IF(核心参数输入!$B$64=1,O131,O130),0)</f>
        <v>-2395.4624999999996</v>
      </c>
      <c r="P156" s="9">
        <f>IF(12&lt;=核心参数输入!$B$9*4,IF(核心参数输入!$B$64=1,P131,P130),0)</f>
        <v>-2419.0874999999996</v>
      </c>
      <c r="Q156" s="9">
        <f>IF(13&lt;=核心参数输入!$B$9*4,IF(核心参数输入!$B$64=1,Q131,Q130),0)</f>
        <v>1003.3426562499999</v>
      </c>
      <c r="R156" s="9">
        <f>IF(14&lt;=核心参数输入!$B$9*4,IF(核心参数输入!$B$64=1,R131,R130),0)</f>
        <v>2498.6248252350001</v>
      </c>
      <c r="S156" s="9">
        <f>IF(15&lt;=核心参数输入!$B$9*4,IF(核心参数输入!$B$64=1,S131,S130),0)</f>
        <v>2534.5579132050007</v>
      </c>
      <c r="T156" s="9">
        <f>IF(16&lt;=核心参数输入!$B$9*4,IF(核心参数输入!$B$64=1,T131,T130),0)</f>
        <v>-1692.723284539285</v>
      </c>
      <c r="U156" s="9">
        <f>IF(17&lt;=核心参数输入!$B$9*4,IF(核心参数输入!$B$64=1,U131,U130),0)</f>
        <v>3297.924795013425</v>
      </c>
      <c r="V156" s="9">
        <f>IF(18&lt;=核心参数输入!$B$9*4,IF(核心参数输入!$B$64=1,V131,V130),0)</f>
        <v>3651.0507332305874</v>
      </c>
      <c r="W156" s="9">
        <f>IF(19&lt;=核心参数输入!$B$9*4,IF(核心参数输入!$B$64=1,W131,W130),0)</f>
        <v>3669.2867753753621</v>
      </c>
      <c r="X156" s="9">
        <f>IF(20&lt;=核心参数输入!$B$9*4,IF(核心参数输入!$B$64=1,X131,X130),0)</f>
        <v>-575.69146819414755</v>
      </c>
      <c r="Y156" s="9">
        <f>IF(21&lt;=核心参数输入!$B$9*4,IF(核心参数输入!$B$64=1,Y131,Y130),0)</f>
        <v>3106.2603581848857</v>
      </c>
      <c r="Z156" s="9">
        <f>IF(22&lt;=核心参数输入!$B$9*4,IF(核心参数输入!$B$64=1,Z131,Z130),0)</f>
        <v>2796.6843681147143</v>
      </c>
      <c r="AA156" s="9">
        <f>IF(23&lt;=核心参数输入!$B$9*4,IF(核心参数输入!$B$64=1,AA131,AA130),0)</f>
        <v>2810.5665551974243</v>
      </c>
      <c r="AB156" s="9">
        <f>IF(24&lt;=核心参数输入!$B$9*4,IF(核心参数输入!$B$64=1,AB131,AB130),0)</f>
        <v>-1438.7655434341505</v>
      </c>
      <c r="AC156" s="9">
        <f>IF(25&lt;=核心参数输入!$B$9*4,IF(核心参数输入!$B$64=1,AC131,AC130),0)</f>
        <v>947.48821283453708</v>
      </c>
      <c r="AD156" s="9">
        <f>IF(26&lt;=核心参数输入!$B$9*4,IF(核心参数输入!$B$64=1,AD131,AD130),0)</f>
        <v>-20.433798906162679</v>
      </c>
      <c r="AE156" s="9">
        <f>IF(27&lt;=核心参数输入!$B$9*4,IF(核心参数输入!$B$64=1,AE131,AE130),0)</f>
        <v>-15.736992276512467</v>
      </c>
      <c r="AF156" s="9">
        <f>IF(28&lt;=核心参数输入!$B$9*4,IF(核心参数输入!$B$64=1,AF131,AF130),0)</f>
        <v>-4274.2544713611478</v>
      </c>
      <c r="AG156" s="9">
        <f>IF(29&lt;=核心参数输入!$B$9*4,IF(核心参数输入!$B$64=1,AG131,AG130),0)</f>
        <v>41.538517297529808</v>
      </c>
      <c r="AH156" s="9">
        <f>IF(30&lt;=核心参数输入!$B$9*4,IF(核心参数输入!$B$64=1,AH131,AH130),0)</f>
        <v>43.922146662077239</v>
      </c>
      <c r="AI156" s="9">
        <f>IF(31&lt;=核心参数输入!$B$9*4,IF(核心参数输入!$B$64=1,AI131,AI130),0)</f>
        <v>43.922146662077239</v>
      </c>
      <c r="AJ156" s="9">
        <f>IF(32&lt;=核心参数输入!$B$9*4,IF(核心参数输入!$B$64=1,AJ131,AJ130),0)</f>
        <v>-4219.2921390522079</v>
      </c>
      <c r="AK156" s="9">
        <f>IF(33&lt;=核心参数输入!$B$9*4,IF(核心参数输入!$B$64=1,AK131,AK130),0)</f>
        <v>91.875066802008462</v>
      </c>
      <c r="AL156" s="9">
        <f>IF(34&lt;=核心参数输入!$B$9*4,IF(核心参数输入!$B$64=1,AL131,AL130),0)</f>
        <v>91.875066802008462</v>
      </c>
      <c r="AM156" s="9">
        <f>IF(35&lt;=核心参数输入!$B$9*4,IF(核心参数输入!$B$64=1,AM131,AM130),0)</f>
        <v>91.875066802008462</v>
      </c>
      <c r="AN156" s="9">
        <f>IF(36&lt;=核心参数输入!$B$9*4,IF(核心参数输入!$B$64=1,AN131,AN130),0)</f>
        <v>-4171.3392189122769</v>
      </c>
      <c r="AO156" s="9">
        <f>IF(37&lt;=核心参数输入!$B$9*4,IF(核心参数输入!$B$64=1,AO131,AO130),0)</f>
        <v>139.86416250283847</v>
      </c>
      <c r="AP156" s="9">
        <f>IF(38&lt;=核心参数输入!$B$9*4,IF(核心参数输入!$B$64=1,AP131,AP130),0)</f>
        <v>139.86416250283847</v>
      </c>
      <c r="AQ156" s="9">
        <f>IF(39&lt;=核心参数输入!$B$9*4,IF(核心参数输入!$B$64=1,AQ131,AQ130),0)</f>
        <v>139.86416250283847</v>
      </c>
      <c r="AR156" s="9">
        <f>IF(40&lt;=核心参数输入!$B$9*4,IF(核心参数输入!$B$64=1,AR131,AR130),0)</f>
        <v>-4123.350123211445</v>
      </c>
      <c r="AS156" s="9">
        <f>IF(41&lt;=核心参数输入!$B$9*4,IF(核心参数输入!$B$64=1,AS131,AS130),0)</f>
        <v>187.88981403315699</v>
      </c>
      <c r="AT156" s="9">
        <f>IF(42&lt;=核心参数输入!$B$9*4,IF(核心参数输入!$B$64=1,AT131,AT130),0)</f>
        <v>187.88981403315699</v>
      </c>
      <c r="AU156" s="9">
        <f>IF(43&lt;=核心参数输入!$B$9*4,IF(核心参数输入!$B$64=1,AU131,AU130),0)</f>
        <v>187.88981403315699</v>
      </c>
      <c r="AV156" s="9">
        <f>IF(44&lt;=核心参数输入!$B$9*4,IF(核心参数输入!$B$64=1,AV131,AV130),0)</f>
        <v>187.88981403315699</v>
      </c>
      <c r="AW156" s="9">
        <f>IF(45&lt;=核心参数输入!$B$9*4,IF(核心参数输入!$B$64=1,AW131,AW130),0)</f>
        <v>190.95240411828576</v>
      </c>
      <c r="AX156" s="9">
        <f>IF(46&lt;=核心参数输入!$B$9*4,IF(核心参数输入!$B$64=1,AX131,AX130),0)</f>
        <v>190.95240411828576</v>
      </c>
      <c r="AY156" s="9">
        <f>IF(47&lt;=核心参数输入!$B$9*4,IF(核心参数输入!$B$64=1,AY131,AY130),0)</f>
        <v>190.95240411828576</v>
      </c>
      <c r="AZ156" s="9">
        <f>IF(48&lt;=核心参数输入!$B$9*4,IF(核心参数输入!$B$64=1,AZ131,AZ130),0)</f>
        <v>190.95240411828576</v>
      </c>
      <c r="BA156" s="9">
        <f>IF(49&lt;=核心参数输入!$B$9*4,IF(核心参数输入!$B$64=1,BA131,BA130),0)</f>
        <v>194.05231791218421</v>
      </c>
      <c r="BB156" s="9">
        <f>IF(50&lt;=核心参数输入!$B$9*4,IF(核心参数输入!$B$64=1,BB131,BB130),0)</f>
        <v>194.05231791218421</v>
      </c>
      <c r="BC156" s="9">
        <f>IF(51&lt;=核心参数输入!$B$9*4,IF(核心参数输入!$B$64=1,BC131,BC130),0)</f>
        <v>194.05231791218421</v>
      </c>
      <c r="BD156" s="9">
        <f>IF(52&lt;=核心参数输入!$B$9*4,IF(核心参数输入!$B$64=1,BD131,BD130),0)</f>
        <v>194.05231791218421</v>
      </c>
      <c r="BE156" s="9">
        <f>IF(53&lt;=核心参数输入!$B$9*4,IF(核心参数输入!$B$64=1,BE131,BE130),0)</f>
        <v>197.18994296763356</v>
      </c>
      <c r="BF156" s="9">
        <f>IF(54&lt;=核心参数输入!$B$9*4,IF(核心参数输入!$B$64=1,BF131,BF130),0)</f>
        <v>197.18994296763356</v>
      </c>
      <c r="BG156" s="9">
        <f>IF(55&lt;=核心参数输入!$B$9*4,IF(核心参数输入!$B$64=1,BG131,BG130),0)</f>
        <v>197.18994296763356</v>
      </c>
      <c r="BH156" s="9">
        <f>IF(56&lt;=核心参数输入!$B$9*4,IF(核心参数输入!$B$64=1,BH131,BH130),0)</f>
        <v>197.18994296763356</v>
      </c>
      <c r="BI156" s="9">
        <f>IF(57&lt;=核心参数输入!$B$9*4,IF(核心参数输入!$B$64=1,BI131,BI130),0)</f>
        <v>200.36566920464995</v>
      </c>
      <c r="BJ156" s="9">
        <f>IF(58&lt;=核心参数输入!$B$9*4,IF(核心参数输入!$B$64=1,BJ131,BJ130),0)</f>
        <v>200.36566920464995</v>
      </c>
      <c r="BK156" s="9">
        <f>IF(59&lt;=核心参数输入!$B$9*4,IF(核心参数输入!$B$64=1,BK131,BK130),0)</f>
        <v>200.36566920464995</v>
      </c>
      <c r="BL156" s="9">
        <f>IF(60&lt;=核心参数输入!$B$9*4,IF(核心参数输入!$B$64=1,BL131,BL130),0)</f>
        <v>200.36566920464995</v>
      </c>
      <c r="BM156" s="9">
        <f>IF(61&lt;=核心参数输入!$B$9*4,IF(核心参数输入!$B$64=1,BM131,BM130),0)</f>
        <v>203.57988887707162</v>
      </c>
      <c r="BN156" s="9">
        <f>IF(62&lt;=核心参数输入!$B$9*4,IF(核心参数输入!$B$64=1,BN131,BN130),0)</f>
        <v>203.57988887707162</v>
      </c>
      <c r="BO156" s="9">
        <f>IF(63&lt;=核心参数输入!$B$9*4,IF(核心参数输入!$B$64=1,BO131,BO130),0)</f>
        <v>203.57988887707162</v>
      </c>
      <c r="BP156" s="9">
        <f>IF(64&lt;=核心参数输入!$B$9*4,IF(核心参数输入!$B$64=1,BP131,BP130),0)</f>
        <v>203.57988887707162</v>
      </c>
      <c r="BQ156" s="9">
        <f>IF(65&lt;=核心参数输入!$B$9*4,IF(核心参数输入!$B$64=1,BQ131,BQ130),0)</f>
        <v>206.83299653726678</v>
      </c>
      <c r="BR156" s="9">
        <f>IF(66&lt;=核心参数输入!$B$9*4,IF(核心参数输入!$B$64=1,BR131,BR130),0)</f>
        <v>206.83299653726678</v>
      </c>
      <c r="BS156" s="9">
        <f>IF(67&lt;=核心参数输入!$B$9*4,IF(核心参数输入!$B$64=1,BS131,BS130),0)</f>
        <v>206.83299653726678</v>
      </c>
      <c r="BT156" s="9">
        <f>IF(68&lt;=核心参数输入!$B$9*4,IF(核心参数输入!$B$64=1,BT131,BT130),0)</f>
        <v>206.83299653726678</v>
      </c>
      <c r="BU156" s="9">
        <f>IF(69&lt;=核心参数输入!$B$9*4,IF(核心参数输入!$B$64=1,BU131,BU130),0)</f>
        <v>210.12538899890549</v>
      </c>
      <c r="BV156" s="9">
        <f>IF(70&lt;=核心参数输入!$B$9*4,IF(核心参数输入!$B$64=1,BV131,BV130),0)</f>
        <v>210.12538899890549</v>
      </c>
      <c r="BW156" s="9">
        <f>IF(71&lt;=核心参数输入!$B$9*4,IF(核心参数输入!$B$64=1,BW131,BW130),0)</f>
        <v>210.12538899890549</v>
      </c>
      <c r="BX156" s="9">
        <f>IF(72&lt;=核心参数输入!$B$9*4,IF(核心参数输入!$B$64=1,BX131,BX130),0)</f>
        <v>210.12538899890549</v>
      </c>
      <c r="BY156" s="9">
        <f>IF(73&lt;=核心参数输入!$B$9*4,IF(核心参数输入!$B$64=1,BY131,BY130),0)</f>
        <v>213.45746529774047</v>
      </c>
      <c r="BZ156" s="9">
        <f>IF(74&lt;=核心参数输入!$B$9*4,IF(核心参数输入!$B$64=1,BZ131,BZ130),0)</f>
        <v>213.45746529774047</v>
      </c>
      <c r="CA156" s="9">
        <f>IF(75&lt;=核心参数输入!$B$9*4,IF(核心参数输入!$B$64=1,CA131,CA130),0)</f>
        <v>213.45746529774047</v>
      </c>
      <c r="CB156" s="9">
        <f>IF(76&lt;=核心参数输入!$B$9*4,IF(核心参数输入!$B$64=1,CB131,CB130),0)</f>
        <v>213.45746529774047</v>
      </c>
      <c r="CC156" s="9">
        <f>IF(77&lt;=核心参数输入!$B$9*4,IF(核心参数输入!$B$64=1,CC131,CC130),0)</f>
        <v>216.829626650335</v>
      </c>
      <c r="CD156" s="9">
        <f>IF(78&lt;=核心参数输入!$B$9*4,IF(核心参数输入!$B$64=1,CD131,CD130),0)</f>
        <v>216.829626650335</v>
      </c>
      <c r="CE156" s="9">
        <f>IF(79&lt;=核心参数输入!$B$9*4,IF(核心参数输入!$B$64=1,CE131,CE130),0)</f>
        <v>216.829626650335</v>
      </c>
      <c r="CF156" s="9">
        <f>IF(80&lt;=核心参数输入!$B$9*4,IF(核心参数输入!$B$64=1,CF131,CF130),0)</f>
        <v>216.829626650335</v>
      </c>
      <c r="CG156" s="9">
        <f>IF(81&lt;=核心参数输入!$B$9*4,IF(核心参数输入!$B$64=1,CG131,CG130),0)</f>
        <v>0</v>
      </c>
      <c r="CH156" s="9">
        <f>IF(82&lt;=核心参数输入!$B$9*4,IF(核心参数输入!$B$64=1,CH131,CH130),0)</f>
        <v>0</v>
      </c>
      <c r="CI156" s="9">
        <f>IF(83&lt;=核心参数输入!$B$9*4,IF(核心参数输入!$B$64=1,CI131,CI130),0)</f>
        <v>0</v>
      </c>
      <c r="CJ156" s="9">
        <f>IF(84&lt;=核心参数输入!$B$9*4,IF(核心参数输入!$B$64=1,CJ131,CJ130),0)</f>
        <v>0</v>
      </c>
      <c r="CK156" s="9">
        <f>IF(85&lt;=核心参数输入!$B$9*4,IF(核心参数输入!$B$64=1,CK131,CK130),0)</f>
        <v>0</v>
      </c>
      <c r="CL156" s="9">
        <f>IF(86&lt;=核心参数输入!$B$9*4,IF(核心参数输入!$B$64=1,CL131,CL130),0)</f>
        <v>0</v>
      </c>
      <c r="CM156" s="9">
        <f>IF(87&lt;=核心参数输入!$B$9*4,IF(核心参数输入!$B$64=1,CM131,CM130),0)</f>
        <v>0</v>
      </c>
      <c r="CN156" s="9">
        <f>IF(88&lt;=核心参数输入!$B$9*4,IF(核心参数输入!$B$64=1,CN131,CN130),0)</f>
        <v>0</v>
      </c>
      <c r="CO156" s="9">
        <f>IF(89&lt;=核心参数输入!$B$9*4,IF(核心参数输入!$B$64=1,CO131,CO130),0)</f>
        <v>0</v>
      </c>
      <c r="CP156" s="9">
        <f>IF(90&lt;=核心参数输入!$B$9*4,IF(核心参数输入!$B$64=1,CP131,CP130),0)</f>
        <v>0</v>
      </c>
      <c r="CQ156" s="9">
        <f>IF(91&lt;=核心参数输入!$B$9*4,IF(核心参数输入!$B$64=1,CQ131,CQ130),0)</f>
        <v>0</v>
      </c>
      <c r="CR156" s="9">
        <f>IF(92&lt;=核心参数输入!$B$9*4,IF(核心参数输入!$B$64=1,CR131,CR130),0)</f>
        <v>0</v>
      </c>
      <c r="CS156" s="9">
        <f>IF(93&lt;=核心参数输入!$B$9*4,IF(核心参数输入!$B$64=1,CS131,CS130),0)</f>
        <v>0</v>
      </c>
      <c r="CT156" s="9">
        <f>IF(94&lt;=核心参数输入!$B$9*4,IF(核心参数输入!$B$64=1,CT131,CT130),0)</f>
        <v>0</v>
      </c>
      <c r="CU156" s="9">
        <f>IF(95&lt;=核心参数输入!$B$9*4,IF(核心参数输入!$B$64=1,CU131,CU130),0)</f>
        <v>0</v>
      </c>
      <c r="CV156" s="9">
        <f>IF(96&lt;=核心参数输入!$B$9*4,IF(核心参数输入!$B$64=1,CV131,CV130),0)</f>
        <v>0</v>
      </c>
      <c r="CW156" s="9">
        <f>IF(97&lt;=核心参数输入!$B$9*4,IF(核心参数输入!$B$64=1,CW131,CW130),0)</f>
        <v>0</v>
      </c>
      <c r="CX156" s="9">
        <f>IF(98&lt;=核心参数输入!$B$9*4,IF(核心参数输入!$B$64=1,CX131,CX130),0)</f>
        <v>0</v>
      </c>
      <c r="CY156" s="9">
        <f>IF(99&lt;=核心参数输入!$B$9*4,IF(核心参数输入!$B$64=1,CY131,CY130),0)</f>
        <v>0</v>
      </c>
      <c r="CZ156" s="9">
        <f>IF(100&lt;=核心参数输入!$B$9*4,IF(核心参数输入!$B$64=1,CZ131,CZ130),0)</f>
        <v>0</v>
      </c>
      <c r="DA156" s="9">
        <f>IF(101&lt;=核心参数输入!$B$9*4,IF(核心参数输入!$B$64=1,DA131,DA130),0)</f>
        <v>0</v>
      </c>
      <c r="DB156" s="9">
        <f>IF(102&lt;=核心参数输入!$B$9*4,IF(核心参数输入!$B$64=1,DB131,DB130),0)</f>
        <v>0</v>
      </c>
      <c r="DC156" s="9">
        <f>IF(103&lt;=核心参数输入!$B$9*4,IF(核心参数输入!$B$64=1,DC131,DC130),0)</f>
        <v>0</v>
      </c>
      <c r="DD156" s="9">
        <f>IF(104&lt;=核心参数输入!$B$9*4,IF(核心参数输入!$B$64=1,DD131,DD130),0)</f>
        <v>0</v>
      </c>
      <c r="DE156" s="9">
        <f>IF(105&lt;=核心参数输入!$B$9*4,IF(核心参数输入!$B$64=1,DE131,DE130),0)</f>
        <v>0</v>
      </c>
      <c r="DF156" s="9">
        <f>IF(106&lt;=核心参数输入!$B$9*4,IF(核心参数输入!$B$64=1,DF131,DF130),0)</f>
        <v>0</v>
      </c>
      <c r="DG156" s="9">
        <f>IF(107&lt;=核心参数输入!$B$9*4,IF(核心参数输入!$B$64=1,DG131,DG130),0)</f>
        <v>0</v>
      </c>
      <c r="DH156" s="9">
        <f>IF(108&lt;=核心参数输入!$B$9*4,IF(核心参数输入!$B$64=1,DH131,DH130),0)</f>
        <v>0</v>
      </c>
      <c r="DI156" s="9">
        <f>IF(109&lt;=核心参数输入!$B$9*4,IF(核心参数输入!$B$64=1,DI131,DI130),0)</f>
        <v>0</v>
      </c>
      <c r="DJ156" s="9">
        <f>IF(110&lt;=核心参数输入!$B$9*4,IF(核心参数输入!$B$64=1,DJ131,DJ130),0)</f>
        <v>0</v>
      </c>
      <c r="DK156" s="9">
        <f>IF(111&lt;=核心参数输入!$B$9*4,IF(核心参数输入!$B$64=1,DK131,DK130),0)</f>
        <v>0</v>
      </c>
      <c r="DL156" s="9">
        <f>IF(112&lt;=核心参数输入!$B$9*4,IF(核心参数输入!$B$64=1,DL131,DL130),0)</f>
        <v>0</v>
      </c>
      <c r="DM156" s="9">
        <f>IF(113&lt;=核心参数输入!$B$9*4,IF(核心参数输入!$B$64=1,DM131,DM130),0)</f>
        <v>0</v>
      </c>
      <c r="DN156" s="9">
        <f>IF(114&lt;=核心参数输入!$B$9*4,IF(核心参数输入!$B$64=1,DN131,DN130),0)</f>
        <v>0</v>
      </c>
      <c r="DO156" s="9">
        <f>IF(115&lt;=核心参数输入!$B$9*4,IF(核心参数输入!$B$64=1,DO131,DO130),0)</f>
        <v>0</v>
      </c>
      <c r="DP156" s="9">
        <f>IF(116&lt;=核心参数输入!$B$9*4,IF(核心参数输入!$B$64=1,DP131,DP130),0)</f>
        <v>0</v>
      </c>
      <c r="DQ156" s="9">
        <f>IF(117&lt;=核心参数输入!$B$9*4,IF(核心参数输入!$B$64=1,DQ131,DQ130),0)</f>
        <v>0</v>
      </c>
      <c r="DR156" s="9">
        <f>IF(118&lt;=核心参数输入!$B$9*4,IF(核心参数输入!$B$64=1,DR131,DR130),0)</f>
        <v>0</v>
      </c>
      <c r="DS156" s="9">
        <f>IF(119&lt;=核心参数输入!$B$9*4,IF(核心参数输入!$B$64=1,DS131,DS130),0)</f>
        <v>0</v>
      </c>
      <c r="DT156" s="9">
        <f>IF(120&lt;=核心参数输入!$B$9*4,IF(核心参数输入!$B$64=1,DT131,DT130),0)</f>
        <v>0</v>
      </c>
    </row>
    <row r="157" spans="1:124" ht="21" customHeight="1">
      <c r="A157" s="8" t="s">
        <v>539</v>
      </c>
      <c r="B157" s="8" t="s">
        <v>39</v>
      </c>
      <c r="C157" s="8"/>
      <c r="D157" s="9">
        <f>IF(0&lt;=核心参数输入!$B$9*4,IF(核心参数输入!$B$64=1,D151,D141),0)</f>
        <v>-8000</v>
      </c>
      <c r="E157" s="9">
        <f>IF(1&lt;=核心参数输入!$B$9*4,IF(核心参数输入!$B$64=1,E151,E141),0)</f>
        <v>-2127.7124999999996</v>
      </c>
      <c r="F157" s="9">
        <f>IF(2&lt;=核心参数输入!$B$9*4,IF(核心参数输入!$B$64=1,F151,F141),0)</f>
        <v>-2151.3374999999996</v>
      </c>
      <c r="G157" s="9">
        <f>IF(3&lt;=核心参数输入!$B$9*4,IF(核心参数输入!$B$64=1,G151,G141),0)</f>
        <v>-2174.9624999999996</v>
      </c>
      <c r="H157" s="9">
        <f>IF(4&lt;=核心参数输入!$B$9*4,IF(核心参数输入!$B$64=1,H151,H141),0)</f>
        <v>-2198.5874999999996</v>
      </c>
      <c r="I157" s="9">
        <f>IF(5&lt;=核心参数输入!$B$9*4,IF(核心参数输入!$B$64=1,I151,I141),0)</f>
        <v>-2931.4500000000007</v>
      </c>
      <c r="J157" s="9">
        <f>IF(6&lt;=核心参数输入!$B$9*4,IF(核心参数输入!$B$64=1,J151,J141),0)</f>
        <v>-2962.9500000000007</v>
      </c>
      <c r="K157" s="9">
        <f>IF(7&lt;=核心参数输入!$B$9*4,IF(核心参数输入!$B$64=1,K151,K141),0)</f>
        <v>-2994.4500000000007</v>
      </c>
      <c r="L157" s="9">
        <f>IF(8&lt;=核心参数输入!$B$9*4,IF(核心参数输入!$B$64=1,L151,L141),0)</f>
        <v>-3025.9500000000007</v>
      </c>
      <c r="M157" s="9">
        <f>IF(9&lt;=核心参数输入!$B$9*4,IF(核心参数输入!$B$64=1,M151,M141),0)</f>
        <v>-2348.2124999999996</v>
      </c>
      <c r="N157" s="9">
        <f>IF(10&lt;=核心参数输入!$B$9*4,IF(核心参数输入!$B$64=1,N151,N141),0)</f>
        <v>-2371.8374999999996</v>
      </c>
      <c r="O157" s="9">
        <f>IF(11&lt;=核心参数输入!$B$9*4,IF(核心参数输入!$B$64=1,O151,O141),0)</f>
        <v>-2395.4624999999996</v>
      </c>
      <c r="P157" s="9">
        <f>IF(12&lt;=核心参数输入!$B$9*4,IF(核心参数输入!$B$64=1,P151,P141),0)</f>
        <v>-2419.0874999999996</v>
      </c>
      <c r="Q157" s="9">
        <f>IF(13&lt;=核心参数输入!$B$9*4,IF(核心参数输入!$B$64=1,Q151,Q141),0)</f>
        <v>1003.3426562499999</v>
      </c>
      <c r="R157" s="9">
        <f>IF(14&lt;=核心参数输入!$B$9*4,IF(核心参数输入!$B$64=1,R151,R141),0)</f>
        <v>2498.6248252350001</v>
      </c>
      <c r="S157" s="9">
        <f>IF(15&lt;=核心参数输入!$B$9*4,IF(核心参数输入!$B$64=1,S151,S141),0)</f>
        <v>841.83462866571563</v>
      </c>
      <c r="T157" s="9">
        <f>IF(16&lt;=核心参数输入!$B$9*4,IF(核心参数输入!$B$64=1,T151,T141),0)</f>
        <v>0</v>
      </c>
      <c r="U157" s="9">
        <f>IF(17&lt;=核心参数输入!$B$9*4,IF(核心参数输入!$B$64=1,U151,U141),0)</f>
        <v>2264.9985411391094</v>
      </c>
      <c r="V157" s="9">
        <f>IF(18&lt;=核心参数输入!$B$9*4,IF(核心参数输入!$B$64=1,V151,V141),0)</f>
        <v>0</v>
      </c>
      <c r="W157" s="9">
        <f>IF(19&lt;=核心参数输入!$B$9*4,IF(核心参数输入!$B$64=1,W151,W141),0)</f>
        <v>0</v>
      </c>
      <c r="X157" s="9">
        <f>IF(20&lt;=核心参数输入!$B$9*4,IF(核心参数输入!$B$64=1,X151,X141),0)</f>
        <v>0</v>
      </c>
      <c r="Y157" s="9">
        <f>IF(21&lt;=核心参数输入!$B$9*4,IF(核心参数输入!$B$64=1,Y151,Y141),0)</f>
        <v>0</v>
      </c>
      <c r="Z157" s="9">
        <f>IF(22&lt;=核心参数输入!$B$9*4,IF(核心参数输入!$B$64=1,Z151,Z141),0)</f>
        <v>0</v>
      </c>
      <c r="AA157" s="9">
        <f>IF(23&lt;=核心参数输入!$B$9*4,IF(核心参数输入!$B$64=1,AA151,AA141),0)</f>
        <v>0</v>
      </c>
      <c r="AB157" s="9">
        <f>IF(24&lt;=核心参数输入!$B$9*4,IF(核心参数输入!$B$64=1,AB151,AB141),0)</f>
        <v>0</v>
      </c>
      <c r="AC157" s="9">
        <f>IF(25&lt;=核心参数输入!$B$9*4,IF(核心参数输入!$B$64=1,AC151,AC141),0)</f>
        <v>0</v>
      </c>
      <c r="AD157" s="9">
        <f>IF(26&lt;=核心参数输入!$B$9*4,IF(核心参数输入!$B$64=1,AD151,AD141),0)</f>
        <v>0</v>
      </c>
      <c r="AE157" s="9">
        <f>IF(27&lt;=核心参数输入!$B$9*4,IF(核心参数输入!$B$64=1,AE151,AE141),0)</f>
        <v>0</v>
      </c>
      <c r="AF157" s="9">
        <f>IF(28&lt;=核心参数输入!$B$9*4,IF(核心参数输入!$B$64=1,AF151,AF141),0)</f>
        <v>0</v>
      </c>
      <c r="AG157" s="9">
        <f>IF(29&lt;=核心参数输入!$B$9*4,IF(核心参数输入!$B$64=1,AG151,AG141),0)</f>
        <v>0</v>
      </c>
      <c r="AH157" s="9">
        <f>IF(30&lt;=核心参数输入!$B$9*4,IF(核心参数输入!$B$64=1,AH151,AH141),0)</f>
        <v>0</v>
      </c>
      <c r="AI157" s="9">
        <f>IF(31&lt;=核心参数输入!$B$9*4,IF(核心参数输入!$B$64=1,AI151,AI141),0)</f>
        <v>0</v>
      </c>
      <c r="AJ157" s="9">
        <f>IF(32&lt;=核心参数输入!$B$9*4,IF(核心参数输入!$B$64=1,AJ151,AJ141),0)</f>
        <v>0</v>
      </c>
      <c r="AK157" s="9">
        <f>IF(33&lt;=核心参数输入!$B$9*4,IF(核心参数输入!$B$64=1,AK151,AK141),0)</f>
        <v>0</v>
      </c>
      <c r="AL157" s="9">
        <f>IF(34&lt;=核心参数输入!$B$9*4,IF(核心参数输入!$B$64=1,AL151,AL141),0)</f>
        <v>0</v>
      </c>
      <c r="AM157" s="9">
        <f>IF(35&lt;=核心参数输入!$B$9*4,IF(核心参数输入!$B$64=1,AM151,AM141),0)</f>
        <v>0</v>
      </c>
      <c r="AN157" s="9">
        <f>IF(36&lt;=核心参数输入!$B$9*4,IF(核心参数输入!$B$64=1,AN151,AN141),0)</f>
        <v>0</v>
      </c>
      <c r="AO157" s="9">
        <f>IF(37&lt;=核心参数输入!$B$9*4,IF(核心参数输入!$B$64=1,AO151,AO141),0)</f>
        <v>0</v>
      </c>
      <c r="AP157" s="9">
        <f>IF(38&lt;=核心参数输入!$B$9*4,IF(核心参数输入!$B$64=1,AP151,AP141),0)</f>
        <v>0</v>
      </c>
      <c r="AQ157" s="9">
        <f>IF(39&lt;=核心参数输入!$B$9*4,IF(核心参数输入!$B$64=1,AQ151,AQ141),0)</f>
        <v>0</v>
      </c>
      <c r="AR157" s="9">
        <f>IF(40&lt;=核心参数输入!$B$9*4,IF(核心参数输入!$B$64=1,AR151,AR141),0)</f>
        <v>0</v>
      </c>
      <c r="AS157" s="9">
        <f>IF(41&lt;=核心参数输入!$B$9*4,IF(核心参数输入!$B$64=1,AS151,AS141),0)</f>
        <v>187.88981403315699</v>
      </c>
      <c r="AT157" s="9">
        <f>IF(42&lt;=核心参数输入!$B$9*4,IF(核心参数输入!$B$64=1,AT151,AT141),0)</f>
        <v>187.88981403315699</v>
      </c>
      <c r="AU157" s="9">
        <f>IF(43&lt;=核心参数输入!$B$9*4,IF(核心参数输入!$B$64=1,AU151,AU141),0)</f>
        <v>187.88981403315699</v>
      </c>
      <c r="AV157" s="9">
        <f>IF(44&lt;=核心参数输入!$B$9*4,IF(核心参数输入!$B$64=1,AV151,AV141),0)</f>
        <v>187.88981403315699</v>
      </c>
      <c r="AW157" s="9">
        <f>IF(45&lt;=核心参数输入!$B$9*4,IF(核心参数输入!$B$64=1,AW151,AW141),0)</f>
        <v>190.95240411828576</v>
      </c>
      <c r="AX157" s="9">
        <f>IF(46&lt;=核心参数输入!$B$9*4,IF(核心参数输入!$B$64=1,AX151,AX141),0)</f>
        <v>190.95240411828576</v>
      </c>
      <c r="AY157" s="9">
        <f>IF(47&lt;=核心参数输入!$B$9*4,IF(核心参数输入!$B$64=1,AY151,AY141),0)</f>
        <v>190.95240411828576</v>
      </c>
      <c r="AZ157" s="9">
        <f>IF(48&lt;=核心参数输入!$B$9*4,IF(核心参数输入!$B$64=1,AZ151,AZ141),0)</f>
        <v>190.95240411828576</v>
      </c>
      <c r="BA157" s="9">
        <f>IF(49&lt;=核心参数输入!$B$9*4,IF(核心参数输入!$B$64=1,BA151,BA141),0)</f>
        <v>194.05231791218421</v>
      </c>
      <c r="BB157" s="9">
        <f>IF(50&lt;=核心参数输入!$B$9*4,IF(核心参数输入!$B$64=1,BB151,BB141),0)</f>
        <v>194.05231791218421</v>
      </c>
      <c r="BC157" s="9">
        <f>IF(51&lt;=核心参数输入!$B$9*4,IF(核心参数输入!$B$64=1,BC151,BC141),0)</f>
        <v>194.05231791218421</v>
      </c>
      <c r="BD157" s="9">
        <f>IF(52&lt;=核心参数输入!$B$9*4,IF(核心参数输入!$B$64=1,BD151,BD141),0)</f>
        <v>194.05231791218421</v>
      </c>
      <c r="BE157" s="9">
        <f>IF(53&lt;=核心参数输入!$B$9*4,IF(核心参数输入!$B$64=1,BE151,BE141),0)</f>
        <v>197.18994296763356</v>
      </c>
      <c r="BF157" s="9">
        <f>IF(54&lt;=核心参数输入!$B$9*4,IF(核心参数输入!$B$64=1,BF151,BF141),0)</f>
        <v>197.18994296763356</v>
      </c>
      <c r="BG157" s="9">
        <f>IF(55&lt;=核心参数输入!$B$9*4,IF(核心参数输入!$B$64=1,BG151,BG141),0)</f>
        <v>197.18994296763356</v>
      </c>
      <c r="BH157" s="9">
        <f>IF(56&lt;=核心参数输入!$B$9*4,IF(核心参数输入!$B$64=1,BH151,BH141),0)</f>
        <v>197.18994296763356</v>
      </c>
      <c r="BI157" s="9">
        <f>IF(57&lt;=核心参数输入!$B$9*4,IF(核心参数输入!$B$64=1,BI151,BI141),0)</f>
        <v>200.36566920464995</v>
      </c>
      <c r="BJ157" s="9">
        <f>IF(58&lt;=核心参数输入!$B$9*4,IF(核心参数输入!$B$64=1,BJ151,BJ141),0)</f>
        <v>200.36566920464995</v>
      </c>
      <c r="BK157" s="9">
        <f>IF(59&lt;=核心参数输入!$B$9*4,IF(核心参数输入!$B$64=1,BK151,BK141),0)</f>
        <v>200.36566920464995</v>
      </c>
      <c r="BL157" s="9">
        <f>IF(60&lt;=核心参数输入!$B$9*4,IF(核心参数输入!$B$64=1,BL151,BL141),0)</f>
        <v>200.36566920464995</v>
      </c>
      <c r="BM157" s="9">
        <f>IF(61&lt;=核心参数输入!$B$9*4,IF(核心参数输入!$B$64=1,BM151,BM141),0)</f>
        <v>203.57988887707162</v>
      </c>
      <c r="BN157" s="9">
        <f>IF(62&lt;=核心参数输入!$B$9*4,IF(核心参数输入!$B$64=1,BN151,BN141),0)</f>
        <v>203.57988887707162</v>
      </c>
      <c r="BO157" s="9">
        <f>IF(63&lt;=核心参数输入!$B$9*4,IF(核心参数输入!$B$64=1,BO151,BO141),0)</f>
        <v>203.57988887707162</v>
      </c>
      <c r="BP157" s="9">
        <f>IF(64&lt;=核心参数输入!$B$9*4,IF(核心参数输入!$B$64=1,BP151,BP141),0)</f>
        <v>203.57988887707162</v>
      </c>
      <c r="BQ157" s="9">
        <f>IF(65&lt;=核心参数输入!$B$9*4,IF(核心参数输入!$B$64=1,BQ151,BQ141),0)</f>
        <v>206.83299653726678</v>
      </c>
      <c r="BR157" s="9">
        <f>IF(66&lt;=核心参数输入!$B$9*4,IF(核心参数输入!$B$64=1,BR151,BR141),0)</f>
        <v>206.83299653726678</v>
      </c>
      <c r="BS157" s="9">
        <f>IF(67&lt;=核心参数输入!$B$9*4,IF(核心参数输入!$B$64=1,BS151,BS141),0)</f>
        <v>206.83299653726678</v>
      </c>
      <c r="BT157" s="9">
        <f>IF(68&lt;=核心参数输入!$B$9*4,IF(核心参数输入!$B$64=1,BT151,BT141),0)</f>
        <v>206.83299653726678</v>
      </c>
      <c r="BU157" s="9">
        <f>IF(69&lt;=核心参数输入!$B$9*4,IF(核心参数输入!$B$64=1,BU151,BU141),0)</f>
        <v>210.12538899890549</v>
      </c>
      <c r="BV157" s="9">
        <f>IF(70&lt;=核心参数输入!$B$9*4,IF(核心参数输入!$B$64=1,BV151,BV141),0)</f>
        <v>210.12538899890549</v>
      </c>
      <c r="BW157" s="9">
        <f>IF(71&lt;=核心参数输入!$B$9*4,IF(核心参数输入!$B$64=1,BW151,BW141),0)</f>
        <v>210.12538899890549</v>
      </c>
      <c r="BX157" s="9">
        <f>IF(72&lt;=核心参数输入!$B$9*4,IF(核心参数输入!$B$64=1,BX151,BX141),0)</f>
        <v>210.12538899890549</v>
      </c>
      <c r="BY157" s="9">
        <f>IF(73&lt;=核心参数输入!$B$9*4,IF(核心参数输入!$B$64=1,BY151,BY141),0)</f>
        <v>213.45746529774047</v>
      </c>
      <c r="BZ157" s="9">
        <f>IF(74&lt;=核心参数输入!$B$9*4,IF(核心参数输入!$B$64=1,BZ151,BZ141),0)</f>
        <v>213.45746529774047</v>
      </c>
      <c r="CA157" s="9">
        <f>IF(75&lt;=核心参数输入!$B$9*4,IF(核心参数输入!$B$64=1,CA151,CA141),0)</f>
        <v>213.45746529774047</v>
      </c>
      <c r="CB157" s="9">
        <f>IF(76&lt;=核心参数输入!$B$9*4,IF(核心参数输入!$B$64=1,CB151,CB141),0)</f>
        <v>213.45746529774047</v>
      </c>
      <c r="CC157" s="9">
        <f>IF(77&lt;=核心参数输入!$B$9*4,IF(核心参数输入!$B$64=1,CC151,CC141),0)</f>
        <v>216.829626650335</v>
      </c>
      <c r="CD157" s="9">
        <f>IF(78&lt;=核心参数输入!$B$9*4,IF(核心参数输入!$B$64=1,CD151,CD141),0)</f>
        <v>216.829626650335</v>
      </c>
      <c r="CE157" s="9">
        <f>IF(79&lt;=核心参数输入!$B$9*4,IF(核心参数输入!$B$64=1,CE151,CE141),0)</f>
        <v>216.829626650335</v>
      </c>
      <c r="CF157" s="9">
        <f>IF(80&lt;=核心参数输入!$B$9*4,IF(核心参数输入!$B$64=1,CF151,CF141),0)</f>
        <v>216.829626650335</v>
      </c>
      <c r="CG157" s="9">
        <f>IF(81&lt;=核心参数输入!$B$9*4,IF(核心参数输入!$B$64=1,CG151,CG141),0)</f>
        <v>0</v>
      </c>
      <c r="CH157" s="9">
        <f>IF(82&lt;=核心参数输入!$B$9*4,IF(核心参数输入!$B$64=1,CH151,CH141),0)</f>
        <v>0</v>
      </c>
      <c r="CI157" s="9">
        <f>IF(83&lt;=核心参数输入!$B$9*4,IF(核心参数输入!$B$64=1,CI151,CI141),0)</f>
        <v>0</v>
      </c>
      <c r="CJ157" s="9">
        <f>IF(84&lt;=核心参数输入!$B$9*4,IF(核心参数输入!$B$64=1,CJ151,CJ141),0)</f>
        <v>0</v>
      </c>
      <c r="CK157" s="9">
        <f>IF(85&lt;=核心参数输入!$B$9*4,IF(核心参数输入!$B$64=1,CK151,CK141),0)</f>
        <v>0</v>
      </c>
      <c r="CL157" s="9">
        <f>IF(86&lt;=核心参数输入!$B$9*4,IF(核心参数输入!$B$64=1,CL151,CL141),0)</f>
        <v>0</v>
      </c>
      <c r="CM157" s="9">
        <f>IF(87&lt;=核心参数输入!$B$9*4,IF(核心参数输入!$B$64=1,CM151,CM141),0)</f>
        <v>0</v>
      </c>
      <c r="CN157" s="9">
        <f>IF(88&lt;=核心参数输入!$B$9*4,IF(核心参数输入!$B$64=1,CN151,CN141),0)</f>
        <v>0</v>
      </c>
      <c r="CO157" s="9">
        <f>IF(89&lt;=核心参数输入!$B$9*4,IF(核心参数输入!$B$64=1,CO151,CO141),0)</f>
        <v>0</v>
      </c>
      <c r="CP157" s="9">
        <f>IF(90&lt;=核心参数输入!$B$9*4,IF(核心参数输入!$B$64=1,CP151,CP141),0)</f>
        <v>0</v>
      </c>
      <c r="CQ157" s="9">
        <f>IF(91&lt;=核心参数输入!$B$9*4,IF(核心参数输入!$B$64=1,CQ151,CQ141),0)</f>
        <v>0</v>
      </c>
      <c r="CR157" s="9">
        <f>IF(92&lt;=核心参数输入!$B$9*4,IF(核心参数输入!$B$64=1,CR151,CR141),0)</f>
        <v>0</v>
      </c>
      <c r="CS157" s="9">
        <f>IF(93&lt;=核心参数输入!$B$9*4,IF(核心参数输入!$B$64=1,CS151,CS141),0)</f>
        <v>0</v>
      </c>
      <c r="CT157" s="9">
        <f>IF(94&lt;=核心参数输入!$B$9*4,IF(核心参数输入!$B$64=1,CT151,CT141),0)</f>
        <v>0</v>
      </c>
      <c r="CU157" s="9">
        <f>IF(95&lt;=核心参数输入!$B$9*4,IF(核心参数输入!$B$64=1,CU151,CU141),0)</f>
        <v>0</v>
      </c>
      <c r="CV157" s="9">
        <f>IF(96&lt;=核心参数输入!$B$9*4,IF(核心参数输入!$B$64=1,CV151,CV141),0)</f>
        <v>0</v>
      </c>
      <c r="CW157" s="9">
        <f>IF(97&lt;=核心参数输入!$B$9*4,IF(核心参数输入!$B$64=1,CW151,CW141),0)</f>
        <v>0</v>
      </c>
      <c r="CX157" s="9">
        <f>IF(98&lt;=核心参数输入!$B$9*4,IF(核心参数输入!$B$64=1,CX151,CX141),0)</f>
        <v>0</v>
      </c>
      <c r="CY157" s="9">
        <f>IF(99&lt;=核心参数输入!$B$9*4,IF(核心参数输入!$B$64=1,CY151,CY141),0)</f>
        <v>0</v>
      </c>
      <c r="CZ157" s="9">
        <f>IF(100&lt;=核心参数输入!$B$9*4,IF(核心参数输入!$B$64=1,CZ151,CZ141),0)</f>
        <v>0</v>
      </c>
      <c r="DA157" s="9">
        <f>IF(101&lt;=核心参数输入!$B$9*4,IF(核心参数输入!$B$64=1,DA151,DA141),0)</f>
        <v>0</v>
      </c>
      <c r="DB157" s="9">
        <f>IF(102&lt;=核心参数输入!$B$9*4,IF(核心参数输入!$B$64=1,DB151,DB141),0)</f>
        <v>0</v>
      </c>
      <c r="DC157" s="9">
        <f>IF(103&lt;=核心参数输入!$B$9*4,IF(核心参数输入!$B$64=1,DC151,DC141),0)</f>
        <v>0</v>
      </c>
      <c r="DD157" s="9">
        <f>IF(104&lt;=核心参数输入!$B$9*4,IF(核心参数输入!$B$64=1,DD151,DD141),0)</f>
        <v>0</v>
      </c>
      <c r="DE157" s="9">
        <f>IF(105&lt;=核心参数输入!$B$9*4,IF(核心参数输入!$B$64=1,DE151,DE141),0)</f>
        <v>0</v>
      </c>
      <c r="DF157" s="9">
        <f>IF(106&lt;=核心参数输入!$B$9*4,IF(核心参数输入!$B$64=1,DF151,DF141),0)</f>
        <v>0</v>
      </c>
      <c r="DG157" s="9">
        <f>IF(107&lt;=核心参数输入!$B$9*4,IF(核心参数输入!$B$64=1,DG151,DG141),0)</f>
        <v>0</v>
      </c>
      <c r="DH157" s="9">
        <f>IF(108&lt;=核心参数输入!$B$9*4,IF(核心参数输入!$B$64=1,DH151,DH141),0)</f>
        <v>0</v>
      </c>
      <c r="DI157" s="9">
        <f>IF(109&lt;=核心参数输入!$B$9*4,IF(核心参数输入!$B$64=1,DI151,DI141),0)</f>
        <v>0</v>
      </c>
      <c r="DJ157" s="9">
        <f>IF(110&lt;=核心参数输入!$B$9*4,IF(核心参数输入!$B$64=1,DJ151,DJ141),0)</f>
        <v>0</v>
      </c>
      <c r="DK157" s="9">
        <f>IF(111&lt;=核心参数输入!$B$9*4,IF(核心参数输入!$B$64=1,DK151,DK141),0)</f>
        <v>0</v>
      </c>
      <c r="DL157" s="9">
        <f>IF(112&lt;=核心参数输入!$B$9*4,IF(核心参数输入!$B$64=1,DL151,DL141),0)</f>
        <v>0</v>
      </c>
      <c r="DM157" s="9">
        <f>IF(113&lt;=核心参数输入!$B$9*4,IF(核心参数输入!$B$64=1,DM151,DM141),0)</f>
        <v>0</v>
      </c>
      <c r="DN157" s="9">
        <f>IF(114&lt;=核心参数输入!$B$9*4,IF(核心参数输入!$B$64=1,DN151,DN141),0)</f>
        <v>0</v>
      </c>
      <c r="DO157" s="9">
        <f>IF(115&lt;=核心参数输入!$B$9*4,IF(核心参数输入!$B$64=1,DO151,DO141),0)</f>
        <v>0</v>
      </c>
      <c r="DP157" s="9">
        <f>IF(116&lt;=核心参数输入!$B$9*4,IF(核心参数输入!$B$64=1,DP151,DP141),0)</f>
        <v>0</v>
      </c>
      <c r="DQ157" s="9">
        <f>IF(117&lt;=核心参数输入!$B$9*4,IF(核心参数输入!$B$64=1,DQ151,DQ141),0)</f>
        <v>0</v>
      </c>
      <c r="DR157" s="9">
        <f>IF(118&lt;=核心参数输入!$B$9*4,IF(核心参数输入!$B$64=1,DR151,DR141),0)</f>
        <v>0</v>
      </c>
      <c r="DS157" s="9">
        <f>IF(119&lt;=核心参数输入!$B$9*4,IF(核心参数输入!$B$64=1,DS151,DS141),0)</f>
        <v>0</v>
      </c>
      <c r="DT157" s="9">
        <f>IF(120&lt;=核心参数输入!$B$9*4,IF(核心参数输入!$B$64=1,DT151,DT141),0)</f>
        <v>0</v>
      </c>
    </row>
    <row r="158" spans="1:124" ht="21" customHeight="1">
      <c r="A158" s="8" t="s">
        <v>540</v>
      </c>
      <c r="B158" s="8" t="s">
        <v>39</v>
      </c>
      <c r="C158" s="8"/>
      <c r="D158" s="9">
        <f>IF(0&lt;=核心参数输入!$B$9*4,IF(核心参数输入!$B$64=1,D145,D135),0)</f>
        <v>30102.000000000007</v>
      </c>
      <c r="E158" s="9">
        <f>IF(1&lt;=核心参数输入!$B$9*4,IF(核心参数输入!$B$64=1,E145,E135),0)</f>
        <v>27974.287500000006</v>
      </c>
      <c r="F158" s="9">
        <f>IF(2&lt;=核心参数输入!$B$9*4,IF(核心参数输入!$B$64=1,F145,F135),0)</f>
        <v>25822.950000000004</v>
      </c>
      <c r="G158" s="9">
        <f>IF(3&lt;=核心参数输入!$B$9*4,IF(核心参数输入!$B$64=1,G145,G135),0)</f>
        <v>23647.987500000003</v>
      </c>
      <c r="H158" s="9">
        <f>IF(4&lt;=核心参数输入!$B$9*4,IF(核心参数输入!$B$64=1,H145,H135),0)</f>
        <v>21449.4</v>
      </c>
      <c r="I158" s="9">
        <f>IF(5&lt;=核心参数输入!$B$9*4,IF(核心参数输入!$B$64=1,I145,I135),0)</f>
        <v>18517.95</v>
      </c>
      <c r="J158" s="9">
        <f>IF(6&lt;=核心参数输入!$B$9*4,IF(核心参数输入!$B$64=1,J145,J135),0)</f>
        <v>15555</v>
      </c>
      <c r="K158" s="9">
        <f>IF(7&lt;=核心参数输入!$B$9*4,IF(核心参数输入!$B$64=1,K145,K135),0)</f>
        <v>12560.55</v>
      </c>
      <c r="L158" s="9">
        <f>IF(8&lt;=核心参数输入!$B$9*4,IF(核心参数输入!$B$64=1,L145,L135),0)</f>
        <v>9534.5999999999985</v>
      </c>
      <c r="M158" s="9">
        <f>IF(9&lt;=核心参数输入!$B$9*4,IF(核心参数输入!$B$64=1,M145,M135),0)</f>
        <v>7186.3874999999989</v>
      </c>
      <c r="N158" s="9">
        <f>IF(10&lt;=核心参数输入!$B$9*4,IF(核心参数输入!$B$64=1,N145,N135),0)</f>
        <v>4814.5499999999993</v>
      </c>
      <c r="O158" s="9">
        <f>IF(11&lt;=核心参数输入!$B$9*4,IF(核心参数输入!$B$64=1,O145,O135),0)</f>
        <v>2419.0874999999996</v>
      </c>
      <c r="P158" s="9">
        <f>IF(12&lt;=核心参数输入!$B$9*4,IF(核心参数输入!$B$64=1,P145,P135),0)</f>
        <v>0</v>
      </c>
      <c r="Q158" s="9">
        <f>IF(13&lt;=核心参数输入!$B$9*4,IF(核心参数输入!$B$64=1,Q145,Q135),0)</f>
        <v>0</v>
      </c>
      <c r="R158" s="9">
        <f>IF(14&lt;=核心参数输入!$B$9*4,IF(核心参数输入!$B$64=1,R145,R135),0)</f>
        <v>0</v>
      </c>
      <c r="S158" s="9">
        <f>IF(15&lt;=核心参数输入!$B$9*4,IF(核心参数输入!$B$64=1,S145,S135),0)</f>
        <v>1692.723284539285</v>
      </c>
      <c r="T158" s="9">
        <f>IF(16&lt;=核心参数输入!$B$9*4,IF(核心参数输入!$B$64=1,T145,T135),0)</f>
        <v>0</v>
      </c>
      <c r="U158" s="9">
        <f>IF(17&lt;=核心参数输入!$B$9*4,IF(核心参数输入!$B$64=1,U145,U135),0)</f>
        <v>1032.9262538743155</v>
      </c>
      <c r="V158" s="9">
        <f>IF(18&lt;=核心参数输入!$B$9*4,IF(核心参数输入!$B$64=1,V145,V135),0)</f>
        <v>4683.9769871049029</v>
      </c>
      <c r="W158" s="9">
        <f>IF(19&lt;=核心参数输入!$B$9*4,IF(核心参数输入!$B$64=1,W145,W135),0)</f>
        <v>8353.2637624802646</v>
      </c>
      <c r="X158" s="9">
        <f>IF(20&lt;=核心参数输入!$B$9*4,IF(核心参数输入!$B$64=1,X145,X135),0)</f>
        <v>7777.5722942861175</v>
      </c>
      <c r="Y158" s="9">
        <f>IF(21&lt;=核心参数输入!$B$9*4,IF(核心参数输入!$B$64=1,Y145,Y135),0)</f>
        <v>10883.832652471003</v>
      </c>
      <c r="Z158" s="9">
        <f>IF(22&lt;=核心参数输入!$B$9*4,IF(核心参数输入!$B$64=1,Z145,Z135),0)</f>
        <v>13680.517020585718</v>
      </c>
      <c r="AA158" s="9">
        <f>IF(23&lt;=核心参数输入!$B$9*4,IF(核心参数输入!$B$64=1,AA145,AA135),0)</f>
        <v>16491.083575783141</v>
      </c>
      <c r="AB158" s="9">
        <f>IF(24&lt;=核心参数输入!$B$9*4,IF(核心参数输入!$B$64=1,AB145,AB135),0)</f>
        <v>15052.318032348991</v>
      </c>
      <c r="AC158" s="9">
        <f>IF(25&lt;=核心参数输入!$B$9*4,IF(核心参数输入!$B$64=1,AC145,AC135),0)</f>
        <v>15999.806245183529</v>
      </c>
      <c r="AD158" s="9">
        <f>IF(26&lt;=核心参数输入!$B$9*4,IF(核心参数输入!$B$64=1,AD145,AD135),0)</f>
        <v>15979.372446277366</v>
      </c>
      <c r="AE158" s="9">
        <f>IF(27&lt;=核心参数输入!$B$9*4,IF(核心参数输入!$B$64=1,AE145,AE135),0)</f>
        <v>15963.635454000854</v>
      </c>
      <c r="AF158" s="9">
        <f>IF(28&lt;=核心参数输入!$B$9*4,IF(核心参数输入!$B$64=1,AF145,AF135),0)</f>
        <v>11689.380982639706</v>
      </c>
      <c r="AG158" s="9">
        <f>IF(29&lt;=核心参数输入!$B$9*4,IF(核心参数输入!$B$64=1,AG145,AG135),0)</f>
        <v>11730.919499937236</v>
      </c>
      <c r="AH158" s="9">
        <f>IF(30&lt;=核心参数输入!$B$9*4,IF(核心参数输入!$B$64=1,AH145,AH135),0)</f>
        <v>11774.841646599312</v>
      </c>
      <c r="AI158" s="9">
        <f>IF(31&lt;=核心参数输入!$B$9*4,IF(核心参数输入!$B$64=1,AI145,AI135),0)</f>
        <v>11818.763793261389</v>
      </c>
      <c r="AJ158" s="9">
        <f>IF(32&lt;=核心参数输入!$B$9*4,IF(核心参数输入!$B$64=1,AJ145,AJ135),0)</f>
        <v>7599.471654209181</v>
      </c>
      <c r="AK158" s="9">
        <f>IF(33&lt;=核心参数输入!$B$9*4,IF(核心参数输入!$B$64=1,AK145,AK135),0)</f>
        <v>7691.3467210111894</v>
      </c>
      <c r="AL158" s="9">
        <f>IF(34&lt;=核心参数输入!$B$9*4,IF(核心参数输入!$B$64=1,AL145,AL135),0)</f>
        <v>7783.2217878131978</v>
      </c>
      <c r="AM158" s="9">
        <f>IF(35&lt;=核心参数输入!$B$9*4,IF(核心参数输入!$B$64=1,AM145,AM135),0)</f>
        <v>7875.0968546152062</v>
      </c>
      <c r="AN158" s="9">
        <f>IF(36&lt;=核心参数输入!$B$9*4,IF(核心参数输入!$B$64=1,AN145,AN135),0)</f>
        <v>3703.7576357029293</v>
      </c>
      <c r="AO158" s="9">
        <f>IF(37&lt;=核心参数输入!$B$9*4,IF(核心参数输入!$B$64=1,AO145,AO135),0)</f>
        <v>3843.6217982057678</v>
      </c>
      <c r="AP158" s="9">
        <f>IF(38&lt;=核心参数输入!$B$9*4,IF(核心参数输入!$B$64=1,AP145,AP135),0)</f>
        <v>3983.4859607086064</v>
      </c>
      <c r="AQ158" s="9">
        <f>IF(39&lt;=核心参数输入!$B$9*4,IF(核心参数输入!$B$64=1,AQ145,AQ135),0)</f>
        <v>4123.350123211445</v>
      </c>
      <c r="AR158" s="9">
        <f>IF(40&lt;=核心参数输入!$B$9*4,IF(核心参数输入!$B$64=1,AR145,AR135),0)</f>
        <v>0</v>
      </c>
      <c r="AS158" s="9">
        <f>IF(41&lt;=核心参数输入!$B$9*4,IF(核心参数输入!$B$64=1,AS145,AS135),0)</f>
        <v>0</v>
      </c>
      <c r="AT158" s="9">
        <f>IF(42&lt;=核心参数输入!$B$9*4,IF(核心参数输入!$B$64=1,AT145,AT135),0)</f>
        <v>0</v>
      </c>
      <c r="AU158" s="9">
        <f>IF(43&lt;=核心参数输入!$B$9*4,IF(核心参数输入!$B$64=1,AU145,AU135),0)</f>
        <v>0</v>
      </c>
      <c r="AV158" s="9">
        <f>IF(44&lt;=核心参数输入!$B$9*4,IF(核心参数输入!$B$64=1,AV145,AV135),0)</f>
        <v>0</v>
      </c>
      <c r="AW158" s="9">
        <f>IF(45&lt;=核心参数输入!$B$9*4,IF(核心参数输入!$B$64=1,AW145,AW135),0)</f>
        <v>0</v>
      </c>
      <c r="AX158" s="9">
        <f>IF(46&lt;=核心参数输入!$B$9*4,IF(核心参数输入!$B$64=1,AX145,AX135),0)</f>
        <v>0</v>
      </c>
      <c r="AY158" s="9">
        <f>IF(47&lt;=核心参数输入!$B$9*4,IF(核心参数输入!$B$64=1,AY145,AY135),0)</f>
        <v>0</v>
      </c>
      <c r="AZ158" s="9">
        <f>IF(48&lt;=核心参数输入!$B$9*4,IF(核心参数输入!$B$64=1,AZ145,AZ135),0)</f>
        <v>0</v>
      </c>
      <c r="BA158" s="9">
        <f>IF(49&lt;=核心参数输入!$B$9*4,IF(核心参数输入!$B$64=1,BA145,BA135),0)</f>
        <v>0</v>
      </c>
      <c r="BB158" s="9">
        <f>IF(50&lt;=核心参数输入!$B$9*4,IF(核心参数输入!$B$64=1,BB145,BB135),0)</f>
        <v>0</v>
      </c>
      <c r="BC158" s="9">
        <f>IF(51&lt;=核心参数输入!$B$9*4,IF(核心参数输入!$B$64=1,BC145,BC135),0)</f>
        <v>0</v>
      </c>
      <c r="BD158" s="9">
        <f>IF(52&lt;=核心参数输入!$B$9*4,IF(核心参数输入!$B$64=1,BD145,BD135),0)</f>
        <v>0</v>
      </c>
      <c r="BE158" s="9">
        <f>IF(53&lt;=核心参数输入!$B$9*4,IF(核心参数输入!$B$64=1,BE145,BE135),0)</f>
        <v>0</v>
      </c>
      <c r="BF158" s="9">
        <f>IF(54&lt;=核心参数输入!$B$9*4,IF(核心参数输入!$B$64=1,BF145,BF135),0)</f>
        <v>0</v>
      </c>
      <c r="BG158" s="9">
        <f>IF(55&lt;=核心参数输入!$B$9*4,IF(核心参数输入!$B$64=1,BG145,BG135),0)</f>
        <v>0</v>
      </c>
      <c r="BH158" s="9">
        <f>IF(56&lt;=核心参数输入!$B$9*4,IF(核心参数输入!$B$64=1,BH145,BH135),0)</f>
        <v>0</v>
      </c>
      <c r="BI158" s="9">
        <f>IF(57&lt;=核心参数输入!$B$9*4,IF(核心参数输入!$B$64=1,BI145,BI135),0)</f>
        <v>0</v>
      </c>
      <c r="BJ158" s="9">
        <f>IF(58&lt;=核心参数输入!$B$9*4,IF(核心参数输入!$B$64=1,BJ145,BJ135),0)</f>
        <v>0</v>
      </c>
      <c r="BK158" s="9">
        <f>IF(59&lt;=核心参数输入!$B$9*4,IF(核心参数输入!$B$64=1,BK145,BK135),0)</f>
        <v>0</v>
      </c>
      <c r="BL158" s="9">
        <f>IF(60&lt;=核心参数输入!$B$9*4,IF(核心参数输入!$B$64=1,BL145,BL135),0)</f>
        <v>0</v>
      </c>
      <c r="BM158" s="9">
        <f>IF(61&lt;=核心参数输入!$B$9*4,IF(核心参数输入!$B$64=1,BM145,BM135),0)</f>
        <v>0</v>
      </c>
      <c r="BN158" s="9">
        <f>IF(62&lt;=核心参数输入!$B$9*4,IF(核心参数输入!$B$64=1,BN145,BN135),0)</f>
        <v>0</v>
      </c>
      <c r="BO158" s="9">
        <f>IF(63&lt;=核心参数输入!$B$9*4,IF(核心参数输入!$B$64=1,BO145,BO135),0)</f>
        <v>0</v>
      </c>
      <c r="BP158" s="9">
        <f>IF(64&lt;=核心参数输入!$B$9*4,IF(核心参数输入!$B$64=1,BP145,BP135),0)</f>
        <v>0</v>
      </c>
      <c r="BQ158" s="9">
        <f>IF(65&lt;=核心参数输入!$B$9*4,IF(核心参数输入!$B$64=1,BQ145,BQ135),0)</f>
        <v>0</v>
      </c>
      <c r="BR158" s="9">
        <f>IF(66&lt;=核心参数输入!$B$9*4,IF(核心参数输入!$B$64=1,BR145,BR135),0)</f>
        <v>0</v>
      </c>
      <c r="BS158" s="9">
        <f>IF(67&lt;=核心参数输入!$B$9*4,IF(核心参数输入!$B$64=1,BS145,BS135),0)</f>
        <v>0</v>
      </c>
      <c r="BT158" s="9">
        <f>IF(68&lt;=核心参数输入!$B$9*4,IF(核心参数输入!$B$64=1,BT145,BT135),0)</f>
        <v>0</v>
      </c>
      <c r="BU158" s="9">
        <f>IF(69&lt;=核心参数输入!$B$9*4,IF(核心参数输入!$B$64=1,BU145,BU135),0)</f>
        <v>0</v>
      </c>
      <c r="BV158" s="9">
        <f>IF(70&lt;=核心参数输入!$B$9*4,IF(核心参数输入!$B$64=1,BV145,BV135),0)</f>
        <v>0</v>
      </c>
      <c r="BW158" s="9">
        <f>IF(71&lt;=核心参数输入!$B$9*4,IF(核心参数输入!$B$64=1,BW145,BW135),0)</f>
        <v>0</v>
      </c>
      <c r="BX158" s="9">
        <f>IF(72&lt;=核心参数输入!$B$9*4,IF(核心参数输入!$B$64=1,BX145,BX135),0)</f>
        <v>0</v>
      </c>
      <c r="BY158" s="9">
        <f>IF(73&lt;=核心参数输入!$B$9*4,IF(核心参数输入!$B$64=1,BY145,BY135),0)</f>
        <v>0</v>
      </c>
      <c r="BZ158" s="9">
        <f>IF(74&lt;=核心参数输入!$B$9*4,IF(核心参数输入!$B$64=1,BZ145,BZ135),0)</f>
        <v>0</v>
      </c>
      <c r="CA158" s="9">
        <f>IF(75&lt;=核心参数输入!$B$9*4,IF(核心参数输入!$B$64=1,CA145,CA135),0)</f>
        <v>0</v>
      </c>
      <c r="CB158" s="9">
        <f>IF(76&lt;=核心参数输入!$B$9*4,IF(核心参数输入!$B$64=1,CB145,CB135),0)</f>
        <v>0</v>
      </c>
      <c r="CC158" s="9">
        <f>IF(77&lt;=核心参数输入!$B$9*4,IF(核心参数输入!$B$64=1,CC145,CC135),0)</f>
        <v>0</v>
      </c>
      <c r="CD158" s="9">
        <f>IF(78&lt;=核心参数输入!$B$9*4,IF(核心参数输入!$B$64=1,CD145,CD135),0)</f>
        <v>0</v>
      </c>
      <c r="CE158" s="9">
        <f>IF(79&lt;=核心参数输入!$B$9*4,IF(核心参数输入!$B$64=1,CE145,CE135),0)</f>
        <v>0</v>
      </c>
      <c r="CF158" s="9">
        <f>IF(80&lt;=核心参数输入!$B$9*4,IF(核心参数输入!$B$64=1,CF145,CF135),0)</f>
        <v>0</v>
      </c>
      <c r="CG158" s="9">
        <f>IF(81&lt;=核心参数输入!$B$9*4,IF(核心参数输入!$B$64=1,CG145,CG135),0)</f>
        <v>0</v>
      </c>
      <c r="CH158" s="9">
        <f>IF(82&lt;=核心参数输入!$B$9*4,IF(核心参数输入!$B$64=1,CH145,CH135),0)</f>
        <v>0</v>
      </c>
      <c r="CI158" s="9">
        <f>IF(83&lt;=核心参数输入!$B$9*4,IF(核心参数输入!$B$64=1,CI145,CI135),0)</f>
        <v>0</v>
      </c>
      <c r="CJ158" s="9">
        <f>IF(84&lt;=核心参数输入!$B$9*4,IF(核心参数输入!$B$64=1,CJ145,CJ135),0)</f>
        <v>0</v>
      </c>
      <c r="CK158" s="9">
        <f>IF(85&lt;=核心参数输入!$B$9*4,IF(核心参数输入!$B$64=1,CK145,CK135),0)</f>
        <v>0</v>
      </c>
      <c r="CL158" s="9">
        <f>IF(86&lt;=核心参数输入!$B$9*4,IF(核心参数输入!$B$64=1,CL145,CL135),0)</f>
        <v>0</v>
      </c>
      <c r="CM158" s="9">
        <f>IF(87&lt;=核心参数输入!$B$9*4,IF(核心参数输入!$B$64=1,CM145,CM135),0)</f>
        <v>0</v>
      </c>
      <c r="CN158" s="9">
        <f>IF(88&lt;=核心参数输入!$B$9*4,IF(核心参数输入!$B$64=1,CN145,CN135),0)</f>
        <v>0</v>
      </c>
      <c r="CO158" s="9">
        <f>IF(89&lt;=核心参数输入!$B$9*4,IF(核心参数输入!$B$64=1,CO145,CO135),0)</f>
        <v>0</v>
      </c>
      <c r="CP158" s="9">
        <f>IF(90&lt;=核心参数输入!$B$9*4,IF(核心参数输入!$B$64=1,CP145,CP135),0)</f>
        <v>0</v>
      </c>
      <c r="CQ158" s="9">
        <f>IF(91&lt;=核心参数输入!$B$9*4,IF(核心参数输入!$B$64=1,CQ145,CQ135),0)</f>
        <v>0</v>
      </c>
      <c r="CR158" s="9">
        <f>IF(92&lt;=核心参数输入!$B$9*4,IF(核心参数输入!$B$64=1,CR145,CR135),0)</f>
        <v>0</v>
      </c>
      <c r="CS158" s="9">
        <f>IF(93&lt;=核心参数输入!$B$9*4,IF(核心参数输入!$B$64=1,CS145,CS135),0)</f>
        <v>0</v>
      </c>
      <c r="CT158" s="9">
        <f>IF(94&lt;=核心参数输入!$B$9*4,IF(核心参数输入!$B$64=1,CT145,CT135),0)</f>
        <v>0</v>
      </c>
      <c r="CU158" s="9">
        <f>IF(95&lt;=核心参数输入!$B$9*4,IF(核心参数输入!$B$64=1,CU145,CU135),0)</f>
        <v>0</v>
      </c>
      <c r="CV158" s="9">
        <f>IF(96&lt;=核心参数输入!$B$9*4,IF(核心参数输入!$B$64=1,CV145,CV135),0)</f>
        <v>0</v>
      </c>
      <c r="CW158" s="9">
        <f>IF(97&lt;=核心参数输入!$B$9*4,IF(核心参数输入!$B$64=1,CW145,CW135),0)</f>
        <v>0</v>
      </c>
      <c r="CX158" s="9">
        <f>IF(98&lt;=核心参数输入!$B$9*4,IF(核心参数输入!$B$64=1,CX145,CX135),0)</f>
        <v>0</v>
      </c>
      <c r="CY158" s="9">
        <f>IF(99&lt;=核心参数输入!$B$9*4,IF(核心参数输入!$B$64=1,CY145,CY135),0)</f>
        <v>0</v>
      </c>
      <c r="CZ158" s="9">
        <f>IF(100&lt;=核心参数输入!$B$9*4,IF(核心参数输入!$B$64=1,CZ145,CZ135),0)</f>
        <v>0</v>
      </c>
      <c r="DA158" s="9">
        <f>IF(101&lt;=核心参数输入!$B$9*4,IF(核心参数输入!$B$64=1,DA145,DA135),0)</f>
        <v>0</v>
      </c>
      <c r="DB158" s="9">
        <f>IF(102&lt;=核心参数输入!$B$9*4,IF(核心参数输入!$B$64=1,DB145,DB135),0)</f>
        <v>0</v>
      </c>
      <c r="DC158" s="9">
        <f>IF(103&lt;=核心参数输入!$B$9*4,IF(核心参数输入!$B$64=1,DC145,DC135),0)</f>
        <v>0</v>
      </c>
      <c r="DD158" s="9">
        <f>IF(104&lt;=核心参数输入!$B$9*4,IF(核心参数输入!$B$64=1,DD145,DD135),0)</f>
        <v>0</v>
      </c>
      <c r="DE158" s="9">
        <f>IF(105&lt;=核心参数输入!$B$9*4,IF(核心参数输入!$B$64=1,DE145,DE135),0)</f>
        <v>0</v>
      </c>
      <c r="DF158" s="9">
        <f>IF(106&lt;=核心参数输入!$B$9*4,IF(核心参数输入!$B$64=1,DF145,DF135),0)</f>
        <v>0</v>
      </c>
      <c r="DG158" s="9">
        <f>IF(107&lt;=核心参数输入!$B$9*4,IF(核心参数输入!$B$64=1,DG145,DG135),0)</f>
        <v>0</v>
      </c>
      <c r="DH158" s="9">
        <f>IF(108&lt;=核心参数输入!$B$9*4,IF(核心参数输入!$B$64=1,DH145,DH135),0)</f>
        <v>0</v>
      </c>
      <c r="DI158" s="9">
        <f>IF(109&lt;=核心参数输入!$B$9*4,IF(核心参数输入!$B$64=1,DI145,DI135),0)</f>
        <v>0</v>
      </c>
      <c r="DJ158" s="9">
        <f>IF(110&lt;=核心参数输入!$B$9*4,IF(核心参数输入!$B$64=1,DJ145,DJ135),0)</f>
        <v>0</v>
      </c>
      <c r="DK158" s="9">
        <f>IF(111&lt;=核心参数输入!$B$9*4,IF(核心参数输入!$B$64=1,DK145,DK135),0)</f>
        <v>0</v>
      </c>
      <c r="DL158" s="9">
        <f>IF(112&lt;=核心参数输入!$B$9*4,IF(核心参数输入!$B$64=1,DL145,DL135),0)</f>
        <v>0</v>
      </c>
      <c r="DM158" s="9">
        <f>IF(113&lt;=核心参数输入!$B$9*4,IF(核心参数输入!$B$64=1,DM145,DM135),0)</f>
        <v>0</v>
      </c>
      <c r="DN158" s="9">
        <f>IF(114&lt;=核心参数输入!$B$9*4,IF(核心参数输入!$B$64=1,DN145,DN135),0)</f>
        <v>0</v>
      </c>
      <c r="DO158" s="9">
        <f>IF(115&lt;=核心参数输入!$B$9*4,IF(核心参数输入!$B$64=1,DO145,DO135),0)</f>
        <v>0</v>
      </c>
      <c r="DP158" s="9">
        <f>IF(116&lt;=核心参数输入!$B$9*4,IF(核心参数输入!$B$64=1,DP145,DP135),0)</f>
        <v>0</v>
      </c>
      <c r="DQ158" s="9">
        <f>IF(117&lt;=核心参数输入!$B$9*4,IF(核心参数输入!$B$64=1,DQ145,DQ135),0)</f>
        <v>0</v>
      </c>
      <c r="DR158" s="9">
        <f>IF(118&lt;=核心参数输入!$B$9*4,IF(核心参数输入!$B$64=1,DR145,DR135),0)</f>
        <v>0</v>
      </c>
      <c r="DS158" s="9">
        <f>IF(119&lt;=核心参数输入!$B$9*4,IF(核心参数输入!$B$64=1,DS145,DS135),0)</f>
        <v>0</v>
      </c>
      <c r="DT158" s="9">
        <f>IF(120&lt;=核心参数输入!$B$9*4,IF(核心参数输入!$B$64=1,DT145,DT135),0)</f>
        <v>0</v>
      </c>
    </row>
    <row r="159" spans="1:124" ht="21" customHeight="1">
      <c r="A159" s="8" t="s">
        <v>541</v>
      </c>
      <c r="B159" s="8" t="s">
        <v>39</v>
      </c>
      <c r="C159" s="8"/>
      <c r="D159" s="9">
        <f>IF(0&lt;=核心参数输入!$B$9*4,IF(核心参数输入!$B$64=1,D147,D137),0)</f>
        <v>8000</v>
      </c>
      <c r="E159" s="9">
        <f>IF(1&lt;=核心参数输入!$B$9*4,IF(核心参数输入!$B$64=1,E147,E137),0)</f>
        <v>2127.7124999999996</v>
      </c>
      <c r="F159" s="9">
        <f>IF(2&lt;=核心参数输入!$B$9*4,IF(核心参数输入!$B$64=1,F147,F137),0)</f>
        <v>2151.3374999999996</v>
      </c>
      <c r="G159" s="9">
        <f>IF(3&lt;=核心参数输入!$B$9*4,IF(核心参数输入!$B$64=1,G147,G137),0)</f>
        <v>2174.9624999999996</v>
      </c>
      <c r="H159" s="9">
        <f>IF(4&lt;=核心参数输入!$B$9*4,IF(核心参数输入!$B$64=1,H147,H137),0)</f>
        <v>2198.5874999999996</v>
      </c>
      <c r="I159" s="9">
        <f>IF(5&lt;=核心参数输入!$B$9*4,IF(核心参数输入!$B$64=1,I147,I137),0)</f>
        <v>2931.4500000000007</v>
      </c>
      <c r="J159" s="9">
        <f>IF(6&lt;=核心参数输入!$B$9*4,IF(核心参数输入!$B$64=1,J147,J137),0)</f>
        <v>2962.9500000000007</v>
      </c>
      <c r="K159" s="9">
        <f>IF(7&lt;=核心参数输入!$B$9*4,IF(核心参数输入!$B$64=1,K147,K137),0)</f>
        <v>2994.4500000000007</v>
      </c>
      <c r="L159" s="9">
        <f>IF(8&lt;=核心参数输入!$B$9*4,IF(核心参数输入!$B$64=1,L147,L137),0)</f>
        <v>3025.9500000000007</v>
      </c>
      <c r="M159" s="9">
        <f>IF(9&lt;=核心参数输入!$B$9*4,IF(核心参数输入!$B$64=1,M147,M137),0)</f>
        <v>2348.2124999999996</v>
      </c>
      <c r="N159" s="9">
        <f>IF(10&lt;=核心参数输入!$B$9*4,IF(核心参数输入!$B$64=1,N147,N137),0)</f>
        <v>2371.8374999999996</v>
      </c>
      <c r="O159" s="9">
        <f>IF(11&lt;=核心参数输入!$B$9*4,IF(核心参数输入!$B$64=1,O147,O137),0)</f>
        <v>2395.4624999999996</v>
      </c>
      <c r="P159" s="9">
        <f>IF(12&lt;=核心参数输入!$B$9*4,IF(核心参数输入!$B$64=1,P147,P137),0)</f>
        <v>2419.0874999999996</v>
      </c>
      <c r="Q159" s="9">
        <f>IF(13&lt;=核心参数输入!$B$9*4,IF(核心参数输入!$B$64=1,Q147,Q137),0)</f>
        <v>0</v>
      </c>
      <c r="R159" s="9">
        <f>IF(14&lt;=核心参数输入!$B$9*4,IF(核心参数输入!$B$64=1,R147,R137),0)</f>
        <v>0</v>
      </c>
      <c r="S159" s="9">
        <f>IF(15&lt;=核心参数输入!$B$9*4,IF(核心参数输入!$B$64=1,S147,S137),0)</f>
        <v>0</v>
      </c>
      <c r="T159" s="9">
        <f>IF(16&lt;=核心参数输入!$B$9*4,IF(核心参数输入!$B$64=1,T147,T137),0)</f>
        <v>0</v>
      </c>
      <c r="U159" s="9">
        <f>IF(17&lt;=核心参数输入!$B$9*4,IF(核心参数输入!$B$64=1,U147,U137),0)</f>
        <v>0</v>
      </c>
      <c r="V159" s="9">
        <f>IF(18&lt;=核心参数输入!$B$9*4,IF(核心参数输入!$B$64=1,V147,V137),0)</f>
        <v>0</v>
      </c>
      <c r="W159" s="9">
        <f>IF(19&lt;=核心参数输入!$B$9*4,IF(核心参数输入!$B$64=1,W147,W137),0)</f>
        <v>0</v>
      </c>
      <c r="X159" s="9">
        <f>IF(20&lt;=核心参数输入!$B$9*4,IF(核心参数输入!$B$64=1,X147,X137),0)</f>
        <v>0</v>
      </c>
      <c r="Y159" s="9">
        <f>IF(21&lt;=核心参数输入!$B$9*4,IF(核心参数输入!$B$64=1,Y147,Y137),0)</f>
        <v>0</v>
      </c>
      <c r="Z159" s="9">
        <f>IF(22&lt;=核心参数输入!$B$9*4,IF(核心参数输入!$B$64=1,Z147,Z137),0)</f>
        <v>0</v>
      </c>
      <c r="AA159" s="9">
        <f>IF(23&lt;=核心参数输入!$B$9*4,IF(核心参数输入!$B$64=1,AA147,AA137),0)</f>
        <v>0</v>
      </c>
      <c r="AB159" s="9">
        <f>IF(24&lt;=核心参数输入!$B$9*4,IF(核心参数输入!$B$64=1,AB147,AB137),0)</f>
        <v>0</v>
      </c>
      <c r="AC159" s="9">
        <f>IF(25&lt;=核心参数输入!$B$9*4,IF(核心参数输入!$B$64=1,AC147,AC137),0)</f>
        <v>0</v>
      </c>
      <c r="AD159" s="9">
        <f>IF(26&lt;=核心参数输入!$B$9*4,IF(核心参数输入!$B$64=1,AD147,AD137),0)</f>
        <v>0</v>
      </c>
      <c r="AE159" s="9">
        <f>IF(27&lt;=核心参数输入!$B$9*4,IF(核心参数输入!$B$64=1,AE147,AE137),0)</f>
        <v>0</v>
      </c>
      <c r="AF159" s="9">
        <f>IF(28&lt;=核心参数输入!$B$9*4,IF(核心参数输入!$B$64=1,AF147,AF137),0)</f>
        <v>0</v>
      </c>
      <c r="AG159" s="9">
        <f>IF(29&lt;=核心参数输入!$B$9*4,IF(核心参数输入!$B$64=1,AG147,AG137),0)</f>
        <v>0</v>
      </c>
      <c r="AH159" s="9">
        <f>IF(30&lt;=核心参数输入!$B$9*4,IF(核心参数输入!$B$64=1,AH147,AH137),0)</f>
        <v>0</v>
      </c>
      <c r="AI159" s="9">
        <f>IF(31&lt;=核心参数输入!$B$9*4,IF(核心参数输入!$B$64=1,AI147,AI137),0)</f>
        <v>0</v>
      </c>
      <c r="AJ159" s="9">
        <f>IF(32&lt;=核心参数输入!$B$9*4,IF(核心参数输入!$B$64=1,AJ147,AJ137),0)</f>
        <v>0</v>
      </c>
      <c r="AK159" s="9">
        <f>IF(33&lt;=核心参数输入!$B$9*4,IF(核心参数输入!$B$64=1,AK147,AK137),0)</f>
        <v>0</v>
      </c>
      <c r="AL159" s="9">
        <f>IF(34&lt;=核心参数输入!$B$9*4,IF(核心参数输入!$B$64=1,AL147,AL137),0)</f>
        <v>0</v>
      </c>
      <c r="AM159" s="9">
        <f>IF(35&lt;=核心参数输入!$B$9*4,IF(核心参数输入!$B$64=1,AM147,AM137),0)</f>
        <v>0</v>
      </c>
      <c r="AN159" s="9">
        <f>IF(36&lt;=核心参数输入!$B$9*4,IF(核心参数输入!$B$64=1,AN147,AN137),0)</f>
        <v>0</v>
      </c>
      <c r="AO159" s="9">
        <f>IF(37&lt;=核心参数输入!$B$9*4,IF(核心参数输入!$B$64=1,AO147,AO137),0)</f>
        <v>0</v>
      </c>
      <c r="AP159" s="9">
        <f>IF(38&lt;=核心参数输入!$B$9*4,IF(核心参数输入!$B$64=1,AP147,AP137),0)</f>
        <v>0</v>
      </c>
      <c r="AQ159" s="9">
        <f>IF(39&lt;=核心参数输入!$B$9*4,IF(核心参数输入!$B$64=1,AQ147,AQ137),0)</f>
        <v>0</v>
      </c>
      <c r="AR159" s="9">
        <f>IF(40&lt;=核心参数输入!$B$9*4,IF(核心参数输入!$B$64=1,AR147,AR137),0)</f>
        <v>0</v>
      </c>
      <c r="AS159" s="9">
        <f>IF(41&lt;=核心参数输入!$B$9*4,IF(核心参数输入!$B$64=1,AS147,AS137),0)</f>
        <v>0</v>
      </c>
      <c r="AT159" s="9">
        <f>IF(42&lt;=核心参数输入!$B$9*4,IF(核心参数输入!$B$64=1,AT147,AT137),0)</f>
        <v>0</v>
      </c>
      <c r="AU159" s="9">
        <f>IF(43&lt;=核心参数输入!$B$9*4,IF(核心参数输入!$B$64=1,AU147,AU137),0)</f>
        <v>0</v>
      </c>
      <c r="AV159" s="9">
        <f>IF(44&lt;=核心参数输入!$B$9*4,IF(核心参数输入!$B$64=1,AV147,AV137),0)</f>
        <v>0</v>
      </c>
      <c r="AW159" s="9">
        <f>IF(45&lt;=核心参数输入!$B$9*4,IF(核心参数输入!$B$64=1,AW147,AW137),0)</f>
        <v>0</v>
      </c>
      <c r="AX159" s="9">
        <f>IF(46&lt;=核心参数输入!$B$9*4,IF(核心参数输入!$B$64=1,AX147,AX137),0)</f>
        <v>0</v>
      </c>
      <c r="AY159" s="9">
        <f>IF(47&lt;=核心参数输入!$B$9*4,IF(核心参数输入!$B$64=1,AY147,AY137),0)</f>
        <v>0</v>
      </c>
      <c r="AZ159" s="9">
        <f>IF(48&lt;=核心参数输入!$B$9*4,IF(核心参数输入!$B$64=1,AZ147,AZ137),0)</f>
        <v>0</v>
      </c>
      <c r="BA159" s="9">
        <f>IF(49&lt;=核心参数输入!$B$9*4,IF(核心参数输入!$B$64=1,BA147,BA137),0)</f>
        <v>0</v>
      </c>
      <c r="BB159" s="9">
        <f>IF(50&lt;=核心参数输入!$B$9*4,IF(核心参数输入!$B$64=1,BB147,BB137),0)</f>
        <v>0</v>
      </c>
      <c r="BC159" s="9">
        <f>IF(51&lt;=核心参数输入!$B$9*4,IF(核心参数输入!$B$64=1,BC147,BC137),0)</f>
        <v>0</v>
      </c>
      <c r="BD159" s="9">
        <f>IF(52&lt;=核心参数输入!$B$9*4,IF(核心参数输入!$B$64=1,BD147,BD137),0)</f>
        <v>0</v>
      </c>
      <c r="BE159" s="9">
        <f>IF(53&lt;=核心参数输入!$B$9*4,IF(核心参数输入!$B$64=1,BE147,BE137),0)</f>
        <v>0</v>
      </c>
      <c r="BF159" s="9">
        <f>IF(54&lt;=核心参数输入!$B$9*4,IF(核心参数输入!$B$64=1,BF147,BF137),0)</f>
        <v>0</v>
      </c>
      <c r="BG159" s="9">
        <f>IF(55&lt;=核心参数输入!$B$9*4,IF(核心参数输入!$B$64=1,BG147,BG137),0)</f>
        <v>0</v>
      </c>
      <c r="BH159" s="9">
        <f>IF(56&lt;=核心参数输入!$B$9*4,IF(核心参数输入!$B$64=1,BH147,BH137),0)</f>
        <v>0</v>
      </c>
      <c r="BI159" s="9">
        <f>IF(57&lt;=核心参数输入!$B$9*4,IF(核心参数输入!$B$64=1,BI147,BI137),0)</f>
        <v>0</v>
      </c>
      <c r="BJ159" s="9">
        <f>IF(58&lt;=核心参数输入!$B$9*4,IF(核心参数输入!$B$64=1,BJ147,BJ137),0)</f>
        <v>0</v>
      </c>
      <c r="BK159" s="9">
        <f>IF(59&lt;=核心参数输入!$B$9*4,IF(核心参数输入!$B$64=1,BK147,BK137),0)</f>
        <v>0</v>
      </c>
      <c r="BL159" s="9">
        <f>IF(60&lt;=核心参数输入!$B$9*4,IF(核心参数输入!$B$64=1,BL147,BL137),0)</f>
        <v>0</v>
      </c>
      <c r="BM159" s="9">
        <f>IF(61&lt;=核心参数输入!$B$9*4,IF(核心参数输入!$B$64=1,BM147,BM137),0)</f>
        <v>0</v>
      </c>
      <c r="BN159" s="9">
        <f>IF(62&lt;=核心参数输入!$B$9*4,IF(核心参数输入!$B$64=1,BN147,BN137),0)</f>
        <v>0</v>
      </c>
      <c r="BO159" s="9">
        <f>IF(63&lt;=核心参数输入!$B$9*4,IF(核心参数输入!$B$64=1,BO147,BO137),0)</f>
        <v>0</v>
      </c>
      <c r="BP159" s="9">
        <f>IF(64&lt;=核心参数输入!$B$9*4,IF(核心参数输入!$B$64=1,BP147,BP137),0)</f>
        <v>0</v>
      </c>
      <c r="BQ159" s="9">
        <f>IF(65&lt;=核心参数输入!$B$9*4,IF(核心参数输入!$B$64=1,BQ147,BQ137),0)</f>
        <v>0</v>
      </c>
      <c r="BR159" s="9">
        <f>IF(66&lt;=核心参数输入!$B$9*4,IF(核心参数输入!$B$64=1,BR147,BR137),0)</f>
        <v>0</v>
      </c>
      <c r="BS159" s="9">
        <f>IF(67&lt;=核心参数输入!$B$9*4,IF(核心参数输入!$B$64=1,BS147,BS137),0)</f>
        <v>0</v>
      </c>
      <c r="BT159" s="9">
        <f>IF(68&lt;=核心参数输入!$B$9*4,IF(核心参数输入!$B$64=1,BT147,BT137),0)</f>
        <v>0</v>
      </c>
      <c r="BU159" s="9">
        <f>IF(69&lt;=核心参数输入!$B$9*4,IF(核心参数输入!$B$64=1,BU147,BU137),0)</f>
        <v>0</v>
      </c>
      <c r="BV159" s="9">
        <f>IF(70&lt;=核心参数输入!$B$9*4,IF(核心参数输入!$B$64=1,BV147,BV137),0)</f>
        <v>0</v>
      </c>
      <c r="BW159" s="9">
        <f>IF(71&lt;=核心参数输入!$B$9*4,IF(核心参数输入!$B$64=1,BW147,BW137),0)</f>
        <v>0</v>
      </c>
      <c r="BX159" s="9">
        <f>IF(72&lt;=核心参数输入!$B$9*4,IF(核心参数输入!$B$64=1,BX147,BX137),0)</f>
        <v>0</v>
      </c>
      <c r="BY159" s="9">
        <f>IF(73&lt;=核心参数输入!$B$9*4,IF(核心参数输入!$B$64=1,BY147,BY137),0)</f>
        <v>0</v>
      </c>
      <c r="BZ159" s="9">
        <f>IF(74&lt;=核心参数输入!$B$9*4,IF(核心参数输入!$B$64=1,BZ147,BZ137),0)</f>
        <v>0</v>
      </c>
      <c r="CA159" s="9">
        <f>IF(75&lt;=核心参数输入!$B$9*4,IF(核心参数输入!$B$64=1,CA147,CA137),0)</f>
        <v>0</v>
      </c>
      <c r="CB159" s="9">
        <f>IF(76&lt;=核心参数输入!$B$9*4,IF(核心参数输入!$B$64=1,CB147,CB137),0)</f>
        <v>0</v>
      </c>
      <c r="CC159" s="9">
        <f>IF(77&lt;=核心参数输入!$B$9*4,IF(核心参数输入!$B$64=1,CC147,CC137),0)</f>
        <v>0</v>
      </c>
      <c r="CD159" s="9">
        <f>IF(78&lt;=核心参数输入!$B$9*4,IF(核心参数输入!$B$64=1,CD147,CD137),0)</f>
        <v>0</v>
      </c>
      <c r="CE159" s="9">
        <f>IF(79&lt;=核心参数输入!$B$9*4,IF(核心参数输入!$B$64=1,CE147,CE137),0)</f>
        <v>0</v>
      </c>
      <c r="CF159" s="9">
        <f>IF(80&lt;=核心参数输入!$B$9*4,IF(核心参数输入!$B$64=1,CF147,CF137),0)</f>
        <v>0</v>
      </c>
      <c r="CG159" s="9">
        <f>IF(81&lt;=核心参数输入!$B$9*4,IF(核心参数输入!$B$64=1,CG147,CG137),0)</f>
        <v>0</v>
      </c>
      <c r="CH159" s="9">
        <f>IF(82&lt;=核心参数输入!$B$9*4,IF(核心参数输入!$B$64=1,CH147,CH137),0)</f>
        <v>0</v>
      </c>
      <c r="CI159" s="9">
        <f>IF(83&lt;=核心参数输入!$B$9*4,IF(核心参数输入!$B$64=1,CI147,CI137),0)</f>
        <v>0</v>
      </c>
      <c r="CJ159" s="9">
        <f>IF(84&lt;=核心参数输入!$B$9*4,IF(核心参数输入!$B$64=1,CJ147,CJ137),0)</f>
        <v>0</v>
      </c>
      <c r="CK159" s="9">
        <f>IF(85&lt;=核心参数输入!$B$9*4,IF(核心参数输入!$B$64=1,CK147,CK137),0)</f>
        <v>0</v>
      </c>
      <c r="CL159" s="9">
        <f>IF(86&lt;=核心参数输入!$B$9*4,IF(核心参数输入!$B$64=1,CL147,CL137),0)</f>
        <v>0</v>
      </c>
      <c r="CM159" s="9">
        <f>IF(87&lt;=核心参数输入!$B$9*4,IF(核心参数输入!$B$64=1,CM147,CM137),0)</f>
        <v>0</v>
      </c>
      <c r="CN159" s="9">
        <f>IF(88&lt;=核心参数输入!$B$9*4,IF(核心参数输入!$B$64=1,CN147,CN137),0)</f>
        <v>0</v>
      </c>
      <c r="CO159" s="9">
        <f>IF(89&lt;=核心参数输入!$B$9*4,IF(核心参数输入!$B$64=1,CO147,CO137),0)</f>
        <v>0</v>
      </c>
      <c r="CP159" s="9">
        <f>IF(90&lt;=核心参数输入!$B$9*4,IF(核心参数输入!$B$64=1,CP147,CP137),0)</f>
        <v>0</v>
      </c>
      <c r="CQ159" s="9">
        <f>IF(91&lt;=核心参数输入!$B$9*4,IF(核心参数输入!$B$64=1,CQ147,CQ137),0)</f>
        <v>0</v>
      </c>
      <c r="CR159" s="9">
        <f>IF(92&lt;=核心参数输入!$B$9*4,IF(核心参数输入!$B$64=1,CR147,CR137),0)</f>
        <v>0</v>
      </c>
      <c r="CS159" s="9">
        <f>IF(93&lt;=核心参数输入!$B$9*4,IF(核心参数输入!$B$64=1,CS147,CS137),0)</f>
        <v>0</v>
      </c>
      <c r="CT159" s="9">
        <f>IF(94&lt;=核心参数输入!$B$9*4,IF(核心参数输入!$B$64=1,CT147,CT137),0)</f>
        <v>0</v>
      </c>
      <c r="CU159" s="9">
        <f>IF(95&lt;=核心参数输入!$B$9*4,IF(核心参数输入!$B$64=1,CU147,CU137),0)</f>
        <v>0</v>
      </c>
      <c r="CV159" s="9">
        <f>IF(96&lt;=核心参数输入!$B$9*4,IF(核心参数输入!$B$64=1,CV147,CV137),0)</f>
        <v>0</v>
      </c>
      <c r="CW159" s="9">
        <f>IF(97&lt;=核心参数输入!$B$9*4,IF(核心参数输入!$B$64=1,CW147,CW137),0)</f>
        <v>0</v>
      </c>
      <c r="CX159" s="9">
        <f>IF(98&lt;=核心参数输入!$B$9*4,IF(核心参数输入!$B$64=1,CX147,CX137),0)</f>
        <v>0</v>
      </c>
      <c r="CY159" s="9">
        <f>IF(99&lt;=核心参数输入!$B$9*4,IF(核心参数输入!$B$64=1,CY147,CY137),0)</f>
        <v>0</v>
      </c>
      <c r="CZ159" s="9">
        <f>IF(100&lt;=核心参数输入!$B$9*4,IF(核心参数输入!$B$64=1,CZ147,CZ137),0)</f>
        <v>0</v>
      </c>
      <c r="DA159" s="9">
        <f>IF(101&lt;=核心参数输入!$B$9*4,IF(核心参数输入!$B$64=1,DA147,DA137),0)</f>
        <v>0</v>
      </c>
      <c r="DB159" s="9">
        <f>IF(102&lt;=核心参数输入!$B$9*4,IF(核心参数输入!$B$64=1,DB147,DB137),0)</f>
        <v>0</v>
      </c>
      <c r="DC159" s="9">
        <f>IF(103&lt;=核心参数输入!$B$9*4,IF(核心参数输入!$B$64=1,DC147,DC137),0)</f>
        <v>0</v>
      </c>
      <c r="DD159" s="9">
        <f>IF(104&lt;=核心参数输入!$B$9*4,IF(核心参数输入!$B$64=1,DD147,DD137),0)</f>
        <v>0</v>
      </c>
      <c r="DE159" s="9">
        <f>IF(105&lt;=核心参数输入!$B$9*4,IF(核心参数输入!$B$64=1,DE147,DE137),0)</f>
        <v>0</v>
      </c>
      <c r="DF159" s="9">
        <f>IF(106&lt;=核心参数输入!$B$9*4,IF(核心参数输入!$B$64=1,DF147,DF137),0)</f>
        <v>0</v>
      </c>
      <c r="DG159" s="9">
        <f>IF(107&lt;=核心参数输入!$B$9*4,IF(核心参数输入!$B$64=1,DG147,DG137),0)</f>
        <v>0</v>
      </c>
      <c r="DH159" s="9">
        <f>IF(108&lt;=核心参数输入!$B$9*4,IF(核心参数输入!$B$64=1,DH147,DH137),0)</f>
        <v>0</v>
      </c>
      <c r="DI159" s="9">
        <f>IF(109&lt;=核心参数输入!$B$9*4,IF(核心参数输入!$B$64=1,DI147,DI137),0)</f>
        <v>0</v>
      </c>
      <c r="DJ159" s="9">
        <f>IF(110&lt;=核心参数输入!$B$9*4,IF(核心参数输入!$B$64=1,DJ147,DJ137),0)</f>
        <v>0</v>
      </c>
      <c r="DK159" s="9">
        <f>IF(111&lt;=核心参数输入!$B$9*4,IF(核心参数输入!$B$64=1,DK147,DK137),0)</f>
        <v>0</v>
      </c>
      <c r="DL159" s="9">
        <f>IF(112&lt;=核心参数输入!$B$9*4,IF(核心参数输入!$B$64=1,DL147,DL137),0)</f>
        <v>0</v>
      </c>
      <c r="DM159" s="9">
        <f>IF(113&lt;=核心参数输入!$B$9*4,IF(核心参数输入!$B$64=1,DM147,DM137),0)</f>
        <v>0</v>
      </c>
      <c r="DN159" s="9">
        <f>IF(114&lt;=核心参数输入!$B$9*4,IF(核心参数输入!$B$64=1,DN147,DN137),0)</f>
        <v>0</v>
      </c>
      <c r="DO159" s="9">
        <f>IF(115&lt;=核心参数输入!$B$9*4,IF(核心参数输入!$B$64=1,DO147,DO137),0)</f>
        <v>0</v>
      </c>
      <c r="DP159" s="9">
        <f>IF(116&lt;=核心参数输入!$B$9*4,IF(核心参数输入!$B$64=1,DP147,DP137),0)</f>
        <v>0</v>
      </c>
      <c r="DQ159" s="9">
        <f>IF(117&lt;=核心参数输入!$B$9*4,IF(核心参数输入!$B$64=1,DQ147,DQ137),0)</f>
        <v>0</v>
      </c>
      <c r="DR159" s="9">
        <f>IF(118&lt;=核心参数输入!$B$9*4,IF(核心参数输入!$B$64=1,DR147,DR137),0)</f>
        <v>0</v>
      </c>
      <c r="DS159" s="9">
        <f>IF(119&lt;=核心参数输入!$B$9*4,IF(核心参数输入!$B$64=1,DS147,DS137),0)</f>
        <v>0</v>
      </c>
      <c r="DT159" s="9">
        <f>IF(120&lt;=核心参数输入!$B$9*4,IF(核心参数输入!$B$64=1,DT147,DT137),0)</f>
        <v>0</v>
      </c>
    </row>
    <row r="160" spans="1:124" ht="21" customHeight="1">
      <c r="A160" s="8" t="s">
        <v>542</v>
      </c>
      <c r="B160" s="8" t="s">
        <v>39</v>
      </c>
      <c r="C160" s="8"/>
      <c r="D160" s="9">
        <f>IF(0&lt;=核心参数输入!$B$9*4,IF(核心参数输入!$B$64=1,D148,D138),0)</f>
        <v>0</v>
      </c>
      <c r="E160" s="9">
        <f>IF(1&lt;=核心参数输入!$B$9*4,IF(核心参数输入!$B$64=1,E148,E138),0)</f>
        <v>0</v>
      </c>
      <c r="F160" s="9">
        <f>IF(2&lt;=核心参数输入!$B$9*4,IF(核心参数输入!$B$64=1,F148,F138),0)</f>
        <v>0</v>
      </c>
      <c r="G160" s="9">
        <f>IF(3&lt;=核心参数输入!$B$9*4,IF(核心参数输入!$B$64=1,G148,G138),0)</f>
        <v>0</v>
      </c>
      <c r="H160" s="9">
        <f>IF(4&lt;=核心参数输入!$B$9*4,IF(核心参数输入!$B$64=1,H148,H138),0)</f>
        <v>0</v>
      </c>
      <c r="I160" s="9">
        <f>IF(5&lt;=核心参数输入!$B$9*4,IF(核心参数输入!$B$64=1,I148,I138),0)</f>
        <v>0</v>
      </c>
      <c r="J160" s="9">
        <f>IF(6&lt;=核心参数输入!$B$9*4,IF(核心参数输入!$B$64=1,J148,J138),0)</f>
        <v>0</v>
      </c>
      <c r="K160" s="9">
        <f>IF(7&lt;=核心参数输入!$B$9*4,IF(核心参数输入!$B$64=1,K148,K138),0)</f>
        <v>0</v>
      </c>
      <c r="L160" s="9">
        <f>IF(8&lt;=核心参数输入!$B$9*4,IF(核心参数输入!$B$64=1,L148,L138),0)</f>
        <v>0</v>
      </c>
      <c r="M160" s="9">
        <f>IF(9&lt;=核心参数输入!$B$9*4,IF(核心参数输入!$B$64=1,M148,M138),0)</f>
        <v>0</v>
      </c>
      <c r="N160" s="9">
        <f>IF(10&lt;=核心参数输入!$B$9*4,IF(核心参数输入!$B$64=1,N148,N138),0)</f>
        <v>0</v>
      </c>
      <c r="O160" s="9">
        <f>IF(11&lt;=核心参数输入!$B$9*4,IF(核心参数输入!$B$64=1,O148,O138),0)</f>
        <v>0</v>
      </c>
      <c r="P160" s="9">
        <f>IF(12&lt;=核心参数输入!$B$9*4,IF(核心参数输入!$B$64=1,P148,P138),0)</f>
        <v>0</v>
      </c>
      <c r="Q160" s="9">
        <f>IF(13&lt;=核心参数输入!$B$9*4,IF(核心参数输入!$B$64=1,Q148,Q138),0)</f>
        <v>1003.3426562499999</v>
      </c>
      <c r="R160" s="9">
        <f>IF(14&lt;=核心参数输入!$B$9*4,IF(核心参数输入!$B$64=1,R148,R138),0)</f>
        <v>2498.6248252350001</v>
      </c>
      <c r="S160" s="9">
        <f>IF(15&lt;=核心参数输入!$B$9*4,IF(核心参数输入!$B$64=1,S148,S138),0)</f>
        <v>841.83462866571563</v>
      </c>
      <c r="T160" s="9">
        <f>IF(16&lt;=核心参数输入!$B$9*4,IF(核心参数输入!$B$64=1,T148,T138),0)</f>
        <v>0</v>
      </c>
      <c r="U160" s="9">
        <f>IF(17&lt;=核心参数输入!$B$9*4,IF(核心参数输入!$B$64=1,U148,U138),0)</f>
        <v>2264.9985411391094</v>
      </c>
      <c r="V160" s="9">
        <f>IF(18&lt;=核心参数输入!$B$9*4,IF(核心参数输入!$B$64=1,V148,V138),0)</f>
        <v>0</v>
      </c>
      <c r="W160" s="9">
        <f>IF(19&lt;=核心参数输入!$B$9*4,IF(核心参数输入!$B$64=1,W148,W138),0)</f>
        <v>0</v>
      </c>
      <c r="X160" s="9">
        <f>IF(20&lt;=核心参数输入!$B$9*4,IF(核心参数输入!$B$64=1,X148,X138),0)</f>
        <v>0</v>
      </c>
      <c r="Y160" s="9">
        <f>IF(21&lt;=核心参数输入!$B$9*4,IF(核心参数输入!$B$64=1,Y148,Y138),0)</f>
        <v>0</v>
      </c>
      <c r="Z160" s="9">
        <f>IF(22&lt;=核心参数输入!$B$9*4,IF(核心参数输入!$B$64=1,Z148,Z138),0)</f>
        <v>0</v>
      </c>
      <c r="AA160" s="9">
        <f>IF(23&lt;=核心参数输入!$B$9*4,IF(核心参数输入!$B$64=1,AA148,AA138),0)</f>
        <v>0</v>
      </c>
      <c r="AB160" s="9">
        <f>IF(24&lt;=核心参数输入!$B$9*4,IF(核心参数输入!$B$64=1,AB148,AB138),0)</f>
        <v>0</v>
      </c>
      <c r="AC160" s="9">
        <f>IF(25&lt;=核心参数输入!$B$9*4,IF(核心参数输入!$B$64=1,AC148,AC138),0)</f>
        <v>0</v>
      </c>
      <c r="AD160" s="9">
        <f>IF(26&lt;=核心参数输入!$B$9*4,IF(核心参数输入!$B$64=1,AD148,AD138),0)</f>
        <v>0</v>
      </c>
      <c r="AE160" s="9">
        <f>IF(27&lt;=核心参数输入!$B$9*4,IF(核心参数输入!$B$64=1,AE148,AE138),0)</f>
        <v>0</v>
      </c>
      <c r="AF160" s="9">
        <f>IF(28&lt;=核心参数输入!$B$9*4,IF(核心参数输入!$B$64=1,AF148,AF138),0)</f>
        <v>0</v>
      </c>
      <c r="AG160" s="9">
        <f>IF(29&lt;=核心参数输入!$B$9*4,IF(核心参数输入!$B$64=1,AG148,AG138),0)</f>
        <v>0</v>
      </c>
      <c r="AH160" s="9">
        <f>IF(30&lt;=核心参数输入!$B$9*4,IF(核心参数输入!$B$64=1,AH148,AH138),0)</f>
        <v>0</v>
      </c>
      <c r="AI160" s="9">
        <f>IF(31&lt;=核心参数输入!$B$9*4,IF(核心参数输入!$B$64=1,AI148,AI138),0)</f>
        <v>0</v>
      </c>
      <c r="AJ160" s="9">
        <f>IF(32&lt;=核心参数输入!$B$9*4,IF(核心参数输入!$B$64=1,AJ148,AJ138),0)</f>
        <v>0</v>
      </c>
      <c r="AK160" s="9">
        <f>IF(33&lt;=核心参数输入!$B$9*4,IF(核心参数输入!$B$64=1,AK148,AK138),0)</f>
        <v>0</v>
      </c>
      <c r="AL160" s="9">
        <f>IF(34&lt;=核心参数输入!$B$9*4,IF(核心参数输入!$B$64=1,AL148,AL138),0)</f>
        <v>0</v>
      </c>
      <c r="AM160" s="9">
        <f>IF(35&lt;=核心参数输入!$B$9*4,IF(核心参数输入!$B$64=1,AM148,AM138),0)</f>
        <v>0</v>
      </c>
      <c r="AN160" s="9">
        <f>IF(36&lt;=核心参数输入!$B$9*4,IF(核心参数输入!$B$64=1,AN148,AN138),0)</f>
        <v>0</v>
      </c>
      <c r="AO160" s="9">
        <f>IF(37&lt;=核心参数输入!$B$9*4,IF(核心参数输入!$B$64=1,AO148,AO138),0)</f>
        <v>0</v>
      </c>
      <c r="AP160" s="9">
        <f>IF(38&lt;=核心参数输入!$B$9*4,IF(核心参数输入!$B$64=1,AP148,AP138),0)</f>
        <v>0</v>
      </c>
      <c r="AQ160" s="9">
        <f>IF(39&lt;=核心参数输入!$B$9*4,IF(核心参数输入!$B$64=1,AQ148,AQ138),0)</f>
        <v>0</v>
      </c>
      <c r="AR160" s="9">
        <f>IF(40&lt;=核心参数输入!$B$9*4,IF(核心参数输入!$B$64=1,AR148,AR138),0)</f>
        <v>0</v>
      </c>
      <c r="AS160" s="9">
        <f>IF(41&lt;=核心参数输入!$B$9*4,IF(核心参数输入!$B$64=1,AS148,AS138),0)</f>
        <v>187.88981403315699</v>
      </c>
      <c r="AT160" s="9">
        <f>IF(42&lt;=核心参数输入!$B$9*4,IF(核心参数输入!$B$64=1,AT148,AT138),0)</f>
        <v>187.88981403315699</v>
      </c>
      <c r="AU160" s="9">
        <f>IF(43&lt;=核心参数输入!$B$9*4,IF(核心参数输入!$B$64=1,AU148,AU138),0)</f>
        <v>187.88981403315699</v>
      </c>
      <c r="AV160" s="9">
        <f>IF(44&lt;=核心参数输入!$B$9*4,IF(核心参数输入!$B$64=1,AV148,AV138),0)</f>
        <v>187.88981403315699</v>
      </c>
      <c r="AW160" s="9">
        <f>IF(45&lt;=核心参数输入!$B$9*4,IF(核心参数输入!$B$64=1,AW148,AW138),0)</f>
        <v>190.95240411828576</v>
      </c>
      <c r="AX160" s="9">
        <f>IF(46&lt;=核心参数输入!$B$9*4,IF(核心参数输入!$B$64=1,AX148,AX138),0)</f>
        <v>190.95240411828576</v>
      </c>
      <c r="AY160" s="9">
        <f>IF(47&lt;=核心参数输入!$B$9*4,IF(核心参数输入!$B$64=1,AY148,AY138),0)</f>
        <v>190.95240411828576</v>
      </c>
      <c r="AZ160" s="9">
        <f>IF(48&lt;=核心参数输入!$B$9*4,IF(核心参数输入!$B$64=1,AZ148,AZ138),0)</f>
        <v>190.95240411828576</v>
      </c>
      <c r="BA160" s="9">
        <f>IF(49&lt;=核心参数输入!$B$9*4,IF(核心参数输入!$B$64=1,BA148,BA138),0)</f>
        <v>194.05231791218421</v>
      </c>
      <c r="BB160" s="9">
        <f>IF(50&lt;=核心参数输入!$B$9*4,IF(核心参数输入!$B$64=1,BB148,BB138),0)</f>
        <v>194.05231791218421</v>
      </c>
      <c r="BC160" s="9">
        <f>IF(51&lt;=核心参数输入!$B$9*4,IF(核心参数输入!$B$64=1,BC148,BC138),0)</f>
        <v>194.05231791218421</v>
      </c>
      <c r="BD160" s="9">
        <f>IF(52&lt;=核心参数输入!$B$9*4,IF(核心参数输入!$B$64=1,BD148,BD138),0)</f>
        <v>194.05231791218421</v>
      </c>
      <c r="BE160" s="9">
        <f>IF(53&lt;=核心参数输入!$B$9*4,IF(核心参数输入!$B$64=1,BE148,BE138),0)</f>
        <v>197.18994296763356</v>
      </c>
      <c r="BF160" s="9">
        <f>IF(54&lt;=核心参数输入!$B$9*4,IF(核心参数输入!$B$64=1,BF148,BF138),0)</f>
        <v>197.18994296763356</v>
      </c>
      <c r="BG160" s="9">
        <f>IF(55&lt;=核心参数输入!$B$9*4,IF(核心参数输入!$B$64=1,BG148,BG138),0)</f>
        <v>197.18994296763356</v>
      </c>
      <c r="BH160" s="9">
        <f>IF(56&lt;=核心参数输入!$B$9*4,IF(核心参数输入!$B$64=1,BH148,BH138),0)</f>
        <v>197.18994296763356</v>
      </c>
      <c r="BI160" s="9">
        <f>IF(57&lt;=核心参数输入!$B$9*4,IF(核心参数输入!$B$64=1,BI148,BI138),0)</f>
        <v>200.36566920464995</v>
      </c>
      <c r="BJ160" s="9">
        <f>IF(58&lt;=核心参数输入!$B$9*4,IF(核心参数输入!$B$64=1,BJ148,BJ138),0)</f>
        <v>200.36566920464995</v>
      </c>
      <c r="BK160" s="9">
        <f>IF(59&lt;=核心参数输入!$B$9*4,IF(核心参数输入!$B$64=1,BK148,BK138),0)</f>
        <v>200.36566920464995</v>
      </c>
      <c r="BL160" s="9">
        <f>IF(60&lt;=核心参数输入!$B$9*4,IF(核心参数输入!$B$64=1,BL148,BL138),0)</f>
        <v>200.36566920464995</v>
      </c>
      <c r="BM160" s="9">
        <f>IF(61&lt;=核心参数输入!$B$9*4,IF(核心参数输入!$B$64=1,BM148,BM138),0)</f>
        <v>203.57988887707162</v>
      </c>
      <c r="BN160" s="9">
        <f>IF(62&lt;=核心参数输入!$B$9*4,IF(核心参数输入!$B$64=1,BN148,BN138),0)</f>
        <v>203.57988887707162</v>
      </c>
      <c r="BO160" s="9">
        <f>IF(63&lt;=核心参数输入!$B$9*4,IF(核心参数输入!$B$64=1,BO148,BO138),0)</f>
        <v>203.57988887707162</v>
      </c>
      <c r="BP160" s="9">
        <f>IF(64&lt;=核心参数输入!$B$9*4,IF(核心参数输入!$B$64=1,BP148,BP138),0)</f>
        <v>203.57988887707162</v>
      </c>
      <c r="BQ160" s="9">
        <f>IF(65&lt;=核心参数输入!$B$9*4,IF(核心参数输入!$B$64=1,BQ148,BQ138),0)</f>
        <v>206.83299653726678</v>
      </c>
      <c r="BR160" s="9">
        <f>IF(66&lt;=核心参数输入!$B$9*4,IF(核心参数输入!$B$64=1,BR148,BR138),0)</f>
        <v>206.83299653726678</v>
      </c>
      <c r="BS160" s="9">
        <f>IF(67&lt;=核心参数输入!$B$9*4,IF(核心参数输入!$B$64=1,BS148,BS138),0)</f>
        <v>206.83299653726678</v>
      </c>
      <c r="BT160" s="9">
        <f>IF(68&lt;=核心参数输入!$B$9*4,IF(核心参数输入!$B$64=1,BT148,BT138),0)</f>
        <v>206.83299653726678</v>
      </c>
      <c r="BU160" s="9">
        <f>IF(69&lt;=核心参数输入!$B$9*4,IF(核心参数输入!$B$64=1,BU148,BU138),0)</f>
        <v>210.12538899890549</v>
      </c>
      <c r="BV160" s="9">
        <f>IF(70&lt;=核心参数输入!$B$9*4,IF(核心参数输入!$B$64=1,BV148,BV138),0)</f>
        <v>210.12538899890549</v>
      </c>
      <c r="BW160" s="9">
        <f>IF(71&lt;=核心参数输入!$B$9*4,IF(核心参数输入!$B$64=1,BW148,BW138),0)</f>
        <v>210.12538899890549</v>
      </c>
      <c r="BX160" s="9">
        <f>IF(72&lt;=核心参数输入!$B$9*4,IF(核心参数输入!$B$64=1,BX148,BX138),0)</f>
        <v>210.12538899890549</v>
      </c>
      <c r="BY160" s="9">
        <f>IF(73&lt;=核心参数输入!$B$9*4,IF(核心参数输入!$B$64=1,BY148,BY138),0)</f>
        <v>213.45746529774047</v>
      </c>
      <c r="BZ160" s="9">
        <f>IF(74&lt;=核心参数输入!$B$9*4,IF(核心参数输入!$B$64=1,BZ148,BZ138),0)</f>
        <v>213.45746529774047</v>
      </c>
      <c r="CA160" s="9">
        <f>IF(75&lt;=核心参数输入!$B$9*4,IF(核心参数输入!$B$64=1,CA148,CA138),0)</f>
        <v>213.45746529774047</v>
      </c>
      <c r="CB160" s="9">
        <f>IF(76&lt;=核心参数输入!$B$9*4,IF(核心参数输入!$B$64=1,CB148,CB138),0)</f>
        <v>213.45746529774047</v>
      </c>
      <c r="CC160" s="9">
        <f>IF(77&lt;=核心参数输入!$B$9*4,IF(核心参数输入!$B$64=1,CC148,CC138),0)</f>
        <v>216.829626650335</v>
      </c>
      <c r="CD160" s="9">
        <f>IF(78&lt;=核心参数输入!$B$9*4,IF(核心参数输入!$B$64=1,CD148,CD138),0)</f>
        <v>216.829626650335</v>
      </c>
      <c r="CE160" s="9">
        <f>IF(79&lt;=核心参数输入!$B$9*4,IF(核心参数输入!$B$64=1,CE148,CE138),0)</f>
        <v>216.829626650335</v>
      </c>
      <c r="CF160" s="9">
        <f>IF(80&lt;=核心参数输入!$B$9*4,IF(核心参数输入!$B$64=1,CF148,CF138),0)</f>
        <v>216.829626650335</v>
      </c>
      <c r="CG160" s="9">
        <f>IF(81&lt;=核心参数输入!$B$9*4,IF(核心参数输入!$B$64=1,CG148,CG138),0)</f>
        <v>0</v>
      </c>
      <c r="CH160" s="9">
        <f>IF(82&lt;=核心参数输入!$B$9*4,IF(核心参数输入!$B$64=1,CH148,CH138),0)</f>
        <v>0</v>
      </c>
      <c r="CI160" s="9">
        <f>IF(83&lt;=核心参数输入!$B$9*4,IF(核心参数输入!$B$64=1,CI148,CI138),0)</f>
        <v>0</v>
      </c>
      <c r="CJ160" s="9">
        <f>IF(84&lt;=核心参数输入!$B$9*4,IF(核心参数输入!$B$64=1,CJ148,CJ138),0)</f>
        <v>0</v>
      </c>
      <c r="CK160" s="9">
        <f>IF(85&lt;=核心参数输入!$B$9*4,IF(核心参数输入!$B$64=1,CK148,CK138),0)</f>
        <v>0</v>
      </c>
      <c r="CL160" s="9">
        <f>IF(86&lt;=核心参数输入!$B$9*4,IF(核心参数输入!$B$64=1,CL148,CL138),0)</f>
        <v>0</v>
      </c>
      <c r="CM160" s="9">
        <f>IF(87&lt;=核心参数输入!$B$9*4,IF(核心参数输入!$B$64=1,CM148,CM138),0)</f>
        <v>0</v>
      </c>
      <c r="CN160" s="9">
        <f>IF(88&lt;=核心参数输入!$B$9*4,IF(核心参数输入!$B$64=1,CN148,CN138),0)</f>
        <v>0</v>
      </c>
      <c r="CO160" s="9">
        <f>IF(89&lt;=核心参数输入!$B$9*4,IF(核心参数输入!$B$64=1,CO148,CO138),0)</f>
        <v>0</v>
      </c>
      <c r="CP160" s="9">
        <f>IF(90&lt;=核心参数输入!$B$9*4,IF(核心参数输入!$B$64=1,CP148,CP138),0)</f>
        <v>0</v>
      </c>
      <c r="CQ160" s="9">
        <f>IF(91&lt;=核心参数输入!$B$9*4,IF(核心参数输入!$B$64=1,CQ148,CQ138),0)</f>
        <v>0</v>
      </c>
      <c r="CR160" s="9">
        <f>IF(92&lt;=核心参数输入!$B$9*4,IF(核心参数输入!$B$64=1,CR148,CR138),0)</f>
        <v>0</v>
      </c>
      <c r="CS160" s="9">
        <f>IF(93&lt;=核心参数输入!$B$9*4,IF(核心参数输入!$B$64=1,CS148,CS138),0)</f>
        <v>0</v>
      </c>
      <c r="CT160" s="9">
        <f>IF(94&lt;=核心参数输入!$B$9*4,IF(核心参数输入!$B$64=1,CT148,CT138),0)</f>
        <v>0</v>
      </c>
      <c r="CU160" s="9">
        <f>IF(95&lt;=核心参数输入!$B$9*4,IF(核心参数输入!$B$64=1,CU148,CU138),0)</f>
        <v>0</v>
      </c>
      <c r="CV160" s="9">
        <f>IF(96&lt;=核心参数输入!$B$9*4,IF(核心参数输入!$B$64=1,CV148,CV138),0)</f>
        <v>0</v>
      </c>
      <c r="CW160" s="9">
        <f>IF(97&lt;=核心参数输入!$B$9*4,IF(核心参数输入!$B$64=1,CW148,CW138),0)</f>
        <v>0</v>
      </c>
      <c r="CX160" s="9">
        <f>IF(98&lt;=核心参数输入!$B$9*4,IF(核心参数输入!$B$64=1,CX148,CX138),0)</f>
        <v>0</v>
      </c>
      <c r="CY160" s="9">
        <f>IF(99&lt;=核心参数输入!$B$9*4,IF(核心参数输入!$B$64=1,CY148,CY138),0)</f>
        <v>0</v>
      </c>
      <c r="CZ160" s="9">
        <f>IF(100&lt;=核心参数输入!$B$9*4,IF(核心参数输入!$B$64=1,CZ148,CZ138),0)</f>
        <v>0</v>
      </c>
      <c r="DA160" s="9">
        <f>IF(101&lt;=核心参数输入!$B$9*4,IF(核心参数输入!$B$64=1,DA148,DA138),0)</f>
        <v>0</v>
      </c>
      <c r="DB160" s="9">
        <f>IF(102&lt;=核心参数输入!$B$9*4,IF(核心参数输入!$B$64=1,DB148,DB138),0)</f>
        <v>0</v>
      </c>
      <c r="DC160" s="9">
        <f>IF(103&lt;=核心参数输入!$B$9*4,IF(核心参数输入!$B$64=1,DC148,DC138),0)</f>
        <v>0</v>
      </c>
      <c r="DD160" s="9">
        <f>IF(104&lt;=核心参数输入!$B$9*4,IF(核心参数输入!$B$64=1,DD148,DD138),0)</f>
        <v>0</v>
      </c>
      <c r="DE160" s="9">
        <f>IF(105&lt;=核心参数输入!$B$9*4,IF(核心参数输入!$B$64=1,DE148,DE138),0)</f>
        <v>0</v>
      </c>
      <c r="DF160" s="9">
        <f>IF(106&lt;=核心参数输入!$B$9*4,IF(核心参数输入!$B$64=1,DF148,DF138),0)</f>
        <v>0</v>
      </c>
      <c r="DG160" s="9">
        <f>IF(107&lt;=核心参数输入!$B$9*4,IF(核心参数输入!$B$64=1,DG148,DG138),0)</f>
        <v>0</v>
      </c>
      <c r="DH160" s="9">
        <f>IF(108&lt;=核心参数输入!$B$9*4,IF(核心参数输入!$B$64=1,DH148,DH138),0)</f>
        <v>0</v>
      </c>
      <c r="DI160" s="9">
        <f>IF(109&lt;=核心参数输入!$B$9*4,IF(核心参数输入!$B$64=1,DI148,DI138),0)</f>
        <v>0</v>
      </c>
      <c r="DJ160" s="9">
        <f>IF(110&lt;=核心参数输入!$B$9*4,IF(核心参数输入!$B$64=1,DJ148,DJ138),0)</f>
        <v>0</v>
      </c>
      <c r="DK160" s="9">
        <f>IF(111&lt;=核心参数输入!$B$9*4,IF(核心参数输入!$B$64=1,DK148,DK138),0)</f>
        <v>0</v>
      </c>
      <c r="DL160" s="9">
        <f>IF(112&lt;=核心参数输入!$B$9*4,IF(核心参数输入!$B$64=1,DL148,DL138),0)</f>
        <v>0</v>
      </c>
      <c r="DM160" s="9">
        <f>IF(113&lt;=核心参数输入!$B$9*4,IF(核心参数输入!$B$64=1,DM148,DM138),0)</f>
        <v>0</v>
      </c>
      <c r="DN160" s="9">
        <f>IF(114&lt;=核心参数输入!$B$9*4,IF(核心参数输入!$B$64=1,DN148,DN138),0)</f>
        <v>0</v>
      </c>
      <c r="DO160" s="9">
        <f>IF(115&lt;=核心参数输入!$B$9*4,IF(核心参数输入!$B$64=1,DO148,DO138),0)</f>
        <v>0</v>
      </c>
      <c r="DP160" s="9">
        <f>IF(116&lt;=核心参数输入!$B$9*4,IF(核心参数输入!$B$64=1,DP148,DP138),0)</f>
        <v>0</v>
      </c>
      <c r="DQ160" s="9">
        <f>IF(117&lt;=核心参数输入!$B$9*4,IF(核心参数输入!$B$64=1,DQ148,DQ138),0)</f>
        <v>0</v>
      </c>
      <c r="DR160" s="9">
        <f>IF(118&lt;=核心参数输入!$B$9*4,IF(核心参数输入!$B$64=1,DR148,DR138),0)</f>
        <v>0</v>
      </c>
      <c r="DS160" s="9">
        <f>IF(119&lt;=核心参数输入!$B$9*4,IF(核心参数输入!$B$64=1,DS148,DS138),0)</f>
        <v>0</v>
      </c>
      <c r="DT160" s="9">
        <f>IF(120&lt;=核心参数输入!$B$9*4,IF(核心参数输入!$B$64=1,DT148,DT138),0)</f>
        <v>0</v>
      </c>
    </row>
    <row r="161" spans="1:124" ht="21" customHeight="1">
      <c r="A161" s="8" t="s">
        <v>543</v>
      </c>
      <c r="B161" s="8" t="s">
        <v>39</v>
      </c>
      <c r="C161" s="8"/>
      <c r="D161" s="9">
        <f>IF(0&lt;=核心参数输入!$B$9*4,IF(核心参数输入!$B$64=1,D149,D139),0)</f>
        <v>0</v>
      </c>
      <c r="E161" s="9">
        <f>IF(1&lt;=核心参数输入!$B$9*4,IF(核心参数输入!$B$64=1,E149,E139),0)</f>
        <v>0</v>
      </c>
      <c r="F161" s="9">
        <f>IF(2&lt;=核心参数输入!$B$9*4,IF(核心参数输入!$B$64=1,F149,F139),0)</f>
        <v>0</v>
      </c>
      <c r="G161" s="9">
        <f>IF(3&lt;=核心参数输入!$B$9*4,IF(核心参数输入!$B$64=1,G149,G139),0)</f>
        <v>0</v>
      </c>
      <c r="H161" s="9">
        <f>IF(4&lt;=核心参数输入!$B$9*4,IF(核心参数输入!$B$64=1,H149,H139),0)</f>
        <v>0</v>
      </c>
      <c r="I161" s="9">
        <f>IF(5&lt;=核心参数输入!$B$9*4,IF(核心参数输入!$B$64=1,I149,I139),0)</f>
        <v>0</v>
      </c>
      <c r="J161" s="9">
        <f>IF(6&lt;=核心参数输入!$B$9*4,IF(核心参数输入!$B$64=1,J149,J139),0)</f>
        <v>0</v>
      </c>
      <c r="K161" s="9">
        <f>IF(7&lt;=核心参数输入!$B$9*4,IF(核心参数输入!$B$64=1,K149,K139),0)</f>
        <v>0</v>
      </c>
      <c r="L161" s="9">
        <f>IF(8&lt;=核心参数输入!$B$9*4,IF(核心参数输入!$B$64=1,L149,L139),0)</f>
        <v>0</v>
      </c>
      <c r="M161" s="9">
        <f>IF(9&lt;=核心参数输入!$B$9*4,IF(核心参数输入!$B$64=1,M149,M139),0)</f>
        <v>0</v>
      </c>
      <c r="N161" s="9">
        <f>IF(10&lt;=核心参数输入!$B$9*4,IF(核心参数输入!$B$64=1,N149,N139),0)</f>
        <v>0</v>
      </c>
      <c r="O161" s="9">
        <f>IF(11&lt;=核心参数输入!$B$9*4,IF(核心参数输入!$B$64=1,O149,O139),0)</f>
        <v>0</v>
      </c>
      <c r="P161" s="9">
        <f>IF(12&lt;=核心参数输入!$B$9*4,IF(核心参数输入!$B$64=1,P149,P139),0)</f>
        <v>0</v>
      </c>
      <c r="Q161" s="9">
        <f>IF(13&lt;=核心参数输入!$B$9*4,IF(核心参数输入!$B$64=1,Q149,Q139),0)</f>
        <v>0</v>
      </c>
      <c r="R161" s="9">
        <f>IF(14&lt;=核心参数输入!$B$9*4,IF(核心参数输入!$B$64=1,R149,R139),0)</f>
        <v>0</v>
      </c>
      <c r="S161" s="9">
        <f>IF(15&lt;=核心参数输入!$B$9*4,IF(核心参数输入!$B$64=1,S149,S139),0)</f>
        <v>1692.723284539285</v>
      </c>
      <c r="T161" s="9">
        <f>IF(16&lt;=核心参数输入!$B$9*4,IF(核心参数输入!$B$64=1,T149,T139),0)</f>
        <v>0</v>
      </c>
      <c r="U161" s="9">
        <f>IF(17&lt;=核心参数输入!$B$9*4,IF(核心参数输入!$B$64=1,U149,U139),0)</f>
        <v>1032.9262538743155</v>
      </c>
      <c r="V161" s="9">
        <f>IF(18&lt;=核心参数输入!$B$9*4,IF(核心参数输入!$B$64=1,V149,V139),0)</f>
        <v>4683.9769871049029</v>
      </c>
      <c r="W161" s="9">
        <f>IF(19&lt;=核心参数输入!$B$9*4,IF(核心参数输入!$B$64=1,W149,W139),0)</f>
        <v>8353.2637624802646</v>
      </c>
      <c r="X161" s="9">
        <f>IF(20&lt;=核心参数输入!$B$9*4,IF(核心参数输入!$B$64=1,X149,X139),0)</f>
        <v>7777.5722942861175</v>
      </c>
      <c r="Y161" s="9">
        <f>IF(21&lt;=核心参数输入!$B$9*4,IF(核心参数输入!$B$64=1,Y149,Y139),0)</f>
        <v>10883.832652471003</v>
      </c>
      <c r="Z161" s="9">
        <f>IF(22&lt;=核心参数输入!$B$9*4,IF(核心参数输入!$B$64=1,Z149,Z139),0)</f>
        <v>13680.517020585718</v>
      </c>
      <c r="AA161" s="9">
        <f>IF(23&lt;=核心参数输入!$B$9*4,IF(核心参数输入!$B$64=1,AA149,AA139),0)</f>
        <v>16491.083575783141</v>
      </c>
      <c r="AB161" s="9">
        <f>IF(24&lt;=核心参数输入!$B$9*4,IF(核心参数输入!$B$64=1,AB149,AB139),0)</f>
        <v>15052.318032348991</v>
      </c>
      <c r="AC161" s="9">
        <f>IF(25&lt;=核心参数输入!$B$9*4,IF(核心参数输入!$B$64=1,AC149,AC139),0)</f>
        <v>15999.806245183529</v>
      </c>
      <c r="AD161" s="9">
        <f>IF(26&lt;=核心参数输入!$B$9*4,IF(核心参数输入!$B$64=1,AD149,AD139),0)</f>
        <v>15979.372446277366</v>
      </c>
      <c r="AE161" s="9">
        <f>IF(27&lt;=核心参数输入!$B$9*4,IF(核心参数输入!$B$64=1,AE149,AE139),0)</f>
        <v>15963.635454000854</v>
      </c>
      <c r="AF161" s="9">
        <f>IF(28&lt;=核心参数输入!$B$9*4,IF(核心参数输入!$B$64=1,AF149,AF139),0)</f>
        <v>11689.380982639706</v>
      </c>
      <c r="AG161" s="9">
        <f>IF(29&lt;=核心参数输入!$B$9*4,IF(核心参数输入!$B$64=1,AG149,AG139),0)</f>
        <v>11730.919499937236</v>
      </c>
      <c r="AH161" s="9">
        <f>IF(30&lt;=核心参数输入!$B$9*4,IF(核心参数输入!$B$64=1,AH149,AH139),0)</f>
        <v>11774.841646599312</v>
      </c>
      <c r="AI161" s="9">
        <f>IF(31&lt;=核心参数输入!$B$9*4,IF(核心参数输入!$B$64=1,AI149,AI139),0)</f>
        <v>11818.763793261389</v>
      </c>
      <c r="AJ161" s="9">
        <f>IF(32&lt;=核心参数输入!$B$9*4,IF(核心参数输入!$B$64=1,AJ149,AJ139),0)</f>
        <v>7599.471654209181</v>
      </c>
      <c r="AK161" s="9">
        <f>IF(33&lt;=核心参数输入!$B$9*4,IF(核心参数输入!$B$64=1,AK149,AK139),0)</f>
        <v>7691.3467210111894</v>
      </c>
      <c r="AL161" s="9">
        <f>IF(34&lt;=核心参数输入!$B$9*4,IF(核心参数输入!$B$64=1,AL149,AL139),0)</f>
        <v>7783.2217878131978</v>
      </c>
      <c r="AM161" s="9">
        <f>IF(35&lt;=核心参数输入!$B$9*4,IF(核心参数输入!$B$64=1,AM149,AM139),0)</f>
        <v>7875.0968546152062</v>
      </c>
      <c r="AN161" s="9">
        <f>IF(36&lt;=核心参数输入!$B$9*4,IF(核心参数输入!$B$64=1,AN149,AN139),0)</f>
        <v>3703.7576357029293</v>
      </c>
      <c r="AO161" s="9">
        <f>IF(37&lt;=核心参数输入!$B$9*4,IF(核心参数输入!$B$64=1,AO149,AO139),0)</f>
        <v>3843.6217982057678</v>
      </c>
      <c r="AP161" s="9">
        <f>IF(38&lt;=核心参数输入!$B$9*4,IF(核心参数输入!$B$64=1,AP149,AP139),0)</f>
        <v>3983.4859607086064</v>
      </c>
      <c r="AQ161" s="9">
        <f>IF(39&lt;=核心参数输入!$B$9*4,IF(核心参数输入!$B$64=1,AQ149,AQ139),0)</f>
        <v>4123.350123211445</v>
      </c>
      <c r="AR161" s="9">
        <f>IF(40&lt;=核心参数输入!$B$9*4,IF(核心参数输入!$B$64=1,AR149,AR139),0)</f>
        <v>0</v>
      </c>
      <c r="AS161" s="9">
        <f>IF(41&lt;=核心参数输入!$B$9*4,IF(核心参数输入!$B$64=1,AS149,AS139),0)</f>
        <v>0</v>
      </c>
      <c r="AT161" s="9">
        <f>IF(42&lt;=核心参数输入!$B$9*4,IF(核心参数输入!$B$64=1,AT149,AT139),0)</f>
        <v>0</v>
      </c>
      <c r="AU161" s="9">
        <f>IF(43&lt;=核心参数输入!$B$9*4,IF(核心参数输入!$B$64=1,AU149,AU139),0)</f>
        <v>0</v>
      </c>
      <c r="AV161" s="9">
        <f>IF(44&lt;=核心参数输入!$B$9*4,IF(核心参数输入!$B$64=1,AV149,AV139),0)</f>
        <v>0</v>
      </c>
      <c r="AW161" s="9">
        <f>IF(45&lt;=核心参数输入!$B$9*4,IF(核心参数输入!$B$64=1,AW149,AW139),0)</f>
        <v>0</v>
      </c>
      <c r="AX161" s="9">
        <f>IF(46&lt;=核心参数输入!$B$9*4,IF(核心参数输入!$B$64=1,AX149,AX139),0)</f>
        <v>0</v>
      </c>
      <c r="AY161" s="9">
        <f>IF(47&lt;=核心参数输入!$B$9*4,IF(核心参数输入!$B$64=1,AY149,AY139),0)</f>
        <v>0</v>
      </c>
      <c r="AZ161" s="9">
        <f>IF(48&lt;=核心参数输入!$B$9*4,IF(核心参数输入!$B$64=1,AZ149,AZ139),0)</f>
        <v>0</v>
      </c>
      <c r="BA161" s="9">
        <f>IF(49&lt;=核心参数输入!$B$9*4,IF(核心参数输入!$B$64=1,BA149,BA139),0)</f>
        <v>0</v>
      </c>
      <c r="BB161" s="9">
        <f>IF(50&lt;=核心参数输入!$B$9*4,IF(核心参数输入!$B$64=1,BB149,BB139),0)</f>
        <v>0</v>
      </c>
      <c r="BC161" s="9">
        <f>IF(51&lt;=核心参数输入!$B$9*4,IF(核心参数输入!$B$64=1,BC149,BC139),0)</f>
        <v>0</v>
      </c>
      <c r="BD161" s="9">
        <f>IF(52&lt;=核心参数输入!$B$9*4,IF(核心参数输入!$B$64=1,BD149,BD139),0)</f>
        <v>0</v>
      </c>
      <c r="BE161" s="9">
        <f>IF(53&lt;=核心参数输入!$B$9*4,IF(核心参数输入!$B$64=1,BE149,BE139),0)</f>
        <v>0</v>
      </c>
      <c r="BF161" s="9">
        <f>IF(54&lt;=核心参数输入!$B$9*4,IF(核心参数输入!$B$64=1,BF149,BF139),0)</f>
        <v>0</v>
      </c>
      <c r="BG161" s="9">
        <f>IF(55&lt;=核心参数输入!$B$9*4,IF(核心参数输入!$B$64=1,BG149,BG139),0)</f>
        <v>0</v>
      </c>
      <c r="BH161" s="9">
        <f>IF(56&lt;=核心参数输入!$B$9*4,IF(核心参数输入!$B$64=1,BH149,BH139),0)</f>
        <v>0</v>
      </c>
      <c r="BI161" s="9">
        <f>IF(57&lt;=核心参数输入!$B$9*4,IF(核心参数输入!$B$64=1,BI149,BI139),0)</f>
        <v>0</v>
      </c>
      <c r="BJ161" s="9">
        <f>IF(58&lt;=核心参数输入!$B$9*4,IF(核心参数输入!$B$64=1,BJ149,BJ139),0)</f>
        <v>0</v>
      </c>
      <c r="BK161" s="9">
        <f>IF(59&lt;=核心参数输入!$B$9*4,IF(核心参数输入!$B$64=1,BK149,BK139),0)</f>
        <v>0</v>
      </c>
      <c r="BL161" s="9">
        <f>IF(60&lt;=核心参数输入!$B$9*4,IF(核心参数输入!$B$64=1,BL149,BL139),0)</f>
        <v>0</v>
      </c>
      <c r="BM161" s="9">
        <f>IF(61&lt;=核心参数输入!$B$9*4,IF(核心参数输入!$B$64=1,BM149,BM139),0)</f>
        <v>0</v>
      </c>
      <c r="BN161" s="9">
        <f>IF(62&lt;=核心参数输入!$B$9*4,IF(核心参数输入!$B$64=1,BN149,BN139),0)</f>
        <v>0</v>
      </c>
      <c r="BO161" s="9">
        <f>IF(63&lt;=核心参数输入!$B$9*4,IF(核心参数输入!$B$64=1,BO149,BO139),0)</f>
        <v>0</v>
      </c>
      <c r="BP161" s="9">
        <f>IF(64&lt;=核心参数输入!$B$9*4,IF(核心参数输入!$B$64=1,BP149,BP139),0)</f>
        <v>0</v>
      </c>
      <c r="BQ161" s="9">
        <f>IF(65&lt;=核心参数输入!$B$9*4,IF(核心参数输入!$B$64=1,BQ149,BQ139),0)</f>
        <v>0</v>
      </c>
      <c r="BR161" s="9">
        <f>IF(66&lt;=核心参数输入!$B$9*4,IF(核心参数输入!$B$64=1,BR149,BR139),0)</f>
        <v>0</v>
      </c>
      <c r="BS161" s="9">
        <f>IF(67&lt;=核心参数输入!$B$9*4,IF(核心参数输入!$B$64=1,BS149,BS139),0)</f>
        <v>0</v>
      </c>
      <c r="BT161" s="9">
        <f>IF(68&lt;=核心参数输入!$B$9*4,IF(核心参数输入!$B$64=1,BT149,BT139),0)</f>
        <v>0</v>
      </c>
      <c r="BU161" s="9">
        <f>IF(69&lt;=核心参数输入!$B$9*4,IF(核心参数输入!$B$64=1,BU149,BU139),0)</f>
        <v>0</v>
      </c>
      <c r="BV161" s="9">
        <f>IF(70&lt;=核心参数输入!$B$9*4,IF(核心参数输入!$B$64=1,BV149,BV139),0)</f>
        <v>0</v>
      </c>
      <c r="BW161" s="9">
        <f>IF(71&lt;=核心参数输入!$B$9*4,IF(核心参数输入!$B$64=1,BW149,BW139),0)</f>
        <v>0</v>
      </c>
      <c r="BX161" s="9">
        <f>IF(72&lt;=核心参数输入!$B$9*4,IF(核心参数输入!$B$64=1,BX149,BX139),0)</f>
        <v>0</v>
      </c>
      <c r="BY161" s="9">
        <f>IF(73&lt;=核心参数输入!$B$9*4,IF(核心参数输入!$B$64=1,BY149,BY139),0)</f>
        <v>0</v>
      </c>
      <c r="BZ161" s="9">
        <f>IF(74&lt;=核心参数输入!$B$9*4,IF(核心参数输入!$B$64=1,BZ149,BZ139),0)</f>
        <v>0</v>
      </c>
      <c r="CA161" s="9">
        <f>IF(75&lt;=核心参数输入!$B$9*4,IF(核心参数输入!$B$64=1,CA149,CA139),0)</f>
        <v>0</v>
      </c>
      <c r="CB161" s="9">
        <f>IF(76&lt;=核心参数输入!$B$9*4,IF(核心参数输入!$B$64=1,CB149,CB139),0)</f>
        <v>0</v>
      </c>
      <c r="CC161" s="9">
        <f>IF(77&lt;=核心参数输入!$B$9*4,IF(核心参数输入!$B$64=1,CC149,CC139),0)</f>
        <v>0</v>
      </c>
      <c r="CD161" s="9">
        <f>IF(78&lt;=核心参数输入!$B$9*4,IF(核心参数输入!$B$64=1,CD149,CD139),0)</f>
        <v>0</v>
      </c>
      <c r="CE161" s="9">
        <f>IF(79&lt;=核心参数输入!$B$9*4,IF(核心参数输入!$B$64=1,CE149,CE139),0)</f>
        <v>0</v>
      </c>
      <c r="CF161" s="9">
        <f>IF(80&lt;=核心参数输入!$B$9*4,IF(核心参数输入!$B$64=1,CF149,CF139),0)</f>
        <v>0</v>
      </c>
      <c r="CG161" s="9">
        <f>IF(81&lt;=核心参数输入!$B$9*4,IF(核心参数输入!$B$64=1,CG149,CG139),0)</f>
        <v>0</v>
      </c>
      <c r="CH161" s="9">
        <f>IF(82&lt;=核心参数输入!$B$9*4,IF(核心参数输入!$B$64=1,CH149,CH139),0)</f>
        <v>0</v>
      </c>
      <c r="CI161" s="9">
        <f>IF(83&lt;=核心参数输入!$B$9*4,IF(核心参数输入!$B$64=1,CI149,CI139),0)</f>
        <v>0</v>
      </c>
      <c r="CJ161" s="9">
        <f>IF(84&lt;=核心参数输入!$B$9*4,IF(核心参数输入!$B$64=1,CJ149,CJ139),0)</f>
        <v>0</v>
      </c>
      <c r="CK161" s="9">
        <f>IF(85&lt;=核心参数输入!$B$9*4,IF(核心参数输入!$B$64=1,CK149,CK139),0)</f>
        <v>0</v>
      </c>
      <c r="CL161" s="9">
        <f>IF(86&lt;=核心参数输入!$B$9*4,IF(核心参数输入!$B$64=1,CL149,CL139),0)</f>
        <v>0</v>
      </c>
      <c r="CM161" s="9">
        <f>IF(87&lt;=核心参数输入!$B$9*4,IF(核心参数输入!$B$64=1,CM149,CM139),0)</f>
        <v>0</v>
      </c>
      <c r="CN161" s="9">
        <f>IF(88&lt;=核心参数输入!$B$9*4,IF(核心参数输入!$B$64=1,CN149,CN139),0)</f>
        <v>0</v>
      </c>
      <c r="CO161" s="9">
        <f>IF(89&lt;=核心参数输入!$B$9*4,IF(核心参数输入!$B$64=1,CO149,CO139),0)</f>
        <v>0</v>
      </c>
      <c r="CP161" s="9">
        <f>IF(90&lt;=核心参数输入!$B$9*4,IF(核心参数输入!$B$64=1,CP149,CP139),0)</f>
        <v>0</v>
      </c>
      <c r="CQ161" s="9">
        <f>IF(91&lt;=核心参数输入!$B$9*4,IF(核心参数输入!$B$64=1,CQ149,CQ139),0)</f>
        <v>0</v>
      </c>
      <c r="CR161" s="9">
        <f>IF(92&lt;=核心参数输入!$B$9*4,IF(核心参数输入!$B$64=1,CR149,CR139),0)</f>
        <v>0</v>
      </c>
      <c r="CS161" s="9">
        <f>IF(93&lt;=核心参数输入!$B$9*4,IF(核心参数输入!$B$64=1,CS149,CS139),0)</f>
        <v>0</v>
      </c>
      <c r="CT161" s="9">
        <f>IF(94&lt;=核心参数输入!$B$9*4,IF(核心参数输入!$B$64=1,CT149,CT139),0)</f>
        <v>0</v>
      </c>
      <c r="CU161" s="9">
        <f>IF(95&lt;=核心参数输入!$B$9*4,IF(核心参数输入!$B$64=1,CU149,CU139),0)</f>
        <v>0</v>
      </c>
      <c r="CV161" s="9">
        <f>IF(96&lt;=核心参数输入!$B$9*4,IF(核心参数输入!$B$64=1,CV149,CV139),0)</f>
        <v>0</v>
      </c>
      <c r="CW161" s="9">
        <f>IF(97&lt;=核心参数输入!$B$9*4,IF(核心参数输入!$B$64=1,CW149,CW139),0)</f>
        <v>0</v>
      </c>
      <c r="CX161" s="9">
        <f>IF(98&lt;=核心参数输入!$B$9*4,IF(核心参数输入!$B$64=1,CX149,CX139),0)</f>
        <v>0</v>
      </c>
      <c r="CY161" s="9">
        <f>IF(99&lt;=核心参数输入!$B$9*4,IF(核心参数输入!$B$64=1,CY149,CY139),0)</f>
        <v>0</v>
      </c>
      <c r="CZ161" s="9">
        <f>IF(100&lt;=核心参数输入!$B$9*4,IF(核心参数输入!$B$64=1,CZ149,CZ139),0)</f>
        <v>0</v>
      </c>
      <c r="DA161" s="9">
        <f>IF(101&lt;=核心参数输入!$B$9*4,IF(核心参数输入!$B$64=1,DA149,DA139),0)</f>
        <v>0</v>
      </c>
      <c r="DB161" s="9">
        <f>IF(102&lt;=核心参数输入!$B$9*4,IF(核心参数输入!$B$64=1,DB149,DB139),0)</f>
        <v>0</v>
      </c>
      <c r="DC161" s="9">
        <f>IF(103&lt;=核心参数输入!$B$9*4,IF(核心参数输入!$B$64=1,DC149,DC139),0)</f>
        <v>0</v>
      </c>
      <c r="DD161" s="9">
        <f>IF(104&lt;=核心参数输入!$B$9*4,IF(核心参数输入!$B$64=1,DD149,DD139),0)</f>
        <v>0</v>
      </c>
      <c r="DE161" s="9">
        <f>IF(105&lt;=核心参数输入!$B$9*4,IF(核心参数输入!$B$64=1,DE149,DE139),0)</f>
        <v>0</v>
      </c>
      <c r="DF161" s="9">
        <f>IF(106&lt;=核心参数输入!$B$9*4,IF(核心参数输入!$B$64=1,DF149,DF139),0)</f>
        <v>0</v>
      </c>
      <c r="DG161" s="9">
        <f>IF(107&lt;=核心参数输入!$B$9*4,IF(核心参数输入!$B$64=1,DG149,DG139),0)</f>
        <v>0</v>
      </c>
      <c r="DH161" s="9">
        <f>IF(108&lt;=核心参数输入!$B$9*4,IF(核心参数输入!$B$64=1,DH149,DH139),0)</f>
        <v>0</v>
      </c>
      <c r="DI161" s="9">
        <f>IF(109&lt;=核心参数输入!$B$9*4,IF(核心参数输入!$B$64=1,DI149,DI139),0)</f>
        <v>0</v>
      </c>
      <c r="DJ161" s="9">
        <f>IF(110&lt;=核心参数输入!$B$9*4,IF(核心参数输入!$B$64=1,DJ149,DJ139),0)</f>
        <v>0</v>
      </c>
      <c r="DK161" s="9">
        <f>IF(111&lt;=核心参数输入!$B$9*4,IF(核心参数输入!$B$64=1,DK149,DK139),0)</f>
        <v>0</v>
      </c>
      <c r="DL161" s="9">
        <f>IF(112&lt;=核心参数输入!$B$9*4,IF(核心参数输入!$B$64=1,DL149,DL139),0)</f>
        <v>0</v>
      </c>
      <c r="DM161" s="9">
        <f>IF(113&lt;=核心参数输入!$B$9*4,IF(核心参数输入!$B$64=1,DM149,DM139),0)</f>
        <v>0</v>
      </c>
      <c r="DN161" s="9">
        <f>IF(114&lt;=核心参数输入!$B$9*4,IF(核心参数输入!$B$64=1,DN149,DN139),0)</f>
        <v>0</v>
      </c>
      <c r="DO161" s="9">
        <f>IF(115&lt;=核心参数输入!$B$9*4,IF(核心参数输入!$B$64=1,DO149,DO139),0)</f>
        <v>0</v>
      </c>
      <c r="DP161" s="9">
        <f>IF(116&lt;=核心参数输入!$B$9*4,IF(核心参数输入!$B$64=1,DP149,DP139),0)</f>
        <v>0</v>
      </c>
      <c r="DQ161" s="9">
        <f>IF(117&lt;=核心参数输入!$B$9*4,IF(核心参数输入!$B$64=1,DQ149,DQ139),0)</f>
        <v>0</v>
      </c>
      <c r="DR161" s="9">
        <f>IF(118&lt;=核心参数输入!$B$9*4,IF(核心参数输入!$B$64=1,DR149,DR139),0)</f>
        <v>0</v>
      </c>
      <c r="DS161" s="9">
        <f>IF(119&lt;=核心参数输入!$B$9*4,IF(核心参数输入!$B$64=1,DS149,DS139),0)</f>
        <v>0</v>
      </c>
      <c r="DT161" s="9">
        <f>IF(120&lt;=核心参数输入!$B$9*4,IF(核心参数输入!$B$64=1,DT149,DT139),0)</f>
        <v>0</v>
      </c>
    </row>
    <row r="162" spans="1:124" ht="21" customHeight="1">
      <c r="A162" s="8" t="s">
        <v>544</v>
      </c>
      <c r="B162" s="8" t="s">
        <v>39</v>
      </c>
      <c r="C162" s="8"/>
      <c r="D162" s="9">
        <f>IF(0&lt;=核心参数输入!$B$9*4,0,0)</f>
        <v>0</v>
      </c>
      <c r="E162" s="9">
        <f>IF(1&lt;=核心参数输入!$B$9*4,季度现金流!D167,0)</f>
        <v>0</v>
      </c>
      <c r="F162" s="9">
        <f>IF(2&lt;=核心参数输入!$B$9*4,季度现金流!E167,0)</f>
        <v>0</v>
      </c>
      <c r="G162" s="9">
        <f>IF(3&lt;=核心参数输入!$B$9*4,季度现金流!F167,0)</f>
        <v>0</v>
      </c>
      <c r="H162" s="9">
        <f>IF(4&lt;=核心参数输入!$B$9*4,季度现金流!G167,0)</f>
        <v>0</v>
      </c>
      <c r="I162" s="9">
        <f>IF(5&lt;=核心参数输入!$B$9*4,季度现金流!H167,0)</f>
        <v>0</v>
      </c>
      <c r="J162" s="9">
        <f>IF(6&lt;=核心参数输入!$B$9*4,季度现金流!I167,0)</f>
        <v>0</v>
      </c>
      <c r="K162" s="9">
        <f>IF(7&lt;=核心参数输入!$B$9*4,季度现金流!J167,0)</f>
        <v>0</v>
      </c>
      <c r="L162" s="9">
        <f>IF(8&lt;=核心参数输入!$B$9*4,季度现金流!K167,0)</f>
        <v>0</v>
      </c>
      <c r="M162" s="9">
        <f>IF(9&lt;=核心参数输入!$B$9*4,季度现金流!L167,0)</f>
        <v>0</v>
      </c>
      <c r="N162" s="9">
        <f>IF(10&lt;=核心参数输入!$B$9*4,季度现金流!M167,0)</f>
        <v>0</v>
      </c>
      <c r="O162" s="9">
        <f>IF(11&lt;=核心参数输入!$B$9*4,季度现金流!N167,0)</f>
        <v>0</v>
      </c>
      <c r="P162" s="9">
        <f>IF(12&lt;=核心参数输入!$B$9*4,季度现金流!O167,0)</f>
        <v>0</v>
      </c>
      <c r="Q162" s="9">
        <f>IF(13&lt;=核心参数输入!$B$9*4,季度现金流!P167,0)</f>
        <v>0</v>
      </c>
      <c r="R162" s="9">
        <f>IF(14&lt;=核心参数输入!$B$9*4,季度现金流!Q167,0)</f>
        <v>0</v>
      </c>
      <c r="S162" s="9">
        <f>IF(15&lt;=核心参数输入!$B$9*4,季度现金流!R167,0)</f>
        <v>0</v>
      </c>
      <c r="T162" s="9">
        <f>IF(16&lt;=核心参数输入!$B$9*4,季度现金流!S167,0)</f>
        <v>934.52539468999885</v>
      </c>
      <c r="U162" s="9">
        <f>IF(17&lt;=核心参数输入!$B$9*4,季度现金流!T167,0)</f>
        <v>0</v>
      </c>
      <c r="V162" s="9">
        <f>IF(18&lt;=核心参数输入!$B$9*4,季度现金流!U167,0)</f>
        <v>2539.7269051641388</v>
      </c>
      <c r="W162" s="9">
        <f>IF(19&lt;=核心参数输入!$B$9*4,季度现金流!V167,0)</f>
        <v>6190.7776383947257</v>
      </c>
      <c r="X162" s="9">
        <f>IF(20&lt;=核心参数输入!$B$9*4,季度现金流!W167,0)</f>
        <v>9860.0644137700874</v>
      </c>
      <c r="Y162" s="9">
        <f>IF(21&lt;=核心参数输入!$B$9*4,季度现金流!X167,0)</f>
        <v>9284.3729455759403</v>
      </c>
      <c r="Z162" s="9">
        <f>IF(22&lt;=核心参数输入!$B$9*4,季度现金流!Y167,0)</f>
        <v>12390.633303760826</v>
      </c>
      <c r="AA162" s="9">
        <f>IF(23&lt;=核心参数输入!$B$9*4,季度现金流!Z167,0)</f>
        <v>15187.31767187554</v>
      </c>
      <c r="AB162" s="9">
        <f>IF(24&lt;=核心参数输入!$B$9*4,季度现金流!AA167,0)</f>
        <v>17997.884227072966</v>
      </c>
      <c r="AC162" s="9">
        <f>IF(25&lt;=核心参数输入!$B$9*4,季度现金流!AB167,0)</f>
        <v>16559.118683638815</v>
      </c>
      <c r="AD162" s="9">
        <f>IF(26&lt;=核心参数输入!$B$9*4,季度现金流!AC167,0)</f>
        <v>17506.606896473353</v>
      </c>
      <c r="AE162" s="9">
        <f>IF(27&lt;=核心参数输入!$B$9*4,季度现金流!AD167,0)</f>
        <v>17486.173097567189</v>
      </c>
      <c r="AF162" s="9">
        <f>IF(28&lt;=核心参数输入!$B$9*4,季度现金流!AE167,0)</f>
        <v>17470.436105290675</v>
      </c>
      <c r="AG162" s="9">
        <f>IF(29&lt;=核心参数输入!$B$9*4,季度现金流!AF167,0)</f>
        <v>13196.181633929527</v>
      </c>
      <c r="AH162" s="9">
        <f>IF(30&lt;=核心参数输入!$B$9*4,季度现金流!AG167,0)</f>
        <v>13237.720151227057</v>
      </c>
      <c r="AI162" s="9">
        <f>IF(31&lt;=核心参数输入!$B$9*4,季度现金流!AH167,0)</f>
        <v>13281.642297889133</v>
      </c>
      <c r="AJ162" s="9">
        <f>IF(32&lt;=核心参数输入!$B$9*4,季度现金流!AI167,0)</f>
        <v>13325.56444455121</v>
      </c>
      <c r="AK162" s="9">
        <f>IF(33&lt;=核心参数输入!$B$9*4,季度现金流!AJ167,0)</f>
        <v>9106.272305499002</v>
      </c>
      <c r="AL162" s="9">
        <f>IF(34&lt;=核心参数输入!$B$9*4,季度现金流!AK167,0)</f>
        <v>9198.1473723010113</v>
      </c>
      <c r="AM162" s="9">
        <f>IF(35&lt;=核心参数输入!$B$9*4,季度现金流!AL167,0)</f>
        <v>9290.0224391030206</v>
      </c>
      <c r="AN162" s="9">
        <f>IF(36&lt;=核心参数输入!$B$9*4,季度现金流!AM167,0)</f>
        <v>9381.8975059050299</v>
      </c>
      <c r="AO162" s="9">
        <f>IF(37&lt;=核心参数输入!$B$9*4,季度现金流!AN167,0)</f>
        <v>5210.558286992753</v>
      </c>
      <c r="AP162" s="9">
        <f>IF(38&lt;=核心参数输入!$B$9*4,季度现金流!AO167,0)</f>
        <v>5350.4224494955915</v>
      </c>
      <c r="AQ162" s="9">
        <f>IF(39&lt;=核心参数输入!$B$9*4,季度现金流!AP167,0)</f>
        <v>5490.2866119984301</v>
      </c>
      <c r="AR162" s="9">
        <f>IF(40&lt;=核心参数输入!$B$9*4,季度现金流!AQ167,0)</f>
        <v>5630.1507745012686</v>
      </c>
      <c r="AS162" s="9">
        <f>IF(41&lt;=核心参数输入!$B$9*4,季度现金流!AR167,0)</f>
        <v>1506.8006512898237</v>
      </c>
      <c r="AT162" s="9">
        <f>IF(42&lt;=核心参数输入!$B$9*4,季度现金流!AS167,0)</f>
        <v>1694.6904653229808</v>
      </c>
      <c r="AU162" s="9">
        <f>IF(43&lt;=核心参数输入!$B$9*4,季度现金流!AT167,0)</f>
        <v>1882.5802793561379</v>
      </c>
      <c r="AV162" s="9">
        <f>IF(44&lt;=核心参数输入!$B$9*4,季度现金流!AU167,0)</f>
        <v>2070.470093389295</v>
      </c>
      <c r="AW162" s="9">
        <f>IF(45&lt;=核心参数输入!$B$9*4,季度现金流!AV167,0)</f>
        <v>2258.3599074224521</v>
      </c>
      <c r="AX162" s="9">
        <f>IF(46&lt;=核心参数输入!$B$9*4,季度现金流!AW167,0)</f>
        <v>2449.3123115407379</v>
      </c>
      <c r="AY162" s="9">
        <f>IF(47&lt;=核心参数输入!$B$9*4,季度现金流!AX167,0)</f>
        <v>2640.2647156590238</v>
      </c>
      <c r="AZ162" s="9">
        <f>IF(48&lt;=核心参数输入!$B$9*4,季度现金流!AY167,0)</f>
        <v>2831.2171197773096</v>
      </c>
      <c r="BA162" s="9">
        <f>IF(49&lt;=核心参数输入!$B$9*4,季度现金流!AZ167,0)</f>
        <v>3022.1695238955954</v>
      </c>
      <c r="BB162" s="9">
        <f>IF(50&lt;=核心参数输入!$B$9*4,季度现金流!BA167,0)</f>
        <v>3216.2218418077796</v>
      </c>
      <c r="BC162" s="9">
        <f>IF(51&lt;=核心参数输入!$B$9*4,季度现金流!BB167,0)</f>
        <v>3410.2741597199638</v>
      </c>
      <c r="BD162" s="9">
        <f>IF(52&lt;=核心参数输入!$B$9*4,季度现金流!BC167,0)</f>
        <v>3604.326477632148</v>
      </c>
      <c r="BE162" s="9">
        <f>IF(53&lt;=核心参数输入!$B$9*4,季度现金流!BD167,0)</f>
        <v>3798.3787955443322</v>
      </c>
      <c r="BF162" s="9">
        <f>IF(54&lt;=核心参数输入!$B$9*4,季度现金流!BE167,0)</f>
        <v>3995.5687385119659</v>
      </c>
      <c r="BG162" s="9">
        <f>IF(55&lt;=核心参数输入!$B$9*4,季度现金流!BF167,0)</f>
        <v>4192.7586814795995</v>
      </c>
      <c r="BH162" s="9">
        <f>IF(56&lt;=核心参数输入!$B$9*4,季度现金流!BG167,0)</f>
        <v>4389.9486244472328</v>
      </c>
      <c r="BI162" s="9">
        <f>IF(57&lt;=核心参数输入!$B$9*4,季度现金流!BH167,0)</f>
        <v>4587.138567414866</v>
      </c>
      <c r="BJ162" s="9">
        <f>IF(58&lt;=核心参数输入!$B$9*4,季度现金流!BI167,0)</f>
        <v>4787.5042366195157</v>
      </c>
      <c r="BK162" s="9">
        <f>IF(59&lt;=核心参数输入!$B$9*4,季度现金流!BJ167,0)</f>
        <v>4987.8699058241655</v>
      </c>
      <c r="BL162" s="9">
        <f>IF(60&lt;=核心参数输入!$B$9*4,季度现金流!BK167,0)</f>
        <v>5188.2355750288152</v>
      </c>
      <c r="BM162" s="9">
        <f>IF(61&lt;=核心参数输入!$B$9*4,季度现金流!BL167,0)</f>
        <v>5388.601244233465</v>
      </c>
      <c r="BN162" s="9">
        <f>IF(62&lt;=核心参数输入!$B$9*4,季度现金流!BM167,0)</f>
        <v>5592.1811331105364</v>
      </c>
      <c r="BO162" s="9">
        <f>IF(63&lt;=核心参数输入!$B$9*4,季度现金流!BN167,0)</f>
        <v>5795.7610219876078</v>
      </c>
      <c r="BP162" s="9">
        <f>IF(64&lt;=核心参数输入!$B$9*4,季度现金流!BO167,0)</f>
        <v>5999.3409108646792</v>
      </c>
      <c r="BQ162" s="9">
        <f>IF(65&lt;=核心参数输入!$B$9*4,季度现金流!BP167,0)</f>
        <v>6202.9207997417507</v>
      </c>
      <c r="BR162" s="9">
        <f>IF(66&lt;=核心参数输入!$B$9*4,季度现金流!BQ167,0)</f>
        <v>6409.7537962790175</v>
      </c>
      <c r="BS162" s="9">
        <f>IF(67&lt;=核心参数输入!$B$9*4,季度现金流!BR167,0)</f>
        <v>6616.5867928162843</v>
      </c>
      <c r="BT162" s="9">
        <f>IF(68&lt;=核心参数输入!$B$9*4,季度现金流!BS167,0)</f>
        <v>6823.4197893535511</v>
      </c>
      <c r="BU162" s="9">
        <f>IF(69&lt;=核心参数输入!$B$9*4,季度现金流!BT167,0)</f>
        <v>7030.2527858908179</v>
      </c>
      <c r="BV162" s="9">
        <f>IF(70&lt;=核心参数输入!$B$9*4,季度现金流!BU167,0)</f>
        <v>7240.3781748897236</v>
      </c>
      <c r="BW162" s="9">
        <f>IF(71&lt;=核心参数输入!$B$9*4,季度现金流!BV167,0)</f>
        <v>7450.5035638886293</v>
      </c>
      <c r="BX162" s="9">
        <f>IF(72&lt;=核心参数输入!$B$9*4,季度现金流!BW167,0)</f>
        <v>7660.628952887535</v>
      </c>
      <c r="BY162" s="9">
        <f>IF(73&lt;=核心参数输入!$B$9*4,季度现金流!BX167,0)</f>
        <v>7870.7543418864407</v>
      </c>
      <c r="BZ162" s="9">
        <f>IF(74&lt;=核心参数输入!$B$9*4,季度现金流!BY167,0)</f>
        <v>8084.2118071841815</v>
      </c>
      <c r="CA162" s="9">
        <f>IF(75&lt;=核心参数输入!$B$9*4,季度现金流!BZ167,0)</f>
        <v>8297.6692724819222</v>
      </c>
      <c r="CB162" s="9">
        <f>IF(76&lt;=核心参数输入!$B$9*4,季度现金流!CA167,0)</f>
        <v>8511.126737779663</v>
      </c>
      <c r="CC162" s="9">
        <f>IF(77&lt;=核心参数输入!$B$9*4,季度现金流!CB167,0)</f>
        <v>8724.5842030774038</v>
      </c>
      <c r="CD162" s="9">
        <f>IF(78&lt;=核心参数输入!$B$9*4,季度现金流!CC167,0)</f>
        <v>8941.4138297277386</v>
      </c>
      <c r="CE162" s="9">
        <f>IF(79&lt;=核心参数输入!$B$9*4,季度现金流!CD167,0)</f>
        <v>9158.2434563780735</v>
      </c>
      <c r="CF162" s="9">
        <f>IF(80&lt;=核心参数输入!$B$9*4,季度现金流!CE167,0)</f>
        <v>9375.0730830284083</v>
      </c>
      <c r="CG162" s="9">
        <f>IF(81&lt;=核心参数输入!$B$9*4,季度现金流!CF167,0)</f>
        <v>0</v>
      </c>
      <c r="CH162" s="9">
        <f>IF(82&lt;=核心参数输入!$B$9*4,季度现金流!CG167,0)</f>
        <v>0</v>
      </c>
      <c r="CI162" s="9">
        <f>IF(83&lt;=核心参数输入!$B$9*4,季度现金流!CH167,0)</f>
        <v>0</v>
      </c>
      <c r="CJ162" s="9">
        <f>IF(84&lt;=核心参数输入!$B$9*4,季度现金流!CI167,0)</f>
        <v>0</v>
      </c>
      <c r="CK162" s="9">
        <f>IF(85&lt;=核心参数输入!$B$9*4,季度现金流!CJ167,0)</f>
        <v>0</v>
      </c>
      <c r="CL162" s="9">
        <f>IF(86&lt;=核心参数输入!$B$9*4,季度现金流!CK167,0)</f>
        <v>0</v>
      </c>
      <c r="CM162" s="9">
        <f>IF(87&lt;=核心参数输入!$B$9*4,季度现金流!CL167,0)</f>
        <v>0</v>
      </c>
      <c r="CN162" s="9">
        <f>IF(88&lt;=核心参数输入!$B$9*4,季度现金流!CM167,0)</f>
        <v>0</v>
      </c>
      <c r="CO162" s="9">
        <f>IF(89&lt;=核心参数输入!$B$9*4,季度现金流!CN167,0)</f>
        <v>0</v>
      </c>
      <c r="CP162" s="9">
        <f>IF(90&lt;=核心参数输入!$B$9*4,季度现金流!CO167,0)</f>
        <v>0</v>
      </c>
      <c r="CQ162" s="9">
        <f>IF(91&lt;=核心参数输入!$B$9*4,季度现金流!CP167,0)</f>
        <v>0</v>
      </c>
      <c r="CR162" s="9">
        <f>IF(92&lt;=核心参数输入!$B$9*4,季度现金流!CQ167,0)</f>
        <v>0</v>
      </c>
      <c r="CS162" s="9">
        <f>IF(93&lt;=核心参数输入!$B$9*4,季度现金流!CR167,0)</f>
        <v>0</v>
      </c>
      <c r="CT162" s="9">
        <f>IF(94&lt;=核心参数输入!$B$9*4,季度现金流!CS167,0)</f>
        <v>0</v>
      </c>
      <c r="CU162" s="9">
        <f>IF(95&lt;=核心参数输入!$B$9*4,季度现金流!CT167,0)</f>
        <v>0</v>
      </c>
      <c r="CV162" s="9">
        <f>IF(96&lt;=核心参数输入!$B$9*4,季度现金流!CU167,0)</f>
        <v>0</v>
      </c>
      <c r="CW162" s="9">
        <f>IF(97&lt;=核心参数输入!$B$9*4,季度现金流!CV167,0)</f>
        <v>0</v>
      </c>
      <c r="CX162" s="9">
        <f>IF(98&lt;=核心参数输入!$B$9*4,季度现金流!CW167,0)</f>
        <v>0</v>
      </c>
      <c r="CY162" s="9">
        <f>IF(99&lt;=核心参数输入!$B$9*4,季度现金流!CX167,0)</f>
        <v>0</v>
      </c>
      <c r="CZ162" s="9">
        <f>IF(100&lt;=核心参数输入!$B$9*4,季度现金流!CY167,0)</f>
        <v>0</v>
      </c>
      <c r="DA162" s="9">
        <f>IF(101&lt;=核心参数输入!$B$9*4,季度现金流!CZ167,0)</f>
        <v>0</v>
      </c>
      <c r="DB162" s="9">
        <f>IF(102&lt;=核心参数输入!$B$9*4,季度现金流!DA167,0)</f>
        <v>0</v>
      </c>
      <c r="DC162" s="9">
        <f>IF(103&lt;=核心参数输入!$B$9*4,季度现金流!DB167,0)</f>
        <v>0</v>
      </c>
      <c r="DD162" s="9">
        <f>IF(104&lt;=核心参数输入!$B$9*4,季度现金流!DC167,0)</f>
        <v>0</v>
      </c>
      <c r="DE162" s="9">
        <f>IF(105&lt;=核心参数输入!$B$9*4,季度现金流!DD167,0)</f>
        <v>0</v>
      </c>
      <c r="DF162" s="9">
        <f>IF(106&lt;=核心参数输入!$B$9*4,季度现金流!DE167,0)</f>
        <v>0</v>
      </c>
      <c r="DG162" s="9">
        <f>IF(107&lt;=核心参数输入!$B$9*4,季度现金流!DF167,0)</f>
        <v>0</v>
      </c>
      <c r="DH162" s="9">
        <f>IF(108&lt;=核心参数输入!$B$9*4,季度现金流!DG167,0)</f>
        <v>0</v>
      </c>
      <c r="DI162" s="9">
        <f>IF(109&lt;=核心参数输入!$B$9*4,季度现金流!DH167,0)</f>
        <v>0</v>
      </c>
      <c r="DJ162" s="9">
        <f>IF(110&lt;=核心参数输入!$B$9*4,季度现金流!DI167,0)</f>
        <v>0</v>
      </c>
      <c r="DK162" s="9">
        <f>IF(111&lt;=核心参数输入!$B$9*4,季度现金流!DJ167,0)</f>
        <v>0</v>
      </c>
      <c r="DL162" s="9">
        <f>IF(112&lt;=核心参数输入!$B$9*4,季度现金流!DK167,0)</f>
        <v>0</v>
      </c>
      <c r="DM162" s="9">
        <f>IF(113&lt;=核心参数输入!$B$9*4,季度现金流!DL167,0)</f>
        <v>0</v>
      </c>
      <c r="DN162" s="9">
        <f>IF(114&lt;=核心参数输入!$B$9*4,季度现金流!DM167,0)</f>
        <v>0</v>
      </c>
      <c r="DO162" s="9">
        <f>IF(115&lt;=核心参数输入!$B$9*4,季度现金流!DN167,0)</f>
        <v>0</v>
      </c>
      <c r="DP162" s="9">
        <f>IF(116&lt;=核心参数输入!$B$9*4,季度现金流!DO167,0)</f>
        <v>0</v>
      </c>
      <c r="DQ162" s="9">
        <f>IF(117&lt;=核心参数输入!$B$9*4,季度现金流!DP167,0)</f>
        <v>0</v>
      </c>
      <c r="DR162" s="9">
        <f>IF(118&lt;=核心参数输入!$B$9*4,季度现金流!DQ167,0)</f>
        <v>0</v>
      </c>
      <c r="DS162" s="9">
        <f>IF(119&lt;=核心参数输入!$B$9*4,季度现金流!DR167,0)</f>
        <v>0</v>
      </c>
      <c r="DT162" s="9">
        <f>IF(120&lt;=核心参数输入!$B$9*4,季度现金流!DS167,0)</f>
        <v>0</v>
      </c>
    </row>
    <row r="163" spans="1:124" ht="21" customHeight="1">
      <c r="A163" s="8" t="s">
        <v>545</v>
      </c>
      <c r="B163" s="8" t="s">
        <v>39</v>
      </c>
      <c r="C163" s="8"/>
      <c r="D163" s="9">
        <f>IF(0&lt;=核心参数输入!$B$9*4,0,0)</f>
        <v>0</v>
      </c>
      <c r="E163" s="9">
        <f>IF(1&lt;=核心参数输入!$B$9*4,季度现金流!D168,0)</f>
        <v>0</v>
      </c>
      <c r="F163" s="9">
        <f>IF(2&lt;=核心参数输入!$B$9*4,季度现金流!E168,0)</f>
        <v>0</v>
      </c>
      <c r="G163" s="9">
        <f>IF(3&lt;=核心参数输入!$B$9*4,季度现金流!F168,0)</f>
        <v>0</v>
      </c>
      <c r="H163" s="9">
        <f>IF(4&lt;=核心参数输入!$B$9*4,季度现金流!G168,0)</f>
        <v>0</v>
      </c>
      <c r="I163" s="9">
        <f>IF(5&lt;=核心参数输入!$B$9*4,季度现金流!H168,0)</f>
        <v>0</v>
      </c>
      <c r="J163" s="9">
        <f>IF(6&lt;=核心参数输入!$B$9*4,季度现金流!I168,0)</f>
        <v>0</v>
      </c>
      <c r="K163" s="9">
        <f>IF(7&lt;=核心参数输入!$B$9*4,季度现金流!J168,0)</f>
        <v>0</v>
      </c>
      <c r="L163" s="9">
        <f>IF(8&lt;=核心参数输入!$B$9*4,季度现金流!K168,0)</f>
        <v>0</v>
      </c>
      <c r="M163" s="9">
        <f>IF(9&lt;=核心参数输入!$B$9*4,季度现金流!L168,0)</f>
        <v>0</v>
      </c>
      <c r="N163" s="9">
        <f>IF(10&lt;=核心参数输入!$B$9*4,季度现金流!M168,0)</f>
        <v>0</v>
      </c>
      <c r="O163" s="9">
        <f>IF(11&lt;=核心参数输入!$B$9*4,季度现金流!N168,0)</f>
        <v>287.45000000000255</v>
      </c>
      <c r="P163" s="9">
        <f>IF(12&lt;=核心参数输入!$B$9*4,季度现金流!O168,0)</f>
        <v>2682.9125000000022</v>
      </c>
      <c r="Q163" s="9">
        <f>IF(13&lt;=核心参数输入!$B$9*4,季度现金流!P168,0)</f>
        <v>5102.0000000000018</v>
      </c>
      <c r="R163" s="9">
        <f>IF(14&lt;=核心参数输入!$B$9*4,季度现金流!Q168,0)</f>
        <v>4098.6573437500019</v>
      </c>
      <c r="S163" s="9">
        <f>IF(15&lt;=核心参数输入!$B$9*4,季度现金流!R168,0)</f>
        <v>1600.0325185150018</v>
      </c>
      <c r="T163" s="9">
        <f>IF(16&lt;=核心参数输入!$B$9*4,季度现金流!S168,0)</f>
        <v>0</v>
      </c>
      <c r="U163" s="9">
        <f>IF(17&lt;=核心参数输入!$B$9*4,季度现金流!T168,0)</f>
        <v>758.19788984928618</v>
      </c>
      <c r="V163" s="9">
        <f>IF(18&lt;=核心参数输入!$B$9*4,季度现金流!U168,0)</f>
        <v>0</v>
      </c>
      <c r="W163" s="9">
        <f>IF(19&lt;=核心参数输入!$B$9*4,季度现金流!V168,0)</f>
        <v>0</v>
      </c>
      <c r="X163" s="9">
        <f>IF(20&lt;=核心参数输入!$B$9*4,季度现金流!W168,0)</f>
        <v>0</v>
      </c>
      <c r="Y163" s="9">
        <f>IF(21&lt;=核心参数输入!$B$9*4,季度现金流!X168,0)</f>
        <v>0</v>
      </c>
      <c r="Z163" s="9">
        <f>IF(22&lt;=核心参数输入!$B$9*4,季度现金流!Y168,0)</f>
        <v>0</v>
      </c>
      <c r="AA163" s="9">
        <f>IF(23&lt;=核心参数输入!$B$9*4,季度现金流!Z168,0)</f>
        <v>0</v>
      </c>
      <c r="AB163" s="9">
        <f>IF(24&lt;=核心参数输入!$B$9*4,季度现金流!AA168,0)</f>
        <v>0</v>
      </c>
      <c r="AC163" s="9">
        <f>IF(25&lt;=核心参数输入!$B$9*4,季度现金流!AB168,0)</f>
        <v>0</v>
      </c>
      <c r="AD163" s="9">
        <f>IF(26&lt;=核心参数输入!$B$9*4,季度现金流!AC168,0)</f>
        <v>0</v>
      </c>
      <c r="AE163" s="9">
        <f>IF(27&lt;=核心参数输入!$B$9*4,季度现金流!AD168,0)</f>
        <v>0</v>
      </c>
      <c r="AF163" s="9">
        <f>IF(28&lt;=核心参数输入!$B$9*4,季度现金流!AE168,0)</f>
        <v>0</v>
      </c>
      <c r="AG163" s="9">
        <f>IF(29&lt;=核心参数输入!$B$9*4,季度现金流!AF168,0)</f>
        <v>0</v>
      </c>
      <c r="AH163" s="9">
        <f>IF(30&lt;=核心参数输入!$B$9*4,季度现金流!AG168,0)</f>
        <v>0</v>
      </c>
      <c r="AI163" s="9">
        <f>IF(31&lt;=核心参数输入!$B$9*4,季度现金流!AH168,0)</f>
        <v>0</v>
      </c>
      <c r="AJ163" s="9">
        <f>IF(32&lt;=核心参数输入!$B$9*4,季度现金流!AI168,0)</f>
        <v>0</v>
      </c>
      <c r="AK163" s="9">
        <f>IF(33&lt;=核心参数输入!$B$9*4,季度现金流!AJ168,0)</f>
        <v>0</v>
      </c>
      <c r="AL163" s="9">
        <f>IF(34&lt;=核心参数输入!$B$9*4,季度现金流!AK168,0)</f>
        <v>0</v>
      </c>
      <c r="AM163" s="9">
        <f>IF(35&lt;=核心参数输入!$B$9*4,季度现金流!AL168,0)</f>
        <v>0</v>
      </c>
      <c r="AN163" s="9">
        <f>IF(36&lt;=核心参数输入!$B$9*4,季度现金流!AM168,0)</f>
        <v>0</v>
      </c>
      <c r="AO163" s="9">
        <f>IF(37&lt;=核心参数输入!$B$9*4,季度现金流!AN168,0)</f>
        <v>0</v>
      </c>
      <c r="AP163" s="9">
        <f>IF(38&lt;=核心参数输入!$B$9*4,季度现金流!AO168,0)</f>
        <v>0</v>
      </c>
      <c r="AQ163" s="9">
        <f>IF(39&lt;=核心参数输入!$B$9*4,季度现金流!AP168,0)</f>
        <v>0</v>
      </c>
      <c r="AR163" s="9">
        <f>IF(40&lt;=核心参数输入!$B$9*4,季度现金流!AQ168,0)</f>
        <v>0</v>
      </c>
      <c r="AS163" s="9">
        <f>IF(41&lt;=核心参数输入!$B$9*4,季度现金流!AR168,0)</f>
        <v>0</v>
      </c>
      <c r="AT163" s="9">
        <f>IF(42&lt;=核心参数输入!$B$9*4,季度现金流!AS168,0)</f>
        <v>0</v>
      </c>
      <c r="AU163" s="9">
        <f>IF(43&lt;=核心参数输入!$B$9*4,季度现金流!AT168,0)</f>
        <v>0</v>
      </c>
      <c r="AV163" s="9">
        <f>IF(44&lt;=核心参数输入!$B$9*4,季度现金流!AU168,0)</f>
        <v>0</v>
      </c>
      <c r="AW163" s="9">
        <f>IF(45&lt;=核心参数输入!$B$9*4,季度现金流!AV168,0)</f>
        <v>0</v>
      </c>
      <c r="AX163" s="9">
        <f>IF(46&lt;=核心参数输入!$B$9*4,季度现金流!AW168,0)</f>
        <v>0</v>
      </c>
      <c r="AY163" s="9">
        <f>IF(47&lt;=核心参数输入!$B$9*4,季度现金流!AX168,0)</f>
        <v>0</v>
      </c>
      <c r="AZ163" s="9">
        <f>IF(48&lt;=核心参数输入!$B$9*4,季度现金流!AY168,0)</f>
        <v>0</v>
      </c>
      <c r="BA163" s="9">
        <f>IF(49&lt;=核心参数输入!$B$9*4,季度现金流!AZ168,0)</f>
        <v>0</v>
      </c>
      <c r="BB163" s="9">
        <f>IF(50&lt;=核心参数输入!$B$9*4,季度现金流!BA168,0)</f>
        <v>0</v>
      </c>
      <c r="BC163" s="9">
        <f>IF(51&lt;=核心参数输入!$B$9*4,季度现金流!BB168,0)</f>
        <v>0</v>
      </c>
      <c r="BD163" s="9">
        <f>IF(52&lt;=核心参数输入!$B$9*4,季度现金流!BC168,0)</f>
        <v>0</v>
      </c>
      <c r="BE163" s="9">
        <f>IF(53&lt;=核心参数输入!$B$9*4,季度现金流!BD168,0)</f>
        <v>0</v>
      </c>
      <c r="BF163" s="9">
        <f>IF(54&lt;=核心参数输入!$B$9*4,季度现金流!BE168,0)</f>
        <v>0</v>
      </c>
      <c r="BG163" s="9">
        <f>IF(55&lt;=核心参数输入!$B$9*4,季度现金流!BF168,0)</f>
        <v>0</v>
      </c>
      <c r="BH163" s="9">
        <f>IF(56&lt;=核心参数输入!$B$9*4,季度现金流!BG168,0)</f>
        <v>0</v>
      </c>
      <c r="BI163" s="9">
        <f>IF(57&lt;=核心参数输入!$B$9*4,季度现金流!BH168,0)</f>
        <v>0</v>
      </c>
      <c r="BJ163" s="9">
        <f>IF(58&lt;=核心参数输入!$B$9*4,季度现金流!BI168,0)</f>
        <v>0</v>
      </c>
      <c r="BK163" s="9">
        <f>IF(59&lt;=核心参数输入!$B$9*4,季度现金流!BJ168,0)</f>
        <v>0</v>
      </c>
      <c r="BL163" s="9">
        <f>IF(60&lt;=核心参数输入!$B$9*4,季度现金流!BK168,0)</f>
        <v>0</v>
      </c>
      <c r="BM163" s="9">
        <f>IF(61&lt;=核心参数输入!$B$9*4,季度现金流!BL168,0)</f>
        <v>0</v>
      </c>
      <c r="BN163" s="9">
        <f>IF(62&lt;=核心参数输入!$B$9*4,季度现金流!BM168,0)</f>
        <v>0</v>
      </c>
      <c r="BO163" s="9">
        <f>IF(63&lt;=核心参数输入!$B$9*4,季度现金流!BN168,0)</f>
        <v>0</v>
      </c>
      <c r="BP163" s="9">
        <f>IF(64&lt;=核心参数输入!$B$9*4,季度现金流!BO168,0)</f>
        <v>0</v>
      </c>
      <c r="BQ163" s="9">
        <f>IF(65&lt;=核心参数输入!$B$9*4,季度现金流!BP168,0)</f>
        <v>0</v>
      </c>
      <c r="BR163" s="9">
        <f>IF(66&lt;=核心参数输入!$B$9*4,季度现金流!BQ168,0)</f>
        <v>0</v>
      </c>
      <c r="BS163" s="9">
        <f>IF(67&lt;=核心参数输入!$B$9*4,季度现金流!BR168,0)</f>
        <v>0</v>
      </c>
      <c r="BT163" s="9">
        <f>IF(68&lt;=核心参数输入!$B$9*4,季度现金流!BS168,0)</f>
        <v>0</v>
      </c>
      <c r="BU163" s="9">
        <f>IF(69&lt;=核心参数输入!$B$9*4,季度现金流!BT168,0)</f>
        <v>0</v>
      </c>
      <c r="BV163" s="9">
        <f>IF(70&lt;=核心参数输入!$B$9*4,季度现金流!BU168,0)</f>
        <v>0</v>
      </c>
      <c r="BW163" s="9">
        <f>IF(71&lt;=核心参数输入!$B$9*4,季度现金流!BV168,0)</f>
        <v>0</v>
      </c>
      <c r="BX163" s="9">
        <f>IF(72&lt;=核心参数输入!$B$9*4,季度现金流!BW168,0)</f>
        <v>0</v>
      </c>
      <c r="BY163" s="9">
        <f>IF(73&lt;=核心参数输入!$B$9*4,季度现金流!BX168,0)</f>
        <v>0</v>
      </c>
      <c r="BZ163" s="9">
        <f>IF(74&lt;=核心参数输入!$B$9*4,季度现金流!BY168,0)</f>
        <v>0</v>
      </c>
      <c r="CA163" s="9">
        <f>IF(75&lt;=核心参数输入!$B$9*4,季度现金流!BZ168,0)</f>
        <v>0</v>
      </c>
      <c r="CB163" s="9">
        <f>IF(76&lt;=核心参数输入!$B$9*4,季度现金流!CA168,0)</f>
        <v>0</v>
      </c>
      <c r="CC163" s="9">
        <f>IF(77&lt;=核心参数输入!$B$9*4,季度现金流!CB168,0)</f>
        <v>0</v>
      </c>
      <c r="CD163" s="9">
        <f>IF(78&lt;=核心参数输入!$B$9*4,季度现金流!CC168,0)</f>
        <v>0</v>
      </c>
      <c r="CE163" s="9">
        <f>IF(79&lt;=核心参数输入!$B$9*4,季度现金流!CD168,0)</f>
        <v>0</v>
      </c>
      <c r="CF163" s="9">
        <f>IF(80&lt;=核心参数输入!$B$9*4,季度现金流!CE168,0)</f>
        <v>0</v>
      </c>
      <c r="CG163" s="9">
        <f>IF(81&lt;=核心参数输入!$B$9*4,季度现金流!CF168,0)</f>
        <v>0</v>
      </c>
      <c r="CH163" s="9">
        <f>IF(82&lt;=核心参数输入!$B$9*4,季度现金流!CG168,0)</f>
        <v>0</v>
      </c>
      <c r="CI163" s="9">
        <f>IF(83&lt;=核心参数输入!$B$9*4,季度现金流!CH168,0)</f>
        <v>0</v>
      </c>
      <c r="CJ163" s="9">
        <f>IF(84&lt;=核心参数输入!$B$9*4,季度现金流!CI168,0)</f>
        <v>0</v>
      </c>
      <c r="CK163" s="9">
        <f>IF(85&lt;=核心参数输入!$B$9*4,季度现金流!CJ168,0)</f>
        <v>0</v>
      </c>
      <c r="CL163" s="9">
        <f>IF(86&lt;=核心参数输入!$B$9*4,季度现金流!CK168,0)</f>
        <v>0</v>
      </c>
      <c r="CM163" s="9">
        <f>IF(87&lt;=核心参数输入!$B$9*4,季度现金流!CL168,0)</f>
        <v>0</v>
      </c>
      <c r="CN163" s="9">
        <f>IF(88&lt;=核心参数输入!$B$9*4,季度现金流!CM168,0)</f>
        <v>0</v>
      </c>
      <c r="CO163" s="9">
        <f>IF(89&lt;=核心参数输入!$B$9*4,季度现金流!CN168,0)</f>
        <v>0</v>
      </c>
      <c r="CP163" s="9">
        <f>IF(90&lt;=核心参数输入!$B$9*4,季度现金流!CO168,0)</f>
        <v>0</v>
      </c>
      <c r="CQ163" s="9">
        <f>IF(91&lt;=核心参数输入!$B$9*4,季度现金流!CP168,0)</f>
        <v>0</v>
      </c>
      <c r="CR163" s="9">
        <f>IF(92&lt;=核心参数输入!$B$9*4,季度现金流!CQ168,0)</f>
        <v>0</v>
      </c>
      <c r="CS163" s="9">
        <f>IF(93&lt;=核心参数输入!$B$9*4,季度现金流!CR168,0)</f>
        <v>0</v>
      </c>
      <c r="CT163" s="9">
        <f>IF(94&lt;=核心参数输入!$B$9*4,季度现金流!CS168,0)</f>
        <v>0</v>
      </c>
      <c r="CU163" s="9">
        <f>IF(95&lt;=核心参数输入!$B$9*4,季度现金流!CT168,0)</f>
        <v>0</v>
      </c>
      <c r="CV163" s="9">
        <f>IF(96&lt;=核心参数输入!$B$9*4,季度现金流!CU168,0)</f>
        <v>0</v>
      </c>
      <c r="CW163" s="9">
        <f>IF(97&lt;=核心参数输入!$B$9*4,季度现金流!CV168,0)</f>
        <v>0</v>
      </c>
      <c r="CX163" s="9">
        <f>IF(98&lt;=核心参数输入!$B$9*4,季度现金流!CW168,0)</f>
        <v>0</v>
      </c>
      <c r="CY163" s="9">
        <f>IF(99&lt;=核心参数输入!$B$9*4,季度现金流!CX168,0)</f>
        <v>0</v>
      </c>
      <c r="CZ163" s="9">
        <f>IF(100&lt;=核心参数输入!$B$9*4,季度现金流!CY168,0)</f>
        <v>0</v>
      </c>
      <c r="DA163" s="9">
        <f>IF(101&lt;=核心参数输入!$B$9*4,季度现金流!CZ168,0)</f>
        <v>0</v>
      </c>
      <c r="DB163" s="9">
        <f>IF(102&lt;=核心参数输入!$B$9*4,季度现金流!DA168,0)</f>
        <v>0</v>
      </c>
      <c r="DC163" s="9">
        <f>IF(103&lt;=核心参数输入!$B$9*4,季度现金流!DB168,0)</f>
        <v>0</v>
      </c>
      <c r="DD163" s="9">
        <f>IF(104&lt;=核心参数输入!$B$9*4,季度现金流!DC168,0)</f>
        <v>0</v>
      </c>
      <c r="DE163" s="9">
        <f>IF(105&lt;=核心参数输入!$B$9*4,季度现金流!DD168,0)</f>
        <v>0</v>
      </c>
      <c r="DF163" s="9">
        <f>IF(106&lt;=核心参数输入!$B$9*4,季度现金流!DE168,0)</f>
        <v>0</v>
      </c>
      <c r="DG163" s="9">
        <f>IF(107&lt;=核心参数输入!$B$9*4,季度现金流!DF168,0)</f>
        <v>0</v>
      </c>
      <c r="DH163" s="9">
        <f>IF(108&lt;=核心参数输入!$B$9*4,季度现金流!DG168,0)</f>
        <v>0</v>
      </c>
      <c r="DI163" s="9">
        <f>IF(109&lt;=核心参数输入!$B$9*4,季度现金流!DH168,0)</f>
        <v>0</v>
      </c>
      <c r="DJ163" s="9">
        <f>IF(110&lt;=核心参数输入!$B$9*4,季度现金流!DI168,0)</f>
        <v>0</v>
      </c>
      <c r="DK163" s="9">
        <f>IF(111&lt;=核心参数输入!$B$9*4,季度现金流!DJ168,0)</f>
        <v>0</v>
      </c>
      <c r="DL163" s="9">
        <f>IF(112&lt;=核心参数输入!$B$9*4,季度现金流!DK168,0)</f>
        <v>0</v>
      </c>
      <c r="DM163" s="9">
        <f>IF(113&lt;=核心参数输入!$B$9*4,季度现金流!DL168,0)</f>
        <v>0</v>
      </c>
      <c r="DN163" s="9">
        <f>IF(114&lt;=核心参数输入!$B$9*4,季度现金流!DM168,0)</f>
        <v>0</v>
      </c>
      <c r="DO163" s="9">
        <f>IF(115&lt;=核心参数输入!$B$9*4,季度现金流!DN168,0)</f>
        <v>0</v>
      </c>
      <c r="DP163" s="9">
        <f>IF(116&lt;=核心参数输入!$B$9*4,季度现金流!DO168,0)</f>
        <v>0</v>
      </c>
      <c r="DQ163" s="9">
        <f>IF(117&lt;=核心参数输入!$B$9*4,季度现金流!DP168,0)</f>
        <v>0</v>
      </c>
      <c r="DR163" s="9">
        <f>IF(118&lt;=核心参数输入!$B$9*4,季度现金流!DQ168,0)</f>
        <v>0</v>
      </c>
      <c r="DS163" s="9">
        <f>IF(119&lt;=核心参数输入!$B$9*4,季度现金流!DR168,0)</f>
        <v>0</v>
      </c>
      <c r="DT163" s="9">
        <f>IF(120&lt;=核心参数输入!$B$9*4,季度现金流!DS168,0)</f>
        <v>0</v>
      </c>
    </row>
    <row r="164" spans="1:124" ht="21" customHeight="1">
      <c r="A164" s="8" t="s">
        <v>546</v>
      </c>
      <c r="B164" s="8" t="s">
        <v>39</v>
      </c>
      <c r="C164" s="8"/>
      <c r="D164" s="9">
        <f>IF(0&lt;=核心参数输入!$B$9*4,MAX(0,-(D162+D156-D163)+IF(AND(0&gt;0,OR(核心参数输入!$B$64=0,0&lt;核心参数输入!$B$9*4)),核心参数输入!$B$123,0)),0)</f>
        <v>8000</v>
      </c>
      <c r="E164" s="9">
        <f>IF(1&lt;=核心参数输入!$B$9*4,MAX(0,-(E162+E156-E163)+IF(AND(1&gt;0,OR(核心参数输入!$B$64=0,1&lt;核心参数输入!$B$9*4)),核心参数输入!$B$123,0)),0)</f>
        <v>2127.7124999999996</v>
      </c>
      <c r="F164" s="9">
        <f>IF(2&lt;=核心参数输入!$B$9*4,MAX(0,-(F162+F156-F163)+IF(AND(2&gt;0,OR(核心参数输入!$B$64=0,2&lt;核心参数输入!$B$9*4)),核心参数输入!$B$123,0)),0)</f>
        <v>2151.3374999999996</v>
      </c>
      <c r="G164" s="9">
        <f>IF(3&lt;=核心参数输入!$B$9*4,MAX(0,-(G162+G156-G163)+IF(AND(3&gt;0,OR(核心参数输入!$B$64=0,3&lt;核心参数输入!$B$9*4)),核心参数输入!$B$123,0)),0)</f>
        <v>2174.9624999999996</v>
      </c>
      <c r="H164" s="9">
        <f>IF(4&lt;=核心参数输入!$B$9*4,MAX(0,-(H162+H156-H163)+IF(AND(4&gt;0,OR(核心参数输入!$B$64=0,4&lt;核心参数输入!$B$9*4)),核心参数输入!$B$123,0)),0)</f>
        <v>2198.5874999999996</v>
      </c>
      <c r="I164" s="9">
        <f>IF(5&lt;=核心参数输入!$B$9*4,MAX(0,-(I162+I156-I163)+IF(AND(5&gt;0,OR(核心参数输入!$B$64=0,5&lt;核心参数输入!$B$9*4)),核心参数输入!$B$123,0)),0)</f>
        <v>2931.4500000000007</v>
      </c>
      <c r="J164" s="9">
        <f>IF(6&lt;=核心参数输入!$B$9*4,MAX(0,-(J162+J156-J163)+IF(AND(6&gt;0,OR(核心参数输入!$B$64=0,6&lt;核心参数输入!$B$9*4)),核心参数输入!$B$123,0)),0)</f>
        <v>2962.9500000000007</v>
      </c>
      <c r="K164" s="9">
        <f>IF(7&lt;=核心参数输入!$B$9*4,MAX(0,-(K162+K156-K163)+IF(AND(7&gt;0,OR(核心参数输入!$B$64=0,7&lt;核心参数输入!$B$9*4)),核心参数输入!$B$123,0)),0)</f>
        <v>2994.4500000000007</v>
      </c>
      <c r="L164" s="9">
        <f>IF(8&lt;=核心参数输入!$B$9*4,MAX(0,-(L162+L156-L163)+IF(AND(8&gt;0,OR(核心参数输入!$B$64=0,8&lt;核心参数输入!$B$9*4)),核心参数输入!$B$123,0)),0)</f>
        <v>3025.9500000000007</v>
      </c>
      <c r="M164" s="9">
        <f>IF(9&lt;=核心参数输入!$B$9*4,MAX(0,-(M162+M156-M163)+IF(AND(9&gt;0,OR(核心参数输入!$B$64=0,9&lt;核心参数输入!$B$9*4)),核心参数输入!$B$123,0)),0)</f>
        <v>2348.2124999999996</v>
      </c>
      <c r="N164" s="9">
        <f>IF(10&lt;=核心参数输入!$B$9*4,MAX(0,-(N162+N156-N163)+IF(AND(10&gt;0,OR(核心参数输入!$B$64=0,10&lt;核心参数输入!$B$9*4)),核心参数输入!$B$123,0)),0)</f>
        <v>2371.8374999999996</v>
      </c>
      <c r="O164" s="9">
        <f>IF(11&lt;=核心参数输入!$B$9*4,MAX(0,-(O162+O156-O163)+IF(AND(11&gt;0,OR(核心参数输入!$B$64=0,11&lt;核心参数输入!$B$9*4)),核心参数输入!$B$123,0)),0)</f>
        <v>2682.9125000000022</v>
      </c>
      <c r="P164" s="9">
        <f>IF(12&lt;=核心参数输入!$B$9*4,MAX(0,-(P162+P156-P163)+IF(AND(12&gt;0,OR(核心参数输入!$B$64=0,12&lt;核心参数输入!$B$9*4)),核心参数输入!$B$123,0)),0)</f>
        <v>5102.0000000000018</v>
      </c>
      <c r="Q164" s="9">
        <f>IF(13&lt;=核心参数输入!$B$9*4,MAX(0,-(Q162+Q156-Q163)+IF(AND(13&gt;0,OR(核心参数输入!$B$64=0,13&lt;核心参数输入!$B$9*4)),核心参数输入!$B$123,0)),0)</f>
        <v>4098.6573437500019</v>
      </c>
      <c r="R164" s="9">
        <f>IF(14&lt;=核心参数输入!$B$9*4,MAX(0,-(R162+R156-R163)+IF(AND(14&gt;0,OR(核心参数输入!$B$64=0,14&lt;核心参数输入!$B$9*4)),核心参数输入!$B$123,0)),0)</f>
        <v>1600.0325185150018</v>
      </c>
      <c r="S164" s="9">
        <f>IF(15&lt;=核心参数输入!$B$9*4,MAX(0,-(S162+S156-S163)+IF(AND(15&gt;0,OR(核心参数输入!$B$64=0,15&lt;核心参数输入!$B$9*4)),核心参数输入!$B$123,0)),0)</f>
        <v>0</v>
      </c>
      <c r="T164" s="9">
        <f>IF(16&lt;=核心参数输入!$B$9*4,MAX(0,-(T162+T156-T163)+IF(AND(16&gt;0,OR(核心参数输入!$B$64=0,16&lt;核心参数输入!$B$9*4)),核心参数输入!$B$123,0)),0)</f>
        <v>758.19788984928618</v>
      </c>
      <c r="U164" s="9">
        <f>IF(17&lt;=核心参数输入!$B$9*4,MAX(0,-(U162+U156-U163)+IF(AND(17&gt;0,OR(核心参数输入!$B$64=0,17&lt;核心参数输入!$B$9*4)),核心参数输入!$B$123,0)),0)</f>
        <v>0</v>
      </c>
      <c r="V164" s="9">
        <f>IF(18&lt;=核心参数输入!$B$9*4,MAX(0,-(V162+V156-V163)+IF(AND(18&gt;0,OR(核心参数输入!$B$64=0,18&lt;核心参数输入!$B$9*4)),核心参数输入!$B$123,0)),0)</f>
        <v>0</v>
      </c>
      <c r="W164" s="9">
        <f>IF(19&lt;=核心参数输入!$B$9*4,MAX(0,-(W162+W156-W163)+IF(AND(19&gt;0,OR(核心参数输入!$B$64=0,19&lt;核心参数输入!$B$9*4)),核心参数输入!$B$123,0)),0)</f>
        <v>0</v>
      </c>
      <c r="X164" s="9">
        <f>IF(20&lt;=核心参数输入!$B$9*4,MAX(0,-(X162+X156-X163)+IF(AND(20&gt;0,OR(核心参数输入!$B$64=0,20&lt;核心参数输入!$B$9*4)),核心参数输入!$B$123,0)),0)</f>
        <v>0</v>
      </c>
      <c r="Y164" s="9">
        <f>IF(21&lt;=核心参数输入!$B$9*4,MAX(0,-(Y162+Y156-Y163)+IF(AND(21&gt;0,OR(核心参数输入!$B$64=0,21&lt;核心参数输入!$B$9*4)),核心参数输入!$B$123,0)),0)</f>
        <v>0</v>
      </c>
      <c r="Z164" s="9">
        <f>IF(22&lt;=核心参数输入!$B$9*4,MAX(0,-(Z162+Z156-Z163)+IF(AND(22&gt;0,OR(核心参数输入!$B$64=0,22&lt;核心参数输入!$B$9*4)),核心参数输入!$B$123,0)),0)</f>
        <v>0</v>
      </c>
      <c r="AA164" s="9">
        <f>IF(23&lt;=核心参数输入!$B$9*4,MAX(0,-(AA162+AA156-AA163)+IF(AND(23&gt;0,OR(核心参数输入!$B$64=0,23&lt;核心参数输入!$B$9*4)),核心参数输入!$B$123,0)),0)</f>
        <v>0</v>
      </c>
      <c r="AB164" s="9">
        <f>IF(24&lt;=核心参数输入!$B$9*4,MAX(0,-(AB162+AB156-AB163)+IF(AND(24&gt;0,OR(核心参数输入!$B$64=0,24&lt;核心参数输入!$B$9*4)),核心参数输入!$B$123,0)),0)</f>
        <v>0</v>
      </c>
      <c r="AC164" s="9">
        <f>IF(25&lt;=核心参数输入!$B$9*4,MAX(0,-(AC162+AC156-AC163)+IF(AND(25&gt;0,OR(核心参数输入!$B$64=0,25&lt;核心参数输入!$B$9*4)),核心参数输入!$B$123,0)),0)</f>
        <v>0</v>
      </c>
      <c r="AD164" s="9">
        <f>IF(26&lt;=核心参数输入!$B$9*4,MAX(0,-(AD162+AD156-AD163)+IF(AND(26&gt;0,OR(核心参数输入!$B$64=0,26&lt;核心参数输入!$B$9*4)),核心参数输入!$B$123,0)),0)</f>
        <v>0</v>
      </c>
      <c r="AE164" s="9">
        <f>IF(27&lt;=核心参数输入!$B$9*4,MAX(0,-(AE162+AE156-AE163)+IF(AND(27&gt;0,OR(核心参数输入!$B$64=0,27&lt;核心参数输入!$B$9*4)),核心参数输入!$B$123,0)),0)</f>
        <v>0</v>
      </c>
      <c r="AF164" s="9">
        <f>IF(28&lt;=核心参数输入!$B$9*4,MAX(0,-(AF162+AF156-AF163)+IF(AND(28&gt;0,OR(核心参数输入!$B$64=0,28&lt;核心参数输入!$B$9*4)),核心参数输入!$B$123,0)),0)</f>
        <v>0</v>
      </c>
      <c r="AG164" s="9">
        <f>IF(29&lt;=核心参数输入!$B$9*4,MAX(0,-(AG162+AG156-AG163)+IF(AND(29&gt;0,OR(核心参数输入!$B$64=0,29&lt;核心参数输入!$B$9*4)),核心参数输入!$B$123,0)),0)</f>
        <v>0</v>
      </c>
      <c r="AH164" s="9">
        <f>IF(30&lt;=核心参数输入!$B$9*4,MAX(0,-(AH162+AH156-AH163)+IF(AND(30&gt;0,OR(核心参数输入!$B$64=0,30&lt;核心参数输入!$B$9*4)),核心参数输入!$B$123,0)),0)</f>
        <v>0</v>
      </c>
      <c r="AI164" s="9">
        <f>IF(31&lt;=核心参数输入!$B$9*4,MAX(0,-(AI162+AI156-AI163)+IF(AND(31&gt;0,OR(核心参数输入!$B$64=0,31&lt;核心参数输入!$B$9*4)),核心参数输入!$B$123,0)),0)</f>
        <v>0</v>
      </c>
      <c r="AJ164" s="9">
        <f>IF(32&lt;=核心参数输入!$B$9*4,MAX(0,-(AJ162+AJ156-AJ163)+IF(AND(32&gt;0,OR(核心参数输入!$B$64=0,32&lt;核心参数输入!$B$9*4)),核心参数输入!$B$123,0)),0)</f>
        <v>0</v>
      </c>
      <c r="AK164" s="9">
        <f>IF(33&lt;=核心参数输入!$B$9*4,MAX(0,-(AK162+AK156-AK163)+IF(AND(33&gt;0,OR(核心参数输入!$B$64=0,33&lt;核心参数输入!$B$9*4)),核心参数输入!$B$123,0)),0)</f>
        <v>0</v>
      </c>
      <c r="AL164" s="9">
        <f>IF(34&lt;=核心参数输入!$B$9*4,MAX(0,-(AL162+AL156-AL163)+IF(AND(34&gt;0,OR(核心参数输入!$B$64=0,34&lt;核心参数输入!$B$9*4)),核心参数输入!$B$123,0)),0)</f>
        <v>0</v>
      </c>
      <c r="AM164" s="9">
        <f>IF(35&lt;=核心参数输入!$B$9*4,MAX(0,-(AM162+AM156-AM163)+IF(AND(35&gt;0,OR(核心参数输入!$B$64=0,35&lt;核心参数输入!$B$9*4)),核心参数输入!$B$123,0)),0)</f>
        <v>0</v>
      </c>
      <c r="AN164" s="9">
        <f>IF(36&lt;=核心参数输入!$B$9*4,MAX(0,-(AN162+AN156-AN163)+IF(AND(36&gt;0,OR(核心参数输入!$B$64=0,36&lt;核心参数输入!$B$9*4)),核心参数输入!$B$123,0)),0)</f>
        <v>0</v>
      </c>
      <c r="AO164" s="9">
        <f>IF(37&lt;=核心参数输入!$B$9*4,MAX(0,-(AO162+AO156-AO163)+IF(AND(37&gt;0,OR(核心参数输入!$B$64=0,37&lt;核心参数输入!$B$9*4)),核心参数输入!$B$123,0)),0)</f>
        <v>0</v>
      </c>
      <c r="AP164" s="9">
        <f>IF(38&lt;=核心参数输入!$B$9*4,MAX(0,-(AP162+AP156-AP163)+IF(AND(38&gt;0,OR(核心参数输入!$B$64=0,38&lt;核心参数输入!$B$9*4)),核心参数输入!$B$123,0)),0)</f>
        <v>0</v>
      </c>
      <c r="AQ164" s="9">
        <f>IF(39&lt;=核心参数输入!$B$9*4,MAX(0,-(AQ162+AQ156-AQ163)+IF(AND(39&gt;0,OR(核心参数输入!$B$64=0,39&lt;核心参数输入!$B$9*4)),核心参数输入!$B$123,0)),0)</f>
        <v>0</v>
      </c>
      <c r="AR164" s="9">
        <f>IF(40&lt;=核心参数输入!$B$9*4,MAX(0,-(AR162+AR156-AR163)+IF(AND(40&gt;0,OR(核心参数输入!$B$64=0,40&lt;核心参数输入!$B$9*4)),核心参数输入!$B$123,0)),0)</f>
        <v>0</v>
      </c>
      <c r="AS164" s="9">
        <f>IF(41&lt;=核心参数输入!$B$9*4,MAX(0,-(AS162+AS156-AS163)+IF(AND(41&gt;0,OR(核心参数输入!$B$64=0,41&lt;核心参数输入!$B$9*4)),核心参数输入!$B$123,0)),0)</f>
        <v>0</v>
      </c>
      <c r="AT164" s="9">
        <f>IF(42&lt;=核心参数输入!$B$9*4,MAX(0,-(AT162+AT156-AT163)+IF(AND(42&gt;0,OR(核心参数输入!$B$64=0,42&lt;核心参数输入!$B$9*4)),核心参数输入!$B$123,0)),0)</f>
        <v>0</v>
      </c>
      <c r="AU164" s="9">
        <f>IF(43&lt;=核心参数输入!$B$9*4,MAX(0,-(AU162+AU156-AU163)+IF(AND(43&gt;0,OR(核心参数输入!$B$64=0,43&lt;核心参数输入!$B$9*4)),核心参数输入!$B$123,0)),0)</f>
        <v>0</v>
      </c>
      <c r="AV164" s="9">
        <f>IF(44&lt;=核心参数输入!$B$9*4,MAX(0,-(AV162+AV156-AV163)+IF(AND(44&gt;0,OR(核心参数输入!$B$64=0,44&lt;核心参数输入!$B$9*4)),核心参数输入!$B$123,0)),0)</f>
        <v>0</v>
      </c>
      <c r="AW164" s="9">
        <f>IF(45&lt;=核心参数输入!$B$9*4,MAX(0,-(AW162+AW156-AW163)+IF(AND(45&gt;0,OR(核心参数输入!$B$64=0,45&lt;核心参数输入!$B$9*4)),核心参数输入!$B$123,0)),0)</f>
        <v>0</v>
      </c>
      <c r="AX164" s="9">
        <f>IF(46&lt;=核心参数输入!$B$9*4,MAX(0,-(AX162+AX156-AX163)+IF(AND(46&gt;0,OR(核心参数输入!$B$64=0,46&lt;核心参数输入!$B$9*4)),核心参数输入!$B$123,0)),0)</f>
        <v>0</v>
      </c>
      <c r="AY164" s="9">
        <f>IF(47&lt;=核心参数输入!$B$9*4,MAX(0,-(AY162+AY156-AY163)+IF(AND(47&gt;0,OR(核心参数输入!$B$64=0,47&lt;核心参数输入!$B$9*4)),核心参数输入!$B$123,0)),0)</f>
        <v>0</v>
      </c>
      <c r="AZ164" s="9">
        <f>IF(48&lt;=核心参数输入!$B$9*4,MAX(0,-(AZ162+AZ156-AZ163)+IF(AND(48&gt;0,OR(核心参数输入!$B$64=0,48&lt;核心参数输入!$B$9*4)),核心参数输入!$B$123,0)),0)</f>
        <v>0</v>
      </c>
      <c r="BA164" s="9">
        <f>IF(49&lt;=核心参数输入!$B$9*4,MAX(0,-(BA162+BA156-BA163)+IF(AND(49&gt;0,OR(核心参数输入!$B$64=0,49&lt;核心参数输入!$B$9*4)),核心参数输入!$B$123,0)),0)</f>
        <v>0</v>
      </c>
      <c r="BB164" s="9">
        <f>IF(50&lt;=核心参数输入!$B$9*4,MAX(0,-(BB162+BB156-BB163)+IF(AND(50&gt;0,OR(核心参数输入!$B$64=0,50&lt;核心参数输入!$B$9*4)),核心参数输入!$B$123,0)),0)</f>
        <v>0</v>
      </c>
      <c r="BC164" s="9">
        <f>IF(51&lt;=核心参数输入!$B$9*4,MAX(0,-(BC162+BC156-BC163)+IF(AND(51&gt;0,OR(核心参数输入!$B$64=0,51&lt;核心参数输入!$B$9*4)),核心参数输入!$B$123,0)),0)</f>
        <v>0</v>
      </c>
      <c r="BD164" s="9">
        <f>IF(52&lt;=核心参数输入!$B$9*4,MAX(0,-(BD162+BD156-BD163)+IF(AND(52&gt;0,OR(核心参数输入!$B$64=0,52&lt;核心参数输入!$B$9*4)),核心参数输入!$B$123,0)),0)</f>
        <v>0</v>
      </c>
      <c r="BE164" s="9">
        <f>IF(53&lt;=核心参数输入!$B$9*4,MAX(0,-(BE162+BE156-BE163)+IF(AND(53&gt;0,OR(核心参数输入!$B$64=0,53&lt;核心参数输入!$B$9*4)),核心参数输入!$B$123,0)),0)</f>
        <v>0</v>
      </c>
      <c r="BF164" s="9">
        <f>IF(54&lt;=核心参数输入!$B$9*4,MAX(0,-(BF162+BF156-BF163)+IF(AND(54&gt;0,OR(核心参数输入!$B$64=0,54&lt;核心参数输入!$B$9*4)),核心参数输入!$B$123,0)),0)</f>
        <v>0</v>
      </c>
      <c r="BG164" s="9">
        <f>IF(55&lt;=核心参数输入!$B$9*4,MAX(0,-(BG162+BG156-BG163)+IF(AND(55&gt;0,OR(核心参数输入!$B$64=0,55&lt;核心参数输入!$B$9*4)),核心参数输入!$B$123,0)),0)</f>
        <v>0</v>
      </c>
      <c r="BH164" s="9">
        <f>IF(56&lt;=核心参数输入!$B$9*4,MAX(0,-(BH162+BH156-BH163)+IF(AND(56&gt;0,OR(核心参数输入!$B$64=0,56&lt;核心参数输入!$B$9*4)),核心参数输入!$B$123,0)),0)</f>
        <v>0</v>
      </c>
      <c r="BI164" s="9">
        <f>IF(57&lt;=核心参数输入!$B$9*4,MAX(0,-(BI162+BI156-BI163)+IF(AND(57&gt;0,OR(核心参数输入!$B$64=0,57&lt;核心参数输入!$B$9*4)),核心参数输入!$B$123,0)),0)</f>
        <v>0</v>
      </c>
      <c r="BJ164" s="9">
        <f>IF(58&lt;=核心参数输入!$B$9*4,MAX(0,-(BJ162+BJ156-BJ163)+IF(AND(58&gt;0,OR(核心参数输入!$B$64=0,58&lt;核心参数输入!$B$9*4)),核心参数输入!$B$123,0)),0)</f>
        <v>0</v>
      </c>
      <c r="BK164" s="9">
        <f>IF(59&lt;=核心参数输入!$B$9*4,MAX(0,-(BK162+BK156-BK163)+IF(AND(59&gt;0,OR(核心参数输入!$B$64=0,59&lt;核心参数输入!$B$9*4)),核心参数输入!$B$123,0)),0)</f>
        <v>0</v>
      </c>
      <c r="BL164" s="9">
        <f>IF(60&lt;=核心参数输入!$B$9*4,MAX(0,-(BL162+BL156-BL163)+IF(AND(60&gt;0,OR(核心参数输入!$B$64=0,60&lt;核心参数输入!$B$9*4)),核心参数输入!$B$123,0)),0)</f>
        <v>0</v>
      </c>
      <c r="BM164" s="9">
        <f>IF(61&lt;=核心参数输入!$B$9*4,MAX(0,-(BM162+BM156-BM163)+IF(AND(61&gt;0,OR(核心参数输入!$B$64=0,61&lt;核心参数输入!$B$9*4)),核心参数输入!$B$123,0)),0)</f>
        <v>0</v>
      </c>
      <c r="BN164" s="9">
        <f>IF(62&lt;=核心参数输入!$B$9*4,MAX(0,-(BN162+BN156-BN163)+IF(AND(62&gt;0,OR(核心参数输入!$B$64=0,62&lt;核心参数输入!$B$9*4)),核心参数输入!$B$123,0)),0)</f>
        <v>0</v>
      </c>
      <c r="BO164" s="9">
        <f>IF(63&lt;=核心参数输入!$B$9*4,MAX(0,-(BO162+BO156-BO163)+IF(AND(63&gt;0,OR(核心参数输入!$B$64=0,63&lt;核心参数输入!$B$9*4)),核心参数输入!$B$123,0)),0)</f>
        <v>0</v>
      </c>
      <c r="BP164" s="9">
        <f>IF(64&lt;=核心参数输入!$B$9*4,MAX(0,-(BP162+BP156-BP163)+IF(AND(64&gt;0,OR(核心参数输入!$B$64=0,64&lt;核心参数输入!$B$9*4)),核心参数输入!$B$123,0)),0)</f>
        <v>0</v>
      </c>
      <c r="BQ164" s="9">
        <f>IF(65&lt;=核心参数输入!$B$9*4,MAX(0,-(BQ162+BQ156-BQ163)+IF(AND(65&gt;0,OR(核心参数输入!$B$64=0,65&lt;核心参数输入!$B$9*4)),核心参数输入!$B$123,0)),0)</f>
        <v>0</v>
      </c>
      <c r="BR164" s="9">
        <f>IF(66&lt;=核心参数输入!$B$9*4,MAX(0,-(BR162+BR156-BR163)+IF(AND(66&gt;0,OR(核心参数输入!$B$64=0,66&lt;核心参数输入!$B$9*4)),核心参数输入!$B$123,0)),0)</f>
        <v>0</v>
      </c>
      <c r="BS164" s="9">
        <f>IF(67&lt;=核心参数输入!$B$9*4,MAX(0,-(BS162+BS156-BS163)+IF(AND(67&gt;0,OR(核心参数输入!$B$64=0,67&lt;核心参数输入!$B$9*4)),核心参数输入!$B$123,0)),0)</f>
        <v>0</v>
      </c>
      <c r="BT164" s="9">
        <f>IF(68&lt;=核心参数输入!$B$9*4,MAX(0,-(BT162+BT156-BT163)+IF(AND(68&gt;0,OR(核心参数输入!$B$64=0,68&lt;核心参数输入!$B$9*4)),核心参数输入!$B$123,0)),0)</f>
        <v>0</v>
      </c>
      <c r="BU164" s="9">
        <f>IF(69&lt;=核心参数输入!$B$9*4,MAX(0,-(BU162+BU156-BU163)+IF(AND(69&gt;0,OR(核心参数输入!$B$64=0,69&lt;核心参数输入!$B$9*4)),核心参数输入!$B$123,0)),0)</f>
        <v>0</v>
      </c>
      <c r="BV164" s="9">
        <f>IF(70&lt;=核心参数输入!$B$9*4,MAX(0,-(BV162+BV156-BV163)+IF(AND(70&gt;0,OR(核心参数输入!$B$64=0,70&lt;核心参数输入!$B$9*4)),核心参数输入!$B$123,0)),0)</f>
        <v>0</v>
      </c>
      <c r="BW164" s="9">
        <f>IF(71&lt;=核心参数输入!$B$9*4,MAX(0,-(BW162+BW156-BW163)+IF(AND(71&gt;0,OR(核心参数输入!$B$64=0,71&lt;核心参数输入!$B$9*4)),核心参数输入!$B$123,0)),0)</f>
        <v>0</v>
      </c>
      <c r="BX164" s="9">
        <f>IF(72&lt;=核心参数输入!$B$9*4,MAX(0,-(BX162+BX156-BX163)+IF(AND(72&gt;0,OR(核心参数输入!$B$64=0,72&lt;核心参数输入!$B$9*4)),核心参数输入!$B$123,0)),0)</f>
        <v>0</v>
      </c>
      <c r="BY164" s="9">
        <f>IF(73&lt;=核心参数输入!$B$9*4,MAX(0,-(BY162+BY156-BY163)+IF(AND(73&gt;0,OR(核心参数输入!$B$64=0,73&lt;核心参数输入!$B$9*4)),核心参数输入!$B$123,0)),0)</f>
        <v>0</v>
      </c>
      <c r="BZ164" s="9">
        <f>IF(74&lt;=核心参数输入!$B$9*4,MAX(0,-(BZ162+BZ156-BZ163)+IF(AND(74&gt;0,OR(核心参数输入!$B$64=0,74&lt;核心参数输入!$B$9*4)),核心参数输入!$B$123,0)),0)</f>
        <v>0</v>
      </c>
      <c r="CA164" s="9">
        <f>IF(75&lt;=核心参数输入!$B$9*4,MAX(0,-(CA162+CA156-CA163)+IF(AND(75&gt;0,OR(核心参数输入!$B$64=0,75&lt;核心参数输入!$B$9*4)),核心参数输入!$B$123,0)),0)</f>
        <v>0</v>
      </c>
      <c r="CB164" s="9">
        <f>IF(76&lt;=核心参数输入!$B$9*4,MAX(0,-(CB162+CB156-CB163)+IF(AND(76&gt;0,OR(核心参数输入!$B$64=0,76&lt;核心参数输入!$B$9*4)),核心参数输入!$B$123,0)),0)</f>
        <v>0</v>
      </c>
      <c r="CC164" s="9">
        <f>IF(77&lt;=核心参数输入!$B$9*4,MAX(0,-(CC162+CC156-CC163)+IF(AND(77&gt;0,OR(核心参数输入!$B$64=0,77&lt;核心参数输入!$B$9*4)),核心参数输入!$B$123,0)),0)</f>
        <v>0</v>
      </c>
      <c r="CD164" s="9">
        <f>IF(78&lt;=核心参数输入!$B$9*4,MAX(0,-(CD162+CD156-CD163)+IF(AND(78&gt;0,OR(核心参数输入!$B$64=0,78&lt;核心参数输入!$B$9*4)),核心参数输入!$B$123,0)),0)</f>
        <v>0</v>
      </c>
      <c r="CE164" s="9">
        <f>IF(79&lt;=核心参数输入!$B$9*4,MAX(0,-(CE162+CE156-CE163)+IF(AND(79&gt;0,OR(核心参数输入!$B$64=0,79&lt;核心参数输入!$B$9*4)),核心参数输入!$B$123,0)),0)</f>
        <v>0</v>
      </c>
      <c r="CF164" s="9">
        <f>IF(80&lt;=核心参数输入!$B$9*4,MAX(0,-(CF162+CF156-CF163)+IF(AND(80&gt;0,OR(核心参数输入!$B$64=0,80&lt;核心参数输入!$B$9*4)),核心参数输入!$B$123,0)),0)</f>
        <v>0</v>
      </c>
      <c r="CG164" s="9">
        <f>IF(81&lt;=核心参数输入!$B$9*4,MAX(0,-(CG162+CG156-CG163)+IF(AND(81&gt;0,OR(核心参数输入!$B$64=0,81&lt;核心参数输入!$B$9*4)),核心参数输入!$B$123,0)),0)</f>
        <v>0</v>
      </c>
      <c r="CH164" s="9">
        <f>IF(82&lt;=核心参数输入!$B$9*4,MAX(0,-(CH162+CH156-CH163)+IF(AND(82&gt;0,OR(核心参数输入!$B$64=0,82&lt;核心参数输入!$B$9*4)),核心参数输入!$B$123,0)),0)</f>
        <v>0</v>
      </c>
      <c r="CI164" s="9">
        <f>IF(83&lt;=核心参数输入!$B$9*4,MAX(0,-(CI162+CI156-CI163)+IF(AND(83&gt;0,OR(核心参数输入!$B$64=0,83&lt;核心参数输入!$B$9*4)),核心参数输入!$B$123,0)),0)</f>
        <v>0</v>
      </c>
      <c r="CJ164" s="9">
        <f>IF(84&lt;=核心参数输入!$B$9*4,MAX(0,-(CJ162+CJ156-CJ163)+IF(AND(84&gt;0,OR(核心参数输入!$B$64=0,84&lt;核心参数输入!$B$9*4)),核心参数输入!$B$123,0)),0)</f>
        <v>0</v>
      </c>
      <c r="CK164" s="9">
        <f>IF(85&lt;=核心参数输入!$B$9*4,MAX(0,-(CK162+CK156-CK163)+IF(AND(85&gt;0,OR(核心参数输入!$B$64=0,85&lt;核心参数输入!$B$9*4)),核心参数输入!$B$123,0)),0)</f>
        <v>0</v>
      </c>
      <c r="CL164" s="9">
        <f>IF(86&lt;=核心参数输入!$B$9*4,MAX(0,-(CL162+CL156-CL163)+IF(AND(86&gt;0,OR(核心参数输入!$B$64=0,86&lt;核心参数输入!$B$9*4)),核心参数输入!$B$123,0)),0)</f>
        <v>0</v>
      </c>
      <c r="CM164" s="9">
        <f>IF(87&lt;=核心参数输入!$B$9*4,MAX(0,-(CM162+CM156-CM163)+IF(AND(87&gt;0,OR(核心参数输入!$B$64=0,87&lt;核心参数输入!$B$9*4)),核心参数输入!$B$123,0)),0)</f>
        <v>0</v>
      </c>
      <c r="CN164" s="9">
        <f>IF(88&lt;=核心参数输入!$B$9*4,MAX(0,-(CN162+CN156-CN163)+IF(AND(88&gt;0,OR(核心参数输入!$B$64=0,88&lt;核心参数输入!$B$9*4)),核心参数输入!$B$123,0)),0)</f>
        <v>0</v>
      </c>
      <c r="CO164" s="9">
        <f>IF(89&lt;=核心参数输入!$B$9*4,MAX(0,-(CO162+CO156-CO163)+IF(AND(89&gt;0,OR(核心参数输入!$B$64=0,89&lt;核心参数输入!$B$9*4)),核心参数输入!$B$123,0)),0)</f>
        <v>0</v>
      </c>
      <c r="CP164" s="9">
        <f>IF(90&lt;=核心参数输入!$B$9*4,MAX(0,-(CP162+CP156-CP163)+IF(AND(90&gt;0,OR(核心参数输入!$B$64=0,90&lt;核心参数输入!$B$9*4)),核心参数输入!$B$123,0)),0)</f>
        <v>0</v>
      </c>
      <c r="CQ164" s="9">
        <f>IF(91&lt;=核心参数输入!$B$9*4,MAX(0,-(CQ162+CQ156-CQ163)+IF(AND(91&gt;0,OR(核心参数输入!$B$64=0,91&lt;核心参数输入!$B$9*4)),核心参数输入!$B$123,0)),0)</f>
        <v>0</v>
      </c>
      <c r="CR164" s="9">
        <f>IF(92&lt;=核心参数输入!$B$9*4,MAX(0,-(CR162+CR156-CR163)+IF(AND(92&gt;0,OR(核心参数输入!$B$64=0,92&lt;核心参数输入!$B$9*4)),核心参数输入!$B$123,0)),0)</f>
        <v>0</v>
      </c>
      <c r="CS164" s="9">
        <f>IF(93&lt;=核心参数输入!$B$9*4,MAX(0,-(CS162+CS156-CS163)+IF(AND(93&gt;0,OR(核心参数输入!$B$64=0,93&lt;核心参数输入!$B$9*4)),核心参数输入!$B$123,0)),0)</f>
        <v>0</v>
      </c>
      <c r="CT164" s="9">
        <f>IF(94&lt;=核心参数输入!$B$9*4,MAX(0,-(CT162+CT156-CT163)+IF(AND(94&gt;0,OR(核心参数输入!$B$64=0,94&lt;核心参数输入!$B$9*4)),核心参数输入!$B$123,0)),0)</f>
        <v>0</v>
      </c>
      <c r="CU164" s="9">
        <f>IF(95&lt;=核心参数输入!$B$9*4,MAX(0,-(CU162+CU156-CU163)+IF(AND(95&gt;0,OR(核心参数输入!$B$64=0,95&lt;核心参数输入!$B$9*4)),核心参数输入!$B$123,0)),0)</f>
        <v>0</v>
      </c>
      <c r="CV164" s="9">
        <f>IF(96&lt;=核心参数输入!$B$9*4,MAX(0,-(CV162+CV156-CV163)+IF(AND(96&gt;0,OR(核心参数输入!$B$64=0,96&lt;核心参数输入!$B$9*4)),核心参数输入!$B$123,0)),0)</f>
        <v>0</v>
      </c>
      <c r="CW164" s="9">
        <f>IF(97&lt;=核心参数输入!$B$9*4,MAX(0,-(CW162+CW156-CW163)+IF(AND(97&gt;0,OR(核心参数输入!$B$64=0,97&lt;核心参数输入!$B$9*4)),核心参数输入!$B$123,0)),0)</f>
        <v>0</v>
      </c>
      <c r="CX164" s="9">
        <f>IF(98&lt;=核心参数输入!$B$9*4,MAX(0,-(CX162+CX156-CX163)+IF(AND(98&gt;0,OR(核心参数输入!$B$64=0,98&lt;核心参数输入!$B$9*4)),核心参数输入!$B$123,0)),0)</f>
        <v>0</v>
      </c>
      <c r="CY164" s="9">
        <f>IF(99&lt;=核心参数输入!$B$9*4,MAX(0,-(CY162+CY156-CY163)+IF(AND(99&gt;0,OR(核心参数输入!$B$64=0,99&lt;核心参数输入!$B$9*4)),核心参数输入!$B$123,0)),0)</f>
        <v>0</v>
      </c>
      <c r="CZ164" s="9">
        <f>IF(100&lt;=核心参数输入!$B$9*4,MAX(0,-(CZ162+CZ156-CZ163)+IF(AND(100&gt;0,OR(核心参数输入!$B$64=0,100&lt;核心参数输入!$B$9*4)),核心参数输入!$B$123,0)),0)</f>
        <v>0</v>
      </c>
      <c r="DA164" s="9">
        <f>IF(101&lt;=核心参数输入!$B$9*4,MAX(0,-(DA162+DA156-DA163)+IF(AND(101&gt;0,OR(核心参数输入!$B$64=0,101&lt;核心参数输入!$B$9*4)),核心参数输入!$B$123,0)),0)</f>
        <v>0</v>
      </c>
      <c r="DB164" s="9">
        <f>IF(102&lt;=核心参数输入!$B$9*4,MAX(0,-(DB162+DB156-DB163)+IF(AND(102&gt;0,OR(核心参数输入!$B$64=0,102&lt;核心参数输入!$B$9*4)),核心参数输入!$B$123,0)),0)</f>
        <v>0</v>
      </c>
      <c r="DC164" s="9">
        <f>IF(103&lt;=核心参数输入!$B$9*4,MAX(0,-(DC162+DC156-DC163)+IF(AND(103&gt;0,OR(核心参数输入!$B$64=0,103&lt;核心参数输入!$B$9*4)),核心参数输入!$B$123,0)),0)</f>
        <v>0</v>
      </c>
      <c r="DD164" s="9">
        <f>IF(104&lt;=核心参数输入!$B$9*4,MAX(0,-(DD162+DD156-DD163)+IF(AND(104&gt;0,OR(核心参数输入!$B$64=0,104&lt;核心参数输入!$B$9*4)),核心参数输入!$B$123,0)),0)</f>
        <v>0</v>
      </c>
      <c r="DE164" s="9">
        <f>IF(105&lt;=核心参数输入!$B$9*4,MAX(0,-(DE162+DE156-DE163)+IF(AND(105&gt;0,OR(核心参数输入!$B$64=0,105&lt;核心参数输入!$B$9*4)),核心参数输入!$B$123,0)),0)</f>
        <v>0</v>
      </c>
      <c r="DF164" s="9">
        <f>IF(106&lt;=核心参数输入!$B$9*4,MAX(0,-(DF162+DF156-DF163)+IF(AND(106&gt;0,OR(核心参数输入!$B$64=0,106&lt;核心参数输入!$B$9*4)),核心参数输入!$B$123,0)),0)</f>
        <v>0</v>
      </c>
      <c r="DG164" s="9">
        <f>IF(107&lt;=核心参数输入!$B$9*4,MAX(0,-(DG162+DG156-DG163)+IF(AND(107&gt;0,OR(核心参数输入!$B$64=0,107&lt;核心参数输入!$B$9*4)),核心参数输入!$B$123,0)),0)</f>
        <v>0</v>
      </c>
      <c r="DH164" s="9">
        <f>IF(108&lt;=核心参数输入!$B$9*4,MAX(0,-(DH162+DH156-DH163)+IF(AND(108&gt;0,OR(核心参数输入!$B$64=0,108&lt;核心参数输入!$B$9*4)),核心参数输入!$B$123,0)),0)</f>
        <v>0</v>
      </c>
      <c r="DI164" s="9">
        <f>IF(109&lt;=核心参数输入!$B$9*4,MAX(0,-(DI162+DI156-DI163)+IF(AND(109&gt;0,OR(核心参数输入!$B$64=0,109&lt;核心参数输入!$B$9*4)),核心参数输入!$B$123,0)),0)</f>
        <v>0</v>
      </c>
      <c r="DJ164" s="9">
        <f>IF(110&lt;=核心参数输入!$B$9*4,MAX(0,-(DJ162+DJ156-DJ163)+IF(AND(110&gt;0,OR(核心参数输入!$B$64=0,110&lt;核心参数输入!$B$9*4)),核心参数输入!$B$123,0)),0)</f>
        <v>0</v>
      </c>
      <c r="DK164" s="9">
        <f>IF(111&lt;=核心参数输入!$B$9*4,MAX(0,-(DK162+DK156-DK163)+IF(AND(111&gt;0,OR(核心参数输入!$B$64=0,111&lt;核心参数输入!$B$9*4)),核心参数输入!$B$123,0)),0)</f>
        <v>0</v>
      </c>
      <c r="DL164" s="9">
        <f>IF(112&lt;=核心参数输入!$B$9*4,MAX(0,-(DL162+DL156-DL163)+IF(AND(112&gt;0,OR(核心参数输入!$B$64=0,112&lt;核心参数输入!$B$9*4)),核心参数输入!$B$123,0)),0)</f>
        <v>0</v>
      </c>
      <c r="DM164" s="9">
        <f>IF(113&lt;=核心参数输入!$B$9*4,MAX(0,-(DM162+DM156-DM163)+IF(AND(113&gt;0,OR(核心参数输入!$B$64=0,113&lt;核心参数输入!$B$9*4)),核心参数输入!$B$123,0)),0)</f>
        <v>0</v>
      </c>
      <c r="DN164" s="9">
        <f>IF(114&lt;=核心参数输入!$B$9*4,MAX(0,-(DN162+DN156-DN163)+IF(AND(114&gt;0,OR(核心参数输入!$B$64=0,114&lt;核心参数输入!$B$9*4)),核心参数输入!$B$123,0)),0)</f>
        <v>0</v>
      </c>
      <c r="DO164" s="9">
        <f>IF(115&lt;=核心参数输入!$B$9*4,MAX(0,-(DO162+DO156-DO163)+IF(AND(115&gt;0,OR(核心参数输入!$B$64=0,115&lt;核心参数输入!$B$9*4)),核心参数输入!$B$123,0)),0)</f>
        <v>0</v>
      </c>
      <c r="DP164" s="9">
        <f>IF(116&lt;=核心参数输入!$B$9*4,MAX(0,-(DP162+DP156-DP163)+IF(AND(116&gt;0,OR(核心参数输入!$B$64=0,116&lt;核心参数输入!$B$9*4)),核心参数输入!$B$123,0)),0)</f>
        <v>0</v>
      </c>
      <c r="DQ164" s="9">
        <f>IF(117&lt;=核心参数输入!$B$9*4,MAX(0,-(DQ162+DQ156-DQ163)+IF(AND(117&gt;0,OR(核心参数输入!$B$64=0,117&lt;核心参数输入!$B$9*4)),核心参数输入!$B$123,0)),0)</f>
        <v>0</v>
      </c>
      <c r="DR164" s="9">
        <f>IF(118&lt;=核心参数输入!$B$9*4,MAX(0,-(DR162+DR156-DR163)+IF(AND(118&gt;0,OR(核心参数输入!$B$64=0,118&lt;核心参数输入!$B$9*4)),核心参数输入!$B$123,0)),0)</f>
        <v>0</v>
      </c>
      <c r="DS164" s="9">
        <f>IF(119&lt;=核心参数输入!$B$9*4,MAX(0,-(DS162+DS156-DS163)+IF(AND(119&gt;0,OR(核心参数输入!$B$64=0,119&lt;核心参数输入!$B$9*4)),核心参数输入!$B$123,0)),0)</f>
        <v>0</v>
      </c>
      <c r="DT164" s="9">
        <f>IF(120&lt;=核心参数输入!$B$9*4,MAX(0,-(DT162+DT156-DT163)+IF(AND(120&gt;0,OR(核心参数输入!$B$64=0,120&lt;核心参数输入!$B$9*4)),核心参数输入!$B$123,0)),0)</f>
        <v>0</v>
      </c>
    </row>
    <row r="165" spans="1:124" ht="21" customHeight="1">
      <c r="A165" s="8" t="s">
        <v>547</v>
      </c>
      <c r="B165" s="8" t="s">
        <v>39</v>
      </c>
      <c r="C165" s="8"/>
      <c r="D165" s="9">
        <f>IF(0&lt;=核心参数输入!$B$9*4,MIN(D164,MAX(0,核心参数输入!$B$61-0)),0)</f>
        <v>8000</v>
      </c>
      <c r="E165" s="9">
        <f>IF(1&lt;=核心参数输入!$B$9*4,MIN(E164,MAX(0,核心参数输入!$B$61-季度现金流!D170)),0)</f>
        <v>2127.7124999999996</v>
      </c>
      <c r="F165" s="9">
        <f>IF(2&lt;=核心参数输入!$B$9*4,MIN(F164,MAX(0,核心参数输入!$B$61-季度现金流!E170)),0)</f>
        <v>2151.3374999999996</v>
      </c>
      <c r="G165" s="9">
        <f>IF(3&lt;=核心参数输入!$B$9*4,MIN(G164,MAX(0,核心参数输入!$B$61-季度现金流!F170)),0)</f>
        <v>2174.9624999999996</v>
      </c>
      <c r="H165" s="9">
        <f>IF(4&lt;=核心参数输入!$B$9*4,MIN(H164,MAX(0,核心参数输入!$B$61-季度现金流!G170)),0)</f>
        <v>2198.5874999999996</v>
      </c>
      <c r="I165" s="9">
        <f>IF(5&lt;=核心参数输入!$B$9*4,MIN(I164,MAX(0,核心参数输入!$B$61-季度现金流!H170)),0)</f>
        <v>2931.4500000000007</v>
      </c>
      <c r="J165" s="9">
        <f>IF(6&lt;=核心参数输入!$B$9*4,MIN(J164,MAX(0,核心参数输入!$B$61-季度现金流!I170)),0)</f>
        <v>2962.9500000000007</v>
      </c>
      <c r="K165" s="9">
        <f>IF(7&lt;=核心参数输入!$B$9*4,MIN(K164,MAX(0,核心参数输入!$B$61-季度现金流!J170)),0)</f>
        <v>2994.4500000000007</v>
      </c>
      <c r="L165" s="9">
        <f>IF(8&lt;=核心参数输入!$B$9*4,MIN(L164,MAX(0,核心参数输入!$B$61-季度现金流!K170)),0)</f>
        <v>3025.9500000000007</v>
      </c>
      <c r="M165" s="9">
        <f>IF(9&lt;=核心参数输入!$B$9*4,MIN(M164,MAX(0,核心参数输入!$B$61-季度现金流!L170)),0)</f>
        <v>2348.2124999999996</v>
      </c>
      <c r="N165" s="9">
        <f>IF(10&lt;=核心参数输入!$B$9*4,MIN(N164,MAX(0,核心参数输入!$B$61-季度现金流!M170)),0)</f>
        <v>2084.3874999999971</v>
      </c>
      <c r="O165" s="9">
        <f>IF(11&lt;=核心参数输入!$B$9*4,MIN(O164,MAX(0,核心参数输入!$B$61-季度现金流!N170)),0)</f>
        <v>0</v>
      </c>
      <c r="P165" s="9">
        <f>IF(12&lt;=核心参数输入!$B$9*4,MIN(P164,MAX(0,核心参数输入!$B$61-季度现金流!O170)),0)</f>
        <v>0</v>
      </c>
      <c r="Q165" s="9">
        <f>IF(13&lt;=核心参数输入!$B$9*4,MIN(Q164,MAX(0,核心参数输入!$B$61-季度现金流!P170)),0)</f>
        <v>0</v>
      </c>
      <c r="R165" s="9">
        <f>IF(14&lt;=核心参数输入!$B$9*4,MIN(R164,MAX(0,核心参数输入!$B$61-季度现金流!Q170)),0)</f>
        <v>0</v>
      </c>
      <c r="S165" s="9">
        <f>IF(15&lt;=核心参数输入!$B$9*4,MIN(S164,MAX(0,核心参数输入!$B$61-季度现金流!R170)),0)</f>
        <v>0</v>
      </c>
      <c r="T165" s="9">
        <f>IF(16&lt;=核心参数输入!$B$9*4,MIN(T164,MAX(0,核心参数输入!$B$61-季度现金流!S170)),0)</f>
        <v>0</v>
      </c>
      <c r="U165" s="9">
        <f>IF(17&lt;=核心参数输入!$B$9*4,MIN(U164,MAX(0,核心参数输入!$B$61-季度现金流!T170)),0)</f>
        <v>0</v>
      </c>
      <c r="V165" s="9">
        <f>IF(18&lt;=核心参数输入!$B$9*4,MIN(V164,MAX(0,核心参数输入!$B$61-季度现金流!U170)),0)</f>
        <v>0</v>
      </c>
      <c r="W165" s="9">
        <f>IF(19&lt;=核心参数输入!$B$9*4,MIN(W164,MAX(0,核心参数输入!$B$61-季度现金流!V170)),0)</f>
        <v>0</v>
      </c>
      <c r="X165" s="9">
        <f>IF(20&lt;=核心参数输入!$B$9*4,MIN(X164,MAX(0,核心参数输入!$B$61-季度现金流!W170)),0)</f>
        <v>0</v>
      </c>
      <c r="Y165" s="9">
        <f>IF(21&lt;=核心参数输入!$B$9*4,MIN(Y164,MAX(0,核心参数输入!$B$61-季度现金流!X170)),0)</f>
        <v>0</v>
      </c>
      <c r="Z165" s="9">
        <f>IF(22&lt;=核心参数输入!$B$9*4,MIN(Z164,MAX(0,核心参数输入!$B$61-季度现金流!Y170)),0)</f>
        <v>0</v>
      </c>
      <c r="AA165" s="9">
        <f>IF(23&lt;=核心参数输入!$B$9*4,MIN(AA164,MAX(0,核心参数输入!$B$61-季度现金流!Z170)),0)</f>
        <v>0</v>
      </c>
      <c r="AB165" s="9">
        <f>IF(24&lt;=核心参数输入!$B$9*4,MIN(AB164,MAX(0,核心参数输入!$B$61-季度现金流!AA170)),0)</f>
        <v>0</v>
      </c>
      <c r="AC165" s="9">
        <f>IF(25&lt;=核心参数输入!$B$9*4,MIN(AC164,MAX(0,核心参数输入!$B$61-季度现金流!AB170)),0)</f>
        <v>0</v>
      </c>
      <c r="AD165" s="9">
        <f>IF(26&lt;=核心参数输入!$B$9*4,MIN(AD164,MAX(0,核心参数输入!$B$61-季度现金流!AC170)),0)</f>
        <v>0</v>
      </c>
      <c r="AE165" s="9">
        <f>IF(27&lt;=核心参数输入!$B$9*4,MIN(AE164,MAX(0,核心参数输入!$B$61-季度现金流!AD170)),0)</f>
        <v>0</v>
      </c>
      <c r="AF165" s="9">
        <f>IF(28&lt;=核心参数输入!$B$9*4,MIN(AF164,MAX(0,核心参数输入!$B$61-季度现金流!AE170)),0)</f>
        <v>0</v>
      </c>
      <c r="AG165" s="9">
        <f>IF(29&lt;=核心参数输入!$B$9*4,MIN(AG164,MAX(0,核心参数输入!$B$61-季度现金流!AF170)),0)</f>
        <v>0</v>
      </c>
      <c r="AH165" s="9">
        <f>IF(30&lt;=核心参数输入!$B$9*4,MIN(AH164,MAX(0,核心参数输入!$B$61-季度现金流!AG170)),0)</f>
        <v>0</v>
      </c>
      <c r="AI165" s="9">
        <f>IF(31&lt;=核心参数输入!$B$9*4,MIN(AI164,MAX(0,核心参数输入!$B$61-季度现金流!AH170)),0)</f>
        <v>0</v>
      </c>
      <c r="AJ165" s="9">
        <f>IF(32&lt;=核心参数输入!$B$9*4,MIN(AJ164,MAX(0,核心参数输入!$B$61-季度现金流!AI170)),0)</f>
        <v>0</v>
      </c>
      <c r="AK165" s="9">
        <f>IF(33&lt;=核心参数输入!$B$9*4,MIN(AK164,MAX(0,核心参数输入!$B$61-季度现金流!AJ170)),0)</f>
        <v>0</v>
      </c>
      <c r="AL165" s="9">
        <f>IF(34&lt;=核心参数输入!$B$9*4,MIN(AL164,MAX(0,核心参数输入!$B$61-季度现金流!AK170)),0)</f>
        <v>0</v>
      </c>
      <c r="AM165" s="9">
        <f>IF(35&lt;=核心参数输入!$B$9*4,MIN(AM164,MAX(0,核心参数输入!$B$61-季度现金流!AL170)),0)</f>
        <v>0</v>
      </c>
      <c r="AN165" s="9">
        <f>IF(36&lt;=核心参数输入!$B$9*4,MIN(AN164,MAX(0,核心参数输入!$B$61-季度现金流!AM170)),0)</f>
        <v>0</v>
      </c>
      <c r="AO165" s="9">
        <f>IF(37&lt;=核心参数输入!$B$9*4,MIN(AO164,MAX(0,核心参数输入!$B$61-季度现金流!AN170)),0)</f>
        <v>0</v>
      </c>
      <c r="AP165" s="9">
        <f>IF(38&lt;=核心参数输入!$B$9*4,MIN(AP164,MAX(0,核心参数输入!$B$61-季度现金流!AO170)),0)</f>
        <v>0</v>
      </c>
      <c r="AQ165" s="9">
        <f>IF(39&lt;=核心参数输入!$B$9*4,MIN(AQ164,MAX(0,核心参数输入!$B$61-季度现金流!AP170)),0)</f>
        <v>0</v>
      </c>
      <c r="AR165" s="9">
        <f>IF(40&lt;=核心参数输入!$B$9*4,MIN(AR164,MAX(0,核心参数输入!$B$61-季度现金流!AQ170)),0)</f>
        <v>0</v>
      </c>
      <c r="AS165" s="9">
        <f>IF(41&lt;=核心参数输入!$B$9*4,MIN(AS164,MAX(0,核心参数输入!$B$61-季度现金流!AR170)),0)</f>
        <v>0</v>
      </c>
      <c r="AT165" s="9">
        <f>IF(42&lt;=核心参数输入!$B$9*4,MIN(AT164,MAX(0,核心参数输入!$B$61-季度现金流!AS170)),0)</f>
        <v>0</v>
      </c>
      <c r="AU165" s="9">
        <f>IF(43&lt;=核心参数输入!$B$9*4,MIN(AU164,MAX(0,核心参数输入!$B$61-季度现金流!AT170)),0)</f>
        <v>0</v>
      </c>
      <c r="AV165" s="9">
        <f>IF(44&lt;=核心参数输入!$B$9*4,MIN(AV164,MAX(0,核心参数输入!$B$61-季度现金流!AU170)),0)</f>
        <v>0</v>
      </c>
      <c r="AW165" s="9">
        <f>IF(45&lt;=核心参数输入!$B$9*4,MIN(AW164,MAX(0,核心参数输入!$B$61-季度现金流!AV170)),0)</f>
        <v>0</v>
      </c>
      <c r="AX165" s="9">
        <f>IF(46&lt;=核心参数输入!$B$9*4,MIN(AX164,MAX(0,核心参数输入!$B$61-季度现金流!AW170)),0)</f>
        <v>0</v>
      </c>
      <c r="AY165" s="9">
        <f>IF(47&lt;=核心参数输入!$B$9*4,MIN(AY164,MAX(0,核心参数输入!$B$61-季度现金流!AX170)),0)</f>
        <v>0</v>
      </c>
      <c r="AZ165" s="9">
        <f>IF(48&lt;=核心参数输入!$B$9*4,MIN(AZ164,MAX(0,核心参数输入!$B$61-季度现金流!AY170)),0)</f>
        <v>0</v>
      </c>
      <c r="BA165" s="9">
        <f>IF(49&lt;=核心参数输入!$B$9*4,MIN(BA164,MAX(0,核心参数输入!$B$61-季度现金流!AZ170)),0)</f>
        <v>0</v>
      </c>
      <c r="BB165" s="9">
        <f>IF(50&lt;=核心参数输入!$B$9*4,MIN(BB164,MAX(0,核心参数输入!$B$61-季度现金流!BA170)),0)</f>
        <v>0</v>
      </c>
      <c r="BC165" s="9">
        <f>IF(51&lt;=核心参数输入!$B$9*4,MIN(BC164,MAX(0,核心参数输入!$B$61-季度现金流!BB170)),0)</f>
        <v>0</v>
      </c>
      <c r="BD165" s="9">
        <f>IF(52&lt;=核心参数输入!$B$9*4,MIN(BD164,MAX(0,核心参数输入!$B$61-季度现金流!BC170)),0)</f>
        <v>0</v>
      </c>
      <c r="BE165" s="9">
        <f>IF(53&lt;=核心参数输入!$B$9*4,MIN(BE164,MAX(0,核心参数输入!$B$61-季度现金流!BD170)),0)</f>
        <v>0</v>
      </c>
      <c r="BF165" s="9">
        <f>IF(54&lt;=核心参数输入!$B$9*4,MIN(BF164,MAX(0,核心参数输入!$B$61-季度现金流!BE170)),0)</f>
        <v>0</v>
      </c>
      <c r="BG165" s="9">
        <f>IF(55&lt;=核心参数输入!$B$9*4,MIN(BG164,MAX(0,核心参数输入!$B$61-季度现金流!BF170)),0)</f>
        <v>0</v>
      </c>
      <c r="BH165" s="9">
        <f>IF(56&lt;=核心参数输入!$B$9*4,MIN(BH164,MAX(0,核心参数输入!$B$61-季度现金流!BG170)),0)</f>
        <v>0</v>
      </c>
      <c r="BI165" s="9">
        <f>IF(57&lt;=核心参数输入!$B$9*4,MIN(BI164,MAX(0,核心参数输入!$B$61-季度现金流!BH170)),0)</f>
        <v>0</v>
      </c>
      <c r="BJ165" s="9">
        <f>IF(58&lt;=核心参数输入!$B$9*4,MIN(BJ164,MAX(0,核心参数输入!$B$61-季度现金流!BI170)),0)</f>
        <v>0</v>
      </c>
      <c r="BK165" s="9">
        <f>IF(59&lt;=核心参数输入!$B$9*4,MIN(BK164,MAX(0,核心参数输入!$B$61-季度现金流!BJ170)),0)</f>
        <v>0</v>
      </c>
      <c r="BL165" s="9">
        <f>IF(60&lt;=核心参数输入!$B$9*4,MIN(BL164,MAX(0,核心参数输入!$B$61-季度现金流!BK170)),0)</f>
        <v>0</v>
      </c>
      <c r="BM165" s="9">
        <f>IF(61&lt;=核心参数输入!$B$9*4,MIN(BM164,MAX(0,核心参数输入!$B$61-季度现金流!BL170)),0)</f>
        <v>0</v>
      </c>
      <c r="BN165" s="9">
        <f>IF(62&lt;=核心参数输入!$B$9*4,MIN(BN164,MAX(0,核心参数输入!$B$61-季度现金流!BM170)),0)</f>
        <v>0</v>
      </c>
      <c r="BO165" s="9">
        <f>IF(63&lt;=核心参数输入!$B$9*4,MIN(BO164,MAX(0,核心参数输入!$B$61-季度现金流!BN170)),0)</f>
        <v>0</v>
      </c>
      <c r="BP165" s="9">
        <f>IF(64&lt;=核心参数输入!$B$9*4,MIN(BP164,MAX(0,核心参数输入!$B$61-季度现金流!BO170)),0)</f>
        <v>0</v>
      </c>
      <c r="BQ165" s="9">
        <f>IF(65&lt;=核心参数输入!$B$9*4,MIN(BQ164,MAX(0,核心参数输入!$B$61-季度现金流!BP170)),0)</f>
        <v>0</v>
      </c>
      <c r="BR165" s="9">
        <f>IF(66&lt;=核心参数输入!$B$9*4,MIN(BR164,MAX(0,核心参数输入!$B$61-季度现金流!BQ170)),0)</f>
        <v>0</v>
      </c>
      <c r="BS165" s="9">
        <f>IF(67&lt;=核心参数输入!$B$9*4,MIN(BS164,MAX(0,核心参数输入!$B$61-季度现金流!BR170)),0)</f>
        <v>0</v>
      </c>
      <c r="BT165" s="9">
        <f>IF(68&lt;=核心参数输入!$B$9*4,MIN(BT164,MAX(0,核心参数输入!$B$61-季度现金流!BS170)),0)</f>
        <v>0</v>
      </c>
      <c r="BU165" s="9">
        <f>IF(69&lt;=核心参数输入!$B$9*4,MIN(BU164,MAX(0,核心参数输入!$B$61-季度现金流!BT170)),0)</f>
        <v>0</v>
      </c>
      <c r="BV165" s="9">
        <f>IF(70&lt;=核心参数输入!$B$9*4,MIN(BV164,MAX(0,核心参数输入!$B$61-季度现金流!BU170)),0)</f>
        <v>0</v>
      </c>
      <c r="BW165" s="9">
        <f>IF(71&lt;=核心参数输入!$B$9*4,MIN(BW164,MAX(0,核心参数输入!$B$61-季度现金流!BV170)),0)</f>
        <v>0</v>
      </c>
      <c r="BX165" s="9">
        <f>IF(72&lt;=核心参数输入!$B$9*4,MIN(BX164,MAX(0,核心参数输入!$B$61-季度现金流!BW170)),0)</f>
        <v>0</v>
      </c>
      <c r="BY165" s="9">
        <f>IF(73&lt;=核心参数输入!$B$9*4,MIN(BY164,MAX(0,核心参数输入!$B$61-季度现金流!BX170)),0)</f>
        <v>0</v>
      </c>
      <c r="BZ165" s="9">
        <f>IF(74&lt;=核心参数输入!$B$9*4,MIN(BZ164,MAX(0,核心参数输入!$B$61-季度现金流!BY170)),0)</f>
        <v>0</v>
      </c>
      <c r="CA165" s="9">
        <f>IF(75&lt;=核心参数输入!$B$9*4,MIN(CA164,MAX(0,核心参数输入!$B$61-季度现金流!BZ170)),0)</f>
        <v>0</v>
      </c>
      <c r="CB165" s="9">
        <f>IF(76&lt;=核心参数输入!$B$9*4,MIN(CB164,MAX(0,核心参数输入!$B$61-季度现金流!CA170)),0)</f>
        <v>0</v>
      </c>
      <c r="CC165" s="9">
        <f>IF(77&lt;=核心参数输入!$B$9*4,MIN(CC164,MAX(0,核心参数输入!$B$61-季度现金流!CB170)),0)</f>
        <v>0</v>
      </c>
      <c r="CD165" s="9">
        <f>IF(78&lt;=核心参数输入!$B$9*4,MIN(CD164,MAX(0,核心参数输入!$B$61-季度现金流!CC170)),0)</f>
        <v>0</v>
      </c>
      <c r="CE165" s="9">
        <f>IF(79&lt;=核心参数输入!$B$9*4,MIN(CE164,MAX(0,核心参数输入!$B$61-季度现金流!CD170)),0)</f>
        <v>0</v>
      </c>
      <c r="CF165" s="9">
        <f>IF(80&lt;=核心参数输入!$B$9*4,MIN(CF164,MAX(0,核心参数输入!$B$61-季度现金流!CE170)),0)</f>
        <v>0</v>
      </c>
      <c r="CG165" s="9">
        <f>IF(81&lt;=核心参数输入!$B$9*4,MIN(CG164,MAX(0,核心参数输入!$B$61-季度现金流!CF170)),0)</f>
        <v>0</v>
      </c>
      <c r="CH165" s="9">
        <f>IF(82&lt;=核心参数输入!$B$9*4,MIN(CH164,MAX(0,核心参数输入!$B$61-季度现金流!CG170)),0)</f>
        <v>0</v>
      </c>
      <c r="CI165" s="9">
        <f>IF(83&lt;=核心参数输入!$B$9*4,MIN(CI164,MAX(0,核心参数输入!$B$61-季度现金流!CH170)),0)</f>
        <v>0</v>
      </c>
      <c r="CJ165" s="9">
        <f>IF(84&lt;=核心参数输入!$B$9*4,MIN(CJ164,MAX(0,核心参数输入!$B$61-季度现金流!CI170)),0)</f>
        <v>0</v>
      </c>
      <c r="CK165" s="9">
        <f>IF(85&lt;=核心参数输入!$B$9*4,MIN(CK164,MAX(0,核心参数输入!$B$61-季度现金流!CJ170)),0)</f>
        <v>0</v>
      </c>
      <c r="CL165" s="9">
        <f>IF(86&lt;=核心参数输入!$B$9*4,MIN(CL164,MAX(0,核心参数输入!$B$61-季度现金流!CK170)),0)</f>
        <v>0</v>
      </c>
      <c r="CM165" s="9">
        <f>IF(87&lt;=核心参数输入!$B$9*4,MIN(CM164,MAX(0,核心参数输入!$B$61-季度现金流!CL170)),0)</f>
        <v>0</v>
      </c>
      <c r="CN165" s="9">
        <f>IF(88&lt;=核心参数输入!$B$9*4,MIN(CN164,MAX(0,核心参数输入!$B$61-季度现金流!CM170)),0)</f>
        <v>0</v>
      </c>
      <c r="CO165" s="9">
        <f>IF(89&lt;=核心参数输入!$B$9*4,MIN(CO164,MAX(0,核心参数输入!$B$61-季度现金流!CN170)),0)</f>
        <v>0</v>
      </c>
      <c r="CP165" s="9">
        <f>IF(90&lt;=核心参数输入!$B$9*4,MIN(CP164,MAX(0,核心参数输入!$B$61-季度现金流!CO170)),0)</f>
        <v>0</v>
      </c>
      <c r="CQ165" s="9">
        <f>IF(91&lt;=核心参数输入!$B$9*4,MIN(CQ164,MAX(0,核心参数输入!$B$61-季度现金流!CP170)),0)</f>
        <v>0</v>
      </c>
      <c r="CR165" s="9">
        <f>IF(92&lt;=核心参数输入!$B$9*4,MIN(CR164,MAX(0,核心参数输入!$B$61-季度现金流!CQ170)),0)</f>
        <v>0</v>
      </c>
      <c r="CS165" s="9">
        <f>IF(93&lt;=核心参数输入!$B$9*4,MIN(CS164,MAX(0,核心参数输入!$B$61-季度现金流!CR170)),0)</f>
        <v>0</v>
      </c>
      <c r="CT165" s="9">
        <f>IF(94&lt;=核心参数输入!$B$9*4,MIN(CT164,MAX(0,核心参数输入!$B$61-季度现金流!CS170)),0)</f>
        <v>0</v>
      </c>
      <c r="CU165" s="9">
        <f>IF(95&lt;=核心参数输入!$B$9*4,MIN(CU164,MAX(0,核心参数输入!$B$61-季度现金流!CT170)),0)</f>
        <v>0</v>
      </c>
      <c r="CV165" s="9">
        <f>IF(96&lt;=核心参数输入!$B$9*4,MIN(CV164,MAX(0,核心参数输入!$B$61-季度现金流!CU170)),0)</f>
        <v>0</v>
      </c>
      <c r="CW165" s="9">
        <f>IF(97&lt;=核心参数输入!$B$9*4,MIN(CW164,MAX(0,核心参数输入!$B$61-季度现金流!CV170)),0)</f>
        <v>0</v>
      </c>
      <c r="CX165" s="9">
        <f>IF(98&lt;=核心参数输入!$B$9*4,MIN(CX164,MAX(0,核心参数输入!$B$61-季度现金流!CW170)),0)</f>
        <v>0</v>
      </c>
      <c r="CY165" s="9">
        <f>IF(99&lt;=核心参数输入!$B$9*4,MIN(CY164,MAX(0,核心参数输入!$B$61-季度现金流!CX170)),0)</f>
        <v>0</v>
      </c>
      <c r="CZ165" s="9">
        <f>IF(100&lt;=核心参数输入!$B$9*4,MIN(CZ164,MAX(0,核心参数输入!$B$61-季度现金流!CY170)),0)</f>
        <v>0</v>
      </c>
      <c r="DA165" s="9">
        <f>IF(101&lt;=核心参数输入!$B$9*4,MIN(DA164,MAX(0,核心参数输入!$B$61-季度现金流!CZ170)),0)</f>
        <v>0</v>
      </c>
      <c r="DB165" s="9">
        <f>IF(102&lt;=核心参数输入!$B$9*4,MIN(DB164,MAX(0,核心参数输入!$B$61-季度现金流!DA170)),0)</f>
        <v>0</v>
      </c>
      <c r="DC165" s="9">
        <f>IF(103&lt;=核心参数输入!$B$9*4,MIN(DC164,MAX(0,核心参数输入!$B$61-季度现金流!DB170)),0)</f>
        <v>0</v>
      </c>
      <c r="DD165" s="9">
        <f>IF(104&lt;=核心参数输入!$B$9*4,MIN(DD164,MAX(0,核心参数输入!$B$61-季度现金流!DC170)),0)</f>
        <v>0</v>
      </c>
      <c r="DE165" s="9">
        <f>IF(105&lt;=核心参数输入!$B$9*4,MIN(DE164,MAX(0,核心参数输入!$B$61-季度现金流!DD170)),0)</f>
        <v>0</v>
      </c>
      <c r="DF165" s="9">
        <f>IF(106&lt;=核心参数输入!$B$9*4,MIN(DF164,MAX(0,核心参数输入!$B$61-季度现金流!DE170)),0)</f>
        <v>0</v>
      </c>
      <c r="DG165" s="9">
        <f>IF(107&lt;=核心参数输入!$B$9*4,MIN(DG164,MAX(0,核心参数输入!$B$61-季度现金流!DF170)),0)</f>
        <v>0</v>
      </c>
      <c r="DH165" s="9">
        <f>IF(108&lt;=核心参数输入!$B$9*4,MIN(DH164,MAX(0,核心参数输入!$B$61-季度现金流!DG170)),0)</f>
        <v>0</v>
      </c>
      <c r="DI165" s="9">
        <f>IF(109&lt;=核心参数输入!$B$9*4,MIN(DI164,MAX(0,核心参数输入!$B$61-季度现金流!DH170)),0)</f>
        <v>0</v>
      </c>
      <c r="DJ165" s="9">
        <f>IF(110&lt;=核心参数输入!$B$9*4,MIN(DJ164,MAX(0,核心参数输入!$B$61-季度现金流!DI170)),0)</f>
        <v>0</v>
      </c>
      <c r="DK165" s="9">
        <f>IF(111&lt;=核心参数输入!$B$9*4,MIN(DK164,MAX(0,核心参数输入!$B$61-季度现金流!DJ170)),0)</f>
        <v>0</v>
      </c>
      <c r="DL165" s="9">
        <f>IF(112&lt;=核心参数输入!$B$9*4,MIN(DL164,MAX(0,核心参数输入!$B$61-季度现金流!DK170)),0)</f>
        <v>0</v>
      </c>
      <c r="DM165" s="9">
        <f>IF(113&lt;=核心参数输入!$B$9*4,MIN(DM164,MAX(0,核心参数输入!$B$61-季度现金流!DL170)),0)</f>
        <v>0</v>
      </c>
      <c r="DN165" s="9">
        <f>IF(114&lt;=核心参数输入!$B$9*4,MIN(DN164,MAX(0,核心参数输入!$B$61-季度现金流!DM170)),0)</f>
        <v>0</v>
      </c>
      <c r="DO165" s="9">
        <f>IF(115&lt;=核心参数输入!$B$9*4,MIN(DO164,MAX(0,核心参数输入!$B$61-季度现金流!DN170)),0)</f>
        <v>0</v>
      </c>
      <c r="DP165" s="9">
        <f>IF(116&lt;=核心参数输入!$B$9*4,MIN(DP164,MAX(0,核心参数输入!$B$61-季度现金流!DO170)),0)</f>
        <v>0</v>
      </c>
      <c r="DQ165" s="9">
        <f>IF(117&lt;=核心参数输入!$B$9*4,MIN(DQ164,MAX(0,核心参数输入!$B$61-季度现金流!DP170)),0)</f>
        <v>0</v>
      </c>
      <c r="DR165" s="9">
        <f>IF(118&lt;=核心参数输入!$B$9*4,MIN(DR164,MAX(0,核心参数输入!$B$61-季度现金流!DQ170)),0)</f>
        <v>0</v>
      </c>
      <c r="DS165" s="9">
        <f>IF(119&lt;=核心参数输入!$B$9*4,MIN(DS164,MAX(0,核心参数输入!$B$61-季度现金流!DR170)),0)</f>
        <v>0</v>
      </c>
      <c r="DT165" s="9">
        <f>IF(120&lt;=核心参数输入!$B$9*4,MIN(DT164,MAX(0,核心参数输入!$B$61-季度现金流!DS170)),0)</f>
        <v>0</v>
      </c>
    </row>
    <row r="166" spans="1:124" ht="21" customHeight="1">
      <c r="A166" s="8" t="s">
        <v>548</v>
      </c>
      <c r="B166" s="8" t="s">
        <v>39</v>
      </c>
      <c r="C166" s="8"/>
      <c r="D166" s="9">
        <f>IF(0&lt;=核心参数输入!$B$9*4,IF(D169&gt;0.01,0,MAX(0,D162+D156-D163+D165-D158-IF(OR(核心参数输入!$B$64=0,0&lt;核心参数输入!$B$9*4),核心参数输入!$B$123,0))),0)</f>
        <v>0</v>
      </c>
      <c r="E166" s="9">
        <f>IF(1&lt;=核心参数输入!$B$9*4,IF(E169&gt;0.01,0,MAX(0,E162+E156-E163+E165-E158-IF(OR(核心参数输入!$B$64=0,1&lt;核心参数输入!$B$9*4),核心参数输入!$B$123,0))),0)</f>
        <v>0</v>
      </c>
      <c r="F166" s="9">
        <f>IF(2&lt;=核心参数输入!$B$9*4,IF(F169&gt;0.01,0,MAX(0,F162+F156-F163+F165-F158-IF(OR(核心参数输入!$B$64=0,2&lt;核心参数输入!$B$9*4),核心参数输入!$B$123,0))),0)</f>
        <v>0</v>
      </c>
      <c r="G166" s="9">
        <f>IF(3&lt;=核心参数输入!$B$9*4,IF(G169&gt;0.01,0,MAX(0,G162+G156-G163+G165-G158-IF(OR(核心参数输入!$B$64=0,3&lt;核心参数输入!$B$9*4),核心参数输入!$B$123,0))),0)</f>
        <v>0</v>
      </c>
      <c r="H166" s="9">
        <f>IF(4&lt;=核心参数输入!$B$9*4,IF(H169&gt;0.01,0,MAX(0,H162+H156-H163+H165-H158-IF(OR(核心参数输入!$B$64=0,4&lt;核心参数输入!$B$9*4),核心参数输入!$B$123,0))),0)</f>
        <v>0</v>
      </c>
      <c r="I166" s="9">
        <f>IF(5&lt;=核心参数输入!$B$9*4,IF(I169&gt;0.01,0,MAX(0,I162+I156-I163+I165-I158-IF(OR(核心参数输入!$B$64=0,5&lt;核心参数输入!$B$9*4),核心参数输入!$B$123,0))),0)</f>
        <v>0</v>
      </c>
      <c r="J166" s="9">
        <f>IF(6&lt;=核心参数输入!$B$9*4,IF(J169&gt;0.01,0,MAX(0,J162+J156-J163+J165-J158-IF(OR(核心参数输入!$B$64=0,6&lt;核心参数输入!$B$9*4),核心参数输入!$B$123,0))),0)</f>
        <v>0</v>
      </c>
      <c r="K166" s="9">
        <f>IF(7&lt;=核心参数输入!$B$9*4,IF(K169&gt;0.01,0,MAX(0,K162+K156-K163+K165-K158-IF(OR(核心参数输入!$B$64=0,7&lt;核心参数输入!$B$9*4),核心参数输入!$B$123,0))),0)</f>
        <v>0</v>
      </c>
      <c r="L166" s="9">
        <f>IF(8&lt;=核心参数输入!$B$9*4,IF(L169&gt;0.01,0,MAX(0,L162+L156-L163+L165-L158-IF(OR(核心参数输入!$B$64=0,8&lt;核心参数输入!$B$9*4),核心参数输入!$B$123,0))),0)</f>
        <v>0</v>
      </c>
      <c r="M166" s="9">
        <f>IF(9&lt;=核心参数输入!$B$9*4,IF(M169&gt;0.01,0,MAX(0,M162+M156-M163+M165-M158-IF(OR(核心参数输入!$B$64=0,9&lt;核心参数输入!$B$9*4),核心参数输入!$B$123,0))),0)</f>
        <v>0</v>
      </c>
      <c r="N166" s="9">
        <f>IF(10&lt;=核心参数输入!$B$9*4,IF(N169&gt;0.01,0,MAX(0,N162+N156-N163+N165-N158-IF(OR(核心参数输入!$B$64=0,10&lt;核心参数输入!$B$9*4),核心参数输入!$B$123,0))),0)</f>
        <v>0</v>
      </c>
      <c r="O166" s="9">
        <f>IF(11&lt;=核心参数输入!$B$9*4,IF(O169&gt;0.01,0,MAX(0,O162+O156-O163+O165-O158-IF(OR(核心参数输入!$B$64=0,11&lt;核心参数输入!$B$9*4),核心参数输入!$B$123,0))),0)</f>
        <v>0</v>
      </c>
      <c r="P166" s="9">
        <f>IF(12&lt;=核心参数输入!$B$9*4,IF(P169&gt;0.01,0,MAX(0,P162+P156-P163+P165-P158-IF(OR(核心参数输入!$B$64=0,12&lt;核心参数输入!$B$9*4),核心参数输入!$B$123,0))),0)</f>
        <v>0</v>
      </c>
      <c r="Q166" s="9">
        <f>IF(13&lt;=核心参数输入!$B$9*4,IF(Q169&gt;0.01,0,MAX(0,Q162+Q156-Q163+Q165-Q158-IF(OR(核心参数输入!$B$64=0,13&lt;核心参数输入!$B$9*4),核心参数输入!$B$123,0))),0)</f>
        <v>0</v>
      </c>
      <c r="R166" s="9">
        <f>IF(14&lt;=核心参数输入!$B$9*4,IF(R169&gt;0.01,0,MAX(0,R162+R156-R163+R165-R158-IF(OR(核心参数输入!$B$64=0,14&lt;核心参数输入!$B$9*4),核心参数输入!$B$123,0))),0)</f>
        <v>0</v>
      </c>
      <c r="S166" s="9">
        <f>IF(15&lt;=核心参数输入!$B$9*4,IF(S169&gt;0.01,0,MAX(0,S162+S156-S163+S165-S158-IF(OR(核心参数输入!$B$64=0,15&lt;核心参数输入!$B$9*4),核心参数输入!$B$123,0))),0)</f>
        <v>0</v>
      </c>
      <c r="T166" s="9">
        <f>IF(16&lt;=核心参数输入!$B$9*4,IF(T169&gt;0.01,0,MAX(0,T162+T156-T163+T165-T158-IF(OR(核心参数输入!$B$64=0,16&lt;核心参数输入!$B$9*4),核心参数输入!$B$123,0))),0)</f>
        <v>0</v>
      </c>
      <c r="U166" s="9">
        <f>IF(17&lt;=核心参数输入!$B$9*4,IF(U169&gt;0.01,0,MAX(0,U162+U156-U163+U165-U158-IF(OR(核心参数输入!$B$64=0,17&lt;核心参数输入!$B$9*4),核心参数输入!$B$123,0))),0)</f>
        <v>0</v>
      </c>
      <c r="V166" s="9">
        <f>IF(18&lt;=核心参数输入!$B$9*4,IF(V169&gt;0.01,0,MAX(0,V162+V156-V163+V165-V158-IF(OR(核心参数输入!$B$64=0,18&lt;核心参数输入!$B$9*4),核心参数输入!$B$123,0))),0)</f>
        <v>0</v>
      </c>
      <c r="W166" s="9">
        <f>IF(19&lt;=核心参数输入!$B$9*4,IF(W169&gt;0.01,0,MAX(0,W162+W156-W163+W165-W158-IF(OR(核心参数输入!$B$64=0,19&lt;核心参数输入!$B$9*4),核心参数输入!$B$123,0))),0)</f>
        <v>0</v>
      </c>
      <c r="X166" s="9">
        <f>IF(20&lt;=核心参数输入!$B$9*4,IF(X169&gt;0.01,0,MAX(0,X162+X156-X163+X165-X158-IF(OR(核心参数输入!$B$64=0,20&lt;核心参数输入!$B$9*4),核心参数输入!$B$123,0))),0)</f>
        <v>0</v>
      </c>
      <c r="Y166" s="9">
        <f>IF(21&lt;=核心参数输入!$B$9*4,IF(Y169&gt;0.01,0,MAX(0,Y162+Y156-Y163+Y165-Y158-IF(OR(核心参数输入!$B$64=0,21&lt;核心参数输入!$B$9*4),核心参数输入!$B$123,0))),0)</f>
        <v>0</v>
      </c>
      <c r="Z166" s="9">
        <f>IF(22&lt;=核心参数输入!$B$9*4,IF(Z169&gt;0.01,0,MAX(0,Z162+Z156-Z163+Z165-Z158-IF(OR(核心参数输入!$B$64=0,22&lt;核心参数输入!$B$9*4),核心参数输入!$B$123,0))),0)</f>
        <v>0</v>
      </c>
      <c r="AA166" s="9">
        <f>IF(23&lt;=核心参数输入!$B$9*4,IF(AA169&gt;0.01,0,MAX(0,AA162+AA156-AA163+AA165-AA158-IF(OR(核心参数输入!$B$64=0,23&lt;核心参数输入!$B$9*4),核心参数输入!$B$123,0))),0)</f>
        <v>0</v>
      </c>
      <c r="AB166" s="9">
        <f>IF(24&lt;=核心参数输入!$B$9*4,IF(AB169&gt;0.01,0,MAX(0,AB162+AB156-AB163+AB165-AB158-IF(OR(核心参数输入!$B$64=0,24&lt;核心参数输入!$B$9*4),核心参数输入!$B$123,0))),0)</f>
        <v>0</v>
      </c>
      <c r="AC166" s="9">
        <f>IF(25&lt;=核心参数输入!$B$9*4,IF(AC169&gt;0.01,0,MAX(0,AC162+AC156-AC163+AC165-AC158-IF(OR(核心参数输入!$B$64=0,25&lt;核心参数输入!$B$9*4),核心参数输入!$B$123,0))),0)</f>
        <v>0</v>
      </c>
      <c r="AD166" s="9">
        <f>IF(26&lt;=核心参数输入!$B$9*4,IF(AD169&gt;0.01,0,MAX(0,AD162+AD156-AD163+AD165-AD158-IF(OR(核心参数输入!$B$64=0,26&lt;核心参数输入!$B$9*4),核心参数输入!$B$123,0))),0)</f>
        <v>0</v>
      </c>
      <c r="AE166" s="9">
        <f>IF(27&lt;=核心参数输入!$B$9*4,IF(AE169&gt;0.01,0,MAX(0,AE162+AE156-AE163+AE165-AE158-IF(OR(核心参数输入!$B$64=0,27&lt;核心参数输入!$B$9*4),核心参数输入!$B$123,0))),0)</f>
        <v>0</v>
      </c>
      <c r="AF166" s="9">
        <f>IF(28&lt;=核心参数输入!$B$9*4,IF(AF169&gt;0.01,0,MAX(0,AF162+AF156-AF163+AF165-AF158-IF(OR(核心参数输入!$B$64=0,28&lt;核心参数输入!$B$9*4),核心参数输入!$B$123,0))),0)</f>
        <v>0</v>
      </c>
      <c r="AG166" s="9">
        <f>IF(29&lt;=核心参数输入!$B$9*4,IF(AG169&gt;0.01,0,MAX(0,AG162+AG156-AG163+AG165-AG158-IF(OR(核心参数输入!$B$64=0,29&lt;核心参数输入!$B$9*4),核心参数输入!$B$123,0))),0)</f>
        <v>0</v>
      </c>
      <c r="AH166" s="9">
        <f>IF(30&lt;=核心参数输入!$B$9*4,IF(AH169&gt;0.01,0,MAX(0,AH162+AH156-AH163+AH165-AH158-IF(OR(核心参数输入!$B$64=0,30&lt;核心参数输入!$B$9*4),核心参数输入!$B$123,0))),0)</f>
        <v>0</v>
      </c>
      <c r="AI166" s="9">
        <f>IF(31&lt;=核心参数输入!$B$9*4,IF(AI169&gt;0.01,0,MAX(0,AI162+AI156-AI163+AI165-AI158-IF(OR(核心参数输入!$B$64=0,31&lt;核心参数输入!$B$9*4),核心参数输入!$B$123,0))),0)</f>
        <v>0</v>
      </c>
      <c r="AJ166" s="9">
        <f>IF(32&lt;=核心参数输入!$B$9*4,IF(AJ169&gt;0.01,0,MAX(0,AJ162+AJ156-AJ163+AJ165-AJ158-IF(OR(核心参数输入!$B$64=0,32&lt;核心参数输入!$B$9*4),核心参数输入!$B$123,0))),0)</f>
        <v>0</v>
      </c>
      <c r="AK166" s="9">
        <f>IF(33&lt;=核心参数输入!$B$9*4,IF(AK169&gt;0.01,0,MAX(0,AK162+AK156-AK163+AK165-AK158-IF(OR(核心参数输入!$B$64=0,33&lt;核心参数输入!$B$9*4),核心参数输入!$B$123,0))),0)</f>
        <v>0</v>
      </c>
      <c r="AL166" s="9">
        <f>IF(34&lt;=核心参数输入!$B$9*4,IF(AL169&gt;0.01,0,MAX(0,AL162+AL156-AL163+AL165-AL158-IF(OR(核心参数输入!$B$64=0,34&lt;核心参数输入!$B$9*4),核心参数输入!$B$123,0))),0)</f>
        <v>0</v>
      </c>
      <c r="AM166" s="9">
        <f>IF(35&lt;=核心参数输入!$B$9*4,IF(AM169&gt;0.01,0,MAX(0,AM162+AM156-AM163+AM165-AM158-IF(OR(核心参数输入!$B$64=0,35&lt;核心参数输入!$B$9*4),核心参数输入!$B$123,0))),0)</f>
        <v>0</v>
      </c>
      <c r="AN166" s="9">
        <f>IF(36&lt;=核心参数输入!$B$9*4,IF(AN169&gt;0.01,0,MAX(0,AN162+AN156-AN163+AN165-AN158-IF(OR(核心参数输入!$B$64=0,36&lt;核心参数输入!$B$9*4),核心参数输入!$B$123,0))),0)</f>
        <v>0</v>
      </c>
      <c r="AO166" s="9">
        <f>IF(37&lt;=核心参数输入!$B$9*4,IF(AO169&gt;0.01,0,MAX(0,AO162+AO156-AO163+AO165-AO158-IF(OR(核心参数输入!$B$64=0,37&lt;核心参数输入!$B$9*4),核心参数输入!$B$123,0))),0)</f>
        <v>0</v>
      </c>
      <c r="AP166" s="9">
        <f>IF(38&lt;=核心参数输入!$B$9*4,IF(AP169&gt;0.01,0,MAX(0,AP162+AP156-AP163+AP165-AP158-IF(OR(核心参数输入!$B$64=0,38&lt;核心参数输入!$B$9*4),核心参数输入!$B$123,0))),0)</f>
        <v>0</v>
      </c>
      <c r="AQ166" s="9">
        <f>IF(39&lt;=核心参数输入!$B$9*4,IF(AQ169&gt;0.01,0,MAX(0,AQ162+AQ156-AQ163+AQ165-AQ158-IF(OR(核心参数输入!$B$64=0,39&lt;核心参数输入!$B$9*4),核心参数输入!$B$123,0))),0)</f>
        <v>0</v>
      </c>
      <c r="AR166" s="9">
        <f>IF(40&lt;=核心参数输入!$B$9*4,IF(AR169&gt;0.01,0,MAX(0,AR162+AR156-AR163+AR165-AR158-IF(OR(核心参数输入!$B$64=0,40&lt;核心参数输入!$B$9*4),核心参数输入!$B$123,0))),0)</f>
        <v>0</v>
      </c>
      <c r="AS166" s="9">
        <f>IF(41&lt;=核心参数输入!$B$9*4,IF(AS169&gt;0.01,0,MAX(0,AS162+AS156-AS163+AS165-AS158-IF(OR(核心参数输入!$B$64=0,41&lt;核心参数输入!$B$9*4),核心参数输入!$B$123,0))),0)</f>
        <v>0</v>
      </c>
      <c r="AT166" s="9">
        <f>IF(42&lt;=核心参数输入!$B$9*4,IF(AT169&gt;0.01,0,MAX(0,AT162+AT156-AT163+AT165-AT158-IF(OR(核心参数输入!$B$64=0,42&lt;核心参数输入!$B$9*4),核心参数输入!$B$123,0))),0)</f>
        <v>0</v>
      </c>
      <c r="AU166" s="9">
        <f>IF(43&lt;=核心参数输入!$B$9*4,IF(AU169&gt;0.01,0,MAX(0,AU162+AU156-AU163+AU165-AU158-IF(OR(核心参数输入!$B$64=0,43&lt;核心参数输入!$B$9*4),核心参数输入!$B$123,0))),0)</f>
        <v>0</v>
      </c>
      <c r="AV166" s="9">
        <f>IF(44&lt;=核心参数输入!$B$9*4,IF(AV169&gt;0.01,0,MAX(0,AV162+AV156-AV163+AV165-AV158-IF(OR(核心参数输入!$B$64=0,44&lt;核心参数输入!$B$9*4),核心参数输入!$B$123,0))),0)</f>
        <v>0</v>
      </c>
      <c r="AW166" s="9">
        <f>IF(45&lt;=核心参数输入!$B$9*4,IF(AW169&gt;0.01,0,MAX(0,AW162+AW156-AW163+AW165-AW158-IF(OR(核心参数输入!$B$64=0,45&lt;核心参数输入!$B$9*4),核心参数输入!$B$123,0))),0)</f>
        <v>0</v>
      </c>
      <c r="AX166" s="9">
        <f>IF(46&lt;=核心参数输入!$B$9*4,IF(AX169&gt;0.01,0,MAX(0,AX162+AX156-AX163+AX165-AX158-IF(OR(核心参数输入!$B$64=0,46&lt;核心参数输入!$B$9*4),核心参数输入!$B$123,0))),0)</f>
        <v>0</v>
      </c>
      <c r="AY166" s="9">
        <f>IF(47&lt;=核心参数输入!$B$9*4,IF(AY169&gt;0.01,0,MAX(0,AY162+AY156-AY163+AY165-AY158-IF(OR(核心参数输入!$B$64=0,47&lt;核心参数输入!$B$9*4),核心参数输入!$B$123,0))),0)</f>
        <v>0</v>
      </c>
      <c r="AZ166" s="9">
        <f>IF(48&lt;=核心参数输入!$B$9*4,IF(AZ169&gt;0.01,0,MAX(0,AZ162+AZ156-AZ163+AZ165-AZ158-IF(OR(核心参数输入!$B$64=0,48&lt;核心参数输入!$B$9*4),核心参数输入!$B$123,0))),0)</f>
        <v>0</v>
      </c>
      <c r="BA166" s="9">
        <f>IF(49&lt;=核心参数输入!$B$9*4,IF(BA169&gt;0.01,0,MAX(0,BA162+BA156-BA163+BA165-BA158-IF(OR(核心参数输入!$B$64=0,49&lt;核心参数输入!$B$9*4),核心参数输入!$B$123,0))),0)</f>
        <v>0</v>
      </c>
      <c r="BB166" s="9">
        <f>IF(50&lt;=核心参数输入!$B$9*4,IF(BB169&gt;0.01,0,MAX(0,BB162+BB156-BB163+BB165-BB158-IF(OR(核心参数输入!$B$64=0,50&lt;核心参数输入!$B$9*4),核心参数输入!$B$123,0))),0)</f>
        <v>0</v>
      </c>
      <c r="BC166" s="9">
        <f>IF(51&lt;=核心参数输入!$B$9*4,IF(BC169&gt;0.01,0,MAX(0,BC162+BC156-BC163+BC165-BC158-IF(OR(核心参数输入!$B$64=0,51&lt;核心参数输入!$B$9*4),核心参数输入!$B$123,0))),0)</f>
        <v>0</v>
      </c>
      <c r="BD166" s="9">
        <f>IF(52&lt;=核心参数输入!$B$9*4,IF(BD169&gt;0.01,0,MAX(0,BD162+BD156-BD163+BD165-BD158-IF(OR(核心参数输入!$B$64=0,52&lt;核心参数输入!$B$9*4),核心参数输入!$B$123,0))),0)</f>
        <v>0</v>
      </c>
      <c r="BE166" s="9">
        <f>IF(53&lt;=核心参数输入!$B$9*4,IF(BE169&gt;0.01,0,MAX(0,BE162+BE156-BE163+BE165-BE158-IF(OR(核心参数输入!$B$64=0,53&lt;核心参数输入!$B$9*4),核心参数输入!$B$123,0))),0)</f>
        <v>0</v>
      </c>
      <c r="BF166" s="9">
        <f>IF(54&lt;=核心参数输入!$B$9*4,IF(BF169&gt;0.01,0,MAX(0,BF162+BF156-BF163+BF165-BF158-IF(OR(核心参数输入!$B$64=0,54&lt;核心参数输入!$B$9*4),核心参数输入!$B$123,0))),0)</f>
        <v>0</v>
      </c>
      <c r="BG166" s="9">
        <f>IF(55&lt;=核心参数输入!$B$9*4,IF(BG169&gt;0.01,0,MAX(0,BG162+BG156-BG163+BG165-BG158-IF(OR(核心参数输入!$B$64=0,55&lt;核心参数输入!$B$9*4),核心参数输入!$B$123,0))),0)</f>
        <v>0</v>
      </c>
      <c r="BH166" s="9">
        <f>IF(56&lt;=核心参数输入!$B$9*4,IF(BH169&gt;0.01,0,MAX(0,BH162+BH156-BH163+BH165-BH158-IF(OR(核心参数输入!$B$64=0,56&lt;核心参数输入!$B$9*4),核心参数输入!$B$123,0))),0)</f>
        <v>0</v>
      </c>
      <c r="BI166" s="9">
        <f>IF(57&lt;=核心参数输入!$B$9*4,IF(BI169&gt;0.01,0,MAX(0,BI162+BI156-BI163+BI165-BI158-IF(OR(核心参数输入!$B$64=0,57&lt;核心参数输入!$B$9*4),核心参数输入!$B$123,0))),0)</f>
        <v>0</v>
      </c>
      <c r="BJ166" s="9">
        <f>IF(58&lt;=核心参数输入!$B$9*4,IF(BJ169&gt;0.01,0,MAX(0,BJ162+BJ156-BJ163+BJ165-BJ158-IF(OR(核心参数输入!$B$64=0,58&lt;核心参数输入!$B$9*4),核心参数输入!$B$123,0))),0)</f>
        <v>0</v>
      </c>
      <c r="BK166" s="9">
        <f>IF(59&lt;=核心参数输入!$B$9*4,IF(BK169&gt;0.01,0,MAX(0,BK162+BK156-BK163+BK165-BK158-IF(OR(核心参数输入!$B$64=0,59&lt;核心参数输入!$B$9*4),核心参数输入!$B$123,0))),0)</f>
        <v>0</v>
      </c>
      <c r="BL166" s="9">
        <f>IF(60&lt;=核心参数输入!$B$9*4,IF(BL169&gt;0.01,0,MAX(0,BL162+BL156-BL163+BL165-BL158-IF(OR(核心参数输入!$B$64=0,60&lt;核心参数输入!$B$9*4),核心参数输入!$B$123,0))),0)</f>
        <v>0</v>
      </c>
      <c r="BM166" s="9">
        <f>IF(61&lt;=核心参数输入!$B$9*4,IF(BM169&gt;0.01,0,MAX(0,BM162+BM156-BM163+BM165-BM158-IF(OR(核心参数输入!$B$64=0,61&lt;核心参数输入!$B$9*4),核心参数输入!$B$123,0))),0)</f>
        <v>0</v>
      </c>
      <c r="BN166" s="9">
        <f>IF(62&lt;=核心参数输入!$B$9*4,IF(BN169&gt;0.01,0,MAX(0,BN162+BN156-BN163+BN165-BN158-IF(OR(核心参数输入!$B$64=0,62&lt;核心参数输入!$B$9*4),核心参数输入!$B$123,0))),0)</f>
        <v>0</v>
      </c>
      <c r="BO166" s="9">
        <f>IF(63&lt;=核心参数输入!$B$9*4,IF(BO169&gt;0.01,0,MAX(0,BO162+BO156-BO163+BO165-BO158-IF(OR(核心参数输入!$B$64=0,63&lt;核心参数输入!$B$9*4),核心参数输入!$B$123,0))),0)</f>
        <v>0</v>
      </c>
      <c r="BP166" s="9">
        <f>IF(64&lt;=核心参数输入!$B$9*4,IF(BP169&gt;0.01,0,MAX(0,BP162+BP156-BP163+BP165-BP158-IF(OR(核心参数输入!$B$64=0,64&lt;核心参数输入!$B$9*4),核心参数输入!$B$123,0))),0)</f>
        <v>0</v>
      </c>
      <c r="BQ166" s="9">
        <f>IF(65&lt;=核心参数输入!$B$9*4,IF(BQ169&gt;0.01,0,MAX(0,BQ162+BQ156-BQ163+BQ165-BQ158-IF(OR(核心参数输入!$B$64=0,65&lt;核心参数输入!$B$9*4),核心参数输入!$B$123,0))),0)</f>
        <v>0</v>
      </c>
      <c r="BR166" s="9">
        <f>IF(66&lt;=核心参数输入!$B$9*4,IF(BR169&gt;0.01,0,MAX(0,BR162+BR156-BR163+BR165-BR158-IF(OR(核心参数输入!$B$64=0,66&lt;核心参数输入!$B$9*4),核心参数输入!$B$123,0))),0)</f>
        <v>0</v>
      </c>
      <c r="BS166" s="9">
        <f>IF(67&lt;=核心参数输入!$B$9*4,IF(BS169&gt;0.01,0,MAX(0,BS162+BS156-BS163+BS165-BS158-IF(OR(核心参数输入!$B$64=0,67&lt;核心参数输入!$B$9*4),核心参数输入!$B$123,0))),0)</f>
        <v>0</v>
      </c>
      <c r="BT166" s="9">
        <f>IF(68&lt;=核心参数输入!$B$9*4,IF(BT169&gt;0.01,0,MAX(0,BT162+BT156-BT163+BT165-BT158-IF(OR(核心参数输入!$B$64=0,68&lt;核心参数输入!$B$9*4),核心参数输入!$B$123,0))),0)</f>
        <v>0</v>
      </c>
      <c r="BU166" s="9">
        <f>IF(69&lt;=核心参数输入!$B$9*4,IF(BU169&gt;0.01,0,MAX(0,BU162+BU156-BU163+BU165-BU158-IF(OR(核心参数输入!$B$64=0,69&lt;核心参数输入!$B$9*4),核心参数输入!$B$123,0))),0)</f>
        <v>0</v>
      </c>
      <c r="BV166" s="9">
        <f>IF(70&lt;=核心参数输入!$B$9*4,IF(BV169&gt;0.01,0,MAX(0,BV162+BV156-BV163+BV165-BV158-IF(OR(核心参数输入!$B$64=0,70&lt;核心参数输入!$B$9*4),核心参数输入!$B$123,0))),0)</f>
        <v>0</v>
      </c>
      <c r="BW166" s="9">
        <f>IF(71&lt;=核心参数输入!$B$9*4,IF(BW169&gt;0.01,0,MAX(0,BW162+BW156-BW163+BW165-BW158-IF(OR(核心参数输入!$B$64=0,71&lt;核心参数输入!$B$9*4),核心参数输入!$B$123,0))),0)</f>
        <v>0</v>
      </c>
      <c r="BX166" s="9">
        <f>IF(72&lt;=核心参数输入!$B$9*4,IF(BX169&gt;0.01,0,MAX(0,BX162+BX156-BX163+BX165-BX158-IF(OR(核心参数输入!$B$64=0,72&lt;核心参数输入!$B$9*4),核心参数输入!$B$123,0))),0)</f>
        <v>0</v>
      </c>
      <c r="BY166" s="9">
        <f>IF(73&lt;=核心参数输入!$B$9*4,IF(BY169&gt;0.01,0,MAX(0,BY162+BY156-BY163+BY165-BY158-IF(OR(核心参数输入!$B$64=0,73&lt;核心参数输入!$B$9*4),核心参数输入!$B$123,0))),0)</f>
        <v>0</v>
      </c>
      <c r="BZ166" s="9">
        <f>IF(74&lt;=核心参数输入!$B$9*4,IF(BZ169&gt;0.01,0,MAX(0,BZ162+BZ156-BZ163+BZ165-BZ158-IF(OR(核心参数输入!$B$64=0,74&lt;核心参数输入!$B$9*4),核心参数输入!$B$123,0))),0)</f>
        <v>0</v>
      </c>
      <c r="CA166" s="9">
        <f>IF(75&lt;=核心参数输入!$B$9*4,IF(CA169&gt;0.01,0,MAX(0,CA162+CA156-CA163+CA165-CA158-IF(OR(核心参数输入!$B$64=0,75&lt;核心参数输入!$B$9*4),核心参数输入!$B$123,0))),0)</f>
        <v>0</v>
      </c>
      <c r="CB166" s="9">
        <f>IF(76&lt;=核心参数输入!$B$9*4,IF(CB169&gt;0.01,0,MAX(0,CB162+CB156-CB163+CB165-CB158-IF(OR(核心参数输入!$B$64=0,76&lt;核心参数输入!$B$9*4),核心参数输入!$B$123,0))),0)</f>
        <v>0</v>
      </c>
      <c r="CC166" s="9">
        <f>IF(77&lt;=核心参数输入!$B$9*4,IF(CC169&gt;0.01,0,MAX(0,CC162+CC156-CC163+CC165-CC158-IF(OR(核心参数输入!$B$64=0,77&lt;核心参数输入!$B$9*4),核心参数输入!$B$123,0))),0)</f>
        <v>0</v>
      </c>
      <c r="CD166" s="9">
        <f>IF(78&lt;=核心参数输入!$B$9*4,IF(CD169&gt;0.01,0,MAX(0,CD162+CD156-CD163+CD165-CD158-IF(OR(核心参数输入!$B$64=0,78&lt;核心参数输入!$B$9*4),核心参数输入!$B$123,0))),0)</f>
        <v>0</v>
      </c>
      <c r="CE166" s="9">
        <f>IF(79&lt;=核心参数输入!$B$9*4,IF(CE169&gt;0.01,0,MAX(0,CE162+CE156-CE163+CE165-CE158-IF(OR(核心参数输入!$B$64=0,79&lt;核心参数输入!$B$9*4),核心参数输入!$B$123,0))),0)</f>
        <v>0</v>
      </c>
      <c r="CF166" s="9">
        <f>IF(80&lt;=核心参数输入!$B$9*4,IF(CF169&gt;0.01,0,MAX(0,CF162+CF156-CF163+CF165-CF158-IF(OR(核心参数输入!$B$64=0,80&lt;核心参数输入!$B$9*4),核心参数输入!$B$123,0))),0)</f>
        <v>0</v>
      </c>
      <c r="CG166" s="9">
        <f>IF(81&lt;=核心参数输入!$B$9*4,IF(CG169&gt;0.01,0,MAX(0,CG162+CG156-CG163+CG165-CG158-IF(OR(核心参数输入!$B$64=0,81&lt;核心参数输入!$B$9*4),核心参数输入!$B$123,0))),0)</f>
        <v>0</v>
      </c>
      <c r="CH166" s="9">
        <f>IF(82&lt;=核心参数输入!$B$9*4,IF(CH169&gt;0.01,0,MAX(0,CH162+CH156-CH163+CH165-CH158-IF(OR(核心参数输入!$B$64=0,82&lt;核心参数输入!$B$9*4),核心参数输入!$B$123,0))),0)</f>
        <v>0</v>
      </c>
      <c r="CI166" s="9">
        <f>IF(83&lt;=核心参数输入!$B$9*4,IF(CI169&gt;0.01,0,MAX(0,CI162+CI156-CI163+CI165-CI158-IF(OR(核心参数输入!$B$64=0,83&lt;核心参数输入!$B$9*4),核心参数输入!$B$123,0))),0)</f>
        <v>0</v>
      </c>
      <c r="CJ166" s="9">
        <f>IF(84&lt;=核心参数输入!$B$9*4,IF(CJ169&gt;0.01,0,MAX(0,CJ162+CJ156-CJ163+CJ165-CJ158-IF(OR(核心参数输入!$B$64=0,84&lt;核心参数输入!$B$9*4),核心参数输入!$B$123,0))),0)</f>
        <v>0</v>
      </c>
      <c r="CK166" s="9">
        <f>IF(85&lt;=核心参数输入!$B$9*4,IF(CK169&gt;0.01,0,MAX(0,CK162+CK156-CK163+CK165-CK158-IF(OR(核心参数输入!$B$64=0,85&lt;核心参数输入!$B$9*4),核心参数输入!$B$123,0))),0)</f>
        <v>0</v>
      </c>
      <c r="CL166" s="9">
        <f>IF(86&lt;=核心参数输入!$B$9*4,IF(CL169&gt;0.01,0,MAX(0,CL162+CL156-CL163+CL165-CL158-IF(OR(核心参数输入!$B$64=0,86&lt;核心参数输入!$B$9*4),核心参数输入!$B$123,0))),0)</f>
        <v>0</v>
      </c>
      <c r="CM166" s="9">
        <f>IF(87&lt;=核心参数输入!$B$9*4,IF(CM169&gt;0.01,0,MAX(0,CM162+CM156-CM163+CM165-CM158-IF(OR(核心参数输入!$B$64=0,87&lt;核心参数输入!$B$9*4),核心参数输入!$B$123,0))),0)</f>
        <v>0</v>
      </c>
      <c r="CN166" s="9">
        <f>IF(88&lt;=核心参数输入!$B$9*4,IF(CN169&gt;0.01,0,MAX(0,CN162+CN156-CN163+CN165-CN158-IF(OR(核心参数输入!$B$64=0,88&lt;核心参数输入!$B$9*4),核心参数输入!$B$123,0))),0)</f>
        <v>0</v>
      </c>
      <c r="CO166" s="9">
        <f>IF(89&lt;=核心参数输入!$B$9*4,IF(CO169&gt;0.01,0,MAX(0,CO162+CO156-CO163+CO165-CO158-IF(OR(核心参数输入!$B$64=0,89&lt;核心参数输入!$B$9*4),核心参数输入!$B$123,0))),0)</f>
        <v>0</v>
      </c>
      <c r="CP166" s="9">
        <f>IF(90&lt;=核心参数输入!$B$9*4,IF(CP169&gt;0.01,0,MAX(0,CP162+CP156-CP163+CP165-CP158-IF(OR(核心参数输入!$B$64=0,90&lt;核心参数输入!$B$9*4),核心参数输入!$B$123,0))),0)</f>
        <v>0</v>
      </c>
      <c r="CQ166" s="9">
        <f>IF(91&lt;=核心参数输入!$B$9*4,IF(CQ169&gt;0.01,0,MAX(0,CQ162+CQ156-CQ163+CQ165-CQ158-IF(OR(核心参数输入!$B$64=0,91&lt;核心参数输入!$B$9*4),核心参数输入!$B$123,0))),0)</f>
        <v>0</v>
      </c>
      <c r="CR166" s="9">
        <f>IF(92&lt;=核心参数输入!$B$9*4,IF(CR169&gt;0.01,0,MAX(0,CR162+CR156-CR163+CR165-CR158-IF(OR(核心参数输入!$B$64=0,92&lt;核心参数输入!$B$9*4),核心参数输入!$B$123,0))),0)</f>
        <v>0</v>
      </c>
      <c r="CS166" s="9">
        <f>IF(93&lt;=核心参数输入!$B$9*4,IF(CS169&gt;0.01,0,MAX(0,CS162+CS156-CS163+CS165-CS158-IF(OR(核心参数输入!$B$64=0,93&lt;核心参数输入!$B$9*4),核心参数输入!$B$123,0))),0)</f>
        <v>0</v>
      </c>
      <c r="CT166" s="9">
        <f>IF(94&lt;=核心参数输入!$B$9*4,IF(CT169&gt;0.01,0,MAX(0,CT162+CT156-CT163+CT165-CT158-IF(OR(核心参数输入!$B$64=0,94&lt;核心参数输入!$B$9*4),核心参数输入!$B$123,0))),0)</f>
        <v>0</v>
      </c>
      <c r="CU166" s="9">
        <f>IF(95&lt;=核心参数输入!$B$9*4,IF(CU169&gt;0.01,0,MAX(0,CU162+CU156-CU163+CU165-CU158-IF(OR(核心参数输入!$B$64=0,95&lt;核心参数输入!$B$9*4),核心参数输入!$B$123,0))),0)</f>
        <v>0</v>
      </c>
      <c r="CV166" s="9">
        <f>IF(96&lt;=核心参数输入!$B$9*4,IF(CV169&gt;0.01,0,MAX(0,CV162+CV156-CV163+CV165-CV158-IF(OR(核心参数输入!$B$64=0,96&lt;核心参数输入!$B$9*4),核心参数输入!$B$123,0))),0)</f>
        <v>0</v>
      </c>
      <c r="CW166" s="9">
        <f>IF(97&lt;=核心参数输入!$B$9*4,IF(CW169&gt;0.01,0,MAX(0,CW162+CW156-CW163+CW165-CW158-IF(OR(核心参数输入!$B$64=0,97&lt;核心参数输入!$B$9*4),核心参数输入!$B$123,0))),0)</f>
        <v>0</v>
      </c>
      <c r="CX166" s="9">
        <f>IF(98&lt;=核心参数输入!$B$9*4,IF(CX169&gt;0.01,0,MAX(0,CX162+CX156-CX163+CX165-CX158-IF(OR(核心参数输入!$B$64=0,98&lt;核心参数输入!$B$9*4),核心参数输入!$B$123,0))),0)</f>
        <v>0</v>
      </c>
      <c r="CY166" s="9">
        <f>IF(99&lt;=核心参数输入!$B$9*4,IF(CY169&gt;0.01,0,MAX(0,CY162+CY156-CY163+CY165-CY158-IF(OR(核心参数输入!$B$64=0,99&lt;核心参数输入!$B$9*4),核心参数输入!$B$123,0))),0)</f>
        <v>0</v>
      </c>
      <c r="CZ166" s="9">
        <f>IF(100&lt;=核心参数输入!$B$9*4,IF(CZ169&gt;0.01,0,MAX(0,CZ162+CZ156-CZ163+CZ165-CZ158-IF(OR(核心参数输入!$B$64=0,100&lt;核心参数输入!$B$9*4),核心参数输入!$B$123,0))),0)</f>
        <v>0</v>
      </c>
      <c r="DA166" s="9">
        <f>IF(101&lt;=核心参数输入!$B$9*4,IF(DA169&gt;0.01,0,MAX(0,DA162+DA156-DA163+DA165-DA158-IF(OR(核心参数输入!$B$64=0,101&lt;核心参数输入!$B$9*4),核心参数输入!$B$123,0))),0)</f>
        <v>0</v>
      </c>
      <c r="DB166" s="9">
        <f>IF(102&lt;=核心参数输入!$B$9*4,IF(DB169&gt;0.01,0,MAX(0,DB162+DB156-DB163+DB165-DB158-IF(OR(核心参数输入!$B$64=0,102&lt;核心参数输入!$B$9*4),核心参数输入!$B$123,0))),0)</f>
        <v>0</v>
      </c>
      <c r="DC166" s="9">
        <f>IF(103&lt;=核心参数输入!$B$9*4,IF(DC169&gt;0.01,0,MAX(0,DC162+DC156-DC163+DC165-DC158-IF(OR(核心参数输入!$B$64=0,103&lt;核心参数输入!$B$9*4),核心参数输入!$B$123,0))),0)</f>
        <v>0</v>
      </c>
      <c r="DD166" s="9">
        <f>IF(104&lt;=核心参数输入!$B$9*4,IF(DD169&gt;0.01,0,MAX(0,DD162+DD156-DD163+DD165-DD158-IF(OR(核心参数输入!$B$64=0,104&lt;核心参数输入!$B$9*4),核心参数输入!$B$123,0))),0)</f>
        <v>0</v>
      </c>
      <c r="DE166" s="9">
        <f>IF(105&lt;=核心参数输入!$B$9*4,IF(DE169&gt;0.01,0,MAX(0,DE162+DE156-DE163+DE165-DE158-IF(OR(核心参数输入!$B$64=0,105&lt;核心参数输入!$B$9*4),核心参数输入!$B$123,0))),0)</f>
        <v>0</v>
      </c>
      <c r="DF166" s="9">
        <f>IF(106&lt;=核心参数输入!$B$9*4,IF(DF169&gt;0.01,0,MAX(0,DF162+DF156-DF163+DF165-DF158-IF(OR(核心参数输入!$B$64=0,106&lt;核心参数输入!$B$9*4),核心参数输入!$B$123,0))),0)</f>
        <v>0</v>
      </c>
      <c r="DG166" s="9">
        <f>IF(107&lt;=核心参数输入!$B$9*4,IF(DG169&gt;0.01,0,MAX(0,DG162+DG156-DG163+DG165-DG158-IF(OR(核心参数输入!$B$64=0,107&lt;核心参数输入!$B$9*4),核心参数输入!$B$123,0))),0)</f>
        <v>0</v>
      </c>
      <c r="DH166" s="9">
        <f>IF(108&lt;=核心参数输入!$B$9*4,IF(DH169&gt;0.01,0,MAX(0,DH162+DH156-DH163+DH165-DH158-IF(OR(核心参数输入!$B$64=0,108&lt;核心参数输入!$B$9*4),核心参数输入!$B$123,0))),0)</f>
        <v>0</v>
      </c>
      <c r="DI166" s="9">
        <f>IF(109&lt;=核心参数输入!$B$9*4,IF(DI169&gt;0.01,0,MAX(0,DI162+DI156-DI163+DI165-DI158-IF(OR(核心参数输入!$B$64=0,109&lt;核心参数输入!$B$9*4),核心参数输入!$B$123,0))),0)</f>
        <v>0</v>
      </c>
      <c r="DJ166" s="9">
        <f>IF(110&lt;=核心参数输入!$B$9*4,IF(DJ169&gt;0.01,0,MAX(0,DJ162+DJ156-DJ163+DJ165-DJ158-IF(OR(核心参数输入!$B$64=0,110&lt;核心参数输入!$B$9*4),核心参数输入!$B$123,0))),0)</f>
        <v>0</v>
      </c>
      <c r="DK166" s="9">
        <f>IF(111&lt;=核心参数输入!$B$9*4,IF(DK169&gt;0.01,0,MAX(0,DK162+DK156-DK163+DK165-DK158-IF(OR(核心参数输入!$B$64=0,111&lt;核心参数输入!$B$9*4),核心参数输入!$B$123,0))),0)</f>
        <v>0</v>
      </c>
      <c r="DL166" s="9">
        <f>IF(112&lt;=核心参数输入!$B$9*4,IF(DL169&gt;0.01,0,MAX(0,DL162+DL156-DL163+DL165-DL158-IF(OR(核心参数输入!$B$64=0,112&lt;核心参数输入!$B$9*4),核心参数输入!$B$123,0))),0)</f>
        <v>0</v>
      </c>
      <c r="DM166" s="9">
        <f>IF(113&lt;=核心参数输入!$B$9*4,IF(DM169&gt;0.01,0,MAX(0,DM162+DM156-DM163+DM165-DM158-IF(OR(核心参数输入!$B$64=0,113&lt;核心参数输入!$B$9*4),核心参数输入!$B$123,0))),0)</f>
        <v>0</v>
      </c>
      <c r="DN166" s="9">
        <f>IF(114&lt;=核心参数输入!$B$9*4,IF(DN169&gt;0.01,0,MAX(0,DN162+DN156-DN163+DN165-DN158-IF(OR(核心参数输入!$B$64=0,114&lt;核心参数输入!$B$9*4),核心参数输入!$B$123,0))),0)</f>
        <v>0</v>
      </c>
      <c r="DO166" s="9">
        <f>IF(115&lt;=核心参数输入!$B$9*4,IF(DO169&gt;0.01,0,MAX(0,DO162+DO156-DO163+DO165-DO158-IF(OR(核心参数输入!$B$64=0,115&lt;核心参数输入!$B$9*4),核心参数输入!$B$123,0))),0)</f>
        <v>0</v>
      </c>
      <c r="DP166" s="9">
        <f>IF(116&lt;=核心参数输入!$B$9*4,IF(DP169&gt;0.01,0,MAX(0,DP162+DP156-DP163+DP165-DP158-IF(OR(核心参数输入!$B$64=0,116&lt;核心参数输入!$B$9*4),核心参数输入!$B$123,0))),0)</f>
        <v>0</v>
      </c>
      <c r="DQ166" s="9">
        <f>IF(117&lt;=核心参数输入!$B$9*4,IF(DQ169&gt;0.01,0,MAX(0,DQ162+DQ156-DQ163+DQ165-DQ158-IF(OR(核心参数输入!$B$64=0,117&lt;核心参数输入!$B$9*4),核心参数输入!$B$123,0))),0)</f>
        <v>0</v>
      </c>
      <c r="DR166" s="9">
        <f>IF(118&lt;=核心参数输入!$B$9*4,IF(DR169&gt;0.01,0,MAX(0,DR162+DR156-DR163+DR165-DR158-IF(OR(核心参数输入!$B$64=0,118&lt;核心参数输入!$B$9*4),核心参数输入!$B$123,0))),0)</f>
        <v>0</v>
      </c>
      <c r="DS166" s="9">
        <f>IF(119&lt;=核心参数输入!$B$9*4,IF(DS169&gt;0.01,0,MAX(0,DS162+DS156-DS163+DS165-DS158-IF(OR(核心参数输入!$B$64=0,119&lt;核心参数输入!$B$9*4),核心参数输入!$B$123,0))),0)</f>
        <v>0</v>
      </c>
      <c r="DT166" s="9">
        <f>IF(120&lt;=核心参数输入!$B$9*4,IF(DT169&gt;0.01,0,MAX(0,DT162+DT156-DT163+DT165-DT158-IF(OR(核心参数输入!$B$64=0,120&lt;核心参数输入!$B$9*4),核心参数输入!$B$123,0))),0)</f>
        <v>0</v>
      </c>
    </row>
    <row r="167" spans="1:124" ht="21" customHeight="1">
      <c r="A167" s="8" t="s">
        <v>549</v>
      </c>
      <c r="B167" s="8" t="s">
        <v>39</v>
      </c>
      <c r="C167" s="8"/>
      <c r="D167" s="9">
        <f>IF(0&lt;=核心参数输入!$B$9*4,MAX(0,D162+D156-D163+D165)-D166,0)</f>
        <v>0</v>
      </c>
      <c r="E167" s="9">
        <f>IF(1&lt;=核心参数输入!$B$9*4,MAX(0,E162+E156-E163+E165)-E166,0)</f>
        <v>0</v>
      </c>
      <c r="F167" s="9">
        <f>IF(2&lt;=核心参数输入!$B$9*4,MAX(0,F162+F156-F163+F165)-F166,0)</f>
        <v>0</v>
      </c>
      <c r="G167" s="9">
        <f>IF(3&lt;=核心参数输入!$B$9*4,MAX(0,G162+G156-G163+G165)-G166,0)</f>
        <v>0</v>
      </c>
      <c r="H167" s="9">
        <f>IF(4&lt;=核心参数输入!$B$9*4,MAX(0,H162+H156-H163+H165)-H166,0)</f>
        <v>0</v>
      </c>
      <c r="I167" s="9">
        <f>IF(5&lt;=核心参数输入!$B$9*4,MAX(0,I162+I156-I163+I165)-I166,0)</f>
        <v>0</v>
      </c>
      <c r="J167" s="9">
        <f>IF(6&lt;=核心参数输入!$B$9*4,MAX(0,J162+J156-J163+J165)-J166,0)</f>
        <v>0</v>
      </c>
      <c r="K167" s="9">
        <f>IF(7&lt;=核心参数输入!$B$9*4,MAX(0,K162+K156-K163+K165)-K166,0)</f>
        <v>0</v>
      </c>
      <c r="L167" s="9">
        <f>IF(8&lt;=核心参数输入!$B$9*4,MAX(0,L162+L156-L163+L165)-L166,0)</f>
        <v>0</v>
      </c>
      <c r="M167" s="9">
        <f>IF(9&lt;=核心参数输入!$B$9*4,MAX(0,M162+M156-M163+M165)-M166,0)</f>
        <v>0</v>
      </c>
      <c r="N167" s="9">
        <f>IF(10&lt;=核心参数输入!$B$9*4,MAX(0,N162+N156-N163+N165)-N166,0)</f>
        <v>0</v>
      </c>
      <c r="O167" s="9">
        <f>IF(11&lt;=核心参数输入!$B$9*4,MAX(0,O162+O156-O163+O165)-O166,0)</f>
        <v>0</v>
      </c>
      <c r="P167" s="9">
        <f>IF(12&lt;=核心参数输入!$B$9*4,MAX(0,P162+P156-P163+P165)-P166,0)</f>
        <v>0</v>
      </c>
      <c r="Q167" s="9">
        <f>IF(13&lt;=核心参数输入!$B$9*4,MAX(0,Q162+Q156-Q163+Q165)-Q166,0)</f>
        <v>0</v>
      </c>
      <c r="R167" s="9">
        <f>IF(14&lt;=核心参数输入!$B$9*4,MAX(0,R162+R156-R163+R165)-R166,0)</f>
        <v>0</v>
      </c>
      <c r="S167" s="9">
        <f>IF(15&lt;=核心参数输入!$B$9*4,MAX(0,S162+S156-S163+S165)-S166,0)</f>
        <v>934.52539468999885</v>
      </c>
      <c r="T167" s="9">
        <f>IF(16&lt;=核心参数输入!$B$9*4,MAX(0,T162+T156-T163+T165)-T166,0)</f>
        <v>0</v>
      </c>
      <c r="U167" s="9">
        <f>IF(17&lt;=核心参数输入!$B$9*4,MAX(0,U162+U156-U163+U165)-U166,0)</f>
        <v>2539.7269051641388</v>
      </c>
      <c r="V167" s="9">
        <f>IF(18&lt;=核心参数输入!$B$9*4,MAX(0,V162+V156-V163+V165)-V166,0)</f>
        <v>6190.7776383947257</v>
      </c>
      <c r="W167" s="9">
        <f>IF(19&lt;=核心参数输入!$B$9*4,MAX(0,W162+W156-W163+W165)-W166,0)</f>
        <v>9860.0644137700874</v>
      </c>
      <c r="X167" s="9">
        <f>IF(20&lt;=核心参数输入!$B$9*4,MAX(0,X162+X156-X163+X165)-X166,0)</f>
        <v>9284.3729455759403</v>
      </c>
      <c r="Y167" s="9">
        <f>IF(21&lt;=核心参数输入!$B$9*4,MAX(0,Y162+Y156-Y163+Y165)-Y166,0)</f>
        <v>12390.633303760826</v>
      </c>
      <c r="Z167" s="9">
        <f>IF(22&lt;=核心参数输入!$B$9*4,MAX(0,Z162+Z156-Z163+Z165)-Z166,0)</f>
        <v>15187.31767187554</v>
      </c>
      <c r="AA167" s="9">
        <f>IF(23&lt;=核心参数输入!$B$9*4,MAX(0,AA162+AA156-AA163+AA165)-AA166,0)</f>
        <v>17997.884227072966</v>
      </c>
      <c r="AB167" s="9">
        <f>IF(24&lt;=核心参数输入!$B$9*4,MAX(0,AB162+AB156-AB163+AB165)-AB166,0)</f>
        <v>16559.118683638815</v>
      </c>
      <c r="AC167" s="9">
        <f>IF(25&lt;=核心参数输入!$B$9*4,MAX(0,AC162+AC156-AC163+AC165)-AC166,0)</f>
        <v>17506.606896473353</v>
      </c>
      <c r="AD167" s="9">
        <f>IF(26&lt;=核心参数输入!$B$9*4,MAX(0,AD162+AD156-AD163+AD165)-AD166,0)</f>
        <v>17486.173097567189</v>
      </c>
      <c r="AE167" s="9">
        <f>IF(27&lt;=核心参数输入!$B$9*4,MAX(0,AE162+AE156-AE163+AE165)-AE166,0)</f>
        <v>17470.436105290675</v>
      </c>
      <c r="AF167" s="9">
        <f>IF(28&lt;=核心参数输入!$B$9*4,MAX(0,AF162+AF156-AF163+AF165)-AF166,0)</f>
        <v>13196.181633929527</v>
      </c>
      <c r="AG167" s="9">
        <f>IF(29&lt;=核心参数输入!$B$9*4,MAX(0,AG162+AG156-AG163+AG165)-AG166,0)</f>
        <v>13237.720151227057</v>
      </c>
      <c r="AH167" s="9">
        <f>IF(30&lt;=核心参数输入!$B$9*4,MAX(0,AH162+AH156-AH163+AH165)-AH166,0)</f>
        <v>13281.642297889133</v>
      </c>
      <c r="AI167" s="9">
        <f>IF(31&lt;=核心参数输入!$B$9*4,MAX(0,AI162+AI156-AI163+AI165)-AI166,0)</f>
        <v>13325.56444455121</v>
      </c>
      <c r="AJ167" s="9">
        <f>IF(32&lt;=核心参数输入!$B$9*4,MAX(0,AJ162+AJ156-AJ163+AJ165)-AJ166,0)</f>
        <v>9106.272305499002</v>
      </c>
      <c r="AK167" s="9">
        <f>IF(33&lt;=核心参数输入!$B$9*4,MAX(0,AK162+AK156-AK163+AK165)-AK166,0)</f>
        <v>9198.1473723010113</v>
      </c>
      <c r="AL167" s="9">
        <f>IF(34&lt;=核心参数输入!$B$9*4,MAX(0,AL162+AL156-AL163+AL165)-AL166,0)</f>
        <v>9290.0224391030206</v>
      </c>
      <c r="AM167" s="9">
        <f>IF(35&lt;=核心参数输入!$B$9*4,MAX(0,AM162+AM156-AM163+AM165)-AM166,0)</f>
        <v>9381.8975059050299</v>
      </c>
      <c r="AN167" s="9">
        <f>IF(36&lt;=核心参数输入!$B$9*4,MAX(0,AN162+AN156-AN163+AN165)-AN166,0)</f>
        <v>5210.558286992753</v>
      </c>
      <c r="AO167" s="9">
        <f>IF(37&lt;=核心参数输入!$B$9*4,MAX(0,AO162+AO156-AO163+AO165)-AO166,0)</f>
        <v>5350.4224494955915</v>
      </c>
      <c r="AP167" s="9">
        <f>IF(38&lt;=核心参数输入!$B$9*4,MAX(0,AP162+AP156-AP163+AP165)-AP166,0)</f>
        <v>5490.2866119984301</v>
      </c>
      <c r="AQ167" s="9">
        <f>IF(39&lt;=核心参数输入!$B$9*4,MAX(0,AQ162+AQ156-AQ163+AQ165)-AQ166,0)</f>
        <v>5630.1507745012686</v>
      </c>
      <c r="AR167" s="9">
        <f>IF(40&lt;=核心参数输入!$B$9*4,MAX(0,AR162+AR156-AR163+AR165)-AR166,0)</f>
        <v>1506.8006512898237</v>
      </c>
      <c r="AS167" s="9">
        <f>IF(41&lt;=核心参数输入!$B$9*4,MAX(0,AS162+AS156-AS163+AS165)-AS166,0)</f>
        <v>1694.6904653229808</v>
      </c>
      <c r="AT167" s="9">
        <f>IF(42&lt;=核心参数输入!$B$9*4,MAX(0,AT162+AT156-AT163+AT165)-AT166,0)</f>
        <v>1882.5802793561379</v>
      </c>
      <c r="AU167" s="9">
        <f>IF(43&lt;=核心参数输入!$B$9*4,MAX(0,AU162+AU156-AU163+AU165)-AU166,0)</f>
        <v>2070.470093389295</v>
      </c>
      <c r="AV167" s="9">
        <f>IF(44&lt;=核心参数输入!$B$9*4,MAX(0,AV162+AV156-AV163+AV165)-AV166,0)</f>
        <v>2258.3599074224521</v>
      </c>
      <c r="AW167" s="9">
        <f>IF(45&lt;=核心参数输入!$B$9*4,MAX(0,AW162+AW156-AW163+AW165)-AW166,0)</f>
        <v>2449.3123115407379</v>
      </c>
      <c r="AX167" s="9">
        <f>IF(46&lt;=核心参数输入!$B$9*4,MAX(0,AX162+AX156-AX163+AX165)-AX166,0)</f>
        <v>2640.2647156590238</v>
      </c>
      <c r="AY167" s="9">
        <f>IF(47&lt;=核心参数输入!$B$9*4,MAX(0,AY162+AY156-AY163+AY165)-AY166,0)</f>
        <v>2831.2171197773096</v>
      </c>
      <c r="AZ167" s="9">
        <f>IF(48&lt;=核心参数输入!$B$9*4,MAX(0,AZ162+AZ156-AZ163+AZ165)-AZ166,0)</f>
        <v>3022.1695238955954</v>
      </c>
      <c r="BA167" s="9">
        <f>IF(49&lt;=核心参数输入!$B$9*4,MAX(0,BA162+BA156-BA163+BA165)-BA166,0)</f>
        <v>3216.2218418077796</v>
      </c>
      <c r="BB167" s="9">
        <f>IF(50&lt;=核心参数输入!$B$9*4,MAX(0,BB162+BB156-BB163+BB165)-BB166,0)</f>
        <v>3410.2741597199638</v>
      </c>
      <c r="BC167" s="9">
        <f>IF(51&lt;=核心参数输入!$B$9*4,MAX(0,BC162+BC156-BC163+BC165)-BC166,0)</f>
        <v>3604.326477632148</v>
      </c>
      <c r="BD167" s="9">
        <f>IF(52&lt;=核心参数输入!$B$9*4,MAX(0,BD162+BD156-BD163+BD165)-BD166,0)</f>
        <v>3798.3787955443322</v>
      </c>
      <c r="BE167" s="9">
        <f>IF(53&lt;=核心参数输入!$B$9*4,MAX(0,BE162+BE156-BE163+BE165)-BE166,0)</f>
        <v>3995.5687385119659</v>
      </c>
      <c r="BF167" s="9">
        <f>IF(54&lt;=核心参数输入!$B$9*4,MAX(0,BF162+BF156-BF163+BF165)-BF166,0)</f>
        <v>4192.7586814795995</v>
      </c>
      <c r="BG167" s="9">
        <f>IF(55&lt;=核心参数输入!$B$9*4,MAX(0,BG162+BG156-BG163+BG165)-BG166,0)</f>
        <v>4389.9486244472328</v>
      </c>
      <c r="BH167" s="9">
        <f>IF(56&lt;=核心参数输入!$B$9*4,MAX(0,BH162+BH156-BH163+BH165)-BH166,0)</f>
        <v>4587.138567414866</v>
      </c>
      <c r="BI167" s="9">
        <f>IF(57&lt;=核心参数输入!$B$9*4,MAX(0,BI162+BI156-BI163+BI165)-BI166,0)</f>
        <v>4787.5042366195157</v>
      </c>
      <c r="BJ167" s="9">
        <f>IF(58&lt;=核心参数输入!$B$9*4,MAX(0,BJ162+BJ156-BJ163+BJ165)-BJ166,0)</f>
        <v>4987.8699058241655</v>
      </c>
      <c r="BK167" s="9">
        <f>IF(59&lt;=核心参数输入!$B$9*4,MAX(0,BK162+BK156-BK163+BK165)-BK166,0)</f>
        <v>5188.2355750288152</v>
      </c>
      <c r="BL167" s="9">
        <f>IF(60&lt;=核心参数输入!$B$9*4,MAX(0,BL162+BL156-BL163+BL165)-BL166,0)</f>
        <v>5388.601244233465</v>
      </c>
      <c r="BM167" s="9">
        <f>IF(61&lt;=核心参数输入!$B$9*4,MAX(0,BM162+BM156-BM163+BM165)-BM166,0)</f>
        <v>5592.1811331105364</v>
      </c>
      <c r="BN167" s="9">
        <f>IF(62&lt;=核心参数输入!$B$9*4,MAX(0,BN162+BN156-BN163+BN165)-BN166,0)</f>
        <v>5795.7610219876078</v>
      </c>
      <c r="BO167" s="9">
        <f>IF(63&lt;=核心参数输入!$B$9*4,MAX(0,BO162+BO156-BO163+BO165)-BO166,0)</f>
        <v>5999.3409108646792</v>
      </c>
      <c r="BP167" s="9">
        <f>IF(64&lt;=核心参数输入!$B$9*4,MAX(0,BP162+BP156-BP163+BP165)-BP166,0)</f>
        <v>6202.9207997417507</v>
      </c>
      <c r="BQ167" s="9">
        <f>IF(65&lt;=核心参数输入!$B$9*4,MAX(0,BQ162+BQ156-BQ163+BQ165)-BQ166,0)</f>
        <v>6409.7537962790175</v>
      </c>
      <c r="BR167" s="9">
        <f>IF(66&lt;=核心参数输入!$B$9*4,MAX(0,BR162+BR156-BR163+BR165)-BR166,0)</f>
        <v>6616.5867928162843</v>
      </c>
      <c r="BS167" s="9">
        <f>IF(67&lt;=核心参数输入!$B$9*4,MAX(0,BS162+BS156-BS163+BS165)-BS166,0)</f>
        <v>6823.4197893535511</v>
      </c>
      <c r="BT167" s="9">
        <f>IF(68&lt;=核心参数输入!$B$9*4,MAX(0,BT162+BT156-BT163+BT165)-BT166,0)</f>
        <v>7030.2527858908179</v>
      </c>
      <c r="BU167" s="9">
        <f>IF(69&lt;=核心参数输入!$B$9*4,MAX(0,BU162+BU156-BU163+BU165)-BU166,0)</f>
        <v>7240.3781748897236</v>
      </c>
      <c r="BV167" s="9">
        <f>IF(70&lt;=核心参数输入!$B$9*4,MAX(0,BV162+BV156-BV163+BV165)-BV166,0)</f>
        <v>7450.5035638886293</v>
      </c>
      <c r="BW167" s="9">
        <f>IF(71&lt;=核心参数输入!$B$9*4,MAX(0,BW162+BW156-BW163+BW165)-BW166,0)</f>
        <v>7660.628952887535</v>
      </c>
      <c r="BX167" s="9">
        <f>IF(72&lt;=核心参数输入!$B$9*4,MAX(0,BX162+BX156-BX163+BX165)-BX166,0)</f>
        <v>7870.7543418864407</v>
      </c>
      <c r="BY167" s="9">
        <f>IF(73&lt;=核心参数输入!$B$9*4,MAX(0,BY162+BY156-BY163+BY165)-BY166,0)</f>
        <v>8084.2118071841815</v>
      </c>
      <c r="BZ167" s="9">
        <f>IF(74&lt;=核心参数输入!$B$9*4,MAX(0,BZ162+BZ156-BZ163+BZ165)-BZ166,0)</f>
        <v>8297.6692724819222</v>
      </c>
      <c r="CA167" s="9">
        <f>IF(75&lt;=核心参数输入!$B$9*4,MAX(0,CA162+CA156-CA163+CA165)-CA166,0)</f>
        <v>8511.126737779663</v>
      </c>
      <c r="CB167" s="9">
        <f>IF(76&lt;=核心参数输入!$B$9*4,MAX(0,CB162+CB156-CB163+CB165)-CB166,0)</f>
        <v>8724.5842030774038</v>
      </c>
      <c r="CC167" s="9">
        <f>IF(77&lt;=核心参数输入!$B$9*4,MAX(0,CC162+CC156-CC163+CC165)-CC166,0)</f>
        <v>8941.4138297277386</v>
      </c>
      <c r="CD167" s="9">
        <f>IF(78&lt;=核心参数输入!$B$9*4,MAX(0,CD162+CD156-CD163+CD165)-CD166,0)</f>
        <v>9158.2434563780735</v>
      </c>
      <c r="CE167" s="9">
        <f>IF(79&lt;=核心参数输入!$B$9*4,MAX(0,CE162+CE156-CE163+CE165)-CE166,0)</f>
        <v>9375.0730830284083</v>
      </c>
      <c r="CF167" s="9">
        <f>IF(80&lt;=核心参数输入!$B$9*4,MAX(0,CF162+CF156-CF163+CF165)-CF166,0)</f>
        <v>9591.9027096787431</v>
      </c>
      <c r="CG167" s="9">
        <f>IF(81&lt;=核心参数输入!$B$9*4,MAX(0,CG162+CG156-CG163+CG165)-CG166,0)</f>
        <v>0</v>
      </c>
      <c r="CH167" s="9">
        <f>IF(82&lt;=核心参数输入!$B$9*4,MAX(0,CH162+CH156-CH163+CH165)-CH166,0)</f>
        <v>0</v>
      </c>
      <c r="CI167" s="9">
        <f>IF(83&lt;=核心参数输入!$B$9*4,MAX(0,CI162+CI156-CI163+CI165)-CI166,0)</f>
        <v>0</v>
      </c>
      <c r="CJ167" s="9">
        <f>IF(84&lt;=核心参数输入!$B$9*4,MAX(0,CJ162+CJ156-CJ163+CJ165)-CJ166,0)</f>
        <v>0</v>
      </c>
      <c r="CK167" s="9">
        <f>IF(85&lt;=核心参数输入!$B$9*4,MAX(0,CK162+CK156-CK163+CK165)-CK166,0)</f>
        <v>0</v>
      </c>
      <c r="CL167" s="9">
        <f>IF(86&lt;=核心参数输入!$B$9*4,MAX(0,CL162+CL156-CL163+CL165)-CL166,0)</f>
        <v>0</v>
      </c>
      <c r="CM167" s="9">
        <f>IF(87&lt;=核心参数输入!$B$9*4,MAX(0,CM162+CM156-CM163+CM165)-CM166,0)</f>
        <v>0</v>
      </c>
      <c r="CN167" s="9">
        <f>IF(88&lt;=核心参数输入!$B$9*4,MAX(0,CN162+CN156-CN163+CN165)-CN166,0)</f>
        <v>0</v>
      </c>
      <c r="CO167" s="9">
        <f>IF(89&lt;=核心参数输入!$B$9*4,MAX(0,CO162+CO156-CO163+CO165)-CO166,0)</f>
        <v>0</v>
      </c>
      <c r="CP167" s="9">
        <f>IF(90&lt;=核心参数输入!$B$9*4,MAX(0,CP162+CP156-CP163+CP165)-CP166,0)</f>
        <v>0</v>
      </c>
      <c r="CQ167" s="9">
        <f>IF(91&lt;=核心参数输入!$B$9*4,MAX(0,CQ162+CQ156-CQ163+CQ165)-CQ166,0)</f>
        <v>0</v>
      </c>
      <c r="CR167" s="9">
        <f>IF(92&lt;=核心参数输入!$B$9*4,MAX(0,CR162+CR156-CR163+CR165)-CR166,0)</f>
        <v>0</v>
      </c>
      <c r="CS167" s="9">
        <f>IF(93&lt;=核心参数输入!$B$9*4,MAX(0,CS162+CS156-CS163+CS165)-CS166,0)</f>
        <v>0</v>
      </c>
      <c r="CT167" s="9">
        <f>IF(94&lt;=核心参数输入!$B$9*4,MAX(0,CT162+CT156-CT163+CT165)-CT166,0)</f>
        <v>0</v>
      </c>
      <c r="CU167" s="9">
        <f>IF(95&lt;=核心参数输入!$B$9*4,MAX(0,CU162+CU156-CU163+CU165)-CU166,0)</f>
        <v>0</v>
      </c>
      <c r="CV167" s="9">
        <f>IF(96&lt;=核心参数输入!$B$9*4,MAX(0,CV162+CV156-CV163+CV165)-CV166,0)</f>
        <v>0</v>
      </c>
      <c r="CW167" s="9">
        <f>IF(97&lt;=核心参数输入!$B$9*4,MAX(0,CW162+CW156-CW163+CW165)-CW166,0)</f>
        <v>0</v>
      </c>
      <c r="CX167" s="9">
        <f>IF(98&lt;=核心参数输入!$B$9*4,MAX(0,CX162+CX156-CX163+CX165)-CX166,0)</f>
        <v>0</v>
      </c>
      <c r="CY167" s="9">
        <f>IF(99&lt;=核心参数输入!$B$9*4,MAX(0,CY162+CY156-CY163+CY165)-CY166,0)</f>
        <v>0</v>
      </c>
      <c r="CZ167" s="9">
        <f>IF(100&lt;=核心参数输入!$B$9*4,MAX(0,CZ162+CZ156-CZ163+CZ165)-CZ166,0)</f>
        <v>0</v>
      </c>
      <c r="DA167" s="9">
        <f>IF(101&lt;=核心参数输入!$B$9*4,MAX(0,DA162+DA156-DA163+DA165)-DA166,0)</f>
        <v>0</v>
      </c>
      <c r="DB167" s="9">
        <f>IF(102&lt;=核心参数输入!$B$9*4,MAX(0,DB162+DB156-DB163+DB165)-DB166,0)</f>
        <v>0</v>
      </c>
      <c r="DC167" s="9">
        <f>IF(103&lt;=核心参数输入!$B$9*4,MAX(0,DC162+DC156-DC163+DC165)-DC166,0)</f>
        <v>0</v>
      </c>
      <c r="DD167" s="9">
        <f>IF(104&lt;=核心参数输入!$B$9*4,MAX(0,DD162+DD156-DD163+DD165)-DD166,0)</f>
        <v>0</v>
      </c>
      <c r="DE167" s="9">
        <f>IF(105&lt;=核心参数输入!$B$9*4,MAX(0,DE162+DE156-DE163+DE165)-DE166,0)</f>
        <v>0</v>
      </c>
      <c r="DF167" s="9">
        <f>IF(106&lt;=核心参数输入!$B$9*4,MAX(0,DF162+DF156-DF163+DF165)-DF166,0)</f>
        <v>0</v>
      </c>
      <c r="DG167" s="9">
        <f>IF(107&lt;=核心参数输入!$B$9*4,MAX(0,DG162+DG156-DG163+DG165)-DG166,0)</f>
        <v>0</v>
      </c>
      <c r="DH167" s="9">
        <f>IF(108&lt;=核心参数输入!$B$9*4,MAX(0,DH162+DH156-DH163+DH165)-DH166,0)</f>
        <v>0</v>
      </c>
      <c r="DI167" s="9">
        <f>IF(109&lt;=核心参数输入!$B$9*4,MAX(0,DI162+DI156-DI163+DI165)-DI166,0)</f>
        <v>0</v>
      </c>
      <c r="DJ167" s="9">
        <f>IF(110&lt;=核心参数输入!$B$9*4,MAX(0,DJ162+DJ156-DJ163+DJ165)-DJ166,0)</f>
        <v>0</v>
      </c>
      <c r="DK167" s="9">
        <f>IF(111&lt;=核心参数输入!$B$9*4,MAX(0,DK162+DK156-DK163+DK165)-DK166,0)</f>
        <v>0</v>
      </c>
      <c r="DL167" s="9">
        <f>IF(112&lt;=核心参数输入!$B$9*4,MAX(0,DL162+DL156-DL163+DL165)-DL166,0)</f>
        <v>0</v>
      </c>
      <c r="DM167" s="9">
        <f>IF(113&lt;=核心参数输入!$B$9*4,MAX(0,DM162+DM156-DM163+DM165)-DM166,0)</f>
        <v>0</v>
      </c>
      <c r="DN167" s="9">
        <f>IF(114&lt;=核心参数输入!$B$9*4,MAX(0,DN162+DN156-DN163+DN165)-DN166,0)</f>
        <v>0</v>
      </c>
      <c r="DO167" s="9">
        <f>IF(115&lt;=核心参数输入!$B$9*4,MAX(0,DO162+DO156-DO163+DO165)-DO166,0)</f>
        <v>0</v>
      </c>
      <c r="DP167" s="9">
        <f>IF(116&lt;=核心参数输入!$B$9*4,MAX(0,DP162+DP156-DP163+DP165)-DP166,0)</f>
        <v>0</v>
      </c>
      <c r="DQ167" s="9">
        <f>IF(117&lt;=核心参数输入!$B$9*4,MAX(0,DQ162+DQ156-DQ163+DQ165)-DQ166,0)</f>
        <v>0</v>
      </c>
      <c r="DR167" s="9">
        <f>IF(118&lt;=核心参数输入!$B$9*4,MAX(0,DR162+DR156-DR163+DR165)-DR166,0)</f>
        <v>0</v>
      </c>
      <c r="DS167" s="9">
        <f>IF(119&lt;=核心参数输入!$B$9*4,MAX(0,DS162+DS156-DS163+DS165)-DS166,0)</f>
        <v>0</v>
      </c>
      <c r="DT167" s="9">
        <f>IF(120&lt;=核心参数输入!$B$9*4,MAX(0,DT162+DT156-DT163+DT165)-DT166,0)</f>
        <v>0</v>
      </c>
    </row>
    <row r="168" spans="1:124" ht="21" customHeight="1">
      <c r="A168" s="8" t="s">
        <v>550</v>
      </c>
      <c r="B168" s="8" t="s">
        <v>39</v>
      </c>
      <c r="C168" s="8"/>
      <c r="D168" s="9">
        <f>IF(0&lt;=核心参数输入!$B$9*4,MAX(0,-(D162+D156-D163+D165)),0)</f>
        <v>0</v>
      </c>
      <c r="E168" s="9">
        <f>IF(1&lt;=核心参数输入!$B$9*4,MAX(0,-(E162+E156-E163+E165)),0)</f>
        <v>0</v>
      </c>
      <c r="F168" s="9">
        <f>IF(2&lt;=核心参数输入!$B$9*4,MAX(0,-(F162+F156-F163+F165)),0)</f>
        <v>0</v>
      </c>
      <c r="G168" s="9">
        <f>IF(3&lt;=核心参数输入!$B$9*4,MAX(0,-(G162+G156-G163+G165)),0)</f>
        <v>0</v>
      </c>
      <c r="H168" s="9">
        <f>IF(4&lt;=核心参数输入!$B$9*4,MAX(0,-(H162+H156-H163+H165)),0)</f>
        <v>0</v>
      </c>
      <c r="I168" s="9">
        <f>IF(5&lt;=核心参数输入!$B$9*4,MAX(0,-(I162+I156-I163+I165)),0)</f>
        <v>0</v>
      </c>
      <c r="J168" s="9">
        <f>IF(6&lt;=核心参数输入!$B$9*4,MAX(0,-(J162+J156-J163+J165)),0)</f>
        <v>0</v>
      </c>
      <c r="K168" s="9">
        <f>IF(7&lt;=核心参数输入!$B$9*4,MAX(0,-(K162+K156-K163+K165)),0)</f>
        <v>0</v>
      </c>
      <c r="L168" s="9">
        <f>IF(8&lt;=核心参数输入!$B$9*4,MAX(0,-(L162+L156-L163+L165)),0)</f>
        <v>0</v>
      </c>
      <c r="M168" s="9">
        <f>IF(9&lt;=核心参数输入!$B$9*4,MAX(0,-(M162+M156-M163+M165)),0)</f>
        <v>0</v>
      </c>
      <c r="N168" s="9">
        <f>IF(10&lt;=核心参数输入!$B$9*4,MAX(0,-(N162+N156-N163+N165)),0)</f>
        <v>287.45000000000255</v>
      </c>
      <c r="O168" s="9">
        <f>IF(11&lt;=核心参数输入!$B$9*4,MAX(0,-(O162+O156-O163+O165)),0)</f>
        <v>2682.9125000000022</v>
      </c>
      <c r="P168" s="9">
        <f>IF(12&lt;=核心参数输入!$B$9*4,MAX(0,-(P162+P156-P163+P165)),0)</f>
        <v>5102.0000000000018</v>
      </c>
      <c r="Q168" s="9">
        <f>IF(13&lt;=核心参数输入!$B$9*4,MAX(0,-(Q162+Q156-Q163+Q165)),0)</f>
        <v>4098.6573437500019</v>
      </c>
      <c r="R168" s="9">
        <f>IF(14&lt;=核心参数输入!$B$9*4,MAX(0,-(R162+R156-R163+R165)),0)</f>
        <v>1600.0325185150018</v>
      </c>
      <c r="S168" s="9">
        <f>IF(15&lt;=核心参数输入!$B$9*4,MAX(0,-(S162+S156-S163+S165)),0)</f>
        <v>0</v>
      </c>
      <c r="T168" s="9">
        <f>IF(16&lt;=核心参数输入!$B$9*4,MAX(0,-(T162+T156-T163+T165)),0)</f>
        <v>758.19788984928618</v>
      </c>
      <c r="U168" s="9">
        <f>IF(17&lt;=核心参数输入!$B$9*4,MAX(0,-(U162+U156-U163+U165)),0)</f>
        <v>0</v>
      </c>
      <c r="V168" s="9">
        <f>IF(18&lt;=核心参数输入!$B$9*4,MAX(0,-(V162+V156-V163+V165)),0)</f>
        <v>0</v>
      </c>
      <c r="W168" s="9">
        <f>IF(19&lt;=核心参数输入!$B$9*4,MAX(0,-(W162+W156-W163+W165)),0)</f>
        <v>0</v>
      </c>
      <c r="X168" s="9">
        <f>IF(20&lt;=核心参数输入!$B$9*4,MAX(0,-(X162+X156-X163+X165)),0)</f>
        <v>0</v>
      </c>
      <c r="Y168" s="9">
        <f>IF(21&lt;=核心参数输入!$B$9*4,MAX(0,-(Y162+Y156-Y163+Y165)),0)</f>
        <v>0</v>
      </c>
      <c r="Z168" s="9">
        <f>IF(22&lt;=核心参数输入!$B$9*4,MAX(0,-(Z162+Z156-Z163+Z165)),0)</f>
        <v>0</v>
      </c>
      <c r="AA168" s="9">
        <f>IF(23&lt;=核心参数输入!$B$9*4,MAX(0,-(AA162+AA156-AA163+AA165)),0)</f>
        <v>0</v>
      </c>
      <c r="AB168" s="9">
        <f>IF(24&lt;=核心参数输入!$B$9*4,MAX(0,-(AB162+AB156-AB163+AB165)),0)</f>
        <v>0</v>
      </c>
      <c r="AC168" s="9">
        <f>IF(25&lt;=核心参数输入!$B$9*4,MAX(0,-(AC162+AC156-AC163+AC165)),0)</f>
        <v>0</v>
      </c>
      <c r="AD168" s="9">
        <f>IF(26&lt;=核心参数输入!$B$9*4,MAX(0,-(AD162+AD156-AD163+AD165)),0)</f>
        <v>0</v>
      </c>
      <c r="AE168" s="9">
        <f>IF(27&lt;=核心参数输入!$B$9*4,MAX(0,-(AE162+AE156-AE163+AE165)),0)</f>
        <v>0</v>
      </c>
      <c r="AF168" s="9">
        <f>IF(28&lt;=核心参数输入!$B$9*4,MAX(0,-(AF162+AF156-AF163+AF165)),0)</f>
        <v>0</v>
      </c>
      <c r="AG168" s="9">
        <f>IF(29&lt;=核心参数输入!$B$9*4,MAX(0,-(AG162+AG156-AG163+AG165)),0)</f>
        <v>0</v>
      </c>
      <c r="AH168" s="9">
        <f>IF(30&lt;=核心参数输入!$B$9*4,MAX(0,-(AH162+AH156-AH163+AH165)),0)</f>
        <v>0</v>
      </c>
      <c r="AI168" s="9">
        <f>IF(31&lt;=核心参数输入!$B$9*4,MAX(0,-(AI162+AI156-AI163+AI165)),0)</f>
        <v>0</v>
      </c>
      <c r="AJ168" s="9">
        <f>IF(32&lt;=核心参数输入!$B$9*4,MAX(0,-(AJ162+AJ156-AJ163+AJ165)),0)</f>
        <v>0</v>
      </c>
      <c r="AK168" s="9">
        <f>IF(33&lt;=核心参数输入!$B$9*4,MAX(0,-(AK162+AK156-AK163+AK165)),0)</f>
        <v>0</v>
      </c>
      <c r="AL168" s="9">
        <f>IF(34&lt;=核心参数输入!$B$9*4,MAX(0,-(AL162+AL156-AL163+AL165)),0)</f>
        <v>0</v>
      </c>
      <c r="AM168" s="9">
        <f>IF(35&lt;=核心参数输入!$B$9*4,MAX(0,-(AM162+AM156-AM163+AM165)),0)</f>
        <v>0</v>
      </c>
      <c r="AN168" s="9">
        <f>IF(36&lt;=核心参数输入!$B$9*4,MAX(0,-(AN162+AN156-AN163+AN165)),0)</f>
        <v>0</v>
      </c>
      <c r="AO168" s="9">
        <f>IF(37&lt;=核心参数输入!$B$9*4,MAX(0,-(AO162+AO156-AO163+AO165)),0)</f>
        <v>0</v>
      </c>
      <c r="AP168" s="9">
        <f>IF(38&lt;=核心参数输入!$B$9*4,MAX(0,-(AP162+AP156-AP163+AP165)),0)</f>
        <v>0</v>
      </c>
      <c r="AQ168" s="9">
        <f>IF(39&lt;=核心参数输入!$B$9*4,MAX(0,-(AQ162+AQ156-AQ163+AQ165)),0)</f>
        <v>0</v>
      </c>
      <c r="AR168" s="9">
        <f>IF(40&lt;=核心参数输入!$B$9*4,MAX(0,-(AR162+AR156-AR163+AR165)),0)</f>
        <v>0</v>
      </c>
      <c r="AS168" s="9">
        <f>IF(41&lt;=核心参数输入!$B$9*4,MAX(0,-(AS162+AS156-AS163+AS165)),0)</f>
        <v>0</v>
      </c>
      <c r="AT168" s="9">
        <f>IF(42&lt;=核心参数输入!$B$9*4,MAX(0,-(AT162+AT156-AT163+AT165)),0)</f>
        <v>0</v>
      </c>
      <c r="AU168" s="9">
        <f>IF(43&lt;=核心参数输入!$B$9*4,MAX(0,-(AU162+AU156-AU163+AU165)),0)</f>
        <v>0</v>
      </c>
      <c r="AV168" s="9">
        <f>IF(44&lt;=核心参数输入!$B$9*4,MAX(0,-(AV162+AV156-AV163+AV165)),0)</f>
        <v>0</v>
      </c>
      <c r="AW168" s="9">
        <f>IF(45&lt;=核心参数输入!$B$9*4,MAX(0,-(AW162+AW156-AW163+AW165)),0)</f>
        <v>0</v>
      </c>
      <c r="AX168" s="9">
        <f>IF(46&lt;=核心参数输入!$B$9*4,MAX(0,-(AX162+AX156-AX163+AX165)),0)</f>
        <v>0</v>
      </c>
      <c r="AY168" s="9">
        <f>IF(47&lt;=核心参数输入!$B$9*4,MAX(0,-(AY162+AY156-AY163+AY165)),0)</f>
        <v>0</v>
      </c>
      <c r="AZ168" s="9">
        <f>IF(48&lt;=核心参数输入!$B$9*4,MAX(0,-(AZ162+AZ156-AZ163+AZ165)),0)</f>
        <v>0</v>
      </c>
      <c r="BA168" s="9">
        <f>IF(49&lt;=核心参数输入!$B$9*4,MAX(0,-(BA162+BA156-BA163+BA165)),0)</f>
        <v>0</v>
      </c>
      <c r="BB168" s="9">
        <f>IF(50&lt;=核心参数输入!$B$9*4,MAX(0,-(BB162+BB156-BB163+BB165)),0)</f>
        <v>0</v>
      </c>
      <c r="BC168" s="9">
        <f>IF(51&lt;=核心参数输入!$B$9*4,MAX(0,-(BC162+BC156-BC163+BC165)),0)</f>
        <v>0</v>
      </c>
      <c r="BD168" s="9">
        <f>IF(52&lt;=核心参数输入!$B$9*4,MAX(0,-(BD162+BD156-BD163+BD165)),0)</f>
        <v>0</v>
      </c>
      <c r="BE168" s="9">
        <f>IF(53&lt;=核心参数输入!$B$9*4,MAX(0,-(BE162+BE156-BE163+BE165)),0)</f>
        <v>0</v>
      </c>
      <c r="BF168" s="9">
        <f>IF(54&lt;=核心参数输入!$B$9*4,MAX(0,-(BF162+BF156-BF163+BF165)),0)</f>
        <v>0</v>
      </c>
      <c r="BG168" s="9">
        <f>IF(55&lt;=核心参数输入!$B$9*4,MAX(0,-(BG162+BG156-BG163+BG165)),0)</f>
        <v>0</v>
      </c>
      <c r="BH168" s="9">
        <f>IF(56&lt;=核心参数输入!$B$9*4,MAX(0,-(BH162+BH156-BH163+BH165)),0)</f>
        <v>0</v>
      </c>
      <c r="BI168" s="9">
        <f>IF(57&lt;=核心参数输入!$B$9*4,MAX(0,-(BI162+BI156-BI163+BI165)),0)</f>
        <v>0</v>
      </c>
      <c r="BJ168" s="9">
        <f>IF(58&lt;=核心参数输入!$B$9*4,MAX(0,-(BJ162+BJ156-BJ163+BJ165)),0)</f>
        <v>0</v>
      </c>
      <c r="BK168" s="9">
        <f>IF(59&lt;=核心参数输入!$B$9*4,MAX(0,-(BK162+BK156-BK163+BK165)),0)</f>
        <v>0</v>
      </c>
      <c r="BL168" s="9">
        <f>IF(60&lt;=核心参数输入!$B$9*4,MAX(0,-(BL162+BL156-BL163+BL165)),0)</f>
        <v>0</v>
      </c>
      <c r="BM168" s="9">
        <f>IF(61&lt;=核心参数输入!$B$9*4,MAX(0,-(BM162+BM156-BM163+BM165)),0)</f>
        <v>0</v>
      </c>
      <c r="BN168" s="9">
        <f>IF(62&lt;=核心参数输入!$B$9*4,MAX(0,-(BN162+BN156-BN163+BN165)),0)</f>
        <v>0</v>
      </c>
      <c r="BO168" s="9">
        <f>IF(63&lt;=核心参数输入!$B$9*4,MAX(0,-(BO162+BO156-BO163+BO165)),0)</f>
        <v>0</v>
      </c>
      <c r="BP168" s="9">
        <f>IF(64&lt;=核心参数输入!$B$9*4,MAX(0,-(BP162+BP156-BP163+BP165)),0)</f>
        <v>0</v>
      </c>
      <c r="BQ168" s="9">
        <f>IF(65&lt;=核心参数输入!$B$9*4,MAX(0,-(BQ162+BQ156-BQ163+BQ165)),0)</f>
        <v>0</v>
      </c>
      <c r="BR168" s="9">
        <f>IF(66&lt;=核心参数输入!$B$9*4,MAX(0,-(BR162+BR156-BR163+BR165)),0)</f>
        <v>0</v>
      </c>
      <c r="BS168" s="9">
        <f>IF(67&lt;=核心参数输入!$B$9*4,MAX(0,-(BS162+BS156-BS163+BS165)),0)</f>
        <v>0</v>
      </c>
      <c r="BT168" s="9">
        <f>IF(68&lt;=核心参数输入!$B$9*4,MAX(0,-(BT162+BT156-BT163+BT165)),0)</f>
        <v>0</v>
      </c>
      <c r="BU168" s="9">
        <f>IF(69&lt;=核心参数输入!$B$9*4,MAX(0,-(BU162+BU156-BU163+BU165)),0)</f>
        <v>0</v>
      </c>
      <c r="BV168" s="9">
        <f>IF(70&lt;=核心参数输入!$B$9*4,MAX(0,-(BV162+BV156-BV163+BV165)),0)</f>
        <v>0</v>
      </c>
      <c r="BW168" s="9">
        <f>IF(71&lt;=核心参数输入!$B$9*4,MAX(0,-(BW162+BW156-BW163+BW165)),0)</f>
        <v>0</v>
      </c>
      <c r="BX168" s="9">
        <f>IF(72&lt;=核心参数输入!$B$9*4,MAX(0,-(BX162+BX156-BX163+BX165)),0)</f>
        <v>0</v>
      </c>
      <c r="BY168" s="9">
        <f>IF(73&lt;=核心参数输入!$B$9*4,MAX(0,-(BY162+BY156-BY163+BY165)),0)</f>
        <v>0</v>
      </c>
      <c r="BZ168" s="9">
        <f>IF(74&lt;=核心参数输入!$B$9*4,MAX(0,-(BZ162+BZ156-BZ163+BZ165)),0)</f>
        <v>0</v>
      </c>
      <c r="CA168" s="9">
        <f>IF(75&lt;=核心参数输入!$B$9*4,MAX(0,-(CA162+CA156-CA163+CA165)),0)</f>
        <v>0</v>
      </c>
      <c r="CB168" s="9">
        <f>IF(76&lt;=核心参数输入!$B$9*4,MAX(0,-(CB162+CB156-CB163+CB165)),0)</f>
        <v>0</v>
      </c>
      <c r="CC168" s="9">
        <f>IF(77&lt;=核心参数输入!$B$9*4,MAX(0,-(CC162+CC156-CC163+CC165)),0)</f>
        <v>0</v>
      </c>
      <c r="CD168" s="9">
        <f>IF(78&lt;=核心参数输入!$B$9*4,MAX(0,-(CD162+CD156-CD163+CD165)),0)</f>
        <v>0</v>
      </c>
      <c r="CE168" s="9">
        <f>IF(79&lt;=核心参数输入!$B$9*4,MAX(0,-(CE162+CE156-CE163+CE165)),0)</f>
        <v>0</v>
      </c>
      <c r="CF168" s="9">
        <f>IF(80&lt;=核心参数输入!$B$9*4,MAX(0,-(CF162+CF156-CF163+CF165)),0)</f>
        <v>0</v>
      </c>
      <c r="CG168" s="9">
        <f>IF(81&lt;=核心参数输入!$B$9*4,MAX(0,-(CG162+CG156-CG163+CG165)),0)</f>
        <v>0</v>
      </c>
      <c r="CH168" s="9">
        <f>IF(82&lt;=核心参数输入!$B$9*4,MAX(0,-(CH162+CH156-CH163+CH165)),0)</f>
        <v>0</v>
      </c>
      <c r="CI168" s="9">
        <f>IF(83&lt;=核心参数输入!$B$9*4,MAX(0,-(CI162+CI156-CI163+CI165)),0)</f>
        <v>0</v>
      </c>
      <c r="CJ168" s="9">
        <f>IF(84&lt;=核心参数输入!$B$9*4,MAX(0,-(CJ162+CJ156-CJ163+CJ165)),0)</f>
        <v>0</v>
      </c>
      <c r="CK168" s="9">
        <f>IF(85&lt;=核心参数输入!$B$9*4,MAX(0,-(CK162+CK156-CK163+CK165)),0)</f>
        <v>0</v>
      </c>
      <c r="CL168" s="9">
        <f>IF(86&lt;=核心参数输入!$B$9*4,MAX(0,-(CL162+CL156-CL163+CL165)),0)</f>
        <v>0</v>
      </c>
      <c r="CM168" s="9">
        <f>IF(87&lt;=核心参数输入!$B$9*4,MAX(0,-(CM162+CM156-CM163+CM165)),0)</f>
        <v>0</v>
      </c>
      <c r="CN168" s="9">
        <f>IF(88&lt;=核心参数输入!$B$9*4,MAX(0,-(CN162+CN156-CN163+CN165)),0)</f>
        <v>0</v>
      </c>
      <c r="CO168" s="9">
        <f>IF(89&lt;=核心参数输入!$B$9*4,MAX(0,-(CO162+CO156-CO163+CO165)),0)</f>
        <v>0</v>
      </c>
      <c r="CP168" s="9">
        <f>IF(90&lt;=核心参数输入!$B$9*4,MAX(0,-(CP162+CP156-CP163+CP165)),0)</f>
        <v>0</v>
      </c>
      <c r="CQ168" s="9">
        <f>IF(91&lt;=核心参数输入!$B$9*4,MAX(0,-(CQ162+CQ156-CQ163+CQ165)),0)</f>
        <v>0</v>
      </c>
      <c r="CR168" s="9">
        <f>IF(92&lt;=核心参数输入!$B$9*4,MAX(0,-(CR162+CR156-CR163+CR165)),0)</f>
        <v>0</v>
      </c>
      <c r="CS168" s="9">
        <f>IF(93&lt;=核心参数输入!$B$9*4,MAX(0,-(CS162+CS156-CS163+CS165)),0)</f>
        <v>0</v>
      </c>
      <c r="CT168" s="9">
        <f>IF(94&lt;=核心参数输入!$B$9*4,MAX(0,-(CT162+CT156-CT163+CT165)),0)</f>
        <v>0</v>
      </c>
      <c r="CU168" s="9">
        <f>IF(95&lt;=核心参数输入!$B$9*4,MAX(0,-(CU162+CU156-CU163+CU165)),0)</f>
        <v>0</v>
      </c>
      <c r="CV168" s="9">
        <f>IF(96&lt;=核心参数输入!$B$9*4,MAX(0,-(CV162+CV156-CV163+CV165)),0)</f>
        <v>0</v>
      </c>
      <c r="CW168" s="9">
        <f>IF(97&lt;=核心参数输入!$B$9*4,MAX(0,-(CW162+CW156-CW163+CW165)),0)</f>
        <v>0</v>
      </c>
      <c r="CX168" s="9">
        <f>IF(98&lt;=核心参数输入!$B$9*4,MAX(0,-(CX162+CX156-CX163+CX165)),0)</f>
        <v>0</v>
      </c>
      <c r="CY168" s="9">
        <f>IF(99&lt;=核心参数输入!$B$9*4,MAX(0,-(CY162+CY156-CY163+CY165)),0)</f>
        <v>0</v>
      </c>
      <c r="CZ168" s="9">
        <f>IF(100&lt;=核心参数输入!$B$9*4,MAX(0,-(CZ162+CZ156-CZ163+CZ165)),0)</f>
        <v>0</v>
      </c>
      <c r="DA168" s="9">
        <f>IF(101&lt;=核心参数输入!$B$9*4,MAX(0,-(DA162+DA156-DA163+DA165)),0)</f>
        <v>0</v>
      </c>
      <c r="DB168" s="9">
        <f>IF(102&lt;=核心参数输入!$B$9*4,MAX(0,-(DB162+DB156-DB163+DB165)),0)</f>
        <v>0</v>
      </c>
      <c r="DC168" s="9">
        <f>IF(103&lt;=核心参数输入!$B$9*4,MAX(0,-(DC162+DC156-DC163+DC165)),0)</f>
        <v>0</v>
      </c>
      <c r="DD168" s="9">
        <f>IF(104&lt;=核心参数输入!$B$9*4,MAX(0,-(DD162+DD156-DD163+DD165)),0)</f>
        <v>0</v>
      </c>
      <c r="DE168" s="9">
        <f>IF(105&lt;=核心参数输入!$B$9*4,MAX(0,-(DE162+DE156-DE163+DE165)),0)</f>
        <v>0</v>
      </c>
      <c r="DF168" s="9">
        <f>IF(106&lt;=核心参数输入!$B$9*4,MAX(0,-(DF162+DF156-DF163+DF165)),0)</f>
        <v>0</v>
      </c>
      <c r="DG168" s="9">
        <f>IF(107&lt;=核心参数输入!$B$9*4,MAX(0,-(DG162+DG156-DG163+DG165)),0)</f>
        <v>0</v>
      </c>
      <c r="DH168" s="9">
        <f>IF(108&lt;=核心参数输入!$B$9*4,MAX(0,-(DH162+DH156-DH163+DH165)),0)</f>
        <v>0</v>
      </c>
      <c r="DI168" s="9">
        <f>IF(109&lt;=核心参数输入!$B$9*4,MAX(0,-(DI162+DI156-DI163+DI165)),0)</f>
        <v>0</v>
      </c>
      <c r="DJ168" s="9">
        <f>IF(110&lt;=核心参数输入!$B$9*4,MAX(0,-(DJ162+DJ156-DJ163+DJ165)),0)</f>
        <v>0</v>
      </c>
      <c r="DK168" s="9">
        <f>IF(111&lt;=核心参数输入!$B$9*4,MAX(0,-(DK162+DK156-DK163+DK165)),0)</f>
        <v>0</v>
      </c>
      <c r="DL168" s="9">
        <f>IF(112&lt;=核心参数输入!$B$9*4,MAX(0,-(DL162+DL156-DL163+DL165)),0)</f>
        <v>0</v>
      </c>
      <c r="DM168" s="9">
        <f>IF(113&lt;=核心参数输入!$B$9*4,MAX(0,-(DM162+DM156-DM163+DM165)),0)</f>
        <v>0</v>
      </c>
      <c r="DN168" s="9">
        <f>IF(114&lt;=核心参数输入!$B$9*4,MAX(0,-(DN162+DN156-DN163+DN165)),0)</f>
        <v>0</v>
      </c>
      <c r="DO168" s="9">
        <f>IF(115&lt;=核心参数输入!$B$9*4,MAX(0,-(DO162+DO156-DO163+DO165)),0)</f>
        <v>0</v>
      </c>
      <c r="DP168" s="9">
        <f>IF(116&lt;=核心参数输入!$B$9*4,MAX(0,-(DP162+DP156-DP163+DP165)),0)</f>
        <v>0</v>
      </c>
      <c r="DQ168" s="9">
        <f>IF(117&lt;=核心参数输入!$B$9*4,MAX(0,-(DQ162+DQ156-DQ163+DQ165)),0)</f>
        <v>0</v>
      </c>
      <c r="DR168" s="9">
        <f>IF(118&lt;=核心参数输入!$B$9*4,MAX(0,-(DR162+DR156-DR163+DR165)),0)</f>
        <v>0</v>
      </c>
      <c r="DS168" s="9">
        <f>IF(119&lt;=核心参数输入!$B$9*4,MAX(0,-(DS162+DS156-DS163+DS165)),0)</f>
        <v>0</v>
      </c>
      <c r="DT168" s="9">
        <f>IF(120&lt;=核心参数输入!$B$9*4,MAX(0,-(DT162+DT156-DT163+DT165)),0)</f>
        <v>0</v>
      </c>
    </row>
    <row r="169" spans="1:124" ht="21" customHeight="1">
      <c r="A169" s="8" t="s">
        <v>551</v>
      </c>
      <c r="B169" s="8" t="s">
        <v>39</v>
      </c>
      <c r="C169" s="8"/>
      <c r="D169" s="9">
        <f>IF(0&lt;=核心参数输入!$B$9*4,MAX(0,D168),0)</f>
        <v>0</v>
      </c>
      <c r="E169" s="9">
        <f>IF(1&lt;=核心参数输入!$B$9*4,MAX(季度现金流!D169,E168),0)</f>
        <v>0</v>
      </c>
      <c r="F169" s="9">
        <f>IF(2&lt;=核心参数输入!$B$9*4,MAX(季度现金流!E169,F168),0)</f>
        <v>0</v>
      </c>
      <c r="G169" s="9">
        <f>IF(3&lt;=核心参数输入!$B$9*4,MAX(季度现金流!F169,G168),0)</f>
        <v>0</v>
      </c>
      <c r="H169" s="9">
        <f>IF(4&lt;=核心参数输入!$B$9*4,MAX(季度现金流!G169,H168),0)</f>
        <v>0</v>
      </c>
      <c r="I169" s="9">
        <f>IF(5&lt;=核心参数输入!$B$9*4,MAX(季度现金流!H169,I168),0)</f>
        <v>0</v>
      </c>
      <c r="J169" s="9">
        <f>IF(6&lt;=核心参数输入!$B$9*4,MAX(季度现金流!I169,J168),0)</f>
        <v>0</v>
      </c>
      <c r="K169" s="9">
        <f>IF(7&lt;=核心参数输入!$B$9*4,MAX(季度现金流!J169,K168),0)</f>
        <v>0</v>
      </c>
      <c r="L169" s="9">
        <f>IF(8&lt;=核心参数输入!$B$9*4,MAX(季度现金流!K169,L168),0)</f>
        <v>0</v>
      </c>
      <c r="M169" s="9">
        <f>IF(9&lt;=核心参数输入!$B$9*4,MAX(季度现金流!L169,M168),0)</f>
        <v>0</v>
      </c>
      <c r="N169" s="9">
        <f>IF(10&lt;=核心参数输入!$B$9*4,MAX(季度现金流!M169,N168),0)</f>
        <v>287.45000000000255</v>
      </c>
      <c r="O169" s="9">
        <f>IF(11&lt;=核心参数输入!$B$9*4,MAX(季度现金流!N169,O168),0)</f>
        <v>2682.9125000000022</v>
      </c>
      <c r="P169" s="9">
        <f>IF(12&lt;=核心参数输入!$B$9*4,MAX(季度现金流!O169,P168),0)</f>
        <v>5102.0000000000018</v>
      </c>
      <c r="Q169" s="9">
        <f>IF(13&lt;=核心参数输入!$B$9*4,MAX(季度现金流!P169,Q168),0)</f>
        <v>5102.0000000000018</v>
      </c>
      <c r="R169" s="9">
        <f>IF(14&lt;=核心参数输入!$B$9*4,MAX(季度现金流!Q169,R168),0)</f>
        <v>5102.0000000000018</v>
      </c>
      <c r="S169" s="9">
        <f>IF(15&lt;=核心参数输入!$B$9*4,MAX(季度现金流!R169,S168),0)</f>
        <v>5102.0000000000018</v>
      </c>
      <c r="T169" s="9">
        <f>IF(16&lt;=核心参数输入!$B$9*4,MAX(季度现金流!S169,T168),0)</f>
        <v>5102.0000000000018</v>
      </c>
      <c r="U169" s="9">
        <f>IF(17&lt;=核心参数输入!$B$9*4,MAX(季度现金流!T169,U168),0)</f>
        <v>5102.0000000000018</v>
      </c>
      <c r="V169" s="9">
        <f>IF(18&lt;=核心参数输入!$B$9*4,MAX(季度现金流!U169,V168),0)</f>
        <v>5102.0000000000018</v>
      </c>
      <c r="W169" s="9">
        <f>IF(19&lt;=核心参数输入!$B$9*4,MAX(季度现金流!V169,W168),0)</f>
        <v>5102.0000000000018</v>
      </c>
      <c r="X169" s="9">
        <f>IF(20&lt;=核心参数输入!$B$9*4,MAX(季度现金流!W169,X168),0)</f>
        <v>5102.0000000000018</v>
      </c>
      <c r="Y169" s="9">
        <f>IF(21&lt;=核心参数输入!$B$9*4,MAX(季度现金流!X169,Y168),0)</f>
        <v>5102.0000000000018</v>
      </c>
      <c r="Z169" s="9">
        <f>IF(22&lt;=核心参数输入!$B$9*4,MAX(季度现金流!Y169,Z168),0)</f>
        <v>5102.0000000000018</v>
      </c>
      <c r="AA169" s="9">
        <f>IF(23&lt;=核心参数输入!$B$9*4,MAX(季度现金流!Z169,AA168),0)</f>
        <v>5102.0000000000018</v>
      </c>
      <c r="AB169" s="9">
        <f>IF(24&lt;=核心参数输入!$B$9*4,MAX(季度现金流!AA169,AB168),0)</f>
        <v>5102.0000000000018</v>
      </c>
      <c r="AC169" s="9">
        <f>IF(25&lt;=核心参数输入!$B$9*4,MAX(季度现金流!AB169,AC168),0)</f>
        <v>5102.0000000000018</v>
      </c>
      <c r="AD169" s="9">
        <f>IF(26&lt;=核心参数输入!$B$9*4,MAX(季度现金流!AC169,AD168),0)</f>
        <v>5102.0000000000018</v>
      </c>
      <c r="AE169" s="9">
        <f>IF(27&lt;=核心参数输入!$B$9*4,MAX(季度现金流!AD169,AE168),0)</f>
        <v>5102.0000000000018</v>
      </c>
      <c r="AF169" s="9">
        <f>IF(28&lt;=核心参数输入!$B$9*4,MAX(季度现金流!AE169,AF168),0)</f>
        <v>5102.0000000000018</v>
      </c>
      <c r="AG169" s="9">
        <f>IF(29&lt;=核心参数输入!$B$9*4,MAX(季度现金流!AF169,AG168),0)</f>
        <v>5102.0000000000018</v>
      </c>
      <c r="AH169" s="9">
        <f>IF(30&lt;=核心参数输入!$B$9*4,MAX(季度现金流!AG169,AH168),0)</f>
        <v>5102.0000000000018</v>
      </c>
      <c r="AI169" s="9">
        <f>IF(31&lt;=核心参数输入!$B$9*4,MAX(季度现金流!AH169,AI168),0)</f>
        <v>5102.0000000000018</v>
      </c>
      <c r="AJ169" s="9">
        <f>IF(32&lt;=核心参数输入!$B$9*4,MAX(季度现金流!AI169,AJ168),0)</f>
        <v>5102.0000000000018</v>
      </c>
      <c r="AK169" s="9">
        <f>IF(33&lt;=核心参数输入!$B$9*4,MAX(季度现金流!AJ169,AK168),0)</f>
        <v>5102.0000000000018</v>
      </c>
      <c r="AL169" s="9">
        <f>IF(34&lt;=核心参数输入!$B$9*4,MAX(季度现金流!AK169,AL168),0)</f>
        <v>5102.0000000000018</v>
      </c>
      <c r="AM169" s="9">
        <f>IF(35&lt;=核心参数输入!$B$9*4,MAX(季度现金流!AL169,AM168),0)</f>
        <v>5102.0000000000018</v>
      </c>
      <c r="AN169" s="9">
        <f>IF(36&lt;=核心参数输入!$B$9*4,MAX(季度现金流!AM169,AN168),0)</f>
        <v>5102.0000000000018</v>
      </c>
      <c r="AO169" s="9">
        <f>IF(37&lt;=核心参数输入!$B$9*4,MAX(季度现金流!AN169,AO168),0)</f>
        <v>5102.0000000000018</v>
      </c>
      <c r="AP169" s="9">
        <f>IF(38&lt;=核心参数输入!$B$9*4,MAX(季度现金流!AO169,AP168),0)</f>
        <v>5102.0000000000018</v>
      </c>
      <c r="AQ169" s="9">
        <f>IF(39&lt;=核心参数输入!$B$9*4,MAX(季度现金流!AP169,AQ168),0)</f>
        <v>5102.0000000000018</v>
      </c>
      <c r="AR169" s="9">
        <f>IF(40&lt;=核心参数输入!$B$9*4,MAX(季度现金流!AQ169,AR168),0)</f>
        <v>5102.0000000000018</v>
      </c>
      <c r="AS169" s="9">
        <f>IF(41&lt;=核心参数输入!$B$9*4,MAX(季度现金流!AR169,AS168),0)</f>
        <v>5102.0000000000018</v>
      </c>
      <c r="AT169" s="9">
        <f>IF(42&lt;=核心参数输入!$B$9*4,MAX(季度现金流!AS169,AT168),0)</f>
        <v>5102.0000000000018</v>
      </c>
      <c r="AU169" s="9">
        <f>IF(43&lt;=核心参数输入!$B$9*4,MAX(季度现金流!AT169,AU168),0)</f>
        <v>5102.0000000000018</v>
      </c>
      <c r="AV169" s="9">
        <f>IF(44&lt;=核心参数输入!$B$9*4,MAX(季度现金流!AU169,AV168),0)</f>
        <v>5102.0000000000018</v>
      </c>
      <c r="AW169" s="9">
        <f>IF(45&lt;=核心参数输入!$B$9*4,MAX(季度现金流!AV169,AW168),0)</f>
        <v>5102.0000000000018</v>
      </c>
      <c r="AX169" s="9">
        <f>IF(46&lt;=核心参数输入!$B$9*4,MAX(季度现金流!AW169,AX168),0)</f>
        <v>5102.0000000000018</v>
      </c>
      <c r="AY169" s="9">
        <f>IF(47&lt;=核心参数输入!$B$9*4,MAX(季度现金流!AX169,AY168),0)</f>
        <v>5102.0000000000018</v>
      </c>
      <c r="AZ169" s="9">
        <f>IF(48&lt;=核心参数输入!$B$9*4,MAX(季度现金流!AY169,AZ168),0)</f>
        <v>5102.0000000000018</v>
      </c>
      <c r="BA169" s="9">
        <f>IF(49&lt;=核心参数输入!$B$9*4,MAX(季度现金流!AZ169,BA168),0)</f>
        <v>5102.0000000000018</v>
      </c>
      <c r="BB169" s="9">
        <f>IF(50&lt;=核心参数输入!$B$9*4,MAX(季度现金流!BA169,BB168),0)</f>
        <v>5102.0000000000018</v>
      </c>
      <c r="BC169" s="9">
        <f>IF(51&lt;=核心参数输入!$B$9*4,MAX(季度现金流!BB169,BC168),0)</f>
        <v>5102.0000000000018</v>
      </c>
      <c r="BD169" s="9">
        <f>IF(52&lt;=核心参数输入!$B$9*4,MAX(季度现金流!BC169,BD168),0)</f>
        <v>5102.0000000000018</v>
      </c>
      <c r="BE169" s="9">
        <f>IF(53&lt;=核心参数输入!$B$9*4,MAX(季度现金流!BD169,BE168),0)</f>
        <v>5102.0000000000018</v>
      </c>
      <c r="BF169" s="9">
        <f>IF(54&lt;=核心参数输入!$B$9*4,MAX(季度现金流!BE169,BF168),0)</f>
        <v>5102.0000000000018</v>
      </c>
      <c r="BG169" s="9">
        <f>IF(55&lt;=核心参数输入!$B$9*4,MAX(季度现金流!BF169,BG168),0)</f>
        <v>5102.0000000000018</v>
      </c>
      <c r="BH169" s="9">
        <f>IF(56&lt;=核心参数输入!$B$9*4,MAX(季度现金流!BG169,BH168),0)</f>
        <v>5102.0000000000018</v>
      </c>
      <c r="BI169" s="9">
        <f>IF(57&lt;=核心参数输入!$B$9*4,MAX(季度现金流!BH169,BI168),0)</f>
        <v>5102.0000000000018</v>
      </c>
      <c r="BJ169" s="9">
        <f>IF(58&lt;=核心参数输入!$B$9*4,MAX(季度现金流!BI169,BJ168),0)</f>
        <v>5102.0000000000018</v>
      </c>
      <c r="BK169" s="9">
        <f>IF(59&lt;=核心参数输入!$B$9*4,MAX(季度现金流!BJ169,BK168),0)</f>
        <v>5102.0000000000018</v>
      </c>
      <c r="BL169" s="9">
        <f>IF(60&lt;=核心参数输入!$B$9*4,MAX(季度现金流!BK169,BL168),0)</f>
        <v>5102.0000000000018</v>
      </c>
      <c r="BM169" s="9">
        <f>IF(61&lt;=核心参数输入!$B$9*4,MAX(季度现金流!BL169,BM168),0)</f>
        <v>5102.0000000000018</v>
      </c>
      <c r="BN169" s="9">
        <f>IF(62&lt;=核心参数输入!$B$9*4,MAX(季度现金流!BM169,BN168),0)</f>
        <v>5102.0000000000018</v>
      </c>
      <c r="BO169" s="9">
        <f>IF(63&lt;=核心参数输入!$B$9*4,MAX(季度现金流!BN169,BO168),0)</f>
        <v>5102.0000000000018</v>
      </c>
      <c r="BP169" s="9">
        <f>IF(64&lt;=核心参数输入!$B$9*4,MAX(季度现金流!BO169,BP168),0)</f>
        <v>5102.0000000000018</v>
      </c>
      <c r="BQ169" s="9">
        <f>IF(65&lt;=核心参数输入!$B$9*4,MAX(季度现金流!BP169,BQ168),0)</f>
        <v>5102.0000000000018</v>
      </c>
      <c r="BR169" s="9">
        <f>IF(66&lt;=核心参数输入!$B$9*4,MAX(季度现金流!BQ169,BR168),0)</f>
        <v>5102.0000000000018</v>
      </c>
      <c r="BS169" s="9">
        <f>IF(67&lt;=核心参数输入!$B$9*4,MAX(季度现金流!BR169,BS168),0)</f>
        <v>5102.0000000000018</v>
      </c>
      <c r="BT169" s="9">
        <f>IF(68&lt;=核心参数输入!$B$9*4,MAX(季度现金流!BS169,BT168),0)</f>
        <v>5102.0000000000018</v>
      </c>
      <c r="BU169" s="9">
        <f>IF(69&lt;=核心参数输入!$B$9*4,MAX(季度现金流!BT169,BU168),0)</f>
        <v>5102.0000000000018</v>
      </c>
      <c r="BV169" s="9">
        <f>IF(70&lt;=核心参数输入!$B$9*4,MAX(季度现金流!BU169,BV168),0)</f>
        <v>5102.0000000000018</v>
      </c>
      <c r="BW169" s="9">
        <f>IF(71&lt;=核心参数输入!$B$9*4,MAX(季度现金流!BV169,BW168),0)</f>
        <v>5102.0000000000018</v>
      </c>
      <c r="BX169" s="9">
        <f>IF(72&lt;=核心参数输入!$B$9*4,MAX(季度现金流!BW169,BX168),0)</f>
        <v>5102.0000000000018</v>
      </c>
      <c r="BY169" s="9">
        <f>IF(73&lt;=核心参数输入!$B$9*4,MAX(季度现金流!BX169,BY168),0)</f>
        <v>5102.0000000000018</v>
      </c>
      <c r="BZ169" s="9">
        <f>IF(74&lt;=核心参数输入!$B$9*4,MAX(季度现金流!BY169,BZ168),0)</f>
        <v>5102.0000000000018</v>
      </c>
      <c r="CA169" s="9">
        <f>IF(75&lt;=核心参数输入!$B$9*4,MAX(季度现金流!BZ169,CA168),0)</f>
        <v>5102.0000000000018</v>
      </c>
      <c r="CB169" s="9">
        <f>IF(76&lt;=核心参数输入!$B$9*4,MAX(季度现金流!CA169,CB168),0)</f>
        <v>5102.0000000000018</v>
      </c>
      <c r="CC169" s="9">
        <f>IF(77&lt;=核心参数输入!$B$9*4,MAX(季度现金流!CB169,CC168),0)</f>
        <v>5102.0000000000018</v>
      </c>
      <c r="CD169" s="9">
        <f>IF(78&lt;=核心参数输入!$B$9*4,MAX(季度现金流!CC169,CD168),0)</f>
        <v>5102.0000000000018</v>
      </c>
      <c r="CE169" s="9">
        <f>IF(79&lt;=核心参数输入!$B$9*4,MAX(季度现金流!CD169,CE168),0)</f>
        <v>5102.0000000000018</v>
      </c>
      <c r="CF169" s="9">
        <f>IF(80&lt;=核心参数输入!$B$9*4,MAX(季度现金流!CE169,CF168),0)</f>
        <v>5102.0000000000018</v>
      </c>
      <c r="CG169" s="9">
        <f>IF(81&lt;=核心参数输入!$B$9*4,MAX(季度现金流!CF169,CG168),0)</f>
        <v>0</v>
      </c>
      <c r="CH169" s="9">
        <f>IF(82&lt;=核心参数输入!$B$9*4,MAX(季度现金流!CG169,CH168),0)</f>
        <v>0</v>
      </c>
      <c r="CI169" s="9">
        <f>IF(83&lt;=核心参数输入!$B$9*4,MAX(季度现金流!CH169,CI168),0)</f>
        <v>0</v>
      </c>
      <c r="CJ169" s="9">
        <f>IF(84&lt;=核心参数输入!$B$9*4,MAX(季度现金流!CI169,CJ168),0)</f>
        <v>0</v>
      </c>
      <c r="CK169" s="9">
        <f>IF(85&lt;=核心参数输入!$B$9*4,MAX(季度现金流!CJ169,CK168),0)</f>
        <v>0</v>
      </c>
      <c r="CL169" s="9">
        <f>IF(86&lt;=核心参数输入!$B$9*4,MAX(季度现金流!CK169,CL168),0)</f>
        <v>0</v>
      </c>
      <c r="CM169" s="9">
        <f>IF(87&lt;=核心参数输入!$B$9*4,MAX(季度现金流!CL169,CM168),0)</f>
        <v>0</v>
      </c>
      <c r="CN169" s="9">
        <f>IF(88&lt;=核心参数输入!$B$9*4,MAX(季度现金流!CM169,CN168),0)</f>
        <v>0</v>
      </c>
      <c r="CO169" s="9">
        <f>IF(89&lt;=核心参数输入!$B$9*4,MAX(季度现金流!CN169,CO168),0)</f>
        <v>0</v>
      </c>
      <c r="CP169" s="9">
        <f>IF(90&lt;=核心参数输入!$B$9*4,MAX(季度现金流!CO169,CP168),0)</f>
        <v>0</v>
      </c>
      <c r="CQ169" s="9">
        <f>IF(91&lt;=核心参数输入!$B$9*4,MAX(季度现金流!CP169,CQ168),0)</f>
        <v>0</v>
      </c>
      <c r="CR169" s="9">
        <f>IF(92&lt;=核心参数输入!$B$9*4,MAX(季度现金流!CQ169,CR168),0)</f>
        <v>0</v>
      </c>
      <c r="CS169" s="9">
        <f>IF(93&lt;=核心参数输入!$B$9*4,MAX(季度现金流!CR169,CS168),0)</f>
        <v>0</v>
      </c>
      <c r="CT169" s="9">
        <f>IF(94&lt;=核心参数输入!$B$9*4,MAX(季度现金流!CS169,CT168),0)</f>
        <v>0</v>
      </c>
      <c r="CU169" s="9">
        <f>IF(95&lt;=核心参数输入!$B$9*4,MAX(季度现金流!CT169,CU168),0)</f>
        <v>0</v>
      </c>
      <c r="CV169" s="9">
        <f>IF(96&lt;=核心参数输入!$B$9*4,MAX(季度现金流!CU169,CV168),0)</f>
        <v>0</v>
      </c>
      <c r="CW169" s="9">
        <f>IF(97&lt;=核心参数输入!$B$9*4,MAX(季度现金流!CV169,CW168),0)</f>
        <v>0</v>
      </c>
      <c r="CX169" s="9">
        <f>IF(98&lt;=核心参数输入!$B$9*4,MAX(季度现金流!CW169,CX168),0)</f>
        <v>0</v>
      </c>
      <c r="CY169" s="9">
        <f>IF(99&lt;=核心参数输入!$B$9*4,MAX(季度现金流!CX169,CY168),0)</f>
        <v>0</v>
      </c>
      <c r="CZ169" s="9">
        <f>IF(100&lt;=核心参数输入!$B$9*4,MAX(季度现金流!CY169,CZ168),0)</f>
        <v>0</v>
      </c>
      <c r="DA169" s="9">
        <f>IF(101&lt;=核心参数输入!$B$9*4,MAX(季度现金流!CZ169,DA168),0)</f>
        <v>0</v>
      </c>
      <c r="DB169" s="9">
        <f>IF(102&lt;=核心参数输入!$B$9*4,MAX(季度现金流!DA169,DB168),0)</f>
        <v>0</v>
      </c>
      <c r="DC169" s="9">
        <f>IF(103&lt;=核心参数输入!$B$9*4,MAX(季度现金流!DB169,DC168),0)</f>
        <v>0</v>
      </c>
      <c r="DD169" s="9">
        <f>IF(104&lt;=核心参数输入!$B$9*4,MAX(季度现金流!DC169,DD168),0)</f>
        <v>0</v>
      </c>
      <c r="DE169" s="9">
        <f>IF(105&lt;=核心参数输入!$B$9*4,MAX(季度现金流!DD169,DE168),0)</f>
        <v>0</v>
      </c>
      <c r="DF169" s="9">
        <f>IF(106&lt;=核心参数输入!$B$9*4,MAX(季度现金流!DE169,DF168),0)</f>
        <v>0</v>
      </c>
      <c r="DG169" s="9">
        <f>IF(107&lt;=核心参数输入!$B$9*4,MAX(季度现金流!DF169,DG168),0)</f>
        <v>0</v>
      </c>
      <c r="DH169" s="9">
        <f>IF(108&lt;=核心参数输入!$B$9*4,MAX(季度现金流!DG169,DH168),0)</f>
        <v>0</v>
      </c>
      <c r="DI169" s="9">
        <f>IF(109&lt;=核心参数输入!$B$9*4,MAX(季度现金流!DH169,DI168),0)</f>
        <v>0</v>
      </c>
      <c r="DJ169" s="9">
        <f>IF(110&lt;=核心参数输入!$B$9*4,MAX(季度现金流!DI169,DJ168),0)</f>
        <v>0</v>
      </c>
      <c r="DK169" s="9">
        <f>IF(111&lt;=核心参数输入!$B$9*4,MAX(季度现金流!DJ169,DK168),0)</f>
        <v>0</v>
      </c>
      <c r="DL169" s="9">
        <f>IF(112&lt;=核心参数输入!$B$9*4,MAX(季度现金流!DK169,DL168),0)</f>
        <v>0</v>
      </c>
      <c r="DM169" s="9">
        <f>IF(113&lt;=核心参数输入!$B$9*4,MAX(季度现金流!DL169,DM168),0)</f>
        <v>0</v>
      </c>
      <c r="DN169" s="9">
        <f>IF(114&lt;=核心参数输入!$B$9*4,MAX(季度现金流!DM169,DN168),0)</f>
        <v>0</v>
      </c>
      <c r="DO169" s="9">
        <f>IF(115&lt;=核心参数输入!$B$9*4,MAX(季度现金流!DN169,DO168),0)</f>
        <v>0</v>
      </c>
      <c r="DP169" s="9">
        <f>IF(116&lt;=核心参数输入!$B$9*4,MAX(季度现金流!DO169,DP168),0)</f>
        <v>0</v>
      </c>
      <c r="DQ169" s="9">
        <f>IF(117&lt;=核心参数输入!$B$9*4,MAX(季度现金流!DP169,DQ168),0)</f>
        <v>0</v>
      </c>
      <c r="DR169" s="9">
        <f>IF(118&lt;=核心参数输入!$B$9*4,MAX(季度现金流!DQ169,DR168),0)</f>
        <v>0</v>
      </c>
      <c r="DS169" s="9">
        <f>IF(119&lt;=核心参数输入!$B$9*4,MAX(季度现金流!DR169,DS168),0)</f>
        <v>0</v>
      </c>
      <c r="DT169" s="9">
        <f>IF(120&lt;=核心参数输入!$B$9*4,MAX(季度现金流!DS169,DT168),0)</f>
        <v>0</v>
      </c>
    </row>
    <row r="170" spans="1:124" ht="21" customHeight="1">
      <c r="A170" s="8" t="s">
        <v>552</v>
      </c>
      <c r="B170" s="8" t="s">
        <v>39</v>
      </c>
      <c r="C170" s="8"/>
      <c r="D170" s="9">
        <f>IF(0&lt;=核心参数输入!$B$9*4,0+D165,0)</f>
        <v>8000</v>
      </c>
      <c r="E170" s="9">
        <f>IF(1&lt;=核心参数输入!$B$9*4,季度现金流!D170+E165,0)</f>
        <v>10127.7125</v>
      </c>
      <c r="F170" s="9">
        <f>IF(2&lt;=核心参数输入!$B$9*4,季度现金流!E170+F165,0)</f>
        <v>12279.05</v>
      </c>
      <c r="G170" s="9">
        <f>IF(3&lt;=核心参数输入!$B$9*4,季度现金流!F170+G165,0)</f>
        <v>14454.012499999999</v>
      </c>
      <c r="H170" s="9">
        <f>IF(4&lt;=核心参数输入!$B$9*4,季度现金流!G170+H165,0)</f>
        <v>16652.599999999999</v>
      </c>
      <c r="I170" s="9">
        <f>IF(5&lt;=核心参数输入!$B$9*4,季度现金流!H170+I165,0)</f>
        <v>19584.05</v>
      </c>
      <c r="J170" s="9">
        <f>IF(6&lt;=核心参数输入!$B$9*4,季度现金流!I170+J165,0)</f>
        <v>22547</v>
      </c>
      <c r="K170" s="9">
        <f>IF(7&lt;=核心参数输入!$B$9*4,季度现金流!J170+K165,0)</f>
        <v>25541.45</v>
      </c>
      <c r="L170" s="9">
        <f>IF(8&lt;=核心参数输入!$B$9*4,季度现金流!K170+L165,0)</f>
        <v>28567.4</v>
      </c>
      <c r="M170" s="9">
        <f>IF(9&lt;=核心参数输入!$B$9*4,季度现金流!L170+M165,0)</f>
        <v>30915.612500000003</v>
      </c>
      <c r="N170" s="9">
        <f>IF(10&lt;=核心参数输入!$B$9*4,季度现金流!M170+N165,0)</f>
        <v>33000</v>
      </c>
      <c r="O170" s="9">
        <f>IF(11&lt;=核心参数输入!$B$9*4,季度现金流!N170+O165,0)</f>
        <v>33000</v>
      </c>
      <c r="P170" s="9">
        <f>IF(12&lt;=核心参数输入!$B$9*4,季度现金流!O170+P165,0)</f>
        <v>33000</v>
      </c>
      <c r="Q170" s="9">
        <f>IF(13&lt;=核心参数输入!$B$9*4,季度现金流!P170+Q165,0)</f>
        <v>33000</v>
      </c>
      <c r="R170" s="9">
        <f>IF(14&lt;=核心参数输入!$B$9*4,季度现金流!Q170+R165,0)</f>
        <v>33000</v>
      </c>
      <c r="S170" s="9">
        <f>IF(15&lt;=核心参数输入!$B$9*4,季度现金流!R170+S165,0)</f>
        <v>33000</v>
      </c>
      <c r="T170" s="9">
        <f>IF(16&lt;=核心参数输入!$B$9*4,季度现金流!S170+T165,0)</f>
        <v>33000</v>
      </c>
      <c r="U170" s="9">
        <f>IF(17&lt;=核心参数输入!$B$9*4,季度现金流!T170+U165,0)</f>
        <v>33000</v>
      </c>
      <c r="V170" s="9">
        <f>IF(18&lt;=核心参数输入!$B$9*4,季度现金流!U170+V165,0)</f>
        <v>33000</v>
      </c>
      <c r="W170" s="9">
        <f>IF(19&lt;=核心参数输入!$B$9*4,季度现金流!V170+W165,0)</f>
        <v>33000</v>
      </c>
      <c r="X170" s="9">
        <f>IF(20&lt;=核心参数输入!$B$9*4,季度现金流!W170+X165,0)</f>
        <v>33000</v>
      </c>
      <c r="Y170" s="9">
        <f>IF(21&lt;=核心参数输入!$B$9*4,季度现金流!X170+Y165,0)</f>
        <v>33000</v>
      </c>
      <c r="Z170" s="9">
        <f>IF(22&lt;=核心参数输入!$B$9*4,季度现金流!Y170+Z165,0)</f>
        <v>33000</v>
      </c>
      <c r="AA170" s="9">
        <f>IF(23&lt;=核心参数输入!$B$9*4,季度现金流!Z170+AA165,0)</f>
        <v>33000</v>
      </c>
      <c r="AB170" s="9">
        <f>IF(24&lt;=核心参数输入!$B$9*4,季度现金流!AA170+AB165,0)</f>
        <v>33000</v>
      </c>
      <c r="AC170" s="9">
        <f>IF(25&lt;=核心参数输入!$B$9*4,季度现金流!AB170+AC165,0)</f>
        <v>33000</v>
      </c>
      <c r="AD170" s="9">
        <f>IF(26&lt;=核心参数输入!$B$9*4,季度现金流!AC170+AD165,0)</f>
        <v>33000</v>
      </c>
      <c r="AE170" s="9">
        <f>IF(27&lt;=核心参数输入!$B$9*4,季度现金流!AD170+AE165,0)</f>
        <v>33000</v>
      </c>
      <c r="AF170" s="9">
        <f>IF(28&lt;=核心参数输入!$B$9*4,季度现金流!AE170+AF165,0)</f>
        <v>33000</v>
      </c>
      <c r="AG170" s="9">
        <f>IF(29&lt;=核心参数输入!$B$9*4,季度现金流!AF170+AG165,0)</f>
        <v>33000</v>
      </c>
      <c r="AH170" s="9">
        <f>IF(30&lt;=核心参数输入!$B$9*4,季度现金流!AG170+AH165,0)</f>
        <v>33000</v>
      </c>
      <c r="AI170" s="9">
        <f>IF(31&lt;=核心参数输入!$B$9*4,季度现金流!AH170+AI165,0)</f>
        <v>33000</v>
      </c>
      <c r="AJ170" s="9">
        <f>IF(32&lt;=核心参数输入!$B$9*4,季度现金流!AI170+AJ165,0)</f>
        <v>33000</v>
      </c>
      <c r="AK170" s="9">
        <f>IF(33&lt;=核心参数输入!$B$9*4,季度现金流!AJ170+AK165,0)</f>
        <v>33000</v>
      </c>
      <c r="AL170" s="9">
        <f>IF(34&lt;=核心参数输入!$B$9*4,季度现金流!AK170+AL165,0)</f>
        <v>33000</v>
      </c>
      <c r="AM170" s="9">
        <f>IF(35&lt;=核心参数输入!$B$9*4,季度现金流!AL170+AM165,0)</f>
        <v>33000</v>
      </c>
      <c r="AN170" s="9">
        <f>IF(36&lt;=核心参数输入!$B$9*4,季度现金流!AM170+AN165,0)</f>
        <v>33000</v>
      </c>
      <c r="AO170" s="9">
        <f>IF(37&lt;=核心参数输入!$B$9*4,季度现金流!AN170+AO165,0)</f>
        <v>33000</v>
      </c>
      <c r="AP170" s="9">
        <f>IF(38&lt;=核心参数输入!$B$9*4,季度现金流!AO170+AP165,0)</f>
        <v>33000</v>
      </c>
      <c r="AQ170" s="9">
        <f>IF(39&lt;=核心参数输入!$B$9*4,季度现金流!AP170+AQ165,0)</f>
        <v>33000</v>
      </c>
      <c r="AR170" s="9">
        <f>IF(40&lt;=核心参数输入!$B$9*4,季度现金流!AQ170+AR165,0)</f>
        <v>33000</v>
      </c>
      <c r="AS170" s="9">
        <f>IF(41&lt;=核心参数输入!$B$9*4,季度现金流!AR170+AS165,0)</f>
        <v>33000</v>
      </c>
      <c r="AT170" s="9">
        <f>IF(42&lt;=核心参数输入!$B$9*4,季度现金流!AS170+AT165,0)</f>
        <v>33000</v>
      </c>
      <c r="AU170" s="9">
        <f>IF(43&lt;=核心参数输入!$B$9*4,季度现金流!AT170+AU165,0)</f>
        <v>33000</v>
      </c>
      <c r="AV170" s="9">
        <f>IF(44&lt;=核心参数输入!$B$9*4,季度现金流!AU170+AV165,0)</f>
        <v>33000</v>
      </c>
      <c r="AW170" s="9">
        <f>IF(45&lt;=核心参数输入!$B$9*4,季度现金流!AV170+AW165,0)</f>
        <v>33000</v>
      </c>
      <c r="AX170" s="9">
        <f>IF(46&lt;=核心参数输入!$B$9*4,季度现金流!AW170+AX165,0)</f>
        <v>33000</v>
      </c>
      <c r="AY170" s="9">
        <f>IF(47&lt;=核心参数输入!$B$9*4,季度现金流!AX170+AY165,0)</f>
        <v>33000</v>
      </c>
      <c r="AZ170" s="9">
        <f>IF(48&lt;=核心参数输入!$B$9*4,季度现金流!AY170+AZ165,0)</f>
        <v>33000</v>
      </c>
      <c r="BA170" s="9">
        <f>IF(49&lt;=核心参数输入!$B$9*4,季度现金流!AZ170+BA165,0)</f>
        <v>33000</v>
      </c>
      <c r="BB170" s="9">
        <f>IF(50&lt;=核心参数输入!$B$9*4,季度现金流!BA170+BB165,0)</f>
        <v>33000</v>
      </c>
      <c r="BC170" s="9">
        <f>IF(51&lt;=核心参数输入!$B$9*4,季度现金流!BB170+BC165,0)</f>
        <v>33000</v>
      </c>
      <c r="BD170" s="9">
        <f>IF(52&lt;=核心参数输入!$B$9*4,季度现金流!BC170+BD165,0)</f>
        <v>33000</v>
      </c>
      <c r="BE170" s="9">
        <f>IF(53&lt;=核心参数输入!$B$9*4,季度现金流!BD170+BE165,0)</f>
        <v>33000</v>
      </c>
      <c r="BF170" s="9">
        <f>IF(54&lt;=核心参数输入!$B$9*4,季度现金流!BE170+BF165,0)</f>
        <v>33000</v>
      </c>
      <c r="BG170" s="9">
        <f>IF(55&lt;=核心参数输入!$B$9*4,季度现金流!BF170+BG165,0)</f>
        <v>33000</v>
      </c>
      <c r="BH170" s="9">
        <f>IF(56&lt;=核心参数输入!$B$9*4,季度现金流!BG170+BH165,0)</f>
        <v>33000</v>
      </c>
      <c r="BI170" s="9">
        <f>IF(57&lt;=核心参数输入!$B$9*4,季度现金流!BH170+BI165,0)</f>
        <v>33000</v>
      </c>
      <c r="BJ170" s="9">
        <f>IF(58&lt;=核心参数输入!$B$9*4,季度现金流!BI170+BJ165,0)</f>
        <v>33000</v>
      </c>
      <c r="BK170" s="9">
        <f>IF(59&lt;=核心参数输入!$B$9*4,季度现金流!BJ170+BK165,0)</f>
        <v>33000</v>
      </c>
      <c r="BL170" s="9">
        <f>IF(60&lt;=核心参数输入!$B$9*4,季度现金流!BK170+BL165,0)</f>
        <v>33000</v>
      </c>
      <c r="BM170" s="9">
        <f>IF(61&lt;=核心参数输入!$B$9*4,季度现金流!BL170+BM165,0)</f>
        <v>33000</v>
      </c>
      <c r="BN170" s="9">
        <f>IF(62&lt;=核心参数输入!$B$9*4,季度现金流!BM170+BN165,0)</f>
        <v>33000</v>
      </c>
      <c r="BO170" s="9">
        <f>IF(63&lt;=核心参数输入!$B$9*4,季度现金流!BN170+BO165,0)</f>
        <v>33000</v>
      </c>
      <c r="BP170" s="9">
        <f>IF(64&lt;=核心参数输入!$B$9*4,季度现金流!BO170+BP165,0)</f>
        <v>33000</v>
      </c>
      <c r="BQ170" s="9">
        <f>IF(65&lt;=核心参数输入!$B$9*4,季度现金流!BP170+BQ165,0)</f>
        <v>33000</v>
      </c>
      <c r="BR170" s="9">
        <f>IF(66&lt;=核心参数输入!$B$9*4,季度现金流!BQ170+BR165,0)</f>
        <v>33000</v>
      </c>
      <c r="BS170" s="9">
        <f>IF(67&lt;=核心参数输入!$B$9*4,季度现金流!BR170+BS165,0)</f>
        <v>33000</v>
      </c>
      <c r="BT170" s="9">
        <f>IF(68&lt;=核心参数输入!$B$9*4,季度现金流!BS170+BT165,0)</f>
        <v>33000</v>
      </c>
      <c r="BU170" s="9">
        <f>IF(69&lt;=核心参数输入!$B$9*4,季度现金流!BT170+BU165,0)</f>
        <v>33000</v>
      </c>
      <c r="BV170" s="9">
        <f>IF(70&lt;=核心参数输入!$B$9*4,季度现金流!BU170+BV165,0)</f>
        <v>33000</v>
      </c>
      <c r="BW170" s="9">
        <f>IF(71&lt;=核心参数输入!$B$9*4,季度现金流!BV170+BW165,0)</f>
        <v>33000</v>
      </c>
      <c r="BX170" s="9">
        <f>IF(72&lt;=核心参数输入!$B$9*4,季度现金流!BW170+BX165,0)</f>
        <v>33000</v>
      </c>
      <c r="BY170" s="9">
        <f>IF(73&lt;=核心参数输入!$B$9*4,季度现金流!BX170+BY165,0)</f>
        <v>33000</v>
      </c>
      <c r="BZ170" s="9">
        <f>IF(74&lt;=核心参数输入!$B$9*4,季度现金流!BY170+BZ165,0)</f>
        <v>33000</v>
      </c>
      <c r="CA170" s="9">
        <f>IF(75&lt;=核心参数输入!$B$9*4,季度现金流!BZ170+CA165,0)</f>
        <v>33000</v>
      </c>
      <c r="CB170" s="9">
        <f>IF(76&lt;=核心参数输入!$B$9*4,季度现金流!CA170+CB165,0)</f>
        <v>33000</v>
      </c>
      <c r="CC170" s="9">
        <f>IF(77&lt;=核心参数输入!$B$9*4,季度现金流!CB170+CC165,0)</f>
        <v>33000</v>
      </c>
      <c r="CD170" s="9">
        <f>IF(78&lt;=核心参数输入!$B$9*4,季度现金流!CC170+CD165,0)</f>
        <v>33000</v>
      </c>
      <c r="CE170" s="9">
        <f>IF(79&lt;=核心参数输入!$B$9*4,季度现金流!CD170+CE165,0)</f>
        <v>33000</v>
      </c>
      <c r="CF170" s="9">
        <f>IF(80&lt;=核心参数输入!$B$9*4,季度现金流!CE170+CF165,0)</f>
        <v>33000</v>
      </c>
      <c r="CG170" s="9">
        <f>IF(81&lt;=核心参数输入!$B$9*4,季度现金流!CF170+CG165,0)</f>
        <v>0</v>
      </c>
      <c r="CH170" s="9">
        <f>IF(82&lt;=核心参数输入!$B$9*4,季度现金流!CG170+CH165,0)</f>
        <v>0</v>
      </c>
      <c r="CI170" s="9">
        <f>IF(83&lt;=核心参数输入!$B$9*4,季度现金流!CH170+CI165,0)</f>
        <v>0</v>
      </c>
      <c r="CJ170" s="9">
        <f>IF(84&lt;=核心参数输入!$B$9*4,季度现金流!CI170+CJ165,0)</f>
        <v>0</v>
      </c>
      <c r="CK170" s="9">
        <f>IF(85&lt;=核心参数输入!$B$9*4,季度现金流!CJ170+CK165,0)</f>
        <v>0</v>
      </c>
      <c r="CL170" s="9">
        <f>IF(86&lt;=核心参数输入!$B$9*4,季度现金流!CK170+CL165,0)</f>
        <v>0</v>
      </c>
      <c r="CM170" s="9">
        <f>IF(87&lt;=核心参数输入!$B$9*4,季度现金流!CL170+CM165,0)</f>
        <v>0</v>
      </c>
      <c r="CN170" s="9">
        <f>IF(88&lt;=核心参数输入!$B$9*4,季度现金流!CM170+CN165,0)</f>
        <v>0</v>
      </c>
      <c r="CO170" s="9">
        <f>IF(89&lt;=核心参数输入!$B$9*4,季度现金流!CN170+CO165,0)</f>
        <v>0</v>
      </c>
      <c r="CP170" s="9">
        <f>IF(90&lt;=核心参数输入!$B$9*4,季度现金流!CO170+CP165,0)</f>
        <v>0</v>
      </c>
      <c r="CQ170" s="9">
        <f>IF(91&lt;=核心参数输入!$B$9*4,季度现金流!CP170+CQ165,0)</f>
        <v>0</v>
      </c>
      <c r="CR170" s="9">
        <f>IF(92&lt;=核心参数输入!$B$9*4,季度现金流!CQ170+CR165,0)</f>
        <v>0</v>
      </c>
      <c r="CS170" s="9">
        <f>IF(93&lt;=核心参数输入!$B$9*4,季度现金流!CR170+CS165,0)</f>
        <v>0</v>
      </c>
      <c r="CT170" s="9">
        <f>IF(94&lt;=核心参数输入!$B$9*4,季度现金流!CS170+CT165,0)</f>
        <v>0</v>
      </c>
      <c r="CU170" s="9">
        <f>IF(95&lt;=核心参数输入!$B$9*4,季度现金流!CT170+CU165,0)</f>
        <v>0</v>
      </c>
      <c r="CV170" s="9">
        <f>IF(96&lt;=核心参数输入!$B$9*4,季度现金流!CU170+CV165,0)</f>
        <v>0</v>
      </c>
      <c r="CW170" s="9">
        <f>IF(97&lt;=核心参数输入!$B$9*4,季度现金流!CV170+CW165,0)</f>
        <v>0</v>
      </c>
      <c r="CX170" s="9">
        <f>IF(98&lt;=核心参数输入!$B$9*4,季度现金流!CW170+CX165,0)</f>
        <v>0</v>
      </c>
      <c r="CY170" s="9">
        <f>IF(99&lt;=核心参数输入!$B$9*4,季度现金流!CX170+CY165,0)</f>
        <v>0</v>
      </c>
      <c r="CZ170" s="9">
        <f>IF(100&lt;=核心参数输入!$B$9*4,季度现金流!CY170+CZ165,0)</f>
        <v>0</v>
      </c>
      <c r="DA170" s="9">
        <f>IF(101&lt;=核心参数输入!$B$9*4,季度现金流!CZ170+DA165,0)</f>
        <v>0</v>
      </c>
      <c r="DB170" s="9">
        <f>IF(102&lt;=核心参数输入!$B$9*4,季度现金流!DA170+DB165,0)</f>
        <v>0</v>
      </c>
      <c r="DC170" s="9">
        <f>IF(103&lt;=核心参数输入!$B$9*4,季度现金流!DB170+DC165,0)</f>
        <v>0</v>
      </c>
      <c r="DD170" s="9">
        <f>IF(104&lt;=核心参数输入!$B$9*4,季度现金流!DC170+DD165,0)</f>
        <v>0</v>
      </c>
      <c r="DE170" s="9">
        <f>IF(105&lt;=核心参数输入!$B$9*4,季度现金流!DD170+DE165,0)</f>
        <v>0</v>
      </c>
      <c r="DF170" s="9">
        <f>IF(106&lt;=核心参数输入!$B$9*4,季度现金流!DE170+DF165,0)</f>
        <v>0</v>
      </c>
      <c r="DG170" s="9">
        <f>IF(107&lt;=核心参数输入!$B$9*4,季度现金流!DF170+DG165,0)</f>
        <v>0</v>
      </c>
      <c r="DH170" s="9">
        <f>IF(108&lt;=核心参数输入!$B$9*4,季度现金流!DG170+DH165,0)</f>
        <v>0</v>
      </c>
      <c r="DI170" s="9">
        <f>IF(109&lt;=核心参数输入!$B$9*4,季度现金流!DH170+DI165,0)</f>
        <v>0</v>
      </c>
      <c r="DJ170" s="9">
        <f>IF(110&lt;=核心参数输入!$B$9*4,季度现金流!DI170+DJ165,0)</f>
        <v>0</v>
      </c>
      <c r="DK170" s="9">
        <f>IF(111&lt;=核心参数输入!$B$9*4,季度现金流!DJ170+DK165,0)</f>
        <v>0</v>
      </c>
      <c r="DL170" s="9">
        <f>IF(112&lt;=核心参数输入!$B$9*4,季度现金流!DK170+DL165,0)</f>
        <v>0</v>
      </c>
      <c r="DM170" s="9">
        <f>IF(113&lt;=核心参数输入!$B$9*4,季度现金流!DL170+DM165,0)</f>
        <v>0</v>
      </c>
      <c r="DN170" s="9">
        <f>IF(114&lt;=核心参数输入!$B$9*4,季度现金流!DM170+DN165,0)</f>
        <v>0</v>
      </c>
      <c r="DO170" s="9">
        <f>IF(115&lt;=核心参数输入!$B$9*4,季度现金流!DN170+DO165,0)</f>
        <v>0</v>
      </c>
      <c r="DP170" s="9">
        <f>IF(116&lt;=核心参数输入!$B$9*4,季度现金流!DO170+DP165,0)</f>
        <v>0</v>
      </c>
      <c r="DQ170" s="9">
        <f>IF(117&lt;=核心参数输入!$B$9*4,季度现金流!DP170+DQ165,0)</f>
        <v>0</v>
      </c>
      <c r="DR170" s="9">
        <f>IF(118&lt;=核心参数输入!$B$9*4,季度现金流!DQ170+DR165,0)</f>
        <v>0</v>
      </c>
      <c r="DS170" s="9">
        <f>IF(119&lt;=核心参数输入!$B$9*4,季度现金流!DR170+DS165,0)</f>
        <v>0</v>
      </c>
      <c r="DT170" s="9">
        <f>IF(120&lt;=核心参数输入!$B$9*4,季度现金流!DS170+DT165,0)</f>
        <v>0</v>
      </c>
    </row>
    <row r="171" spans="1:124" ht="21" customHeight="1">
      <c r="A171" s="8" t="s">
        <v>553</v>
      </c>
      <c r="B171" s="8" t="s">
        <v>39</v>
      </c>
      <c r="C171" s="8"/>
      <c r="D171" s="9">
        <f>IF(0&lt;=核心参数输入!$B$9*4,D162-D163+D156+D165-D166-D167+D168,0)</f>
        <v>0</v>
      </c>
      <c r="E171" s="9">
        <f>IF(1&lt;=核心参数输入!$B$9*4,E162-E163+E156+E165-E166-E167+E168,0)</f>
        <v>0</v>
      </c>
      <c r="F171" s="9">
        <f>IF(2&lt;=核心参数输入!$B$9*4,F162-F163+F156+F165-F166-F167+F168,0)</f>
        <v>0</v>
      </c>
      <c r="G171" s="9">
        <f>IF(3&lt;=核心参数输入!$B$9*4,G162-G163+G156+G165-G166-G167+G168,0)</f>
        <v>0</v>
      </c>
      <c r="H171" s="9">
        <f>IF(4&lt;=核心参数输入!$B$9*4,H162-H163+H156+H165-H166-H167+H168,0)</f>
        <v>0</v>
      </c>
      <c r="I171" s="9">
        <f>IF(5&lt;=核心参数输入!$B$9*4,I162-I163+I156+I165-I166-I167+I168,0)</f>
        <v>0</v>
      </c>
      <c r="J171" s="9">
        <f>IF(6&lt;=核心参数输入!$B$9*4,J162-J163+J156+J165-J166-J167+J168,0)</f>
        <v>0</v>
      </c>
      <c r="K171" s="9">
        <f>IF(7&lt;=核心参数输入!$B$9*4,K162-K163+K156+K165-K166-K167+K168,0)</f>
        <v>0</v>
      </c>
      <c r="L171" s="9">
        <f>IF(8&lt;=核心参数输入!$B$9*4,L162-L163+L156+L165-L166-L167+L168,0)</f>
        <v>0</v>
      </c>
      <c r="M171" s="9">
        <f>IF(9&lt;=核心参数输入!$B$9*4,M162-M163+M156+M165-M166-M167+M168,0)</f>
        <v>0</v>
      </c>
      <c r="N171" s="9">
        <f>IF(10&lt;=核心参数输入!$B$9*4,N162-N163+N156+N165-N166-N167+N168,0)</f>
        <v>0</v>
      </c>
      <c r="O171" s="9">
        <f>IF(11&lt;=核心参数输入!$B$9*4,O162-O163+O156+O165-O166-O167+O168,0)</f>
        <v>0</v>
      </c>
      <c r="P171" s="9">
        <f>IF(12&lt;=核心参数输入!$B$9*4,P162-P163+P156+P165-P166-P167+P168,0)</f>
        <v>0</v>
      </c>
      <c r="Q171" s="9">
        <f>IF(13&lt;=核心参数输入!$B$9*4,Q162-Q163+Q156+Q165-Q166-Q167+Q168,0)</f>
        <v>0</v>
      </c>
      <c r="R171" s="9">
        <f>IF(14&lt;=核心参数输入!$B$9*4,R162-R163+R156+R165-R166-R167+R168,0)</f>
        <v>0</v>
      </c>
      <c r="S171" s="9">
        <f>IF(15&lt;=核心参数输入!$B$9*4,S162-S163+S156+S165-S166-S167+S168,0)</f>
        <v>0</v>
      </c>
      <c r="T171" s="9">
        <f>IF(16&lt;=核心参数输入!$B$9*4,T162-T163+T156+T165-T166-T167+T168,0)</f>
        <v>0</v>
      </c>
      <c r="U171" s="9">
        <f>IF(17&lt;=核心参数输入!$B$9*4,U162-U163+U156+U165-U166-U167+U168,0)</f>
        <v>0</v>
      </c>
      <c r="V171" s="9">
        <f>IF(18&lt;=核心参数输入!$B$9*4,V162-V163+V156+V165-V166-V167+V168,0)</f>
        <v>0</v>
      </c>
      <c r="W171" s="9">
        <f>IF(19&lt;=核心参数输入!$B$9*4,W162-W163+W156+W165-W166-W167+W168,0)</f>
        <v>0</v>
      </c>
      <c r="X171" s="9">
        <f>IF(20&lt;=核心参数输入!$B$9*4,X162-X163+X156+X165-X166-X167+X168,0)</f>
        <v>0</v>
      </c>
      <c r="Y171" s="9">
        <f>IF(21&lt;=核心参数输入!$B$9*4,Y162-Y163+Y156+Y165-Y166-Y167+Y168,0)</f>
        <v>0</v>
      </c>
      <c r="Z171" s="9">
        <f>IF(22&lt;=核心参数输入!$B$9*4,Z162-Z163+Z156+Z165-Z166-Z167+Z168,0)</f>
        <v>0</v>
      </c>
      <c r="AA171" s="9">
        <f>IF(23&lt;=核心参数输入!$B$9*4,AA162-AA163+AA156+AA165-AA166-AA167+AA168,0)</f>
        <v>0</v>
      </c>
      <c r="AB171" s="9">
        <f>IF(24&lt;=核心参数输入!$B$9*4,AB162-AB163+AB156+AB165-AB166-AB167+AB168,0)</f>
        <v>0</v>
      </c>
      <c r="AC171" s="9">
        <f>IF(25&lt;=核心参数输入!$B$9*4,AC162-AC163+AC156+AC165-AC166-AC167+AC168,0)</f>
        <v>0</v>
      </c>
      <c r="AD171" s="9">
        <f>IF(26&lt;=核心参数输入!$B$9*4,AD162-AD163+AD156+AD165-AD166-AD167+AD168,0)</f>
        <v>0</v>
      </c>
      <c r="AE171" s="9">
        <f>IF(27&lt;=核心参数输入!$B$9*4,AE162-AE163+AE156+AE165-AE166-AE167+AE168,0)</f>
        <v>0</v>
      </c>
      <c r="AF171" s="9">
        <f>IF(28&lt;=核心参数输入!$B$9*4,AF162-AF163+AF156+AF165-AF166-AF167+AF168,0)</f>
        <v>0</v>
      </c>
      <c r="AG171" s="9">
        <f>IF(29&lt;=核心参数输入!$B$9*4,AG162-AG163+AG156+AG165-AG166-AG167+AG168,0)</f>
        <v>0</v>
      </c>
      <c r="AH171" s="9">
        <f>IF(30&lt;=核心参数输入!$B$9*4,AH162-AH163+AH156+AH165-AH166-AH167+AH168,0)</f>
        <v>0</v>
      </c>
      <c r="AI171" s="9">
        <f>IF(31&lt;=核心参数输入!$B$9*4,AI162-AI163+AI156+AI165-AI166-AI167+AI168,0)</f>
        <v>0</v>
      </c>
      <c r="AJ171" s="9">
        <f>IF(32&lt;=核心参数输入!$B$9*4,AJ162-AJ163+AJ156+AJ165-AJ166-AJ167+AJ168,0)</f>
        <v>0</v>
      </c>
      <c r="AK171" s="9">
        <f>IF(33&lt;=核心参数输入!$B$9*4,AK162-AK163+AK156+AK165-AK166-AK167+AK168,0)</f>
        <v>0</v>
      </c>
      <c r="AL171" s="9">
        <f>IF(34&lt;=核心参数输入!$B$9*4,AL162-AL163+AL156+AL165-AL166-AL167+AL168,0)</f>
        <v>0</v>
      </c>
      <c r="AM171" s="9">
        <f>IF(35&lt;=核心参数输入!$B$9*4,AM162-AM163+AM156+AM165-AM166-AM167+AM168,0)</f>
        <v>0</v>
      </c>
      <c r="AN171" s="9">
        <f>IF(36&lt;=核心参数输入!$B$9*4,AN162-AN163+AN156+AN165-AN166-AN167+AN168,0)</f>
        <v>0</v>
      </c>
      <c r="AO171" s="9">
        <f>IF(37&lt;=核心参数输入!$B$9*4,AO162-AO163+AO156+AO165-AO166-AO167+AO168,0)</f>
        <v>0</v>
      </c>
      <c r="AP171" s="9">
        <f>IF(38&lt;=核心参数输入!$B$9*4,AP162-AP163+AP156+AP165-AP166-AP167+AP168,0)</f>
        <v>0</v>
      </c>
      <c r="AQ171" s="9">
        <f>IF(39&lt;=核心参数输入!$B$9*4,AQ162-AQ163+AQ156+AQ165-AQ166-AQ167+AQ168,0)</f>
        <v>0</v>
      </c>
      <c r="AR171" s="9">
        <f>IF(40&lt;=核心参数输入!$B$9*4,AR162-AR163+AR156+AR165-AR166-AR167+AR168,0)</f>
        <v>0</v>
      </c>
      <c r="AS171" s="9">
        <f>IF(41&lt;=核心参数输入!$B$9*4,AS162-AS163+AS156+AS165-AS166-AS167+AS168,0)</f>
        <v>0</v>
      </c>
      <c r="AT171" s="9">
        <f>IF(42&lt;=核心参数输入!$B$9*4,AT162-AT163+AT156+AT165-AT166-AT167+AT168,0)</f>
        <v>0</v>
      </c>
      <c r="AU171" s="9">
        <f>IF(43&lt;=核心参数输入!$B$9*4,AU162-AU163+AU156+AU165-AU166-AU167+AU168,0)</f>
        <v>0</v>
      </c>
      <c r="AV171" s="9">
        <f>IF(44&lt;=核心参数输入!$B$9*4,AV162-AV163+AV156+AV165-AV166-AV167+AV168,0)</f>
        <v>0</v>
      </c>
      <c r="AW171" s="9">
        <f>IF(45&lt;=核心参数输入!$B$9*4,AW162-AW163+AW156+AW165-AW166-AW167+AW168,0)</f>
        <v>0</v>
      </c>
      <c r="AX171" s="9">
        <f>IF(46&lt;=核心参数输入!$B$9*4,AX162-AX163+AX156+AX165-AX166-AX167+AX168,0)</f>
        <v>0</v>
      </c>
      <c r="AY171" s="9">
        <f>IF(47&lt;=核心参数输入!$B$9*4,AY162-AY163+AY156+AY165-AY166-AY167+AY168,0)</f>
        <v>0</v>
      </c>
      <c r="AZ171" s="9">
        <f>IF(48&lt;=核心参数输入!$B$9*4,AZ162-AZ163+AZ156+AZ165-AZ166-AZ167+AZ168,0)</f>
        <v>0</v>
      </c>
      <c r="BA171" s="9">
        <f>IF(49&lt;=核心参数输入!$B$9*4,BA162-BA163+BA156+BA165-BA166-BA167+BA168,0)</f>
        <v>0</v>
      </c>
      <c r="BB171" s="9">
        <f>IF(50&lt;=核心参数输入!$B$9*4,BB162-BB163+BB156+BB165-BB166-BB167+BB168,0)</f>
        <v>0</v>
      </c>
      <c r="BC171" s="9">
        <f>IF(51&lt;=核心参数输入!$B$9*4,BC162-BC163+BC156+BC165-BC166-BC167+BC168,0)</f>
        <v>0</v>
      </c>
      <c r="BD171" s="9">
        <f>IF(52&lt;=核心参数输入!$B$9*4,BD162-BD163+BD156+BD165-BD166-BD167+BD168,0)</f>
        <v>0</v>
      </c>
      <c r="BE171" s="9">
        <f>IF(53&lt;=核心参数输入!$B$9*4,BE162-BE163+BE156+BE165-BE166-BE167+BE168,0)</f>
        <v>0</v>
      </c>
      <c r="BF171" s="9">
        <f>IF(54&lt;=核心参数输入!$B$9*4,BF162-BF163+BF156+BF165-BF166-BF167+BF168,0)</f>
        <v>0</v>
      </c>
      <c r="BG171" s="9">
        <f>IF(55&lt;=核心参数输入!$B$9*4,BG162-BG163+BG156+BG165-BG166-BG167+BG168,0)</f>
        <v>0</v>
      </c>
      <c r="BH171" s="9">
        <f>IF(56&lt;=核心参数输入!$B$9*4,BH162-BH163+BH156+BH165-BH166-BH167+BH168,0)</f>
        <v>0</v>
      </c>
      <c r="BI171" s="9">
        <f>IF(57&lt;=核心参数输入!$B$9*4,BI162-BI163+BI156+BI165-BI166-BI167+BI168,0)</f>
        <v>0</v>
      </c>
      <c r="BJ171" s="9">
        <f>IF(58&lt;=核心参数输入!$B$9*4,BJ162-BJ163+BJ156+BJ165-BJ166-BJ167+BJ168,0)</f>
        <v>0</v>
      </c>
      <c r="BK171" s="9">
        <f>IF(59&lt;=核心参数输入!$B$9*4,BK162-BK163+BK156+BK165-BK166-BK167+BK168,0)</f>
        <v>0</v>
      </c>
      <c r="BL171" s="9">
        <f>IF(60&lt;=核心参数输入!$B$9*4,BL162-BL163+BL156+BL165-BL166-BL167+BL168,0)</f>
        <v>0</v>
      </c>
      <c r="BM171" s="9">
        <f>IF(61&lt;=核心参数输入!$B$9*4,BM162-BM163+BM156+BM165-BM166-BM167+BM168,0)</f>
        <v>0</v>
      </c>
      <c r="BN171" s="9">
        <f>IF(62&lt;=核心参数输入!$B$9*4,BN162-BN163+BN156+BN165-BN166-BN167+BN168,0)</f>
        <v>0</v>
      </c>
      <c r="BO171" s="9">
        <f>IF(63&lt;=核心参数输入!$B$9*4,BO162-BO163+BO156+BO165-BO166-BO167+BO168,0)</f>
        <v>0</v>
      </c>
      <c r="BP171" s="9">
        <f>IF(64&lt;=核心参数输入!$B$9*4,BP162-BP163+BP156+BP165-BP166-BP167+BP168,0)</f>
        <v>0</v>
      </c>
      <c r="BQ171" s="9">
        <f>IF(65&lt;=核心参数输入!$B$9*4,BQ162-BQ163+BQ156+BQ165-BQ166-BQ167+BQ168,0)</f>
        <v>0</v>
      </c>
      <c r="BR171" s="9">
        <f>IF(66&lt;=核心参数输入!$B$9*4,BR162-BR163+BR156+BR165-BR166-BR167+BR168,0)</f>
        <v>0</v>
      </c>
      <c r="BS171" s="9">
        <f>IF(67&lt;=核心参数输入!$B$9*4,BS162-BS163+BS156+BS165-BS166-BS167+BS168,0)</f>
        <v>0</v>
      </c>
      <c r="BT171" s="9">
        <f>IF(68&lt;=核心参数输入!$B$9*4,BT162-BT163+BT156+BT165-BT166-BT167+BT168,0)</f>
        <v>0</v>
      </c>
      <c r="BU171" s="9">
        <f>IF(69&lt;=核心参数输入!$B$9*4,BU162-BU163+BU156+BU165-BU166-BU167+BU168,0)</f>
        <v>0</v>
      </c>
      <c r="BV171" s="9">
        <f>IF(70&lt;=核心参数输入!$B$9*4,BV162-BV163+BV156+BV165-BV166-BV167+BV168,0)</f>
        <v>0</v>
      </c>
      <c r="BW171" s="9">
        <f>IF(71&lt;=核心参数输入!$B$9*4,BW162-BW163+BW156+BW165-BW166-BW167+BW168,0)</f>
        <v>0</v>
      </c>
      <c r="BX171" s="9">
        <f>IF(72&lt;=核心参数输入!$B$9*4,BX162-BX163+BX156+BX165-BX166-BX167+BX168,0)</f>
        <v>0</v>
      </c>
      <c r="BY171" s="9">
        <f>IF(73&lt;=核心参数输入!$B$9*4,BY162-BY163+BY156+BY165-BY166-BY167+BY168,0)</f>
        <v>0</v>
      </c>
      <c r="BZ171" s="9">
        <f>IF(74&lt;=核心参数输入!$B$9*4,BZ162-BZ163+BZ156+BZ165-BZ166-BZ167+BZ168,0)</f>
        <v>0</v>
      </c>
      <c r="CA171" s="9">
        <f>IF(75&lt;=核心参数输入!$B$9*4,CA162-CA163+CA156+CA165-CA166-CA167+CA168,0)</f>
        <v>0</v>
      </c>
      <c r="CB171" s="9">
        <f>IF(76&lt;=核心参数输入!$B$9*4,CB162-CB163+CB156+CB165-CB166-CB167+CB168,0)</f>
        <v>0</v>
      </c>
      <c r="CC171" s="9">
        <f>IF(77&lt;=核心参数输入!$B$9*4,CC162-CC163+CC156+CC165-CC166-CC167+CC168,0)</f>
        <v>0</v>
      </c>
      <c r="CD171" s="9">
        <f>IF(78&lt;=核心参数输入!$B$9*4,CD162-CD163+CD156+CD165-CD166-CD167+CD168,0)</f>
        <v>0</v>
      </c>
      <c r="CE171" s="9">
        <f>IF(79&lt;=核心参数输入!$B$9*4,CE162-CE163+CE156+CE165-CE166-CE167+CE168,0)</f>
        <v>0</v>
      </c>
      <c r="CF171" s="9">
        <f>IF(80&lt;=核心参数输入!$B$9*4,CF162-CF163+CF156+CF165-CF166-CF167+CF168,0)</f>
        <v>0</v>
      </c>
      <c r="CG171" s="9">
        <f>IF(81&lt;=核心参数输入!$B$9*4,CG162-CG163+CG156+CG165-CG166-CG167+CG168,0)</f>
        <v>0</v>
      </c>
      <c r="CH171" s="9">
        <f>IF(82&lt;=核心参数输入!$B$9*4,CH162-CH163+CH156+CH165-CH166-CH167+CH168,0)</f>
        <v>0</v>
      </c>
      <c r="CI171" s="9">
        <f>IF(83&lt;=核心参数输入!$B$9*4,CI162-CI163+CI156+CI165-CI166-CI167+CI168,0)</f>
        <v>0</v>
      </c>
      <c r="CJ171" s="9">
        <f>IF(84&lt;=核心参数输入!$B$9*4,CJ162-CJ163+CJ156+CJ165-CJ166-CJ167+CJ168,0)</f>
        <v>0</v>
      </c>
      <c r="CK171" s="9">
        <f>IF(85&lt;=核心参数输入!$B$9*4,CK162-CK163+CK156+CK165-CK166-CK167+CK168,0)</f>
        <v>0</v>
      </c>
      <c r="CL171" s="9">
        <f>IF(86&lt;=核心参数输入!$B$9*4,CL162-CL163+CL156+CL165-CL166-CL167+CL168,0)</f>
        <v>0</v>
      </c>
      <c r="CM171" s="9">
        <f>IF(87&lt;=核心参数输入!$B$9*4,CM162-CM163+CM156+CM165-CM166-CM167+CM168,0)</f>
        <v>0</v>
      </c>
      <c r="CN171" s="9">
        <f>IF(88&lt;=核心参数输入!$B$9*4,CN162-CN163+CN156+CN165-CN166-CN167+CN168,0)</f>
        <v>0</v>
      </c>
      <c r="CO171" s="9">
        <f>IF(89&lt;=核心参数输入!$B$9*4,CO162-CO163+CO156+CO165-CO166-CO167+CO168,0)</f>
        <v>0</v>
      </c>
      <c r="CP171" s="9">
        <f>IF(90&lt;=核心参数输入!$B$9*4,CP162-CP163+CP156+CP165-CP166-CP167+CP168,0)</f>
        <v>0</v>
      </c>
      <c r="CQ171" s="9">
        <f>IF(91&lt;=核心参数输入!$B$9*4,CQ162-CQ163+CQ156+CQ165-CQ166-CQ167+CQ168,0)</f>
        <v>0</v>
      </c>
      <c r="CR171" s="9">
        <f>IF(92&lt;=核心参数输入!$B$9*4,CR162-CR163+CR156+CR165-CR166-CR167+CR168,0)</f>
        <v>0</v>
      </c>
      <c r="CS171" s="9">
        <f>IF(93&lt;=核心参数输入!$B$9*4,CS162-CS163+CS156+CS165-CS166-CS167+CS168,0)</f>
        <v>0</v>
      </c>
      <c r="CT171" s="9">
        <f>IF(94&lt;=核心参数输入!$B$9*4,CT162-CT163+CT156+CT165-CT166-CT167+CT168,0)</f>
        <v>0</v>
      </c>
      <c r="CU171" s="9">
        <f>IF(95&lt;=核心参数输入!$B$9*4,CU162-CU163+CU156+CU165-CU166-CU167+CU168,0)</f>
        <v>0</v>
      </c>
      <c r="CV171" s="9">
        <f>IF(96&lt;=核心参数输入!$B$9*4,CV162-CV163+CV156+CV165-CV166-CV167+CV168,0)</f>
        <v>0</v>
      </c>
      <c r="CW171" s="9">
        <f>IF(97&lt;=核心参数输入!$B$9*4,CW162-CW163+CW156+CW165-CW166-CW167+CW168,0)</f>
        <v>0</v>
      </c>
      <c r="CX171" s="9">
        <f>IF(98&lt;=核心参数输入!$B$9*4,CX162-CX163+CX156+CX165-CX166-CX167+CX168,0)</f>
        <v>0</v>
      </c>
      <c r="CY171" s="9">
        <f>IF(99&lt;=核心参数输入!$B$9*4,CY162-CY163+CY156+CY165-CY166-CY167+CY168,0)</f>
        <v>0</v>
      </c>
      <c r="CZ171" s="9">
        <f>IF(100&lt;=核心参数输入!$B$9*4,CZ162-CZ163+CZ156+CZ165-CZ166-CZ167+CZ168,0)</f>
        <v>0</v>
      </c>
      <c r="DA171" s="9">
        <f>IF(101&lt;=核心参数输入!$B$9*4,DA162-DA163+DA156+DA165-DA166-DA167+DA168,0)</f>
        <v>0</v>
      </c>
      <c r="DB171" s="9">
        <f>IF(102&lt;=核心参数输入!$B$9*4,DB162-DB163+DB156+DB165-DB166-DB167+DB168,0)</f>
        <v>0</v>
      </c>
      <c r="DC171" s="9">
        <f>IF(103&lt;=核心参数输入!$B$9*4,DC162-DC163+DC156+DC165-DC166-DC167+DC168,0)</f>
        <v>0</v>
      </c>
      <c r="DD171" s="9">
        <f>IF(104&lt;=核心参数输入!$B$9*4,DD162-DD163+DD156+DD165-DD166-DD167+DD168,0)</f>
        <v>0</v>
      </c>
      <c r="DE171" s="9">
        <f>IF(105&lt;=核心参数输入!$B$9*4,DE162-DE163+DE156+DE165-DE166-DE167+DE168,0)</f>
        <v>0</v>
      </c>
      <c r="DF171" s="9">
        <f>IF(106&lt;=核心参数输入!$B$9*4,DF162-DF163+DF156+DF165-DF166-DF167+DF168,0)</f>
        <v>0</v>
      </c>
      <c r="DG171" s="9">
        <f>IF(107&lt;=核心参数输入!$B$9*4,DG162-DG163+DG156+DG165-DG166-DG167+DG168,0)</f>
        <v>0</v>
      </c>
      <c r="DH171" s="9">
        <f>IF(108&lt;=核心参数输入!$B$9*4,DH162-DH163+DH156+DH165-DH166-DH167+DH168,0)</f>
        <v>0</v>
      </c>
      <c r="DI171" s="9">
        <f>IF(109&lt;=核心参数输入!$B$9*4,DI162-DI163+DI156+DI165-DI166-DI167+DI168,0)</f>
        <v>0</v>
      </c>
      <c r="DJ171" s="9">
        <f>IF(110&lt;=核心参数输入!$B$9*4,DJ162-DJ163+DJ156+DJ165-DJ166-DJ167+DJ168,0)</f>
        <v>0</v>
      </c>
      <c r="DK171" s="9">
        <f>IF(111&lt;=核心参数输入!$B$9*4,DK162-DK163+DK156+DK165-DK166-DK167+DK168,0)</f>
        <v>0</v>
      </c>
      <c r="DL171" s="9">
        <f>IF(112&lt;=核心参数输入!$B$9*4,DL162-DL163+DL156+DL165-DL166-DL167+DL168,0)</f>
        <v>0</v>
      </c>
      <c r="DM171" s="9">
        <f>IF(113&lt;=核心参数输入!$B$9*4,DM162-DM163+DM156+DM165-DM166-DM167+DM168,0)</f>
        <v>0</v>
      </c>
      <c r="DN171" s="9">
        <f>IF(114&lt;=核心参数输入!$B$9*4,DN162-DN163+DN156+DN165-DN166-DN167+DN168,0)</f>
        <v>0</v>
      </c>
      <c r="DO171" s="9">
        <f>IF(115&lt;=核心参数输入!$B$9*4,DO162-DO163+DO156+DO165-DO166-DO167+DO168,0)</f>
        <v>0</v>
      </c>
      <c r="DP171" s="9">
        <f>IF(116&lt;=核心参数输入!$B$9*4,DP162-DP163+DP156+DP165-DP166-DP167+DP168,0)</f>
        <v>0</v>
      </c>
      <c r="DQ171" s="9">
        <f>IF(117&lt;=核心参数输入!$B$9*4,DQ162-DQ163+DQ156+DQ165-DQ166-DQ167+DQ168,0)</f>
        <v>0</v>
      </c>
      <c r="DR171" s="9">
        <f>IF(118&lt;=核心参数输入!$B$9*4,DR162-DR163+DR156+DR165-DR166-DR167+DR168,0)</f>
        <v>0</v>
      </c>
      <c r="DS171" s="9">
        <f>IF(119&lt;=核心参数输入!$B$9*4,DS162-DS163+DS156+DS165-DS166-DS167+DS168,0)</f>
        <v>0</v>
      </c>
      <c r="DT171" s="9">
        <f>IF(120&lt;=核心参数输入!$B$9*4,DT162-DT163+DT156+DT165-DT166-DT167+DT168,0)</f>
        <v>0</v>
      </c>
    </row>
    <row r="172" spans="1:124" ht="21" customHeight="1">
      <c r="A172" s="8" t="s">
        <v>554</v>
      </c>
      <c r="B172" s="8" t="s">
        <v>39</v>
      </c>
      <c r="C172" s="8"/>
      <c r="D172" s="9">
        <f>IF(0&lt;=核心参数输入!$B$9*4,IF(ABS(D155)&lt;=0.000001,0,SIGN(D155)),0)</f>
        <v>-1</v>
      </c>
      <c r="E172" s="9">
        <f>IF(1&lt;=核心参数输入!$B$9*4,IF(ABS(E155)&lt;=0.000001,0,SIGN(E155)),0)</f>
        <v>-1</v>
      </c>
      <c r="F172" s="9">
        <f>IF(2&lt;=核心参数输入!$B$9*4,IF(ABS(F155)&lt;=0.000001,0,SIGN(F155)),0)</f>
        <v>-1</v>
      </c>
      <c r="G172" s="9">
        <f>IF(3&lt;=核心参数输入!$B$9*4,IF(ABS(G155)&lt;=0.000001,0,SIGN(G155)),0)</f>
        <v>-1</v>
      </c>
      <c r="H172" s="9">
        <f>IF(4&lt;=核心参数输入!$B$9*4,IF(ABS(H155)&lt;=0.000001,0,SIGN(H155)),0)</f>
        <v>-1</v>
      </c>
      <c r="I172" s="9">
        <f>IF(5&lt;=核心参数输入!$B$9*4,IF(ABS(I155)&lt;=0.000001,0,SIGN(I155)),0)</f>
        <v>-1</v>
      </c>
      <c r="J172" s="9">
        <f>IF(6&lt;=核心参数输入!$B$9*4,IF(ABS(J155)&lt;=0.000001,0,SIGN(J155)),0)</f>
        <v>-1</v>
      </c>
      <c r="K172" s="9">
        <f>IF(7&lt;=核心参数输入!$B$9*4,IF(ABS(K155)&lt;=0.000001,0,SIGN(K155)),0)</f>
        <v>-1</v>
      </c>
      <c r="L172" s="9">
        <f>IF(8&lt;=核心参数输入!$B$9*4,IF(ABS(L155)&lt;=0.000001,0,SIGN(L155)),0)</f>
        <v>-1</v>
      </c>
      <c r="M172" s="9">
        <f>IF(9&lt;=核心参数输入!$B$9*4,IF(ABS(M155)&lt;=0.000001,0,SIGN(M155)),0)</f>
        <v>-1</v>
      </c>
      <c r="N172" s="9">
        <f>IF(10&lt;=核心参数输入!$B$9*4,IF(ABS(N155)&lt;=0.000001,0,SIGN(N155)),0)</f>
        <v>-1</v>
      </c>
      <c r="O172" s="9">
        <f>IF(11&lt;=核心参数输入!$B$9*4,IF(ABS(O155)&lt;=0.000001,0,SIGN(O155)),0)</f>
        <v>-1</v>
      </c>
      <c r="P172" s="9">
        <f>IF(12&lt;=核心参数输入!$B$9*4,IF(ABS(P155)&lt;=0.000001,0,SIGN(P155)),0)</f>
        <v>-1</v>
      </c>
      <c r="Q172" s="9">
        <f>IF(13&lt;=核心参数输入!$B$9*4,IF(ABS(Q155)&lt;=0.000001,0,SIGN(Q155)),0)</f>
        <v>1</v>
      </c>
      <c r="R172" s="9">
        <f>IF(14&lt;=核心参数输入!$B$9*4,IF(ABS(R155)&lt;=0.000001,0,SIGN(R155)),0)</f>
        <v>1</v>
      </c>
      <c r="S172" s="9">
        <f>IF(15&lt;=核心参数输入!$B$9*4,IF(ABS(S155)&lt;=0.000001,0,SIGN(S155)),0)</f>
        <v>1</v>
      </c>
      <c r="T172" s="9">
        <f>IF(16&lt;=核心参数输入!$B$9*4,IF(ABS(T155)&lt;=0.000001,0,SIGN(T155)),0)</f>
        <v>1</v>
      </c>
      <c r="U172" s="9">
        <f>IF(17&lt;=核心参数输入!$B$9*4,IF(ABS(U155)&lt;=0.000001,0,SIGN(U155)),0)</f>
        <v>1</v>
      </c>
      <c r="V172" s="9">
        <f>IF(18&lt;=核心参数输入!$B$9*4,IF(ABS(V155)&lt;=0.000001,0,SIGN(V155)),0)</f>
        <v>1</v>
      </c>
      <c r="W172" s="9">
        <f>IF(19&lt;=核心参数输入!$B$9*4,IF(ABS(W155)&lt;=0.000001,0,SIGN(W155)),0)</f>
        <v>1</v>
      </c>
      <c r="X172" s="9">
        <f>IF(20&lt;=核心参数输入!$B$9*4,IF(ABS(X155)&lt;=0.000001,0,SIGN(X155)),0)</f>
        <v>1</v>
      </c>
      <c r="Y172" s="9">
        <f>IF(21&lt;=核心参数输入!$B$9*4,IF(ABS(Y155)&lt;=0.000001,0,SIGN(Y155)),0)</f>
        <v>1</v>
      </c>
      <c r="Z172" s="9">
        <f>IF(22&lt;=核心参数输入!$B$9*4,IF(ABS(Z155)&lt;=0.000001,0,SIGN(Z155)),0)</f>
        <v>1</v>
      </c>
      <c r="AA172" s="9">
        <f>IF(23&lt;=核心参数输入!$B$9*4,IF(ABS(AA155)&lt;=0.000001,0,SIGN(AA155)),0)</f>
        <v>1</v>
      </c>
      <c r="AB172" s="9">
        <f>IF(24&lt;=核心参数输入!$B$9*4,IF(ABS(AB155)&lt;=0.000001,0,SIGN(AB155)),0)</f>
        <v>1</v>
      </c>
      <c r="AC172" s="9">
        <f>IF(25&lt;=核心参数输入!$B$9*4,IF(ABS(AC155)&lt;=0.000001,0,SIGN(AC155)),0)</f>
        <v>1</v>
      </c>
      <c r="AD172" s="9">
        <f>IF(26&lt;=核心参数输入!$B$9*4,IF(ABS(AD155)&lt;=0.000001,0,SIGN(AD155)),0)</f>
        <v>1</v>
      </c>
      <c r="AE172" s="9">
        <f>IF(27&lt;=核心参数输入!$B$9*4,IF(ABS(AE155)&lt;=0.000001,0,SIGN(AE155)),0)</f>
        <v>1</v>
      </c>
      <c r="AF172" s="9">
        <f>IF(28&lt;=核心参数输入!$B$9*4,IF(ABS(AF155)&lt;=0.000001,0,SIGN(AF155)),0)</f>
        <v>1</v>
      </c>
      <c r="AG172" s="9">
        <f>IF(29&lt;=核心参数输入!$B$9*4,IF(ABS(AG155)&lt;=0.000001,0,SIGN(AG155)),0)</f>
        <v>1</v>
      </c>
      <c r="AH172" s="9">
        <f>IF(30&lt;=核心参数输入!$B$9*4,IF(ABS(AH155)&lt;=0.000001,0,SIGN(AH155)),0)</f>
        <v>1</v>
      </c>
      <c r="AI172" s="9">
        <f>IF(31&lt;=核心参数输入!$B$9*4,IF(ABS(AI155)&lt;=0.000001,0,SIGN(AI155)),0)</f>
        <v>1</v>
      </c>
      <c r="AJ172" s="9">
        <f>IF(32&lt;=核心参数输入!$B$9*4,IF(ABS(AJ155)&lt;=0.000001,0,SIGN(AJ155)),0)</f>
        <v>1</v>
      </c>
      <c r="AK172" s="9">
        <f>IF(33&lt;=核心参数输入!$B$9*4,IF(ABS(AK155)&lt;=0.000001,0,SIGN(AK155)),0)</f>
        <v>1</v>
      </c>
      <c r="AL172" s="9">
        <f>IF(34&lt;=核心参数输入!$B$9*4,IF(ABS(AL155)&lt;=0.000001,0,SIGN(AL155)),0)</f>
        <v>1</v>
      </c>
      <c r="AM172" s="9">
        <f>IF(35&lt;=核心参数输入!$B$9*4,IF(ABS(AM155)&lt;=0.000001,0,SIGN(AM155)),0)</f>
        <v>1</v>
      </c>
      <c r="AN172" s="9">
        <f>IF(36&lt;=核心参数输入!$B$9*4,IF(ABS(AN155)&lt;=0.000001,0,SIGN(AN155)),0)</f>
        <v>1</v>
      </c>
      <c r="AO172" s="9">
        <f>IF(37&lt;=核心参数输入!$B$9*4,IF(ABS(AO155)&lt;=0.000001,0,SIGN(AO155)),0)</f>
        <v>1</v>
      </c>
      <c r="AP172" s="9">
        <f>IF(38&lt;=核心参数输入!$B$9*4,IF(ABS(AP155)&lt;=0.000001,0,SIGN(AP155)),0)</f>
        <v>1</v>
      </c>
      <c r="AQ172" s="9">
        <f>IF(39&lt;=核心参数输入!$B$9*4,IF(ABS(AQ155)&lt;=0.000001,0,SIGN(AQ155)),0)</f>
        <v>1</v>
      </c>
      <c r="AR172" s="9">
        <f>IF(40&lt;=核心参数输入!$B$9*4,IF(ABS(AR155)&lt;=0.000001,0,SIGN(AR155)),0)</f>
        <v>1</v>
      </c>
      <c r="AS172" s="9">
        <f>IF(41&lt;=核心参数输入!$B$9*4,IF(ABS(AS155)&lt;=0.000001,0,SIGN(AS155)),0)</f>
        <v>1</v>
      </c>
      <c r="AT172" s="9">
        <f>IF(42&lt;=核心参数输入!$B$9*4,IF(ABS(AT155)&lt;=0.000001,0,SIGN(AT155)),0)</f>
        <v>1</v>
      </c>
      <c r="AU172" s="9">
        <f>IF(43&lt;=核心参数输入!$B$9*4,IF(ABS(AU155)&lt;=0.000001,0,SIGN(AU155)),0)</f>
        <v>1</v>
      </c>
      <c r="AV172" s="9">
        <f>IF(44&lt;=核心参数输入!$B$9*4,IF(ABS(AV155)&lt;=0.000001,0,SIGN(AV155)),0)</f>
        <v>1</v>
      </c>
      <c r="AW172" s="9">
        <f>IF(45&lt;=核心参数输入!$B$9*4,IF(ABS(AW155)&lt;=0.000001,0,SIGN(AW155)),0)</f>
        <v>1</v>
      </c>
      <c r="AX172" s="9">
        <f>IF(46&lt;=核心参数输入!$B$9*4,IF(ABS(AX155)&lt;=0.000001,0,SIGN(AX155)),0)</f>
        <v>1</v>
      </c>
      <c r="AY172" s="9">
        <f>IF(47&lt;=核心参数输入!$B$9*4,IF(ABS(AY155)&lt;=0.000001,0,SIGN(AY155)),0)</f>
        <v>1</v>
      </c>
      <c r="AZ172" s="9">
        <f>IF(48&lt;=核心参数输入!$B$9*4,IF(ABS(AZ155)&lt;=0.000001,0,SIGN(AZ155)),0)</f>
        <v>1</v>
      </c>
      <c r="BA172" s="9">
        <f>IF(49&lt;=核心参数输入!$B$9*4,IF(ABS(BA155)&lt;=0.000001,0,SIGN(BA155)),0)</f>
        <v>1</v>
      </c>
      <c r="BB172" s="9">
        <f>IF(50&lt;=核心参数输入!$B$9*4,IF(ABS(BB155)&lt;=0.000001,0,SIGN(BB155)),0)</f>
        <v>1</v>
      </c>
      <c r="BC172" s="9">
        <f>IF(51&lt;=核心参数输入!$B$9*4,IF(ABS(BC155)&lt;=0.000001,0,SIGN(BC155)),0)</f>
        <v>1</v>
      </c>
      <c r="BD172" s="9">
        <f>IF(52&lt;=核心参数输入!$B$9*4,IF(ABS(BD155)&lt;=0.000001,0,SIGN(BD155)),0)</f>
        <v>1</v>
      </c>
      <c r="BE172" s="9">
        <f>IF(53&lt;=核心参数输入!$B$9*4,IF(ABS(BE155)&lt;=0.000001,0,SIGN(BE155)),0)</f>
        <v>1</v>
      </c>
      <c r="BF172" s="9">
        <f>IF(54&lt;=核心参数输入!$B$9*4,IF(ABS(BF155)&lt;=0.000001,0,SIGN(BF155)),0)</f>
        <v>1</v>
      </c>
      <c r="BG172" s="9">
        <f>IF(55&lt;=核心参数输入!$B$9*4,IF(ABS(BG155)&lt;=0.000001,0,SIGN(BG155)),0)</f>
        <v>1</v>
      </c>
      <c r="BH172" s="9">
        <f>IF(56&lt;=核心参数输入!$B$9*4,IF(ABS(BH155)&lt;=0.000001,0,SIGN(BH155)),0)</f>
        <v>1</v>
      </c>
      <c r="BI172" s="9">
        <f>IF(57&lt;=核心参数输入!$B$9*4,IF(ABS(BI155)&lt;=0.000001,0,SIGN(BI155)),0)</f>
        <v>1</v>
      </c>
      <c r="BJ172" s="9">
        <f>IF(58&lt;=核心参数输入!$B$9*4,IF(ABS(BJ155)&lt;=0.000001,0,SIGN(BJ155)),0)</f>
        <v>1</v>
      </c>
      <c r="BK172" s="9">
        <f>IF(59&lt;=核心参数输入!$B$9*4,IF(ABS(BK155)&lt;=0.000001,0,SIGN(BK155)),0)</f>
        <v>1</v>
      </c>
      <c r="BL172" s="9">
        <f>IF(60&lt;=核心参数输入!$B$9*4,IF(ABS(BL155)&lt;=0.000001,0,SIGN(BL155)),0)</f>
        <v>1</v>
      </c>
      <c r="BM172" s="9">
        <f>IF(61&lt;=核心参数输入!$B$9*4,IF(ABS(BM155)&lt;=0.000001,0,SIGN(BM155)),0)</f>
        <v>1</v>
      </c>
      <c r="BN172" s="9">
        <f>IF(62&lt;=核心参数输入!$B$9*4,IF(ABS(BN155)&lt;=0.000001,0,SIGN(BN155)),0)</f>
        <v>1</v>
      </c>
      <c r="BO172" s="9">
        <f>IF(63&lt;=核心参数输入!$B$9*4,IF(ABS(BO155)&lt;=0.000001,0,SIGN(BO155)),0)</f>
        <v>1</v>
      </c>
      <c r="BP172" s="9">
        <f>IF(64&lt;=核心参数输入!$B$9*4,IF(ABS(BP155)&lt;=0.000001,0,SIGN(BP155)),0)</f>
        <v>1</v>
      </c>
      <c r="BQ172" s="9">
        <f>IF(65&lt;=核心参数输入!$B$9*4,IF(ABS(BQ155)&lt;=0.000001,0,SIGN(BQ155)),0)</f>
        <v>1</v>
      </c>
      <c r="BR172" s="9">
        <f>IF(66&lt;=核心参数输入!$B$9*4,IF(ABS(BR155)&lt;=0.000001,0,SIGN(BR155)),0)</f>
        <v>1</v>
      </c>
      <c r="BS172" s="9">
        <f>IF(67&lt;=核心参数输入!$B$9*4,IF(ABS(BS155)&lt;=0.000001,0,SIGN(BS155)),0)</f>
        <v>1</v>
      </c>
      <c r="BT172" s="9">
        <f>IF(68&lt;=核心参数输入!$B$9*4,IF(ABS(BT155)&lt;=0.000001,0,SIGN(BT155)),0)</f>
        <v>1</v>
      </c>
      <c r="BU172" s="9">
        <f>IF(69&lt;=核心参数输入!$B$9*4,IF(ABS(BU155)&lt;=0.000001,0,SIGN(BU155)),0)</f>
        <v>1</v>
      </c>
      <c r="BV172" s="9">
        <f>IF(70&lt;=核心参数输入!$B$9*4,IF(ABS(BV155)&lt;=0.000001,0,SIGN(BV155)),0)</f>
        <v>1</v>
      </c>
      <c r="BW172" s="9">
        <f>IF(71&lt;=核心参数输入!$B$9*4,IF(ABS(BW155)&lt;=0.000001,0,SIGN(BW155)),0)</f>
        <v>1</v>
      </c>
      <c r="BX172" s="9">
        <f>IF(72&lt;=核心参数输入!$B$9*4,IF(ABS(BX155)&lt;=0.000001,0,SIGN(BX155)),0)</f>
        <v>1</v>
      </c>
      <c r="BY172" s="9">
        <f>IF(73&lt;=核心参数输入!$B$9*4,IF(ABS(BY155)&lt;=0.000001,0,SIGN(BY155)),0)</f>
        <v>1</v>
      </c>
      <c r="BZ172" s="9">
        <f>IF(74&lt;=核心参数输入!$B$9*4,IF(ABS(BZ155)&lt;=0.000001,0,SIGN(BZ155)),0)</f>
        <v>1</v>
      </c>
      <c r="CA172" s="9">
        <f>IF(75&lt;=核心参数输入!$B$9*4,IF(ABS(CA155)&lt;=0.000001,0,SIGN(CA155)),0)</f>
        <v>1</v>
      </c>
      <c r="CB172" s="9">
        <f>IF(76&lt;=核心参数输入!$B$9*4,IF(ABS(CB155)&lt;=0.000001,0,SIGN(CB155)),0)</f>
        <v>1</v>
      </c>
      <c r="CC172" s="9">
        <f>IF(77&lt;=核心参数输入!$B$9*4,IF(ABS(CC155)&lt;=0.000001,0,SIGN(CC155)),0)</f>
        <v>1</v>
      </c>
      <c r="CD172" s="9">
        <f>IF(78&lt;=核心参数输入!$B$9*4,IF(ABS(CD155)&lt;=0.000001,0,SIGN(CD155)),0)</f>
        <v>1</v>
      </c>
      <c r="CE172" s="9">
        <f>IF(79&lt;=核心参数输入!$B$9*4,IF(ABS(CE155)&lt;=0.000001,0,SIGN(CE155)),0)</f>
        <v>1</v>
      </c>
      <c r="CF172" s="9">
        <f>IF(80&lt;=核心参数输入!$B$9*4,IF(ABS(CF155)&lt;=0.000001,0,SIGN(CF155)),0)</f>
        <v>1</v>
      </c>
      <c r="CG172" s="9">
        <f>IF(81&lt;=核心参数输入!$B$9*4,IF(ABS(CG155)&lt;=0.000001,0,SIGN(CG155)),0)</f>
        <v>0</v>
      </c>
      <c r="CH172" s="9">
        <f>IF(82&lt;=核心参数输入!$B$9*4,IF(ABS(CH155)&lt;=0.000001,0,SIGN(CH155)),0)</f>
        <v>0</v>
      </c>
      <c r="CI172" s="9">
        <f>IF(83&lt;=核心参数输入!$B$9*4,IF(ABS(CI155)&lt;=0.000001,0,SIGN(CI155)),0)</f>
        <v>0</v>
      </c>
      <c r="CJ172" s="9">
        <f>IF(84&lt;=核心参数输入!$B$9*4,IF(ABS(CJ155)&lt;=0.000001,0,SIGN(CJ155)),0)</f>
        <v>0</v>
      </c>
      <c r="CK172" s="9">
        <f>IF(85&lt;=核心参数输入!$B$9*4,IF(ABS(CK155)&lt;=0.000001,0,SIGN(CK155)),0)</f>
        <v>0</v>
      </c>
      <c r="CL172" s="9">
        <f>IF(86&lt;=核心参数输入!$B$9*4,IF(ABS(CL155)&lt;=0.000001,0,SIGN(CL155)),0)</f>
        <v>0</v>
      </c>
      <c r="CM172" s="9">
        <f>IF(87&lt;=核心参数输入!$B$9*4,IF(ABS(CM155)&lt;=0.000001,0,SIGN(CM155)),0)</f>
        <v>0</v>
      </c>
      <c r="CN172" s="9">
        <f>IF(88&lt;=核心参数输入!$B$9*4,IF(ABS(CN155)&lt;=0.000001,0,SIGN(CN155)),0)</f>
        <v>0</v>
      </c>
      <c r="CO172" s="9">
        <f>IF(89&lt;=核心参数输入!$B$9*4,IF(ABS(CO155)&lt;=0.000001,0,SIGN(CO155)),0)</f>
        <v>0</v>
      </c>
      <c r="CP172" s="9">
        <f>IF(90&lt;=核心参数输入!$B$9*4,IF(ABS(CP155)&lt;=0.000001,0,SIGN(CP155)),0)</f>
        <v>0</v>
      </c>
      <c r="CQ172" s="9">
        <f>IF(91&lt;=核心参数输入!$B$9*4,IF(ABS(CQ155)&lt;=0.000001,0,SIGN(CQ155)),0)</f>
        <v>0</v>
      </c>
      <c r="CR172" s="9">
        <f>IF(92&lt;=核心参数输入!$B$9*4,IF(ABS(CR155)&lt;=0.000001,0,SIGN(CR155)),0)</f>
        <v>0</v>
      </c>
      <c r="CS172" s="9">
        <f>IF(93&lt;=核心参数输入!$B$9*4,IF(ABS(CS155)&lt;=0.000001,0,SIGN(CS155)),0)</f>
        <v>0</v>
      </c>
      <c r="CT172" s="9">
        <f>IF(94&lt;=核心参数输入!$B$9*4,IF(ABS(CT155)&lt;=0.000001,0,SIGN(CT155)),0)</f>
        <v>0</v>
      </c>
      <c r="CU172" s="9">
        <f>IF(95&lt;=核心参数输入!$B$9*4,IF(ABS(CU155)&lt;=0.000001,0,SIGN(CU155)),0)</f>
        <v>0</v>
      </c>
      <c r="CV172" s="9">
        <f>IF(96&lt;=核心参数输入!$B$9*4,IF(ABS(CV155)&lt;=0.000001,0,SIGN(CV155)),0)</f>
        <v>0</v>
      </c>
      <c r="CW172" s="9">
        <f>IF(97&lt;=核心参数输入!$B$9*4,IF(ABS(CW155)&lt;=0.000001,0,SIGN(CW155)),0)</f>
        <v>0</v>
      </c>
      <c r="CX172" s="9">
        <f>IF(98&lt;=核心参数输入!$B$9*4,IF(ABS(CX155)&lt;=0.000001,0,SIGN(CX155)),0)</f>
        <v>0</v>
      </c>
      <c r="CY172" s="9">
        <f>IF(99&lt;=核心参数输入!$B$9*4,IF(ABS(CY155)&lt;=0.000001,0,SIGN(CY155)),0)</f>
        <v>0</v>
      </c>
      <c r="CZ172" s="9">
        <f>IF(100&lt;=核心参数输入!$B$9*4,IF(ABS(CZ155)&lt;=0.000001,0,SIGN(CZ155)),0)</f>
        <v>0</v>
      </c>
      <c r="DA172" s="9">
        <f>IF(101&lt;=核心参数输入!$B$9*4,IF(ABS(DA155)&lt;=0.000001,0,SIGN(DA155)),0)</f>
        <v>0</v>
      </c>
      <c r="DB172" s="9">
        <f>IF(102&lt;=核心参数输入!$B$9*4,IF(ABS(DB155)&lt;=0.000001,0,SIGN(DB155)),0)</f>
        <v>0</v>
      </c>
      <c r="DC172" s="9">
        <f>IF(103&lt;=核心参数输入!$B$9*4,IF(ABS(DC155)&lt;=0.000001,0,SIGN(DC155)),0)</f>
        <v>0</v>
      </c>
      <c r="DD172" s="9">
        <f>IF(104&lt;=核心参数输入!$B$9*4,IF(ABS(DD155)&lt;=0.000001,0,SIGN(DD155)),0)</f>
        <v>0</v>
      </c>
      <c r="DE172" s="9">
        <f>IF(105&lt;=核心参数输入!$B$9*4,IF(ABS(DE155)&lt;=0.000001,0,SIGN(DE155)),0)</f>
        <v>0</v>
      </c>
      <c r="DF172" s="9">
        <f>IF(106&lt;=核心参数输入!$B$9*4,IF(ABS(DF155)&lt;=0.000001,0,SIGN(DF155)),0)</f>
        <v>0</v>
      </c>
      <c r="DG172" s="9">
        <f>IF(107&lt;=核心参数输入!$B$9*4,IF(ABS(DG155)&lt;=0.000001,0,SIGN(DG155)),0)</f>
        <v>0</v>
      </c>
      <c r="DH172" s="9">
        <f>IF(108&lt;=核心参数输入!$B$9*4,IF(ABS(DH155)&lt;=0.000001,0,SIGN(DH155)),0)</f>
        <v>0</v>
      </c>
      <c r="DI172" s="9">
        <f>IF(109&lt;=核心参数输入!$B$9*4,IF(ABS(DI155)&lt;=0.000001,0,SIGN(DI155)),0)</f>
        <v>0</v>
      </c>
      <c r="DJ172" s="9">
        <f>IF(110&lt;=核心参数输入!$B$9*4,IF(ABS(DJ155)&lt;=0.000001,0,SIGN(DJ155)),0)</f>
        <v>0</v>
      </c>
      <c r="DK172" s="9">
        <f>IF(111&lt;=核心参数输入!$B$9*4,IF(ABS(DK155)&lt;=0.000001,0,SIGN(DK155)),0)</f>
        <v>0</v>
      </c>
      <c r="DL172" s="9">
        <f>IF(112&lt;=核心参数输入!$B$9*4,IF(ABS(DL155)&lt;=0.000001,0,SIGN(DL155)),0)</f>
        <v>0</v>
      </c>
      <c r="DM172" s="9">
        <f>IF(113&lt;=核心参数输入!$B$9*4,IF(ABS(DM155)&lt;=0.000001,0,SIGN(DM155)),0)</f>
        <v>0</v>
      </c>
      <c r="DN172" s="9">
        <f>IF(114&lt;=核心参数输入!$B$9*4,IF(ABS(DN155)&lt;=0.000001,0,SIGN(DN155)),0)</f>
        <v>0</v>
      </c>
      <c r="DO172" s="9">
        <f>IF(115&lt;=核心参数输入!$B$9*4,IF(ABS(DO155)&lt;=0.000001,0,SIGN(DO155)),0)</f>
        <v>0</v>
      </c>
      <c r="DP172" s="9">
        <f>IF(116&lt;=核心参数输入!$B$9*4,IF(ABS(DP155)&lt;=0.000001,0,SIGN(DP155)),0)</f>
        <v>0</v>
      </c>
      <c r="DQ172" s="9">
        <f>IF(117&lt;=核心参数输入!$B$9*4,IF(ABS(DQ155)&lt;=0.000001,0,SIGN(DQ155)),0)</f>
        <v>0</v>
      </c>
      <c r="DR172" s="9">
        <f>IF(118&lt;=核心参数输入!$B$9*4,IF(ABS(DR155)&lt;=0.000001,0,SIGN(DR155)),0)</f>
        <v>0</v>
      </c>
      <c r="DS172" s="9">
        <f>IF(119&lt;=核心参数输入!$B$9*4,IF(ABS(DS155)&lt;=0.000001,0,SIGN(DS155)),0)</f>
        <v>0</v>
      </c>
      <c r="DT172" s="9">
        <f>IF(120&lt;=核心参数输入!$B$9*4,IF(ABS(DT155)&lt;=0.000001,0,SIGN(DT155)),0)</f>
        <v>0</v>
      </c>
    </row>
    <row r="173" spans="1:124" ht="21" customHeight="1">
      <c r="A173" s="8" t="s">
        <v>555</v>
      </c>
      <c r="B173" s="8" t="s">
        <v>39</v>
      </c>
      <c r="C173" s="8"/>
      <c r="D173" s="9">
        <f>IF(0&lt;=核心参数输入!$B$9*4,IF(D172=0,0,D172),0)</f>
        <v>-1</v>
      </c>
      <c r="E173" s="9">
        <f>IF(1&lt;=核心参数输入!$B$9*4,IF(E172=0,季度现金流!D173,E172),0)</f>
        <v>-1</v>
      </c>
      <c r="F173" s="9">
        <f>IF(2&lt;=核心参数输入!$B$9*4,IF(F172=0,季度现金流!E173,F172),0)</f>
        <v>-1</v>
      </c>
      <c r="G173" s="9">
        <f>IF(3&lt;=核心参数输入!$B$9*4,IF(G172=0,季度现金流!F173,G172),0)</f>
        <v>-1</v>
      </c>
      <c r="H173" s="9">
        <f>IF(4&lt;=核心参数输入!$B$9*4,IF(H172=0,季度现金流!G173,H172),0)</f>
        <v>-1</v>
      </c>
      <c r="I173" s="9">
        <f>IF(5&lt;=核心参数输入!$B$9*4,IF(I172=0,季度现金流!H173,I172),0)</f>
        <v>-1</v>
      </c>
      <c r="J173" s="9">
        <f>IF(6&lt;=核心参数输入!$B$9*4,IF(J172=0,季度现金流!I173,J172),0)</f>
        <v>-1</v>
      </c>
      <c r="K173" s="9">
        <f>IF(7&lt;=核心参数输入!$B$9*4,IF(K172=0,季度现金流!J173,K172),0)</f>
        <v>-1</v>
      </c>
      <c r="L173" s="9">
        <f>IF(8&lt;=核心参数输入!$B$9*4,IF(L172=0,季度现金流!K173,L172),0)</f>
        <v>-1</v>
      </c>
      <c r="M173" s="9">
        <f>IF(9&lt;=核心参数输入!$B$9*4,IF(M172=0,季度现金流!L173,M172),0)</f>
        <v>-1</v>
      </c>
      <c r="N173" s="9">
        <f>IF(10&lt;=核心参数输入!$B$9*4,IF(N172=0,季度现金流!M173,N172),0)</f>
        <v>-1</v>
      </c>
      <c r="O173" s="9">
        <f>IF(11&lt;=核心参数输入!$B$9*4,IF(O172=0,季度现金流!N173,O172),0)</f>
        <v>-1</v>
      </c>
      <c r="P173" s="9">
        <f>IF(12&lt;=核心参数输入!$B$9*4,IF(P172=0,季度现金流!O173,P172),0)</f>
        <v>-1</v>
      </c>
      <c r="Q173" s="9">
        <f>IF(13&lt;=核心参数输入!$B$9*4,IF(Q172=0,季度现金流!P173,Q172),0)</f>
        <v>1</v>
      </c>
      <c r="R173" s="9">
        <f>IF(14&lt;=核心参数输入!$B$9*4,IF(R172=0,季度现金流!Q173,R172),0)</f>
        <v>1</v>
      </c>
      <c r="S173" s="9">
        <f>IF(15&lt;=核心参数输入!$B$9*4,IF(S172=0,季度现金流!R173,S172),0)</f>
        <v>1</v>
      </c>
      <c r="T173" s="9">
        <f>IF(16&lt;=核心参数输入!$B$9*4,IF(T172=0,季度现金流!S173,T172),0)</f>
        <v>1</v>
      </c>
      <c r="U173" s="9">
        <f>IF(17&lt;=核心参数输入!$B$9*4,IF(U172=0,季度现金流!T173,U172),0)</f>
        <v>1</v>
      </c>
      <c r="V173" s="9">
        <f>IF(18&lt;=核心参数输入!$B$9*4,IF(V172=0,季度现金流!U173,V172),0)</f>
        <v>1</v>
      </c>
      <c r="W173" s="9">
        <f>IF(19&lt;=核心参数输入!$B$9*4,IF(W172=0,季度现金流!V173,W172),0)</f>
        <v>1</v>
      </c>
      <c r="X173" s="9">
        <f>IF(20&lt;=核心参数输入!$B$9*4,IF(X172=0,季度现金流!W173,X172),0)</f>
        <v>1</v>
      </c>
      <c r="Y173" s="9">
        <f>IF(21&lt;=核心参数输入!$B$9*4,IF(Y172=0,季度现金流!X173,Y172),0)</f>
        <v>1</v>
      </c>
      <c r="Z173" s="9">
        <f>IF(22&lt;=核心参数输入!$B$9*4,IF(Z172=0,季度现金流!Y173,Z172),0)</f>
        <v>1</v>
      </c>
      <c r="AA173" s="9">
        <f>IF(23&lt;=核心参数输入!$B$9*4,IF(AA172=0,季度现金流!Z173,AA172),0)</f>
        <v>1</v>
      </c>
      <c r="AB173" s="9">
        <f>IF(24&lt;=核心参数输入!$B$9*4,IF(AB172=0,季度现金流!AA173,AB172),0)</f>
        <v>1</v>
      </c>
      <c r="AC173" s="9">
        <f>IF(25&lt;=核心参数输入!$B$9*4,IF(AC172=0,季度现金流!AB173,AC172),0)</f>
        <v>1</v>
      </c>
      <c r="AD173" s="9">
        <f>IF(26&lt;=核心参数输入!$B$9*4,IF(AD172=0,季度现金流!AC173,AD172),0)</f>
        <v>1</v>
      </c>
      <c r="AE173" s="9">
        <f>IF(27&lt;=核心参数输入!$B$9*4,IF(AE172=0,季度现金流!AD173,AE172),0)</f>
        <v>1</v>
      </c>
      <c r="AF173" s="9">
        <f>IF(28&lt;=核心参数输入!$B$9*4,IF(AF172=0,季度现金流!AE173,AF172),0)</f>
        <v>1</v>
      </c>
      <c r="AG173" s="9">
        <f>IF(29&lt;=核心参数输入!$B$9*4,IF(AG172=0,季度现金流!AF173,AG172),0)</f>
        <v>1</v>
      </c>
      <c r="AH173" s="9">
        <f>IF(30&lt;=核心参数输入!$B$9*4,IF(AH172=0,季度现金流!AG173,AH172),0)</f>
        <v>1</v>
      </c>
      <c r="AI173" s="9">
        <f>IF(31&lt;=核心参数输入!$B$9*4,IF(AI172=0,季度现金流!AH173,AI172),0)</f>
        <v>1</v>
      </c>
      <c r="AJ173" s="9">
        <f>IF(32&lt;=核心参数输入!$B$9*4,IF(AJ172=0,季度现金流!AI173,AJ172),0)</f>
        <v>1</v>
      </c>
      <c r="AK173" s="9">
        <f>IF(33&lt;=核心参数输入!$B$9*4,IF(AK172=0,季度现金流!AJ173,AK172),0)</f>
        <v>1</v>
      </c>
      <c r="AL173" s="9">
        <f>IF(34&lt;=核心参数输入!$B$9*4,IF(AL172=0,季度现金流!AK173,AL172),0)</f>
        <v>1</v>
      </c>
      <c r="AM173" s="9">
        <f>IF(35&lt;=核心参数输入!$B$9*4,IF(AM172=0,季度现金流!AL173,AM172),0)</f>
        <v>1</v>
      </c>
      <c r="AN173" s="9">
        <f>IF(36&lt;=核心参数输入!$B$9*4,IF(AN172=0,季度现金流!AM173,AN172),0)</f>
        <v>1</v>
      </c>
      <c r="AO173" s="9">
        <f>IF(37&lt;=核心参数输入!$B$9*4,IF(AO172=0,季度现金流!AN173,AO172),0)</f>
        <v>1</v>
      </c>
      <c r="AP173" s="9">
        <f>IF(38&lt;=核心参数输入!$B$9*4,IF(AP172=0,季度现金流!AO173,AP172),0)</f>
        <v>1</v>
      </c>
      <c r="AQ173" s="9">
        <f>IF(39&lt;=核心参数输入!$B$9*4,IF(AQ172=0,季度现金流!AP173,AQ172),0)</f>
        <v>1</v>
      </c>
      <c r="AR173" s="9">
        <f>IF(40&lt;=核心参数输入!$B$9*4,IF(AR172=0,季度现金流!AQ173,AR172),0)</f>
        <v>1</v>
      </c>
      <c r="AS173" s="9">
        <f>IF(41&lt;=核心参数输入!$B$9*4,IF(AS172=0,季度现金流!AR173,AS172),0)</f>
        <v>1</v>
      </c>
      <c r="AT173" s="9">
        <f>IF(42&lt;=核心参数输入!$B$9*4,IF(AT172=0,季度现金流!AS173,AT172),0)</f>
        <v>1</v>
      </c>
      <c r="AU173" s="9">
        <f>IF(43&lt;=核心参数输入!$B$9*4,IF(AU172=0,季度现金流!AT173,AU172),0)</f>
        <v>1</v>
      </c>
      <c r="AV173" s="9">
        <f>IF(44&lt;=核心参数输入!$B$9*4,IF(AV172=0,季度现金流!AU173,AV172),0)</f>
        <v>1</v>
      </c>
      <c r="AW173" s="9">
        <f>IF(45&lt;=核心参数输入!$B$9*4,IF(AW172=0,季度现金流!AV173,AW172),0)</f>
        <v>1</v>
      </c>
      <c r="AX173" s="9">
        <f>IF(46&lt;=核心参数输入!$B$9*4,IF(AX172=0,季度现金流!AW173,AX172),0)</f>
        <v>1</v>
      </c>
      <c r="AY173" s="9">
        <f>IF(47&lt;=核心参数输入!$B$9*4,IF(AY172=0,季度现金流!AX173,AY172),0)</f>
        <v>1</v>
      </c>
      <c r="AZ173" s="9">
        <f>IF(48&lt;=核心参数输入!$B$9*4,IF(AZ172=0,季度现金流!AY173,AZ172),0)</f>
        <v>1</v>
      </c>
      <c r="BA173" s="9">
        <f>IF(49&lt;=核心参数输入!$B$9*4,IF(BA172=0,季度现金流!AZ173,BA172),0)</f>
        <v>1</v>
      </c>
      <c r="BB173" s="9">
        <f>IF(50&lt;=核心参数输入!$B$9*4,IF(BB172=0,季度现金流!BA173,BB172),0)</f>
        <v>1</v>
      </c>
      <c r="BC173" s="9">
        <f>IF(51&lt;=核心参数输入!$B$9*4,IF(BC172=0,季度现金流!BB173,BC172),0)</f>
        <v>1</v>
      </c>
      <c r="BD173" s="9">
        <f>IF(52&lt;=核心参数输入!$B$9*4,IF(BD172=0,季度现金流!BC173,BD172),0)</f>
        <v>1</v>
      </c>
      <c r="BE173" s="9">
        <f>IF(53&lt;=核心参数输入!$B$9*4,IF(BE172=0,季度现金流!BD173,BE172),0)</f>
        <v>1</v>
      </c>
      <c r="BF173" s="9">
        <f>IF(54&lt;=核心参数输入!$B$9*4,IF(BF172=0,季度现金流!BE173,BF172),0)</f>
        <v>1</v>
      </c>
      <c r="BG173" s="9">
        <f>IF(55&lt;=核心参数输入!$B$9*4,IF(BG172=0,季度现金流!BF173,BG172),0)</f>
        <v>1</v>
      </c>
      <c r="BH173" s="9">
        <f>IF(56&lt;=核心参数输入!$B$9*4,IF(BH172=0,季度现金流!BG173,BH172),0)</f>
        <v>1</v>
      </c>
      <c r="BI173" s="9">
        <f>IF(57&lt;=核心参数输入!$B$9*4,IF(BI172=0,季度现金流!BH173,BI172),0)</f>
        <v>1</v>
      </c>
      <c r="BJ173" s="9">
        <f>IF(58&lt;=核心参数输入!$B$9*4,IF(BJ172=0,季度现金流!BI173,BJ172),0)</f>
        <v>1</v>
      </c>
      <c r="BK173" s="9">
        <f>IF(59&lt;=核心参数输入!$B$9*4,IF(BK172=0,季度现金流!BJ173,BK172),0)</f>
        <v>1</v>
      </c>
      <c r="BL173" s="9">
        <f>IF(60&lt;=核心参数输入!$B$9*4,IF(BL172=0,季度现金流!BK173,BL172),0)</f>
        <v>1</v>
      </c>
      <c r="BM173" s="9">
        <f>IF(61&lt;=核心参数输入!$B$9*4,IF(BM172=0,季度现金流!BL173,BM172),0)</f>
        <v>1</v>
      </c>
      <c r="BN173" s="9">
        <f>IF(62&lt;=核心参数输入!$B$9*4,IF(BN172=0,季度现金流!BM173,BN172),0)</f>
        <v>1</v>
      </c>
      <c r="BO173" s="9">
        <f>IF(63&lt;=核心参数输入!$B$9*4,IF(BO172=0,季度现金流!BN173,BO172),0)</f>
        <v>1</v>
      </c>
      <c r="BP173" s="9">
        <f>IF(64&lt;=核心参数输入!$B$9*4,IF(BP172=0,季度现金流!BO173,BP172),0)</f>
        <v>1</v>
      </c>
      <c r="BQ173" s="9">
        <f>IF(65&lt;=核心参数输入!$B$9*4,IF(BQ172=0,季度现金流!BP173,BQ172),0)</f>
        <v>1</v>
      </c>
      <c r="BR173" s="9">
        <f>IF(66&lt;=核心参数输入!$B$9*4,IF(BR172=0,季度现金流!BQ173,BR172),0)</f>
        <v>1</v>
      </c>
      <c r="BS173" s="9">
        <f>IF(67&lt;=核心参数输入!$B$9*4,IF(BS172=0,季度现金流!BR173,BS172),0)</f>
        <v>1</v>
      </c>
      <c r="BT173" s="9">
        <f>IF(68&lt;=核心参数输入!$B$9*4,IF(BT172=0,季度现金流!BS173,BT172),0)</f>
        <v>1</v>
      </c>
      <c r="BU173" s="9">
        <f>IF(69&lt;=核心参数输入!$B$9*4,IF(BU172=0,季度现金流!BT173,BU172),0)</f>
        <v>1</v>
      </c>
      <c r="BV173" s="9">
        <f>IF(70&lt;=核心参数输入!$B$9*4,IF(BV172=0,季度现金流!BU173,BV172),0)</f>
        <v>1</v>
      </c>
      <c r="BW173" s="9">
        <f>IF(71&lt;=核心参数输入!$B$9*4,IF(BW172=0,季度现金流!BV173,BW172),0)</f>
        <v>1</v>
      </c>
      <c r="BX173" s="9">
        <f>IF(72&lt;=核心参数输入!$B$9*4,IF(BX172=0,季度现金流!BW173,BX172),0)</f>
        <v>1</v>
      </c>
      <c r="BY173" s="9">
        <f>IF(73&lt;=核心参数输入!$B$9*4,IF(BY172=0,季度现金流!BX173,BY172),0)</f>
        <v>1</v>
      </c>
      <c r="BZ173" s="9">
        <f>IF(74&lt;=核心参数输入!$B$9*4,IF(BZ172=0,季度现金流!BY173,BZ172),0)</f>
        <v>1</v>
      </c>
      <c r="CA173" s="9">
        <f>IF(75&lt;=核心参数输入!$B$9*4,IF(CA172=0,季度现金流!BZ173,CA172),0)</f>
        <v>1</v>
      </c>
      <c r="CB173" s="9">
        <f>IF(76&lt;=核心参数输入!$B$9*4,IF(CB172=0,季度现金流!CA173,CB172),0)</f>
        <v>1</v>
      </c>
      <c r="CC173" s="9">
        <f>IF(77&lt;=核心参数输入!$B$9*4,IF(CC172=0,季度现金流!CB173,CC172),0)</f>
        <v>1</v>
      </c>
      <c r="CD173" s="9">
        <f>IF(78&lt;=核心参数输入!$B$9*4,IF(CD172=0,季度现金流!CC173,CD172),0)</f>
        <v>1</v>
      </c>
      <c r="CE173" s="9">
        <f>IF(79&lt;=核心参数输入!$B$9*4,IF(CE172=0,季度现金流!CD173,CE172),0)</f>
        <v>1</v>
      </c>
      <c r="CF173" s="9">
        <f>IF(80&lt;=核心参数输入!$B$9*4,IF(CF172=0,季度现金流!CE173,CF172),0)</f>
        <v>1</v>
      </c>
      <c r="CG173" s="9">
        <f>IF(81&lt;=核心参数输入!$B$9*4,IF(CG172=0,季度现金流!CF173,CG172),0)</f>
        <v>0</v>
      </c>
      <c r="CH173" s="9">
        <f>IF(82&lt;=核心参数输入!$B$9*4,IF(CH172=0,季度现金流!CG173,CH172),0)</f>
        <v>0</v>
      </c>
      <c r="CI173" s="9">
        <f>IF(83&lt;=核心参数输入!$B$9*4,IF(CI172=0,季度现金流!CH173,CI172),0)</f>
        <v>0</v>
      </c>
      <c r="CJ173" s="9">
        <f>IF(84&lt;=核心参数输入!$B$9*4,IF(CJ172=0,季度现金流!CI173,CJ172),0)</f>
        <v>0</v>
      </c>
      <c r="CK173" s="9">
        <f>IF(85&lt;=核心参数输入!$B$9*4,IF(CK172=0,季度现金流!CJ173,CK172),0)</f>
        <v>0</v>
      </c>
      <c r="CL173" s="9">
        <f>IF(86&lt;=核心参数输入!$B$9*4,IF(CL172=0,季度现金流!CK173,CL172),0)</f>
        <v>0</v>
      </c>
      <c r="CM173" s="9">
        <f>IF(87&lt;=核心参数输入!$B$9*4,IF(CM172=0,季度现金流!CL173,CM172),0)</f>
        <v>0</v>
      </c>
      <c r="CN173" s="9">
        <f>IF(88&lt;=核心参数输入!$B$9*4,IF(CN172=0,季度现金流!CM173,CN172),0)</f>
        <v>0</v>
      </c>
      <c r="CO173" s="9">
        <f>IF(89&lt;=核心参数输入!$B$9*4,IF(CO172=0,季度现金流!CN173,CO172),0)</f>
        <v>0</v>
      </c>
      <c r="CP173" s="9">
        <f>IF(90&lt;=核心参数输入!$B$9*4,IF(CP172=0,季度现金流!CO173,CP172),0)</f>
        <v>0</v>
      </c>
      <c r="CQ173" s="9">
        <f>IF(91&lt;=核心参数输入!$B$9*4,IF(CQ172=0,季度现金流!CP173,CQ172),0)</f>
        <v>0</v>
      </c>
      <c r="CR173" s="9">
        <f>IF(92&lt;=核心参数输入!$B$9*4,IF(CR172=0,季度现金流!CQ173,CR172),0)</f>
        <v>0</v>
      </c>
      <c r="CS173" s="9">
        <f>IF(93&lt;=核心参数输入!$B$9*4,IF(CS172=0,季度现金流!CR173,CS172),0)</f>
        <v>0</v>
      </c>
      <c r="CT173" s="9">
        <f>IF(94&lt;=核心参数输入!$B$9*4,IF(CT172=0,季度现金流!CS173,CT172),0)</f>
        <v>0</v>
      </c>
      <c r="CU173" s="9">
        <f>IF(95&lt;=核心参数输入!$B$9*4,IF(CU172=0,季度现金流!CT173,CU172),0)</f>
        <v>0</v>
      </c>
      <c r="CV173" s="9">
        <f>IF(96&lt;=核心参数输入!$B$9*4,IF(CV172=0,季度现金流!CU173,CV172),0)</f>
        <v>0</v>
      </c>
      <c r="CW173" s="9">
        <f>IF(97&lt;=核心参数输入!$B$9*4,IF(CW172=0,季度现金流!CV173,CW172),0)</f>
        <v>0</v>
      </c>
      <c r="CX173" s="9">
        <f>IF(98&lt;=核心参数输入!$B$9*4,IF(CX172=0,季度现金流!CW173,CX172),0)</f>
        <v>0</v>
      </c>
      <c r="CY173" s="9">
        <f>IF(99&lt;=核心参数输入!$B$9*4,IF(CY172=0,季度现金流!CX173,CY172),0)</f>
        <v>0</v>
      </c>
      <c r="CZ173" s="9">
        <f>IF(100&lt;=核心参数输入!$B$9*4,IF(CZ172=0,季度现金流!CY173,CZ172),0)</f>
        <v>0</v>
      </c>
      <c r="DA173" s="9">
        <f>IF(101&lt;=核心参数输入!$B$9*4,IF(DA172=0,季度现金流!CZ173,DA172),0)</f>
        <v>0</v>
      </c>
      <c r="DB173" s="9">
        <f>IF(102&lt;=核心参数输入!$B$9*4,IF(DB172=0,季度现金流!DA173,DB172),0)</f>
        <v>0</v>
      </c>
      <c r="DC173" s="9">
        <f>IF(103&lt;=核心参数输入!$B$9*4,IF(DC172=0,季度现金流!DB173,DC172),0)</f>
        <v>0</v>
      </c>
      <c r="DD173" s="9">
        <f>IF(104&lt;=核心参数输入!$B$9*4,IF(DD172=0,季度现金流!DC173,DD172),0)</f>
        <v>0</v>
      </c>
      <c r="DE173" s="9">
        <f>IF(105&lt;=核心参数输入!$B$9*4,IF(DE172=0,季度现金流!DD173,DE172),0)</f>
        <v>0</v>
      </c>
      <c r="DF173" s="9">
        <f>IF(106&lt;=核心参数输入!$B$9*4,IF(DF172=0,季度现金流!DE173,DF172),0)</f>
        <v>0</v>
      </c>
      <c r="DG173" s="9">
        <f>IF(107&lt;=核心参数输入!$B$9*4,IF(DG172=0,季度现金流!DF173,DG172),0)</f>
        <v>0</v>
      </c>
      <c r="DH173" s="9">
        <f>IF(108&lt;=核心参数输入!$B$9*4,IF(DH172=0,季度现金流!DG173,DH172),0)</f>
        <v>0</v>
      </c>
      <c r="DI173" s="9">
        <f>IF(109&lt;=核心参数输入!$B$9*4,IF(DI172=0,季度现金流!DH173,DI172),0)</f>
        <v>0</v>
      </c>
      <c r="DJ173" s="9">
        <f>IF(110&lt;=核心参数输入!$B$9*4,IF(DJ172=0,季度现金流!DI173,DJ172),0)</f>
        <v>0</v>
      </c>
      <c r="DK173" s="9">
        <f>IF(111&lt;=核心参数输入!$B$9*4,IF(DK172=0,季度现金流!DJ173,DK172),0)</f>
        <v>0</v>
      </c>
      <c r="DL173" s="9">
        <f>IF(112&lt;=核心参数输入!$B$9*4,IF(DL172=0,季度现金流!DK173,DL172),0)</f>
        <v>0</v>
      </c>
      <c r="DM173" s="9">
        <f>IF(113&lt;=核心参数输入!$B$9*4,IF(DM172=0,季度现金流!DL173,DM172),0)</f>
        <v>0</v>
      </c>
      <c r="DN173" s="9">
        <f>IF(114&lt;=核心参数输入!$B$9*4,IF(DN172=0,季度现金流!DM173,DN172),0)</f>
        <v>0</v>
      </c>
      <c r="DO173" s="9">
        <f>IF(115&lt;=核心参数输入!$B$9*4,IF(DO172=0,季度现金流!DN173,DO172),0)</f>
        <v>0</v>
      </c>
      <c r="DP173" s="9">
        <f>IF(116&lt;=核心参数输入!$B$9*4,IF(DP172=0,季度现金流!DO173,DP172),0)</f>
        <v>0</v>
      </c>
      <c r="DQ173" s="9">
        <f>IF(117&lt;=核心参数输入!$B$9*4,IF(DQ172=0,季度现金流!DP173,DQ172),0)</f>
        <v>0</v>
      </c>
      <c r="DR173" s="9">
        <f>IF(118&lt;=核心参数输入!$B$9*4,IF(DR172=0,季度现金流!DQ173,DR172),0)</f>
        <v>0</v>
      </c>
      <c r="DS173" s="9">
        <f>IF(119&lt;=核心参数输入!$B$9*4,IF(DS172=0,季度现金流!DR173,DS172),0)</f>
        <v>0</v>
      </c>
      <c r="DT173" s="9">
        <f>IF(120&lt;=核心参数输入!$B$9*4,IF(DT172=0,季度现金流!DS173,DT172),0)</f>
        <v>0</v>
      </c>
    </row>
    <row r="174" spans="1:124" ht="21" customHeight="1">
      <c r="A174" s="8" t="s">
        <v>556</v>
      </c>
      <c r="B174" s="8" t="s">
        <v>39</v>
      </c>
      <c r="C174" s="8"/>
      <c r="D174" s="9">
        <f>IF(0&lt;=核心参数输入!$B$9*4,0,0)</f>
        <v>0</v>
      </c>
      <c r="E174" s="9">
        <f>IF(1&lt;=核心参数输入!$B$9*4,IF(AND(E172&lt;&gt;0,季度现金流!D173&lt;&gt;0,E172&lt;&gt;季度现金流!D173),1,0),0)</f>
        <v>0</v>
      </c>
      <c r="F174" s="9">
        <f>IF(2&lt;=核心参数输入!$B$9*4,IF(AND(F172&lt;&gt;0,季度现金流!E173&lt;&gt;0,F172&lt;&gt;季度现金流!E173),1,0),0)</f>
        <v>0</v>
      </c>
      <c r="G174" s="9">
        <f>IF(3&lt;=核心参数输入!$B$9*4,IF(AND(G172&lt;&gt;0,季度现金流!F173&lt;&gt;0,G172&lt;&gt;季度现金流!F173),1,0),0)</f>
        <v>0</v>
      </c>
      <c r="H174" s="9">
        <f>IF(4&lt;=核心参数输入!$B$9*4,IF(AND(H172&lt;&gt;0,季度现金流!G173&lt;&gt;0,H172&lt;&gt;季度现金流!G173),1,0),0)</f>
        <v>0</v>
      </c>
      <c r="I174" s="9">
        <f>IF(5&lt;=核心参数输入!$B$9*4,IF(AND(I172&lt;&gt;0,季度现金流!H173&lt;&gt;0,I172&lt;&gt;季度现金流!H173),1,0),0)</f>
        <v>0</v>
      </c>
      <c r="J174" s="9">
        <f>IF(6&lt;=核心参数输入!$B$9*4,IF(AND(J172&lt;&gt;0,季度现金流!I173&lt;&gt;0,J172&lt;&gt;季度现金流!I173),1,0),0)</f>
        <v>0</v>
      </c>
      <c r="K174" s="9">
        <f>IF(7&lt;=核心参数输入!$B$9*4,IF(AND(K172&lt;&gt;0,季度现金流!J173&lt;&gt;0,K172&lt;&gt;季度现金流!J173),1,0),0)</f>
        <v>0</v>
      </c>
      <c r="L174" s="9">
        <f>IF(8&lt;=核心参数输入!$B$9*4,IF(AND(L172&lt;&gt;0,季度现金流!K173&lt;&gt;0,L172&lt;&gt;季度现金流!K173),1,0),0)</f>
        <v>0</v>
      </c>
      <c r="M174" s="9">
        <f>IF(9&lt;=核心参数输入!$B$9*4,IF(AND(M172&lt;&gt;0,季度现金流!L173&lt;&gt;0,M172&lt;&gt;季度现金流!L173),1,0),0)</f>
        <v>0</v>
      </c>
      <c r="N174" s="9">
        <f>IF(10&lt;=核心参数输入!$B$9*4,IF(AND(N172&lt;&gt;0,季度现金流!M173&lt;&gt;0,N172&lt;&gt;季度现金流!M173),1,0),0)</f>
        <v>0</v>
      </c>
      <c r="O174" s="9">
        <f>IF(11&lt;=核心参数输入!$B$9*4,IF(AND(O172&lt;&gt;0,季度现金流!N173&lt;&gt;0,O172&lt;&gt;季度现金流!N173),1,0),0)</f>
        <v>0</v>
      </c>
      <c r="P174" s="9">
        <f>IF(12&lt;=核心参数输入!$B$9*4,IF(AND(P172&lt;&gt;0,季度现金流!O173&lt;&gt;0,P172&lt;&gt;季度现金流!O173),1,0),0)</f>
        <v>0</v>
      </c>
      <c r="Q174" s="9">
        <f>IF(13&lt;=核心参数输入!$B$9*4,IF(AND(Q172&lt;&gt;0,季度现金流!P173&lt;&gt;0,Q172&lt;&gt;季度现金流!P173),1,0),0)</f>
        <v>1</v>
      </c>
      <c r="R174" s="9">
        <f>IF(14&lt;=核心参数输入!$B$9*4,IF(AND(R172&lt;&gt;0,季度现金流!Q173&lt;&gt;0,R172&lt;&gt;季度现金流!Q173),1,0),0)</f>
        <v>0</v>
      </c>
      <c r="S174" s="9">
        <f>IF(15&lt;=核心参数输入!$B$9*4,IF(AND(S172&lt;&gt;0,季度现金流!R173&lt;&gt;0,S172&lt;&gt;季度现金流!R173),1,0),0)</f>
        <v>0</v>
      </c>
      <c r="T174" s="9">
        <f>IF(16&lt;=核心参数输入!$B$9*4,IF(AND(T172&lt;&gt;0,季度现金流!S173&lt;&gt;0,T172&lt;&gt;季度现金流!S173),1,0),0)</f>
        <v>0</v>
      </c>
      <c r="U174" s="9">
        <f>IF(17&lt;=核心参数输入!$B$9*4,IF(AND(U172&lt;&gt;0,季度现金流!T173&lt;&gt;0,U172&lt;&gt;季度现金流!T173),1,0),0)</f>
        <v>0</v>
      </c>
      <c r="V174" s="9">
        <f>IF(18&lt;=核心参数输入!$B$9*4,IF(AND(V172&lt;&gt;0,季度现金流!U173&lt;&gt;0,V172&lt;&gt;季度现金流!U173),1,0),0)</f>
        <v>0</v>
      </c>
      <c r="W174" s="9">
        <f>IF(19&lt;=核心参数输入!$B$9*4,IF(AND(W172&lt;&gt;0,季度现金流!V173&lt;&gt;0,W172&lt;&gt;季度现金流!V173),1,0),0)</f>
        <v>0</v>
      </c>
      <c r="X174" s="9">
        <f>IF(20&lt;=核心参数输入!$B$9*4,IF(AND(X172&lt;&gt;0,季度现金流!W173&lt;&gt;0,X172&lt;&gt;季度现金流!W173),1,0),0)</f>
        <v>0</v>
      </c>
      <c r="Y174" s="9">
        <f>IF(21&lt;=核心参数输入!$B$9*4,IF(AND(Y172&lt;&gt;0,季度现金流!X173&lt;&gt;0,Y172&lt;&gt;季度现金流!X173),1,0),0)</f>
        <v>0</v>
      </c>
      <c r="Z174" s="9">
        <f>IF(22&lt;=核心参数输入!$B$9*4,IF(AND(Z172&lt;&gt;0,季度现金流!Y173&lt;&gt;0,Z172&lt;&gt;季度现金流!Y173),1,0),0)</f>
        <v>0</v>
      </c>
      <c r="AA174" s="9">
        <f>IF(23&lt;=核心参数输入!$B$9*4,IF(AND(AA172&lt;&gt;0,季度现金流!Z173&lt;&gt;0,AA172&lt;&gt;季度现金流!Z173),1,0),0)</f>
        <v>0</v>
      </c>
      <c r="AB174" s="9">
        <f>IF(24&lt;=核心参数输入!$B$9*4,IF(AND(AB172&lt;&gt;0,季度现金流!AA173&lt;&gt;0,AB172&lt;&gt;季度现金流!AA173),1,0),0)</f>
        <v>0</v>
      </c>
      <c r="AC174" s="9">
        <f>IF(25&lt;=核心参数输入!$B$9*4,IF(AND(AC172&lt;&gt;0,季度现金流!AB173&lt;&gt;0,AC172&lt;&gt;季度现金流!AB173),1,0),0)</f>
        <v>0</v>
      </c>
      <c r="AD174" s="9">
        <f>IF(26&lt;=核心参数输入!$B$9*4,IF(AND(AD172&lt;&gt;0,季度现金流!AC173&lt;&gt;0,AD172&lt;&gt;季度现金流!AC173),1,0),0)</f>
        <v>0</v>
      </c>
      <c r="AE174" s="9">
        <f>IF(27&lt;=核心参数输入!$B$9*4,IF(AND(AE172&lt;&gt;0,季度现金流!AD173&lt;&gt;0,AE172&lt;&gt;季度现金流!AD173),1,0),0)</f>
        <v>0</v>
      </c>
      <c r="AF174" s="9">
        <f>IF(28&lt;=核心参数输入!$B$9*4,IF(AND(AF172&lt;&gt;0,季度现金流!AE173&lt;&gt;0,AF172&lt;&gt;季度现金流!AE173),1,0),0)</f>
        <v>0</v>
      </c>
      <c r="AG174" s="9">
        <f>IF(29&lt;=核心参数输入!$B$9*4,IF(AND(AG172&lt;&gt;0,季度现金流!AF173&lt;&gt;0,AG172&lt;&gt;季度现金流!AF173),1,0),0)</f>
        <v>0</v>
      </c>
      <c r="AH174" s="9">
        <f>IF(30&lt;=核心参数输入!$B$9*4,IF(AND(AH172&lt;&gt;0,季度现金流!AG173&lt;&gt;0,AH172&lt;&gt;季度现金流!AG173),1,0),0)</f>
        <v>0</v>
      </c>
      <c r="AI174" s="9">
        <f>IF(31&lt;=核心参数输入!$B$9*4,IF(AND(AI172&lt;&gt;0,季度现金流!AH173&lt;&gt;0,AI172&lt;&gt;季度现金流!AH173),1,0),0)</f>
        <v>0</v>
      </c>
      <c r="AJ174" s="9">
        <f>IF(32&lt;=核心参数输入!$B$9*4,IF(AND(AJ172&lt;&gt;0,季度现金流!AI173&lt;&gt;0,AJ172&lt;&gt;季度现金流!AI173),1,0),0)</f>
        <v>0</v>
      </c>
      <c r="AK174" s="9">
        <f>IF(33&lt;=核心参数输入!$B$9*4,IF(AND(AK172&lt;&gt;0,季度现金流!AJ173&lt;&gt;0,AK172&lt;&gt;季度现金流!AJ173),1,0),0)</f>
        <v>0</v>
      </c>
      <c r="AL174" s="9">
        <f>IF(34&lt;=核心参数输入!$B$9*4,IF(AND(AL172&lt;&gt;0,季度现金流!AK173&lt;&gt;0,AL172&lt;&gt;季度现金流!AK173),1,0),0)</f>
        <v>0</v>
      </c>
      <c r="AM174" s="9">
        <f>IF(35&lt;=核心参数输入!$B$9*4,IF(AND(AM172&lt;&gt;0,季度现金流!AL173&lt;&gt;0,AM172&lt;&gt;季度现金流!AL173),1,0),0)</f>
        <v>0</v>
      </c>
      <c r="AN174" s="9">
        <f>IF(36&lt;=核心参数输入!$B$9*4,IF(AND(AN172&lt;&gt;0,季度现金流!AM173&lt;&gt;0,AN172&lt;&gt;季度现金流!AM173),1,0),0)</f>
        <v>0</v>
      </c>
      <c r="AO174" s="9">
        <f>IF(37&lt;=核心参数输入!$B$9*4,IF(AND(AO172&lt;&gt;0,季度现金流!AN173&lt;&gt;0,AO172&lt;&gt;季度现金流!AN173),1,0),0)</f>
        <v>0</v>
      </c>
      <c r="AP174" s="9">
        <f>IF(38&lt;=核心参数输入!$B$9*4,IF(AND(AP172&lt;&gt;0,季度现金流!AO173&lt;&gt;0,AP172&lt;&gt;季度现金流!AO173),1,0),0)</f>
        <v>0</v>
      </c>
      <c r="AQ174" s="9">
        <f>IF(39&lt;=核心参数输入!$B$9*4,IF(AND(AQ172&lt;&gt;0,季度现金流!AP173&lt;&gt;0,AQ172&lt;&gt;季度现金流!AP173),1,0),0)</f>
        <v>0</v>
      </c>
      <c r="AR174" s="9">
        <f>IF(40&lt;=核心参数输入!$B$9*4,IF(AND(AR172&lt;&gt;0,季度现金流!AQ173&lt;&gt;0,AR172&lt;&gt;季度现金流!AQ173),1,0),0)</f>
        <v>0</v>
      </c>
      <c r="AS174" s="9">
        <f>IF(41&lt;=核心参数输入!$B$9*4,IF(AND(AS172&lt;&gt;0,季度现金流!AR173&lt;&gt;0,AS172&lt;&gt;季度现金流!AR173),1,0),0)</f>
        <v>0</v>
      </c>
      <c r="AT174" s="9">
        <f>IF(42&lt;=核心参数输入!$B$9*4,IF(AND(AT172&lt;&gt;0,季度现金流!AS173&lt;&gt;0,AT172&lt;&gt;季度现金流!AS173),1,0),0)</f>
        <v>0</v>
      </c>
      <c r="AU174" s="9">
        <f>IF(43&lt;=核心参数输入!$B$9*4,IF(AND(AU172&lt;&gt;0,季度现金流!AT173&lt;&gt;0,AU172&lt;&gt;季度现金流!AT173),1,0),0)</f>
        <v>0</v>
      </c>
      <c r="AV174" s="9">
        <f>IF(44&lt;=核心参数输入!$B$9*4,IF(AND(AV172&lt;&gt;0,季度现金流!AU173&lt;&gt;0,AV172&lt;&gt;季度现金流!AU173),1,0),0)</f>
        <v>0</v>
      </c>
      <c r="AW174" s="9">
        <f>IF(45&lt;=核心参数输入!$B$9*4,IF(AND(AW172&lt;&gt;0,季度现金流!AV173&lt;&gt;0,AW172&lt;&gt;季度现金流!AV173),1,0),0)</f>
        <v>0</v>
      </c>
      <c r="AX174" s="9">
        <f>IF(46&lt;=核心参数输入!$B$9*4,IF(AND(AX172&lt;&gt;0,季度现金流!AW173&lt;&gt;0,AX172&lt;&gt;季度现金流!AW173),1,0),0)</f>
        <v>0</v>
      </c>
      <c r="AY174" s="9">
        <f>IF(47&lt;=核心参数输入!$B$9*4,IF(AND(AY172&lt;&gt;0,季度现金流!AX173&lt;&gt;0,AY172&lt;&gt;季度现金流!AX173),1,0),0)</f>
        <v>0</v>
      </c>
      <c r="AZ174" s="9">
        <f>IF(48&lt;=核心参数输入!$B$9*4,IF(AND(AZ172&lt;&gt;0,季度现金流!AY173&lt;&gt;0,AZ172&lt;&gt;季度现金流!AY173),1,0),0)</f>
        <v>0</v>
      </c>
      <c r="BA174" s="9">
        <f>IF(49&lt;=核心参数输入!$B$9*4,IF(AND(BA172&lt;&gt;0,季度现金流!AZ173&lt;&gt;0,BA172&lt;&gt;季度现金流!AZ173),1,0),0)</f>
        <v>0</v>
      </c>
      <c r="BB174" s="9">
        <f>IF(50&lt;=核心参数输入!$B$9*4,IF(AND(BB172&lt;&gt;0,季度现金流!BA173&lt;&gt;0,BB172&lt;&gt;季度现金流!BA173),1,0),0)</f>
        <v>0</v>
      </c>
      <c r="BC174" s="9">
        <f>IF(51&lt;=核心参数输入!$B$9*4,IF(AND(BC172&lt;&gt;0,季度现金流!BB173&lt;&gt;0,BC172&lt;&gt;季度现金流!BB173),1,0),0)</f>
        <v>0</v>
      </c>
      <c r="BD174" s="9">
        <f>IF(52&lt;=核心参数输入!$B$9*4,IF(AND(BD172&lt;&gt;0,季度现金流!BC173&lt;&gt;0,BD172&lt;&gt;季度现金流!BC173),1,0),0)</f>
        <v>0</v>
      </c>
      <c r="BE174" s="9">
        <f>IF(53&lt;=核心参数输入!$B$9*4,IF(AND(BE172&lt;&gt;0,季度现金流!BD173&lt;&gt;0,BE172&lt;&gt;季度现金流!BD173),1,0),0)</f>
        <v>0</v>
      </c>
      <c r="BF174" s="9">
        <f>IF(54&lt;=核心参数输入!$B$9*4,IF(AND(BF172&lt;&gt;0,季度现金流!BE173&lt;&gt;0,BF172&lt;&gt;季度现金流!BE173),1,0),0)</f>
        <v>0</v>
      </c>
      <c r="BG174" s="9">
        <f>IF(55&lt;=核心参数输入!$B$9*4,IF(AND(BG172&lt;&gt;0,季度现金流!BF173&lt;&gt;0,BG172&lt;&gt;季度现金流!BF173),1,0),0)</f>
        <v>0</v>
      </c>
      <c r="BH174" s="9">
        <f>IF(56&lt;=核心参数输入!$B$9*4,IF(AND(BH172&lt;&gt;0,季度现金流!BG173&lt;&gt;0,BH172&lt;&gt;季度现金流!BG173),1,0),0)</f>
        <v>0</v>
      </c>
      <c r="BI174" s="9">
        <f>IF(57&lt;=核心参数输入!$B$9*4,IF(AND(BI172&lt;&gt;0,季度现金流!BH173&lt;&gt;0,BI172&lt;&gt;季度现金流!BH173),1,0),0)</f>
        <v>0</v>
      </c>
      <c r="BJ174" s="9">
        <f>IF(58&lt;=核心参数输入!$B$9*4,IF(AND(BJ172&lt;&gt;0,季度现金流!BI173&lt;&gt;0,BJ172&lt;&gt;季度现金流!BI173),1,0),0)</f>
        <v>0</v>
      </c>
      <c r="BK174" s="9">
        <f>IF(59&lt;=核心参数输入!$B$9*4,IF(AND(BK172&lt;&gt;0,季度现金流!BJ173&lt;&gt;0,BK172&lt;&gt;季度现金流!BJ173),1,0),0)</f>
        <v>0</v>
      </c>
      <c r="BL174" s="9">
        <f>IF(60&lt;=核心参数输入!$B$9*4,IF(AND(BL172&lt;&gt;0,季度现金流!BK173&lt;&gt;0,BL172&lt;&gt;季度现金流!BK173),1,0),0)</f>
        <v>0</v>
      </c>
      <c r="BM174" s="9">
        <f>IF(61&lt;=核心参数输入!$B$9*4,IF(AND(BM172&lt;&gt;0,季度现金流!BL173&lt;&gt;0,BM172&lt;&gt;季度现金流!BL173),1,0),0)</f>
        <v>0</v>
      </c>
      <c r="BN174" s="9">
        <f>IF(62&lt;=核心参数输入!$B$9*4,IF(AND(BN172&lt;&gt;0,季度现金流!BM173&lt;&gt;0,BN172&lt;&gt;季度现金流!BM173),1,0),0)</f>
        <v>0</v>
      </c>
      <c r="BO174" s="9">
        <f>IF(63&lt;=核心参数输入!$B$9*4,IF(AND(BO172&lt;&gt;0,季度现金流!BN173&lt;&gt;0,BO172&lt;&gt;季度现金流!BN173),1,0),0)</f>
        <v>0</v>
      </c>
      <c r="BP174" s="9">
        <f>IF(64&lt;=核心参数输入!$B$9*4,IF(AND(BP172&lt;&gt;0,季度现金流!BO173&lt;&gt;0,BP172&lt;&gt;季度现金流!BO173),1,0),0)</f>
        <v>0</v>
      </c>
      <c r="BQ174" s="9">
        <f>IF(65&lt;=核心参数输入!$B$9*4,IF(AND(BQ172&lt;&gt;0,季度现金流!BP173&lt;&gt;0,BQ172&lt;&gt;季度现金流!BP173),1,0),0)</f>
        <v>0</v>
      </c>
      <c r="BR174" s="9">
        <f>IF(66&lt;=核心参数输入!$B$9*4,IF(AND(BR172&lt;&gt;0,季度现金流!BQ173&lt;&gt;0,BR172&lt;&gt;季度现金流!BQ173),1,0),0)</f>
        <v>0</v>
      </c>
      <c r="BS174" s="9">
        <f>IF(67&lt;=核心参数输入!$B$9*4,IF(AND(BS172&lt;&gt;0,季度现金流!BR173&lt;&gt;0,BS172&lt;&gt;季度现金流!BR173),1,0),0)</f>
        <v>0</v>
      </c>
      <c r="BT174" s="9">
        <f>IF(68&lt;=核心参数输入!$B$9*4,IF(AND(BT172&lt;&gt;0,季度现金流!BS173&lt;&gt;0,BT172&lt;&gt;季度现金流!BS173),1,0),0)</f>
        <v>0</v>
      </c>
      <c r="BU174" s="9">
        <f>IF(69&lt;=核心参数输入!$B$9*4,IF(AND(BU172&lt;&gt;0,季度现金流!BT173&lt;&gt;0,BU172&lt;&gt;季度现金流!BT173),1,0),0)</f>
        <v>0</v>
      </c>
      <c r="BV174" s="9">
        <f>IF(70&lt;=核心参数输入!$B$9*4,IF(AND(BV172&lt;&gt;0,季度现金流!BU173&lt;&gt;0,BV172&lt;&gt;季度现金流!BU173),1,0),0)</f>
        <v>0</v>
      </c>
      <c r="BW174" s="9">
        <f>IF(71&lt;=核心参数输入!$B$9*4,IF(AND(BW172&lt;&gt;0,季度现金流!BV173&lt;&gt;0,BW172&lt;&gt;季度现金流!BV173),1,0),0)</f>
        <v>0</v>
      </c>
      <c r="BX174" s="9">
        <f>IF(72&lt;=核心参数输入!$B$9*4,IF(AND(BX172&lt;&gt;0,季度现金流!BW173&lt;&gt;0,BX172&lt;&gt;季度现金流!BW173),1,0),0)</f>
        <v>0</v>
      </c>
      <c r="BY174" s="9">
        <f>IF(73&lt;=核心参数输入!$B$9*4,IF(AND(BY172&lt;&gt;0,季度现金流!BX173&lt;&gt;0,BY172&lt;&gt;季度现金流!BX173),1,0),0)</f>
        <v>0</v>
      </c>
      <c r="BZ174" s="9">
        <f>IF(74&lt;=核心参数输入!$B$9*4,IF(AND(BZ172&lt;&gt;0,季度现金流!BY173&lt;&gt;0,BZ172&lt;&gt;季度现金流!BY173),1,0),0)</f>
        <v>0</v>
      </c>
      <c r="CA174" s="9">
        <f>IF(75&lt;=核心参数输入!$B$9*4,IF(AND(CA172&lt;&gt;0,季度现金流!BZ173&lt;&gt;0,CA172&lt;&gt;季度现金流!BZ173),1,0),0)</f>
        <v>0</v>
      </c>
      <c r="CB174" s="9">
        <f>IF(76&lt;=核心参数输入!$B$9*4,IF(AND(CB172&lt;&gt;0,季度现金流!CA173&lt;&gt;0,CB172&lt;&gt;季度现金流!CA173),1,0),0)</f>
        <v>0</v>
      </c>
      <c r="CC174" s="9">
        <f>IF(77&lt;=核心参数输入!$B$9*4,IF(AND(CC172&lt;&gt;0,季度现金流!CB173&lt;&gt;0,CC172&lt;&gt;季度现金流!CB173),1,0),0)</f>
        <v>0</v>
      </c>
      <c r="CD174" s="9">
        <f>IF(78&lt;=核心参数输入!$B$9*4,IF(AND(CD172&lt;&gt;0,季度现金流!CC173&lt;&gt;0,CD172&lt;&gt;季度现金流!CC173),1,0),0)</f>
        <v>0</v>
      </c>
      <c r="CE174" s="9">
        <f>IF(79&lt;=核心参数输入!$B$9*4,IF(AND(CE172&lt;&gt;0,季度现金流!CD173&lt;&gt;0,CE172&lt;&gt;季度现金流!CD173),1,0),0)</f>
        <v>0</v>
      </c>
      <c r="CF174" s="9">
        <f>IF(80&lt;=核心参数输入!$B$9*4,IF(AND(CF172&lt;&gt;0,季度现金流!CE173&lt;&gt;0,CF172&lt;&gt;季度现金流!CE173),1,0),0)</f>
        <v>0</v>
      </c>
      <c r="CG174" s="9">
        <f>IF(81&lt;=核心参数输入!$B$9*4,IF(AND(CG172&lt;&gt;0,季度现金流!CF173&lt;&gt;0,CG172&lt;&gt;季度现金流!CF173),1,0),0)</f>
        <v>0</v>
      </c>
      <c r="CH174" s="9">
        <f>IF(82&lt;=核心参数输入!$B$9*4,IF(AND(CH172&lt;&gt;0,季度现金流!CG173&lt;&gt;0,CH172&lt;&gt;季度现金流!CG173),1,0),0)</f>
        <v>0</v>
      </c>
      <c r="CI174" s="9">
        <f>IF(83&lt;=核心参数输入!$B$9*4,IF(AND(CI172&lt;&gt;0,季度现金流!CH173&lt;&gt;0,CI172&lt;&gt;季度现金流!CH173),1,0),0)</f>
        <v>0</v>
      </c>
      <c r="CJ174" s="9">
        <f>IF(84&lt;=核心参数输入!$B$9*4,IF(AND(CJ172&lt;&gt;0,季度现金流!CI173&lt;&gt;0,CJ172&lt;&gt;季度现金流!CI173),1,0),0)</f>
        <v>0</v>
      </c>
      <c r="CK174" s="9">
        <f>IF(85&lt;=核心参数输入!$B$9*4,IF(AND(CK172&lt;&gt;0,季度现金流!CJ173&lt;&gt;0,CK172&lt;&gt;季度现金流!CJ173),1,0),0)</f>
        <v>0</v>
      </c>
      <c r="CL174" s="9">
        <f>IF(86&lt;=核心参数输入!$B$9*4,IF(AND(CL172&lt;&gt;0,季度现金流!CK173&lt;&gt;0,CL172&lt;&gt;季度现金流!CK173),1,0),0)</f>
        <v>0</v>
      </c>
      <c r="CM174" s="9">
        <f>IF(87&lt;=核心参数输入!$B$9*4,IF(AND(CM172&lt;&gt;0,季度现金流!CL173&lt;&gt;0,CM172&lt;&gt;季度现金流!CL173),1,0),0)</f>
        <v>0</v>
      </c>
      <c r="CN174" s="9">
        <f>IF(88&lt;=核心参数输入!$B$9*4,IF(AND(CN172&lt;&gt;0,季度现金流!CM173&lt;&gt;0,CN172&lt;&gt;季度现金流!CM173),1,0),0)</f>
        <v>0</v>
      </c>
      <c r="CO174" s="9">
        <f>IF(89&lt;=核心参数输入!$B$9*4,IF(AND(CO172&lt;&gt;0,季度现金流!CN173&lt;&gt;0,CO172&lt;&gt;季度现金流!CN173),1,0),0)</f>
        <v>0</v>
      </c>
      <c r="CP174" s="9">
        <f>IF(90&lt;=核心参数输入!$B$9*4,IF(AND(CP172&lt;&gt;0,季度现金流!CO173&lt;&gt;0,CP172&lt;&gt;季度现金流!CO173),1,0),0)</f>
        <v>0</v>
      </c>
      <c r="CQ174" s="9">
        <f>IF(91&lt;=核心参数输入!$B$9*4,IF(AND(CQ172&lt;&gt;0,季度现金流!CP173&lt;&gt;0,CQ172&lt;&gt;季度现金流!CP173),1,0),0)</f>
        <v>0</v>
      </c>
      <c r="CR174" s="9">
        <f>IF(92&lt;=核心参数输入!$B$9*4,IF(AND(CR172&lt;&gt;0,季度现金流!CQ173&lt;&gt;0,CR172&lt;&gt;季度现金流!CQ173),1,0),0)</f>
        <v>0</v>
      </c>
      <c r="CS174" s="9">
        <f>IF(93&lt;=核心参数输入!$B$9*4,IF(AND(CS172&lt;&gt;0,季度现金流!CR173&lt;&gt;0,CS172&lt;&gt;季度现金流!CR173),1,0),0)</f>
        <v>0</v>
      </c>
      <c r="CT174" s="9">
        <f>IF(94&lt;=核心参数输入!$B$9*4,IF(AND(CT172&lt;&gt;0,季度现金流!CS173&lt;&gt;0,CT172&lt;&gt;季度现金流!CS173),1,0),0)</f>
        <v>0</v>
      </c>
      <c r="CU174" s="9">
        <f>IF(95&lt;=核心参数输入!$B$9*4,IF(AND(CU172&lt;&gt;0,季度现金流!CT173&lt;&gt;0,CU172&lt;&gt;季度现金流!CT173),1,0),0)</f>
        <v>0</v>
      </c>
      <c r="CV174" s="9">
        <f>IF(96&lt;=核心参数输入!$B$9*4,IF(AND(CV172&lt;&gt;0,季度现金流!CU173&lt;&gt;0,CV172&lt;&gt;季度现金流!CU173),1,0),0)</f>
        <v>0</v>
      </c>
      <c r="CW174" s="9">
        <f>IF(97&lt;=核心参数输入!$B$9*4,IF(AND(CW172&lt;&gt;0,季度现金流!CV173&lt;&gt;0,CW172&lt;&gt;季度现金流!CV173),1,0),0)</f>
        <v>0</v>
      </c>
      <c r="CX174" s="9">
        <f>IF(98&lt;=核心参数输入!$B$9*4,IF(AND(CX172&lt;&gt;0,季度现金流!CW173&lt;&gt;0,CX172&lt;&gt;季度现金流!CW173),1,0),0)</f>
        <v>0</v>
      </c>
      <c r="CY174" s="9">
        <f>IF(99&lt;=核心参数输入!$B$9*4,IF(AND(CY172&lt;&gt;0,季度现金流!CX173&lt;&gt;0,CY172&lt;&gt;季度现金流!CX173),1,0),0)</f>
        <v>0</v>
      </c>
      <c r="CZ174" s="9">
        <f>IF(100&lt;=核心参数输入!$B$9*4,IF(AND(CZ172&lt;&gt;0,季度现金流!CY173&lt;&gt;0,CZ172&lt;&gt;季度现金流!CY173),1,0),0)</f>
        <v>0</v>
      </c>
      <c r="DA174" s="9">
        <f>IF(101&lt;=核心参数输入!$B$9*4,IF(AND(DA172&lt;&gt;0,季度现金流!CZ173&lt;&gt;0,DA172&lt;&gt;季度现金流!CZ173),1,0),0)</f>
        <v>0</v>
      </c>
      <c r="DB174" s="9">
        <f>IF(102&lt;=核心参数输入!$B$9*4,IF(AND(DB172&lt;&gt;0,季度现金流!DA173&lt;&gt;0,DB172&lt;&gt;季度现金流!DA173),1,0),0)</f>
        <v>0</v>
      </c>
      <c r="DC174" s="9">
        <f>IF(103&lt;=核心参数输入!$B$9*4,IF(AND(DC172&lt;&gt;0,季度现金流!DB173&lt;&gt;0,DC172&lt;&gt;季度现金流!DB173),1,0),0)</f>
        <v>0</v>
      </c>
      <c r="DD174" s="9">
        <f>IF(104&lt;=核心参数输入!$B$9*4,IF(AND(DD172&lt;&gt;0,季度现金流!DC173&lt;&gt;0,DD172&lt;&gt;季度现金流!DC173),1,0),0)</f>
        <v>0</v>
      </c>
      <c r="DE174" s="9">
        <f>IF(105&lt;=核心参数输入!$B$9*4,IF(AND(DE172&lt;&gt;0,季度现金流!DD173&lt;&gt;0,DE172&lt;&gt;季度现金流!DD173),1,0),0)</f>
        <v>0</v>
      </c>
      <c r="DF174" s="9">
        <f>IF(106&lt;=核心参数输入!$B$9*4,IF(AND(DF172&lt;&gt;0,季度现金流!DE173&lt;&gt;0,DF172&lt;&gt;季度现金流!DE173),1,0),0)</f>
        <v>0</v>
      </c>
      <c r="DG174" s="9">
        <f>IF(107&lt;=核心参数输入!$B$9*4,IF(AND(DG172&lt;&gt;0,季度现金流!DF173&lt;&gt;0,DG172&lt;&gt;季度现金流!DF173),1,0),0)</f>
        <v>0</v>
      </c>
      <c r="DH174" s="9">
        <f>IF(108&lt;=核心参数输入!$B$9*4,IF(AND(DH172&lt;&gt;0,季度现金流!DG173&lt;&gt;0,DH172&lt;&gt;季度现金流!DG173),1,0),0)</f>
        <v>0</v>
      </c>
      <c r="DI174" s="9">
        <f>IF(109&lt;=核心参数输入!$B$9*4,IF(AND(DI172&lt;&gt;0,季度现金流!DH173&lt;&gt;0,DI172&lt;&gt;季度现金流!DH173),1,0),0)</f>
        <v>0</v>
      </c>
      <c r="DJ174" s="9">
        <f>IF(110&lt;=核心参数输入!$B$9*4,IF(AND(DJ172&lt;&gt;0,季度现金流!DI173&lt;&gt;0,DJ172&lt;&gt;季度现金流!DI173),1,0),0)</f>
        <v>0</v>
      </c>
      <c r="DK174" s="9">
        <f>IF(111&lt;=核心参数输入!$B$9*4,IF(AND(DK172&lt;&gt;0,季度现金流!DJ173&lt;&gt;0,DK172&lt;&gt;季度现金流!DJ173),1,0),0)</f>
        <v>0</v>
      </c>
      <c r="DL174" s="9">
        <f>IF(112&lt;=核心参数输入!$B$9*4,IF(AND(DL172&lt;&gt;0,季度现金流!DK173&lt;&gt;0,DL172&lt;&gt;季度现金流!DK173),1,0),0)</f>
        <v>0</v>
      </c>
      <c r="DM174" s="9">
        <f>IF(113&lt;=核心参数输入!$B$9*4,IF(AND(DM172&lt;&gt;0,季度现金流!DL173&lt;&gt;0,DM172&lt;&gt;季度现金流!DL173),1,0),0)</f>
        <v>0</v>
      </c>
      <c r="DN174" s="9">
        <f>IF(114&lt;=核心参数输入!$B$9*4,IF(AND(DN172&lt;&gt;0,季度现金流!DM173&lt;&gt;0,DN172&lt;&gt;季度现金流!DM173),1,0),0)</f>
        <v>0</v>
      </c>
      <c r="DO174" s="9">
        <f>IF(115&lt;=核心参数输入!$B$9*4,IF(AND(DO172&lt;&gt;0,季度现金流!DN173&lt;&gt;0,DO172&lt;&gt;季度现金流!DN173),1,0),0)</f>
        <v>0</v>
      </c>
      <c r="DP174" s="9">
        <f>IF(116&lt;=核心参数输入!$B$9*4,IF(AND(DP172&lt;&gt;0,季度现金流!DO173&lt;&gt;0,DP172&lt;&gt;季度现金流!DO173),1,0),0)</f>
        <v>0</v>
      </c>
      <c r="DQ174" s="9">
        <f>IF(117&lt;=核心参数输入!$B$9*4,IF(AND(DQ172&lt;&gt;0,季度现金流!DP173&lt;&gt;0,DQ172&lt;&gt;季度现金流!DP173),1,0),0)</f>
        <v>0</v>
      </c>
      <c r="DR174" s="9">
        <f>IF(118&lt;=核心参数输入!$B$9*4,IF(AND(DR172&lt;&gt;0,季度现金流!DQ173&lt;&gt;0,DR172&lt;&gt;季度现金流!DQ173),1,0),0)</f>
        <v>0</v>
      </c>
      <c r="DS174" s="9">
        <f>IF(119&lt;=核心参数输入!$B$9*4,IF(AND(DS172&lt;&gt;0,季度现金流!DR173&lt;&gt;0,DS172&lt;&gt;季度现金流!DR173),1,0),0)</f>
        <v>0</v>
      </c>
      <c r="DT174" s="9">
        <f>IF(120&lt;=核心参数输入!$B$9*4,IF(AND(DT172&lt;&gt;0,季度现金流!DS173&lt;&gt;0,DT172&lt;&gt;季度现金流!DS173),1,0),0)</f>
        <v>0</v>
      </c>
    </row>
    <row r="175" spans="1:124" ht="21" customHeight="1">
      <c r="A175" s="8" t="s">
        <v>557</v>
      </c>
      <c r="B175" s="8" t="s">
        <v>39</v>
      </c>
      <c r="C175" s="8"/>
      <c r="D175" s="9">
        <f>IF(0&lt;=核心参数输入!$B$9*4,季度经营税费!D178-季度经营税费!D179-季度经营税费!D174,0)</f>
        <v>0</v>
      </c>
      <c r="E175" s="9">
        <f>IF(1&lt;=核心参数输入!$B$9*4,季度经营税费!E178-季度经营税费!E179-季度经营税费!E174,0)</f>
        <v>0</v>
      </c>
      <c r="F175" s="9">
        <f>IF(2&lt;=核心参数输入!$B$9*4,季度经营税费!F178-季度经营税费!F179-季度经营税费!F174,0)</f>
        <v>0</v>
      </c>
      <c r="G175" s="9">
        <f>IF(3&lt;=核心参数输入!$B$9*4,季度经营税费!G178-季度经营税费!G179-季度经营税费!G174,0)</f>
        <v>0</v>
      </c>
      <c r="H175" s="9">
        <f>IF(4&lt;=核心参数输入!$B$9*4,季度经营税费!H178-季度经营税费!H179-季度经营税费!H174,0)</f>
        <v>0</v>
      </c>
      <c r="I175" s="9">
        <f>IF(5&lt;=核心参数输入!$B$9*4,季度经营税费!I178-季度经营税费!I179-季度经营税费!I174,0)</f>
        <v>0</v>
      </c>
      <c r="J175" s="9">
        <f>IF(6&lt;=核心参数输入!$B$9*4,季度经营税费!J178-季度经营税费!J179-季度经营税费!J174,0)</f>
        <v>0</v>
      </c>
      <c r="K175" s="9">
        <f>IF(7&lt;=核心参数输入!$B$9*4,季度经营税费!K178-季度经营税费!K179-季度经营税费!K174,0)</f>
        <v>0</v>
      </c>
      <c r="L175" s="9">
        <f>IF(8&lt;=核心参数输入!$B$9*4,季度经营税费!L178-季度经营税费!L179-季度经营税费!L174,0)</f>
        <v>0</v>
      </c>
      <c r="M175" s="9">
        <f>IF(9&lt;=核心参数输入!$B$9*4,季度经营税费!M178-季度经营税费!M179-季度经营税费!M174,0)</f>
        <v>0</v>
      </c>
      <c r="N175" s="9">
        <f>IF(10&lt;=核心参数输入!$B$9*4,季度经营税费!N178-季度经营税费!N179-季度经营税费!N174,0)</f>
        <v>0</v>
      </c>
      <c r="O175" s="9">
        <f>IF(11&lt;=核心参数输入!$B$9*4,季度经营税费!O178-季度经营税费!O179-季度经营税费!O174,0)</f>
        <v>0</v>
      </c>
      <c r="P175" s="9">
        <f>IF(12&lt;=核心参数输入!$B$9*4,季度经营税费!P178-季度经营税费!P179-季度经营税费!P174,0)</f>
        <v>0</v>
      </c>
      <c r="Q175" s="9">
        <f>IF(13&lt;=核心参数输入!$B$9*4,季度经营税费!Q178-季度经营税费!Q179-季度经营税费!Q174,0)</f>
        <v>1818.3426562499999</v>
      </c>
      <c r="R175" s="9">
        <f>IF(14&lt;=核心参数输入!$B$9*4,季度经营税费!R178-季度经营税费!R179-季度经营税费!R174,0)</f>
        <v>2813.6248252350001</v>
      </c>
      <c r="S175" s="9">
        <f>IF(15&lt;=核心参数输入!$B$9*4,季度经营税费!S178-季度经营税费!S179-季度经营税费!S174,0)</f>
        <v>2849.5579132050007</v>
      </c>
      <c r="T175" s="9">
        <f>IF(16&lt;=核心参数输入!$B$9*4,季度经营税费!T178-季度经营税费!T179-季度经营税费!T174,0)</f>
        <v>2885.4910011750003</v>
      </c>
      <c r="U175" s="9">
        <f>IF(17&lt;=核心参数输入!$B$9*4,季度经营税费!U178-季度经营税费!U179-季度经营税费!U174,0)</f>
        <v>3567.924795013425</v>
      </c>
      <c r="V175" s="9">
        <f>IF(18&lt;=核心参数输入!$B$9*4,季度经营税费!V178-季度经营税费!V179-季度经营税费!V174,0)</f>
        <v>3921.0507332305874</v>
      </c>
      <c r="W175" s="9">
        <f>IF(19&lt;=核心参数输入!$B$9*4,季度经营税费!W178-季度经营税费!W179-季度经营税费!W174,0)</f>
        <v>3939.2867753753621</v>
      </c>
      <c r="X175" s="9">
        <f>IF(20&lt;=核心参数输入!$B$9*4,季度经营税费!X178-季度经营税费!X179-季度经营税费!X174,0)</f>
        <v>3957.5228175201378</v>
      </c>
      <c r="Y175" s="9">
        <f>IF(21&lt;=核心参数输入!$B$9*4,季度经营税费!Y178-季度经营税费!Y179-季度经营税费!Y174,0)</f>
        <v>3331.2603581848857</v>
      </c>
      <c r="Z175" s="9">
        <f>IF(22&lt;=核心参数输入!$B$9*4,季度经营税费!Z178-季度经营税费!Z179-季度经营税费!Z174,0)</f>
        <v>3021.6843681147143</v>
      </c>
      <c r="AA175" s="9">
        <f>IF(23&lt;=核心参数输入!$B$9*4,季度经营税费!AA178-季度经营税费!AA179-季度经营税费!AA174,0)</f>
        <v>3035.5665551974243</v>
      </c>
      <c r="AB175" s="9">
        <f>IF(24&lt;=核心参数输入!$B$9*4,季度经营税费!AB178-季度经营税费!AB179-季度经营税费!AB174,0)</f>
        <v>3049.4487422801349</v>
      </c>
      <c r="AC175" s="9">
        <f>IF(25&lt;=核心参数输入!$B$9*4,季度经营税费!AC178-季度经营税费!AC179-季度经营税费!AC174,0)</f>
        <v>1127.4882128345371</v>
      </c>
      <c r="AD175" s="9">
        <f>IF(26&lt;=核心参数输入!$B$9*4,季度经营税费!AD178-季度经营税费!AD179-季度经营税费!AD174,0)</f>
        <v>159.56620109383732</v>
      </c>
      <c r="AE175" s="9">
        <f>IF(27&lt;=核心参数输入!$B$9*4,季度经营税费!AE178-季度经营税费!AE179-季度经营税费!AE174,0)</f>
        <v>164.26300772348753</v>
      </c>
      <c r="AF175" s="9">
        <f>IF(28&lt;=核心参数输入!$B$9*4,季度经营税费!AF178-季度经营税费!AF179-季度经营税费!AF174,0)</f>
        <v>168.9598143531378</v>
      </c>
      <c r="AG175" s="9">
        <f>IF(29&lt;=核心参数输入!$B$9*4,季度经营税费!AG178-季度经营税费!AG179-季度经营税费!AG174,0)</f>
        <v>176.53851729752981</v>
      </c>
      <c r="AH175" s="9">
        <f>IF(30&lt;=核心参数输入!$B$9*4,季度经营税费!AH178-季度经营税费!AH179-季度经营税费!AH174,0)</f>
        <v>178.92214666207724</v>
      </c>
      <c r="AI175" s="9">
        <f>IF(31&lt;=核心参数输入!$B$9*4,季度经营税费!AI178-季度经营税费!AI179-季度经营税费!AI174,0)</f>
        <v>178.92214666207724</v>
      </c>
      <c r="AJ175" s="9">
        <f>IF(32&lt;=核心参数输入!$B$9*4,季度经营税费!AJ178-季度经营税费!AJ179-季度经营税费!AJ174,0)</f>
        <v>178.92214666207724</v>
      </c>
      <c r="AK175" s="9">
        <f>IF(33&lt;=核心参数输入!$B$9*4,季度经营税费!AK178-季度经营税费!AK179-季度经营税费!AK174,0)</f>
        <v>181.87506680200843</v>
      </c>
      <c r="AL175" s="9">
        <f>IF(34&lt;=核心参数输入!$B$9*4,季度经营税费!AL178-季度经营税费!AL179-季度经营税费!AL174,0)</f>
        <v>181.87506680200843</v>
      </c>
      <c r="AM175" s="9">
        <f>IF(35&lt;=核心参数输入!$B$9*4,季度经营税费!AM178-季度经营税费!AM179-季度经营税费!AM174,0)</f>
        <v>181.87506680200843</v>
      </c>
      <c r="AN175" s="9">
        <f>IF(36&lt;=核心参数输入!$B$9*4,季度经营税费!AN178-季度经营税费!AN179-季度经营税费!AN174,0)</f>
        <v>181.87506680200843</v>
      </c>
      <c r="AO175" s="9">
        <f>IF(37&lt;=核心参数输入!$B$9*4,季度经营税费!AO178-季度经营税费!AO179-季度经营税费!AO174,0)</f>
        <v>184.86416250283844</v>
      </c>
      <c r="AP175" s="9">
        <f>IF(38&lt;=核心参数输入!$B$9*4,季度经营税费!AP178-季度经营税费!AP179-季度经营税费!AP174,0)</f>
        <v>184.86416250283844</v>
      </c>
      <c r="AQ175" s="9">
        <f>IF(39&lt;=核心参数输入!$B$9*4,季度经营税费!AQ178-季度经营税费!AQ179-季度经营税费!AQ174,0)</f>
        <v>184.86416250283844</v>
      </c>
      <c r="AR175" s="9">
        <f>IF(40&lt;=核心参数输入!$B$9*4,季度经营税费!AR178-季度经营税费!AR179-季度经营税费!AR174,0)</f>
        <v>184.86416250283844</v>
      </c>
      <c r="AS175" s="9">
        <f>IF(41&lt;=核心参数输入!$B$9*4,季度经营税费!AS178-季度经营税费!AS179-季度经营税费!AS174,0)</f>
        <v>187.88981403315699</v>
      </c>
      <c r="AT175" s="9">
        <f>IF(42&lt;=核心参数输入!$B$9*4,季度经营税费!AT178-季度经营税费!AT179-季度经营税费!AT174,0)</f>
        <v>187.88981403315699</v>
      </c>
      <c r="AU175" s="9">
        <f>IF(43&lt;=核心参数输入!$B$9*4,季度经营税费!AU178-季度经营税费!AU179-季度经营税费!AU174,0)</f>
        <v>187.88981403315699</v>
      </c>
      <c r="AV175" s="9">
        <f>IF(44&lt;=核心参数输入!$B$9*4,季度经营税费!AV178-季度经营税费!AV179-季度经营税费!AV174,0)</f>
        <v>187.88981403315699</v>
      </c>
      <c r="AW175" s="9">
        <f>IF(45&lt;=核心参数输入!$B$9*4,季度经营税费!AW178-季度经营税费!AW179-季度经营税费!AW174,0)</f>
        <v>190.95240411828576</v>
      </c>
      <c r="AX175" s="9">
        <f>IF(46&lt;=核心参数输入!$B$9*4,季度经营税费!AX178-季度经营税费!AX179-季度经营税费!AX174,0)</f>
        <v>190.95240411828576</v>
      </c>
      <c r="AY175" s="9">
        <f>IF(47&lt;=核心参数输入!$B$9*4,季度经营税费!AY178-季度经营税费!AY179-季度经营税费!AY174,0)</f>
        <v>190.95240411828576</v>
      </c>
      <c r="AZ175" s="9">
        <f>IF(48&lt;=核心参数输入!$B$9*4,季度经营税费!AZ178-季度经营税费!AZ179-季度经营税费!AZ174,0)</f>
        <v>190.95240411828576</v>
      </c>
      <c r="BA175" s="9">
        <f>IF(49&lt;=核心参数输入!$B$9*4,季度经营税费!BA178-季度经营税费!BA179-季度经营税费!BA174,0)</f>
        <v>194.05231791218421</v>
      </c>
      <c r="BB175" s="9">
        <f>IF(50&lt;=核心参数输入!$B$9*4,季度经营税费!BB178-季度经营税费!BB179-季度经营税费!BB174,0)</f>
        <v>194.05231791218421</v>
      </c>
      <c r="BC175" s="9">
        <f>IF(51&lt;=核心参数输入!$B$9*4,季度经营税费!BC178-季度经营税费!BC179-季度经营税费!BC174,0)</f>
        <v>194.05231791218421</v>
      </c>
      <c r="BD175" s="9">
        <f>IF(52&lt;=核心参数输入!$B$9*4,季度经营税费!BD178-季度经营税费!BD179-季度经营税费!BD174,0)</f>
        <v>194.05231791218421</v>
      </c>
      <c r="BE175" s="9">
        <f>IF(53&lt;=核心参数输入!$B$9*4,季度经营税费!BE178-季度经营税费!BE179-季度经营税费!BE174,0)</f>
        <v>197.18994296763356</v>
      </c>
      <c r="BF175" s="9">
        <f>IF(54&lt;=核心参数输入!$B$9*4,季度经营税费!BF178-季度经营税费!BF179-季度经营税费!BF174,0)</f>
        <v>197.18994296763356</v>
      </c>
      <c r="BG175" s="9">
        <f>IF(55&lt;=核心参数输入!$B$9*4,季度经营税费!BG178-季度经营税费!BG179-季度经营税费!BG174,0)</f>
        <v>197.18994296763356</v>
      </c>
      <c r="BH175" s="9">
        <f>IF(56&lt;=核心参数输入!$B$9*4,季度经营税费!BH178-季度经营税费!BH179-季度经营税费!BH174,0)</f>
        <v>197.18994296763356</v>
      </c>
      <c r="BI175" s="9">
        <f>IF(57&lt;=核心参数输入!$B$9*4,季度经营税费!BI178-季度经营税费!BI179-季度经营税费!BI174,0)</f>
        <v>200.36566920464995</v>
      </c>
      <c r="BJ175" s="9">
        <f>IF(58&lt;=核心参数输入!$B$9*4,季度经营税费!BJ178-季度经营税费!BJ179-季度经营税费!BJ174,0)</f>
        <v>200.36566920464995</v>
      </c>
      <c r="BK175" s="9">
        <f>IF(59&lt;=核心参数输入!$B$9*4,季度经营税费!BK178-季度经营税费!BK179-季度经营税费!BK174,0)</f>
        <v>200.36566920464995</v>
      </c>
      <c r="BL175" s="9">
        <f>IF(60&lt;=核心参数输入!$B$9*4,季度经营税费!BL178-季度经营税费!BL179-季度经营税费!BL174,0)</f>
        <v>200.36566920464995</v>
      </c>
      <c r="BM175" s="9">
        <f>IF(61&lt;=核心参数输入!$B$9*4,季度经营税费!BM178-季度经营税费!BM179-季度经营税费!BM174,0)</f>
        <v>203.57988887707162</v>
      </c>
      <c r="BN175" s="9">
        <f>IF(62&lt;=核心参数输入!$B$9*4,季度经营税费!BN178-季度经营税费!BN179-季度经营税费!BN174,0)</f>
        <v>203.57988887707162</v>
      </c>
      <c r="BO175" s="9">
        <f>IF(63&lt;=核心参数输入!$B$9*4,季度经营税费!BO178-季度经营税费!BO179-季度经营税费!BO174,0)</f>
        <v>203.57988887707162</v>
      </c>
      <c r="BP175" s="9">
        <f>IF(64&lt;=核心参数输入!$B$9*4,季度经营税费!BP178-季度经营税费!BP179-季度经营税费!BP174,0)</f>
        <v>203.57988887707162</v>
      </c>
      <c r="BQ175" s="9">
        <f>IF(65&lt;=核心参数输入!$B$9*4,季度经营税费!BQ178-季度经营税费!BQ179-季度经营税费!BQ174,0)</f>
        <v>206.83299653726678</v>
      </c>
      <c r="BR175" s="9">
        <f>IF(66&lt;=核心参数输入!$B$9*4,季度经营税费!BR178-季度经营税费!BR179-季度经营税费!BR174,0)</f>
        <v>206.83299653726678</v>
      </c>
      <c r="BS175" s="9">
        <f>IF(67&lt;=核心参数输入!$B$9*4,季度经营税费!BS178-季度经营税费!BS179-季度经营税费!BS174,0)</f>
        <v>206.83299653726678</v>
      </c>
      <c r="BT175" s="9">
        <f>IF(68&lt;=核心参数输入!$B$9*4,季度经营税费!BT178-季度经营税费!BT179-季度经营税费!BT174,0)</f>
        <v>206.83299653726678</v>
      </c>
      <c r="BU175" s="9">
        <f>IF(69&lt;=核心参数输入!$B$9*4,季度经营税费!BU178-季度经营税费!BU179-季度经营税费!BU174,0)</f>
        <v>210.12538899890549</v>
      </c>
      <c r="BV175" s="9">
        <f>IF(70&lt;=核心参数输入!$B$9*4,季度经营税费!BV178-季度经营税费!BV179-季度经营税费!BV174,0)</f>
        <v>210.12538899890549</v>
      </c>
      <c r="BW175" s="9">
        <f>IF(71&lt;=核心参数输入!$B$9*4,季度经营税费!BW178-季度经营税费!BW179-季度经营税费!BW174,0)</f>
        <v>210.12538899890549</v>
      </c>
      <c r="BX175" s="9">
        <f>IF(72&lt;=核心参数输入!$B$9*4,季度经营税费!BX178-季度经营税费!BX179-季度经营税费!BX174,0)</f>
        <v>210.12538899890549</v>
      </c>
      <c r="BY175" s="9">
        <f>IF(73&lt;=核心参数输入!$B$9*4,季度经营税费!BY178-季度经营税费!BY179-季度经营税费!BY174,0)</f>
        <v>213.45746529774047</v>
      </c>
      <c r="BZ175" s="9">
        <f>IF(74&lt;=核心参数输入!$B$9*4,季度经营税费!BZ178-季度经营税费!BZ179-季度经营税费!BZ174,0)</f>
        <v>213.45746529774047</v>
      </c>
      <c r="CA175" s="9">
        <f>IF(75&lt;=核心参数输入!$B$9*4,季度经营税费!CA178-季度经营税费!CA179-季度经营税费!CA174,0)</f>
        <v>213.45746529774047</v>
      </c>
      <c r="CB175" s="9">
        <f>IF(76&lt;=核心参数输入!$B$9*4,季度经营税费!CB178-季度经营税费!CB179-季度经营税费!CB174,0)</f>
        <v>213.45746529774047</v>
      </c>
      <c r="CC175" s="9">
        <f>IF(77&lt;=核心参数输入!$B$9*4,季度经营税费!CC178-季度经营税费!CC179-季度经营税费!CC174,0)</f>
        <v>216.829626650335</v>
      </c>
      <c r="CD175" s="9">
        <f>IF(78&lt;=核心参数输入!$B$9*4,季度经营税费!CD178-季度经营税费!CD179-季度经营税费!CD174,0)</f>
        <v>216.829626650335</v>
      </c>
      <c r="CE175" s="9">
        <f>IF(79&lt;=核心参数输入!$B$9*4,季度经营税费!CE178-季度经营税费!CE179-季度经营税费!CE174,0)</f>
        <v>216.829626650335</v>
      </c>
      <c r="CF175" s="9">
        <f>IF(80&lt;=核心参数输入!$B$9*4,季度经营税费!CF178-季度经营税费!CF179-季度经营税费!CF174,0)</f>
        <v>216.829626650335</v>
      </c>
      <c r="CG175" s="9">
        <f>IF(81&lt;=核心参数输入!$B$9*4,季度经营税费!CG178-季度经营税费!CG179-季度经营税费!CG174,0)</f>
        <v>0</v>
      </c>
      <c r="CH175" s="9">
        <f>IF(82&lt;=核心参数输入!$B$9*4,季度经营税费!CH178-季度经营税费!CH179-季度经营税费!CH174,0)</f>
        <v>0</v>
      </c>
      <c r="CI175" s="9">
        <f>IF(83&lt;=核心参数输入!$B$9*4,季度经营税费!CI178-季度经营税费!CI179-季度经营税费!CI174,0)</f>
        <v>0</v>
      </c>
      <c r="CJ175" s="9">
        <f>IF(84&lt;=核心参数输入!$B$9*4,季度经营税费!CJ178-季度经营税费!CJ179-季度经营税费!CJ174,0)</f>
        <v>0</v>
      </c>
      <c r="CK175" s="9">
        <f>IF(85&lt;=核心参数输入!$B$9*4,季度经营税费!CK178-季度经营税费!CK179-季度经营税费!CK174,0)</f>
        <v>0</v>
      </c>
      <c r="CL175" s="9">
        <f>IF(86&lt;=核心参数输入!$B$9*4,季度经营税费!CL178-季度经营税费!CL179-季度经营税费!CL174,0)</f>
        <v>0</v>
      </c>
      <c r="CM175" s="9">
        <f>IF(87&lt;=核心参数输入!$B$9*4,季度经营税费!CM178-季度经营税费!CM179-季度经营税费!CM174,0)</f>
        <v>0</v>
      </c>
      <c r="CN175" s="9">
        <f>IF(88&lt;=核心参数输入!$B$9*4,季度经营税费!CN178-季度经营税费!CN179-季度经营税费!CN174,0)</f>
        <v>0</v>
      </c>
      <c r="CO175" s="9">
        <f>IF(89&lt;=核心参数输入!$B$9*4,季度经营税费!CO178-季度经营税费!CO179-季度经营税费!CO174,0)</f>
        <v>0</v>
      </c>
      <c r="CP175" s="9">
        <f>IF(90&lt;=核心参数输入!$B$9*4,季度经营税费!CP178-季度经营税费!CP179-季度经营税费!CP174,0)</f>
        <v>0</v>
      </c>
      <c r="CQ175" s="9">
        <f>IF(91&lt;=核心参数输入!$B$9*4,季度经营税费!CQ178-季度经营税费!CQ179-季度经营税费!CQ174,0)</f>
        <v>0</v>
      </c>
      <c r="CR175" s="9">
        <f>IF(92&lt;=核心参数输入!$B$9*4,季度经营税费!CR178-季度经营税费!CR179-季度经营税费!CR174,0)</f>
        <v>0</v>
      </c>
      <c r="CS175" s="9">
        <f>IF(93&lt;=核心参数输入!$B$9*4,季度经营税费!CS178-季度经营税费!CS179-季度经营税费!CS174,0)</f>
        <v>0</v>
      </c>
      <c r="CT175" s="9">
        <f>IF(94&lt;=核心参数输入!$B$9*4,季度经营税费!CT178-季度经营税费!CT179-季度经营税费!CT174,0)</f>
        <v>0</v>
      </c>
      <c r="CU175" s="9">
        <f>IF(95&lt;=核心参数输入!$B$9*4,季度经营税费!CU178-季度经营税费!CU179-季度经营税费!CU174,0)</f>
        <v>0</v>
      </c>
      <c r="CV175" s="9">
        <f>IF(96&lt;=核心参数输入!$B$9*4,季度经营税费!CV178-季度经营税费!CV179-季度经营税费!CV174,0)</f>
        <v>0</v>
      </c>
      <c r="CW175" s="9">
        <f>IF(97&lt;=核心参数输入!$B$9*4,季度经营税费!CW178-季度经营税费!CW179-季度经营税费!CW174,0)</f>
        <v>0</v>
      </c>
      <c r="CX175" s="9">
        <f>IF(98&lt;=核心参数输入!$B$9*4,季度经营税费!CX178-季度经营税费!CX179-季度经营税费!CX174,0)</f>
        <v>0</v>
      </c>
      <c r="CY175" s="9">
        <f>IF(99&lt;=核心参数输入!$B$9*4,季度经营税费!CY178-季度经营税费!CY179-季度经营税费!CY174,0)</f>
        <v>0</v>
      </c>
      <c r="CZ175" s="9">
        <f>IF(100&lt;=核心参数输入!$B$9*4,季度经营税费!CZ178-季度经营税费!CZ179-季度经营税费!CZ174,0)</f>
        <v>0</v>
      </c>
      <c r="DA175" s="9">
        <f>IF(101&lt;=核心参数输入!$B$9*4,季度经营税费!DA178-季度经营税费!DA179-季度经营税费!DA174,0)</f>
        <v>0</v>
      </c>
      <c r="DB175" s="9">
        <f>IF(102&lt;=核心参数输入!$B$9*4,季度经营税费!DB178-季度经营税费!DB179-季度经营税费!DB174,0)</f>
        <v>0</v>
      </c>
      <c r="DC175" s="9">
        <f>IF(103&lt;=核心参数输入!$B$9*4,季度经营税费!DC178-季度经营税费!DC179-季度经营税费!DC174,0)</f>
        <v>0</v>
      </c>
      <c r="DD175" s="9">
        <f>IF(104&lt;=核心参数输入!$B$9*4,季度经营税费!DD178-季度经营税费!DD179-季度经营税费!DD174,0)</f>
        <v>0</v>
      </c>
      <c r="DE175" s="9">
        <f>IF(105&lt;=核心参数输入!$B$9*4,季度经营税费!DE178-季度经营税费!DE179-季度经营税费!DE174,0)</f>
        <v>0</v>
      </c>
      <c r="DF175" s="9">
        <f>IF(106&lt;=核心参数输入!$B$9*4,季度经营税费!DF178-季度经营税费!DF179-季度经营税费!DF174,0)</f>
        <v>0</v>
      </c>
      <c r="DG175" s="9">
        <f>IF(107&lt;=核心参数输入!$B$9*4,季度经营税费!DG178-季度经营税费!DG179-季度经营税费!DG174,0)</f>
        <v>0</v>
      </c>
      <c r="DH175" s="9">
        <f>IF(108&lt;=核心参数输入!$B$9*4,季度经营税费!DH178-季度经营税费!DH179-季度经营税费!DH174,0)</f>
        <v>0</v>
      </c>
      <c r="DI175" s="9">
        <f>IF(109&lt;=核心参数输入!$B$9*4,季度经营税费!DI178-季度经营税费!DI179-季度经营税费!DI174,0)</f>
        <v>0</v>
      </c>
      <c r="DJ175" s="9">
        <f>IF(110&lt;=核心参数输入!$B$9*4,季度经营税费!DJ178-季度经营税费!DJ179-季度经营税费!DJ174,0)</f>
        <v>0</v>
      </c>
      <c r="DK175" s="9">
        <f>IF(111&lt;=核心参数输入!$B$9*4,季度经营税费!DK178-季度经营税费!DK179-季度经营税费!DK174,0)</f>
        <v>0</v>
      </c>
      <c r="DL175" s="9">
        <f>IF(112&lt;=核心参数输入!$B$9*4,季度经营税费!DL178-季度经营税费!DL179-季度经营税费!DL174,0)</f>
        <v>0</v>
      </c>
      <c r="DM175" s="9">
        <f>IF(113&lt;=核心参数输入!$B$9*4,季度经营税费!DM178-季度经营税费!DM179-季度经营税费!DM174,0)</f>
        <v>0</v>
      </c>
      <c r="DN175" s="9">
        <f>IF(114&lt;=核心参数输入!$B$9*4,季度经营税费!DN178-季度经营税费!DN179-季度经营税费!DN174,0)</f>
        <v>0</v>
      </c>
      <c r="DO175" s="9">
        <f>IF(115&lt;=核心参数输入!$B$9*4,季度经营税费!DO178-季度经营税费!DO179-季度经营税费!DO174,0)</f>
        <v>0</v>
      </c>
      <c r="DP175" s="9">
        <f>IF(116&lt;=核心参数输入!$B$9*4,季度经营税费!DP178-季度经营税费!DP179-季度经营税费!DP174,0)</f>
        <v>0</v>
      </c>
      <c r="DQ175" s="9">
        <f>IF(117&lt;=核心参数输入!$B$9*4,季度经营税费!DQ178-季度经营税费!DQ179-季度经营税费!DQ174,0)</f>
        <v>0</v>
      </c>
      <c r="DR175" s="9">
        <f>IF(118&lt;=核心参数输入!$B$9*4,季度经营税费!DR178-季度经营税费!DR179-季度经营税费!DR174,0)</f>
        <v>0</v>
      </c>
      <c r="DS175" s="9">
        <f>IF(119&lt;=核心参数输入!$B$9*4,季度经营税费!DS178-季度经营税费!DS179-季度经营税费!DS174,0)</f>
        <v>0</v>
      </c>
      <c r="DT175" s="9">
        <f>IF(120&lt;=核心参数输入!$B$9*4,季度经营税费!DT178-季度经营税费!DT179-季度经营税费!DT174,0)</f>
        <v>0</v>
      </c>
    </row>
    <row r="176" spans="1:124" ht="21" customHeight="1">
      <c r="A176" s="8" t="s">
        <v>558</v>
      </c>
      <c r="B176" s="8" t="s">
        <v>39</v>
      </c>
      <c r="C176" s="8"/>
      <c r="D176" s="9" t="str">
        <f>IF(0&lt;=核心参数输入!$B$9*4,IF(AND(0&gt;核心参数输入!$B$16*4+核心参数输入!$B$148+核心参数输入!$B$124,季度投融资!D156&gt;0.000001),D175/季度投融资!D156,""),0)</f>
        <v/>
      </c>
      <c r="E176" s="9" t="str">
        <f>IF(1&lt;=核心参数输入!$B$9*4,IF(AND(1&gt;核心参数输入!$B$16*4+核心参数输入!$B$148+核心参数输入!$B$124,季度投融资!E156&gt;0.000001),E175/季度投融资!E156,""),0)</f>
        <v/>
      </c>
      <c r="F176" s="9" t="str">
        <f>IF(2&lt;=核心参数输入!$B$9*4,IF(AND(2&gt;核心参数输入!$B$16*4+核心参数输入!$B$148+核心参数输入!$B$124,季度投融资!F156&gt;0.000001),F175/季度投融资!F156,""),0)</f>
        <v/>
      </c>
      <c r="G176" s="9" t="str">
        <f>IF(3&lt;=核心参数输入!$B$9*4,IF(AND(3&gt;核心参数输入!$B$16*4+核心参数输入!$B$148+核心参数输入!$B$124,季度投融资!G156&gt;0.000001),G175/季度投融资!G156,""),0)</f>
        <v/>
      </c>
      <c r="H176" s="9" t="str">
        <f>IF(4&lt;=核心参数输入!$B$9*4,IF(AND(4&gt;核心参数输入!$B$16*4+核心参数输入!$B$148+核心参数输入!$B$124,季度投融资!H156&gt;0.000001),H175/季度投融资!H156,""),0)</f>
        <v/>
      </c>
      <c r="I176" s="9" t="str">
        <f>IF(5&lt;=核心参数输入!$B$9*4,IF(AND(5&gt;核心参数输入!$B$16*4+核心参数输入!$B$148+核心参数输入!$B$124,季度投融资!I156&gt;0.000001),I175/季度投融资!I156,""),0)</f>
        <v/>
      </c>
      <c r="J176" s="9" t="str">
        <f>IF(6&lt;=核心参数输入!$B$9*4,IF(AND(6&gt;核心参数输入!$B$16*4+核心参数输入!$B$148+核心参数输入!$B$124,季度投融资!J156&gt;0.000001),J175/季度投融资!J156,""),0)</f>
        <v/>
      </c>
      <c r="K176" s="9" t="str">
        <f>IF(7&lt;=核心参数输入!$B$9*4,IF(AND(7&gt;核心参数输入!$B$16*4+核心参数输入!$B$148+核心参数输入!$B$124,季度投融资!K156&gt;0.000001),K175/季度投融资!K156,""),0)</f>
        <v/>
      </c>
      <c r="L176" s="9" t="str">
        <f>IF(8&lt;=核心参数输入!$B$9*4,IF(AND(8&gt;核心参数输入!$B$16*4+核心参数输入!$B$148+核心参数输入!$B$124,季度投融资!L156&gt;0.000001),L175/季度投融资!L156,""),0)</f>
        <v/>
      </c>
      <c r="M176" s="9" t="str">
        <f>IF(9&lt;=核心参数输入!$B$9*4,IF(AND(9&gt;核心参数输入!$B$16*4+核心参数输入!$B$148+核心参数输入!$B$124,季度投融资!M156&gt;0.000001),M175/季度投融资!M156,""),0)</f>
        <v/>
      </c>
      <c r="N176" s="9" t="str">
        <f>IF(10&lt;=核心参数输入!$B$9*4,IF(AND(10&gt;核心参数输入!$B$16*4+核心参数输入!$B$148+核心参数输入!$B$124,季度投融资!N156&gt;0.000001),N175/季度投融资!N156,""),0)</f>
        <v/>
      </c>
      <c r="O176" s="9" t="str">
        <f>IF(11&lt;=核心参数输入!$B$9*4,IF(AND(11&gt;核心参数输入!$B$16*4+核心参数输入!$B$148+核心参数输入!$B$124,季度投融资!O156&gt;0.000001),O175/季度投融资!O156,""),0)</f>
        <v/>
      </c>
      <c r="P176" s="9" t="str">
        <f>IF(12&lt;=核心参数输入!$B$9*4,IF(AND(12&gt;核心参数输入!$B$16*4+核心参数输入!$B$148+核心参数输入!$B$124,季度投融资!P156&gt;0.000001),P175/季度投融资!P156,""),0)</f>
        <v/>
      </c>
      <c r="Q176" s="9">
        <f>IF(13&lt;=核心参数输入!$B$9*4,IF(AND(13&gt;核心参数输入!$B$16*4+核心参数输入!$B$148+核心参数输入!$B$124,季度投融资!Q156&gt;0.000001),Q175/季度投融资!Q156,""),0)</f>
        <v>5.7725163690476187</v>
      </c>
      <c r="R176" s="9">
        <f>IF(14&lt;=核心参数输入!$B$9*4,IF(AND(14&gt;核心参数输入!$B$16*4+核心参数输入!$B$148+核心参数输入!$B$124,季度投融资!R156&gt;0.000001),R175/季度投融资!R156,""),0)</f>
        <v>8.9321423023333342</v>
      </c>
      <c r="S176" s="9">
        <f>IF(15&lt;=核心参数输入!$B$9*4,IF(AND(15&gt;核心参数输入!$B$16*4+核心参数输入!$B$148+核心参数输入!$B$124,季度投融资!S156&gt;0.000001),S175/季度投融资!S156,""),0)</f>
        <v>9.0462155974761931</v>
      </c>
      <c r="T176" s="9">
        <f>IF(16&lt;=核心参数输入!$B$9*4,IF(AND(16&gt;核心参数输入!$B$16*4+核心参数输入!$B$148+核心参数输入!$B$124,季度投融资!T156&gt;0.000001),T175/季度投融资!T156,""),0)</f>
        <v>0.63026560599812786</v>
      </c>
      <c r="U176" s="9">
        <f>IF(17&lt;=核心参数输入!$B$9*4,IF(AND(17&gt;核心参数输入!$B$16*4+核心参数输入!$B$148+核心参数输入!$B$124,季度投融资!U156&gt;0.000001),U175/季度投融资!U156,""),0)</f>
        <v>13.2145362778275</v>
      </c>
      <c r="V176" s="9">
        <f>IF(18&lt;=核心参数输入!$B$9*4,IF(AND(18&gt;核心参数输入!$B$16*4+核心参数输入!$B$148+核心参数输入!$B$124,季度投融资!V156&gt;0.000001),V175/季度投融资!V156,""),0)</f>
        <v>14.52241012307625</v>
      </c>
      <c r="W176" s="9">
        <f>IF(19&lt;=核心参数输入!$B$9*4,IF(AND(19&gt;核心参数输入!$B$16*4+核心参数输入!$B$148+核心参数输入!$B$124,季度投融资!W156&gt;0.000001),W175/季度投融资!W156,""),0)</f>
        <v>14.589951019908749</v>
      </c>
      <c r="X176" s="9">
        <f>IF(20&lt;=核心参数输入!$B$9*4,IF(AND(20&gt;核心参数输入!$B$16*4+核心参数输入!$B$148+核心参数输入!$B$124,季度投融资!X156&gt;0.000001),X175/季度投融资!X156,""),0)</f>
        <v>0.87300590002807743</v>
      </c>
      <c r="Y176" s="9">
        <f>IF(21&lt;=核心参数输入!$B$9*4,IF(AND(21&gt;核心参数输入!$B$16*4+核心参数输入!$B$148+核心参数输入!$B$124,季度投融资!Y156&gt;0.000001),Y175/季度投融资!Y156,""),0)</f>
        <v>14.805601591932826</v>
      </c>
      <c r="Z176" s="9">
        <f>IF(22&lt;=核心参数输入!$B$9*4,IF(AND(22&gt;核心参数输入!$B$16*4+核心参数输入!$B$148+核心参数输入!$B$124,季度投融资!Z156&gt;0.000001),Z175/季度投融资!Z156,""),0)</f>
        <v>13.429708302732063</v>
      </c>
      <c r="AA176" s="9">
        <f>IF(23&lt;=核心参数输入!$B$9*4,IF(AND(23&gt;核心参数输入!$B$16*4+核心参数输入!$B$148+核心参数输入!$B$124,季度投融资!AA156&gt;0.000001),AA175/季度投融资!AA156,""),0)</f>
        <v>13.491406911988552</v>
      </c>
      <c r="AB176" s="9">
        <f>IF(24&lt;=核心参数输入!$B$9*4,IF(AND(24&gt;核心参数输入!$B$16*4+核心参数输入!$B$148+核心参数输入!$B$124,季度投融资!AB156&gt;0.000001),AB175/季度投融资!AB156,""),0)</f>
        <v>0.67943474802135584</v>
      </c>
      <c r="AC176" s="9">
        <f>IF(25&lt;=核心参数输入!$B$9*4,IF(AND(25&gt;核心参数输入!$B$16*4+核心参数输入!$B$148+核心参数输入!$B$124,季度投融资!AC156&gt;0.000001),AC175/季度投融资!AC156,""),0)</f>
        <v>6.2638234046363168</v>
      </c>
      <c r="AD176" s="9">
        <f>IF(26&lt;=核心参数输入!$B$9*4,IF(AND(26&gt;核心参数输入!$B$16*4+核心参数输入!$B$148+核心参数输入!$B$124,季度投融资!AD156&gt;0.000001),AD175/季度投融资!AD156,""),0)</f>
        <v>0.88647889496576293</v>
      </c>
      <c r="AE176" s="9">
        <f>IF(27&lt;=核心参数输入!$B$9*4,IF(AND(27&gt;核心参数输入!$B$16*4+核心参数输入!$B$148+核心参数输入!$B$124,季度投融资!AE156&gt;0.000001),AE175/季度投融资!AE156,""),0)</f>
        <v>0.91257226513048628</v>
      </c>
      <c r="AF176" s="9">
        <f>IF(28&lt;=核心参数输入!$B$9*4,IF(AND(28&gt;核心参数输入!$B$16*4+核心参数输入!$B$148+核心参数输入!$B$124,季度投融资!AF156&gt;0.000001),AF175/季度投融资!AF156,""),0)</f>
        <v>3.8026483416830313E-2</v>
      </c>
      <c r="AG176" s="9">
        <f>IF(29&lt;=核心参数输入!$B$9*4,IF(AND(29&gt;核心参数输入!$B$16*4+核心参数输入!$B$148+核心参数输入!$B$124,季度投融资!AG156&gt;0.000001),AG175/季度投融资!AG156,""),0)</f>
        <v>1.3076927207224429</v>
      </c>
      <c r="AH176" s="9">
        <f>IF(30&lt;=核心参数输入!$B$9*4,IF(AND(30&gt;核心参数输入!$B$16*4+核心参数输入!$B$148+核心参数输入!$B$124,季度投融资!AH156&gt;0.000001),AH175/季度投融资!AH156,""),0)</f>
        <v>1.3253492345339055</v>
      </c>
      <c r="AI176" s="9">
        <f>IF(31&lt;=核心参数输入!$B$9*4,IF(AND(31&gt;核心参数输入!$B$16*4+核心参数输入!$B$148+核心参数输入!$B$124,季度投融资!AI156&gt;0.000001),AI175/季度投融资!AI156,""),0)</f>
        <v>1.3253492345339055</v>
      </c>
      <c r="AJ176" s="9">
        <f>IF(32&lt;=核心参数输入!$B$9*4,IF(AND(32&gt;核心参数输入!$B$16*4+核心参数输入!$B$148+核心参数输入!$B$124,季度投融资!AJ156&gt;0.000001),AJ175/季度投融资!AJ156,""),0)</f>
        <v>4.0680634239043147E-2</v>
      </c>
      <c r="AK176" s="9">
        <f>IF(33&lt;=核心参数输入!$B$9*4,IF(AND(33&gt;核心参数输入!$B$16*4+核心参数输入!$B$148+核心参数输入!$B$124,季度投融资!AK156&gt;0.000001),AK175/季度投融资!AK156,""),0)</f>
        <v>2.0208340755778722</v>
      </c>
      <c r="AL176" s="9">
        <f>IF(34&lt;=核心参数输入!$B$9*4,IF(AND(34&gt;核心参数输入!$B$16*4+核心参数输入!$B$148+核心参数输入!$B$124,季度投融资!AL156&gt;0.000001),AL175/季度投融资!AL156,""),0)</f>
        <v>2.0208340755778722</v>
      </c>
      <c r="AM176" s="9">
        <f>IF(35&lt;=核心参数输入!$B$9*4,IF(AND(35&gt;核心参数输入!$B$16*4+核心参数输入!$B$148+核心参数输入!$B$124,季度投融资!AM156&gt;0.000001),AM175/季度投融资!AM156,""),0)</f>
        <v>2.0208340755778722</v>
      </c>
      <c r="AN176" s="9">
        <f>IF(36&lt;=核心参数输入!$B$9*4,IF(AND(36&gt;核心参数输入!$B$16*4+核心参数输入!$B$148+核心参数输入!$B$124,季度投融资!AN156&gt;0.000001),AN175/季度投融资!AN156,""),0)</f>
        <v>4.1779488641038941E-2</v>
      </c>
      <c r="AO176" s="9">
        <f>IF(37&lt;=核心参数输入!$B$9*4,IF(AND(37&gt;核心参数输入!$B$16*4+核心参数输入!$B$148+核心参数输入!$B$124,季度投融资!AO156&gt;0.000001),AO175/季度投融资!AO156,""),0)</f>
        <v>4.1080925000630781</v>
      </c>
      <c r="AP176" s="9">
        <f>IF(38&lt;=核心参数输入!$B$9*4,IF(AND(38&gt;核心参数输入!$B$16*4+核心参数输入!$B$148+核心参数输入!$B$124,季度投融资!AP156&gt;0.000001),AP175/季度投融资!AP156,""),0)</f>
        <v>4.1080925000630781</v>
      </c>
      <c r="AQ176" s="9">
        <f>IF(39&lt;=核心参数输入!$B$9*4,IF(AND(39&gt;核心参数输入!$B$16*4+核心参数输入!$B$148+核心参数输入!$B$124,季度投融资!AQ156&gt;0.000001),AQ175/季度投融资!AQ156,""),0)</f>
        <v>4.1080925000630781</v>
      </c>
      <c r="AR176" s="9">
        <f>IF(40&lt;=核心参数输入!$B$9*4,IF(AND(40&gt;核心参数输入!$B$16*4+核心参数输入!$B$148+核心参数输入!$B$124,季度投融资!AR156&gt;0.000001),AR175/季度投融资!AR156,""),0)</f>
        <v>4.2909695350074432E-2</v>
      </c>
      <c r="AS176" s="9" t="str">
        <f>IF(41&lt;=核心参数输入!$B$9*4,IF(AND(41&gt;核心参数输入!$B$16*4+核心参数输入!$B$148+核心参数输入!$B$124,季度投融资!AS156&gt;0.000001),AS175/季度投融资!AS156,""),0)</f>
        <v/>
      </c>
      <c r="AT176" s="9" t="str">
        <f>IF(42&lt;=核心参数输入!$B$9*4,IF(AND(42&gt;核心参数输入!$B$16*4+核心参数输入!$B$148+核心参数输入!$B$124,季度投融资!AT156&gt;0.000001),AT175/季度投融资!AT156,""),0)</f>
        <v/>
      </c>
      <c r="AU176" s="9" t="str">
        <f>IF(43&lt;=核心参数输入!$B$9*4,IF(AND(43&gt;核心参数输入!$B$16*4+核心参数输入!$B$148+核心参数输入!$B$124,季度投融资!AU156&gt;0.000001),AU175/季度投融资!AU156,""),0)</f>
        <v/>
      </c>
      <c r="AV176" s="9" t="str">
        <f>IF(44&lt;=核心参数输入!$B$9*4,IF(AND(44&gt;核心参数输入!$B$16*4+核心参数输入!$B$148+核心参数输入!$B$124,季度投融资!AV156&gt;0.000001),AV175/季度投融资!AV156,""),0)</f>
        <v/>
      </c>
      <c r="AW176" s="9" t="str">
        <f>IF(45&lt;=核心参数输入!$B$9*4,IF(AND(45&gt;核心参数输入!$B$16*4+核心参数输入!$B$148+核心参数输入!$B$124,季度投融资!AW156&gt;0.000001),AW175/季度投融资!AW156,""),0)</f>
        <v/>
      </c>
      <c r="AX176" s="9" t="str">
        <f>IF(46&lt;=核心参数输入!$B$9*4,IF(AND(46&gt;核心参数输入!$B$16*4+核心参数输入!$B$148+核心参数输入!$B$124,季度投融资!AX156&gt;0.000001),AX175/季度投融资!AX156,""),0)</f>
        <v/>
      </c>
      <c r="AY176" s="9" t="str">
        <f>IF(47&lt;=核心参数输入!$B$9*4,IF(AND(47&gt;核心参数输入!$B$16*4+核心参数输入!$B$148+核心参数输入!$B$124,季度投融资!AY156&gt;0.000001),AY175/季度投融资!AY156,""),0)</f>
        <v/>
      </c>
      <c r="AZ176" s="9" t="str">
        <f>IF(48&lt;=核心参数输入!$B$9*4,IF(AND(48&gt;核心参数输入!$B$16*4+核心参数输入!$B$148+核心参数输入!$B$124,季度投融资!AZ156&gt;0.000001),AZ175/季度投融资!AZ156,""),0)</f>
        <v/>
      </c>
      <c r="BA176" s="9" t="str">
        <f>IF(49&lt;=核心参数输入!$B$9*4,IF(AND(49&gt;核心参数输入!$B$16*4+核心参数输入!$B$148+核心参数输入!$B$124,季度投融资!BA156&gt;0.000001),BA175/季度投融资!BA156,""),0)</f>
        <v/>
      </c>
      <c r="BB176" s="9" t="str">
        <f>IF(50&lt;=核心参数输入!$B$9*4,IF(AND(50&gt;核心参数输入!$B$16*4+核心参数输入!$B$148+核心参数输入!$B$124,季度投融资!BB156&gt;0.000001),BB175/季度投融资!BB156,""),0)</f>
        <v/>
      </c>
      <c r="BC176" s="9" t="str">
        <f>IF(51&lt;=核心参数输入!$B$9*4,IF(AND(51&gt;核心参数输入!$B$16*4+核心参数输入!$B$148+核心参数输入!$B$124,季度投融资!BC156&gt;0.000001),BC175/季度投融资!BC156,""),0)</f>
        <v/>
      </c>
      <c r="BD176" s="9" t="str">
        <f>IF(52&lt;=核心参数输入!$B$9*4,IF(AND(52&gt;核心参数输入!$B$16*4+核心参数输入!$B$148+核心参数输入!$B$124,季度投融资!BD156&gt;0.000001),BD175/季度投融资!BD156,""),0)</f>
        <v/>
      </c>
      <c r="BE176" s="9" t="str">
        <f>IF(53&lt;=核心参数输入!$B$9*4,IF(AND(53&gt;核心参数输入!$B$16*4+核心参数输入!$B$148+核心参数输入!$B$124,季度投融资!BE156&gt;0.000001),BE175/季度投融资!BE156,""),0)</f>
        <v/>
      </c>
      <c r="BF176" s="9" t="str">
        <f>IF(54&lt;=核心参数输入!$B$9*4,IF(AND(54&gt;核心参数输入!$B$16*4+核心参数输入!$B$148+核心参数输入!$B$124,季度投融资!BF156&gt;0.000001),BF175/季度投融资!BF156,""),0)</f>
        <v/>
      </c>
      <c r="BG176" s="9" t="str">
        <f>IF(55&lt;=核心参数输入!$B$9*4,IF(AND(55&gt;核心参数输入!$B$16*4+核心参数输入!$B$148+核心参数输入!$B$124,季度投融资!BG156&gt;0.000001),BG175/季度投融资!BG156,""),0)</f>
        <v/>
      </c>
      <c r="BH176" s="9" t="str">
        <f>IF(56&lt;=核心参数输入!$B$9*4,IF(AND(56&gt;核心参数输入!$B$16*4+核心参数输入!$B$148+核心参数输入!$B$124,季度投融资!BH156&gt;0.000001),BH175/季度投融资!BH156,""),0)</f>
        <v/>
      </c>
      <c r="BI176" s="9" t="str">
        <f>IF(57&lt;=核心参数输入!$B$9*4,IF(AND(57&gt;核心参数输入!$B$16*4+核心参数输入!$B$148+核心参数输入!$B$124,季度投融资!BI156&gt;0.000001),BI175/季度投融资!BI156,""),0)</f>
        <v/>
      </c>
      <c r="BJ176" s="9" t="str">
        <f>IF(58&lt;=核心参数输入!$B$9*4,IF(AND(58&gt;核心参数输入!$B$16*4+核心参数输入!$B$148+核心参数输入!$B$124,季度投融资!BJ156&gt;0.000001),BJ175/季度投融资!BJ156,""),0)</f>
        <v/>
      </c>
      <c r="BK176" s="9" t="str">
        <f>IF(59&lt;=核心参数输入!$B$9*4,IF(AND(59&gt;核心参数输入!$B$16*4+核心参数输入!$B$148+核心参数输入!$B$124,季度投融资!BK156&gt;0.000001),BK175/季度投融资!BK156,""),0)</f>
        <v/>
      </c>
      <c r="BL176" s="9" t="str">
        <f>IF(60&lt;=核心参数输入!$B$9*4,IF(AND(60&gt;核心参数输入!$B$16*4+核心参数输入!$B$148+核心参数输入!$B$124,季度投融资!BL156&gt;0.000001),BL175/季度投融资!BL156,""),0)</f>
        <v/>
      </c>
      <c r="BM176" s="9" t="str">
        <f>IF(61&lt;=核心参数输入!$B$9*4,IF(AND(61&gt;核心参数输入!$B$16*4+核心参数输入!$B$148+核心参数输入!$B$124,季度投融资!BM156&gt;0.000001),BM175/季度投融资!BM156,""),0)</f>
        <v/>
      </c>
      <c r="BN176" s="9" t="str">
        <f>IF(62&lt;=核心参数输入!$B$9*4,IF(AND(62&gt;核心参数输入!$B$16*4+核心参数输入!$B$148+核心参数输入!$B$124,季度投融资!BN156&gt;0.000001),BN175/季度投融资!BN156,""),0)</f>
        <v/>
      </c>
      <c r="BO176" s="9" t="str">
        <f>IF(63&lt;=核心参数输入!$B$9*4,IF(AND(63&gt;核心参数输入!$B$16*4+核心参数输入!$B$148+核心参数输入!$B$124,季度投融资!BO156&gt;0.000001),BO175/季度投融资!BO156,""),0)</f>
        <v/>
      </c>
      <c r="BP176" s="9" t="str">
        <f>IF(64&lt;=核心参数输入!$B$9*4,IF(AND(64&gt;核心参数输入!$B$16*4+核心参数输入!$B$148+核心参数输入!$B$124,季度投融资!BP156&gt;0.000001),BP175/季度投融资!BP156,""),0)</f>
        <v/>
      </c>
      <c r="BQ176" s="9" t="str">
        <f>IF(65&lt;=核心参数输入!$B$9*4,IF(AND(65&gt;核心参数输入!$B$16*4+核心参数输入!$B$148+核心参数输入!$B$124,季度投融资!BQ156&gt;0.000001),BQ175/季度投融资!BQ156,""),0)</f>
        <v/>
      </c>
      <c r="BR176" s="9" t="str">
        <f>IF(66&lt;=核心参数输入!$B$9*4,IF(AND(66&gt;核心参数输入!$B$16*4+核心参数输入!$B$148+核心参数输入!$B$124,季度投融资!BR156&gt;0.000001),BR175/季度投融资!BR156,""),0)</f>
        <v/>
      </c>
      <c r="BS176" s="9" t="str">
        <f>IF(67&lt;=核心参数输入!$B$9*4,IF(AND(67&gt;核心参数输入!$B$16*4+核心参数输入!$B$148+核心参数输入!$B$124,季度投融资!BS156&gt;0.000001),BS175/季度投融资!BS156,""),0)</f>
        <v/>
      </c>
      <c r="BT176" s="9" t="str">
        <f>IF(68&lt;=核心参数输入!$B$9*4,IF(AND(68&gt;核心参数输入!$B$16*4+核心参数输入!$B$148+核心参数输入!$B$124,季度投融资!BT156&gt;0.000001),BT175/季度投融资!BT156,""),0)</f>
        <v/>
      </c>
      <c r="BU176" s="9" t="str">
        <f>IF(69&lt;=核心参数输入!$B$9*4,IF(AND(69&gt;核心参数输入!$B$16*4+核心参数输入!$B$148+核心参数输入!$B$124,季度投融资!BU156&gt;0.000001),BU175/季度投融资!BU156,""),0)</f>
        <v/>
      </c>
      <c r="BV176" s="9" t="str">
        <f>IF(70&lt;=核心参数输入!$B$9*4,IF(AND(70&gt;核心参数输入!$B$16*4+核心参数输入!$B$148+核心参数输入!$B$124,季度投融资!BV156&gt;0.000001),BV175/季度投融资!BV156,""),0)</f>
        <v/>
      </c>
      <c r="BW176" s="9" t="str">
        <f>IF(71&lt;=核心参数输入!$B$9*4,IF(AND(71&gt;核心参数输入!$B$16*4+核心参数输入!$B$148+核心参数输入!$B$124,季度投融资!BW156&gt;0.000001),BW175/季度投融资!BW156,""),0)</f>
        <v/>
      </c>
      <c r="BX176" s="9" t="str">
        <f>IF(72&lt;=核心参数输入!$B$9*4,IF(AND(72&gt;核心参数输入!$B$16*4+核心参数输入!$B$148+核心参数输入!$B$124,季度投融资!BX156&gt;0.000001),BX175/季度投融资!BX156,""),0)</f>
        <v/>
      </c>
      <c r="BY176" s="9" t="str">
        <f>IF(73&lt;=核心参数输入!$B$9*4,IF(AND(73&gt;核心参数输入!$B$16*4+核心参数输入!$B$148+核心参数输入!$B$124,季度投融资!BY156&gt;0.000001),BY175/季度投融资!BY156,""),0)</f>
        <v/>
      </c>
      <c r="BZ176" s="9" t="str">
        <f>IF(74&lt;=核心参数输入!$B$9*4,IF(AND(74&gt;核心参数输入!$B$16*4+核心参数输入!$B$148+核心参数输入!$B$124,季度投融资!BZ156&gt;0.000001),BZ175/季度投融资!BZ156,""),0)</f>
        <v/>
      </c>
      <c r="CA176" s="9" t="str">
        <f>IF(75&lt;=核心参数输入!$B$9*4,IF(AND(75&gt;核心参数输入!$B$16*4+核心参数输入!$B$148+核心参数输入!$B$124,季度投融资!CA156&gt;0.000001),CA175/季度投融资!CA156,""),0)</f>
        <v/>
      </c>
      <c r="CB176" s="9" t="str">
        <f>IF(76&lt;=核心参数输入!$B$9*4,IF(AND(76&gt;核心参数输入!$B$16*4+核心参数输入!$B$148+核心参数输入!$B$124,季度投融资!CB156&gt;0.000001),CB175/季度投融资!CB156,""),0)</f>
        <v/>
      </c>
      <c r="CC176" s="9" t="str">
        <f>IF(77&lt;=核心参数输入!$B$9*4,IF(AND(77&gt;核心参数输入!$B$16*4+核心参数输入!$B$148+核心参数输入!$B$124,季度投融资!CC156&gt;0.000001),CC175/季度投融资!CC156,""),0)</f>
        <v/>
      </c>
      <c r="CD176" s="9" t="str">
        <f>IF(78&lt;=核心参数输入!$B$9*4,IF(AND(78&gt;核心参数输入!$B$16*4+核心参数输入!$B$148+核心参数输入!$B$124,季度投融资!CD156&gt;0.000001),CD175/季度投融资!CD156,""),0)</f>
        <v/>
      </c>
      <c r="CE176" s="9" t="str">
        <f>IF(79&lt;=核心参数输入!$B$9*4,IF(AND(79&gt;核心参数输入!$B$16*4+核心参数输入!$B$148+核心参数输入!$B$124,季度投融资!CE156&gt;0.000001),CE175/季度投融资!CE156,""),0)</f>
        <v/>
      </c>
      <c r="CF176" s="9" t="str">
        <f>IF(80&lt;=核心参数输入!$B$9*4,IF(AND(80&gt;核心参数输入!$B$16*4+核心参数输入!$B$148+核心参数输入!$B$124,季度投融资!CF156&gt;0.000001),CF175/季度投融资!CF156,""),0)</f>
        <v/>
      </c>
      <c r="CG176" s="9">
        <f>IF(81&lt;=核心参数输入!$B$9*4,IF(AND(81&gt;核心参数输入!$B$16*4+核心参数输入!$B$148+核心参数输入!$B$124,季度投融资!CG156&gt;0.000001),CG175/季度投融资!CG156,""),0)</f>
        <v>0</v>
      </c>
      <c r="CH176" s="9">
        <f>IF(82&lt;=核心参数输入!$B$9*4,IF(AND(82&gt;核心参数输入!$B$16*4+核心参数输入!$B$148+核心参数输入!$B$124,季度投融资!CH156&gt;0.000001),CH175/季度投融资!CH156,""),0)</f>
        <v>0</v>
      </c>
      <c r="CI176" s="9">
        <f>IF(83&lt;=核心参数输入!$B$9*4,IF(AND(83&gt;核心参数输入!$B$16*4+核心参数输入!$B$148+核心参数输入!$B$124,季度投融资!CI156&gt;0.000001),CI175/季度投融资!CI156,""),0)</f>
        <v>0</v>
      </c>
      <c r="CJ176" s="9">
        <f>IF(84&lt;=核心参数输入!$B$9*4,IF(AND(84&gt;核心参数输入!$B$16*4+核心参数输入!$B$148+核心参数输入!$B$124,季度投融资!CJ156&gt;0.000001),CJ175/季度投融资!CJ156,""),0)</f>
        <v>0</v>
      </c>
      <c r="CK176" s="9">
        <f>IF(85&lt;=核心参数输入!$B$9*4,IF(AND(85&gt;核心参数输入!$B$16*4+核心参数输入!$B$148+核心参数输入!$B$124,季度投融资!CK156&gt;0.000001),CK175/季度投融资!CK156,""),0)</f>
        <v>0</v>
      </c>
      <c r="CL176" s="9">
        <f>IF(86&lt;=核心参数输入!$B$9*4,IF(AND(86&gt;核心参数输入!$B$16*4+核心参数输入!$B$148+核心参数输入!$B$124,季度投融资!CL156&gt;0.000001),CL175/季度投融资!CL156,""),0)</f>
        <v>0</v>
      </c>
      <c r="CM176" s="9">
        <f>IF(87&lt;=核心参数输入!$B$9*4,IF(AND(87&gt;核心参数输入!$B$16*4+核心参数输入!$B$148+核心参数输入!$B$124,季度投融资!CM156&gt;0.000001),CM175/季度投融资!CM156,""),0)</f>
        <v>0</v>
      </c>
      <c r="CN176" s="9">
        <f>IF(88&lt;=核心参数输入!$B$9*4,IF(AND(88&gt;核心参数输入!$B$16*4+核心参数输入!$B$148+核心参数输入!$B$124,季度投融资!CN156&gt;0.000001),CN175/季度投融资!CN156,""),0)</f>
        <v>0</v>
      </c>
      <c r="CO176" s="9">
        <f>IF(89&lt;=核心参数输入!$B$9*4,IF(AND(89&gt;核心参数输入!$B$16*4+核心参数输入!$B$148+核心参数输入!$B$124,季度投融资!CO156&gt;0.000001),CO175/季度投融资!CO156,""),0)</f>
        <v>0</v>
      </c>
      <c r="CP176" s="9">
        <f>IF(90&lt;=核心参数输入!$B$9*4,IF(AND(90&gt;核心参数输入!$B$16*4+核心参数输入!$B$148+核心参数输入!$B$124,季度投融资!CP156&gt;0.000001),CP175/季度投融资!CP156,""),0)</f>
        <v>0</v>
      </c>
      <c r="CQ176" s="9">
        <f>IF(91&lt;=核心参数输入!$B$9*4,IF(AND(91&gt;核心参数输入!$B$16*4+核心参数输入!$B$148+核心参数输入!$B$124,季度投融资!CQ156&gt;0.000001),CQ175/季度投融资!CQ156,""),0)</f>
        <v>0</v>
      </c>
      <c r="CR176" s="9">
        <f>IF(92&lt;=核心参数输入!$B$9*4,IF(AND(92&gt;核心参数输入!$B$16*4+核心参数输入!$B$148+核心参数输入!$B$124,季度投融资!CR156&gt;0.000001),CR175/季度投融资!CR156,""),0)</f>
        <v>0</v>
      </c>
      <c r="CS176" s="9">
        <f>IF(93&lt;=核心参数输入!$B$9*4,IF(AND(93&gt;核心参数输入!$B$16*4+核心参数输入!$B$148+核心参数输入!$B$124,季度投融资!CS156&gt;0.000001),CS175/季度投融资!CS156,""),0)</f>
        <v>0</v>
      </c>
      <c r="CT176" s="9">
        <f>IF(94&lt;=核心参数输入!$B$9*4,IF(AND(94&gt;核心参数输入!$B$16*4+核心参数输入!$B$148+核心参数输入!$B$124,季度投融资!CT156&gt;0.000001),CT175/季度投融资!CT156,""),0)</f>
        <v>0</v>
      </c>
      <c r="CU176" s="9">
        <f>IF(95&lt;=核心参数输入!$B$9*4,IF(AND(95&gt;核心参数输入!$B$16*4+核心参数输入!$B$148+核心参数输入!$B$124,季度投融资!CU156&gt;0.000001),CU175/季度投融资!CU156,""),0)</f>
        <v>0</v>
      </c>
      <c r="CV176" s="9">
        <f>IF(96&lt;=核心参数输入!$B$9*4,IF(AND(96&gt;核心参数输入!$B$16*4+核心参数输入!$B$148+核心参数输入!$B$124,季度投融资!CV156&gt;0.000001),CV175/季度投融资!CV156,""),0)</f>
        <v>0</v>
      </c>
      <c r="CW176" s="9">
        <f>IF(97&lt;=核心参数输入!$B$9*4,IF(AND(97&gt;核心参数输入!$B$16*4+核心参数输入!$B$148+核心参数输入!$B$124,季度投融资!CW156&gt;0.000001),CW175/季度投融资!CW156,""),0)</f>
        <v>0</v>
      </c>
      <c r="CX176" s="9">
        <f>IF(98&lt;=核心参数输入!$B$9*4,IF(AND(98&gt;核心参数输入!$B$16*4+核心参数输入!$B$148+核心参数输入!$B$124,季度投融资!CX156&gt;0.000001),CX175/季度投融资!CX156,""),0)</f>
        <v>0</v>
      </c>
      <c r="CY176" s="9">
        <f>IF(99&lt;=核心参数输入!$B$9*4,IF(AND(99&gt;核心参数输入!$B$16*4+核心参数输入!$B$148+核心参数输入!$B$124,季度投融资!CY156&gt;0.000001),CY175/季度投融资!CY156,""),0)</f>
        <v>0</v>
      </c>
      <c r="CZ176" s="9">
        <f>IF(100&lt;=核心参数输入!$B$9*4,IF(AND(100&gt;核心参数输入!$B$16*4+核心参数输入!$B$148+核心参数输入!$B$124,季度投融资!CZ156&gt;0.000001),CZ175/季度投融资!CZ156,""),0)</f>
        <v>0</v>
      </c>
      <c r="DA176" s="9">
        <f>IF(101&lt;=核心参数输入!$B$9*4,IF(AND(101&gt;核心参数输入!$B$16*4+核心参数输入!$B$148+核心参数输入!$B$124,季度投融资!DA156&gt;0.000001),DA175/季度投融资!DA156,""),0)</f>
        <v>0</v>
      </c>
      <c r="DB176" s="9">
        <f>IF(102&lt;=核心参数输入!$B$9*4,IF(AND(102&gt;核心参数输入!$B$16*4+核心参数输入!$B$148+核心参数输入!$B$124,季度投融资!DB156&gt;0.000001),DB175/季度投融资!DB156,""),0)</f>
        <v>0</v>
      </c>
      <c r="DC176" s="9">
        <f>IF(103&lt;=核心参数输入!$B$9*4,IF(AND(103&gt;核心参数输入!$B$16*4+核心参数输入!$B$148+核心参数输入!$B$124,季度投融资!DC156&gt;0.000001),DC175/季度投融资!DC156,""),0)</f>
        <v>0</v>
      </c>
      <c r="DD176" s="9">
        <f>IF(104&lt;=核心参数输入!$B$9*4,IF(AND(104&gt;核心参数输入!$B$16*4+核心参数输入!$B$148+核心参数输入!$B$124,季度投融资!DD156&gt;0.000001),DD175/季度投融资!DD156,""),0)</f>
        <v>0</v>
      </c>
      <c r="DE176" s="9">
        <f>IF(105&lt;=核心参数输入!$B$9*4,IF(AND(105&gt;核心参数输入!$B$16*4+核心参数输入!$B$148+核心参数输入!$B$124,季度投融资!DE156&gt;0.000001),DE175/季度投融资!DE156,""),0)</f>
        <v>0</v>
      </c>
      <c r="DF176" s="9">
        <f>IF(106&lt;=核心参数输入!$B$9*4,IF(AND(106&gt;核心参数输入!$B$16*4+核心参数输入!$B$148+核心参数输入!$B$124,季度投融资!DF156&gt;0.000001),DF175/季度投融资!DF156,""),0)</f>
        <v>0</v>
      </c>
      <c r="DG176" s="9">
        <f>IF(107&lt;=核心参数输入!$B$9*4,IF(AND(107&gt;核心参数输入!$B$16*4+核心参数输入!$B$148+核心参数输入!$B$124,季度投融资!DG156&gt;0.000001),DG175/季度投融资!DG156,""),0)</f>
        <v>0</v>
      </c>
      <c r="DH176" s="9">
        <f>IF(108&lt;=核心参数输入!$B$9*4,IF(AND(108&gt;核心参数输入!$B$16*4+核心参数输入!$B$148+核心参数输入!$B$124,季度投融资!DH156&gt;0.000001),DH175/季度投融资!DH156,""),0)</f>
        <v>0</v>
      </c>
      <c r="DI176" s="9">
        <f>IF(109&lt;=核心参数输入!$B$9*4,IF(AND(109&gt;核心参数输入!$B$16*4+核心参数输入!$B$148+核心参数输入!$B$124,季度投融资!DI156&gt;0.000001),DI175/季度投融资!DI156,""),0)</f>
        <v>0</v>
      </c>
      <c r="DJ176" s="9">
        <f>IF(110&lt;=核心参数输入!$B$9*4,IF(AND(110&gt;核心参数输入!$B$16*4+核心参数输入!$B$148+核心参数输入!$B$124,季度投融资!DJ156&gt;0.000001),DJ175/季度投融资!DJ156,""),0)</f>
        <v>0</v>
      </c>
      <c r="DK176" s="9">
        <f>IF(111&lt;=核心参数输入!$B$9*4,IF(AND(111&gt;核心参数输入!$B$16*4+核心参数输入!$B$148+核心参数输入!$B$124,季度投融资!DK156&gt;0.000001),DK175/季度投融资!DK156,""),0)</f>
        <v>0</v>
      </c>
      <c r="DL176" s="9">
        <f>IF(112&lt;=核心参数输入!$B$9*4,IF(AND(112&gt;核心参数输入!$B$16*4+核心参数输入!$B$148+核心参数输入!$B$124,季度投融资!DL156&gt;0.000001),DL175/季度投融资!DL156,""),0)</f>
        <v>0</v>
      </c>
      <c r="DM176" s="9">
        <f>IF(113&lt;=核心参数输入!$B$9*4,IF(AND(113&gt;核心参数输入!$B$16*4+核心参数输入!$B$148+核心参数输入!$B$124,季度投融资!DM156&gt;0.000001),DM175/季度投融资!DM156,""),0)</f>
        <v>0</v>
      </c>
      <c r="DN176" s="9">
        <f>IF(114&lt;=核心参数输入!$B$9*4,IF(AND(114&gt;核心参数输入!$B$16*4+核心参数输入!$B$148+核心参数输入!$B$124,季度投融资!DN156&gt;0.000001),DN175/季度投融资!DN156,""),0)</f>
        <v>0</v>
      </c>
      <c r="DO176" s="9">
        <f>IF(115&lt;=核心参数输入!$B$9*4,IF(AND(115&gt;核心参数输入!$B$16*4+核心参数输入!$B$148+核心参数输入!$B$124,季度投融资!DO156&gt;0.000001),DO175/季度投融资!DO156,""),0)</f>
        <v>0</v>
      </c>
      <c r="DP176" s="9">
        <f>IF(116&lt;=核心参数输入!$B$9*4,IF(AND(116&gt;核心参数输入!$B$16*4+核心参数输入!$B$148+核心参数输入!$B$124,季度投融资!DP156&gt;0.000001),DP175/季度投融资!DP156,""),0)</f>
        <v>0</v>
      </c>
      <c r="DQ176" s="9">
        <f>IF(117&lt;=核心参数输入!$B$9*4,IF(AND(117&gt;核心参数输入!$B$16*4+核心参数输入!$B$148+核心参数输入!$B$124,季度投融资!DQ156&gt;0.000001),DQ175/季度投融资!DQ156,""),0)</f>
        <v>0</v>
      </c>
      <c r="DR176" s="9">
        <f>IF(118&lt;=核心参数输入!$B$9*4,IF(AND(118&gt;核心参数输入!$B$16*4+核心参数输入!$B$148+核心参数输入!$B$124,季度投融资!DR156&gt;0.000001),DR175/季度投融资!DR156,""),0)</f>
        <v>0</v>
      </c>
      <c r="DS176" s="9">
        <f>IF(119&lt;=核心参数输入!$B$9*4,IF(AND(119&gt;核心参数输入!$B$16*4+核心参数输入!$B$148+核心参数输入!$B$124,季度投融资!DS156&gt;0.000001),DS175/季度投融资!DS156,""),0)</f>
        <v>0</v>
      </c>
      <c r="DT176" s="9">
        <f>IF(120&lt;=核心参数输入!$B$9*4,IF(AND(120&gt;核心参数输入!$B$16*4+核心参数输入!$B$148+核心参数输入!$B$124,季度投融资!DT156&gt;0.000001),DT175/季度投融资!DT156,""),0)</f>
        <v>0</v>
      </c>
    </row>
    <row r="177" spans="1:124" ht="21" customHeight="1">
      <c r="A177" s="8" t="s">
        <v>559</v>
      </c>
      <c r="B177" s="8" t="s">
        <v>39</v>
      </c>
      <c r="C177" s="8"/>
      <c r="D177" s="9">
        <f>IF(0&lt;=核心参数输入!$B$9*4,MAX(0,季度投融资!D156-D175),0)</f>
        <v>0</v>
      </c>
      <c r="E177" s="9">
        <f>IF(1&lt;=核心参数输入!$B$9*4,MAX(0,季度投融资!E156-E175),0)</f>
        <v>11.8125</v>
      </c>
      <c r="F177" s="9">
        <f>IF(2&lt;=核心参数输入!$B$9*4,MAX(0,季度投融资!F156-F175),0)</f>
        <v>35.4375</v>
      </c>
      <c r="G177" s="9">
        <f>IF(3&lt;=核心参数输入!$B$9*4,MAX(0,季度投融资!G156-G175),0)</f>
        <v>59.062500000000007</v>
      </c>
      <c r="H177" s="9">
        <f>IF(4&lt;=核心参数输入!$B$9*4,MAX(0,季度投融资!H156-H175),0)</f>
        <v>82.6875</v>
      </c>
      <c r="I177" s="9">
        <f>IF(5&lt;=核心参数输入!$B$9*4,MAX(0,季度投融资!I156-I175),0)</f>
        <v>110.25</v>
      </c>
      <c r="J177" s="9">
        <f>IF(6&lt;=核心参数输入!$B$9*4,MAX(0,季度投融资!J156-J175),0)</f>
        <v>141.75</v>
      </c>
      <c r="K177" s="9">
        <f>IF(7&lt;=核心参数输入!$B$9*4,MAX(0,季度投融资!K156-K175),0)</f>
        <v>173.25</v>
      </c>
      <c r="L177" s="9">
        <f>IF(8&lt;=核心参数输入!$B$9*4,MAX(0,季度投融资!L156-L175),0)</f>
        <v>204.75</v>
      </c>
      <c r="M177" s="9">
        <f>IF(9&lt;=核心参数输入!$B$9*4,MAX(0,季度投融资!M156-M175),0)</f>
        <v>232.31250000000003</v>
      </c>
      <c r="N177" s="9">
        <f>IF(10&lt;=核心参数输入!$B$9*4,MAX(0,季度投融资!N156-N175),0)</f>
        <v>255.93750000000003</v>
      </c>
      <c r="O177" s="9">
        <f>IF(11&lt;=核心参数输入!$B$9*4,MAX(0,季度投融资!O156-O175),0)</f>
        <v>279.5625</v>
      </c>
      <c r="P177" s="9">
        <f>IF(12&lt;=核心参数输入!$B$9*4,MAX(0,季度投融资!P156-P175),0)</f>
        <v>303.1875</v>
      </c>
      <c r="Q177" s="9">
        <f>IF(13&lt;=核心参数输入!$B$9*4,MAX(0,季度投融资!Q156-Q175),0)</f>
        <v>0</v>
      </c>
      <c r="R177" s="9">
        <f>IF(14&lt;=核心参数输入!$B$9*4,MAX(0,季度投融资!R156-R175),0)</f>
        <v>0</v>
      </c>
      <c r="S177" s="9">
        <f>IF(15&lt;=核心参数输入!$B$9*4,MAX(0,季度投融资!S156-S175),0)</f>
        <v>0</v>
      </c>
      <c r="T177" s="9">
        <f>IF(16&lt;=核心参数输入!$B$9*4,MAX(0,季度投融资!T156-T175),0)</f>
        <v>1692.723284539285</v>
      </c>
      <c r="U177" s="9">
        <f>IF(17&lt;=核心参数输入!$B$9*4,MAX(0,季度投融资!U156-U175),0)</f>
        <v>0</v>
      </c>
      <c r="V177" s="9">
        <f>IF(18&lt;=核心参数输入!$B$9*4,MAX(0,季度投融资!V156-V175),0)</f>
        <v>0</v>
      </c>
      <c r="W177" s="9">
        <f>IF(19&lt;=核心参数输入!$B$9*4,MAX(0,季度投融资!W156-W175),0)</f>
        <v>0</v>
      </c>
      <c r="X177" s="9">
        <f>IF(20&lt;=核心参数输入!$B$9*4,MAX(0,季度投融资!X156-X175),0)</f>
        <v>575.69146819414755</v>
      </c>
      <c r="Y177" s="9">
        <f>IF(21&lt;=核心参数输入!$B$9*4,MAX(0,季度投融资!Y156-Y175),0)</f>
        <v>0</v>
      </c>
      <c r="Z177" s="9">
        <f>IF(22&lt;=核心参数输入!$B$9*4,MAX(0,季度投融资!Z156-Z175),0)</f>
        <v>0</v>
      </c>
      <c r="AA177" s="9">
        <f>IF(23&lt;=核心参数输入!$B$9*4,MAX(0,季度投融资!AA156-AA175),0)</f>
        <v>0</v>
      </c>
      <c r="AB177" s="9">
        <f>IF(24&lt;=核心参数输入!$B$9*4,MAX(0,季度投融资!AB156-AB175),0)</f>
        <v>1438.7655434341505</v>
      </c>
      <c r="AC177" s="9">
        <f>IF(25&lt;=核心参数输入!$B$9*4,MAX(0,季度投融资!AC156-AC175),0)</f>
        <v>0</v>
      </c>
      <c r="AD177" s="9">
        <f>IF(26&lt;=核心参数输入!$B$9*4,MAX(0,季度投融资!AD156-AD175),0)</f>
        <v>20.433798906162679</v>
      </c>
      <c r="AE177" s="9">
        <f>IF(27&lt;=核心参数输入!$B$9*4,MAX(0,季度投融资!AE156-AE175),0)</f>
        <v>15.736992276512467</v>
      </c>
      <c r="AF177" s="9">
        <f>IF(28&lt;=核心参数输入!$B$9*4,MAX(0,季度投融资!AF156-AF175),0)</f>
        <v>4274.2544713611478</v>
      </c>
      <c r="AG177" s="9">
        <f>IF(29&lt;=核心参数输入!$B$9*4,MAX(0,季度投融资!AG156-AG175),0)</f>
        <v>0</v>
      </c>
      <c r="AH177" s="9">
        <f>IF(30&lt;=核心参数输入!$B$9*4,MAX(0,季度投融资!AH156-AH175),0)</f>
        <v>0</v>
      </c>
      <c r="AI177" s="9">
        <f>IF(31&lt;=核心参数输入!$B$9*4,MAX(0,季度投融资!AI156-AI175),0)</f>
        <v>0</v>
      </c>
      <c r="AJ177" s="9">
        <f>IF(32&lt;=核心参数输入!$B$9*4,MAX(0,季度投融资!AJ156-AJ175),0)</f>
        <v>4219.2921390522079</v>
      </c>
      <c r="AK177" s="9">
        <f>IF(33&lt;=核心参数输入!$B$9*4,MAX(0,季度投融资!AK156-AK175),0)</f>
        <v>0</v>
      </c>
      <c r="AL177" s="9">
        <f>IF(34&lt;=核心参数输入!$B$9*4,MAX(0,季度投融资!AL156-AL175),0)</f>
        <v>0</v>
      </c>
      <c r="AM177" s="9">
        <f>IF(35&lt;=核心参数输入!$B$9*4,MAX(0,季度投融资!AM156-AM175),0)</f>
        <v>0</v>
      </c>
      <c r="AN177" s="9">
        <f>IF(36&lt;=核心参数输入!$B$9*4,MAX(0,季度投融资!AN156-AN175),0)</f>
        <v>4171.3392189122769</v>
      </c>
      <c r="AO177" s="9">
        <f>IF(37&lt;=核心参数输入!$B$9*4,MAX(0,季度投融资!AO156-AO175),0)</f>
        <v>0</v>
      </c>
      <c r="AP177" s="9">
        <f>IF(38&lt;=核心参数输入!$B$9*4,MAX(0,季度投融资!AP156-AP175),0)</f>
        <v>0</v>
      </c>
      <c r="AQ177" s="9">
        <f>IF(39&lt;=核心参数输入!$B$9*4,MAX(0,季度投融资!AQ156-AQ175),0)</f>
        <v>0</v>
      </c>
      <c r="AR177" s="9">
        <f>IF(40&lt;=核心参数输入!$B$9*4,MAX(0,季度投融资!AR156-AR175),0)</f>
        <v>4123.350123211445</v>
      </c>
      <c r="AS177" s="9">
        <f>IF(41&lt;=核心参数输入!$B$9*4,MAX(0,季度投融资!AS156-AS175),0)</f>
        <v>0</v>
      </c>
      <c r="AT177" s="9">
        <f>IF(42&lt;=核心参数输入!$B$9*4,MAX(0,季度投融资!AT156-AT175),0)</f>
        <v>0</v>
      </c>
      <c r="AU177" s="9">
        <f>IF(43&lt;=核心参数输入!$B$9*4,MAX(0,季度投融资!AU156-AU175),0)</f>
        <v>0</v>
      </c>
      <c r="AV177" s="9">
        <f>IF(44&lt;=核心参数输入!$B$9*4,MAX(0,季度投融资!AV156-AV175),0)</f>
        <v>0</v>
      </c>
      <c r="AW177" s="9">
        <f>IF(45&lt;=核心参数输入!$B$9*4,MAX(0,季度投融资!AW156-AW175),0)</f>
        <v>0</v>
      </c>
      <c r="AX177" s="9">
        <f>IF(46&lt;=核心参数输入!$B$9*4,MAX(0,季度投融资!AX156-AX175),0)</f>
        <v>0</v>
      </c>
      <c r="AY177" s="9">
        <f>IF(47&lt;=核心参数输入!$B$9*4,MAX(0,季度投融资!AY156-AY175),0)</f>
        <v>0</v>
      </c>
      <c r="AZ177" s="9">
        <f>IF(48&lt;=核心参数输入!$B$9*4,MAX(0,季度投融资!AZ156-AZ175),0)</f>
        <v>0</v>
      </c>
      <c r="BA177" s="9">
        <f>IF(49&lt;=核心参数输入!$B$9*4,MAX(0,季度投融资!BA156-BA175),0)</f>
        <v>0</v>
      </c>
      <c r="BB177" s="9">
        <f>IF(50&lt;=核心参数输入!$B$9*4,MAX(0,季度投融资!BB156-BB175),0)</f>
        <v>0</v>
      </c>
      <c r="BC177" s="9">
        <f>IF(51&lt;=核心参数输入!$B$9*4,MAX(0,季度投融资!BC156-BC175),0)</f>
        <v>0</v>
      </c>
      <c r="BD177" s="9">
        <f>IF(52&lt;=核心参数输入!$B$9*4,MAX(0,季度投融资!BD156-BD175),0)</f>
        <v>0</v>
      </c>
      <c r="BE177" s="9">
        <f>IF(53&lt;=核心参数输入!$B$9*4,MAX(0,季度投融资!BE156-BE175),0)</f>
        <v>0</v>
      </c>
      <c r="BF177" s="9">
        <f>IF(54&lt;=核心参数输入!$B$9*4,MAX(0,季度投融资!BF156-BF175),0)</f>
        <v>0</v>
      </c>
      <c r="BG177" s="9">
        <f>IF(55&lt;=核心参数输入!$B$9*4,MAX(0,季度投融资!BG156-BG175),0)</f>
        <v>0</v>
      </c>
      <c r="BH177" s="9">
        <f>IF(56&lt;=核心参数输入!$B$9*4,MAX(0,季度投融资!BH156-BH175),0)</f>
        <v>0</v>
      </c>
      <c r="BI177" s="9">
        <f>IF(57&lt;=核心参数输入!$B$9*4,MAX(0,季度投融资!BI156-BI175),0)</f>
        <v>0</v>
      </c>
      <c r="BJ177" s="9">
        <f>IF(58&lt;=核心参数输入!$B$9*4,MAX(0,季度投融资!BJ156-BJ175),0)</f>
        <v>0</v>
      </c>
      <c r="BK177" s="9">
        <f>IF(59&lt;=核心参数输入!$B$9*4,MAX(0,季度投融资!BK156-BK175),0)</f>
        <v>0</v>
      </c>
      <c r="BL177" s="9">
        <f>IF(60&lt;=核心参数输入!$B$9*4,MAX(0,季度投融资!BL156-BL175),0)</f>
        <v>0</v>
      </c>
      <c r="BM177" s="9">
        <f>IF(61&lt;=核心参数输入!$B$9*4,MAX(0,季度投融资!BM156-BM175),0)</f>
        <v>0</v>
      </c>
      <c r="BN177" s="9">
        <f>IF(62&lt;=核心参数输入!$B$9*4,MAX(0,季度投融资!BN156-BN175),0)</f>
        <v>0</v>
      </c>
      <c r="BO177" s="9">
        <f>IF(63&lt;=核心参数输入!$B$9*4,MAX(0,季度投融资!BO156-BO175),0)</f>
        <v>0</v>
      </c>
      <c r="BP177" s="9">
        <f>IF(64&lt;=核心参数输入!$B$9*4,MAX(0,季度投融资!BP156-BP175),0)</f>
        <v>0</v>
      </c>
      <c r="BQ177" s="9">
        <f>IF(65&lt;=核心参数输入!$B$9*4,MAX(0,季度投融资!BQ156-BQ175),0)</f>
        <v>0</v>
      </c>
      <c r="BR177" s="9">
        <f>IF(66&lt;=核心参数输入!$B$9*4,MAX(0,季度投融资!BR156-BR175),0)</f>
        <v>0</v>
      </c>
      <c r="BS177" s="9">
        <f>IF(67&lt;=核心参数输入!$B$9*4,MAX(0,季度投融资!BS156-BS175),0)</f>
        <v>0</v>
      </c>
      <c r="BT177" s="9">
        <f>IF(68&lt;=核心参数输入!$B$9*4,MAX(0,季度投融资!BT156-BT175),0)</f>
        <v>0</v>
      </c>
      <c r="BU177" s="9">
        <f>IF(69&lt;=核心参数输入!$B$9*4,MAX(0,季度投融资!BU156-BU175),0)</f>
        <v>0</v>
      </c>
      <c r="BV177" s="9">
        <f>IF(70&lt;=核心参数输入!$B$9*4,MAX(0,季度投融资!BV156-BV175),0)</f>
        <v>0</v>
      </c>
      <c r="BW177" s="9">
        <f>IF(71&lt;=核心参数输入!$B$9*4,MAX(0,季度投融资!BW156-BW175),0)</f>
        <v>0</v>
      </c>
      <c r="BX177" s="9">
        <f>IF(72&lt;=核心参数输入!$B$9*4,MAX(0,季度投融资!BX156-BX175),0)</f>
        <v>0</v>
      </c>
      <c r="BY177" s="9">
        <f>IF(73&lt;=核心参数输入!$B$9*4,MAX(0,季度投融资!BY156-BY175),0)</f>
        <v>0</v>
      </c>
      <c r="BZ177" s="9">
        <f>IF(74&lt;=核心参数输入!$B$9*4,MAX(0,季度投融资!BZ156-BZ175),0)</f>
        <v>0</v>
      </c>
      <c r="CA177" s="9">
        <f>IF(75&lt;=核心参数输入!$B$9*4,MAX(0,季度投融资!CA156-CA175),0)</f>
        <v>0</v>
      </c>
      <c r="CB177" s="9">
        <f>IF(76&lt;=核心参数输入!$B$9*4,MAX(0,季度投融资!CB156-CB175),0)</f>
        <v>0</v>
      </c>
      <c r="CC177" s="9">
        <f>IF(77&lt;=核心参数输入!$B$9*4,MAX(0,季度投融资!CC156-CC175),0)</f>
        <v>0</v>
      </c>
      <c r="CD177" s="9">
        <f>IF(78&lt;=核心参数输入!$B$9*4,MAX(0,季度投融资!CD156-CD175),0)</f>
        <v>0</v>
      </c>
      <c r="CE177" s="9">
        <f>IF(79&lt;=核心参数输入!$B$9*4,MAX(0,季度投融资!CE156-CE175),0)</f>
        <v>0</v>
      </c>
      <c r="CF177" s="9">
        <f>IF(80&lt;=核心参数输入!$B$9*4,MAX(0,季度投融资!CF156-CF175),0)</f>
        <v>0</v>
      </c>
      <c r="CG177" s="9">
        <f>IF(81&lt;=核心参数输入!$B$9*4,MAX(0,季度投融资!CG156-CG175),0)</f>
        <v>0</v>
      </c>
      <c r="CH177" s="9">
        <f>IF(82&lt;=核心参数输入!$B$9*4,MAX(0,季度投融资!CH156-CH175),0)</f>
        <v>0</v>
      </c>
      <c r="CI177" s="9">
        <f>IF(83&lt;=核心参数输入!$B$9*4,MAX(0,季度投融资!CI156-CI175),0)</f>
        <v>0</v>
      </c>
      <c r="CJ177" s="9">
        <f>IF(84&lt;=核心参数输入!$B$9*4,MAX(0,季度投融资!CJ156-CJ175),0)</f>
        <v>0</v>
      </c>
      <c r="CK177" s="9">
        <f>IF(85&lt;=核心参数输入!$B$9*4,MAX(0,季度投融资!CK156-CK175),0)</f>
        <v>0</v>
      </c>
      <c r="CL177" s="9">
        <f>IF(86&lt;=核心参数输入!$B$9*4,MAX(0,季度投融资!CL156-CL175),0)</f>
        <v>0</v>
      </c>
      <c r="CM177" s="9">
        <f>IF(87&lt;=核心参数输入!$B$9*4,MAX(0,季度投融资!CM156-CM175),0)</f>
        <v>0</v>
      </c>
      <c r="CN177" s="9">
        <f>IF(88&lt;=核心参数输入!$B$9*4,MAX(0,季度投融资!CN156-CN175),0)</f>
        <v>0</v>
      </c>
      <c r="CO177" s="9">
        <f>IF(89&lt;=核心参数输入!$B$9*4,MAX(0,季度投融资!CO156-CO175),0)</f>
        <v>0</v>
      </c>
      <c r="CP177" s="9">
        <f>IF(90&lt;=核心参数输入!$B$9*4,MAX(0,季度投融资!CP156-CP175),0)</f>
        <v>0</v>
      </c>
      <c r="CQ177" s="9">
        <f>IF(91&lt;=核心参数输入!$B$9*4,MAX(0,季度投融资!CQ156-CQ175),0)</f>
        <v>0</v>
      </c>
      <c r="CR177" s="9">
        <f>IF(92&lt;=核心参数输入!$B$9*4,MAX(0,季度投融资!CR156-CR175),0)</f>
        <v>0</v>
      </c>
      <c r="CS177" s="9">
        <f>IF(93&lt;=核心参数输入!$B$9*4,MAX(0,季度投融资!CS156-CS175),0)</f>
        <v>0</v>
      </c>
      <c r="CT177" s="9">
        <f>IF(94&lt;=核心参数输入!$B$9*4,MAX(0,季度投融资!CT156-CT175),0)</f>
        <v>0</v>
      </c>
      <c r="CU177" s="9">
        <f>IF(95&lt;=核心参数输入!$B$9*4,MAX(0,季度投融资!CU156-CU175),0)</f>
        <v>0</v>
      </c>
      <c r="CV177" s="9">
        <f>IF(96&lt;=核心参数输入!$B$9*4,MAX(0,季度投融资!CV156-CV175),0)</f>
        <v>0</v>
      </c>
      <c r="CW177" s="9">
        <f>IF(97&lt;=核心参数输入!$B$9*4,MAX(0,季度投融资!CW156-CW175),0)</f>
        <v>0</v>
      </c>
      <c r="CX177" s="9">
        <f>IF(98&lt;=核心参数输入!$B$9*4,MAX(0,季度投融资!CX156-CX175),0)</f>
        <v>0</v>
      </c>
      <c r="CY177" s="9">
        <f>IF(99&lt;=核心参数输入!$B$9*4,MAX(0,季度投融资!CY156-CY175),0)</f>
        <v>0</v>
      </c>
      <c r="CZ177" s="9">
        <f>IF(100&lt;=核心参数输入!$B$9*4,MAX(0,季度投融资!CZ156-CZ175),0)</f>
        <v>0</v>
      </c>
      <c r="DA177" s="9">
        <f>IF(101&lt;=核心参数输入!$B$9*4,MAX(0,季度投融资!DA156-DA175),0)</f>
        <v>0</v>
      </c>
      <c r="DB177" s="9">
        <f>IF(102&lt;=核心参数输入!$B$9*4,MAX(0,季度投融资!DB156-DB175),0)</f>
        <v>0</v>
      </c>
      <c r="DC177" s="9">
        <f>IF(103&lt;=核心参数输入!$B$9*4,MAX(0,季度投融资!DC156-DC175),0)</f>
        <v>0</v>
      </c>
      <c r="DD177" s="9">
        <f>IF(104&lt;=核心参数输入!$B$9*4,MAX(0,季度投融资!DD156-DD175),0)</f>
        <v>0</v>
      </c>
      <c r="DE177" s="9">
        <f>IF(105&lt;=核心参数输入!$B$9*4,MAX(0,季度投融资!DE156-DE175),0)</f>
        <v>0</v>
      </c>
      <c r="DF177" s="9">
        <f>IF(106&lt;=核心参数输入!$B$9*4,MAX(0,季度投融资!DF156-DF175),0)</f>
        <v>0</v>
      </c>
      <c r="DG177" s="9">
        <f>IF(107&lt;=核心参数输入!$B$9*4,MAX(0,季度投融资!DG156-DG175),0)</f>
        <v>0</v>
      </c>
      <c r="DH177" s="9">
        <f>IF(108&lt;=核心参数输入!$B$9*4,MAX(0,季度投融资!DH156-DH175),0)</f>
        <v>0</v>
      </c>
      <c r="DI177" s="9">
        <f>IF(109&lt;=核心参数输入!$B$9*4,MAX(0,季度投融资!DI156-DI175),0)</f>
        <v>0</v>
      </c>
      <c r="DJ177" s="9">
        <f>IF(110&lt;=核心参数输入!$B$9*4,MAX(0,季度投融资!DJ156-DJ175),0)</f>
        <v>0</v>
      </c>
      <c r="DK177" s="9">
        <f>IF(111&lt;=核心参数输入!$B$9*4,MAX(0,季度投融资!DK156-DK175),0)</f>
        <v>0</v>
      </c>
      <c r="DL177" s="9">
        <f>IF(112&lt;=核心参数输入!$B$9*4,MAX(0,季度投融资!DL156-DL175),0)</f>
        <v>0</v>
      </c>
      <c r="DM177" s="9">
        <f>IF(113&lt;=核心参数输入!$B$9*4,MAX(0,季度投融资!DM156-DM175),0)</f>
        <v>0</v>
      </c>
      <c r="DN177" s="9">
        <f>IF(114&lt;=核心参数输入!$B$9*4,MAX(0,季度投融资!DN156-DN175),0)</f>
        <v>0</v>
      </c>
      <c r="DO177" s="9">
        <f>IF(115&lt;=核心参数输入!$B$9*4,MAX(0,季度投融资!DO156-DO175),0)</f>
        <v>0</v>
      </c>
      <c r="DP177" s="9">
        <f>IF(116&lt;=核心参数输入!$B$9*4,MAX(0,季度投融资!DP156-DP175),0)</f>
        <v>0</v>
      </c>
      <c r="DQ177" s="9">
        <f>IF(117&lt;=核心参数输入!$B$9*4,MAX(0,季度投融资!DQ156-DQ175),0)</f>
        <v>0</v>
      </c>
      <c r="DR177" s="9">
        <f>IF(118&lt;=核心参数输入!$B$9*4,MAX(0,季度投融资!DR156-DR175),0)</f>
        <v>0</v>
      </c>
      <c r="DS177" s="9">
        <f>IF(119&lt;=核心参数输入!$B$9*4,MAX(0,季度投融资!DS156-DS175),0)</f>
        <v>0</v>
      </c>
      <c r="DT177" s="9">
        <f>IF(120&lt;=核心参数输入!$B$9*4,MAX(0,季度投融资!DT156-DT175),0)</f>
        <v>0</v>
      </c>
    </row>
    <row r="178" spans="1:124" ht="21" customHeight="1">
      <c r="A178" s="8" t="s">
        <v>385</v>
      </c>
      <c r="B178" s="8" t="s">
        <v>39</v>
      </c>
      <c r="C178" s="8"/>
      <c r="D178" s="9">
        <f>IF(0&lt;=核心参数输入!$B$9*4,0+D155,0)</f>
        <v>-8000</v>
      </c>
      <c r="E178" s="9">
        <f>IF(1&lt;=核心参数输入!$B$9*4,季度现金流!D178+E155,0)</f>
        <v>-12365.9</v>
      </c>
      <c r="F178" s="9">
        <f>IF(2&lt;=核心参数输入!$B$9*4,季度现金流!E178+F155,0)</f>
        <v>-16731.8</v>
      </c>
      <c r="G178" s="9">
        <f>IF(3&lt;=核心参数输入!$B$9*4,季度现金流!F178+G155,0)</f>
        <v>-21097.699999999997</v>
      </c>
      <c r="H178" s="9">
        <f>IF(4&lt;=核心参数输入!$B$9*4,季度现金流!G178+H155,0)</f>
        <v>-25463.599999999999</v>
      </c>
      <c r="I178" s="9">
        <f>IF(5&lt;=核心参数输入!$B$9*4,季度现金流!H178+I155,0)</f>
        <v>-31284.799999999999</v>
      </c>
      <c r="J178" s="9">
        <f>IF(6&lt;=核心参数输入!$B$9*4,季度现金流!I178+J155,0)</f>
        <v>-37106</v>
      </c>
      <c r="K178" s="9">
        <f>IF(7&lt;=核心参数输入!$B$9*4,季度现金流!J178+K155,0)</f>
        <v>-42927.199999999997</v>
      </c>
      <c r="L178" s="9">
        <f>IF(8&lt;=核心参数输入!$B$9*4,季度现金流!K178+L155,0)</f>
        <v>-48748.399999999994</v>
      </c>
      <c r="M178" s="9">
        <f>IF(9&lt;=核心参数输入!$B$9*4,季度现金流!L178+M155,0)</f>
        <v>-53114.299999999996</v>
      </c>
      <c r="N178" s="9">
        <f>IF(10&lt;=核心参数输入!$B$9*4,季度现金流!M178+N155,0)</f>
        <v>-57480.2</v>
      </c>
      <c r="O178" s="9">
        <f>IF(11&lt;=核心参数输入!$B$9*4,季度现金流!N178+O155,0)</f>
        <v>-61846.1</v>
      </c>
      <c r="P178" s="9">
        <f>IF(12&lt;=核心参数输入!$B$9*4,季度现金流!O178+P155,0)</f>
        <v>-66212</v>
      </c>
      <c r="Q178" s="9">
        <f>IF(13&lt;=核心参数输入!$B$9*4,季度现金流!P178+Q155,0)</f>
        <v>-64893.657343749997</v>
      </c>
      <c r="R178" s="9">
        <f>IF(14&lt;=核心参数输入!$B$9*4,季度现金流!Q178+R155,0)</f>
        <v>-62080.032518515</v>
      </c>
      <c r="S178" s="9">
        <f>IF(15&lt;=核心参数输入!$B$9*4,季度现金流!R178+S155,0)</f>
        <v>-59230.474605309995</v>
      </c>
      <c r="T178" s="9">
        <f>IF(16&lt;=核心参数输入!$B$9*4,季度现金流!S178+T155,0)</f>
        <v>-56344.983604134992</v>
      </c>
      <c r="U178" s="9">
        <f>IF(17&lt;=核心参数输入!$B$9*4,季度现金流!T178+U155,0)</f>
        <v>-52777.058809121569</v>
      </c>
      <c r="V178" s="9">
        <f>IF(18&lt;=核心参数输入!$B$9*4,季度现金流!U178+V155,0)</f>
        <v>-48856.008075890983</v>
      </c>
      <c r="W178" s="9">
        <f>IF(19&lt;=核心参数输入!$B$9*4,季度现金流!V178+W155,0)</f>
        <v>-44916.721300515623</v>
      </c>
      <c r="X178" s="9">
        <f>IF(20&lt;=核心参数输入!$B$9*4,季度现金流!W178+X155,0)</f>
        <v>-40959.198482995482</v>
      </c>
      <c r="Y178" s="9">
        <f>IF(21&lt;=核心参数输入!$B$9*4,季度现金流!X178+Y155,0)</f>
        <v>-37627.938124810593</v>
      </c>
      <c r="Z178" s="9">
        <f>IF(22&lt;=核心参数输入!$B$9*4,季度现金流!Y178+Z155,0)</f>
        <v>-34606.253756695878</v>
      </c>
      <c r="AA178" s="9">
        <f>IF(23&lt;=核心参数输入!$B$9*4,季度现金流!Z178+AA155,0)</f>
        <v>-31570.687201498455</v>
      </c>
      <c r="AB178" s="9">
        <f>IF(24&lt;=核心参数输入!$B$9*4,季度现金流!AA178+AB155,0)</f>
        <v>-28532.967000663735</v>
      </c>
      <c r="AC178" s="9">
        <f>IF(25&lt;=核心参数输入!$B$9*4,季度现金流!AB178+AC155,0)</f>
        <v>-27405.478787829197</v>
      </c>
      <c r="AD178" s="9">
        <f>IF(26&lt;=核心参数输入!$B$9*4,季度现金流!AC178+AD155,0)</f>
        <v>-27245.912586735361</v>
      </c>
      <c r="AE178" s="9">
        <f>IF(27&lt;=核心参数输入!$B$9*4,季度现金流!AD178+AE155,0)</f>
        <v>-27081.649579011875</v>
      </c>
      <c r="AF178" s="9">
        <f>IF(28&lt;=核心参数输入!$B$9*4,季度现金流!AE178+AF155,0)</f>
        <v>-26912.689764658739</v>
      </c>
      <c r="AG178" s="9">
        <f>IF(29&lt;=核心参数输入!$B$9*4,季度现金流!AF178+AG155,0)</f>
        <v>-26736.151247361209</v>
      </c>
      <c r="AH178" s="9">
        <f>IF(30&lt;=核心参数输入!$B$9*4,季度现金流!AG178+AH155,0)</f>
        <v>-26557.229100699133</v>
      </c>
      <c r="AI178" s="9">
        <f>IF(31&lt;=核心参数输入!$B$9*4,季度现金流!AH178+AI155,0)</f>
        <v>-26378.306954037056</v>
      </c>
      <c r="AJ178" s="9">
        <f>IF(32&lt;=核心参数输入!$B$9*4,季度现金流!AI178+AJ155,0)</f>
        <v>-26199.38480737498</v>
      </c>
      <c r="AK178" s="9">
        <f>IF(33&lt;=核心参数输入!$B$9*4,季度现金流!AJ178+AK155,0)</f>
        <v>-26017.509740572972</v>
      </c>
      <c r="AL178" s="9">
        <f>IF(34&lt;=核心参数输入!$B$9*4,季度现金流!AK178+AL155,0)</f>
        <v>-25835.634673770965</v>
      </c>
      <c r="AM178" s="9">
        <f>IF(35&lt;=核心参数输入!$B$9*4,季度现金流!AL178+AM155,0)</f>
        <v>-25653.759606968957</v>
      </c>
      <c r="AN178" s="9">
        <f>IF(36&lt;=核心参数输入!$B$9*4,季度现金流!AM178+AN155,0)</f>
        <v>-25471.88454016695</v>
      </c>
      <c r="AO178" s="9">
        <f>IF(37&lt;=核心参数输入!$B$9*4,季度现金流!AN178+AO155,0)</f>
        <v>-25287.02037766411</v>
      </c>
      <c r="AP178" s="9">
        <f>IF(38&lt;=核心参数输入!$B$9*4,季度现金流!AO178+AP155,0)</f>
        <v>-25102.156215161271</v>
      </c>
      <c r="AQ178" s="9">
        <f>IF(39&lt;=核心参数输入!$B$9*4,季度现金流!AP178+AQ155,0)</f>
        <v>-24917.292052658431</v>
      </c>
      <c r="AR178" s="9">
        <f>IF(40&lt;=核心参数输入!$B$9*4,季度现金流!AQ178+AR155,0)</f>
        <v>-24732.427890155592</v>
      </c>
      <c r="AS178" s="9">
        <f>IF(41&lt;=核心参数输入!$B$9*4,季度现金流!AR178+AS155,0)</f>
        <v>-24544.538076122433</v>
      </c>
      <c r="AT178" s="9">
        <f>IF(42&lt;=核心参数输入!$B$9*4,季度现金流!AS178+AT155,0)</f>
        <v>-24356.648262089275</v>
      </c>
      <c r="AU178" s="9">
        <f>IF(43&lt;=核心参数输入!$B$9*4,季度现金流!AT178+AU155,0)</f>
        <v>-24168.758448056116</v>
      </c>
      <c r="AV178" s="9">
        <f>IF(44&lt;=核心参数输入!$B$9*4,季度现金流!AU178+AV155,0)</f>
        <v>-23980.868634022958</v>
      </c>
      <c r="AW178" s="9">
        <f>IF(45&lt;=核心参数输入!$B$9*4,季度现金流!AV178+AW155,0)</f>
        <v>-23789.916229904673</v>
      </c>
      <c r="AX178" s="9">
        <f>IF(46&lt;=核心参数输入!$B$9*4,季度现金流!AW178+AX155,0)</f>
        <v>-23598.963825786388</v>
      </c>
      <c r="AY178" s="9">
        <f>IF(47&lt;=核心参数输入!$B$9*4,季度现金流!AX178+AY155,0)</f>
        <v>-23408.011421668103</v>
      </c>
      <c r="AZ178" s="9">
        <f>IF(48&lt;=核心参数输入!$B$9*4,季度现金流!AY178+AZ155,0)</f>
        <v>-23217.059017549818</v>
      </c>
      <c r="BA178" s="9">
        <f>IF(49&lt;=核心参数输入!$B$9*4,季度现金流!AZ178+BA155,0)</f>
        <v>-23023.006699637634</v>
      </c>
      <c r="BB178" s="9">
        <f>IF(50&lt;=核心参数输入!$B$9*4,季度现金流!BA178+BB155,0)</f>
        <v>-22828.954381725449</v>
      </c>
      <c r="BC178" s="9">
        <f>IF(51&lt;=核心参数输入!$B$9*4,季度现金流!BB178+BC155,0)</f>
        <v>-22634.902063813264</v>
      </c>
      <c r="BD178" s="9">
        <f>IF(52&lt;=核心参数输入!$B$9*4,季度现金流!BC178+BD155,0)</f>
        <v>-22440.84974590108</v>
      </c>
      <c r="BE178" s="9">
        <f>IF(53&lt;=核心参数输入!$B$9*4,季度现金流!BD178+BE155,0)</f>
        <v>-22243.659802933445</v>
      </c>
      <c r="BF178" s="9">
        <f>IF(54&lt;=核心参数输入!$B$9*4,季度现金流!BE178+BF155,0)</f>
        <v>-22046.469859965811</v>
      </c>
      <c r="BG178" s="9">
        <f>IF(55&lt;=核心参数输入!$B$9*4,季度现金流!BF178+BG155,0)</f>
        <v>-21849.279916998177</v>
      </c>
      <c r="BH178" s="9">
        <f>IF(56&lt;=核心参数输入!$B$9*4,季度现金流!BG178+BH155,0)</f>
        <v>-21652.089974030543</v>
      </c>
      <c r="BI178" s="9">
        <f>IF(57&lt;=核心参数输入!$B$9*4,季度现金流!BH178+BI155,0)</f>
        <v>-21451.724304825893</v>
      </c>
      <c r="BJ178" s="9">
        <f>IF(58&lt;=核心参数输入!$B$9*4,季度现金流!BI178+BJ155,0)</f>
        <v>-21251.358635621244</v>
      </c>
      <c r="BK178" s="9">
        <f>IF(59&lt;=核心参数输入!$B$9*4,季度现金流!BJ178+BK155,0)</f>
        <v>-21050.992966416594</v>
      </c>
      <c r="BL178" s="9">
        <f>IF(60&lt;=核心参数输入!$B$9*4,季度现金流!BK178+BL155,0)</f>
        <v>-20850.627297211944</v>
      </c>
      <c r="BM178" s="9">
        <f>IF(61&lt;=核心参数输入!$B$9*4,季度现金流!BL178+BM155,0)</f>
        <v>-20647.047408334871</v>
      </c>
      <c r="BN178" s="9">
        <f>IF(62&lt;=核心参数输入!$B$9*4,季度现金流!BM178+BN155,0)</f>
        <v>-20443.467519457798</v>
      </c>
      <c r="BO178" s="9">
        <f>IF(63&lt;=核心参数输入!$B$9*4,季度现金流!BN178+BO155,0)</f>
        <v>-20239.887630580724</v>
      </c>
      <c r="BP178" s="9">
        <f>IF(64&lt;=核心参数输入!$B$9*4,季度现金流!BO178+BP155,0)</f>
        <v>-20036.307741703651</v>
      </c>
      <c r="BQ178" s="9">
        <f>IF(65&lt;=核心参数输入!$B$9*4,季度现金流!BP178+BQ155,0)</f>
        <v>-19829.474745166386</v>
      </c>
      <c r="BR178" s="9">
        <f>IF(66&lt;=核心参数输入!$B$9*4,季度现金流!BQ178+BR155,0)</f>
        <v>-19622.641748629121</v>
      </c>
      <c r="BS178" s="9">
        <f>IF(67&lt;=核心参数输入!$B$9*4,季度现金流!BR178+BS155,0)</f>
        <v>-19415.808752091856</v>
      </c>
      <c r="BT178" s="9">
        <f>IF(68&lt;=核心参数输入!$B$9*4,季度现金流!BS178+BT155,0)</f>
        <v>-19208.975755554591</v>
      </c>
      <c r="BU178" s="9">
        <f>IF(69&lt;=核心参数输入!$B$9*4,季度现金流!BT178+BU155,0)</f>
        <v>-18998.850366555685</v>
      </c>
      <c r="BV178" s="9">
        <f>IF(70&lt;=核心参数输入!$B$9*4,季度现金流!BU178+BV155,0)</f>
        <v>-18788.72497755678</v>
      </c>
      <c r="BW178" s="9">
        <f>IF(71&lt;=核心参数输入!$B$9*4,季度现金流!BV178+BW155,0)</f>
        <v>-18578.599588557874</v>
      </c>
      <c r="BX178" s="9">
        <f>IF(72&lt;=核心参数输入!$B$9*4,季度现金流!BW178+BX155,0)</f>
        <v>-18368.474199558968</v>
      </c>
      <c r="BY178" s="9">
        <f>IF(73&lt;=核心参数输入!$B$9*4,季度现金流!BX178+BY155,0)</f>
        <v>-18155.016734261229</v>
      </c>
      <c r="BZ178" s="9">
        <f>IF(74&lt;=核心参数输入!$B$9*4,季度现金流!BY178+BZ155,0)</f>
        <v>-17941.55926896349</v>
      </c>
      <c r="CA178" s="9">
        <f>IF(75&lt;=核心参数输入!$B$9*4,季度现金流!BZ178+CA155,0)</f>
        <v>-17728.101803665752</v>
      </c>
      <c r="CB178" s="9">
        <f>IF(76&lt;=核心参数输入!$B$9*4,季度现金流!CA178+CB155,0)</f>
        <v>-17514.644338368013</v>
      </c>
      <c r="CC178" s="9">
        <f>IF(77&lt;=核心参数输入!$B$9*4,季度现金流!CB178+CC155,0)</f>
        <v>-17297.814711717678</v>
      </c>
      <c r="CD178" s="9">
        <f>IF(78&lt;=核心参数输入!$B$9*4,季度现金流!CC178+CD155,0)</f>
        <v>-17080.985085067343</v>
      </c>
      <c r="CE178" s="9">
        <f>IF(79&lt;=核心参数输入!$B$9*4,季度现金流!CD178+CE155,0)</f>
        <v>-16864.155458417008</v>
      </c>
      <c r="CF178" s="9">
        <f>IF(80&lt;=核心参数输入!$B$9*4,季度现金流!CE178+CF155,0)</f>
        <v>-16647.325831766673</v>
      </c>
      <c r="CG178" s="9">
        <f>IF(81&lt;=核心参数输入!$B$9*4,季度现金流!CF178+CG155,0)</f>
        <v>0</v>
      </c>
      <c r="CH178" s="9">
        <f>IF(82&lt;=核心参数输入!$B$9*4,季度现金流!CG178+CH155,0)</f>
        <v>0</v>
      </c>
      <c r="CI178" s="9">
        <f>IF(83&lt;=核心参数输入!$B$9*4,季度现金流!CH178+CI155,0)</f>
        <v>0</v>
      </c>
      <c r="CJ178" s="9">
        <f>IF(84&lt;=核心参数输入!$B$9*4,季度现金流!CI178+CJ155,0)</f>
        <v>0</v>
      </c>
      <c r="CK178" s="9">
        <f>IF(85&lt;=核心参数输入!$B$9*4,季度现金流!CJ178+CK155,0)</f>
        <v>0</v>
      </c>
      <c r="CL178" s="9">
        <f>IF(86&lt;=核心参数输入!$B$9*4,季度现金流!CK178+CL155,0)</f>
        <v>0</v>
      </c>
      <c r="CM178" s="9">
        <f>IF(87&lt;=核心参数输入!$B$9*4,季度现金流!CL178+CM155,0)</f>
        <v>0</v>
      </c>
      <c r="CN178" s="9">
        <f>IF(88&lt;=核心参数输入!$B$9*4,季度现金流!CM178+CN155,0)</f>
        <v>0</v>
      </c>
      <c r="CO178" s="9">
        <f>IF(89&lt;=核心参数输入!$B$9*4,季度现金流!CN178+CO155,0)</f>
        <v>0</v>
      </c>
      <c r="CP178" s="9">
        <f>IF(90&lt;=核心参数输入!$B$9*4,季度现金流!CO178+CP155,0)</f>
        <v>0</v>
      </c>
      <c r="CQ178" s="9">
        <f>IF(91&lt;=核心参数输入!$B$9*4,季度现金流!CP178+CQ155,0)</f>
        <v>0</v>
      </c>
      <c r="CR178" s="9">
        <f>IF(92&lt;=核心参数输入!$B$9*4,季度现金流!CQ178+CR155,0)</f>
        <v>0</v>
      </c>
      <c r="CS178" s="9">
        <f>IF(93&lt;=核心参数输入!$B$9*4,季度现金流!CR178+CS155,0)</f>
        <v>0</v>
      </c>
      <c r="CT178" s="9">
        <f>IF(94&lt;=核心参数输入!$B$9*4,季度现金流!CS178+CT155,0)</f>
        <v>0</v>
      </c>
      <c r="CU178" s="9">
        <f>IF(95&lt;=核心参数输入!$B$9*4,季度现金流!CT178+CU155,0)</f>
        <v>0</v>
      </c>
      <c r="CV178" s="9">
        <f>IF(96&lt;=核心参数输入!$B$9*4,季度现金流!CU178+CV155,0)</f>
        <v>0</v>
      </c>
      <c r="CW178" s="9">
        <f>IF(97&lt;=核心参数输入!$B$9*4,季度现金流!CV178+CW155,0)</f>
        <v>0</v>
      </c>
      <c r="CX178" s="9">
        <f>IF(98&lt;=核心参数输入!$B$9*4,季度现金流!CW178+CX155,0)</f>
        <v>0</v>
      </c>
      <c r="CY178" s="9">
        <f>IF(99&lt;=核心参数输入!$B$9*4,季度现金流!CX178+CY155,0)</f>
        <v>0</v>
      </c>
      <c r="CZ178" s="9">
        <f>IF(100&lt;=核心参数输入!$B$9*4,季度现金流!CY178+CZ155,0)</f>
        <v>0</v>
      </c>
      <c r="DA178" s="9">
        <f>IF(101&lt;=核心参数输入!$B$9*4,季度现金流!CZ178+DA155,0)</f>
        <v>0</v>
      </c>
      <c r="DB178" s="9">
        <f>IF(102&lt;=核心参数输入!$B$9*4,季度现金流!DA178+DB155,0)</f>
        <v>0</v>
      </c>
      <c r="DC178" s="9">
        <f>IF(103&lt;=核心参数输入!$B$9*4,季度现金流!DB178+DC155,0)</f>
        <v>0</v>
      </c>
      <c r="DD178" s="9">
        <f>IF(104&lt;=核心参数输入!$B$9*4,季度现金流!DC178+DD155,0)</f>
        <v>0</v>
      </c>
      <c r="DE178" s="9">
        <f>IF(105&lt;=核心参数输入!$B$9*4,季度现金流!DD178+DE155,0)</f>
        <v>0</v>
      </c>
      <c r="DF178" s="9">
        <f>IF(106&lt;=核心参数输入!$B$9*4,季度现金流!DE178+DF155,0)</f>
        <v>0</v>
      </c>
      <c r="DG178" s="9">
        <f>IF(107&lt;=核心参数输入!$B$9*4,季度现金流!DF178+DG155,0)</f>
        <v>0</v>
      </c>
      <c r="DH178" s="9">
        <f>IF(108&lt;=核心参数输入!$B$9*4,季度现金流!DG178+DH155,0)</f>
        <v>0</v>
      </c>
      <c r="DI178" s="9">
        <f>IF(109&lt;=核心参数输入!$B$9*4,季度现金流!DH178+DI155,0)</f>
        <v>0</v>
      </c>
      <c r="DJ178" s="9">
        <f>IF(110&lt;=核心参数输入!$B$9*4,季度现金流!DI178+DJ155,0)</f>
        <v>0</v>
      </c>
      <c r="DK178" s="9">
        <f>IF(111&lt;=核心参数输入!$B$9*4,季度现金流!DJ178+DK155,0)</f>
        <v>0</v>
      </c>
      <c r="DL178" s="9">
        <f>IF(112&lt;=核心参数输入!$B$9*4,季度现金流!DK178+DL155,0)</f>
        <v>0</v>
      </c>
      <c r="DM178" s="9">
        <f>IF(113&lt;=核心参数输入!$B$9*4,季度现金流!DL178+DM155,0)</f>
        <v>0</v>
      </c>
      <c r="DN178" s="9">
        <f>IF(114&lt;=核心参数输入!$B$9*4,季度现金流!DM178+DN155,0)</f>
        <v>0</v>
      </c>
      <c r="DO178" s="9">
        <f>IF(115&lt;=核心参数输入!$B$9*4,季度现金流!DN178+DO155,0)</f>
        <v>0</v>
      </c>
      <c r="DP178" s="9">
        <f>IF(116&lt;=核心参数输入!$B$9*4,季度现金流!DO178+DP155,0)</f>
        <v>0</v>
      </c>
      <c r="DQ178" s="9">
        <f>IF(117&lt;=核心参数输入!$B$9*4,季度现金流!DP178+DQ155,0)</f>
        <v>0</v>
      </c>
      <c r="DR178" s="9">
        <f>IF(118&lt;=核心参数输入!$B$9*4,季度现金流!DQ178+DR155,0)</f>
        <v>0</v>
      </c>
      <c r="DS178" s="9">
        <f>IF(119&lt;=核心参数输入!$B$9*4,季度现金流!DR178+DS155,0)</f>
        <v>0</v>
      </c>
      <c r="DT178" s="9">
        <f>IF(120&lt;=核心参数输入!$B$9*4,季度现金流!DS178+DT155,0)</f>
        <v>0</v>
      </c>
    </row>
    <row r="179" spans="1:124" ht="21" customHeight="1">
      <c r="A179" s="8" t="s">
        <v>560</v>
      </c>
      <c r="B179" s="8" t="s">
        <v>39</v>
      </c>
      <c r="C179" s="8"/>
      <c r="D179" s="9">
        <f>IF(0&lt;=核心参数输入!$B$9*4,D155/(1+核心参数输入!$B$71)^(0/4),0)</f>
        <v>-8000</v>
      </c>
      <c r="E179" s="9">
        <f>IF(1&lt;=核心参数输入!$B$9*4,E155/(1+核心参数输入!$B$71)^(1/4),0)</f>
        <v>-4282.7018908237606</v>
      </c>
      <c r="F179" s="9">
        <f>IF(2&lt;=核心参数输入!$B$9*4,F155/(1+核心参数输入!$B$71)^(2/4),0)</f>
        <v>-4201.0892337583109</v>
      </c>
      <c r="G179" s="9">
        <f>IF(3&lt;=核心参数输入!$B$9*4,G155/(1+核心参数输入!$B$71)^(3/4),0)</f>
        <v>-4121.031815876695</v>
      </c>
      <c r="H179" s="9">
        <f>IF(4&lt;=核心参数输入!$B$9*4,H155/(1+核心参数输入!$B$71)^(4/4),0)</f>
        <v>-4042.4999999999995</v>
      </c>
      <c r="I179" s="9">
        <f>IF(5&lt;=核心参数输入!$B$9*4,I155/(1+核心参数输入!$B$71)^(5/4),0)</f>
        <v>-5287.2862849676058</v>
      </c>
      <c r="J179" s="9">
        <f>IF(6&lt;=核心参数输入!$B$9*4,J155/(1+核心参数输入!$B$71)^(6/4),0)</f>
        <v>-5186.5299182201388</v>
      </c>
      <c r="K179" s="9">
        <f>IF(7&lt;=核心参数输入!$B$9*4,K155/(1+核心参数输入!$B$71)^(7/4),0)</f>
        <v>-5087.6935998477729</v>
      </c>
      <c r="L179" s="9">
        <f>IF(8&lt;=核心参数输入!$B$9*4,L155/(1+核心参数输入!$B$71)^(8/4),0)</f>
        <v>-4990.7407407407409</v>
      </c>
      <c r="M179" s="9">
        <f>IF(9&lt;=核心参数输入!$B$9*4,M155/(1+核心参数输入!$B$71)^(9/4),0)</f>
        <v>-3671.7265867830583</v>
      </c>
      <c r="N179" s="9">
        <f>IF(10&lt;=核心参数输入!$B$9*4,N155/(1+核心参数输入!$B$71)^(10/4),0)</f>
        <v>-3601.7568876528726</v>
      </c>
      <c r="O179" s="9">
        <f>IF(11&lt;=核心参数输入!$B$9*4,O155/(1+核心参数输入!$B$71)^(11/4),0)</f>
        <v>-3533.120555449841</v>
      </c>
      <c r="P179" s="9">
        <f>IF(12&lt;=核心参数输入!$B$9*4,P155/(1+核心参数输入!$B$71)^(12/4),0)</f>
        <v>-3465.7921810699581</v>
      </c>
      <c r="Q179" s="9">
        <f>IF(13&lt;=核心参数输入!$B$9*4,Q155/(1+核心参数输入!$B$71)^(13/4),0)</f>
        <v>1026.5996195776791</v>
      </c>
      <c r="R179" s="9">
        <f>IF(14&lt;=核心参数输入!$B$9*4,R155/(1+核心参数输入!$B$71)^(14/4),0)</f>
        <v>2149.2307371950105</v>
      </c>
      <c r="S179" s="9">
        <f>IF(15&lt;=核心参数输入!$B$9*4,S155/(1+核心参数输入!$B$71)^(15/4),0)</f>
        <v>2135.1992328359051</v>
      </c>
      <c r="T179" s="9">
        <f>IF(16&lt;=核心参数输入!$B$9*4,T155/(1+核心参数输入!$B$71)^(16/4),0)</f>
        <v>2120.922025839151</v>
      </c>
      <c r="U179" s="9">
        <f>IF(17&lt;=核心参数输入!$B$9*4,U155/(1+核心参数输入!$B$71)^(17/4),0)</f>
        <v>2572.555369311473</v>
      </c>
      <c r="V179" s="9">
        <f>IF(18&lt;=核心参数输入!$B$9*4,V155/(1+核心参数输入!$B$71)^(18/4),0)</f>
        <v>2773.2917635936551</v>
      </c>
      <c r="W179" s="9">
        <f>IF(19&lt;=核心参数输入!$B$9*4,W155/(1+核心参数输入!$B$71)^(19/4),0)</f>
        <v>2733.0952005274657</v>
      </c>
      <c r="X179" s="9">
        <f>IF(20&lt;=核心参数输入!$B$9*4,X155/(1+核心参数输入!$B$71)^(20/4),0)</f>
        <v>2693.4235314818811</v>
      </c>
      <c r="Y179" s="9">
        <f>IF(21&lt;=核心参数输入!$B$9*4,Y155/(1+核心参数输入!$B$71)^(21/4),0)</f>
        <v>2223.9952761689988</v>
      </c>
      <c r="Z179" s="9">
        <f>IF(22&lt;=核心参数输入!$B$9*4,Z155/(1+核心参数输入!$B$71)^(22/4),0)</f>
        <v>1978.8753681394226</v>
      </c>
      <c r="AA179" s="9">
        <f>IF(23&lt;=核心参数输入!$B$9*4,AA155/(1+核心参数输入!$B$71)^(23/4),0)</f>
        <v>1950.083309391576</v>
      </c>
      <c r="AB179" s="9">
        <f>IF(24&lt;=核心参数输入!$B$9*4,AB155/(1+核心参数输入!$B$71)^(24/4),0)</f>
        <v>1914.2790055352837</v>
      </c>
      <c r="AC179" s="9">
        <f>IF(25&lt;=核心参数输入!$B$9*4,AC155/(1+核心参数输入!$B$71)^(25/4),0)</f>
        <v>696.96912303478507</v>
      </c>
      <c r="AD179" s="9">
        <f>IF(26&lt;=核心参数输入!$B$9*4,AD155/(1+核心参数输入!$B$71)^(26/4),0)</f>
        <v>96.757913573751821</v>
      </c>
      <c r="AE179" s="9">
        <f>IF(27&lt;=核心参数输入!$B$9*4,AE155/(1+核心参数输入!$B$71)^(27/4),0)</f>
        <v>97.707841929191687</v>
      </c>
      <c r="AF179" s="9">
        <f>IF(28&lt;=核心参数输入!$B$9*4,AF155/(1+核心参数输入!$B$71)^(28/4),0)</f>
        <v>98.586428860329136</v>
      </c>
      <c r="AG179" s="9">
        <f>IF(29&lt;=核心参数输入!$B$9*4,AG155/(1+核心参数输入!$B$71)^(29/4),0)</f>
        <v>101.04556286996052</v>
      </c>
      <c r="AH179" s="9">
        <f>IF(30&lt;=核心参数输入!$B$9*4,AH155/(1+核心参数输入!$B$71)^(30/4),0)</f>
        <v>100.45832529930306</v>
      </c>
      <c r="AI179" s="9">
        <f>IF(31&lt;=核心参数输入!$B$9*4,AI155/(1+核心参数输入!$B$71)^(31/4),0)</f>
        <v>98.543956505717873</v>
      </c>
      <c r="AJ179" s="9">
        <f>IF(32&lt;=核心参数输入!$B$9*4,AJ155/(1+核心参数输入!$B$71)^(32/4),0)</f>
        <v>96.666068589819375</v>
      </c>
      <c r="AK179" s="9">
        <f>IF(33&lt;=核心参数输入!$B$9*4,AK155/(1+核心参数输入!$B$71)^(33/4),0)</f>
        <v>96.38893528705097</v>
      </c>
      <c r="AL179" s="9">
        <f>IF(34&lt;=核心参数输入!$B$9*4,AL155/(1+核心参数输入!$B$71)^(34/4),0)</f>
        <v>94.55211420516784</v>
      </c>
      <c r="AM179" s="9">
        <f>IF(35&lt;=核心参数输入!$B$9*4,AM155/(1+核心参数输入!$B$71)^(35/4),0)</f>
        <v>92.750296224800493</v>
      </c>
      <c r="AN179" s="9">
        <f>IF(36&lt;=核心参数输入!$B$9*4,AN155/(1+核心参数输入!$B$71)^(36/4),0)</f>
        <v>90.982814314669824</v>
      </c>
      <c r="AO179" s="9">
        <f>IF(37&lt;=核心参数输入!$B$9*4,AO155/(1+核心参数输入!$B$71)^(37/4),0)</f>
        <v>90.715811386446219</v>
      </c>
      <c r="AP179" s="9">
        <f>IF(38&lt;=核心参数输入!$B$9*4,AP155/(1+核心参数输入!$B$71)^(38/4),0)</f>
        <v>88.987099327136406</v>
      </c>
      <c r="AQ179" s="9">
        <f>IF(39&lt;=核心参数输入!$B$9*4,AQ155/(1+核心参数输入!$B$71)^(39/4),0)</f>
        <v>87.291330206200072</v>
      </c>
      <c r="AR179" s="9">
        <f>IF(40&lt;=核心参数输入!$B$9*4,AR155/(1+核心参数输入!$B$71)^(40/4),0)</f>
        <v>85.627876251543626</v>
      </c>
      <c r="AS179" s="9">
        <f>IF(41&lt;=核心参数输入!$B$9*4,AS155/(1+核心参数输入!$B$71)^(41/4),0)</f>
        <v>85.370876991131951</v>
      </c>
      <c r="AT179" s="9">
        <f>IF(42&lt;=核心参数输入!$B$9*4,AT155/(1+核心参数输入!$B$71)^(42/4),0)</f>
        <v>83.744019861014564</v>
      </c>
      <c r="AU179" s="9">
        <f>IF(43&lt;=核心参数输入!$B$9*4,AU155/(1+核心参数输入!$B$71)^(43/4),0)</f>
        <v>82.148164686307425</v>
      </c>
      <c r="AV179" s="9">
        <f>IF(44&lt;=核心参数输入!$B$9*4,AV155/(1+核心参数输入!$B$71)^(44/4),0)</f>
        <v>80.582720682963554</v>
      </c>
      <c r="AW179" s="9">
        <f>IF(45&lt;=核心参数输入!$B$9*4,AW155/(1+核心参数输入!$B$71)^(45/4),0)</f>
        <v>80.335570349848524</v>
      </c>
      <c r="AX179" s="9">
        <f>IF(46&lt;=核心参数输入!$B$9*4,AX155/(1+核心参数输入!$B$71)^(46/4),0)</f>
        <v>78.804667774731783</v>
      </c>
      <c r="AY179" s="9">
        <f>IF(47&lt;=核心参数输入!$B$9*4,AY155/(1+核心参数输入!$B$71)^(47/4),0)</f>
        <v>77.302938611645274</v>
      </c>
      <c r="AZ179" s="9">
        <f>IF(48&lt;=核心参数输入!$B$9*4,AZ155/(1+核心参数输入!$B$71)^(48/4),0)</f>
        <v>75.829826921900718</v>
      </c>
      <c r="BA179" s="9">
        <f>IF(49&lt;=核心参数输入!$B$9*4,BA155/(1+核心参数输入!$B$71)^(49/4),0)</f>
        <v>75.592347063930319</v>
      </c>
      <c r="BB179" s="9">
        <f>IF(50&lt;=核心参数输入!$B$9*4,BB155/(1+核心参数输入!$B$71)^(50/4),0)</f>
        <v>74.151833001786656</v>
      </c>
      <c r="BC179" s="9">
        <f>IF(51&lt;=核心参数输入!$B$9*4,BC155/(1+核心参数输入!$B$71)^(51/4),0)</f>
        <v>72.738769876726309</v>
      </c>
      <c r="BD179" s="9">
        <f>IF(52&lt;=核心参数输入!$B$9*4,BD155/(1+核心参数输入!$B$71)^(52/4),0)</f>
        <v>71.352634574142854</v>
      </c>
      <c r="BE179" s="9">
        <f>IF(53&lt;=核心参数输入!$B$9*4,BE155/(1+核心参数输入!$B$71)^(53/4),0)</f>
        <v>71.124626894727214</v>
      </c>
      <c r="BF179" s="9">
        <f>IF(54&lt;=核心参数输入!$B$9*4,BF155/(1+核心参数输入!$B$71)^(54/4),0)</f>
        <v>69.769251262324559</v>
      </c>
      <c r="BG179" s="9">
        <f>IF(55&lt;=核心参数输入!$B$9*4,BG155/(1+核心参数输入!$B$71)^(55/4),0)</f>
        <v>68.439704139470777</v>
      </c>
      <c r="BH179" s="9">
        <f>IF(56&lt;=核心参数输入!$B$9*4,BH155/(1+核心参数输入!$B$71)^(56/4),0)</f>
        <v>67.135493329102886</v>
      </c>
      <c r="BI179" s="9">
        <f>IF(57&lt;=核心参数输入!$B$9*4,BI155/(1+核心参数输入!$B$71)^(57/4),0)</f>
        <v>66.916743141259218</v>
      </c>
      <c r="BJ179" s="9">
        <f>IF(58&lt;=核心参数输入!$B$9*4,BJ155/(1+核心参数输入!$B$71)^(58/4),0)</f>
        <v>65.641554405469378</v>
      </c>
      <c r="BK179" s="9">
        <f>IF(59&lt;=核心参数输入!$B$9*4,BK155/(1+核心参数输入!$B$71)^(59/4),0)</f>
        <v>64.390666109831756</v>
      </c>
      <c r="BL179" s="9">
        <f>IF(60&lt;=核心参数输入!$B$9*4,BL155/(1+核心参数输入!$B$71)^(60/4),0)</f>
        <v>63.163615176705363</v>
      </c>
      <c r="BM179" s="9">
        <f>IF(61&lt;=核心参数输入!$B$9*4,BM155/(1+核心参数输入!$B$71)^(61/4),0)</f>
        <v>62.953894482158312</v>
      </c>
      <c r="BN179" s="9">
        <f>IF(62&lt;=核心参数输入!$B$9*4,BN155/(1+核心参数输入!$B$71)^(62/4),0)</f>
        <v>61.754223168982094</v>
      </c>
      <c r="BO179" s="9">
        <f>IF(63&lt;=核心参数输入!$B$9*4,BO155/(1+核心参数输入!$B$71)^(63/4),0)</f>
        <v>60.577413209682319</v>
      </c>
      <c r="BP179" s="9">
        <f>IF(64&lt;=核心参数输入!$B$9*4,BP155/(1+核心参数输入!$B$71)^(64/4),0)</f>
        <v>59.42302895034674</v>
      </c>
      <c r="BQ179" s="9">
        <f>IF(65&lt;=核心参数输入!$B$9*4,BQ155/(1+核心参数输入!$B$71)^(65/4),0)</f>
        <v>59.222099178607742</v>
      </c>
      <c r="BR179" s="9">
        <f>IF(66&lt;=核心参数输入!$B$9*4,BR155/(1+核心参数输入!$B$71)^(66/4),0)</f>
        <v>58.093542254924664</v>
      </c>
      <c r="BS179" s="9">
        <f>IF(67&lt;=核心参数输入!$B$9*4,BS155/(1+核心参数输入!$B$71)^(67/4),0)</f>
        <v>56.986491504573152</v>
      </c>
      <c r="BT179" s="9">
        <f>IF(68&lt;=核心参数输入!$B$9*4,BT155/(1+核心参数输入!$B$71)^(68/4),0)</f>
        <v>55.900537098432778</v>
      </c>
      <c r="BU179" s="9">
        <f>IF(69&lt;=核心参数输入!$B$9*4,BU155/(1+核心参数输入!$B$71)^(69/4),0)</f>
        <v>55.708151537764913</v>
      </c>
      <c r="BV179" s="9">
        <f>IF(70&lt;=核心参数输入!$B$9*4,BV155/(1+核心参数输入!$B$71)^(70/4),0)</f>
        <v>54.646557622731258</v>
      </c>
      <c r="BW179" s="9">
        <f>IF(71&lt;=核心参数输入!$B$9*4,BW155/(1+核心参数输入!$B$71)^(71/4),0)</f>
        <v>53.605193810641737</v>
      </c>
      <c r="BX179" s="9">
        <f>IF(72&lt;=核心参数输入!$B$9*4,BX155/(1+核心参数输入!$B$71)^(72/4),0)</f>
        <v>52.583674589617168</v>
      </c>
      <c r="BY179" s="9">
        <f>IF(73&lt;=核心参数输入!$B$9*4,BY155/(1+核心参数输入!$B$71)^(73/4),0)</f>
        <v>52.39958053902609</v>
      </c>
      <c r="BZ179" s="9">
        <f>IF(74&lt;=核心参数输入!$B$9*4,BZ155/(1+核心参数输入!$B$71)^(74/4),0)</f>
        <v>51.401035903905033</v>
      </c>
      <c r="CA179" s="9">
        <f>IF(75&lt;=核心参数输入!$B$9*4,CA155/(1+核心参数输入!$B$71)^(75/4),0)</f>
        <v>50.421519882716986</v>
      </c>
      <c r="CB179" s="9">
        <f>IF(76&lt;=核心参数输入!$B$9*4,CB155/(1+核心参数输入!$B$71)^(76/4),0)</f>
        <v>49.460669859575326</v>
      </c>
      <c r="CC179" s="9">
        <f>IF(77&lt;=核心参数输入!$B$9*4,CC155/(1+核心参数输入!$B$71)^(77/4),0)</f>
        <v>49.284610528427336</v>
      </c>
      <c r="CD179" s="9">
        <f>IF(78&lt;=核心参数输入!$B$9*4,CD155/(1+核心参数输入!$B$71)^(78/4),0)</f>
        <v>48.345425845440431</v>
      </c>
      <c r="CE179" s="9">
        <f>IF(79&lt;=核心参数输入!$B$9*4,CE155/(1+核心参数输入!$B$71)^(79/4),0)</f>
        <v>47.424138592488966</v>
      </c>
      <c r="CF179" s="9">
        <f>IF(80&lt;=核心参数输入!$B$9*4,CF155/(1+核心参数输入!$B$71)^(80/4),0)</f>
        <v>46.520407709920221</v>
      </c>
      <c r="CG179" s="9">
        <f>IF(81&lt;=核心参数输入!$B$9*4,CG155/(1+核心参数输入!$B$71)^(81/4),0)</f>
        <v>0</v>
      </c>
      <c r="CH179" s="9">
        <f>IF(82&lt;=核心参数输入!$B$9*4,CH155/(1+核心参数输入!$B$71)^(82/4),0)</f>
        <v>0</v>
      </c>
      <c r="CI179" s="9">
        <f>IF(83&lt;=核心参数输入!$B$9*4,CI155/(1+核心参数输入!$B$71)^(83/4),0)</f>
        <v>0</v>
      </c>
      <c r="CJ179" s="9">
        <f>IF(84&lt;=核心参数输入!$B$9*4,CJ155/(1+核心参数输入!$B$71)^(84/4),0)</f>
        <v>0</v>
      </c>
      <c r="CK179" s="9">
        <f>IF(85&lt;=核心参数输入!$B$9*4,CK155/(1+核心参数输入!$B$71)^(85/4),0)</f>
        <v>0</v>
      </c>
      <c r="CL179" s="9">
        <f>IF(86&lt;=核心参数输入!$B$9*4,CL155/(1+核心参数输入!$B$71)^(86/4),0)</f>
        <v>0</v>
      </c>
      <c r="CM179" s="9">
        <f>IF(87&lt;=核心参数输入!$B$9*4,CM155/(1+核心参数输入!$B$71)^(87/4),0)</f>
        <v>0</v>
      </c>
      <c r="CN179" s="9">
        <f>IF(88&lt;=核心参数输入!$B$9*4,CN155/(1+核心参数输入!$B$71)^(88/4),0)</f>
        <v>0</v>
      </c>
      <c r="CO179" s="9">
        <f>IF(89&lt;=核心参数输入!$B$9*4,CO155/(1+核心参数输入!$B$71)^(89/4),0)</f>
        <v>0</v>
      </c>
      <c r="CP179" s="9">
        <f>IF(90&lt;=核心参数输入!$B$9*4,CP155/(1+核心参数输入!$B$71)^(90/4),0)</f>
        <v>0</v>
      </c>
      <c r="CQ179" s="9">
        <f>IF(91&lt;=核心参数输入!$B$9*4,CQ155/(1+核心参数输入!$B$71)^(91/4),0)</f>
        <v>0</v>
      </c>
      <c r="CR179" s="9">
        <f>IF(92&lt;=核心参数输入!$B$9*4,CR155/(1+核心参数输入!$B$71)^(92/4),0)</f>
        <v>0</v>
      </c>
      <c r="CS179" s="9">
        <f>IF(93&lt;=核心参数输入!$B$9*4,CS155/(1+核心参数输入!$B$71)^(93/4),0)</f>
        <v>0</v>
      </c>
      <c r="CT179" s="9">
        <f>IF(94&lt;=核心参数输入!$B$9*4,CT155/(1+核心参数输入!$B$71)^(94/4),0)</f>
        <v>0</v>
      </c>
      <c r="CU179" s="9">
        <f>IF(95&lt;=核心参数输入!$B$9*4,CU155/(1+核心参数输入!$B$71)^(95/4),0)</f>
        <v>0</v>
      </c>
      <c r="CV179" s="9">
        <f>IF(96&lt;=核心参数输入!$B$9*4,CV155/(1+核心参数输入!$B$71)^(96/4),0)</f>
        <v>0</v>
      </c>
      <c r="CW179" s="9">
        <f>IF(97&lt;=核心参数输入!$B$9*4,CW155/(1+核心参数输入!$B$71)^(97/4),0)</f>
        <v>0</v>
      </c>
      <c r="CX179" s="9">
        <f>IF(98&lt;=核心参数输入!$B$9*4,CX155/(1+核心参数输入!$B$71)^(98/4),0)</f>
        <v>0</v>
      </c>
      <c r="CY179" s="9">
        <f>IF(99&lt;=核心参数输入!$B$9*4,CY155/(1+核心参数输入!$B$71)^(99/4),0)</f>
        <v>0</v>
      </c>
      <c r="CZ179" s="9">
        <f>IF(100&lt;=核心参数输入!$B$9*4,CZ155/(1+核心参数输入!$B$71)^(100/4),0)</f>
        <v>0</v>
      </c>
      <c r="DA179" s="9">
        <f>IF(101&lt;=核心参数输入!$B$9*4,DA155/(1+核心参数输入!$B$71)^(101/4),0)</f>
        <v>0</v>
      </c>
      <c r="DB179" s="9">
        <f>IF(102&lt;=核心参数输入!$B$9*4,DB155/(1+核心参数输入!$B$71)^(102/4),0)</f>
        <v>0</v>
      </c>
      <c r="DC179" s="9">
        <f>IF(103&lt;=核心参数输入!$B$9*4,DC155/(1+核心参数输入!$B$71)^(103/4),0)</f>
        <v>0</v>
      </c>
      <c r="DD179" s="9">
        <f>IF(104&lt;=核心参数输入!$B$9*4,DD155/(1+核心参数输入!$B$71)^(104/4),0)</f>
        <v>0</v>
      </c>
      <c r="DE179" s="9">
        <f>IF(105&lt;=核心参数输入!$B$9*4,DE155/(1+核心参数输入!$B$71)^(105/4),0)</f>
        <v>0</v>
      </c>
      <c r="DF179" s="9">
        <f>IF(106&lt;=核心参数输入!$B$9*4,DF155/(1+核心参数输入!$B$71)^(106/4),0)</f>
        <v>0</v>
      </c>
      <c r="DG179" s="9">
        <f>IF(107&lt;=核心参数输入!$B$9*4,DG155/(1+核心参数输入!$B$71)^(107/4),0)</f>
        <v>0</v>
      </c>
      <c r="DH179" s="9">
        <f>IF(108&lt;=核心参数输入!$B$9*4,DH155/(1+核心参数输入!$B$71)^(108/4),0)</f>
        <v>0</v>
      </c>
      <c r="DI179" s="9">
        <f>IF(109&lt;=核心参数输入!$B$9*4,DI155/(1+核心参数输入!$B$71)^(109/4),0)</f>
        <v>0</v>
      </c>
      <c r="DJ179" s="9">
        <f>IF(110&lt;=核心参数输入!$B$9*4,DJ155/(1+核心参数输入!$B$71)^(110/4),0)</f>
        <v>0</v>
      </c>
      <c r="DK179" s="9">
        <f>IF(111&lt;=核心参数输入!$B$9*4,DK155/(1+核心参数输入!$B$71)^(111/4),0)</f>
        <v>0</v>
      </c>
      <c r="DL179" s="9">
        <f>IF(112&lt;=核心参数输入!$B$9*4,DL155/(1+核心参数输入!$B$71)^(112/4),0)</f>
        <v>0</v>
      </c>
      <c r="DM179" s="9">
        <f>IF(113&lt;=核心参数输入!$B$9*4,DM155/(1+核心参数输入!$B$71)^(113/4),0)</f>
        <v>0</v>
      </c>
      <c r="DN179" s="9">
        <f>IF(114&lt;=核心参数输入!$B$9*4,DN155/(1+核心参数输入!$B$71)^(114/4),0)</f>
        <v>0</v>
      </c>
      <c r="DO179" s="9">
        <f>IF(115&lt;=核心参数输入!$B$9*4,DO155/(1+核心参数输入!$B$71)^(115/4),0)</f>
        <v>0</v>
      </c>
      <c r="DP179" s="9">
        <f>IF(116&lt;=核心参数输入!$B$9*4,DP155/(1+核心参数输入!$B$71)^(116/4),0)</f>
        <v>0</v>
      </c>
      <c r="DQ179" s="9">
        <f>IF(117&lt;=核心参数输入!$B$9*4,DQ155/(1+核心参数输入!$B$71)^(117/4),0)</f>
        <v>0</v>
      </c>
      <c r="DR179" s="9">
        <f>IF(118&lt;=核心参数输入!$B$9*4,DR155/(1+核心参数输入!$B$71)^(118/4),0)</f>
        <v>0</v>
      </c>
      <c r="DS179" s="9">
        <f>IF(119&lt;=核心参数输入!$B$9*4,DS155/(1+核心参数输入!$B$71)^(119/4),0)</f>
        <v>0</v>
      </c>
      <c r="DT179" s="9">
        <f>IF(120&lt;=核心参数输入!$B$9*4,DT155/(1+核心参数输入!$B$71)^(120/4),0)</f>
        <v>0</v>
      </c>
    </row>
    <row r="180" spans="1:124" ht="21" customHeight="1">
      <c r="A180" s="8" t="s">
        <v>561</v>
      </c>
      <c r="B180" s="8" t="s">
        <v>39</v>
      </c>
      <c r="C180" s="8"/>
      <c r="D180" s="9">
        <f>IF(0&lt;=核心参数输入!$B$9*4,0+D179,0)</f>
        <v>-8000</v>
      </c>
      <c r="E180" s="9">
        <f>IF(1&lt;=核心参数输入!$B$9*4,季度现金流!D180+E179,0)</f>
        <v>-12282.701890823761</v>
      </c>
      <c r="F180" s="9">
        <f>IF(2&lt;=核心参数输入!$B$9*4,季度现金流!E180+F179,0)</f>
        <v>-16483.791124582072</v>
      </c>
      <c r="G180" s="9">
        <f>IF(3&lt;=核心参数输入!$B$9*4,季度现金流!F180+G179,0)</f>
        <v>-20604.822940458769</v>
      </c>
      <c r="H180" s="9">
        <f>IF(4&lt;=核心参数输入!$B$9*4,季度现金流!G180+H179,0)</f>
        <v>-24647.322940458769</v>
      </c>
      <c r="I180" s="9">
        <f>IF(5&lt;=核心参数输入!$B$9*4,季度现金流!H180+I179,0)</f>
        <v>-29934.609225426375</v>
      </c>
      <c r="J180" s="9">
        <f>IF(6&lt;=核心参数输入!$B$9*4,季度现金流!I180+J179,0)</f>
        <v>-35121.139143646513</v>
      </c>
      <c r="K180" s="9">
        <f>IF(7&lt;=核心参数输入!$B$9*4,季度现金流!J180+K179,0)</f>
        <v>-40208.832743494284</v>
      </c>
      <c r="L180" s="9">
        <f>IF(8&lt;=核心参数输入!$B$9*4,季度现金流!K180+L179,0)</f>
        <v>-45199.573484235021</v>
      </c>
      <c r="M180" s="9">
        <f>IF(9&lt;=核心参数输入!$B$9*4,季度现金流!L180+M179,0)</f>
        <v>-48871.300071018079</v>
      </c>
      <c r="N180" s="9">
        <f>IF(10&lt;=核心参数输入!$B$9*4,季度现金流!M180+N179,0)</f>
        <v>-52473.056958670953</v>
      </c>
      <c r="O180" s="9">
        <f>IF(11&lt;=核心参数输入!$B$9*4,季度现金流!N180+O179,0)</f>
        <v>-56006.177514120791</v>
      </c>
      <c r="P180" s="9">
        <f>IF(12&lt;=核心参数输入!$B$9*4,季度现金流!O180+P179,0)</f>
        <v>-59471.969695190746</v>
      </c>
      <c r="Q180" s="9">
        <f>IF(13&lt;=核心参数输入!$B$9*4,季度现金流!P180+Q179,0)</f>
        <v>-58445.370075613064</v>
      </c>
      <c r="R180" s="9">
        <f>IF(14&lt;=核心参数输入!$B$9*4,季度现金流!Q180+R179,0)</f>
        <v>-56296.139338418056</v>
      </c>
      <c r="S180" s="9">
        <f>IF(15&lt;=核心参数输入!$B$9*4,季度现金流!R180+S179,0)</f>
        <v>-54160.940105582151</v>
      </c>
      <c r="T180" s="9">
        <f>IF(16&lt;=核心参数输入!$B$9*4,季度现金流!S180+T179,0)</f>
        <v>-52040.018079743</v>
      </c>
      <c r="U180" s="9">
        <f>IF(17&lt;=核心参数输入!$B$9*4,季度现金流!T180+U179,0)</f>
        <v>-49467.46271043153</v>
      </c>
      <c r="V180" s="9">
        <f>IF(18&lt;=核心参数输入!$B$9*4,季度现金流!U180+V179,0)</f>
        <v>-46694.170946837876</v>
      </c>
      <c r="W180" s="9">
        <f>IF(19&lt;=核心参数输入!$B$9*4,季度现金流!V180+W179,0)</f>
        <v>-43961.075746310409</v>
      </c>
      <c r="X180" s="9">
        <f>IF(20&lt;=核心参数输入!$B$9*4,季度现金流!W180+X179,0)</f>
        <v>-41267.652214828529</v>
      </c>
      <c r="Y180" s="9">
        <f>IF(21&lt;=核心参数输入!$B$9*4,季度现金流!X180+Y179,0)</f>
        <v>-39043.656938659529</v>
      </c>
      <c r="Z180" s="9">
        <f>IF(22&lt;=核心参数输入!$B$9*4,季度现金流!Y180+Z179,0)</f>
        <v>-37064.781570520106</v>
      </c>
      <c r="AA180" s="9">
        <f>IF(23&lt;=核心参数输入!$B$9*4,季度现金流!Z180+AA179,0)</f>
        <v>-35114.698261128528</v>
      </c>
      <c r="AB180" s="9">
        <f>IF(24&lt;=核心参数输入!$B$9*4,季度现金流!AA180+AB179,0)</f>
        <v>-33200.419255593246</v>
      </c>
      <c r="AC180" s="9">
        <f>IF(25&lt;=核心参数输入!$B$9*4,季度现金流!AB180+AC179,0)</f>
        <v>-32503.450132558461</v>
      </c>
      <c r="AD180" s="9">
        <f>IF(26&lt;=核心参数输入!$B$9*4,季度现金流!AC180+AD179,0)</f>
        <v>-32406.69221898471</v>
      </c>
      <c r="AE180" s="9">
        <f>IF(27&lt;=核心参数输入!$B$9*4,季度现金流!AD180+AE179,0)</f>
        <v>-32308.98437705552</v>
      </c>
      <c r="AF180" s="9">
        <f>IF(28&lt;=核心参数输入!$B$9*4,季度现金流!AE180+AF179,0)</f>
        <v>-32210.39794819519</v>
      </c>
      <c r="AG180" s="9">
        <f>IF(29&lt;=核心参数输入!$B$9*4,季度现金流!AF180+AG179,0)</f>
        <v>-32109.35238532523</v>
      </c>
      <c r="AH180" s="9">
        <f>IF(30&lt;=核心参数输入!$B$9*4,季度现金流!AG180+AH179,0)</f>
        <v>-32008.894060025927</v>
      </c>
      <c r="AI180" s="9">
        <f>IF(31&lt;=核心参数输入!$B$9*4,季度现金流!AH180+AI179,0)</f>
        <v>-31910.35010352021</v>
      </c>
      <c r="AJ180" s="9">
        <f>IF(32&lt;=核心参数输入!$B$9*4,季度现金流!AI180+AJ179,0)</f>
        <v>-31813.684034930389</v>
      </c>
      <c r="AK180" s="9">
        <f>IF(33&lt;=核心参数输入!$B$9*4,季度现金流!AJ180+AK179,0)</f>
        <v>-31717.295099643339</v>
      </c>
      <c r="AL180" s="9">
        <f>IF(34&lt;=核心参数输入!$B$9*4,季度现金流!AK180+AL179,0)</f>
        <v>-31622.74298543817</v>
      </c>
      <c r="AM180" s="9">
        <f>IF(35&lt;=核心参数输入!$B$9*4,季度现金流!AL180+AM179,0)</f>
        <v>-31529.99268921337</v>
      </c>
      <c r="AN180" s="9">
        <f>IF(36&lt;=核心参数输入!$B$9*4,季度现金流!AM180+AN179,0)</f>
        <v>-31439.0098748987</v>
      </c>
      <c r="AO180" s="9">
        <f>IF(37&lt;=核心参数输入!$B$9*4,季度现金流!AN180+AO179,0)</f>
        <v>-31348.294063512254</v>
      </c>
      <c r="AP180" s="9">
        <f>IF(38&lt;=核心参数输入!$B$9*4,季度现金流!AO180+AP179,0)</f>
        <v>-31259.306964185118</v>
      </c>
      <c r="AQ180" s="9">
        <f>IF(39&lt;=核心参数输入!$B$9*4,季度现金流!AP180+AQ179,0)</f>
        <v>-31172.015633978917</v>
      </c>
      <c r="AR180" s="9">
        <f>IF(40&lt;=核心参数输入!$B$9*4,季度现金流!AQ180+AR179,0)</f>
        <v>-31086.387757727374</v>
      </c>
      <c r="AS180" s="9">
        <f>IF(41&lt;=核心参数输入!$B$9*4,季度现金流!AR180+AS179,0)</f>
        <v>-31001.016880736242</v>
      </c>
      <c r="AT180" s="9">
        <f>IF(42&lt;=核心参数输入!$B$9*4,季度现金流!AS180+AT179,0)</f>
        <v>-30917.27286087523</v>
      </c>
      <c r="AU180" s="9">
        <f>IF(43&lt;=核心参数输入!$B$9*4,季度现金流!AT180+AU179,0)</f>
        <v>-30835.124696188923</v>
      </c>
      <c r="AV180" s="9">
        <f>IF(44&lt;=核心参数输入!$B$9*4,季度现金流!AU180+AV179,0)</f>
        <v>-30754.541975505959</v>
      </c>
      <c r="AW180" s="9">
        <f>IF(45&lt;=核心参数输入!$B$9*4,季度现金流!AV180+AW179,0)</f>
        <v>-30674.20640515611</v>
      </c>
      <c r="AX180" s="9">
        <f>IF(46&lt;=核心参数输入!$B$9*4,季度现金流!AW180+AX179,0)</f>
        <v>-30595.401737381377</v>
      </c>
      <c r="AY180" s="9">
        <f>IF(47&lt;=核心参数输入!$B$9*4,季度现金流!AX180+AY179,0)</f>
        <v>-30518.09879876973</v>
      </c>
      <c r="AZ180" s="9">
        <f>IF(48&lt;=核心参数输入!$B$9*4,季度现金流!AY180+AZ179,0)</f>
        <v>-30442.268971847829</v>
      </c>
      <c r="BA180" s="9">
        <f>IF(49&lt;=核心参数输入!$B$9*4,季度现金流!AZ180+BA179,0)</f>
        <v>-30366.676624783897</v>
      </c>
      <c r="BB180" s="9">
        <f>IF(50&lt;=核心参数输入!$B$9*4,季度现金流!BA180+BB179,0)</f>
        <v>-30292.524791782111</v>
      </c>
      <c r="BC180" s="9">
        <f>IF(51&lt;=核心参数输入!$B$9*4,季度现金流!BB180+BC179,0)</f>
        <v>-30219.786021905384</v>
      </c>
      <c r="BD180" s="9">
        <f>IF(52&lt;=核心参数输入!$B$9*4,季度现金流!BC180+BD179,0)</f>
        <v>-30148.433387331243</v>
      </c>
      <c r="BE180" s="9">
        <f>IF(53&lt;=核心参数输入!$B$9*4,季度现金流!BD180+BE179,0)</f>
        <v>-30077.308760436514</v>
      </c>
      <c r="BF180" s="9">
        <f>IF(54&lt;=核心参数输入!$B$9*4,季度现金流!BE180+BF179,0)</f>
        <v>-30007.539509174188</v>
      </c>
      <c r="BG180" s="9">
        <f>IF(55&lt;=核心参数输入!$B$9*4,季度现金流!BF180+BG179,0)</f>
        <v>-29939.099805034719</v>
      </c>
      <c r="BH180" s="9">
        <f>IF(56&lt;=核心参数输入!$B$9*4,季度现金流!BG180+BH179,0)</f>
        <v>-29871.964311705615</v>
      </c>
      <c r="BI180" s="9">
        <f>IF(57&lt;=核心参数输入!$B$9*4,季度现金流!BH180+BI179,0)</f>
        <v>-29805.047568564354</v>
      </c>
      <c r="BJ180" s="9">
        <f>IF(58&lt;=核心参数输入!$B$9*4,季度现金流!BI180+BJ179,0)</f>
        <v>-29739.406014158885</v>
      </c>
      <c r="BK180" s="9">
        <f>IF(59&lt;=核心参数输入!$B$9*4,季度现金流!BJ180+BK179,0)</f>
        <v>-29675.015348049052</v>
      </c>
      <c r="BL180" s="9">
        <f>IF(60&lt;=核心参数输入!$B$9*4,季度现金流!BK180+BL179,0)</f>
        <v>-29611.851732872346</v>
      </c>
      <c r="BM180" s="9">
        <f>IF(61&lt;=核心参数输入!$B$9*4,季度现金流!BL180+BM179,0)</f>
        <v>-29548.897838390189</v>
      </c>
      <c r="BN180" s="9">
        <f>IF(62&lt;=核心参数输入!$B$9*4,季度现金流!BM180+BN179,0)</f>
        <v>-29487.143615221208</v>
      </c>
      <c r="BO180" s="9">
        <f>IF(63&lt;=核心参数输入!$B$9*4,季度现金流!BN180+BO179,0)</f>
        <v>-29426.566202011527</v>
      </c>
      <c r="BP180" s="9">
        <f>IF(64&lt;=核心参数输入!$B$9*4,季度现金流!BO180+BP179,0)</f>
        <v>-29367.14317306118</v>
      </c>
      <c r="BQ180" s="9">
        <f>IF(65&lt;=核心参数输入!$B$9*4,季度现金流!BP180+BQ179,0)</f>
        <v>-29307.921073882571</v>
      </c>
      <c r="BR180" s="9">
        <f>IF(66&lt;=核心参数输入!$B$9*4,季度现金流!BQ180+BR179,0)</f>
        <v>-29249.827531627645</v>
      </c>
      <c r="BS180" s="9">
        <f>IF(67&lt;=核心参数输入!$B$9*4,季度现金流!BR180+BS179,0)</f>
        <v>-29192.841040123072</v>
      </c>
      <c r="BT180" s="9">
        <f>IF(68&lt;=核心参数输入!$B$9*4,季度现金流!BS180+BT179,0)</f>
        <v>-29136.940503024638</v>
      </c>
      <c r="BU180" s="9">
        <f>IF(69&lt;=核心参数输入!$B$9*4,季度现金流!BT180+BU179,0)</f>
        <v>-29081.232351486873</v>
      </c>
      <c r="BV180" s="9">
        <f>IF(70&lt;=核心参数输入!$B$9*4,季度现金流!BU180+BV179,0)</f>
        <v>-29026.585793864142</v>
      </c>
      <c r="BW180" s="9">
        <f>IF(71&lt;=核心参数输入!$B$9*4,季度现金流!BV180+BW179,0)</f>
        <v>-28972.980600053499</v>
      </c>
      <c r="BX180" s="9">
        <f>IF(72&lt;=核心参数输入!$B$9*4,季度现金流!BW180+BX179,0)</f>
        <v>-28920.396925463883</v>
      </c>
      <c r="BY180" s="9">
        <f>IF(73&lt;=核心参数输入!$B$9*4,季度现金流!BX180+BY179,0)</f>
        <v>-28867.997344924857</v>
      </c>
      <c r="BZ180" s="9">
        <f>IF(74&lt;=核心参数输入!$B$9*4,季度现金流!BY180+BZ179,0)</f>
        <v>-28816.596309020952</v>
      </c>
      <c r="CA180" s="9">
        <f>IF(75&lt;=核心参数输入!$B$9*4,季度现金流!BZ180+CA179,0)</f>
        <v>-28766.174789138233</v>
      </c>
      <c r="CB180" s="9">
        <f>IF(76&lt;=核心参数输入!$B$9*4,季度现金流!CA180+CB179,0)</f>
        <v>-28716.714119278658</v>
      </c>
      <c r="CC180" s="9">
        <f>IF(77&lt;=核心参数输入!$B$9*4,季度现金流!CB180+CC179,0)</f>
        <v>-28667.429508750232</v>
      </c>
      <c r="CD180" s="9">
        <f>IF(78&lt;=核心参数输入!$B$9*4,季度现金流!CC180+CD179,0)</f>
        <v>-28619.084082904792</v>
      </c>
      <c r="CE180" s="9">
        <f>IF(79&lt;=核心参数输入!$B$9*4,季度现金流!CD180+CE179,0)</f>
        <v>-28571.659944312301</v>
      </c>
      <c r="CF180" s="9">
        <f>IF(80&lt;=核心参数输入!$B$9*4,季度现金流!CE180+CF179,0)</f>
        <v>-28525.139536602383</v>
      </c>
      <c r="CG180" s="9">
        <f>IF(81&lt;=核心参数输入!$B$9*4,季度现金流!CF180+CG179,0)</f>
        <v>0</v>
      </c>
      <c r="CH180" s="9">
        <f>IF(82&lt;=核心参数输入!$B$9*4,季度现金流!CG180+CH179,0)</f>
        <v>0</v>
      </c>
      <c r="CI180" s="9">
        <f>IF(83&lt;=核心参数输入!$B$9*4,季度现金流!CH180+CI179,0)</f>
        <v>0</v>
      </c>
      <c r="CJ180" s="9">
        <f>IF(84&lt;=核心参数输入!$B$9*4,季度现金流!CI180+CJ179,0)</f>
        <v>0</v>
      </c>
      <c r="CK180" s="9">
        <f>IF(85&lt;=核心参数输入!$B$9*4,季度现金流!CJ180+CK179,0)</f>
        <v>0</v>
      </c>
      <c r="CL180" s="9">
        <f>IF(86&lt;=核心参数输入!$B$9*4,季度现金流!CK180+CL179,0)</f>
        <v>0</v>
      </c>
      <c r="CM180" s="9">
        <f>IF(87&lt;=核心参数输入!$B$9*4,季度现金流!CL180+CM179,0)</f>
        <v>0</v>
      </c>
      <c r="CN180" s="9">
        <f>IF(88&lt;=核心参数输入!$B$9*4,季度现金流!CM180+CN179,0)</f>
        <v>0</v>
      </c>
      <c r="CO180" s="9">
        <f>IF(89&lt;=核心参数输入!$B$9*4,季度现金流!CN180+CO179,0)</f>
        <v>0</v>
      </c>
      <c r="CP180" s="9">
        <f>IF(90&lt;=核心参数输入!$B$9*4,季度现金流!CO180+CP179,0)</f>
        <v>0</v>
      </c>
      <c r="CQ180" s="9">
        <f>IF(91&lt;=核心参数输入!$B$9*4,季度现金流!CP180+CQ179,0)</f>
        <v>0</v>
      </c>
      <c r="CR180" s="9">
        <f>IF(92&lt;=核心参数输入!$B$9*4,季度现金流!CQ180+CR179,0)</f>
        <v>0</v>
      </c>
      <c r="CS180" s="9">
        <f>IF(93&lt;=核心参数输入!$B$9*4,季度现金流!CR180+CS179,0)</f>
        <v>0</v>
      </c>
      <c r="CT180" s="9">
        <f>IF(94&lt;=核心参数输入!$B$9*4,季度现金流!CS180+CT179,0)</f>
        <v>0</v>
      </c>
      <c r="CU180" s="9">
        <f>IF(95&lt;=核心参数输入!$B$9*4,季度现金流!CT180+CU179,0)</f>
        <v>0</v>
      </c>
      <c r="CV180" s="9">
        <f>IF(96&lt;=核心参数输入!$B$9*4,季度现金流!CU180+CV179,0)</f>
        <v>0</v>
      </c>
      <c r="CW180" s="9">
        <f>IF(97&lt;=核心参数输入!$B$9*4,季度现金流!CV180+CW179,0)</f>
        <v>0</v>
      </c>
      <c r="CX180" s="9">
        <f>IF(98&lt;=核心参数输入!$B$9*4,季度现金流!CW180+CX179,0)</f>
        <v>0</v>
      </c>
      <c r="CY180" s="9">
        <f>IF(99&lt;=核心参数输入!$B$9*4,季度现金流!CX180+CY179,0)</f>
        <v>0</v>
      </c>
      <c r="CZ180" s="9">
        <f>IF(100&lt;=核心参数输入!$B$9*4,季度现金流!CY180+CZ179,0)</f>
        <v>0</v>
      </c>
      <c r="DA180" s="9">
        <f>IF(101&lt;=核心参数输入!$B$9*4,季度现金流!CZ180+DA179,0)</f>
        <v>0</v>
      </c>
      <c r="DB180" s="9">
        <f>IF(102&lt;=核心参数输入!$B$9*4,季度现金流!DA180+DB179,0)</f>
        <v>0</v>
      </c>
      <c r="DC180" s="9">
        <f>IF(103&lt;=核心参数输入!$B$9*4,季度现金流!DB180+DC179,0)</f>
        <v>0</v>
      </c>
      <c r="DD180" s="9">
        <f>IF(104&lt;=核心参数输入!$B$9*4,季度现金流!DC180+DD179,0)</f>
        <v>0</v>
      </c>
      <c r="DE180" s="9">
        <f>IF(105&lt;=核心参数输入!$B$9*4,季度现金流!DD180+DE179,0)</f>
        <v>0</v>
      </c>
      <c r="DF180" s="9">
        <f>IF(106&lt;=核心参数输入!$B$9*4,季度现金流!DE180+DF179,0)</f>
        <v>0</v>
      </c>
      <c r="DG180" s="9">
        <f>IF(107&lt;=核心参数输入!$B$9*4,季度现金流!DF180+DG179,0)</f>
        <v>0</v>
      </c>
      <c r="DH180" s="9">
        <f>IF(108&lt;=核心参数输入!$B$9*4,季度现金流!DG180+DH179,0)</f>
        <v>0</v>
      </c>
      <c r="DI180" s="9">
        <f>IF(109&lt;=核心参数输入!$B$9*4,季度现金流!DH180+DI179,0)</f>
        <v>0</v>
      </c>
      <c r="DJ180" s="9">
        <f>IF(110&lt;=核心参数输入!$B$9*4,季度现金流!DI180+DJ179,0)</f>
        <v>0</v>
      </c>
      <c r="DK180" s="9">
        <f>IF(111&lt;=核心参数输入!$B$9*4,季度现金流!DJ180+DK179,0)</f>
        <v>0</v>
      </c>
      <c r="DL180" s="9">
        <f>IF(112&lt;=核心参数输入!$B$9*4,季度现金流!DK180+DL179,0)</f>
        <v>0</v>
      </c>
      <c r="DM180" s="9">
        <f>IF(113&lt;=核心参数输入!$B$9*4,季度现金流!DL180+DM179,0)</f>
        <v>0</v>
      </c>
      <c r="DN180" s="9">
        <f>IF(114&lt;=核心参数输入!$B$9*4,季度现金流!DM180+DN179,0)</f>
        <v>0</v>
      </c>
      <c r="DO180" s="9">
        <f>IF(115&lt;=核心参数输入!$B$9*4,季度现金流!DN180+DO179,0)</f>
        <v>0</v>
      </c>
      <c r="DP180" s="9">
        <f>IF(116&lt;=核心参数输入!$B$9*4,季度现金流!DO180+DP179,0)</f>
        <v>0</v>
      </c>
      <c r="DQ180" s="9">
        <f>IF(117&lt;=核心参数输入!$B$9*4,季度现金流!DP180+DQ179,0)</f>
        <v>0</v>
      </c>
      <c r="DR180" s="9">
        <f>IF(118&lt;=核心参数输入!$B$9*4,季度现金流!DQ180+DR179,0)</f>
        <v>0</v>
      </c>
      <c r="DS180" s="9">
        <f>IF(119&lt;=核心参数输入!$B$9*4,季度现金流!DR180+DS179,0)</f>
        <v>0</v>
      </c>
      <c r="DT180" s="9">
        <f>IF(120&lt;=核心参数输入!$B$9*4,季度现金流!DS180+DT179,0)</f>
        <v>0</v>
      </c>
    </row>
    <row r="181" spans="1:124" ht="21" customHeight="1">
      <c r="A181" s="8" t="s">
        <v>562</v>
      </c>
      <c r="B181" s="8" t="s">
        <v>39</v>
      </c>
      <c r="C181" s="8"/>
      <c r="D181" s="9">
        <f>IF(0&lt;=核心参数输入!$B$9*4,0,0)</f>
        <v>0</v>
      </c>
      <c r="E181" s="9">
        <f>IF(1&lt;=核心参数输入!$B$9*4,IF(AND(季度现金流!D178&lt;0,E178&gt;=0),1,0),0)</f>
        <v>0</v>
      </c>
      <c r="F181" s="9">
        <f>IF(2&lt;=核心参数输入!$B$9*4,IF(AND(季度现金流!E178&lt;0,F178&gt;=0),1,0),0)</f>
        <v>0</v>
      </c>
      <c r="G181" s="9">
        <f>IF(3&lt;=核心参数输入!$B$9*4,IF(AND(季度现金流!F178&lt;0,G178&gt;=0),1,0),0)</f>
        <v>0</v>
      </c>
      <c r="H181" s="9">
        <f>IF(4&lt;=核心参数输入!$B$9*4,IF(AND(季度现金流!G178&lt;0,H178&gt;=0),1,0),0)</f>
        <v>0</v>
      </c>
      <c r="I181" s="9">
        <f>IF(5&lt;=核心参数输入!$B$9*4,IF(AND(季度现金流!H178&lt;0,I178&gt;=0),1,0),0)</f>
        <v>0</v>
      </c>
      <c r="J181" s="9">
        <f>IF(6&lt;=核心参数输入!$B$9*4,IF(AND(季度现金流!I178&lt;0,J178&gt;=0),1,0),0)</f>
        <v>0</v>
      </c>
      <c r="K181" s="9">
        <f>IF(7&lt;=核心参数输入!$B$9*4,IF(AND(季度现金流!J178&lt;0,K178&gt;=0),1,0),0)</f>
        <v>0</v>
      </c>
      <c r="L181" s="9">
        <f>IF(8&lt;=核心参数输入!$B$9*4,IF(AND(季度现金流!K178&lt;0,L178&gt;=0),1,0),0)</f>
        <v>0</v>
      </c>
      <c r="M181" s="9">
        <f>IF(9&lt;=核心参数输入!$B$9*4,IF(AND(季度现金流!L178&lt;0,M178&gt;=0),1,0),0)</f>
        <v>0</v>
      </c>
      <c r="N181" s="9">
        <f>IF(10&lt;=核心参数输入!$B$9*4,IF(AND(季度现金流!M178&lt;0,N178&gt;=0),1,0),0)</f>
        <v>0</v>
      </c>
      <c r="O181" s="9">
        <f>IF(11&lt;=核心参数输入!$B$9*4,IF(AND(季度现金流!N178&lt;0,O178&gt;=0),1,0),0)</f>
        <v>0</v>
      </c>
      <c r="P181" s="9">
        <f>IF(12&lt;=核心参数输入!$B$9*4,IF(AND(季度现金流!O178&lt;0,P178&gt;=0),1,0),0)</f>
        <v>0</v>
      </c>
      <c r="Q181" s="9">
        <f>IF(13&lt;=核心参数输入!$B$9*4,IF(AND(季度现金流!P178&lt;0,Q178&gt;=0),1,0),0)</f>
        <v>0</v>
      </c>
      <c r="R181" s="9">
        <f>IF(14&lt;=核心参数输入!$B$9*4,IF(AND(季度现金流!Q178&lt;0,R178&gt;=0),1,0),0)</f>
        <v>0</v>
      </c>
      <c r="S181" s="9">
        <f>IF(15&lt;=核心参数输入!$B$9*4,IF(AND(季度现金流!R178&lt;0,S178&gt;=0),1,0),0)</f>
        <v>0</v>
      </c>
      <c r="T181" s="9">
        <f>IF(16&lt;=核心参数输入!$B$9*4,IF(AND(季度现金流!S178&lt;0,T178&gt;=0),1,0),0)</f>
        <v>0</v>
      </c>
      <c r="U181" s="9">
        <f>IF(17&lt;=核心参数输入!$B$9*4,IF(AND(季度现金流!T178&lt;0,U178&gt;=0),1,0),0)</f>
        <v>0</v>
      </c>
      <c r="V181" s="9">
        <f>IF(18&lt;=核心参数输入!$B$9*4,IF(AND(季度现金流!U178&lt;0,V178&gt;=0),1,0),0)</f>
        <v>0</v>
      </c>
      <c r="W181" s="9">
        <f>IF(19&lt;=核心参数输入!$B$9*4,IF(AND(季度现金流!V178&lt;0,W178&gt;=0),1,0),0)</f>
        <v>0</v>
      </c>
      <c r="X181" s="9">
        <f>IF(20&lt;=核心参数输入!$B$9*4,IF(AND(季度现金流!W178&lt;0,X178&gt;=0),1,0),0)</f>
        <v>0</v>
      </c>
      <c r="Y181" s="9">
        <f>IF(21&lt;=核心参数输入!$B$9*4,IF(AND(季度现金流!X178&lt;0,Y178&gt;=0),1,0),0)</f>
        <v>0</v>
      </c>
      <c r="Z181" s="9">
        <f>IF(22&lt;=核心参数输入!$B$9*4,IF(AND(季度现金流!Y178&lt;0,Z178&gt;=0),1,0),0)</f>
        <v>0</v>
      </c>
      <c r="AA181" s="9">
        <f>IF(23&lt;=核心参数输入!$B$9*4,IF(AND(季度现金流!Z178&lt;0,AA178&gt;=0),1,0),0)</f>
        <v>0</v>
      </c>
      <c r="AB181" s="9">
        <f>IF(24&lt;=核心参数输入!$B$9*4,IF(AND(季度现金流!AA178&lt;0,AB178&gt;=0),1,0),0)</f>
        <v>0</v>
      </c>
      <c r="AC181" s="9">
        <f>IF(25&lt;=核心参数输入!$B$9*4,IF(AND(季度现金流!AB178&lt;0,AC178&gt;=0),1,0),0)</f>
        <v>0</v>
      </c>
      <c r="AD181" s="9">
        <f>IF(26&lt;=核心参数输入!$B$9*4,IF(AND(季度现金流!AC178&lt;0,AD178&gt;=0),1,0),0)</f>
        <v>0</v>
      </c>
      <c r="AE181" s="9">
        <f>IF(27&lt;=核心参数输入!$B$9*4,IF(AND(季度现金流!AD178&lt;0,AE178&gt;=0),1,0),0)</f>
        <v>0</v>
      </c>
      <c r="AF181" s="9">
        <f>IF(28&lt;=核心参数输入!$B$9*4,IF(AND(季度现金流!AE178&lt;0,AF178&gt;=0),1,0),0)</f>
        <v>0</v>
      </c>
      <c r="AG181" s="9">
        <f>IF(29&lt;=核心参数输入!$B$9*4,IF(AND(季度现金流!AF178&lt;0,AG178&gt;=0),1,0),0)</f>
        <v>0</v>
      </c>
      <c r="AH181" s="9">
        <f>IF(30&lt;=核心参数输入!$B$9*4,IF(AND(季度现金流!AG178&lt;0,AH178&gt;=0),1,0),0)</f>
        <v>0</v>
      </c>
      <c r="AI181" s="9">
        <f>IF(31&lt;=核心参数输入!$B$9*4,IF(AND(季度现金流!AH178&lt;0,AI178&gt;=0),1,0),0)</f>
        <v>0</v>
      </c>
      <c r="AJ181" s="9">
        <f>IF(32&lt;=核心参数输入!$B$9*4,IF(AND(季度现金流!AI178&lt;0,AJ178&gt;=0),1,0),0)</f>
        <v>0</v>
      </c>
      <c r="AK181" s="9">
        <f>IF(33&lt;=核心参数输入!$B$9*4,IF(AND(季度现金流!AJ178&lt;0,AK178&gt;=0),1,0),0)</f>
        <v>0</v>
      </c>
      <c r="AL181" s="9">
        <f>IF(34&lt;=核心参数输入!$B$9*4,IF(AND(季度现金流!AK178&lt;0,AL178&gt;=0),1,0),0)</f>
        <v>0</v>
      </c>
      <c r="AM181" s="9">
        <f>IF(35&lt;=核心参数输入!$B$9*4,IF(AND(季度现金流!AL178&lt;0,AM178&gt;=0),1,0),0)</f>
        <v>0</v>
      </c>
      <c r="AN181" s="9">
        <f>IF(36&lt;=核心参数输入!$B$9*4,IF(AND(季度现金流!AM178&lt;0,AN178&gt;=0),1,0),0)</f>
        <v>0</v>
      </c>
      <c r="AO181" s="9">
        <f>IF(37&lt;=核心参数输入!$B$9*4,IF(AND(季度现金流!AN178&lt;0,AO178&gt;=0),1,0),0)</f>
        <v>0</v>
      </c>
      <c r="AP181" s="9">
        <f>IF(38&lt;=核心参数输入!$B$9*4,IF(AND(季度现金流!AO178&lt;0,AP178&gt;=0),1,0),0)</f>
        <v>0</v>
      </c>
      <c r="AQ181" s="9">
        <f>IF(39&lt;=核心参数输入!$B$9*4,IF(AND(季度现金流!AP178&lt;0,AQ178&gt;=0),1,0),0)</f>
        <v>0</v>
      </c>
      <c r="AR181" s="9">
        <f>IF(40&lt;=核心参数输入!$B$9*4,IF(AND(季度现金流!AQ178&lt;0,AR178&gt;=0),1,0),0)</f>
        <v>0</v>
      </c>
      <c r="AS181" s="9">
        <f>IF(41&lt;=核心参数输入!$B$9*4,IF(AND(季度现金流!AR178&lt;0,AS178&gt;=0),1,0),0)</f>
        <v>0</v>
      </c>
      <c r="AT181" s="9">
        <f>IF(42&lt;=核心参数输入!$B$9*4,IF(AND(季度现金流!AS178&lt;0,AT178&gt;=0),1,0),0)</f>
        <v>0</v>
      </c>
      <c r="AU181" s="9">
        <f>IF(43&lt;=核心参数输入!$B$9*4,IF(AND(季度现金流!AT178&lt;0,AU178&gt;=0),1,0),0)</f>
        <v>0</v>
      </c>
      <c r="AV181" s="9">
        <f>IF(44&lt;=核心参数输入!$B$9*4,IF(AND(季度现金流!AU178&lt;0,AV178&gt;=0),1,0),0)</f>
        <v>0</v>
      </c>
      <c r="AW181" s="9">
        <f>IF(45&lt;=核心参数输入!$B$9*4,IF(AND(季度现金流!AV178&lt;0,AW178&gt;=0),1,0),0)</f>
        <v>0</v>
      </c>
      <c r="AX181" s="9">
        <f>IF(46&lt;=核心参数输入!$B$9*4,IF(AND(季度现金流!AW178&lt;0,AX178&gt;=0),1,0),0)</f>
        <v>0</v>
      </c>
      <c r="AY181" s="9">
        <f>IF(47&lt;=核心参数输入!$B$9*4,IF(AND(季度现金流!AX178&lt;0,AY178&gt;=0),1,0),0)</f>
        <v>0</v>
      </c>
      <c r="AZ181" s="9">
        <f>IF(48&lt;=核心参数输入!$B$9*4,IF(AND(季度现金流!AY178&lt;0,AZ178&gt;=0),1,0),0)</f>
        <v>0</v>
      </c>
      <c r="BA181" s="9">
        <f>IF(49&lt;=核心参数输入!$B$9*4,IF(AND(季度现金流!AZ178&lt;0,BA178&gt;=0),1,0),0)</f>
        <v>0</v>
      </c>
      <c r="BB181" s="9">
        <f>IF(50&lt;=核心参数输入!$B$9*4,IF(AND(季度现金流!BA178&lt;0,BB178&gt;=0),1,0),0)</f>
        <v>0</v>
      </c>
      <c r="BC181" s="9">
        <f>IF(51&lt;=核心参数输入!$B$9*4,IF(AND(季度现金流!BB178&lt;0,BC178&gt;=0),1,0),0)</f>
        <v>0</v>
      </c>
      <c r="BD181" s="9">
        <f>IF(52&lt;=核心参数输入!$B$9*4,IF(AND(季度现金流!BC178&lt;0,BD178&gt;=0),1,0),0)</f>
        <v>0</v>
      </c>
      <c r="BE181" s="9">
        <f>IF(53&lt;=核心参数输入!$B$9*4,IF(AND(季度现金流!BD178&lt;0,BE178&gt;=0),1,0),0)</f>
        <v>0</v>
      </c>
      <c r="BF181" s="9">
        <f>IF(54&lt;=核心参数输入!$B$9*4,IF(AND(季度现金流!BE178&lt;0,BF178&gt;=0),1,0),0)</f>
        <v>0</v>
      </c>
      <c r="BG181" s="9">
        <f>IF(55&lt;=核心参数输入!$B$9*4,IF(AND(季度现金流!BF178&lt;0,BG178&gt;=0),1,0),0)</f>
        <v>0</v>
      </c>
      <c r="BH181" s="9">
        <f>IF(56&lt;=核心参数输入!$B$9*4,IF(AND(季度现金流!BG178&lt;0,BH178&gt;=0),1,0),0)</f>
        <v>0</v>
      </c>
      <c r="BI181" s="9">
        <f>IF(57&lt;=核心参数输入!$B$9*4,IF(AND(季度现金流!BH178&lt;0,BI178&gt;=0),1,0),0)</f>
        <v>0</v>
      </c>
      <c r="BJ181" s="9">
        <f>IF(58&lt;=核心参数输入!$B$9*4,IF(AND(季度现金流!BI178&lt;0,BJ178&gt;=0),1,0),0)</f>
        <v>0</v>
      </c>
      <c r="BK181" s="9">
        <f>IF(59&lt;=核心参数输入!$B$9*4,IF(AND(季度现金流!BJ178&lt;0,BK178&gt;=0),1,0),0)</f>
        <v>0</v>
      </c>
      <c r="BL181" s="9">
        <f>IF(60&lt;=核心参数输入!$B$9*4,IF(AND(季度现金流!BK178&lt;0,BL178&gt;=0),1,0),0)</f>
        <v>0</v>
      </c>
      <c r="BM181" s="9">
        <f>IF(61&lt;=核心参数输入!$B$9*4,IF(AND(季度现金流!BL178&lt;0,BM178&gt;=0),1,0),0)</f>
        <v>0</v>
      </c>
      <c r="BN181" s="9">
        <f>IF(62&lt;=核心参数输入!$B$9*4,IF(AND(季度现金流!BM178&lt;0,BN178&gt;=0),1,0),0)</f>
        <v>0</v>
      </c>
      <c r="BO181" s="9">
        <f>IF(63&lt;=核心参数输入!$B$9*4,IF(AND(季度现金流!BN178&lt;0,BO178&gt;=0),1,0),0)</f>
        <v>0</v>
      </c>
      <c r="BP181" s="9">
        <f>IF(64&lt;=核心参数输入!$B$9*4,IF(AND(季度现金流!BO178&lt;0,BP178&gt;=0),1,0),0)</f>
        <v>0</v>
      </c>
      <c r="BQ181" s="9">
        <f>IF(65&lt;=核心参数输入!$B$9*4,IF(AND(季度现金流!BP178&lt;0,BQ178&gt;=0),1,0),0)</f>
        <v>0</v>
      </c>
      <c r="BR181" s="9">
        <f>IF(66&lt;=核心参数输入!$B$9*4,IF(AND(季度现金流!BQ178&lt;0,BR178&gt;=0),1,0),0)</f>
        <v>0</v>
      </c>
      <c r="BS181" s="9">
        <f>IF(67&lt;=核心参数输入!$B$9*4,IF(AND(季度现金流!BR178&lt;0,BS178&gt;=0),1,0),0)</f>
        <v>0</v>
      </c>
      <c r="BT181" s="9">
        <f>IF(68&lt;=核心参数输入!$B$9*4,IF(AND(季度现金流!BS178&lt;0,BT178&gt;=0),1,0),0)</f>
        <v>0</v>
      </c>
      <c r="BU181" s="9">
        <f>IF(69&lt;=核心参数输入!$B$9*4,IF(AND(季度现金流!BT178&lt;0,BU178&gt;=0),1,0),0)</f>
        <v>0</v>
      </c>
      <c r="BV181" s="9">
        <f>IF(70&lt;=核心参数输入!$B$9*4,IF(AND(季度现金流!BU178&lt;0,BV178&gt;=0),1,0),0)</f>
        <v>0</v>
      </c>
      <c r="BW181" s="9">
        <f>IF(71&lt;=核心参数输入!$B$9*4,IF(AND(季度现金流!BV178&lt;0,BW178&gt;=0),1,0),0)</f>
        <v>0</v>
      </c>
      <c r="BX181" s="9">
        <f>IF(72&lt;=核心参数输入!$B$9*4,IF(AND(季度现金流!BW178&lt;0,BX178&gt;=0),1,0),0)</f>
        <v>0</v>
      </c>
      <c r="BY181" s="9">
        <f>IF(73&lt;=核心参数输入!$B$9*4,IF(AND(季度现金流!BX178&lt;0,BY178&gt;=0),1,0),0)</f>
        <v>0</v>
      </c>
      <c r="BZ181" s="9">
        <f>IF(74&lt;=核心参数输入!$B$9*4,IF(AND(季度现金流!BY178&lt;0,BZ178&gt;=0),1,0),0)</f>
        <v>0</v>
      </c>
      <c r="CA181" s="9">
        <f>IF(75&lt;=核心参数输入!$B$9*4,IF(AND(季度现金流!BZ178&lt;0,CA178&gt;=0),1,0),0)</f>
        <v>0</v>
      </c>
      <c r="CB181" s="9">
        <f>IF(76&lt;=核心参数输入!$B$9*4,IF(AND(季度现金流!CA178&lt;0,CB178&gt;=0),1,0),0)</f>
        <v>0</v>
      </c>
      <c r="CC181" s="9">
        <f>IF(77&lt;=核心参数输入!$B$9*4,IF(AND(季度现金流!CB178&lt;0,CC178&gt;=0),1,0),0)</f>
        <v>0</v>
      </c>
      <c r="CD181" s="9">
        <f>IF(78&lt;=核心参数输入!$B$9*4,IF(AND(季度现金流!CC178&lt;0,CD178&gt;=0),1,0),0)</f>
        <v>0</v>
      </c>
      <c r="CE181" s="9">
        <f>IF(79&lt;=核心参数输入!$B$9*4,IF(AND(季度现金流!CD178&lt;0,CE178&gt;=0),1,0),0)</f>
        <v>0</v>
      </c>
      <c r="CF181" s="9">
        <f>IF(80&lt;=核心参数输入!$B$9*4,IF(AND(季度现金流!CE178&lt;0,CF178&gt;=0),1,0),0)</f>
        <v>0</v>
      </c>
      <c r="CG181" s="9">
        <f>IF(81&lt;=核心参数输入!$B$9*4,IF(AND(季度现金流!CF178&lt;0,CG178&gt;=0),1,0),0)</f>
        <v>0</v>
      </c>
      <c r="CH181" s="9">
        <f>IF(82&lt;=核心参数输入!$B$9*4,IF(AND(季度现金流!CG178&lt;0,CH178&gt;=0),1,0),0)</f>
        <v>0</v>
      </c>
      <c r="CI181" s="9">
        <f>IF(83&lt;=核心参数输入!$B$9*4,IF(AND(季度现金流!CH178&lt;0,CI178&gt;=0),1,0),0)</f>
        <v>0</v>
      </c>
      <c r="CJ181" s="9">
        <f>IF(84&lt;=核心参数输入!$B$9*4,IF(AND(季度现金流!CI178&lt;0,CJ178&gt;=0),1,0),0)</f>
        <v>0</v>
      </c>
      <c r="CK181" s="9">
        <f>IF(85&lt;=核心参数输入!$B$9*4,IF(AND(季度现金流!CJ178&lt;0,CK178&gt;=0),1,0),0)</f>
        <v>0</v>
      </c>
      <c r="CL181" s="9">
        <f>IF(86&lt;=核心参数输入!$B$9*4,IF(AND(季度现金流!CK178&lt;0,CL178&gt;=0),1,0),0)</f>
        <v>0</v>
      </c>
      <c r="CM181" s="9">
        <f>IF(87&lt;=核心参数输入!$B$9*4,IF(AND(季度现金流!CL178&lt;0,CM178&gt;=0),1,0),0)</f>
        <v>0</v>
      </c>
      <c r="CN181" s="9">
        <f>IF(88&lt;=核心参数输入!$B$9*4,IF(AND(季度现金流!CM178&lt;0,CN178&gt;=0),1,0),0)</f>
        <v>0</v>
      </c>
      <c r="CO181" s="9">
        <f>IF(89&lt;=核心参数输入!$B$9*4,IF(AND(季度现金流!CN178&lt;0,CO178&gt;=0),1,0),0)</f>
        <v>0</v>
      </c>
      <c r="CP181" s="9">
        <f>IF(90&lt;=核心参数输入!$B$9*4,IF(AND(季度现金流!CO178&lt;0,CP178&gt;=0),1,0),0)</f>
        <v>0</v>
      </c>
      <c r="CQ181" s="9">
        <f>IF(91&lt;=核心参数输入!$B$9*4,IF(AND(季度现金流!CP178&lt;0,CQ178&gt;=0),1,0),0)</f>
        <v>0</v>
      </c>
      <c r="CR181" s="9">
        <f>IF(92&lt;=核心参数输入!$B$9*4,IF(AND(季度现金流!CQ178&lt;0,CR178&gt;=0),1,0),0)</f>
        <v>0</v>
      </c>
      <c r="CS181" s="9">
        <f>IF(93&lt;=核心参数输入!$B$9*4,IF(AND(季度现金流!CR178&lt;0,CS178&gt;=0),1,0),0)</f>
        <v>0</v>
      </c>
      <c r="CT181" s="9">
        <f>IF(94&lt;=核心参数输入!$B$9*4,IF(AND(季度现金流!CS178&lt;0,CT178&gt;=0),1,0),0)</f>
        <v>0</v>
      </c>
      <c r="CU181" s="9">
        <f>IF(95&lt;=核心参数输入!$B$9*4,IF(AND(季度现金流!CT178&lt;0,CU178&gt;=0),1,0),0)</f>
        <v>0</v>
      </c>
      <c r="CV181" s="9">
        <f>IF(96&lt;=核心参数输入!$B$9*4,IF(AND(季度现金流!CU178&lt;0,CV178&gt;=0),1,0),0)</f>
        <v>0</v>
      </c>
      <c r="CW181" s="9">
        <f>IF(97&lt;=核心参数输入!$B$9*4,IF(AND(季度现金流!CV178&lt;0,CW178&gt;=0),1,0),0)</f>
        <v>0</v>
      </c>
      <c r="CX181" s="9">
        <f>IF(98&lt;=核心参数输入!$B$9*4,IF(AND(季度现金流!CW178&lt;0,CX178&gt;=0),1,0),0)</f>
        <v>0</v>
      </c>
      <c r="CY181" s="9">
        <f>IF(99&lt;=核心参数输入!$B$9*4,IF(AND(季度现金流!CX178&lt;0,CY178&gt;=0),1,0),0)</f>
        <v>0</v>
      </c>
      <c r="CZ181" s="9">
        <f>IF(100&lt;=核心参数输入!$B$9*4,IF(AND(季度现金流!CY178&lt;0,CZ178&gt;=0),1,0),0)</f>
        <v>0</v>
      </c>
      <c r="DA181" s="9">
        <f>IF(101&lt;=核心参数输入!$B$9*4,IF(AND(季度现金流!CZ178&lt;0,DA178&gt;=0),1,0),0)</f>
        <v>0</v>
      </c>
      <c r="DB181" s="9">
        <f>IF(102&lt;=核心参数输入!$B$9*4,IF(AND(季度现金流!DA178&lt;0,DB178&gt;=0),1,0),0)</f>
        <v>0</v>
      </c>
      <c r="DC181" s="9">
        <f>IF(103&lt;=核心参数输入!$B$9*4,IF(AND(季度现金流!DB178&lt;0,DC178&gt;=0),1,0),0)</f>
        <v>0</v>
      </c>
      <c r="DD181" s="9">
        <f>IF(104&lt;=核心参数输入!$B$9*4,IF(AND(季度现金流!DC178&lt;0,DD178&gt;=0),1,0),0)</f>
        <v>0</v>
      </c>
      <c r="DE181" s="9">
        <f>IF(105&lt;=核心参数输入!$B$9*4,IF(AND(季度现金流!DD178&lt;0,DE178&gt;=0),1,0),0)</f>
        <v>0</v>
      </c>
      <c r="DF181" s="9">
        <f>IF(106&lt;=核心参数输入!$B$9*4,IF(AND(季度现金流!DE178&lt;0,DF178&gt;=0),1,0),0)</f>
        <v>0</v>
      </c>
      <c r="DG181" s="9">
        <f>IF(107&lt;=核心参数输入!$B$9*4,IF(AND(季度现金流!DF178&lt;0,DG178&gt;=0),1,0),0)</f>
        <v>0</v>
      </c>
      <c r="DH181" s="9">
        <f>IF(108&lt;=核心参数输入!$B$9*4,IF(AND(季度现金流!DG178&lt;0,DH178&gt;=0),1,0),0)</f>
        <v>0</v>
      </c>
      <c r="DI181" s="9">
        <f>IF(109&lt;=核心参数输入!$B$9*4,IF(AND(季度现金流!DH178&lt;0,DI178&gt;=0),1,0),0)</f>
        <v>0</v>
      </c>
      <c r="DJ181" s="9">
        <f>IF(110&lt;=核心参数输入!$B$9*4,IF(AND(季度现金流!DI178&lt;0,DJ178&gt;=0),1,0),0)</f>
        <v>0</v>
      </c>
      <c r="DK181" s="9">
        <f>IF(111&lt;=核心参数输入!$B$9*4,IF(AND(季度现金流!DJ178&lt;0,DK178&gt;=0),1,0),0)</f>
        <v>0</v>
      </c>
      <c r="DL181" s="9">
        <f>IF(112&lt;=核心参数输入!$B$9*4,IF(AND(季度现金流!DK178&lt;0,DL178&gt;=0),1,0),0)</f>
        <v>0</v>
      </c>
      <c r="DM181" s="9">
        <f>IF(113&lt;=核心参数输入!$B$9*4,IF(AND(季度现金流!DL178&lt;0,DM178&gt;=0),1,0),0)</f>
        <v>0</v>
      </c>
      <c r="DN181" s="9">
        <f>IF(114&lt;=核心参数输入!$B$9*4,IF(AND(季度现金流!DM178&lt;0,DN178&gt;=0),1,0),0)</f>
        <v>0</v>
      </c>
      <c r="DO181" s="9">
        <f>IF(115&lt;=核心参数输入!$B$9*4,IF(AND(季度现金流!DN178&lt;0,DO178&gt;=0),1,0),0)</f>
        <v>0</v>
      </c>
      <c r="DP181" s="9">
        <f>IF(116&lt;=核心参数输入!$B$9*4,IF(AND(季度现金流!DO178&lt;0,DP178&gt;=0),1,0),0)</f>
        <v>0</v>
      </c>
      <c r="DQ181" s="9">
        <f>IF(117&lt;=核心参数输入!$B$9*4,IF(AND(季度现金流!DP178&lt;0,DQ178&gt;=0),1,0),0)</f>
        <v>0</v>
      </c>
      <c r="DR181" s="9">
        <f>IF(118&lt;=核心参数输入!$B$9*4,IF(AND(季度现金流!DQ178&lt;0,DR178&gt;=0),1,0),0)</f>
        <v>0</v>
      </c>
      <c r="DS181" s="9">
        <f>IF(119&lt;=核心参数输入!$B$9*4,IF(AND(季度现金流!DR178&lt;0,DS178&gt;=0),1,0),0)</f>
        <v>0</v>
      </c>
      <c r="DT181" s="9">
        <f>IF(120&lt;=核心参数输入!$B$9*4,IF(AND(季度现金流!DS178&lt;0,DT178&gt;=0),1,0),0)</f>
        <v>0</v>
      </c>
    </row>
    <row r="182" spans="1:124" ht="21" customHeight="1">
      <c r="A182" s="8" t="s">
        <v>563</v>
      </c>
      <c r="B182" s="8" t="s">
        <v>39</v>
      </c>
      <c r="C182" s="8"/>
      <c r="D182" s="9">
        <f>IF(0&lt;=核心参数输入!$B$9*4,0,0)</f>
        <v>0</v>
      </c>
      <c r="E182" s="9">
        <f>IF(1&lt;=核心参数输入!$B$9*4,IF(AND(季度现金流!D180&lt;0,E180&gt;=0),1,0),0)</f>
        <v>0</v>
      </c>
      <c r="F182" s="9">
        <f>IF(2&lt;=核心参数输入!$B$9*4,IF(AND(季度现金流!E180&lt;0,F180&gt;=0),1,0),0)</f>
        <v>0</v>
      </c>
      <c r="G182" s="9">
        <f>IF(3&lt;=核心参数输入!$B$9*4,IF(AND(季度现金流!F180&lt;0,G180&gt;=0),1,0),0)</f>
        <v>0</v>
      </c>
      <c r="H182" s="9">
        <f>IF(4&lt;=核心参数输入!$B$9*4,IF(AND(季度现金流!G180&lt;0,H180&gt;=0),1,0),0)</f>
        <v>0</v>
      </c>
      <c r="I182" s="9">
        <f>IF(5&lt;=核心参数输入!$B$9*4,IF(AND(季度现金流!H180&lt;0,I180&gt;=0),1,0),0)</f>
        <v>0</v>
      </c>
      <c r="J182" s="9">
        <f>IF(6&lt;=核心参数输入!$B$9*4,IF(AND(季度现金流!I180&lt;0,J180&gt;=0),1,0),0)</f>
        <v>0</v>
      </c>
      <c r="K182" s="9">
        <f>IF(7&lt;=核心参数输入!$B$9*4,IF(AND(季度现金流!J180&lt;0,K180&gt;=0),1,0),0)</f>
        <v>0</v>
      </c>
      <c r="L182" s="9">
        <f>IF(8&lt;=核心参数输入!$B$9*4,IF(AND(季度现金流!K180&lt;0,L180&gt;=0),1,0),0)</f>
        <v>0</v>
      </c>
      <c r="M182" s="9">
        <f>IF(9&lt;=核心参数输入!$B$9*4,IF(AND(季度现金流!L180&lt;0,M180&gt;=0),1,0),0)</f>
        <v>0</v>
      </c>
      <c r="N182" s="9">
        <f>IF(10&lt;=核心参数输入!$B$9*4,IF(AND(季度现金流!M180&lt;0,N180&gt;=0),1,0),0)</f>
        <v>0</v>
      </c>
      <c r="O182" s="9">
        <f>IF(11&lt;=核心参数输入!$B$9*4,IF(AND(季度现金流!N180&lt;0,O180&gt;=0),1,0),0)</f>
        <v>0</v>
      </c>
      <c r="P182" s="9">
        <f>IF(12&lt;=核心参数输入!$B$9*4,IF(AND(季度现金流!O180&lt;0,P180&gt;=0),1,0),0)</f>
        <v>0</v>
      </c>
      <c r="Q182" s="9">
        <f>IF(13&lt;=核心参数输入!$B$9*4,IF(AND(季度现金流!P180&lt;0,Q180&gt;=0),1,0),0)</f>
        <v>0</v>
      </c>
      <c r="R182" s="9">
        <f>IF(14&lt;=核心参数输入!$B$9*4,IF(AND(季度现金流!Q180&lt;0,R180&gt;=0),1,0),0)</f>
        <v>0</v>
      </c>
      <c r="S182" s="9">
        <f>IF(15&lt;=核心参数输入!$B$9*4,IF(AND(季度现金流!R180&lt;0,S180&gt;=0),1,0),0)</f>
        <v>0</v>
      </c>
      <c r="T182" s="9">
        <f>IF(16&lt;=核心参数输入!$B$9*4,IF(AND(季度现金流!S180&lt;0,T180&gt;=0),1,0),0)</f>
        <v>0</v>
      </c>
      <c r="U182" s="9">
        <f>IF(17&lt;=核心参数输入!$B$9*4,IF(AND(季度现金流!T180&lt;0,U180&gt;=0),1,0),0)</f>
        <v>0</v>
      </c>
      <c r="V182" s="9">
        <f>IF(18&lt;=核心参数输入!$B$9*4,IF(AND(季度现金流!U180&lt;0,V180&gt;=0),1,0),0)</f>
        <v>0</v>
      </c>
      <c r="W182" s="9">
        <f>IF(19&lt;=核心参数输入!$B$9*4,IF(AND(季度现金流!V180&lt;0,W180&gt;=0),1,0),0)</f>
        <v>0</v>
      </c>
      <c r="X182" s="9">
        <f>IF(20&lt;=核心参数输入!$B$9*4,IF(AND(季度现金流!W180&lt;0,X180&gt;=0),1,0),0)</f>
        <v>0</v>
      </c>
      <c r="Y182" s="9">
        <f>IF(21&lt;=核心参数输入!$B$9*4,IF(AND(季度现金流!X180&lt;0,Y180&gt;=0),1,0),0)</f>
        <v>0</v>
      </c>
      <c r="Z182" s="9">
        <f>IF(22&lt;=核心参数输入!$B$9*4,IF(AND(季度现金流!Y180&lt;0,Z180&gt;=0),1,0),0)</f>
        <v>0</v>
      </c>
      <c r="AA182" s="9">
        <f>IF(23&lt;=核心参数输入!$B$9*4,IF(AND(季度现金流!Z180&lt;0,AA180&gt;=0),1,0),0)</f>
        <v>0</v>
      </c>
      <c r="AB182" s="9">
        <f>IF(24&lt;=核心参数输入!$B$9*4,IF(AND(季度现金流!AA180&lt;0,AB180&gt;=0),1,0),0)</f>
        <v>0</v>
      </c>
      <c r="AC182" s="9">
        <f>IF(25&lt;=核心参数输入!$B$9*4,IF(AND(季度现金流!AB180&lt;0,AC180&gt;=0),1,0),0)</f>
        <v>0</v>
      </c>
      <c r="AD182" s="9">
        <f>IF(26&lt;=核心参数输入!$B$9*4,IF(AND(季度现金流!AC180&lt;0,AD180&gt;=0),1,0),0)</f>
        <v>0</v>
      </c>
      <c r="AE182" s="9">
        <f>IF(27&lt;=核心参数输入!$B$9*4,IF(AND(季度现金流!AD180&lt;0,AE180&gt;=0),1,0),0)</f>
        <v>0</v>
      </c>
      <c r="AF182" s="9">
        <f>IF(28&lt;=核心参数输入!$B$9*4,IF(AND(季度现金流!AE180&lt;0,AF180&gt;=0),1,0),0)</f>
        <v>0</v>
      </c>
      <c r="AG182" s="9">
        <f>IF(29&lt;=核心参数输入!$B$9*4,IF(AND(季度现金流!AF180&lt;0,AG180&gt;=0),1,0),0)</f>
        <v>0</v>
      </c>
      <c r="AH182" s="9">
        <f>IF(30&lt;=核心参数输入!$B$9*4,IF(AND(季度现金流!AG180&lt;0,AH180&gt;=0),1,0),0)</f>
        <v>0</v>
      </c>
      <c r="AI182" s="9">
        <f>IF(31&lt;=核心参数输入!$B$9*4,IF(AND(季度现金流!AH180&lt;0,AI180&gt;=0),1,0),0)</f>
        <v>0</v>
      </c>
      <c r="AJ182" s="9">
        <f>IF(32&lt;=核心参数输入!$B$9*4,IF(AND(季度现金流!AI180&lt;0,AJ180&gt;=0),1,0),0)</f>
        <v>0</v>
      </c>
      <c r="AK182" s="9">
        <f>IF(33&lt;=核心参数输入!$B$9*4,IF(AND(季度现金流!AJ180&lt;0,AK180&gt;=0),1,0),0)</f>
        <v>0</v>
      </c>
      <c r="AL182" s="9">
        <f>IF(34&lt;=核心参数输入!$B$9*4,IF(AND(季度现金流!AK180&lt;0,AL180&gt;=0),1,0),0)</f>
        <v>0</v>
      </c>
      <c r="AM182" s="9">
        <f>IF(35&lt;=核心参数输入!$B$9*4,IF(AND(季度现金流!AL180&lt;0,AM180&gt;=0),1,0),0)</f>
        <v>0</v>
      </c>
      <c r="AN182" s="9">
        <f>IF(36&lt;=核心参数输入!$B$9*4,IF(AND(季度现金流!AM180&lt;0,AN180&gt;=0),1,0),0)</f>
        <v>0</v>
      </c>
      <c r="AO182" s="9">
        <f>IF(37&lt;=核心参数输入!$B$9*4,IF(AND(季度现金流!AN180&lt;0,AO180&gt;=0),1,0),0)</f>
        <v>0</v>
      </c>
      <c r="AP182" s="9">
        <f>IF(38&lt;=核心参数输入!$B$9*4,IF(AND(季度现金流!AO180&lt;0,AP180&gt;=0),1,0),0)</f>
        <v>0</v>
      </c>
      <c r="AQ182" s="9">
        <f>IF(39&lt;=核心参数输入!$B$9*4,IF(AND(季度现金流!AP180&lt;0,AQ180&gt;=0),1,0),0)</f>
        <v>0</v>
      </c>
      <c r="AR182" s="9">
        <f>IF(40&lt;=核心参数输入!$B$9*4,IF(AND(季度现金流!AQ180&lt;0,AR180&gt;=0),1,0),0)</f>
        <v>0</v>
      </c>
      <c r="AS182" s="9">
        <f>IF(41&lt;=核心参数输入!$B$9*4,IF(AND(季度现金流!AR180&lt;0,AS180&gt;=0),1,0),0)</f>
        <v>0</v>
      </c>
      <c r="AT182" s="9">
        <f>IF(42&lt;=核心参数输入!$B$9*4,IF(AND(季度现金流!AS180&lt;0,AT180&gt;=0),1,0),0)</f>
        <v>0</v>
      </c>
      <c r="AU182" s="9">
        <f>IF(43&lt;=核心参数输入!$B$9*4,IF(AND(季度现金流!AT180&lt;0,AU180&gt;=0),1,0),0)</f>
        <v>0</v>
      </c>
      <c r="AV182" s="9">
        <f>IF(44&lt;=核心参数输入!$B$9*4,IF(AND(季度现金流!AU180&lt;0,AV180&gt;=0),1,0),0)</f>
        <v>0</v>
      </c>
      <c r="AW182" s="9">
        <f>IF(45&lt;=核心参数输入!$B$9*4,IF(AND(季度现金流!AV180&lt;0,AW180&gt;=0),1,0),0)</f>
        <v>0</v>
      </c>
      <c r="AX182" s="9">
        <f>IF(46&lt;=核心参数输入!$B$9*4,IF(AND(季度现金流!AW180&lt;0,AX180&gt;=0),1,0),0)</f>
        <v>0</v>
      </c>
      <c r="AY182" s="9">
        <f>IF(47&lt;=核心参数输入!$B$9*4,IF(AND(季度现金流!AX180&lt;0,AY180&gt;=0),1,0),0)</f>
        <v>0</v>
      </c>
      <c r="AZ182" s="9">
        <f>IF(48&lt;=核心参数输入!$B$9*4,IF(AND(季度现金流!AY180&lt;0,AZ180&gt;=0),1,0),0)</f>
        <v>0</v>
      </c>
      <c r="BA182" s="9">
        <f>IF(49&lt;=核心参数输入!$B$9*4,IF(AND(季度现金流!AZ180&lt;0,BA180&gt;=0),1,0),0)</f>
        <v>0</v>
      </c>
      <c r="BB182" s="9">
        <f>IF(50&lt;=核心参数输入!$B$9*4,IF(AND(季度现金流!BA180&lt;0,BB180&gt;=0),1,0),0)</f>
        <v>0</v>
      </c>
      <c r="BC182" s="9">
        <f>IF(51&lt;=核心参数输入!$B$9*4,IF(AND(季度现金流!BB180&lt;0,BC180&gt;=0),1,0),0)</f>
        <v>0</v>
      </c>
      <c r="BD182" s="9">
        <f>IF(52&lt;=核心参数输入!$B$9*4,IF(AND(季度现金流!BC180&lt;0,BD180&gt;=0),1,0),0)</f>
        <v>0</v>
      </c>
      <c r="BE182" s="9">
        <f>IF(53&lt;=核心参数输入!$B$9*4,IF(AND(季度现金流!BD180&lt;0,BE180&gt;=0),1,0),0)</f>
        <v>0</v>
      </c>
      <c r="BF182" s="9">
        <f>IF(54&lt;=核心参数输入!$B$9*4,IF(AND(季度现金流!BE180&lt;0,BF180&gt;=0),1,0),0)</f>
        <v>0</v>
      </c>
      <c r="BG182" s="9">
        <f>IF(55&lt;=核心参数输入!$B$9*4,IF(AND(季度现金流!BF180&lt;0,BG180&gt;=0),1,0),0)</f>
        <v>0</v>
      </c>
      <c r="BH182" s="9">
        <f>IF(56&lt;=核心参数输入!$B$9*4,IF(AND(季度现金流!BG180&lt;0,BH180&gt;=0),1,0),0)</f>
        <v>0</v>
      </c>
      <c r="BI182" s="9">
        <f>IF(57&lt;=核心参数输入!$B$9*4,IF(AND(季度现金流!BH180&lt;0,BI180&gt;=0),1,0),0)</f>
        <v>0</v>
      </c>
      <c r="BJ182" s="9">
        <f>IF(58&lt;=核心参数输入!$B$9*4,IF(AND(季度现金流!BI180&lt;0,BJ180&gt;=0),1,0),0)</f>
        <v>0</v>
      </c>
      <c r="BK182" s="9">
        <f>IF(59&lt;=核心参数输入!$B$9*4,IF(AND(季度现金流!BJ180&lt;0,BK180&gt;=0),1,0),0)</f>
        <v>0</v>
      </c>
      <c r="BL182" s="9">
        <f>IF(60&lt;=核心参数输入!$B$9*4,IF(AND(季度现金流!BK180&lt;0,BL180&gt;=0),1,0),0)</f>
        <v>0</v>
      </c>
      <c r="BM182" s="9">
        <f>IF(61&lt;=核心参数输入!$B$9*4,IF(AND(季度现金流!BL180&lt;0,BM180&gt;=0),1,0),0)</f>
        <v>0</v>
      </c>
      <c r="BN182" s="9">
        <f>IF(62&lt;=核心参数输入!$B$9*4,IF(AND(季度现金流!BM180&lt;0,BN180&gt;=0),1,0),0)</f>
        <v>0</v>
      </c>
      <c r="BO182" s="9">
        <f>IF(63&lt;=核心参数输入!$B$9*4,IF(AND(季度现金流!BN180&lt;0,BO180&gt;=0),1,0),0)</f>
        <v>0</v>
      </c>
      <c r="BP182" s="9">
        <f>IF(64&lt;=核心参数输入!$B$9*4,IF(AND(季度现金流!BO180&lt;0,BP180&gt;=0),1,0),0)</f>
        <v>0</v>
      </c>
      <c r="BQ182" s="9">
        <f>IF(65&lt;=核心参数输入!$B$9*4,IF(AND(季度现金流!BP180&lt;0,BQ180&gt;=0),1,0),0)</f>
        <v>0</v>
      </c>
      <c r="BR182" s="9">
        <f>IF(66&lt;=核心参数输入!$B$9*4,IF(AND(季度现金流!BQ180&lt;0,BR180&gt;=0),1,0),0)</f>
        <v>0</v>
      </c>
      <c r="BS182" s="9">
        <f>IF(67&lt;=核心参数输入!$B$9*4,IF(AND(季度现金流!BR180&lt;0,BS180&gt;=0),1,0),0)</f>
        <v>0</v>
      </c>
      <c r="BT182" s="9">
        <f>IF(68&lt;=核心参数输入!$B$9*4,IF(AND(季度现金流!BS180&lt;0,BT180&gt;=0),1,0),0)</f>
        <v>0</v>
      </c>
      <c r="BU182" s="9">
        <f>IF(69&lt;=核心参数输入!$B$9*4,IF(AND(季度现金流!BT180&lt;0,BU180&gt;=0),1,0),0)</f>
        <v>0</v>
      </c>
      <c r="BV182" s="9">
        <f>IF(70&lt;=核心参数输入!$B$9*4,IF(AND(季度现金流!BU180&lt;0,BV180&gt;=0),1,0),0)</f>
        <v>0</v>
      </c>
      <c r="BW182" s="9">
        <f>IF(71&lt;=核心参数输入!$B$9*4,IF(AND(季度现金流!BV180&lt;0,BW180&gt;=0),1,0),0)</f>
        <v>0</v>
      </c>
      <c r="BX182" s="9">
        <f>IF(72&lt;=核心参数输入!$B$9*4,IF(AND(季度现金流!BW180&lt;0,BX180&gt;=0),1,0),0)</f>
        <v>0</v>
      </c>
      <c r="BY182" s="9">
        <f>IF(73&lt;=核心参数输入!$B$9*4,IF(AND(季度现金流!BX180&lt;0,BY180&gt;=0),1,0),0)</f>
        <v>0</v>
      </c>
      <c r="BZ182" s="9">
        <f>IF(74&lt;=核心参数输入!$B$9*4,IF(AND(季度现金流!BY180&lt;0,BZ180&gt;=0),1,0),0)</f>
        <v>0</v>
      </c>
      <c r="CA182" s="9">
        <f>IF(75&lt;=核心参数输入!$B$9*4,IF(AND(季度现金流!BZ180&lt;0,CA180&gt;=0),1,0),0)</f>
        <v>0</v>
      </c>
      <c r="CB182" s="9">
        <f>IF(76&lt;=核心参数输入!$B$9*4,IF(AND(季度现金流!CA180&lt;0,CB180&gt;=0),1,0),0)</f>
        <v>0</v>
      </c>
      <c r="CC182" s="9">
        <f>IF(77&lt;=核心参数输入!$B$9*4,IF(AND(季度现金流!CB180&lt;0,CC180&gt;=0),1,0),0)</f>
        <v>0</v>
      </c>
      <c r="CD182" s="9">
        <f>IF(78&lt;=核心参数输入!$B$9*4,IF(AND(季度现金流!CC180&lt;0,CD180&gt;=0),1,0),0)</f>
        <v>0</v>
      </c>
      <c r="CE182" s="9">
        <f>IF(79&lt;=核心参数输入!$B$9*4,IF(AND(季度现金流!CD180&lt;0,CE180&gt;=0),1,0),0)</f>
        <v>0</v>
      </c>
      <c r="CF182" s="9">
        <f>IF(80&lt;=核心参数输入!$B$9*4,IF(AND(季度现金流!CE180&lt;0,CF180&gt;=0),1,0),0)</f>
        <v>0</v>
      </c>
      <c r="CG182" s="9">
        <f>IF(81&lt;=核心参数输入!$B$9*4,IF(AND(季度现金流!CF180&lt;0,CG180&gt;=0),1,0),0)</f>
        <v>0</v>
      </c>
      <c r="CH182" s="9">
        <f>IF(82&lt;=核心参数输入!$B$9*4,IF(AND(季度现金流!CG180&lt;0,CH180&gt;=0),1,0),0)</f>
        <v>0</v>
      </c>
      <c r="CI182" s="9">
        <f>IF(83&lt;=核心参数输入!$B$9*4,IF(AND(季度现金流!CH180&lt;0,CI180&gt;=0),1,0),0)</f>
        <v>0</v>
      </c>
      <c r="CJ182" s="9">
        <f>IF(84&lt;=核心参数输入!$B$9*4,IF(AND(季度现金流!CI180&lt;0,CJ180&gt;=0),1,0),0)</f>
        <v>0</v>
      </c>
      <c r="CK182" s="9">
        <f>IF(85&lt;=核心参数输入!$B$9*4,IF(AND(季度现金流!CJ180&lt;0,CK180&gt;=0),1,0),0)</f>
        <v>0</v>
      </c>
      <c r="CL182" s="9">
        <f>IF(86&lt;=核心参数输入!$B$9*4,IF(AND(季度现金流!CK180&lt;0,CL180&gt;=0),1,0),0)</f>
        <v>0</v>
      </c>
      <c r="CM182" s="9">
        <f>IF(87&lt;=核心参数输入!$B$9*4,IF(AND(季度现金流!CL180&lt;0,CM180&gt;=0),1,0),0)</f>
        <v>0</v>
      </c>
      <c r="CN182" s="9">
        <f>IF(88&lt;=核心参数输入!$B$9*4,IF(AND(季度现金流!CM180&lt;0,CN180&gt;=0),1,0),0)</f>
        <v>0</v>
      </c>
      <c r="CO182" s="9">
        <f>IF(89&lt;=核心参数输入!$B$9*4,IF(AND(季度现金流!CN180&lt;0,CO180&gt;=0),1,0),0)</f>
        <v>0</v>
      </c>
      <c r="CP182" s="9">
        <f>IF(90&lt;=核心参数输入!$B$9*4,IF(AND(季度现金流!CO180&lt;0,CP180&gt;=0),1,0),0)</f>
        <v>0</v>
      </c>
      <c r="CQ182" s="9">
        <f>IF(91&lt;=核心参数输入!$B$9*4,IF(AND(季度现金流!CP180&lt;0,CQ180&gt;=0),1,0),0)</f>
        <v>0</v>
      </c>
      <c r="CR182" s="9">
        <f>IF(92&lt;=核心参数输入!$B$9*4,IF(AND(季度现金流!CQ180&lt;0,CR180&gt;=0),1,0),0)</f>
        <v>0</v>
      </c>
      <c r="CS182" s="9">
        <f>IF(93&lt;=核心参数输入!$B$9*4,IF(AND(季度现金流!CR180&lt;0,CS180&gt;=0),1,0),0)</f>
        <v>0</v>
      </c>
      <c r="CT182" s="9">
        <f>IF(94&lt;=核心参数输入!$B$9*4,IF(AND(季度现金流!CS180&lt;0,CT180&gt;=0),1,0),0)</f>
        <v>0</v>
      </c>
      <c r="CU182" s="9">
        <f>IF(95&lt;=核心参数输入!$B$9*4,IF(AND(季度现金流!CT180&lt;0,CU180&gt;=0),1,0),0)</f>
        <v>0</v>
      </c>
      <c r="CV182" s="9">
        <f>IF(96&lt;=核心参数输入!$B$9*4,IF(AND(季度现金流!CU180&lt;0,CV180&gt;=0),1,0),0)</f>
        <v>0</v>
      </c>
      <c r="CW182" s="9">
        <f>IF(97&lt;=核心参数输入!$B$9*4,IF(AND(季度现金流!CV180&lt;0,CW180&gt;=0),1,0),0)</f>
        <v>0</v>
      </c>
      <c r="CX182" s="9">
        <f>IF(98&lt;=核心参数输入!$B$9*4,IF(AND(季度现金流!CW180&lt;0,CX180&gt;=0),1,0),0)</f>
        <v>0</v>
      </c>
      <c r="CY182" s="9">
        <f>IF(99&lt;=核心参数输入!$B$9*4,IF(AND(季度现金流!CX180&lt;0,CY180&gt;=0),1,0),0)</f>
        <v>0</v>
      </c>
      <c r="CZ182" s="9">
        <f>IF(100&lt;=核心参数输入!$B$9*4,IF(AND(季度现金流!CY180&lt;0,CZ180&gt;=0),1,0),0)</f>
        <v>0</v>
      </c>
      <c r="DA182" s="9">
        <f>IF(101&lt;=核心参数输入!$B$9*4,IF(AND(季度现金流!CZ180&lt;0,DA180&gt;=0),1,0),0)</f>
        <v>0</v>
      </c>
      <c r="DB182" s="9">
        <f>IF(102&lt;=核心参数输入!$B$9*4,IF(AND(季度现金流!DA180&lt;0,DB180&gt;=0),1,0),0)</f>
        <v>0</v>
      </c>
      <c r="DC182" s="9">
        <f>IF(103&lt;=核心参数输入!$B$9*4,IF(AND(季度现金流!DB180&lt;0,DC180&gt;=0),1,0),0)</f>
        <v>0</v>
      </c>
      <c r="DD182" s="9">
        <f>IF(104&lt;=核心参数输入!$B$9*4,IF(AND(季度现金流!DC180&lt;0,DD180&gt;=0),1,0),0)</f>
        <v>0</v>
      </c>
      <c r="DE182" s="9">
        <f>IF(105&lt;=核心参数输入!$B$9*4,IF(AND(季度现金流!DD180&lt;0,DE180&gt;=0),1,0),0)</f>
        <v>0</v>
      </c>
      <c r="DF182" s="9">
        <f>IF(106&lt;=核心参数输入!$B$9*4,IF(AND(季度现金流!DE180&lt;0,DF180&gt;=0),1,0),0)</f>
        <v>0</v>
      </c>
      <c r="DG182" s="9">
        <f>IF(107&lt;=核心参数输入!$B$9*4,IF(AND(季度现金流!DF180&lt;0,DG180&gt;=0),1,0),0)</f>
        <v>0</v>
      </c>
      <c r="DH182" s="9">
        <f>IF(108&lt;=核心参数输入!$B$9*4,IF(AND(季度现金流!DG180&lt;0,DH180&gt;=0),1,0),0)</f>
        <v>0</v>
      </c>
      <c r="DI182" s="9">
        <f>IF(109&lt;=核心参数输入!$B$9*4,IF(AND(季度现金流!DH180&lt;0,DI180&gt;=0),1,0),0)</f>
        <v>0</v>
      </c>
      <c r="DJ182" s="9">
        <f>IF(110&lt;=核心参数输入!$B$9*4,IF(AND(季度现金流!DI180&lt;0,DJ180&gt;=0),1,0),0)</f>
        <v>0</v>
      </c>
      <c r="DK182" s="9">
        <f>IF(111&lt;=核心参数输入!$B$9*4,IF(AND(季度现金流!DJ180&lt;0,DK180&gt;=0),1,0),0)</f>
        <v>0</v>
      </c>
      <c r="DL182" s="9">
        <f>IF(112&lt;=核心参数输入!$B$9*4,IF(AND(季度现金流!DK180&lt;0,DL180&gt;=0),1,0),0)</f>
        <v>0</v>
      </c>
      <c r="DM182" s="9">
        <f>IF(113&lt;=核心参数输入!$B$9*4,IF(AND(季度现金流!DL180&lt;0,DM180&gt;=0),1,0),0)</f>
        <v>0</v>
      </c>
      <c r="DN182" s="9">
        <f>IF(114&lt;=核心参数输入!$B$9*4,IF(AND(季度现金流!DM180&lt;0,DN180&gt;=0),1,0),0)</f>
        <v>0</v>
      </c>
      <c r="DO182" s="9">
        <f>IF(115&lt;=核心参数输入!$B$9*4,IF(AND(季度现金流!DN180&lt;0,DO180&gt;=0),1,0),0)</f>
        <v>0</v>
      </c>
      <c r="DP182" s="9">
        <f>IF(116&lt;=核心参数输入!$B$9*4,IF(AND(季度现金流!DO180&lt;0,DP180&gt;=0),1,0),0)</f>
        <v>0</v>
      </c>
      <c r="DQ182" s="9">
        <f>IF(117&lt;=核心参数输入!$B$9*4,IF(AND(季度现金流!DP180&lt;0,DQ180&gt;=0),1,0),0)</f>
        <v>0</v>
      </c>
      <c r="DR182" s="9">
        <f>IF(118&lt;=核心参数输入!$B$9*4,IF(AND(季度现金流!DQ180&lt;0,DR180&gt;=0),1,0),0)</f>
        <v>0</v>
      </c>
      <c r="DS182" s="9">
        <f>IF(119&lt;=核心参数输入!$B$9*4,IF(AND(季度现金流!DR180&lt;0,DS180&gt;=0),1,0),0)</f>
        <v>0</v>
      </c>
      <c r="DT182" s="9">
        <f>IF(120&lt;=核心参数输入!$B$9*4,IF(AND(季度现金流!DS180&lt;0,DT180&gt;=0),1,0),0)</f>
        <v>0</v>
      </c>
    </row>
    <row r="183" spans="1:124" ht="21" customHeight="1">
      <c r="A183" s="8" t="s">
        <v>564</v>
      </c>
      <c r="B183" s="8" t="s">
        <v>39</v>
      </c>
      <c r="C183" s="8"/>
      <c r="D183" s="9">
        <f>IF(0&lt;=核心参数输入!$B$9*4,IF(ABS(D157)&lt;=0.000001,0,SIGN(D157)),0)</f>
        <v>-1</v>
      </c>
      <c r="E183" s="9">
        <f>IF(1&lt;=核心参数输入!$B$9*4,IF(ABS(E157)&lt;=0.000001,0,SIGN(E157)),0)</f>
        <v>-1</v>
      </c>
      <c r="F183" s="9">
        <f>IF(2&lt;=核心参数输入!$B$9*4,IF(ABS(F157)&lt;=0.000001,0,SIGN(F157)),0)</f>
        <v>-1</v>
      </c>
      <c r="G183" s="9">
        <f>IF(3&lt;=核心参数输入!$B$9*4,IF(ABS(G157)&lt;=0.000001,0,SIGN(G157)),0)</f>
        <v>-1</v>
      </c>
      <c r="H183" s="9">
        <f>IF(4&lt;=核心参数输入!$B$9*4,IF(ABS(H157)&lt;=0.000001,0,SIGN(H157)),0)</f>
        <v>-1</v>
      </c>
      <c r="I183" s="9">
        <f>IF(5&lt;=核心参数输入!$B$9*4,IF(ABS(I157)&lt;=0.000001,0,SIGN(I157)),0)</f>
        <v>-1</v>
      </c>
      <c r="J183" s="9">
        <f>IF(6&lt;=核心参数输入!$B$9*4,IF(ABS(J157)&lt;=0.000001,0,SIGN(J157)),0)</f>
        <v>-1</v>
      </c>
      <c r="K183" s="9">
        <f>IF(7&lt;=核心参数输入!$B$9*4,IF(ABS(K157)&lt;=0.000001,0,SIGN(K157)),0)</f>
        <v>-1</v>
      </c>
      <c r="L183" s="9">
        <f>IF(8&lt;=核心参数输入!$B$9*4,IF(ABS(L157)&lt;=0.000001,0,SIGN(L157)),0)</f>
        <v>-1</v>
      </c>
      <c r="M183" s="9">
        <f>IF(9&lt;=核心参数输入!$B$9*4,IF(ABS(M157)&lt;=0.000001,0,SIGN(M157)),0)</f>
        <v>-1</v>
      </c>
      <c r="N183" s="9">
        <f>IF(10&lt;=核心参数输入!$B$9*4,IF(ABS(N157)&lt;=0.000001,0,SIGN(N157)),0)</f>
        <v>-1</v>
      </c>
      <c r="O183" s="9">
        <f>IF(11&lt;=核心参数输入!$B$9*4,IF(ABS(O157)&lt;=0.000001,0,SIGN(O157)),0)</f>
        <v>-1</v>
      </c>
      <c r="P183" s="9">
        <f>IF(12&lt;=核心参数输入!$B$9*4,IF(ABS(P157)&lt;=0.000001,0,SIGN(P157)),0)</f>
        <v>-1</v>
      </c>
      <c r="Q183" s="9">
        <f>IF(13&lt;=核心参数输入!$B$9*4,IF(ABS(Q157)&lt;=0.000001,0,SIGN(Q157)),0)</f>
        <v>1</v>
      </c>
      <c r="R183" s="9">
        <f>IF(14&lt;=核心参数输入!$B$9*4,IF(ABS(R157)&lt;=0.000001,0,SIGN(R157)),0)</f>
        <v>1</v>
      </c>
      <c r="S183" s="9">
        <f>IF(15&lt;=核心参数输入!$B$9*4,IF(ABS(S157)&lt;=0.000001,0,SIGN(S157)),0)</f>
        <v>1</v>
      </c>
      <c r="T183" s="9">
        <f>IF(16&lt;=核心参数输入!$B$9*4,IF(ABS(T157)&lt;=0.000001,0,SIGN(T157)),0)</f>
        <v>0</v>
      </c>
      <c r="U183" s="9">
        <f>IF(17&lt;=核心参数输入!$B$9*4,IF(ABS(U157)&lt;=0.000001,0,SIGN(U157)),0)</f>
        <v>1</v>
      </c>
      <c r="V183" s="9">
        <f>IF(18&lt;=核心参数输入!$B$9*4,IF(ABS(V157)&lt;=0.000001,0,SIGN(V157)),0)</f>
        <v>0</v>
      </c>
      <c r="W183" s="9">
        <f>IF(19&lt;=核心参数输入!$B$9*4,IF(ABS(W157)&lt;=0.000001,0,SIGN(W157)),0)</f>
        <v>0</v>
      </c>
      <c r="X183" s="9">
        <f>IF(20&lt;=核心参数输入!$B$9*4,IF(ABS(X157)&lt;=0.000001,0,SIGN(X157)),0)</f>
        <v>0</v>
      </c>
      <c r="Y183" s="9">
        <f>IF(21&lt;=核心参数输入!$B$9*4,IF(ABS(Y157)&lt;=0.000001,0,SIGN(Y157)),0)</f>
        <v>0</v>
      </c>
      <c r="Z183" s="9">
        <f>IF(22&lt;=核心参数输入!$B$9*4,IF(ABS(Z157)&lt;=0.000001,0,SIGN(Z157)),0)</f>
        <v>0</v>
      </c>
      <c r="AA183" s="9">
        <f>IF(23&lt;=核心参数输入!$B$9*4,IF(ABS(AA157)&lt;=0.000001,0,SIGN(AA157)),0)</f>
        <v>0</v>
      </c>
      <c r="AB183" s="9">
        <f>IF(24&lt;=核心参数输入!$B$9*4,IF(ABS(AB157)&lt;=0.000001,0,SIGN(AB157)),0)</f>
        <v>0</v>
      </c>
      <c r="AC183" s="9">
        <f>IF(25&lt;=核心参数输入!$B$9*4,IF(ABS(AC157)&lt;=0.000001,0,SIGN(AC157)),0)</f>
        <v>0</v>
      </c>
      <c r="AD183" s="9">
        <f>IF(26&lt;=核心参数输入!$B$9*4,IF(ABS(AD157)&lt;=0.000001,0,SIGN(AD157)),0)</f>
        <v>0</v>
      </c>
      <c r="AE183" s="9">
        <f>IF(27&lt;=核心参数输入!$B$9*4,IF(ABS(AE157)&lt;=0.000001,0,SIGN(AE157)),0)</f>
        <v>0</v>
      </c>
      <c r="AF183" s="9">
        <f>IF(28&lt;=核心参数输入!$B$9*4,IF(ABS(AF157)&lt;=0.000001,0,SIGN(AF157)),0)</f>
        <v>0</v>
      </c>
      <c r="AG183" s="9">
        <f>IF(29&lt;=核心参数输入!$B$9*4,IF(ABS(AG157)&lt;=0.000001,0,SIGN(AG157)),0)</f>
        <v>0</v>
      </c>
      <c r="AH183" s="9">
        <f>IF(30&lt;=核心参数输入!$B$9*4,IF(ABS(AH157)&lt;=0.000001,0,SIGN(AH157)),0)</f>
        <v>0</v>
      </c>
      <c r="AI183" s="9">
        <f>IF(31&lt;=核心参数输入!$B$9*4,IF(ABS(AI157)&lt;=0.000001,0,SIGN(AI157)),0)</f>
        <v>0</v>
      </c>
      <c r="AJ183" s="9">
        <f>IF(32&lt;=核心参数输入!$B$9*4,IF(ABS(AJ157)&lt;=0.000001,0,SIGN(AJ157)),0)</f>
        <v>0</v>
      </c>
      <c r="AK183" s="9">
        <f>IF(33&lt;=核心参数输入!$B$9*4,IF(ABS(AK157)&lt;=0.000001,0,SIGN(AK157)),0)</f>
        <v>0</v>
      </c>
      <c r="AL183" s="9">
        <f>IF(34&lt;=核心参数输入!$B$9*4,IF(ABS(AL157)&lt;=0.000001,0,SIGN(AL157)),0)</f>
        <v>0</v>
      </c>
      <c r="AM183" s="9">
        <f>IF(35&lt;=核心参数输入!$B$9*4,IF(ABS(AM157)&lt;=0.000001,0,SIGN(AM157)),0)</f>
        <v>0</v>
      </c>
      <c r="AN183" s="9">
        <f>IF(36&lt;=核心参数输入!$B$9*4,IF(ABS(AN157)&lt;=0.000001,0,SIGN(AN157)),0)</f>
        <v>0</v>
      </c>
      <c r="AO183" s="9">
        <f>IF(37&lt;=核心参数输入!$B$9*4,IF(ABS(AO157)&lt;=0.000001,0,SIGN(AO157)),0)</f>
        <v>0</v>
      </c>
      <c r="AP183" s="9">
        <f>IF(38&lt;=核心参数输入!$B$9*4,IF(ABS(AP157)&lt;=0.000001,0,SIGN(AP157)),0)</f>
        <v>0</v>
      </c>
      <c r="AQ183" s="9">
        <f>IF(39&lt;=核心参数输入!$B$9*4,IF(ABS(AQ157)&lt;=0.000001,0,SIGN(AQ157)),0)</f>
        <v>0</v>
      </c>
      <c r="AR183" s="9">
        <f>IF(40&lt;=核心参数输入!$B$9*4,IF(ABS(AR157)&lt;=0.000001,0,SIGN(AR157)),0)</f>
        <v>0</v>
      </c>
      <c r="AS183" s="9">
        <f>IF(41&lt;=核心参数输入!$B$9*4,IF(ABS(AS157)&lt;=0.000001,0,SIGN(AS157)),0)</f>
        <v>1</v>
      </c>
      <c r="AT183" s="9">
        <f>IF(42&lt;=核心参数输入!$B$9*4,IF(ABS(AT157)&lt;=0.000001,0,SIGN(AT157)),0)</f>
        <v>1</v>
      </c>
      <c r="AU183" s="9">
        <f>IF(43&lt;=核心参数输入!$B$9*4,IF(ABS(AU157)&lt;=0.000001,0,SIGN(AU157)),0)</f>
        <v>1</v>
      </c>
      <c r="AV183" s="9">
        <f>IF(44&lt;=核心参数输入!$B$9*4,IF(ABS(AV157)&lt;=0.000001,0,SIGN(AV157)),0)</f>
        <v>1</v>
      </c>
      <c r="AW183" s="9">
        <f>IF(45&lt;=核心参数输入!$B$9*4,IF(ABS(AW157)&lt;=0.000001,0,SIGN(AW157)),0)</f>
        <v>1</v>
      </c>
      <c r="AX183" s="9">
        <f>IF(46&lt;=核心参数输入!$B$9*4,IF(ABS(AX157)&lt;=0.000001,0,SIGN(AX157)),0)</f>
        <v>1</v>
      </c>
      <c r="AY183" s="9">
        <f>IF(47&lt;=核心参数输入!$B$9*4,IF(ABS(AY157)&lt;=0.000001,0,SIGN(AY157)),0)</f>
        <v>1</v>
      </c>
      <c r="AZ183" s="9">
        <f>IF(48&lt;=核心参数输入!$B$9*4,IF(ABS(AZ157)&lt;=0.000001,0,SIGN(AZ157)),0)</f>
        <v>1</v>
      </c>
      <c r="BA183" s="9">
        <f>IF(49&lt;=核心参数输入!$B$9*4,IF(ABS(BA157)&lt;=0.000001,0,SIGN(BA157)),0)</f>
        <v>1</v>
      </c>
      <c r="BB183" s="9">
        <f>IF(50&lt;=核心参数输入!$B$9*4,IF(ABS(BB157)&lt;=0.000001,0,SIGN(BB157)),0)</f>
        <v>1</v>
      </c>
      <c r="BC183" s="9">
        <f>IF(51&lt;=核心参数输入!$B$9*4,IF(ABS(BC157)&lt;=0.000001,0,SIGN(BC157)),0)</f>
        <v>1</v>
      </c>
      <c r="BD183" s="9">
        <f>IF(52&lt;=核心参数输入!$B$9*4,IF(ABS(BD157)&lt;=0.000001,0,SIGN(BD157)),0)</f>
        <v>1</v>
      </c>
      <c r="BE183" s="9">
        <f>IF(53&lt;=核心参数输入!$B$9*4,IF(ABS(BE157)&lt;=0.000001,0,SIGN(BE157)),0)</f>
        <v>1</v>
      </c>
      <c r="BF183" s="9">
        <f>IF(54&lt;=核心参数输入!$B$9*4,IF(ABS(BF157)&lt;=0.000001,0,SIGN(BF157)),0)</f>
        <v>1</v>
      </c>
      <c r="BG183" s="9">
        <f>IF(55&lt;=核心参数输入!$B$9*4,IF(ABS(BG157)&lt;=0.000001,0,SIGN(BG157)),0)</f>
        <v>1</v>
      </c>
      <c r="BH183" s="9">
        <f>IF(56&lt;=核心参数输入!$B$9*4,IF(ABS(BH157)&lt;=0.000001,0,SIGN(BH157)),0)</f>
        <v>1</v>
      </c>
      <c r="BI183" s="9">
        <f>IF(57&lt;=核心参数输入!$B$9*4,IF(ABS(BI157)&lt;=0.000001,0,SIGN(BI157)),0)</f>
        <v>1</v>
      </c>
      <c r="BJ183" s="9">
        <f>IF(58&lt;=核心参数输入!$B$9*4,IF(ABS(BJ157)&lt;=0.000001,0,SIGN(BJ157)),0)</f>
        <v>1</v>
      </c>
      <c r="BK183" s="9">
        <f>IF(59&lt;=核心参数输入!$B$9*4,IF(ABS(BK157)&lt;=0.000001,0,SIGN(BK157)),0)</f>
        <v>1</v>
      </c>
      <c r="BL183" s="9">
        <f>IF(60&lt;=核心参数输入!$B$9*4,IF(ABS(BL157)&lt;=0.000001,0,SIGN(BL157)),0)</f>
        <v>1</v>
      </c>
      <c r="BM183" s="9">
        <f>IF(61&lt;=核心参数输入!$B$9*4,IF(ABS(BM157)&lt;=0.000001,0,SIGN(BM157)),0)</f>
        <v>1</v>
      </c>
      <c r="BN183" s="9">
        <f>IF(62&lt;=核心参数输入!$B$9*4,IF(ABS(BN157)&lt;=0.000001,0,SIGN(BN157)),0)</f>
        <v>1</v>
      </c>
      <c r="BO183" s="9">
        <f>IF(63&lt;=核心参数输入!$B$9*4,IF(ABS(BO157)&lt;=0.000001,0,SIGN(BO157)),0)</f>
        <v>1</v>
      </c>
      <c r="BP183" s="9">
        <f>IF(64&lt;=核心参数输入!$B$9*4,IF(ABS(BP157)&lt;=0.000001,0,SIGN(BP157)),0)</f>
        <v>1</v>
      </c>
      <c r="BQ183" s="9">
        <f>IF(65&lt;=核心参数输入!$B$9*4,IF(ABS(BQ157)&lt;=0.000001,0,SIGN(BQ157)),0)</f>
        <v>1</v>
      </c>
      <c r="BR183" s="9">
        <f>IF(66&lt;=核心参数输入!$B$9*4,IF(ABS(BR157)&lt;=0.000001,0,SIGN(BR157)),0)</f>
        <v>1</v>
      </c>
      <c r="BS183" s="9">
        <f>IF(67&lt;=核心参数输入!$B$9*4,IF(ABS(BS157)&lt;=0.000001,0,SIGN(BS157)),0)</f>
        <v>1</v>
      </c>
      <c r="BT183" s="9">
        <f>IF(68&lt;=核心参数输入!$B$9*4,IF(ABS(BT157)&lt;=0.000001,0,SIGN(BT157)),0)</f>
        <v>1</v>
      </c>
      <c r="BU183" s="9">
        <f>IF(69&lt;=核心参数输入!$B$9*4,IF(ABS(BU157)&lt;=0.000001,0,SIGN(BU157)),0)</f>
        <v>1</v>
      </c>
      <c r="BV183" s="9">
        <f>IF(70&lt;=核心参数输入!$B$9*4,IF(ABS(BV157)&lt;=0.000001,0,SIGN(BV157)),0)</f>
        <v>1</v>
      </c>
      <c r="BW183" s="9">
        <f>IF(71&lt;=核心参数输入!$B$9*4,IF(ABS(BW157)&lt;=0.000001,0,SIGN(BW157)),0)</f>
        <v>1</v>
      </c>
      <c r="BX183" s="9">
        <f>IF(72&lt;=核心参数输入!$B$9*4,IF(ABS(BX157)&lt;=0.000001,0,SIGN(BX157)),0)</f>
        <v>1</v>
      </c>
      <c r="BY183" s="9">
        <f>IF(73&lt;=核心参数输入!$B$9*4,IF(ABS(BY157)&lt;=0.000001,0,SIGN(BY157)),0)</f>
        <v>1</v>
      </c>
      <c r="BZ183" s="9">
        <f>IF(74&lt;=核心参数输入!$B$9*4,IF(ABS(BZ157)&lt;=0.000001,0,SIGN(BZ157)),0)</f>
        <v>1</v>
      </c>
      <c r="CA183" s="9">
        <f>IF(75&lt;=核心参数输入!$B$9*4,IF(ABS(CA157)&lt;=0.000001,0,SIGN(CA157)),0)</f>
        <v>1</v>
      </c>
      <c r="CB183" s="9">
        <f>IF(76&lt;=核心参数输入!$B$9*4,IF(ABS(CB157)&lt;=0.000001,0,SIGN(CB157)),0)</f>
        <v>1</v>
      </c>
      <c r="CC183" s="9">
        <f>IF(77&lt;=核心参数输入!$B$9*4,IF(ABS(CC157)&lt;=0.000001,0,SIGN(CC157)),0)</f>
        <v>1</v>
      </c>
      <c r="CD183" s="9">
        <f>IF(78&lt;=核心参数输入!$B$9*4,IF(ABS(CD157)&lt;=0.000001,0,SIGN(CD157)),0)</f>
        <v>1</v>
      </c>
      <c r="CE183" s="9">
        <f>IF(79&lt;=核心参数输入!$B$9*4,IF(ABS(CE157)&lt;=0.000001,0,SIGN(CE157)),0)</f>
        <v>1</v>
      </c>
      <c r="CF183" s="9">
        <f>IF(80&lt;=核心参数输入!$B$9*4,IF(ABS(CF157)&lt;=0.000001,0,SIGN(CF157)),0)</f>
        <v>1</v>
      </c>
      <c r="CG183" s="9">
        <f>IF(81&lt;=核心参数输入!$B$9*4,IF(ABS(CG157)&lt;=0.000001,0,SIGN(CG157)),0)</f>
        <v>0</v>
      </c>
      <c r="CH183" s="9">
        <f>IF(82&lt;=核心参数输入!$B$9*4,IF(ABS(CH157)&lt;=0.000001,0,SIGN(CH157)),0)</f>
        <v>0</v>
      </c>
      <c r="CI183" s="9">
        <f>IF(83&lt;=核心参数输入!$B$9*4,IF(ABS(CI157)&lt;=0.000001,0,SIGN(CI157)),0)</f>
        <v>0</v>
      </c>
      <c r="CJ183" s="9">
        <f>IF(84&lt;=核心参数输入!$B$9*4,IF(ABS(CJ157)&lt;=0.000001,0,SIGN(CJ157)),0)</f>
        <v>0</v>
      </c>
      <c r="CK183" s="9">
        <f>IF(85&lt;=核心参数输入!$B$9*4,IF(ABS(CK157)&lt;=0.000001,0,SIGN(CK157)),0)</f>
        <v>0</v>
      </c>
      <c r="CL183" s="9">
        <f>IF(86&lt;=核心参数输入!$B$9*4,IF(ABS(CL157)&lt;=0.000001,0,SIGN(CL157)),0)</f>
        <v>0</v>
      </c>
      <c r="CM183" s="9">
        <f>IF(87&lt;=核心参数输入!$B$9*4,IF(ABS(CM157)&lt;=0.000001,0,SIGN(CM157)),0)</f>
        <v>0</v>
      </c>
      <c r="CN183" s="9">
        <f>IF(88&lt;=核心参数输入!$B$9*4,IF(ABS(CN157)&lt;=0.000001,0,SIGN(CN157)),0)</f>
        <v>0</v>
      </c>
      <c r="CO183" s="9">
        <f>IF(89&lt;=核心参数输入!$B$9*4,IF(ABS(CO157)&lt;=0.000001,0,SIGN(CO157)),0)</f>
        <v>0</v>
      </c>
      <c r="CP183" s="9">
        <f>IF(90&lt;=核心参数输入!$B$9*4,IF(ABS(CP157)&lt;=0.000001,0,SIGN(CP157)),0)</f>
        <v>0</v>
      </c>
      <c r="CQ183" s="9">
        <f>IF(91&lt;=核心参数输入!$B$9*4,IF(ABS(CQ157)&lt;=0.000001,0,SIGN(CQ157)),0)</f>
        <v>0</v>
      </c>
      <c r="CR183" s="9">
        <f>IF(92&lt;=核心参数输入!$B$9*4,IF(ABS(CR157)&lt;=0.000001,0,SIGN(CR157)),0)</f>
        <v>0</v>
      </c>
      <c r="CS183" s="9">
        <f>IF(93&lt;=核心参数输入!$B$9*4,IF(ABS(CS157)&lt;=0.000001,0,SIGN(CS157)),0)</f>
        <v>0</v>
      </c>
      <c r="CT183" s="9">
        <f>IF(94&lt;=核心参数输入!$B$9*4,IF(ABS(CT157)&lt;=0.000001,0,SIGN(CT157)),0)</f>
        <v>0</v>
      </c>
      <c r="CU183" s="9">
        <f>IF(95&lt;=核心参数输入!$B$9*4,IF(ABS(CU157)&lt;=0.000001,0,SIGN(CU157)),0)</f>
        <v>0</v>
      </c>
      <c r="CV183" s="9">
        <f>IF(96&lt;=核心参数输入!$B$9*4,IF(ABS(CV157)&lt;=0.000001,0,SIGN(CV157)),0)</f>
        <v>0</v>
      </c>
      <c r="CW183" s="9">
        <f>IF(97&lt;=核心参数输入!$B$9*4,IF(ABS(CW157)&lt;=0.000001,0,SIGN(CW157)),0)</f>
        <v>0</v>
      </c>
      <c r="CX183" s="9">
        <f>IF(98&lt;=核心参数输入!$B$9*4,IF(ABS(CX157)&lt;=0.000001,0,SIGN(CX157)),0)</f>
        <v>0</v>
      </c>
      <c r="CY183" s="9">
        <f>IF(99&lt;=核心参数输入!$B$9*4,IF(ABS(CY157)&lt;=0.000001,0,SIGN(CY157)),0)</f>
        <v>0</v>
      </c>
      <c r="CZ183" s="9">
        <f>IF(100&lt;=核心参数输入!$B$9*4,IF(ABS(CZ157)&lt;=0.000001,0,SIGN(CZ157)),0)</f>
        <v>0</v>
      </c>
      <c r="DA183" s="9">
        <f>IF(101&lt;=核心参数输入!$B$9*4,IF(ABS(DA157)&lt;=0.000001,0,SIGN(DA157)),0)</f>
        <v>0</v>
      </c>
      <c r="DB183" s="9">
        <f>IF(102&lt;=核心参数输入!$B$9*4,IF(ABS(DB157)&lt;=0.000001,0,SIGN(DB157)),0)</f>
        <v>0</v>
      </c>
      <c r="DC183" s="9">
        <f>IF(103&lt;=核心参数输入!$B$9*4,IF(ABS(DC157)&lt;=0.000001,0,SIGN(DC157)),0)</f>
        <v>0</v>
      </c>
      <c r="DD183" s="9">
        <f>IF(104&lt;=核心参数输入!$B$9*4,IF(ABS(DD157)&lt;=0.000001,0,SIGN(DD157)),0)</f>
        <v>0</v>
      </c>
      <c r="DE183" s="9">
        <f>IF(105&lt;=核心参数输入!$B$9*4,IF(ABS(DE157)&lt;=0.000001,0,SIGN(DE157)),0)</f>
        <v>0</v>
      </c>
      <c r="DF183" s="9">
        <f>IF(106&lt;=核心参数输入!$B$9*4,IF(ABS(DF157)&lt;=0.000001,0,SIGN(DF157)),0)</f>
        <v>0</v>
      </c>
      <c r="DG183" s="9">
        <f>IF(107&lt;=核心参数输入!$B$9*4,IF(ABS(DG157)&lt;=0.000001,0,SIGN(DG157)),0)</f>
        <v>0</v>
      </c>
      <c r="DH183" s="9">
        <f>IF(108&lt;=核心参数输入!$B$9*4,IF(ABS(DH157)&lt;=0.000001,0,SIGN(DH157)),0)</f>
        <v>0</v>
      </c>
      <c r="DI183" s="9">
        <f>IF(109&lt;=核心参数输入!$B$9*4,IF(ABS(DI157)&lt;=0.000001,0,SIGN(DI157)),0)</f>
        <v>0</v>
      </c>
      <c r="DJ183" s="9">
        <f>IF(110&lt;=核心参数输入!$B$9*4,IF(ABS(DJ157)&lt;=0.000001,0,SIGN(DJ157)),0)</f>
        <v>0</v>
      </c>
      <c r="DK183" s="9">
        <f>IF(111&lt;=核心参数输入!$B$9*4,IF(ABS(DK157)&lt;=0.000001,0,SIGN(DK157)),0)</f>
        <v>0</v>
      </c>
      <c r="DL183" s="9">
        <f>IF(112&lt;=核心参数输入!$B$9*4,IF(ABS(DL157)&lt;=0.000001,0,SIGN(DL157)),0)</f>
        <v>0</v>
      </c>
      <c r="DM183" s="9">
        <f>IF(113&lt;=核心参数输入!$B$9*4,IF(ABS(DM157)&lt;=0.000001,0,SIGN(DM157)),0)</f>
        <v>0</v>
      </c>
      <c r="DN183" s="9">
        <f>IF(114&lt;=核心参数输入!$B$9*4,IF(ABS(DN157)&lt;=0.000001,0,SIGN(DN157)),0)</f>
        <v>0</v>
      </c>
      <c r="DO183" s="9">
        <f>IF(115&lt;=核心参数输入!$B$9*4,IF(ABS(DO157)&lt;=0.000001,0,SIGN(DO157)),0)</f>
        <v>0</v>
      </c>
      <c r="DP183" s="9">
        <f>IF(116&lt;=核心参数输入!$B$9*4,IF(ABS(DP157)&lt;=0.000001,0,SIGN(DP157)),0)</f>
        <v>0</v>
      </c>
      <c r="DQ183" s="9">
        <f>IF(117&lt;=核心参数输入!$B$9*4,IF(ABS(DQ157)&lt;=0.000001,0,SIGN(DQ157)),0)</f>
        <v>0</v>
      </c>
      <c r="DR183" s="9">
        <f>IF(118&lt;=核心参数输入!$B$9*4,IF(ABS(DR157)&lt;=0.000001,0,SIGN(DR157)),0)</f>
        <v>0</v>
      </c>
      <c r="DS183" s="9">
        <f>IF(119&lt;=核心参数输入!$B$9*4,IF(ABS(DS157)&lt;=0.000001,0,SIGN(DS157)),0)</f>
        <v>0</v>
      </c>
      <c r="DT183" s="9">
        <f>IF(120&lt;=核心参数输入!$B$9*4,IF(ABS(DT157)&lt;=0.000001,0,SIGN(DT157)),0)</f>
        <v>0</v>
      </c>
    </row>
    <row r="184" spans="1:124" ht="21" customHeight="1">
      <c r="A184" s="8" t="s">
        <v>565</v>
      </c>
      <c r="B184" s="8" t="s">
        <v>39</v>
      </c>
      <c r="C184" s="8"/>
      <c r="D184" s="9">
        <f>IF(0&lt;=核心参数输入!$B$9*4,IF(D183=0,0,D183),0)</f>
        <v>-1</v>
      </c>
      <c r="E184" s="9">
        <f>IF(1&lt;=核心参数输入!$B$9*4,IF(E183=0,季度现金流!D184,E183),0)</f>
        <v>-1</v>
      </c>
      <c r="F184" s="9">
        <f>IF(2&lt;=核心参数输入!$B$9*4,IF(F183=0,季度现金流!E184,F183),0)</f>
        <v>-1</v>
      </c>
      <c r="G184" s="9">
        <f>IF(3&lt;=核心参数输入!$B$9*4,IF(G183=0,季度现金流!F184,G183),0)</f>
        <v>-1</v>
      </c>
      <c r="H184" s="9">
        <f>IF(4&lt;=核心参数输入!$B$9*4,IF(H183=0,季度现金流!G184,H183),0)</f>
        <v>-1</v>
      </c>
      <c r="I184" s="9">
        <f>IF(5&lt;=核心参数输入!$B$9*4,IF(I183=0,季度现金流!H184,I183),0)</f>
        <v>-1</v>
      </c>
      <c r="J184" s="9">
        <f>IF(6&lt;=核心参数输入!$B$9*4,IF(J183=0,季度现金流!I184,J183),0)</f>
        <v>-1</v>
      </c>
      <c r="K184" s="9">
        <f>IF(7&lt;=核心参数输入!$B$9*4,IF(K183=0,季度现金流!J184,K183),0)</f>
        <v>-1</v>
      </c>
      <c r="L184" s="9">
        <f>IF(8&lt;=核心参数输入!$B$9*4,IF(L183=0,季度现金流!K184,L183),0)</f>
        <v>-1</v>
      </c>
      <c r="M184" s="9">
        <f>IF(9&lt;=核心参数输入!$B$9*4,IF(M183=0,季度现金流!L184,M183),0)</f>
        <v>-1</v>
      </c>
      <c r="N184" s="9">
        <f>IF(10&lt;=核心参数输入!$B$9*4,IF(N183=0,季度现金流!M184,N183),0)</f>
        <v>-1</v>
      </c>
      <c r="O184" s="9">
        <f>IF(11&lt;=核心参数输入!$B$9*4,IF(O183=0,季度现金流!N184,O183),0)</f>
        <v>-1</v>
      </c>
      <c r="P184" s="9">
        <f>IF(12&lt;=核心参数输入!$B$9*4,IF(P183=0,季度现金流!O184,P183),0)</f>
        <v>-1</v>
      </c>
      <c r="Q184" s="9">
        <f>IF(13&lt;=核心参数输入!$B$9*4,IF(Q183=0,季度现金流!P184,Q183),0)</f>
        <v>1</v>
      </c>
      <c r="R184" s="9">
        <f>IF(14&lt;=核心参数输入!$B$9*4,IF(R183=0,季度现金流!Q184,R183),0)</f>
        <v>1</v>
      </c>
      <c r="S184" s="9">
        <f>IF(15&lt;=核心参数输入!$B$9*4,IF(S183=0,季度现金流!R184,S183),0)</f>
        <v>1</v>
      </c>
      <c r="T184" s="9">
        <f>IF(16&lt;=核心参数输入!$B$9*4,IF(T183=0,季度现金流!S184,T183),0)</f>
        <v>1</v>
      </c>
      <c r="U184" s="9">
        <f>IF(17&lt;=核心参数输入!$B$9*4,IF(U183=0,季度现金流!T184,U183),0)</f>
        <v>1</v>
      </c>
      <c r="V184" s="9">
        <f>IF(18&lt;=核心参数输入!$B$9*4,IF(V183=0,季度现金流!U184,V183),0)</f>
        <v>1</v>
      </c>
      <c r="W184" s="9">
        <f>IF(19&lt;=核心参数输入!$B$9*4,IF(W183=0,季度现金流!V184,W183),0)</f>
        <v>1</v>
      </c>
      <c r="X184" s="9">
        <f>IF(20&lt;=核心参数输入!$B$9*4,IF(X183=0,季度现金流!W184,X183),0)</f>
        <v>1</v>
      </c>
      <c r="Y184" s="9">
        <f>IF(21&lt;=核心参数输入!$B$9*4,IF(Y183=0,季度现金流!X184,Y183),0)</f>
        <v>1</v>
      </c>
      <c r="Z184" s="9">
        <f>IF(22&lt;=核心参数输入!$B$9*4,IF(Z183=0,季度现金流!Y184,Z183),0)</f>
        <v>1</v>
      </c>
      <c r="AA184" s="9">
        <f>IF(23&lt;=核心参数输入!$B$9*4,IF(AA183=0,季度现金流!Z184,AA183),0)</f>
        <v>1</v>
      </c>
      <c r="AB184" s="9">
        <f>IF(24&lt;=核心参数输入!$B$9*4,IF(AB183=0,季度现金流!AA184,AB183),0)</f>
        <v>1</v>
      </c>
      <c r="AC184" s="9">
        <f>IF(25&lt;=核心参数输入!$B$9*4,IF(AC183=0,季度现金流!AB184,AC183),0)</f>
        <v>1</v>
      </c>
      <c r="AD184" s="9">
        <f>IF(26&lt;=核心参数输入!$B$9*4,IF(AD183=0,季度现金流!AC184,AD183),0)</f>
        <v>1</v>
      </c>
      <c r="AE184" s="9">
        <f>IF(27&lt;=核心参数输入!$B$9*4,IF(AE183=0,季度现金流!AD184,AE183),0)</f>
        <v>1</v>
      </c>
      <c r="AF184" s="9">
        <f>IF(28&lt;=核心参数输入!$B$9*4,IF(AF183=0,季度现金流!AE184,AF183),0)</f>
        <v>1</v>
      </c>
      <c r="AG184" s="9">
        <f>IF(29&lt;=核心参数输入!$B$9*4,IF(AG183=0,季度现金流!AF184,AG183),0)</f>
        <v>1</v>
      </c>
      <c r="AH184" s="9">
        <f>IF(30&lt;=核心参数输入!$B$9*4,IF(AH183=0,季度现金流!AG184,AH183),0)</f>
        <v>1</v>
      </c>
      <c r="AI184" s="9">
        <f>IF(31&lt;=核心参数输入!$B$9*4,IF(AI183=0,季度现金流!AH184,AI183),0)</f>
        <v>1</v>
      </c>
      <c r="AJ184" s="9">
        <f>IF(32&lt;=核心参数输入!$B$9*4,IF(AJ183=0,季度现金流!AI184,AJ183),0)</f>
        <v>1</v>
      </c>
      <c r="AK184" s="9">
        <f>IF(33&lt;=核心参数输入!$B$9*4,IF(AK183=0,季度现金流!AJ184,AK183),0)</f>
        <v>1</v>
      </c>
      <c r="AL184" s="9">
        <f>IF(34&lt;=核心参数输入!$B$9*4,IF(AL183=0,季度现金流!AK184,AL183),0)</f>
        <v>1</v>
      </c>
      <c r="AM184" s="9">
        <f>IF(35&lt;=核心参数输入!$B$9*4,IF(AM183=0,季度现金流!AL184,AM183),0)</f>
        <v>1</v>
      </c>
      <c r="AN184" s="9">
        <f>IF(36&lt;=核心参数输入!$B$9*4,IF(AN183=0,季度现金流!AM184,AN183),0)</f>
        <v>1</v>
      </c>
      <c r="AO184" s="9">
        <f>IF(37&lt;=核心参数输入!$B$9*4,IF(AO183=0,季度现金流!AN184,AO183),0)</f>
        <v>1</v>
      </c>
      <c r="AP184" s="9">
        <f>IF(38&lt;=核心参数输入!$B$9*4,IF(AP183=0,季度现金流!AO184,AP183),0)</f>
        <v>1</v>
      </c>
      <c r="AQ184" s="9">
        <f>IF(39&lt;=核心参数输入!$B$9*4,IF(AQ183=0,季度现金流!AP184,AQ183),0)</f>
        <v>1</v>
      </c>
      <c r="AR184" s="9">
        <f>IF(40&lt;=核心参数输入!$B$9*4,IF(AR183=0,季度现金流!AQ184,AR183),0)</f>
        <v>1</v>
      </c>
      <c r="AS184" s="9">
        <f>IF(41&lt;=核心参数输入!$B$9*4,IF(AS183=0,季度现金流!AR184,AS183),0)</f>
        <v>1</v>
      </c>
      <c r="AT184" s="9">
        <f>IF(42&lt;=核心参数输入!$B$9*4,IF(AT183=0,季度现金流!AS184,AT183),0)</f>
        <v>1</v>
      </c>
      <c r="AU184" s="9">
        <f>IF(43&lt;=核心参数输入!$B$9*4,IF(AU183=0,季度现金流!AT184,AU183),0)</f>
        <v>1</v>
      </c>
      <c r="AV184" s="9">
        <f>IF(44&lt;=核心参数输入!$B$9*4,IF(AV183=0,季度现金流!AU184,AV183),0)</f>
        <v>1</v>
      </c>
      <c r="AW184" s="9">
        <f>IF(45&lt;=核心参数输入!$B$9*4,IF(AW183=0,季度现金流!AV184,AW183),0)</f>
        <v>1</v>
      </c>
      <c r="AX184" s="9">
        <f>IF(46&lt;=核心参数输入!$B$9*4,IF(AX183=0,季度现金流!AW184,AX183),0)</f>
        <v>1</v>
      </c>
      <c r="AY184" s="9">
        <f>IF(47&lt;=核心参数输入!$B$9*4,IF(AY183=0,季度现金流!AX184,AY183),0)</f>
        <v>1</v>
      </c>
      <c r="AZ184" s="9">
        <f>IF(48&lt;=核心参数输入!$B$9*4,IF(AZ183=0,季度现金流!AY184,AZ183),0)</f>
        <v>1</v>
      </c>
      <c r="BA184" s="9">
        <f>IF(49&lt;=核心参数输入!$B$9*4,IF(BA183=0,季度现金流!AZ184,BA183),0)</f>
        <v>1</v>
      </c>
      <c r="BB184" s="9">
        <f>IF(50&lt;=核心参数输入!$B$9*4,IF(BB183=0,季度现金流!BA184,BB183),0)</f>
        <v>1</v>
      </c>
      <c r="BC184" s="9">
        <f>IF(51&lt;=核心参数输入!$B$9*4,IF(BC183=0,季度现金流!BB184,BC183),0)</f>
        <v>1</v>
      </c>
      <c r="BD184" s="9">
        <f>IF(52&lt;=核心参数输入!$B$9*4,IF(BD183=0,季度现金流!BC184,BD183),0)</f>
        <v>1</v>
      </c>
      <c r="BE184" s="9">
        <f>IF(53&lt;=核心参数输入!$B$9*4,IF(BE183=0,季度现金流!BD184,BE183),0)</f>
        <v>1</v>
      </c>
      <c r="BF184" s="9">
        <f>IF(54&lt;=核心参数输入!$B$9*4,IF(BF183=0,季度现金流!BE184,BF183),0)</f>
        <v>1</v>
      </c>
      <c r="BG184" s="9">
        <f>IF(55&lt;=核心参数输入!$B$9*4,IF(BG183=0,季度现金流!BF184,BG183),0)</f>
        <v>1</v>
      </c>
      <c r="BH184" s="9">
        <f>IF(56&lt;=核心参数输入!$B$9*4,IF(BH183=0,季度现金流!BG184,BH183),0)</f>
        <v>1</v>
      </c>
      <c r="BI184" s="9">
        <f>IF(57&lt;=核心参数输入!$B$9*4,IF(BI183=0,季度现金流!BH184,BI183),0)</f>
        <v>1</v>
      </c>
      <c r="BJ184" s="9">
        <f>IF(58&lt;=核心参数输入!$B$9*4,IF(BJ183=0,季度现金流!BI184,BJ183),0)</f>
        <v>1</v>
      </c>
      <c r="BK184" s="9">
        <f>IF(59&lt;=核心参数输入!$B$9*4,IF(BK183=0,季度现金流!BJ184,BK183),0)</f>
        <v>1</v>
      </c>
      <c r="BL184" s="9">
        <f>IF(60&lt;=核心参数输入!$B$9*4,IF(BL183=0,季度现金流!BK184,BL183),0)</f>
        <v>1</v>
      </c>
      <c r="BM184" s="9">
        <f>IF(61&lt;=核心参数输入!$B$9*4,IF(BM183=0,季度现金流!BL184,BM183),0)</f>
        <v>1</v>
      </c>
      <c r="BN184" s="9">
        <f>IF(62&lt;=核心参数输入!$B$9*4,IF(BN183=0,季度现金流!BM184,BN183),0)</f>
        <v>1</v>
      </c>
      <c r="BO184" s="9">
        <f>IF(63&lt;=核心参数输入!$B$9*4,IF(BO183=0,季度现金流!BN184,BO183),0)</f>
        <v>1</v>
      </c>
      <c r="BP184" s="9">
        <f>IF(64&lt;=核心参数输入!$B$9*4,IF(BP183=0,季度现金流!BO184,BP183),0)</f>
        <v>1</v>
      </c>
      <c r="BQ184" s="9">
        <f>IF(65&lt;=核心参数输入!$B$9*4,IF(BQ183=0,季度现金流!BP184,BQ183),0)</f>
        <v>1</v>
      </c>
      <c r="BR184" s="9">
        <f>IF(66&lt;=核心参数输入!$B$9*4,IF(BR183=0,季度现金流!BQ184,BR183),0)</f>
        <v>1</v>
      </c>
      <c r="BS184" s="9">
        <f>IF(67&lt;=核心参数输入!$B$9*4,IF(BS183=0,季度现金流!BR184,BS183),0)</f>
        <v>1</v>
      </c>
      <c r="BT184" s="9">
        <f>IF(68&lt;=核心参数输入!$B$9*4,IF(BT183=0,季度现金流!BS184,BT183),0)</f>
        <v>1</v>
      </c>
      <c r="BU184" s="9">
        <f>IF(69&lt;=核心参数输入!$B$9*4,IF(BU183=0,季度现金流!BT184,BU183),0)</f>
        <v>1</v>
      </c>
      <c r="BV184" s="9">
        <f>IF(70&lt;=核心参数输入!$B$9*4,IF(BV183=0,季度现金流!BU184,BV183),0)</f>
        <v>1</v>
      </c>
      <c r="BW184" s="9">
        <f>IF(71&lt;=核心参数输入!$B$9*4,IF(BW183=0,季度现金流!BV184,BW183),0)</f>
        <v>1</v>
      </c>
      <c r="BX184" s="9">
        <f>IF(72&lt;=核心参数输入!$B$9*4,IF(BX183=0,季度现金流!BW184,BX183),0)</f>
        <v>1</v>
      </c>
      <c r="BY184" s="9">
        <f>IF(73&lt;=核心参数输入!$B$9*4,IF(BY183=0,季度现金流!BX184,BY183),0)</f>
        <v>1</v>
      </c>
      <c r="BZ184" s="9">
        <f>IF(74&lt;=核心参数输入!$B$9*4,IF(BZ183=0,季度现金流!BY184,BZ183),0)</f>
        <v>1</v>
      </c>
      <c r="CA184" s="9">
        <f>IF(75&lt;=核心参数输入!$B$9*4,IF(CA183=0,季度现金流!BZ184,CA183),0)</f>
        <v>1</v>
      </c>
      <c r="CB184" s="9">
        <f>IF(76&lt;=核心参数输入!$B$9*4,IF(CB183=0,季度现金流!CA184,CB183),0)</f>
        <v>1</v>
      </c>
      <c r="CC184" s="9">
        <f>IF(77&lt;=核心参数输入!$B$9*4,IF(CC183=0,季度现金流!CB184,CC183),0)</f>
        <v>1</v>
      </c>
      <c r="CD184" s="9">
        <f>IF(78&lt;=核心参数输入!$B$9*4,IF(CD183=0,季度现金流!CC184,CD183),0)</f>
        <v>1</v>
      </c>
      <c r="CE184" s="9">
        <f>IF(79&lt;=核心参数输入!$B$9*4,IF(CE183=0,季度现金流!CD184,CE183),0)</f>
        <v>1</v>
      </c>
      <c r="CF184" s="9">
        <f>IF(80&lt;=核心参数输入!$B$9*4,IF(CF183=0,季度现金流!CE184,CF183),0)</f>
        <v>1</v>
      </c>
      <c r="CG184" s="9">
        <f>IF(81&lt;=核心参数输入!$B$9*4,IF(CG183=0,季度现金流!CF184,CG183),0)</f>
        <v>0</v>
      </c>
      <c r="CH184" s="9">
        <f>IF(82&lt;=核心参数输入!$B$9*4,IF(CH183=0,季度现金流!CG184,CH183),0)</f>
        <v>0</v>
      </c>
      <c r="CI184" s="9">
        <f>IF(83&lt;=核心参数输入!$B$9*4,IF(CI183=0,季度现金流!CH184,CI183),0)</f>
        <v>0</v>
      </c>
      <c r="CJ184" s="9">
        <f>IF(84&lt;=核心参数输入!$B$9*4,IF(CJ183=0,季度现金流!CI184,CJ183),0)</f>
        <v>0</v>
      </c>
      <c r="CK184" s="9">
        <f>IF(85&lt;=核心参数输入!$B$9*4,IF(CK183=0,季度现金流!CJ184,CK183),0)</f>
        <v>0</v>
      </c>
      <c r="CL184" s="9">
        <f>IF(86&lt;=核心参数输入!$B$9*4,IF(CL183=0,季度现金流!CK184,CL183),0)</f>
        <v>0</v>
      </c>
      <c r="CM184" s="9">
        <f>IF(87&lt;=核心参数输入!$B$9*4,IF(CM183=0,季度现金流!CL184,CM183),0)</f>
        <v>0</v>
      </c>
      <c r="CN184" s="9">
        <f>IF(88&lt;=核心参数输入!$B$9*4,IF(CN183=0,季度现金流!CM184,CN183),0)</f>
        <v>0</v>
      </c>
      <c r="CO184" s="9">
        <f>IF(89&lt;=核心参数输入!$B$9*4,IF(CO183=0,季度现金流!CN184,CO183),0)</f>
        <v>0</v>
      </c>
      <c r="CP184" s="9">
        <f>IF(90&lt;=核心参数输入!$B$9*4,IF(CP183=0,季度现金流!CO184,CP183),0)</f>
        <v>0</v>
      </c>
      <c r="CQ184" s="9">
        <f>IF(91&lt;=核心参数输入!$B$9*4,IF(CQ183=0,季度现金流!CP184,CQ183),0)</f>
        <v>0</v>
      </c>
      <c r="CR184" s="9">
        <f>IF(92&lt;=核心参数输入!$B$9*4,IF(CR183=0,季度现金流!CQ184,CR183),0)</f>
        <v>0</v>
      </c>
      <c r="CS184" s="9">
        <f>IF(93&lt;=核心参数输入!$B$9*4,IF(CS183=0,季度现金流!CR184,CS183),0)</f>
        <v>0</v>
      </c>
      <c r="CT184" s="9">
        <f>IF(94&lt;=核心参数输入!$B$9*4,IF(CT183=0,季度现金流!CS184,CT183),0)</f>
        <v>0</v>
      </c>
      <c r="CU184" s="9">
        <f>IF(95&lt;=核心参数输入!$B$9*4,IF(CU183=0,季度现金流!CT184,CU183),0)</f>
        <v>0</v>
      </c>
      <c r="CV184" s="9">
        <f>IF(96&lt;=核心参数输入!$B$9*4,IF(CV183=0,季度现金流!CU184,CV183),0)</f>
        <v>0</v>
      </c>
      <c r="CW184" s="9">
        <f>IF(97&lt;=核心参数输入!$B$9*4,IF(CW183=0,季度现金流!CV184,CW183),0)</f>
        <v>0</v>
      </c>
      <c r="CX184" s="9">
        <f>IF(98&lt;=核心参数输入!$B$9*4,IF(CX183=0,季度现金流!CW184,CX183),0)</f>
        <v>0</v>
      </c>
      <c r="CY184" s="9">
        <f>IF(99&lt;=核心参数输入!$B$9*4,IF(CY183=0,季度现金流!CX184,CY183),0)</f>
        <v>0</v>
      </c>
      <c r="CZ184" s="9">
        <f>IF(100&lt;=核心参数输入!$B$9*4,IF(CZ183=0,季度现金流!CY184,CZ183),0)</f>
        <v>0</v>
      </c>
      <c r="DA184" s="9">
        <f>IF(101&lt;=核心参数输入!$B$9*4,IF(DA183=0,季度现金流!CZ184,DA183),0)</f>
        <v>0</v>
      </c>
      <c r="DB184" s="9">
        <f>IF(102&lt;=核心参数输入!$B$9*4,IF(DB183=0,季度现金流!DA184,DB183),0)</f>
        <v>0</v>
      </c>
      <c r="DC184" s="9">
        <f>IF(103&lt;=核心参数输入!$B$9*4,IF(DC183=0,季度现金流!DB184,DC183),0)</f>
        <v>0</v>
      </c>
      <c r="DD184" s="9">
        <f>IF(104&lt;=核心参数输入!$B$9*4,IF(DD183=0,季度现金流!DC184,DD183),0)</f>
        <v>0</v>
      </c>
      <c r="DE184" s="9">
        <f>IF(105&lt;=核心参数输入!$B$9*4,IF(DE183=0,季度现金流!DD184,DE183),0)</f>
        <v>0</v>
      </c>
      <c r="DF184" s="9">
        <f>IF(106&lt;=核心参数输入!$B$9*4,IF(DF183=0,季度现金流!DE184,DF183),0)</f>
        <v>0</v>
      </c>
      <c r="DG184" s="9">
        <f>IF(107&lt;=核心参数输入!$B$9*4,IF(DG183=0,季度现金流!DF184,DG183),0)</f>
        <v>0</v>
      </c>
      <c r="DH184" s="9">
        <f>IF(108&lt;=核心参数输入!$B$9*4,IF(DH183=0,季度现金流!DG184,DH183),0)</f>
        <v>0</v>
      </c>
      <c r="DI184" s="9">
        <f>IF(109&lt;=核心参数输入!$B$9*4,IF(DI183=0,季度现金流!DH184,DI183),0)</f>
        <v>0</v>
      </c>
      <c r="DJ184" s="9">
        <f>IF(110&lt;=核心参数输入!$B$9*4,IF(DJ183=0,季度现金流!DI184,DJ183),0)</f>
        <v>0</v>
      </c>
      <c r="DK184" s="9">
        <f>IF(111&lt;=核心参数输入!$B$9*4,IF(DK183=0,季度现金流!DJ184,DK183),0)</f>
        <v>0</v>
      </c>
      <c r="DL184" s="9">
        <f>IF(112&lt;=核心参数输入!$B$9*4,IF(DL183=0,季度现金流!DK184,DL183),0)</f>
        <v>0</v>
      </c>
      <c r="DM184" s="9">
        <f>IF(113&lt;=核心参数输入!$B$9*4,IF(DM183=0,季度现金流!DL184,DM183),0)</f>
        <v>0</v>
      </c>
      <c r="DN184" s="9">
        <f>IF(114&lt;=核心参数输入!$B$9*4,IF(DN183=0,季度现金流!DM184,DN183),0)</f>
        <v>0</v>
      </c>
      <c r="DO184" s="9">
        <f>IF(115&lt;=核心参数输入!$B$9*4,IF(DO183=0,季度现金流!DN184,DO183),0)</f>
        <v>0</v>
      </c>
      <c r="DP184" s="9">
        <f>IF(116&lt;=核心参数输入!$B$9*4,IF(DP183=0,季度现金流!DO184,DP183),0)</f>
        <v>0</v>
      </c>
      <c r="DQ184" s="9">
        <f>IF(117&lt;=核心参数输入!$B$9*4,IF(DQ183=0,季度现金流!DP184,DQ183),0)</f>
        <v>0</v>
      </c>
      <c r="DR184" s="9">
        <f>IF(118&lt;=核心参数输入!$B$9*4,IF(DR183=0,季度现金流!DQ184,DR183),0)</f>
        <v>0</v>
      </c>
      <c r="DS184" s="9">
        <f>IF(119&lt;=核心参数输入!$B$9*4,IF(DS183=0,季度现金流!DR184,DS183),0)</f>
        <v>0</v>
      </c>
      <c r="DT184" s="9">
        <f>IF(120&lt;=核心参数输入!$B$9*4,IF(DT183=0,季度现金流!DS184,DT183),0)</f>
        <v>0</v>
      </c>
    </row>
    <row r="185" spans="1:124" ht="21" customHeight="1">
      <c r="A185" s="8" t="s">
        <v>566</v>
      </c>
      <c r="B185" s="8" t="s">
        <v>39</v>
      </c>
      <c r="C185" s="8"/>
      <c r="D185" s="9">
        <f>IF(0&lt;=核心参数输入!$B$9*4,0,0)</f>
        <v>0</v>
      </c>
      <c r="E185" s="9">
        <f>IF(1&lt;=核心参数输入!$B$9*4,IF(AND(E183&lt;&gt;0,季度现金流!D184&lt;&gt;0,E183&lt;&gt;季度现金流!D184),1,0),0)</f>
        <v>0</v>
      </c>
      <c r="F185" s="9">
        <f>IF(2&lt;=核心参数输入!$B$9*4,IF(AND(F183&lt;&gt;0,季度现金流!E184&lt;&gt;0,F183&lt;&gt;季度现金流!E184),1,0),0)</f>
        <v>0</v>
      </c>
      <c r="G185" s="9">
        <f>IF(3&lt;=核心参数输入!$B$9*4,IF(AND(G183&lt;&gt;0,季度现金流!F184&lt;&gt;0,G183&lt;&gt;季度现金流!F184),1,0),0)</f>
        <v>0</v>
      </c>
      <c r="H185" s="9">
        <f>IF(4&lt;=核心参数输入!$B$9*4,IF(AND(H183&lt;&gt;0,季度现金流!G184&lt;&gt;0,H183&lt;&gt;季度现金流!G184),1,0),0)</f>
        <v>0</v>
      </c>
      <c r="I185" s="9">
        <f>IF(5&lt;=核心参数输入!$B$9*4,IF(AND(I183&lt;&gt;0,季度现金流!H184&lt;&gt;0,I183&lt;&gt;季度现金流!H184),1,0),0)</f>
        <v>0</v>
      </c>
      <c r="J185" s="9">
        <f>IF(6&lt;=核心参数输入!$B$9*4,IF(AND(J183&lt;&gt;0,季度现金流!I184&lt;&gt;0,J183&lt;&gt;季度现金流!I184),1,0),0)</f>
        <v>0</v>
      </c>
      <c r="K185" s="9">
        <f>IF(7&lt;=核心参数输入!$B$9*4,IF(AND(K183&lt;&gt;0,季度现金流!J184&lt;&gt;0,K183&lt;&gt;季度现金流!J184),1,0),0)</f>
        <v>0</v>
      </c>
      <c r="L185" s="9">
        <f>IF(8&lt;=核心参数输入!$B$9*4,IF(AND(L183&lt;&gt;0,季度现金流!K184&lt;&gt;0,L183&lt;&gt;季度现金流!K184),1,0),0)</f>
        <v>0</v>
      </c>
      <c r="M185" s="9">
        <f>IF(9&lt;=核心参数输入!$B$9*4,IF(AND(M183&lt;&gt;0,季度现金流!L184&lt;&gt;0,M183&lt;&gt;季度现金流!L184),1,0),0)</f>
        <v>0</v>
      </c>
      <c r="N185" s="9">
        <f>IF(10&lt;=核心参数输入!$B$9*4,IF(AND(N183&lt;&gt;0,季度现金流!M184&lt;&gt;0,N183&lt;&gt;季度现金流!M184),1,0),0)</f>
        <v>0</v>
      </c>
      <c r="O185" s="9">
        <f>IF(11&lt;=核心参数输入!$B$9*4,IF(AND(O183&lt;&gt;0,季度现金流!N184&lt;&gt;0,O183&lt;&gt;季度现金流!N184),1,0),0)</f>
        <v>0</v>
      </c>
      <c r="P185" s="9">
        <f>IF(12&lt;=核心参数输入!$B$9*4,IF(AND(P183&lt;&gt;0,季度现金流!O184&lt;&gt;0,P183&lt;&gt;季度现金流!O184),1,0),0)</f>
        <v>0</v>
      </c>
      <c r="Q185" s="9">
        <f>IF(13&lt;=核心参数输入!$B$9*4,IF(AND(Q183&lt;&gt;0,季度现金流!P184&lt;&gt;0,Q183&lt;&gt;季度现金流!P184),1,0),0)</f>
        <v>1</v>
      </c>
      <c r="R185" s="9">
        <f>IF(14&lt;=核心参数输入!$B$9*4,IF(AND(R183&lt;&gt;0,季度现金流!Q184&lt;&gt;0,R183&lt;&gt;季度现金流!Q184),1,0),0)</f>
        <v>0</v>
      </c>
      <c r="S185" s="9">
        <f>IF(15&lt;=核心参数输入!$B$9*4,IF(AND(S183&lt;&gt;0,季度现金流!R184&lt;&gt;0,S183&lt;&gt;季度现金流!R184),1,0),0)</f>
        <v>0</v>
      </c>
      <c r="T185" s="9">
        <f>IF(16&lt;=核心参数输入!$B$9*4,IF(AND(T183&lt;&gt;0,季度现金流!S184&lt;&gt;0,T183&lt;&gt;季度现金流!S184),1,0),0)</f>
        <v>0</v>
      </c>
      <c r="U185" s="9">
        <f>IF(17&lt;=核心参数输入!$B$9*4,IF(AND(U183&lt;&gt;0,季度现金流!T184&lt;&gt;0,U183&lt;&gt;季度现金流!T184),1,0),0)</f>
        <v>0</v>
      </c>
      <c r="V185" s="9">
        <f>IF(18&lt;=核心参数输入!$B$9*4,IF(AND(V183&lt;&gt;0,季度现金流!U184&lt;&gt;0,V183&lt;&gt;季度现金流!U184),1,0),0)</f>
        <v>0</v>
      </c>
      <c r="W185" s="9">
        <f>IF(19&lt;=核心参数输入!$B$9*4,IF(AND(W183&lt;&gt;0,季度现金流!V184&lt;&gt;0,W183&lt;&gt;季度现金流!V184),1,0),0)</f>
        <v>0</v>
      </c>
      <c r="X185" s="9">
        <f>IF(20&lt;=核心参数输入!$B$9*4,IF(AND(X183&lt;&gt;0,季度现金流!W184&lt;&gt;0,X183&lt;&gt;季度现金流!W184),1,0),0)</f>
        <v>0</v>
      </c>
      <c r="Y185" s="9">
        <f>IF(21&lt;=核心参数输入!$B$9*4,IF(AND(Y183&lt;&gt;0,季度现金流!X184&lt;&gt;0,Y183&lt;&gt;季度现金流!X184),1,0),0)</f>
        <v>0</v>
      </c>
      <c r="Z185" s="9">
        <f>IF(22&lt;=核心参数输入!$B$9*4,IF(AND(Z183&lt;&gt;0,季度现金流!Y184&lt;&gt;0,Z183&lt;&gt;季度现金流!Y184),1,0),0)</f>
        <v>0</v>
      </c>
      <c r="AA185" s="9">
        <f>IF(23&lt;=核心参数输入!$B$9*4,IF(AND(AA183&lt;&gt;0,季度现金流!Z184&lt;&gt;0,AA183&lt;&gt;季度现金流!Z184),1,0),0)</f>
        <v>0</v>
      </c>
      <c r="AB185" s="9">
        <f>IF(24&lt;=核心参数输入!$B$9*4,IF(AND(AB183&lt;&gt;0,季度现金流!AA184&lt;&gt;0,AB183&lt;&gt;季度现金流!AA184),1,0),0)</f>
        <v>0</v>
      </c>
      <c r="AC185" s="9">
        <f>IF(25&lt;=核心参数输入!$B$9*4,IF(AND(AC183&lt;&gt;0,季度现金流!AB184&lt;&gt;0,AC183&lt;&gt;季度现金流!AB184),1,0),0)</f>
        <v>0</v>
      </c>
      <c r="AD185" s="9">
        <f>IF(26&lt;=核心参数输入!$B$9*4,IF(AND(AD183&lt;&gt;0,季度现金流!AC184&lt;&gt;0,AD183&lt;&gt;季度现金流!AC184),1,0),0)</f>
        <v>0</v>
      </c>
      <c r="AE185" s="9">
        <f>IF(27&lt;=核心参数输入!$B$9*4,IF(AND(AE183&lt;&gt;0,季度现金流!AD184&lt;&gt;0,AE183&lt;&gt;季度现金流!AD184),1,0),0)</f>
        <v>0</v>
      </c>
      <c r="AF185" s="9">
        <f>IF(28&lt;=核心参数输入!$B$9*4,IF(AND(AF183&lt;&gt;0,季度现金流!AE184&lt;&gt;0,AF183&lt;&gt;季度现金流!AE184),1,0),0)</f>
        <v>0</v>
      </c>
      <c r="AG185" s="9">
        <f>IF(29&lt;=核心参数输入!$B$9*4,IF(AND(AG183&lt;&gt;0,季度现金流!AF184&lt;&gt;0,AG183&lt;&gt;季度现金流!AF184),1,0),0)</f>
        <v>0</v>
      </c>
      <c r="AH185" s="9">
        <f>IF(30&lt;=核心参数输入!$B$9*4,IF(AND(AH183&lt;&gt;0,季度现金流!AG184&lt;&gt;0,AH183&lt;&gt;季度现金流!AG184),1,0),0)</f>
        <v>0</v>
      </c>
      <c r="AI185" s="9">
        <f>IF(31&lt;=核心参数输入!$B$9*4,IF(AND(AI183&lt;&gt;0,季度现金流!AH184&lt;&gt;0,AI183&lt;&gt;季度现金流!AH184),1,0),0)</f>
        <v>0</v>
      </c>
      <c r="AJ185" s="9">
        <f>IF(32&lt;=核心参数输入!$B$9*4,IF(AND(AJ183&lt;&gt;0,季度现金流!AI184&lt;&gt;0,AJ183&lt;&gt;季度现金流!AI184),1,0),0)</f>
        <v>0</v>
      </c>
      <c r="AK185" s="9">
        <f>IF(33&lt;=核心参数输入!$B$9*4,IF(AND(AK183&lt;&gt;0,季度现金流!AJ184&lt;&gt;0,AK183&lt;&gt;季度现金流!AJ184),1,0),0)</f>
        <v>0</v>
      </c>
      <c r="AL185" s="9">
        <f>IF(34&lt;=核心参数输入!$B$9*4,IF(AND(AL183&lt;&gt;0,季度现金流!AK184&lt;&gt;0,AL183&lt;&gt;季度现金流!AK184),1,0),0)</f>
        <v>0</v>
      </c>
      <c r="AM185" s="9">
        <f>IF(35&lt;=核心参数输入!$B$9*4,IF(AND(AM183&lt;&gt;0,季度现金流!AL184&lt;&gt;0,AM183&lt;&gt;季度现金流!AL184),1,0),0)</f>
        <v>0</v>
      </c>
      <c r="AN185" s="9">
        <f>IF(36&lt;=核心参数输入!$B$9*4,IF(AND(AN183&lt;&gt;0,季度现金流!AM184&lt;&gt;0,AN183&lt;&gt;季度现金流!AM184),1,0),0)</f>
        <v>0</v>
      </c>
      <c r="AO185" s="9">
        <f>IF(37&lt;=核心参数输入!$B$9*4,IF(AND(AO183&lt;&gt;0,季度现金流!AN184&lt;&gt;0,AO183&lt;&gt;季度现金流!AN184),1,0),0)</f>
        <v>0</v>
      </c>
      <c r="AP185" s="9">
        <f>IF(38&lt;=核心参数输入!$B$9*4,IF(AND(AP183&lt;&gt;0,季度现金流!AO184&lt;&gt;0,AP183&lt;&gt;季度现金流!AO184),1,0),0)</f>
        <v>0</v>
      </c>
      <c r="AQ185" s="9">
        <f>IF(39&lt;=核心参数输入!$B$9*4,IF(AND(AQ183&lt;&gt;0,季度现金流!AP184&lt;&gt;0,AQ183&lt;&gt;季度现金流!AP184),1,0),0)</f>
        <v>0</v>
      </c>
      <c r="AR185" s="9">
        <f>IF(40&lt;=核心参数输入!$B$9*4,IF(AND(AR183&lt;&gt;0,季度现金流!AQ184&lt;&gt;0,AR183&lt;&gt;季度现金流!AQ184),1,0),0)</f>
        <v>0</v>
      </c>
      <c r="AS185" s="9">
        <f>IF(41&lt;=核心参数输入!$B$9*4,IF(AND(AS183&lt;&gt;0,季度现金流!AR184&lt;&gt;0,AS183&lt;&gt;季度现金流!AR184),1,0),0)</f>
        <v>0</v>
      </c>
      <c r="AT185" s="9">
        <f>IF(42&lt;=核心参数输入!$B$9*4,IF(AND(AT183&lt;&gt;0,季度现金流!AS184&lt;&gt;0,AT183&lt;&gt;季度现金流!AS184),1,0),0)</f>
        <v>0</v>
      </c>
      <c r="AU185" s="9">
        <f>IF(43&lt;=核心参数输入!$B$9*4,IF(AND(AU183&lt;&gt;0,季度现金流!AT184&lt;&gt;0,AU183&lt;&gt;季度现金流!AT184),1,0),0)</f>
        <v>0</v>
      </c>
      <c r="AV185" s="9">
        <f>IF(44&lt;=核心参数输入!$B$9*4,IF(AND(AV183&lt;&gt;0,季度现金流!AU184&lt;&gt;0,AV183&lt;&gt;季度现金流!AU184),1,0),0)</f>
        <v>0</v>
      </c>
      <c r="AW185" s="9">
        <f>IF(45&lt;=核心参数输入!$B$9*4,IF(AND(AW183&lt;&gt;0,季度现金流!AV184&lt;&gt;0,AW183&lt;&gt;季度现金流!AV184),1,0),0)</f>
        <v>0</v>
      </c>
      <c r="AX185" s="9">
        <f>IF(46&lt;=核心参数输入!$B$9*4,IF(AND(AX183&lt;&gt;0,季度现金流!AW184&lt;&gt;0,AX183&lt;&gt;季度现金流!AW184),1,0),0)</f>
        <v>0</v>
      </c>
      <c r="AY185" s="9">
        <f>IF(47&lt;=核心参数输入!$B$9*4,IF(AND(AY183&lt;&gt;0,季度现金流!AX184&lt;&gt;0,AY183&lt;&gt;季度现金流!AX184),1,0),0)</f>
        <v>0</v>
      </c>
      <c r="AZ185" s="9">
        <f>IF(48&lt;=核心参数输入!$B$9*4,IF(AND(AZ183&lt;&gt;0,季度现金流!AY184&lt;&gt;0,AZ183&lt;&gt;季度现金流!AY184),1,0),0)</f>
        <v>0</v>
      </c>
      <c r="BA185" s="9">
        <f>IF(49&lt;=核心参数输入!$B$9*4,IF(AND(BA183&lt;&gt;0,季度现金流!AZ184&lt;&gt;0,BA183&lt;&gt;季度现金流!AZ184),1,0),0)</f>
        <v>0</v>
      </c>
      <c r="BB185" s="9">
        <f>IF(50&lt;=核心参数输入!$B$9*4,IF(AND(BB183&lt;&gt;0,季度现金流!BA184&lt;&gt;0,BB183&lt;&gt;季度现金流!BA184),1,0),0)</f>
        <v>0</v>
      </c>
      <c r="BC185" s="9">
        <f>IF(51&lt;=核心参数输入!$B$9*4,IF(AND(BC183&lt;&gt;0,季度现金流!BB184&lt;&gt;0,BC183&lt;&gt;季度现金流!BB184),1,0),0)</f>
        <v>0</v>
      </c>
      <c r="BD185" s="9">
        <f>IF(52&lt;=核心参数输入!$B$9*4,IF(AND(BD183&lt;&gt;0,季度现金流!BC184&lt;&gt;0,BD183&lt;&gt;季度现金流!BC184),1,0),0)</f>
        <v>0</v>
      </c>
      <c r="BE185" s="9">
        <f>IF(53&lt;=核心参数输入!$B$9*4,IF(AND(BE183&lt;&gt;0,季度现金流!BD184&lt;&gt;0,BE183&lt;&gt;季度现金流!BD184),1,0),0)</f>
        <v>0</v>
      </c>
      <c r="BF185" s="9">
        <f>IF(54&lt;=核心参数输入!$B$9*4,IF(AND(BF183&lt;&gt;0,季度现金流!BE184&lt;&gt;0,BF183&lt;&gt;季度现金流!BE184),1,0),0)</f>
        <v>0</v>
      </c>
      <c r="BG185" s="9">
        <f>IF(55&lt;=核心参数输入!$B$9*4,IF(AND(BG183&lt;&gt;0,季度现金流!BF184&lt;&gt;0,BG183&lt;&gt;季度现金流!BF184),1,0),0)</f>
        <v>0</v>
      </c>
      <c r="BH185" s="9">
        <f>IF(56&lt;=核心参数输入!$B$9*4,IF(AND(BH183&lt;&gt;0,季度现金流!BG184&lt;&gt;0,BH183&lt;&gt;季度现金流!BG184),1,0),0)</f>
        <v>0</v>
      </c>
      <c r="BI185" s="9">
        <f>IF(57&lt;=核心参数输入!$B$9*4,IF(AND(BI183&lt;&gt;0,季度现金流!BH184&lt;&gt;0,BI183&lt;&gt;季度现金流!BH184),1,0),0)</f>
        <v>0</v>
      </c>
      <c r="BJ185" s="9">
        <f>IF(58&lt;=核心参数输入!$B$9*4,IF(AND(BJ183&lt;&gt;0,季度现金流!BI184&lt;&gt;0,BJ183&lt;&gt;季度现金流!BI184),1,0),0)</f>
        <v>0</v>
      </c>
      <c r="BK185" s="9">
        <f>IF(59&lt;=核心参数输入!$B$9*4,IF(AND(BK183&lt;&gt;0,季度现金流!BJ184&lt;&gt;0,BK183&lt;&gt;季度现金流!BJ184),1,0),0)</f>
        <v>0</v>
      </c>
      <c r="BL185" s="9">
        <f>IF(60&lt;=核心参数输入!$B$9*4,IF(AND(BL183&lt;&gt;0,季度现金流!BK184&lt;&gt;0,BL183&lt;&gt;季度现金流!BK184),1,0),0)</f>
        <v>0</v>
      </c>
      <c r="BM185" s="9">
        <f>IF(61&lt;=核心参数输入!$B$9*4,IF(AND(BM183&lt;&gt;0,季度现金流!BL184&lt;&gt;0,BM183&lt;&gt;季度现金流!BL184),1,0),0)</f>
        <v>0</v>
      </c>
      <c r="BN185" s="9">
        <f>IF(62&lt;=核心参数输入!$B$9*4,IF(AND(BN183&lt;&gt;0,季度现金流!BM184&lt;&gt;0,BN183&lt;&gt;季度现金流!BM184),1,0),0)</f>
        <v>0</v>
      </c>
      <c r="BO185" s="9">
        <f>IF(63&lt;=核心参数输入!$B$9*4,IF(AND(BO183&lt;&gt;0,季度现金流!BN184&lt;&gt;0,BO183&lt;&gt;季度现金流!BN184),1,0),0)</f>
        <v>0</v>
      </c>
      <c r="BP185" s="9">
        <f>IF(64&lt;=核心参数输入!$B$9*4,IF(AND(BP183&lt;&gt;0,季度现金流!BO184&lt;&gt;0,BP183&lt;&gt;季度现金流!BO184),1,0),0)</f>
        <v>0</v>
      </c>
      <c r="BQ185" s="9">
        <f>IF(65&lt;=核心参数输入!$B$9*4,IF(AND(BQ183&lt;&gt;0,季度现金流!BP184&lt;&gt;0,BQ183&lt;&gt;季度现金流!BP184),1,0),0)</f>
        <v>0</v>
      </c>
      <c r="BR185" s="9">
        <f>IF(66&lt;=核心参数输入!$B$9*4,IF(AND(BR183&lt;&gt;0,季度现金流!BQ184&lt;&gt;0,BR183&lt;&gt;季度现金流!BQ184),1,0),0)</f>
        <v>0</v>
      </c>
      <c r="BS185" s="9">
        <f>IF(67&lt;=核心参数输入!$B$9*4,IF(AND(BS183&lt;&gt;0,季度现金流!BR184&lt;&gt;0,BS183&lt;&gt;季度现金流!BR184),1,0),0)</f>
        <v>0</v>
      </c>
      <c r="BT185" s="9">
        <f>IF(68&lt;=核心参数输入!$B$9*4,IF(AND(BT183&lt;&gt;0,季度现金流!BS184&lt;&gt;0,BT183&lt;&gt;季度现金流!BS184),1,0),0)</f>
        <v>0</v>
      </c>
      <c r="BU185" s="9">
        <f>IF(69&lt;=核心参数输入!$B$9*4,IF(AND(BU183&lt;&gt;0,季度现金流!BT184&lt;&gt;0,BU183&lt;&gt;季度现金流!BT184),1,0),0)</f>
        <v>0</v>
      </c>
      <c r="BV185" s="9">
        <f>IF(70&lt;=核心参数输入!$B$9*4,IF(AND(BV183&lt;&gt;0,季度现金流!BU184&lt;&gt;0,BV183&lt;&gt;季度现金流!BU184),1,0),0)</f>
        <v>0</v>
      </c>
      <c r="BW185" s="9">
        <f>IF(71&lt;=核心参数输入!$B$9*4,IF(AND(BW183&lt;&gt;0,季度现金流!BV184&lt;&gt;0,BW183&lt;&gt;季度现金流!BV184),1,0),0)</f>
        <v>0</v>
      </c>
      <c r="BX185" s="9">
        <f>IF(72&lt;=核心参数输入!$B$9*4,IF(AND(BX183&lt;&gt;0,季度现金流!BW184&lt;&gt;0,BX183&lt;&gt;季度现金流!BW184),1,0),0)</f>
        <v>0</v>
      </c>
      <c r="BY185" s="9">
        <f>IF(73&lt;=核心参数输入!$B$9*4,IF(AND(BY183&lt;&gt;0,季度现金流!BX184&lt;&gt;0,BY183&lt;&gt;季度现金流!BX184),1,0),0)</f>
        <v>0</v>
      </c>
      <c r="BZ185" s="9">
        <f>IF(74&lt;=核心参数输入!$B$9*4,IF(AND(BZ183&lt;&gt;0,季度现金流!BY184&lt;&gt;0,BZ183&lt;&gt;季度现金流!BY184),1,0),0)</f>
        <v>0</v>
      </c>
      <c r="CA185" s="9">
        <f>IF(75&lt;=核心参数输入!$B$9*4,IF(AND(CA183&lt;&gt;0,季度现金流!BZ184&lt;&gt;0,CA183&lt;&gt;季度现金流!BZ184),1,0),0)</f>
        <v>0</v>
      </c>
      <c r="CB185" s="9">
        <f>IF(76&lt;=核心参数输入!$B$9*4,IF(AND(CB183&lt;&gt;0,季度现金流!CA184&lt;&gt;0,CB183&lt;&gt;季度现金流!CA184),1,0),0)</f>
        <v>0</v>
      </c>
      <c r="CC185" s="9">
        <f>IF(77&lt;=核心参数输入!$B$9*4,IF(AND(CC183&lt;&gt;0,季度现金流!CB184&lt;&gt;0,CC183&lt;&gt;季度现金流!CB184),1,0),0)</f>
        <v>0</v>
      </c>
      <c r="CD185" s="9">
        <f>IF(78&lt;=核心参数输入!$B$9*4,IF(AND(CD183&lt;&gt;0,季度现金流!CC184&lt;&gt;0,CD183&lt;&gt;季度现金流!CC184),1,0),0)</f>
        <v>0</v>
      </c>
      <c r="CE185" s="9">
        <f>IF(79&lt;=核心参数输入!$B$9*4,IF(AND(CE183&lt;&gt;0,季度现金流!CD184&lt;&gt;0,CE183&lt;&gt;季度现金流!CD184),1,0),0)</f>
        <v>0</v>
      </c>
      <c r="CF185" s="9">
        <f>IF(80&lt;=核心参数输入!$B$9*4,IF(AND(CF183&lt;&gt;0,季度现金流!CE184&lt;&gt;0,CF183&lt;&gt;季度现金流!CE184),1,0),0)</f>
        <v>0</v>
      </c>
      <c r="CG185" s="9">
        <f>IF(81&lt;=核心参数输入!$B$9*4,IF(AND(CG183&lt;&gt;0,季度现金流!CF184&lt;&gt;0,CG183&lt;&gt;季度现金流!CF184),1,0),0)</f>
        <v>0</v>
      </c>
      <c r="CH185" s="9">
        <f>IF(82&lt;=核心参数输入!$B$9*4,IF(AND(CH183&lt;&gt;0,季度现金流!CG184&lt;&gt;0,CH183&lt;&gt;季度现金流!CG184),1,0),0)</f>
        <v>0</v>
      </c>
      <c r="CI185" s="9">
        <f>IF(83&lt;=核心参数输入!$B$9*4,IF(AND(CI183&lt;&gt;0,季度现金流!CH184&lt;&gt;0,CI183&lt;&gt;季度现金流!CH184),1,0),0)</f>
        <v>0</v>
      </c>
      <c r="CJ185" s="9">
        <f>IF(84&lt;=核心参数输入!$B$9*4,IF(AND(CJ183&lt;&gt;0,季度现金流!CI184&lt;&gt;0,CJ183&lt;&gt;季度现金流!CI184),1,0),0)</f>
        <v>0</v>
      </c>
      <c r="CK185" s="9">
        <f>IF(85&lt;=核心参数输入!$B$9*4,IF(AND(CK183&lt;&gt;0,季度现金流!CJ184&lt;&gt;0,CK183&lt;&gt;季度现金流!CJ184),1,0),0)</f>
        <v>0</v>
      </c>
      <c r="CL185" s="9">
        <f>IF(86&lt;=核心参数输入!$B$9*4,IF(AND(CL183&lt;&gt;0,季度现金流!CK184&lt;&gt;0,CL183&lt;&gt;季度现金流!CK184),1,0),0)</f>
        <v>0</v>
      </c>
      <c r="CM185" s="9">
        <f>IF(87&lt;=核心参数输入!$B$9*4,IF(AND(CM183&lt;&gt;0,季度现金流!CL184&lt;&gt;0,CM183&lt;&gt;季度现金流!CL184),1,0),0)</f>
        <v>0</v>
      </c>
      <c r="CN185" s="9">
        <f>IF(88&lt;=核心参数输入!$B$9*4,IF(AND(CN183&lt;&gt;0,季度现金流!CM184&lt;&gt;0,CN183&lt;&gt;季度现金流!CM184),1,0),0)</f>
        <v>0</v>
      </c>
      <c r="CO185" s="9">
        <f>IF(89&lt;=核心参数输入!$B$9*4,IF(AND(CO183&lt;&gt;0,季度现金流!CN184&lt;&gt;0,CO183&lt;&gt;季度现金流!CN184),1,0),0)</f>
        <v>0</v>
      </c>
      <c r="CP185" s="9">
        <f>IF(90&lt;=核心参数输入!$B$9*4,IF(AND(CP183&lt;&gt;0,季度现金流!CO184&lt;&gt;0,CP183&lt;&gt;季度现金流!CO184),1,0),0)</f>
        <v>0</v>
      </c>
      <c r="CQ185" s="9">
        <f>IF(91&lt;=核心参数输入!$B$9*4,IF(AND(CQ183&lt;&gt;0,季度现金流!CP184&lt;&gt;0,CQ183&lt;&gt;季度现金流!CP184),1,0),0)</f>
        <v>0</v>
      </c>
      <c r="CR185" s="9">
        <f>IF(92&lt;=核心参数输入!$B$9*4,IF(AND(CR183&lt;&gt;0,季度现金流!CQ184&lt;&gt;0,CR183&lt;&gt;季度现金流!CQ184),1,0),0)</f>
        <v>0</v>
      </c>
      <c r="CS185" s="9">
        <f>IF(93&lt;=核心参数输入!$B$9*4,IF(AND(CS183&lt;&gt;0,季度现金流!CR184&lt;&gt;0,CS183&lt;&gt;季度现金流!CR184),1,0),0)</f>
        <v>0</v>
      </c>
      <c r="CT185" s="9">
        <f>IF(94&lt;=核心参数输入!$B$9*4,IF(AND(CT183&lt;&gt;0,季度现金流!CS184&lt;&gt;0,CT183&lt;&gt;季度现金流!CS184),1,0),0)</f>
        <v>0</v>
      </c>
      <c r="CU185" s="9">
        <f>IF(95&lt;=核心参数输入!$B$9*4,IF(AND(CU183&lt;&gt;0,季度现金流!CT184&lt;&gt;0,CU183&lt;&gt;季度现金流!CT184),1,0),0)</f>
        <v>0</v>
      </c>
      <c r="CV185" s="9">
        <f>IF(96&lt;=核心参数输入!$B$9*4,IF(AND(CV183&lt;&gt;0,季度现金流!CU184&lt;&gt;0,CV183&lt;&gt;季度现金流!CU184),1,0),0)</f>
        <v>0</v>
      </c>
      <c r="CW185" s="9">
        <f>IF(97&lt;=核心参数输入!$B$9*4,IF(AND(CW183&lt;&gt;0,季度现金流!CV184&lt;&gt;0,CW183&lt;&gt;季度现金流!CV184),1,0),0)</f>
        <v>0</v>
      </c>
      <c r="CX185" s="9">
        <f>IF(98&lt;=核心参数输入!$B$9*4,IF(AND(CX183&lt;&gt;0,季度现金流!CW184&lt;&gt;0,CX183&lt;&gt;季度现金流!CW184),1,0),0)</f>
        <v>0</v>
      </c>
      <c r="CY185" s="9">
        <f>IF(99&lt;=核心参数输入!$B$9*4,IF(AND(CY183&lt;&gt;0,季度现金流!CX184&lt;&gt;0,CY183&lt;&gt;季度现金流!CX184),1,0),0)</f>
        <v>0</v>
      </c>
      <c r="CZ185" s="9">
        <f>IF(100&lt;=核心参数输入!$B$9*4,IF(AND(CZ183&lt;&gt;0,季度现金流!CY184&lt;&gt;0,CZ183&lt;&gt;季度现金流!CY184),1,0),0)</f>
        <v>0</v>
      </c>
      <c r="DA185" s="9">
        <f>IF(101&lt;=核心参数输入!$B$9*4,IF(AND(DA183&lt;&gt;0,季度现金流!CZ184&lt;&gt;0,DA183&lt;&gt;季度现金流!CZ184),1,0),0)</f>
        <v>0</v>
      </c>
      <c r="DB185" s="9">
        <f>IF(102&lt;=核心参数输入!$B$9*4,IF(AND(DB183&lt;&gt;0,季度现金流!DA184&lt;&gt;0,DB183&lt;&gt;季度现金流!DA184),1,0),0)</f>
        <v>0</v>
      </c>
      <c r="DC185" s="9">
        <f>IF(103&lt;=核心参数输入!$B$9*4,IF(AND(DC183&lt;&gt;0,季度现金流!DB184&lt;&gt;0,DC183&lt;&gt;季度现金流!DB184),1,0),0)</f>
        <v>0</v>
      </c>
      <c r="DD185" s="9">
        <f>IF(104&lt;=核心参数输入!$B$9*4,IF(AND(DD183&lt;&gt;0,季度现金流!DC184&lt;&gt;0,DD183&lt;&gt;季度现金流!DC184),1,0),0)</f>
        <v>0</v>
      </c>
      <c r="DE185" s="9">
        <f>IF(105&lt;=核心参数输入!$B$9*4,IF(AND(DE183&lt;&gt;0,季度现金流!DD184&lt;&gt;0,DE183&lt;&gt;季度现金流!DD184),1,0),0)</f>
        <v>0</v>
      </c>
      <c r="DF185" s="9">
        <f>IF(106&lt;=核心参数输入!$B$9*4,IF(AND(DF183&lt;&gt;0,季度现金流!DE184&lt;&gt;0,DF183&lt;&gt;季度现金流!DE184),1,0),0)</f>
        <v>0</v>
      </c>
      <c r="DG185" s="9">
        <f>IF(107&lt;=核心参数输入!$B$9*4,IF(AND(DG183&lt;&gt;0,季度现金流!DF184&lt;&gt;0,DG183&lt;&gt;季度现金流!DF184),1,0),0)</f>
        <v>0</v>
      </c>
      <c r="DH185" s="9">
        <f>IF(108&lt;=核心参数输入!$B$9*4,IF(AND(DH183&lt;&gt;0,季度现金流!DG184&lt;&gt;0,DH183&lt;&gt;季度现金流!DG184),1,0),0)</f>
        <v>0</v>
      </c>
      <c r="DI185" s="9">
        <f>IF(109&lt;=核心参数输入!$B$9*4,IF(AND(DI183&lt;&gt;0,季度现金流!DH184&lt;&gt;0,DI183&lt;&gt;季度现金流!DH184),1,0),0)</f>
        <v>0</v>
      </c>
      <c r="DJ185" s="9">
        <f>IF(110&lt;=核心参数输入!$B$9*4,IF(AND(DJ183&lt;&gt;0,季度现金流!DI184&lt;&gt;0,DJ183&lt;&gt;季度现金流!DI184),1,0),0)</f>
        <v>0</v>
      </c>
      <c r="DK185" s="9">
        <f>IF(111&lt;=核心参数输入!$B$9*4,IF(AND(DK183&lt;&gt;0,季度现金流!DJ184&lt;&gt;0,DK183&lt;&gt;季度现金流!DJ184),1,0),0)</f>
        <v>0</v>
      </c>
      <c r="DL185" s="9">
        <f>IF(112&lt;=核心参数输入!$B$9*4,IF(AND(DL183&lt;&gt;0,季度现金流!DK184&lt;&gt;0,DL183&lt;&gt;季度现金流!DK184),1,0),0)</f>
        <v>0</v>
      </c>
      <c r="DM185" s="9">
        <f>IF(113&lt;=核心参数输入!$B$9*4,IF(AND(DM183&lt;&gt;0,季度现金流!DL184&lt;&gt;0,DM183&lt;&gt;季度现金流!DL184),1,0),0)</f>
        <v>0</v>
      </c>
      <c r="DN185" s="9">
        <f>IF(114&lt;=核心参数输入!$B$9*4,IF(AND(DN183&lt;&gt;0,季度现金流!DM184&lt;&gt;0,DN183&lt;&gt;季度现金流!DM184),1,0),0)</f>
        <v>0</v>
      </c>
      <c r="DO185" s="9">
        <f>IF(115&lt;=核心参数输入!$B$9*4,IF(AND(DO183&lt;&gt;0,季度现金流!DN184&lt;&gt;0,DO183&lt;&gt;季度现金流!DN184),1,0),0)</f>
        <v>0</v>
      </c>
      <c r="DP185" s="9">
        <f>IF(116&lt;=核心参数输入!$B$9*4,IF(AND(DP183&lt;&gt;0,季度现金流!DO184&lt;&gt;0,DP183&lt;&gt;季度现金流!DO184),1,0),0)</f>
        <v>0</v>
      </c>
      <c r="DQ185" s="9">
        <f>IF(117&lt;=核心参数输入!$B$9*4,IF(AND(DQ183&lt;&gt;0,季度现金流!DP184&lt;&gt;0,DQ183&lt;&gt;季度现金流!DP184),1,0),0)</f>
        <v>0</v>
      </c>
      <c r="DR185" s="9">
        <f>IF(118&lt;=核心参数输入!$B$9*4,IF(AND(DR183&lt;&gt;0,季度现金流!DQ184&lt;&gt;0,DR183&lt;&gt;季度现金流!DQ184),1,0),0)</f>
        <v>0</v>
      </c>
      <c r="DS185" s="9">
        <f>IF(119&lt;=核心参数输入!$B$9*4,IF(AND(DS183&lt;&gt;0,季度现金流!DR184&lt;&gt;0,DS183&lt;&gt;季度现金流!DR184),1,0),0)</f>
        <v>0</v>
      </c>
      <c r="DT185" s="9">
        <f>IF(120&lt;=核心参数输入!$B$9*4,IF(AND(DT183&lt;&gt;0,季度现金流!DS184&lt;&gt;0,DT183&lt;&gt;季度现金流!DS184),1,0),0)</f>
        <v>0</v>
      </c>
    </row>
    <row r="186" spans="1:124" ht="21" customHeight="1">
      <c r="A186" s="8" t="s">
        <v>567</v>
      </c>
      <c r="B186" s="8" t="s">
        <v>39</v>
      </c>
      <c r="C186" s="8"/>
      <c r="D186" s="9">
        <f>IF(0&lt;=核心参数输入!$B$9*4,0+D156-D122+D124,0)</f>
        <v>-8000</v>
      </c>
      <c r="E186" s="9">
        <f>IF(1&lt;=核心参数输入!$B$9*4,季度现金流!D186+E156-E122+E124,0)</f>
        <v>-12377.7125</v>
      </c>
      <c r="F186" s="9">
        <f>IF(2&lt;=核心参数输入!$B$9*4,季度现金流!E186+F156-F122+F124,0)</f>
        <v>-16779.05</v>
      </c>
      <c r="G186" s="9">
        <f>IF(3&lt;=核心参数输入!$B$9*4,季度现金流!F186+G156-G122+G124,0)</f>
        <v>-21204.012499999997</v>
      </c>
      <c r="H186" s="9">
        <f>IF(4&lt;=核心参数输入!$B$9*4,季度现金流!G186+H156-H122+H124,0)</f>
        <v>-25652.6</v>
      </c>
      <c r="I186" s="9">
        <f>IF(5&lt;=核心参数输入!$B$9*4,季度现金流!H186+I156-I122+I124,0)</f>
        <v>-31584.05</v>
      </c>
      <c r="J186" s="9">
        <f>IF(6&lt;=核心参数输入!$B$9*4,季度现金流!I186+J156-J122+J124,0)</f>
        <v>-37547</v>
      </c>
      <c r="K186" s="9">
        <f>IF(7&lt;=核心参数输入!$B$9*4,季度现金流!J186+K156-K122+K124,0)</f>
        <v>-43541.45</v>
      </c>
      <c r="L186" s="9">
        <f>IF(8&lt;=核心参数输入!$B$9*4,季度现金流!K186+L156-L122+L124,0)</f>
        <v>-49567.399999999994</v>
      </c>
      <c r="M186" s="9">
        <f>IF(9&lt;=核心参数输入!$B$9*4,季度现金流!L186+M156-M122+M124,0)</f>
        <v>-54165.612499999996</v>
      </c>
      <c r="N186" s="9">
        <f>IF(10&lt;=核心参数输入!$B$9*4,季度现金流!M186+N156-N122+N124,0)</f>
        <v>-58787.45</v>
      </c>
      <c r="O186" s="9">
        <f>IF(11&lt;=核心参数输入!$B$9*4,季度现金流!N186+O156-O122+O124,0)</f>
        <v>-63432.912499999999</v>
      </c>
      <c r="P186" s="9">
        <f>IF(12&lt;=核心参数输入!$B$9*4,季度现金流!O186+P156-P122+P124,0)</f>
        <v>-68102</v>
      </c>
      <c r="Q186" s="9">
        <f>IF(13&lt;=核心参数输入!$B$9*4,季度现金流!P186+Q156-Q122+Q124,0)</f>
        <v>-67098.657343750005</v>
      </c>
      <c r="R186" s="9">
        <f>IF(14&lt;=核心参数输入!$B$9*4,季度现金流!Q186+R156-R122+R124,0)</f>
        <v>-64600.032518515007</v>
      </c>
      <c r="S186" s="9">
        <f>IF(15&lt;=核心参数输入!$B$9*4,季度现金流!R186+S156-S122+S124,0)</f>
        <v>-62065.47460531001</v>
      </c>
      <c r="T186" s="9">
        <f>IF(16&lt;=核心参数输入!$B$9*4,季度现金流!S186+T156-T122+T124,0)</f>
        <v>-59472.483604135014</v>
      </c>
      <c r="U186" s="9">
        <f>IF(17&lt;=核心参数输入!$B$9*4,季度现金流!T186+U156-U122+U124,0)</f>
        <v>-56174.55880912159</v>
      </c>
      <c r="V186" s="9">
        <f>IF(18&lt;=核心参数输入!$B$9*4,季度现金流!U186+V156-V122+V124,0)</f>
        <v>-52523.508075891004</v>
      </c>
      <c r="W186" s="9">
        <f>IF(19&lt;=核心参数输入!$B$9*4,季度现金流!V186+W156-W122+W124,0)</f>
        <v>-48854.221300515645</v>
      </c>
      <c r="X186" s="9">
        <f>IF(20&lt;=核心参数输入!$B$9*4,季度现金流!W186+X156-X122+X124,0)</f>
        <v>-45144.198482995511</v>
      </c>
      <c r="Y186" s="9">
        <f>IF(21&lt;=核心参数输入!$B$9*4,季度现金流!X186+Y156-Y122+Y124,0)</f>
        <v>-42037.938124810622</v>
      </c>
      <c r="Z186" s="9">
        <f>IF(22&lt;=核心参数输入!$B$9*4,季度现金流!Y186+Z156-Z122+Z124,0)</f>
        <v>-39241.253756695907</v>
      </c>
      <c r="AA186" s="9">
        <f>IF(23&lt;=核心参数输入!$B$9*4,季度现金流!Z186+AA156-AA122+AA124,0)</f>
        <v>-36430.687201498484</v>
      </c>
      <c r="AB186" s="9">
        <f>IF(24&lt;=核心参数输入!$B$9*4,季度现金流!AA186+AB156-AB122+AB124,0)</f>
        <v>-33583.738459218352</v>
      </c>
      <c r="AC186" s="9">
        <f>IF(25&lt;=核心参数输入!$B$9*4,季度现金流!AB186+AC156-AC122+AC124,0)</f>
        <v>-32636.250246383814</v>
      </c>
      <c r="AD186" s="9">
        <f>IF(26&lt;=核心参数输入!$B$9*4,季度现金流!AC186+AD156-AD122+AD124,0)</f>
        <v>-32656.684045289978</v>
      </c>
      <c r="AE186" s="9">
        <f>IF(27&lt;=核心参数输入!$B$9*4,季度现金流!AD186+AE156-AE122+AE124,0)</f>
        <v>-32672.421037566492</v>
      </c>
      <c r="AF186" s="9">
        <f>IF(28&lt;=核心参数输入!$B$9*4,季度现金流!AE186+AF156-AF122+AF124,0)</f>
        <v>-32660.961223213355</v>
      </c>
      <c r="AG186" s="9">
        <f>IF(29&lt;=核心参数输入!$B$9*4,季度现金流!AF186+AG156-AG122+AG124,0)</f>
        <v>-32619.422705915826</v>
      </c>
      <c r="AH186" s="9">
        <f>IF(30&lt;=核心参数输入!$B$9*4,季度现金流!AG186+AH156-AH122+AH124,0)</f>
        <v>-32575.500559253749</v>
      </c>
      <c r="AI186" s="9">
        <f>IF(31&lt;=核心参数输入!$B$9*4,季度现金流!AH186+AI156-AI122+AI124,0)</f>
        <v>-32531.578412591673</v>
      </c>
      <c r="AJ186" s="9">
        <f>IF(32&lt;=核心参数输入!$B$9*4,季度现金流!AI186+AJ156-AJ122+AJ124,0)</f>
        <v>-32465.156265929592</v>
      </c>
      <c r="AK186" s="9">
        <f>IF(33&lt;=核心参数输入!$B$9*4,季度现金流!AJ186+AK156-AK122+AK124,0)</f>
        <v>-32373.281199127585</v>
      </c>
      <c r="AL186" s="9">
        <f>IF(34&lt;=核心参数输入!$B$9*4,季度现金流!AK186+AL156-AL122+AL124,0)</f>
        <v>-32281.406132325577</v>
      </c>
      <c r="AM186" s="9">
        <f>IF(35&lt;=核心参数输入!$B$9*4,季度现金流!AL186+AM156-AM122+AM124,0)</f>
        <v>-32189.53106552357</v>
      </c>
      <c r="AN186" s="9">
        <f>IF(36&lt;=核心参数输入!$B$9*4,季度现金流!AM186+AN156-AN122+AN124,0)</f>
        <v>-32075.155998721562</v>
      </c>
      <c r="AO186" s="9">
        <f>IF(37&lt;=核心参数输入!$B$9*4,季度现金流!AN186+AO156-AO122+AO124,0)</f>
        <v>-31935.291836218723</v>
      </c>
      <c r="AP186" s="9">
        <f>IF(38&lt;=核心参数输入!$B$9*4,季度现金流!AO186+AP156-AP122+AP124,0)</f>
        <v>-31795.427673715883</v>
      </c>
      <c r="AQ186" s="9">
        <f>IF(39&lt;=核心参数输入!$B$9*4,季度现金流!AP186+AQ156-AQ122+AQ124,0)</f>
        <v>-31655.563511213044</v>
      </c>
      <c r="AR186" s="9">
        <f>IF(40&lt;=核心参数输入!$B$9*4,季度现金流!AQ186+AR156-AR122+AR124,0)</f>
        <v>-31493.199348710208</v>
      </c>
      <c r="AS186" s="9">
        <f>IF(41&lt;=核心参数输入!$B$9*4,季度现金流!AR186+AS156-AS122+AS124,0)</f>
        <v>-31305.30953467705</v>
      </c>
      <c r="AT186" s="9">
        <f>IF(42&lt;=核心参数输入!$B$9*4,季度现金流!AS186+AT156-AT122+AT124,0)</f>
        <v>-31117.419720643891</v>
      </c>
      <c r="AU186" s="9">
        <f>IF(43&lt;=核心参数输入!$B$9*4,季度现金流!AT186+AU156-AU122+AU124,0)</f>
        <v>-30929.529906610733</v>
      </c>
      <c r="AV186" s="9">
        <f>IF(44&lt;=核心参数输入!$B$9*4,季度现金流!AU186+AV156-AV122+AV124,0)</f>
        <v>-30741.640092577574</v>
      </c>
      <c r="AW186" s="9">
        <f>IF(45&lt;=核心参数输入!$B$9*4,季度现金流!AV186+AW156-AW122+AW124,0)</f>
        <v>-30550.687688459289</v>
      </c>
      <c r="AX186" s="9">
        <f>IF(46&lt;=核心参数输入!$B$9*4,季度现金流!AW186+AX156-AX122+AX124,0)</f>
        <v>-30359.735284341004</v>
      </c>
      <c r="AY186" s="9">
        <f>IF(47&lt;=核心参数输入!$B$9*4,季度现金流!AX186+AY156-AY122+AY124,0)</f>
        <v>-30168.78288022272</v>
      </c>
      <c r="AZ186" s="9">
        <f>IF(48&lt;=核心参数输入!$B$9*4,季度现金流!AY186+AZ156-AZ122+AZ124,0)</f>
        <v>-29977.830476104435</v>
      </c>
      <c r="BA186" s="9">
        <f>IF(49&lt;=核心参数输入!$B$9*4,季度现金流!AZ186+BA156-BA122+BA124,0)</f>
        <v>-29783.77815819225</v>
      </c>
      <c r="BB186" s="9">
        <f>IF(50&lt;=核心参数输入!$B$9*4,季度现金流!BA186+BB156-BB122+BB124,0)</f>
        <v>-29589.725840280065</v>
      </c>
      <c r="BC186" s="9">
        <f>IF(51&lt;=核心参数输入!$B$9*4,季度现金流!BB186+BC156-BC122+BC124,0)</f>
        <v>-29395.673522367881</v>
      </c>
      <c r="BD186" s="9">
        <f>IF(52&lt;=核心参数输入!$B$9*4,季度现金流!BC186+BD156-BD122+BD124,0)</f>
        <v>-29201.621204455696</v>
      </c>
      <c r="BE186" s="9">
        <f>IF(53&lt;=核心参数输入!$B$9*4,季度现金流!BD186+BE156-BE122+BE124,0)</f>
        <v>-29004.431261488062</v>
      </c>
      <c r="BF186" s="9">
        <f>IF(54&lt;=核心参数输入!$B$9*4,季度现金流!BE186+BF156-BF122+BF124,0)</f>
        <v>-28807.241318520428</v>
      </c>
      <c r="BG186" s="9">
        <f>IF(55&lt;=核心参数输入!$B$9*4,季度现金流!BF186+BG156-BG122+BG124,0)</f>
        <v>-28610.051375552794</v>
      </c>
      <c r="BH186" s="9">
        <f>IF(56&lt;=核心参数输入!$B$9*4,季度现金流!BG186+BH156-BH122+BH124,0)</f>
        <v>-28412.861432585159</v>
      </c>
      <c r="BI186" s="9">
        <f>IF(57&lt;=核心参数输入!$B$9*4,季度现金流!BH186+BI156-BI122+BI124,0)</f>
        <v>-28212.49576338051</v>
      </c>
      <c r="BJ186" s="9">
        <f>IF(58&lt;=核心参数输入!$B$9*4,季度现金流!BI186+BJ156-BJ122+BJ124,0)</f>
        <v>-28012.13009417586</v>
      </c>
      <c r="BK186" s="9">
        <f>IF(59&lt;=核心参数输入!$B$9*4,季度现金流!BJ186+BK156-BK122+BK124,0)</f>
        <v>-27811.76442497121</v>
      </c>
      <c r="BL186" s="9">
        <f>IF(60&lt;=核心参数输入!$B$9*4,季度现金流!BK186+BL156-BL122+BL124,0)</f>
        <v>-27611.39875576656</v>
      </c>
      <c r="BM186" s="9">
        <f>IF(61&lt;=核心参数输入!$B$9*4,季度现金流!BL186+BM156-BM122+BM124,0)</f>
        <v>-27407.818866889487</v>
      </c>
      <c r="BN186" s="9">
        <f>IF(62&lt;=核心参数输入!$B$9*4,季度现金流!BM186+BN156-BN122+BN124,0)</f>
        <v>-27204.238978012414</v>
      </c>
      <c r="BO186" s="9">
        <f>IF(63&lt;=核心参数输入!$B$9*4,季度现金流!BN186+BO156-BO122+BO124,0)</f>
        <v>-27000.659089135341</v>
      </c>
      <c r="BP186" s="9">
        <f>IF(64&lt;=核心参数输入!$B$9*4,季度现金流!BO186+BP156-BP122+BP124,0)</f>
        <v>-26797.079200258268</v>
      </c>
      <c r="BQ186" s="9">
        <f>IF(65&lt;=核心参数输入!$B$9*4,季度现金流!BP186+BQ156-BQ122+BQ124,0)</f>
        <v>-26590.246203721003</v>
      </c>
      <c r="BR186" s="9">
        <f>IF(66&lt;=核心参数输入!$B$9*4,季度现金流!BQ186+BR156-BR122+BR124,0)</f>
        <v>-26383.413207183738</v>
      </c>
      <c r="BS186" s="9">
        <f>IF(67&lt;=核心参数输入!$B$9*4,季度现金流!BR186+BS156-BS122+BS124,0)</f>
        <v>-26176.580210646473</v>
      </c>
      <c r="BT186" s="9">
        <f>IF(68&lt;=核心参数输入!$B$9*4,季度现金流!BS186+BT156-BT122+BT124,0)</f>
        <v>-25969.747214109208</v>
      </c>
      <c r="BU186" s="9">
        <f>IF(69&lt;=核心参数输入!$B$9*4,季度现金流!BT186+BU156-BU122+BU124,0)</f>
        <v>-25759.621825110302</v>
      </c>
      <c r="BV186" s="9">
        <f>IF(70&lt;=核心参数输入!$B$9*4,季度现金流!BU186+BV156-BV122+BV124,0)</f>
        <v>-25549.496436111396</v>
      </c>
      <c r="BW186" s="9">
        <f>IF(71&lt;=核心参数输入!$B$9*4,季度现金流!BV186+BW156-BW122+BW124,0)</f>
        <v>-25339.37104711249</v>
      </c>
      <c r="BX186" s="9">
        <f>IF(72&lt;=核心参数输入!$B$9*4,季度现金流!BW186+BX156-BX122+BX124,0)</f>
        <v>-25129.245658113585</v>
      </c>
      <c r="BY186" s="9">
        <f>IF(73&lt;=核心参数输入!$B$9*4,季度现金流!BX186+BY156-BY122+BY124,0)</f>
        <v>-24915.788192815846</v>
      </c>
      <c r="BZ186" s="9">
        <f>IF(74&lt;=核心参数输入!$B$9*4,季度现金流!BY186+BZ156-BZ122+BZ124,0)</f>
        <v>-24702.330727518107</v>
      </c>
      <c r="CA186" s="9">
        <f>IF(75&lt;=核心参数输入!$B$9*4,季度现金流!BZ186+CA156-CA122+CA124,0)</f>
        <v>-24488.873262220368</v>
      </c>
      <c r="CB186" s="9">
        <f>IF(76&lt;=核心参数输入!$B$9*4,季度现金流!CA186+CB156-CB122+CB124,0)</f>
        <v>-24275.415796922629</v>
      </c>
      <c r="CC186" s="9">
        <f>IF(77&lt;=核心参数输入!$B$9*4,季度现金流!CB186+CC156-CC122+CC124,0)</f>
        <v>-24058.586170272294</v>
      </c>
      <c r="CD186" s="9">
        <f>IF(78&lt;=核心参数输入!$B$9*4,季度现金流!CC186+CD156-CD122+CD124,0)</f>
        <v>-23841.756543621959</v>
      </c>
      <c r="CE186" s="9">
        <f>IF(79&lt;=核心参数输入!$B$9*4,季度现金流!CD186+CE156-CE122+CE124,0)</f>
        <v>-23624.926916971624</v>
      </c>
      <c r="CF186" s="9">
        <f>IF(80&lt;=核心参数输入!$B$9*4,季度现金流!CE186+CF156-CF122+CF124,0)</f>
        <v>-23408.09729032129</v>
      </c>
      <c r="CG186" s="9">
        <f>IF(81&lt;=核心参数输入!$B$9*4,季度现金流!CF186+CG156-CG122+CG124,0)</f>
        <v>0</v>
      </c>
      <c r="CH186" s="9">
        <f>IF(82&lt;=核心参数输入!$B$9*4,季度现金流!CG186+CH156-CH122+CH124,0)</f>
        <v>0</v>
      </c>
      <c r="CI186" s="9">
        <f>IF(83&lt;=核心参数输入!$B$9*4,季度现金流!CH186+CI156-CI122+CI124,0)</f>
        <v>0</v>
      </c>
      <c r="CJ186" s="9">
        <f>IF(84&lt;=核心参数输入!$B$9*4,季度现金流!CI186+CJ156-CJ122+CJ124,0)</f>
        <v>0</v>
      </c>
      <c r="CK186" s="9">
        <f>IF(85&lt;=核心参数输入!$B$9*4,季度现金流!CJ186+CK156-CK122+CK124,0)</f>
        <v>0</v>
      </c>
      <c r="CL186" s="9">
        <f>IF(86&lt;=核心参数输入!$B$9*4,季度现金流!CK186+CL156-CL122+CL124,0)</f>
        <v>0</v>
      </c>
      <c r="CM186" s="9">
        <f>IF(87&lt;=核心参数输入!$B$9*4,季度现金流!CL186+CM156-CM122+CM124,0)</f>
        <v>0</v>
      </c>
      <c r="CN186" s="9">
        <f>IF(88&lt;=核心参数输入!$B$9*4,季度现金流!CM186+CN156-CN122+CN124,0)</f>
        <v>0</v>
      </c>
      <c r="CO186" s="9">
        <f>IF(89&lt;=核心参数输入!$B$9*4,季度现金流!CN186+CO156-CO122+CO124,0)</f>
        <v>0</v>
      </c>
      <c r="CP186" s="9">
        <f>IF(90&lt;=核心参数输入!$B$9*4,季度现金流!CO186+CP156-CP122+CP124,0)</f>
        <v>0</v>
      </c>
      <c r="CQ186" s="9">
        <f>IF(91&lt;=核心参数输入!$B$9*4,季度现金流!CP186+CQ156-CQ122+CQ124,0)</f>
        <v>0</v>
      </c>
      <c r="CR186" s="9">
        <f>IF(92&lt;=核心参数输入!$B$9*4,季度现金流!CQ186+CR156-CR122+CR124,0)</f>
        <v>0</v>
      </c>
      <c r="CS186" s="9">
        <f>IF(93&lt;=核心参数输入!$B$9*4,季度现金流!CR186+CS156-CS122+CS124,0)</f>
        <v>0</v>
      </c>
      <c r="CT186" s="9">
        <f>IF(94&lt;=核心参数输入!$B$9*4,季度现金流!CS186+CT156-CT122+CT124,0)</f>
        <v>0</v>
      </c>
      <c r="CU186" s="9">
        <f>IF(95&lt;=核心参数输入!$B$9*4,季度现金流!CT186+CU156-CU122+CU124,0)</f>
        <v>0</v>
      </c>
      <c r="CV186" s="9">
        <f>IF(96&lt;=核心参数输入!$B$9*4,季度现金流!CU186+CV156-CV122+CV124,0)</f>
        <v>0</v>
      </c>
      <c r="CW186" s="9">
        <f>IF(97&lt;=核心参数输入!$B$9*4,季度现金流!CV186+CW156-CW122+CW124,0)</f>
        <v>0</v>
      </c>
      <c r="CX186" s="9">
        <f>IF(98&lt;=核心参数输入!$B$9*4,季度现金流!CW186+CX156-CX122+CX124,0)</f>
        <v>0</v>
      </c>
      <c r="CY186" s="9">
        <f>IF(99&lt;=核心参数输入!$B$9*4,季度现金流!CX186+CY156-CY122+CY124,0)</f>
        <v>0</v>
      </c>
      <c r="CZ186" s="9">
        <f>IF(100&lt;=核心参数输入!$B$9*4,季度现金流!CY186+CZ156-CZ122+CZ124,0)</f>
        <v>0</v>
      </c>
      <c r="DA186" s="9">
        <f>IF(101&lt;=核心参数输入!$B$9*4,季度现金流!CZ186+DA156-DA122+DA124,0)</f>
        <v>0</v>
      </c>
      <c r="DB186" s="9">
        <f>IF(102&lt;=核心参数输入!$B$9*4,季度现金流!DA186+DB156-DB122+DB124,0)</f>
        <v>0</v>
      </c>
      <c r="DC186" s="9">
        <f>IF(103&lt;=核心参数输入!$B$9*4,季度现金流!DB186+DC156-DC122+DC124,0)</f>
        <v>0</v>
      </c>
      <c r="DD186" s="9">
        <f>IF(104&lt;=核心参数输入!$B$9*4,季度现金流!DC186+DD156-DD122+DD124,0)</f>
        <v>0</v>
      </c>
      <c r="DE186" s="9">
        <f>IF(105&lt;=核心参数输入!$B$9*4,季度现金流!DD186+DE156-DE122+DE124,0)</f>
        <v>0</v>
      </c>
      <c r="DF186" s="9">
        <f>IF(106&lt;=核心参数输入!$B$9*4,季度现金流!DE186+DF156-DF122+DF124,0)</f>
        <v>0</v>
      </c>
      <c r="DG186" s="9">
        <f>IF(107&lt;=核心参数输入!$B$9*4,季度现金流!DF186+DG156-DG122+DG124,0)</f>
        <v>0</v>
      </c>
      <c r="DH186" s="9">
        <f>IF(108&lt;=核心参数输入!$B$9*4,季度现金流!DG186+DH156-DH122+DH124,0)</f>
        <v>0</v>
      </c>
      <c r="DI186" s="9">
        <f>IF(109&lt;=核心参数输入!$B$9*4,季度现金流!DH186+DI156-DI122+DI124,0)</f>
        <v>0</v>
      </c>
      <c r="DJ186" s="9">
        <f>IF(110&lt;=核心参数输入!$B$9*4,季度现金流!DI186+DJ156-DJ122+DJ124,0)</f>
        <v>0</v>
      </c>
      <c r="DK186" s="9">
        <f>IF(111&lt;=核心参数输入!$B$9*4,季度现金流!DJ186+DK156-DK122+DK124,0)</f>
        <v>0</v>
      </c>
      <c r="DL186" s="9">
        <f>IF(112&lt;=核心参数输入!$B$9*4,季度现金流!DK186+DL156-DL122+DL124,0)</f>
        <v>0</v>
      </c>
      <c r="DM186" s="9">
        <f>IF(113&lt;=核心参数输入!$B$9*4,季度现金流!DL186+DM156-DM122+DM124,0)</f>
        <v>0</v>
      </c>
      <c r="DN186" s="9">
        <f>IF(114&lt;=核心参数输入!$B$9*4,季度现金流!DM186+DN156-DN122+DN124,0)</f>
        <v>0</v>
      </c>
      <c r="DO186" s="9">
        <f>IF(115&lt;=核心参数输入!$B$9*4,季度现金流!DN186+DO156-DO122+DO124,0)</f>
        <v>0</v>
      </c>
      <c r="DP186" s="9">
        <f>IF(116&lt;=核心参数输入!$B$9*4,季度现金流!DO186+DP156-DP122+DP124,0)</f>
        <v>0</v>
      </c>
      <c r="DQ186" s="9">
        <f>IF(117&lt;=核心参数输入!$B$9*4,季度现金流!DP186+DQ156-DQ122+DQ124,0)</f>
        <v>0</v>
      </c>
      <c r="DR186" s="9">
        <f>IF(118&lt;=核心参数输入!$B$9*4,季度现金流!DQ186+DR156-DR122+DR124,0)</f>
        <v>0</v>
      </c>
      <c r="DS186" s="9">
        <f>IF(119&lt;=核心参数输入!$B$9*4,季度现金流!DR186+DS156-DS122+DS124,0)</f>
        <v>0</v>
      </c>
      <c r="DT186" s="9">
        <f>IF(120&lt;=核心参数输入!$B$9*4,季度现金流!DS186+DT156-DT122+DT124,0)</f>
        <v>0</v>
      </c>
    </row>
    <row r="187" spans="1:124" ht="21" customHeight="1">
      <c r="A187" s="8" t="s">
        <v>568</v>
      </c>
      <c r="B187" s="8" t="s">
        <v>39</v>
      </c>
      <c r="C187" s="8"/>
      <c r="D187" s="9">
        <f>IF(0&lt;=核心参数输入!$B$9*4,MAX(0,-D186),0)</f>
        <v>8000</v>
      </c>
      <c r="E187" s="9">
        <f>IF(1&lt;=核心参数输入!$B$9*4,MAX(0,-E186),0)</f>
        <v>12377.7125</v>
      </c>
      <c r="F187" s="9">
        <f>IF(2&lt;=核心参数输入!$B$9*4,MAX(0,-F186),0)</f>
        <v>16779.05</v>
      </c>
      <c r="G187" s="9">
        <f>IF(3&lt;=核心参数输入!$B$9*4,MAX(0,-G186),0)</f>
        <v>21204.012499999997</v>
      </c>
      <c r="H187" s="9">
        <f>IF(4&lt;=核心参数输入!$B$9*4,MAX(0,-H186),0)</f>
        <v>25652.6</v>
      </c>
      <c r="I187" s="9">
        <f>IF(5&lt;=核心参数输入!$B$9*4,MAX(0,-I186),0)</f>
        <v>31584.05</v>
      </c>
      <c r="J187" s="9">
        <f>IF(6&lt;=核心参数输入!$B$9*4,MAX(0,-J186),0)</f>
        <v>37547</v>
      </c>
      <c r="K187" s="9">
        <f>IF(7&lt;=核心参数输入!$B$9*4,MAX(0,-K186),0)</f>
        <v>43541.45</v>
      </c>
      <c r="L187" s="9">
        <f>IF(8&lt;=核心参数输入!$B$9*4,MAX(0,-L186),0)</f>
        <v>49567.399999999994</v>
      </c>
      <c r="M187" s="9">
        <f>IF(9&lt;=核心参数输入!$B$9*4,MAX(0,-M186),0)</f>
        <v>54165.612499999996</v>
      </c>
      <c r="N187" s="9">
        <f>IF(10&lt;=核心参数输入!$B$9*4,MAX(0,-N186),0)</f>
        <v>58787.45</v>
      </c>
      <c r="O187" s="9">
        <f>IF(11&lt;=核心参数输入!$B$9*4,MAX(0,-O186),0)</f>
        <v>63432.912499999999</v>
      </c>
      <c r="P187" s="9">
        <f>IF(12&lt;=核心参数输入!$B$9*4,MAX(0,-P186),0)</f>
        <v>68102</v>
      </c>
      <c r="Q187" s="9">
        <f>IF(13&lt;=核心参数输入!$B$9*4,MAX(0,-Q186),0)</f>
        <v>67098.657343750005</v>
      </c>
      <c r="R187" s="9">
        <f>IF(14&lt;=核心参数输入!$B$9*4,MAX(0,-R186),0)</f>
        <v>64600.032518515007</v>
      </c>
      <c r="S187" s="9">
        <f>IF(15&lt;=核心参数输入!$B$9*4,MAX(0,-S186),0)</f>
        <v>62065.47460531001</v>
      </c>
      <c r="T187" s="9">
        <f>IF(16&lt;=核心参数输入!$B$9*4,MAX(0,-T186),0)</f>
        <v>59472.483604135014</v>
      </c>
      <c r="U187" s="9">
        <f>IF(17&lt;=核心参数输入!$B$9*4,MAX(0,-U186),0)</f>
        <v>56174.55880912159</v>
      </c>
      <c r="V187" s="9">
        <f>IF(18&lt;=核心参数输入!$B$9*4,MAX(0,-V186),0)</f>
        <v>52523.508075891004</v>
      </c>
      <c r="W187" s="9">
        <f>IF(19&lt;=核心参数输入!$B$9*4,MAX(0,-W186),0)</f>
        <v>48854.221300515645</v>
      </c>
      <c r="X187" s="9">
        <f>IF(20&lt;=核心参数输入!$B$9*4,MAX(0,-X186),0)</f>
        <v>45144.198482995511</v>
      </c>
      <c r="Y187" s="9">
        <f>IF(21&lt;=核心参数输入!$B$9*4,MAX(0,-Y186),0)</f>
        <v>42037.938124810622</v>
      </c>
      <c r="Z187" s="9">
        <f>IF(22&lt;=核心参数输入!$B$9*4,MAX(0,-Z186),0)</f>
        <v>39241.253756695907</v>
      </c>
      <c r="AA187" s="9">
        <f>IF(23&lt;=核心参数输入!$B$9*4,MAX(0,-AA186),0)</f>
        <v>36430.687201498484</v>
      </c>
      <c r="AB187" s="9">
        <f>IF(24&lt;=核心参数输入!$B$9*4,MAX(0,-AB186),0)</f>
        <v>33583.738459218352</v>
      </c>
      <c r="AC187" s="9">
        <f>IF(25&lt;=核心参数输入!$B$9*4,MAX(0,-AC186),0)</f>
        <v>32636.250246383814</v>
      </c>
      <c r="AD187" s="9">
        <f>IF(26&lt;=核心参数输入!$B$9*4,MAX(0,-AD186),0)</f>
        <v>32656.684045289978</v>
      </c>
      <c r="AE187" s="9">
        <f>IF(27&lt;=核心参数输入!$B$9*4,MAX(0,-AE186),0)</f>
        <v>32672.421037566492</v>
      </c>
      <c r="AF187" s="9">
        <f>IF(28&lt;=核心参数输入!$B$9*4,MAX(0,-AF186),0)</f>
        <v>32660.961223213355</v>
      </c>
      <c r="AG187" s="9">
        <f>IF(29&lt;=核心参数输入!$B$9*4,MAX(0,-AG186),0)</f>
        <v>32619.422705915826</v>
      </c>
      <c r="AH187" s="9">
        <f>IF(30&lt;=核心参数输入!$B$9*4,MAX(0,-AH186),0)</f>
        <v>32575.500559253749</v>
      </c>
      <c r="AI187" s="9">
        <f>IF(31&lt;=核心参数输入!$B$9*4,MAX(0,-AI186),0)</f>
        <v>32531.578412591673</v>
      </c>
      <c r="AJ187" s="9">
        <f>IF(32&lt;=核心参数输入!$B$9*4,MAX(0,-AJ186),0)</f>
        <v>32465.156265929592</v>
      </c>
      <c r="AK187" s="9">
        <f>IF(33&lt;=核心参数输入!$B$9*4,MAX(0,-AK186),0)</f>
        <v>32373.281199127585</v>
      </c>
      <c r="AL187" s="9">
        <f>IF(34&lt;=核心参数输入!$B$9*4,MAX(0,-AL186),0)</f>
        <v>32281.406132325577</v>
      </c>
      <c r="AM187" s="9">
        <f>IF(35&lt;=核心参数输入!$B$9*4,MAX(0,-AM186),0)</f>
        <v>32189.53106552357</v>
      </c>
      <c r="AN187" s="9">
        <f>IF(36&lt;=核心参数输入!$B$9*4,MAX(0,-AN186),0)</f>
        <v>32075.155998721562</v>
      </c>
      <c r="AO187" s="9">
        <f>IF(37&lt;=核心参数输入!$B$9*4,MAX(0,-AO186),0)</f>
        <v>31935.291836218723</v>
      </c>
      <c r="AP187" s="9">
        <f>IF(38&lt;=核心参数输入!$B$9*4,MAX(0,-AP186),0)</f>
        <v>31795.427673715883</v>
      </c>
      <c r="AQ187" s="9">
        <f>IF(39&lt;=核心参数输入!$B$9*4,MAX(0,-AQ186),0)</f>
        <v>31655.563511213044</v>
      </c>
      <c r="AR187" s="9">
        <f>IF(40&lt;=核心参数输入!$B$9*4,MAX(0,-AR186),0)</f>
        <v>31493.199348710208</v>
      </c>
      <c r="AS187" s="9">
        <f>IF(41&lt;=核心参数输入!$B$9*4,MAX(0,-AS186),0)</f>
        <v>31305.30953467705</v>
      </c>
      <c r="AT187" s="9">
        <f>IF(42&lt;=核心参数输入!$B$9*4,MAX(0,-AT186),0)</f>
        <v>31117.419720643891</v>
      </c>
      <c r="AU187" s="9">
        <f>IF(43&lt;=核心参数输入!$B$9*4,MAX(0,-AU186),0)</f>
        <v>30929.529906610733</v>
      </c>
      <c r="AV187" s="9">
        <f>IF(44&lt;=核心参数输入!$B$9*4,MAX(0,-AV186),0)</f>
        <v>30741.640092577574</v>
      </c>
      <c r="AW187" s="9">
        <f>IF(45&lt;=核心参数输入!$B$9*4,MAX(0,-AW186),0)</f>
        <v>30550.687688459289</v>
      </c>
      <c r="AX187" s="9">
        <f>IF(46&lt;=核心参数输入!$B$9*4,MAX(0,-AX186),0)</f>
        <v>30359.735284341004</v>
      </c>
      <c r="AY187" s="9">
        <f>IF(47&lt;=核心参数输入!$B$9*4,MAX(0,-AY186),0)</f>
        <v>30168.78288022272</v>
      </c>
      <c r="AZ187" s="9">
        <f>IF(48&lt;=核心参数输入!$B$9*4,MAX(0,-AZ186),0)</f>
        <v>29977.830476104435</v>
      </c>
      <c r="BA187" s="9">
        <f>IF(49&lt;=核心参数输入!$B$9*4,MAX(0,-BA186),0)</f>
        <v>29783.77815819225</v>
      </c>
      <c r="BB187" s="9">
        <f>IF(50&lt;=核心参数输入!$B$9*4,MAX(0,-BB186),0)</f>
        <v>29589.725840280065</v>
      </c>
      <c r="BC187" s="9">
        <f>IF(51&lt;=核心参数输入!$B$9*4,MAX(0,-BC186),0)</f>
        <v>29395.673522367881</v>
      </c>
      <c r="BD187" s="9">
        <f>IF(52&lt;=核心参数输入!$B$9*4,MAX(0,-BD186),0)</f>
        <v>29201.621204455696</v>
      </c>
      <c r="BE187" s="9">
        <f>IF(53&lt;=核心参数输入!$B$9*4,MAX(0,-BE186),0)</f>
        <v>29004.431261488062</v>
      </c>
      <c r="BF187" s="9">
        <f>IF(54&lt;=核心参数输入!$B$9*4,MAX(0,-BF186),0)</f>
        <v>28807.241318520428</v>
      </c>
      <c r="BG187" s="9">
        <f>IF(55&lt;=核心参数输入!$B$9*4,MAX(0,-BG186),0)</f>
        <v>28610.051375552794</v>
      </c>
      <c r="BH187" s="9">
        <f>IF(56&lt;=核心参数输入!$B$9*4,MAX(0,-BH186),0)</f>
        <v>28412.861432585159</v>
      </c>
      <c r="BI187" s="9">
        <f>IF(57&lt;=核心参数输入!$B$9*4,MAX(0,-BI186),0)</f>
        <v>28212.49576338051</v>
      </c>
      <c r="BJ187" s="9">
        <f>IF(58&lt;=核心参数输入!$B$9*4,MAX(0,-BJ186),0)</f>
        <v>28012.13009417586</v>
      </c>
      <c r="BK187" s="9">
        <f>IF(59&lt;=核心参数输入!$B$9*4,MAX(0,-BK186),0)</f>
        <v>27811.76442497121</v>
      </c>
      <c r="BL187" s="9">
        <f>IF(60&lt;=核心参数输入!$B$9*4,MAX(0,-BL186),0)</f>
        <v>27611.39875576656</v>
      </c>
      <c r="BM187" s="9">
        <f>IF(61&lt;=核心参数输入!$B$9*4,MAX(0,-BM186),0)</f>
        <v>27407.818866889487</v>
      </c>
      <c r="BN187" s="9">
        <f>IF(62&lt;=核心参数输入!$B$9*4,MAX(0,-BN186),0)</f>
        <v>27204.238978012414</v>
      </c>
      <c r="BO187" s="9">
        <f>IF(63&lt;=核心参数输入!$B$9*4,MAX(0,-BO186),0)</f>
        <v>27000.659089135341</v>
      </c>
      <c r="BP187" s="9">
        <f>IF(64&lt;=核心参数输入!$B$9*4,MAX(0,-BP186),0)</f>
        <v>26797.079200258268</v>
      </c>
      <c r="BQ187" s="9">
        <f>IF(65&lt;=核心参数输入!$B$9*4,MAX(0,-BQ186),0)</f>
        <v>26590.246203721003</v>
      </c>
      <c r="BR187" s="9">
        <f>IF(66&lt;=核心参数输入!$B$9*4,MAX(0,-BR186),0)</f>
        <v>26383.413207183738</v>
      </c>
      <c r="BS187" s="9">
        <f>IF(67&lt;=核心参数输入!$B$9*4,MAX(0,-BS186),0)</f>
        <v>26176.580210646473</v>
      </c>
      <c r="BT187" s="9">
        <f>IF(68&lt;=核心参数输入!$B$9*4,MAX(0,-BT186),0)</f>
        <v>25969.747214109208</v>
      </c>
      <c r="BU187" s="9">
        <f>IF(69&lt;=核心参数输入!$B$9*4,MAX(0,-BU186),0)</f>
        <v>25759.621825110302</v>
      </c>
      <c r="BV187" s="9">
        <f>IF(70&lt;=核心参数输入!$B$9*4,MAX(0,-BV186),0)</f>
        <v>25549.496436111396</v>
      </c>
      <c r="BW187" s="9">
        <f>IF(71&lt;=核心参数输入!$B$9*4,MAX(0,-BW186),0)</f>
        <v>25339.37104711249</v>
      </c>
      <c r="BX187" s="9">
        <f>IF(72&lt;=核心参数输入!$B$9*4,MAX(0,-BX186),0)</f>
        <v>25129.245658113585</v>
      </c>
      <c r="BY187" s="9">
        <f>IF(73&lt;=核心参数输入!$B$9*4,MAX(0,-BY186),0)</f>
        <v>24915.788192815846</v>
      </c>
      <c r="BZ187" s="9">
        <f>IF(74&lt;=核心参数输入!$B$9*4,MAX(0,-BZ186),0)</f>
        <v>24702.330727518107</v>
      </c>
      <c r="CA187" s="9">
        <f>IF(75&lt;=核心参数输入!$B$9*4,MAX(0,-CA186),0)</f>
        <v>24488.873262220368</v>
      </c>
      <c r="CB187" s="9">
        <f>IF(76&lt;=核心参数输入!$B$9*4,MAX(0,-CB186),0)</f>
        <v>24275.415796922629</v>
      </c>
      <c r="CC187" s="9">
        <f>IF(77&lt;=核心参数输入!$B$9*4,MAX(0,-CC186),0)</f>
        <v>24058.586170272294</v>
      </c>
      <c r="CD187" s="9">
        <f>IF(78&lt;=核心参数输入!$B$9*4,MAX(0,-CD186),0)</f>
        <v>23841.756543621959</v>
      </c>
      <c r="CE187" s="9">
        <f>IF(79&lt;=核心参数输入!$B$9*4,MAX(0,-CE186),0)</f>
        <v>23624.926916971624</v>
      </c>
      <c r="CF187" s="9">
        <f>IF(80&lt;=核心参数输入!$B$9*4,MAX(0,-CF186),0)</f>
        <v>23408.09729032129</v>
      </c>
      <c r="CG187" s="9">
        <f>IF(81&lt;=核心参数输入!$B$9*4,MAX(0,-CG186),0)</f>
        <v>0</v>
      </c>
      <c r="CH187" s="9">
        <f>IF(82&lt;=核心参数输入!$B$9*4,MAX(0,-CH186),0)</f>
        <v>0</v>
      </c>
      <c r="CI187" s="9">
        <f>IF(83&lt;=核心参数输入!$B$9*4,MAX(0,-CI186),0)</f>
        <v>0</v>
      </c>
      <c r="CJ187" s="9">
        <f>IF(84&lt;=核心参数输入!$B$9*4,MAX(0,-CJ186),0)</f>
        <v>0</v>
      </c>
      <c r="CK187" s="9">
        <f>IF(85&lt;=核心参数输入!$B$9*4,MAX(0,-CK186),0)</f>
        <v>0</v>
      </c>
      <c r="CL187" s="9">
        <f>IF(86&lt;=核心参数输入!$B$9*4,MAX(0,-CL186),0)</f>
        <v>0</v>
      </c>
      <c r="CM187" s="9">
        <f>IF(87&lt;=核心参数输入!$B$9*4,MAX(0,-CM186),0)</f>
        <v>0</v>
      </c>
      <c r="CN187" s="9">
        <f>IF(88&lt;=核心参数输入!$B$9*4,MAX(0,-CN186),0)</f>
        <v>0</v>
      </c>
      <c r="CO187" s="9">
        <f>IF(89&lt;=核心参数输入!$B$9*4,MAX(0,-CO186),0)</f>
        <v>0</v>
      </c>
      <c r="CP187" s="9">
        <f>IF(90&lt;=核心参数输入!$B$9*4,MAX(0,-CP186),0)</f>
        <v>0</v>
      </c>
      <c r="CQ187" s="9">
        <f>IF(91&lt;=核心参数输入!$B$9*4,MAX(0,-CQ186),0)</f>
        <v>0</v>
      </c>
      <c r="CR187" s="9">
        <f>IF(92&lt;=核心参数输入!$B$9*4,MAX(0,-CR186),0)</f>
        <v>0</v>
      </c>
      <c r="CS187" s="9">
        <f>IF(93&lt;=核心参数输入!$B$9*4,MAX(0,-CS186),0)</f>
        <v>0</v>
      </c>
      <c r="CT187" s="9">
        <f>IF(94&lt;=核心参数输入!$B$9*4,MAX(0,-CT186),0)</f>
        <v>0</v>
      </c>
      <c r="CU187" s="9">
        <f>IF(95&lt;=核心参数输入!$B$9*4,MAX(0,-CU186),0)</f>
        <v>0</v>
      </c>
      <c r="CV187" s="9">
        <f>IF(96&lt;=核心参数输入!$B$9*4,MAX(0,-CV186),0)</f>
        <v>0</v>
      </c>
      <c r="CW187" s="9">
        <f>IF(97&lt;=核心参数输入!$B$9*4,MAX(0,-CW186),0)</f>
        <v>0</v>
      </c>
      <c r="CX187" s="9">
        <f>IF(98&lt;=核心参数输入!$B$9*4,MAX(0,-CX186),0)</f>
        <v>0</v>
      </c>
      <c r="CY187" s="9">
        <f>IF(99&lt;=核心参数输入!$B$9*4,MAX(0,-CY186),0)</f>
        <v>0</v>
      </c>
      <c r="CZ187" s="9">
        <f>IF(100&lt;=核心参数输入!$B$9*4,MAX(0,-CZ186),0)</f>
        <v>0</v>
      </c>
      <c r="DA187" s="9">
        <f>IF(101&lt;=核心参数输入!$B$9*4,MAX(0,-DA186),0)</f>
        <v>0</v>
      </c>
      <c r="DB187" s="9">
        <f>IF(102&lt;=核心参数输入!$B$9*4,MAX(0,-DB186),0)</f>
        <v>0</v>
      </c>
      <c r="DC187" s="9">
        <f>IF(103&lt;=核心参数输入!$B$9*4,MAX(0,-DC186),0)</f>
        <v>0</v>
      </c>
      <c r="DD187" s="9">
        <f>IF(104&lt;=核心参数输入!$B$9*4,MAX(0,-DD186),0)</f>
        <v>0</v>
      </c>
      <c r="DE187" s="9">
        <f>IF(105&lt;=核心参数输入!$B$9*4,MAX(0,-DE186),0)</f>
        <v>0</v>
      </c>
      <c r="DF187" s="9">
        <f>IF(106&lt;=核心参数输入!$B$9*4,MAX(0,-DF186),0)</f>
        <v>0</v>
      </c>
      <c r="DG187" s="9">
        <f>IF(107&lt;=核心参数输入!$B$9*4,MAX(0,-DG186),0)</f>
        <v>0</v>
      </c>
      <c r="DH187" s="9">
        <f>IF(108&lt;=核心参数输入!$B$9*4,MAX(0,-DH186),0)</f>
        <v>0</v>
      </c>
      <c r="DI187" s="9">
        <f>IF(109&lt;=核心参数输入!$B$9*4,MAX(0,-DI186),0)</f>
        <v>0</v>
      </c>
      <c r="DJ187" s="9">
        <f>IF(110&lt;=核心参数输入!$B$9*4,MAX(0,-DJ186),0)</f>
        <v>0</v>
      </c>
      <c r="DK187" s="9">
        <f>IF(111&lt;=核心参数输入!$B$9*4,MAX(0,-DK186),0)</f>
        <v>0</v>
      </c>
      <c r="DL187" s="9">
        <f>IF(112&lt;=核心参数输入!$B$9*4,MAX(0,-DL186),0)</f>
        <v>0</v>
      </c>
      <c r="DM187" s="9">
        <f>IF(113&lt;=核心参数输入!$B$9*4,MAX(0,-DM186),0)</f>
        <v>0</v>
      </c>
      <c r="DN187" s="9">
        <f>IF(114&lt;=核心参数输入!$B$9*4,MAX(0,-DN186),0)</f>
        <v>0</v>
      </c>
      <c r="DO187" s="9">
        <f>IF(115&lt;=核心参数输入!$B$9*4,MAX(0,-DO186),0)</f>
        <v>0</v>
      </c>
      <c r="DP187" s="9">
        <f>IF(116&lt;=核心参数输入!$B$9*4,MAX(0,-DP186),0)</f>
        <v>0</v>
      </c>
      <c r="DQ187" s="9">
        <f>IF(117&lt;=核心参数输入!$B$9*4,MAX(0,-DQ186),0)</f>
        <v>0</v>
      </c>
      <c r="DR187" s="9">
        <f>IF(118&lt;=核心参数输入!$B$9*4,MAX(0,-DR186),0)</f>
        <v>0</v>
      </c>
      <c r="DS187" s="9">
        <f>IF(119&lt;=核心参数输入!$B$9*4,MAX(0,-DS186),0)</f>
        <v>0</v>
      </c>
      <c r="DT187" s="9">
        <f>IF(120&lt;=核心参数输入!$B$9*4,MAX(0,-DT186),0)</f>
        <v>0</v>
      </c>
    </row>
    <row r="188" spans="1:124" ht="21" customHeight="1">
      <c r="A188" s="8" t="s">
        <v>569</v>
      </c>
      <c r="B188" s="8" t="s">
        <v>39</v>
      </c>
      <c r="C188" s="8"/>
      <c r="D188" s="9">
        <f>IF(0&lt;=核心参数输入!$B$9*4,SUM(季度投融资!$D$158:D158),0)</f>
        <v>8000</v>
      </c>
      <c r="E188" s="9">
        <f>IF(1&lt;=核心参数输入!$B$9*4,SUM(季度投融资!$D$158:E158),0)</f>
        <v>12377.7125</v>
      </c>
      <c r="F188" s="9">
        <f>IF(2&lt;=核心参数输入!$B$9*4,SUM(季度投融资!$D$158:F158),0)</f>
        <v>16779.05</v>
      </c>
      <c r="G188" s="9">
        <f>IF(3&lt;=核心参数输入!$B$9*4,SUM(季度投融资!$D$158:G158),0)</f>
        <v>21204.012499999997</v>
      </c>
      <c r="H188" s="9">
        <f>IF(4&lt;=核心参数输入!$B$9*4,SUM(季度投融资!$D$158:H158),0)</f>
        <v>25652.6</v>
      </c>
      <c r="I188" s="9">
        <f>IF(5&lt;=核心参数输入!$B$9*4,SUM(季度投融资!$D$158:I158),0)</f>
        <v>31584.05</v>
      </c>
      <c r="J188" s="9">
        <f>IF(6&lt;=核心参数输入!$B$9*4,SUM(季度投融资!$D$158:J158),0)</f>
        <v>37547</v>
      </c>
      <c r="K188" s="9">
        <f>IF(7&lt;=核心参数输入!$B$9*4,SUM(季度投融资!$D$158:K158),0)</f>
        <v>43541.45</v>
      </c>
      <c r="L188" s="9">
        <f>IF(8&lt;=核心参数输入!$B$9*4,SUM(季度投融资!$D$158:L158),0)</f>
        <v>49567.399999999994</v>
      </c>
      <c r="M188" s="9">
        <f>IF(9&lt;=核心参数输入!$B$9*4,SUM(季度投融资!$D$158:M158),0)</f>
        <v>54165.612499999996</v>
      </c>
      <c r="N188" s="9">
        <f>IF(10&lt;=核心参数输入!$B$9*4,SUM(季度投融资!$D$158:N158),0)</f>
        <v>58787.45</v>
      </c>
      <c r="O188" s="9">
        <f>IF(11&lt;=核心参数输入!$B$9*4,SUM(季度投融资!$D$158:O158),0)</f>
        <v>63432.912499999999</v>
      </c>
      <c r="P188" s="9">
        <f>IF(12&lt;=核心参数输入!$B$9*4,SUM(季度投融资!$D$158:P158),0)</f>
        <v>68102</v>
      </c>
      <c r="Q188" s="9">
        <f>IF(13&lt;=核心参数输入!$B$9*4,SUM(季度投融资!$D$158:Q158),0)</f>
        <v>68602</v>
      </c>
      <c r="R188" s="9">
        <f>IF(14&lt;=核心参数输入!$B$9*4,SUM(季度投融资!$D$158:R158),0)</f>
        <v>68602</v>
      </c>
      <c r="S188" s="9">
        <f>IF(15&lt;=核心参数输入!$B$9*4,SUM(季度投融资!$D$158:S158),0)</f>
        <v>68602</v>
      </c>
      <c r="T188" s="9">
        <f>IF(16&lt;=核心参数输入!$B$9*4,SUM(季度投融资!$D$158:T158),0)</f>
        <v>68602</v>
      </c>
      <c r="U188" s="9">
        <f>IF(17&lt;=核心参数输入!$B$9*4,SUM(季度投融资!$D$158:U158),0)</f>
        <v>68602</v>
      </c>
      <c r="V188" s="9">
        <f>IF(18&lt;=核心参数输入!$B$9*4,SUM(季度投融资!$D$158:V158),0)</f>
        <v>68602</v>
      </c>
      <c r="W188" s="9">
        <f>IF(19&lt;=核心参数输入!$B$9*4,SUM(季度投融资!$D$158:W158),0)</f>
        <v>68602</v>
      </c>
      <c r="X188" s="9">
        <f>IF(20&lt;=核心参数输入!$B$9*4,SUM(季度投融资!$D$158:X158),0)</f>
        <v>68602</v>
      </c>
      <c r="Y188" s="9">
        <f>IF(21&lt;=核心参数输入!$B$9*4,SUM(季度投融资!$D$158:Y158),0)</f>
        <v>68602</v>
      </c>
      <c r="Z188" s="9">
        <f>IF(22&lt;=核心参数输入!$B$9*4,SUM(季度投融资!$D$158:Z158),0)</f>
        <v>68602</v>
      </c>
      <c r="AA188" s="9">
        <f>IF(23&lt;=核心参数输入!$B$9*4,SUM(季度投融资!$D$158:AA158),0)</f>
        <v>68602</v>
      </c>
      <c r="AB188" s="9">
        <f>IF(24&lt;=核心参数输入!$B$9*4,SUM(季度投融资!$D$158:AB158),0)</f>
        <v>68602</v>
      </c>
      <c r="AC188" s="9">
        <f>IF(25&lt;=核心参数输入!$B$9*4,SUM(季度投融资!$D$158:AC158),0)</f>
        <v>68602</v>
      </c>
      <c r="AD188" s="9">
        <f>IF(26&lt;=核心参数输入!$B$9*4,SUM(季度投融资!$D$158:AD158),0)</f>
        <v>68602</v>
      </c>
      <c r="AE188" s="9">
        <f>IF(27&lt;=核心参数输入!$B$9*4,SUM(季度投融资!$D$158:AE158),0)</f>
        <v>68602</v>
      </c>
      <c r="AF188" s="9">
        <f>IF(28&lt;=核心参数输入!$B$9*4,SUM(季度投融资!$D$158:AF158),0)</f>
        <v>68602</v>
      </c>
      <c r="AG188" s="9">
        <f>IF(29&lt;=核心参数输入!$B$9*4,SUM(季度投融资!$D$158:AG158),0)</f>
        <v>68602</v>
      </c>
      <c r="AH188" s="9">
        <f>IF(30&lt;=核心参数输入!$B$9*4,SUM(季度投融资!$D$158:AH158),0)</f>
        <v>68602</v>
      </c>
      <c r="AI188" s="9">
        <f>IF(31&lt;=核心参数输入!$B$9*4,SUM(季度投融资!$D$158:AI158),0)</f>
        <v>68602</v>
      </c>
      <c r="AJ188" s="9">
        <f>IF(32&lt;=核心参数输入!$B$9*4,SUM(季度投融资!$D$158:AJ158),0)</f>
        <v>68602</v>
      </c>
      <c r="AK188" s="9">
        <f>IF(33&lt;=核心参数输入!$B$9*4,SUM(季度投融资!$D$158:AK158),0)</f>
        <v>68602</v>
      </c>
      <c r="AL188" s="9">
        <f>IF(34&lt;=核心参数输入!$B$9*4,SUM(季度投融资!$D$158:AL158),0)</f>
        <v>68602</v>
      </c>
      <c r="AM188" s="9">
        <f>IF(35&lt;=核心参数输入!$B$9*4,SUM(季度投融资!$D$158:AM158),0)</f>
        <v>68602</v>
      </c>
      <c r="AN188" s="9">
        <f>IF(36&lt;=核心参数输入!$B$9*4,SUM(季度投融资!$D$158:AN158),0)</f>
        <v>68602</v>
      </c>
      <c r="AO188" s="9">
        <f>IF(37&lt;=核心参数输入!$B$9*4,SUM(季度投融资!$D$158:AO158),0)</f>
        <v>68602</v>
      </c>
      <c r="AP188" s="9">
        <f>IF(38&lt;=核心参数输入!$B$9*4,SUM(季度投融资!$D$158:AP158),0)</f>
        <v>68602</v>
      </c>
      <c r="AQ188" s="9">
        <f>IF(39&lt;=核心参数输入!$B$9*4,SUM(季度投融资!$D$158:AQ158),0)</f>
        <v>68602</v>
      </c>
      <c r="AR188" s="9">
        <f>IF(40&lt;=核心参数输入!$B$9*4,SUM(季度投融资!$D$158:AR158),0)</f>
        <v>68602</v>
      </c>
      <c r="AS188" s="9">
        <f>IF(41&lt;=核心参数输入!$B$9*4,SUM(季度投融资!$D$158:AS158),0)</f>
        <v>68602</v>
      </c>
      <c r="AT188" s="9">
        <f>IF(42&lt;=核心参数输入!$B$9*4,SUM(季度投融资!$D$158:AT158),0)</f>
        <v>68602</v>
      </c>
      <c r="AU188" s="9">
        <f>IF(43&lt;=核心参数输入!$B$9*4,SUM(季度投融资!$D$158:AU158),0)</f>
        <v>68602</v>
      </c>
      <c r="AV188" s="9">
        <f>IF(44&lt;=核心参数输入!$B$9*4,SUM(季度投融资!$D$158:AV158),0)</f>
        <v>68602</v>
      </c>
      <c r="AW188" s="9">
        <f>IF(45&lt;=核心参数输入!$B$9*4,SUM(季度投融资!$D$158:AW158),0)</f>
        <v>68602</v>
      </c>
      <c r="AX188" s="9">
        <f>IF(46&lt;=核心参数输入!$B$9*4,SUM(季度投融资!$D$158:AX158),0)</f>
        <v>68602</v>
      </c>
      <c r="AY188" s="9">
        <f>IF(47&lt;=核心参数输入!$B$9*4,SUM(季度投融资!$D$158:AY158),0)</f>
        <v>68602</v>
      </c>
      <c r="AZ188" s="9">
        <f>IF(48&lt;=核心参数输入!$B$9*4,SUM(季度投融资!$D$158:AZ158),0)</f>
        <v>68602</v>
      </c>
      <c r="BA188" s="9">
        <f>IF(49&lt;=核心参数输入!$B$9*4,SUM(季度投融资!$D$158:BA158),0)</f>
        <v>68602</v>
      </c>
      <c r="BB188" s="9">
        <f>IF(50&lt;=核心参数输入!$B$9*4,SUM(季度投融资!$D$158:BB158),0)</f>
        <v>68602</v>
      </c>
      <c r="BC188" s="9">
        <f>IF(51&lt;=核心参数输入!$B$9*4,SUM(季度投融资!$D$158:BC158),0)</f>
        <v>68602</v>
      </c>
      <c r="BD188" s="9">
        <f>IF(52&lt;=核心参数输入!$B$9*4,SUM(季度投融资!$D$158:BD158),0)</f>
        <v>68602</v>
      </c>
      <c r="BE188" s="9">
        <f>IF(53&lt;=核心参数输入!$B$9*4,SUM(季度投融资!$D$158:BE158),0)</f>
        <v>68602</v>
      </c>
      <c r="BF188" s="9">
        <f>IF(54&lt;=核心参数输入!$B$9*4,SUM(季度投融资!$D$158:BF158),0)</f>
        <v>68602</v>
      </c>
      <c r="BG188" s="9">
        <f>IF(55&lt;=核心参数输入!$B$9*4,SUM(季度投融资!$D$158:BG158),0)</f>
        <v>68602</v>
      </c>
      <c r="BH188" s="9">
        <f>IF(56&lt;=核心参数输入!$B$9*4,SUM(季度投融资!$D$158:BH158),0)</f>
        <v>68602</v>
      </c>
      <c r="BI188" s="9">
        <f>IF(57&lt;=核心参数输入!$B$9*4,SUM(季度投融资!$D$158:BI158),0)</f>
        <v>68602</v>
      </c>
      <c r="BJ188" s="9">
        <f>IF(58&lt;=核心参数输入!$B$9*4,SUM(季度投融资!$D$158:BJ158),0)</f>
        <v>68602</v>
      </c>
      <c r="BK188" s="9">
        <f>IF(59&lt;=核心参数输入!$B$9*4,SUM(季度投融资!$D$158:BK158),0)</f>
        <v>68602</v>
      </c>
      <c r="BL188" s="9">
        <f>IF(60&lt;=核心参数输入!$B$9*4,SUM(季度投融资!$D$158:BL158),0)</f>
        <v>68602</v>
      </c>
      <c r="BM188" s="9">
        <f>IF(61&lt;=核心参数输入!$B$9*4,SUM(季度投融资!$D$158:BM158),0)</f>
        <v>68602</v>
      </c>
      <c r="BN188" s="9">
        <f>IF(62&lt;=核心参数输入!$B$9*4,SUM(季度投融资!$D$158:BN158),0)</f>
        <v>68602</v>
      </c>
      <c r="BO188" s="9">
        <f>IF(63&lt;=核心参数输入!$B$9*4,SUM(季度投融资!$D$158:BO158),0)</f>
        <v>68602</v>
      </c>
      <c r="BP188" s="9">
        <f>IF(64&lt;=核心参数输入!$B$9*4,SUM(季度投融资!$D$158:BP158),0)</f>
        <v>68602</v>
      </c>
      <c r="BQ188" s="9">
        <f>IF(65&lt;=核心参数输入!$B$9*4,SUM(季度投融资!$D$158:BQ158),0)</f>
        <v>68602</v>
      </c>
      <c r="BR188" s="9">
        <f>IF(66&lt;=核心参数输入!$B$9*4,SUM(季度投融资!$D$158:BR158),0)</f>
        <v>68602</v>
      </c>
      <c r="BS188" s="9">
        <f>IF(67&lt;=核心参数输入!$B$9*4,SUM(季度投融资!$D$158:BS158),0)</f>
        <v>68602</v>
      </c>
      <c r="BT188" s="9">
        <f>IF(68&lt;=核心参数输入!$B$9*4,SUM(季度投融资!$D$158:BT158),0)</f>
        <v>68602</v>
      </c>
      <c r="BU188" s="9">
        <f>IF(69&lt;=核心参数输入!$B$9*4,SUM(季度投融资!$D$158:BU158),0)</f>
        <v>68602</v>
      </c>
      <c r="BV188" s="9">
        <f>IF(70&lt;=核心参数输入!$B$9*4,SUM(季度投融资!$D$158:BV158),0)</f>
        <v>68602</v>
      </c>
      <c r="BW188" s="9">
        <f>IF(71&lt;=核心参数输入!$B$9*4,SUM(季度投融资!$D$158:BW158),0)</f>
        <v>68602</v>
      </c>
      <c r="BX188" s="9">
        <f>IF(72&lt;=核心参数输入!$B$9*4,SUM(季度投融资!$D$158:BX158),0)</f>
        <v>68602</v>
      </c>
      <c r="BY188" s="9">
        <f>IF(73&lt;=核心参数输入!$B$9*4,SUM(季度投融资!$D$158:BY158),0)</f>
        <v>68602</v>
      </c>
      <c r="BZ188" s="9">
        <f>IF(74&lt;=核心参数输入!$B$9*4,SUM(季度投融资!$D$158:BZ158),0)</f>
        <v>68602</v>
      </c>
      <c r="CA188" s="9">
        <f>IF(75&lt;=核心参数输入!$B$9*4,SUM(季度投融资!$D$158:CA158),0)</f>
        <v>68602</v>
      </c>
      <c r="CB188" s="9">
        <f>IF(76&lt;=核心参数输入!$B$9*4,SUM(季度投融资!$D$158:CB158),0)</f>
        <v>68602</v>
      </c>
      <c r="CC188" s="9">
        <f>IF(77&lt;=核心参数输入!$B$9*4,SUM(季度投融资!$D$158:CC158),0)</f>
        <v>68602</v>
      </c>
      <c r="CD188" s="9">
        <f>IF(78&lt;=核心参数输入!$B$9*4,SUM(季度投融资!$D$158:CD158),0)</f>
        <v>68602</v>
      </c>
      <c r="CE188" s="9">
        <f>IF(79&lt;=核心参数输入!$B$9*4,SUM(季度投融资!$D$158:CE158),0)</f>
        <v>68602</v>
      </c>
      <c r="CF188" s="9">
        <f>IF(80&lt;=核心参数输入!$B$9*4,SUM(季度投融资!$D$158:CF158),0)</f>
        <v>68602</v>
      </c>
      <c r="CG188" s="9">
        <f>IF(81&lt;=核心参数输入!$B$9*4,SUM(季度投融资!$D$158:CG158),0)</f>
        <v>0</v>
      </c>
      <c r="CH188" s="9">
        <f>IF(82&lt;=核心参数输入!$B$9*4,SUM(季度投融资!$D$158:CH158),0)</f>
        <v>0</v>
      </c>
      <c r="CI188" s="9">
        <f>IF(83&lt;=核心参数输入!$B$9*4,SUM(季度投融资!$D$158:CI158),0)</f>
        <v>0</v>
      </c>
      <c r="CJ188" s="9">
        <f>IF(84&lt;=核心参数输入!$B$9*4,SUM(季度投融资!$D$158:CJ158),0)</f>
        <v>0</v>
      </c>
      <c r="CK188" s="9">
        <f>IF(85&lt;=核心参数输入!$B$9*4,SUM(季度投融资!$D$158:CK158),0)</f>
        <v>0</v>
      </c>
      <c r="CL188" s="9">
        <f>IF(86&lt;=核心参数输入!$B$9*4,SUM(季度投融资!$D$158:CL158),0)</f>
        <v>0</v>
      </c>
      <c r="CM188" s="9">
        <f>IF(87&lt;=核心参数输入!$B$9*4,SUM(季度投融资!$D$158:CM158),0)</f>
        <v>0</v>
      </c>
      <c r="CN188" s="9">
        <f>IF(88&lt;=核心参数输入!$B$9*4,SUM(季度投融资!$D$158:CN158),0)</f>
        <v>0</v>
      </c>
      <c r="CO188" s="9">
        <f>IF(89&lt;=核心参数输入!$B$9*4,SUM(季度投融资!$D$158:CO158),0)</f>
        <v>0</v>
      </c>
      <c r="CP188" s="9">
        <f>IF(90&lt;=核心参数输入!$B$9*4,SUM(季度投融资!$D$158:CP158),0)</f>
        <v>0</v>
      </c>
      <c r="CQ188" s="9">
        <f>IF(91&lt;=核心参数输入!$B$9*4,SUM(季度投融资!$D$158:CQ158),0)</f>
        <v>0</v>
      </c>
      <c r="CR188" s="9">
        <f>IF(92&lt;=核心参数输入!$B$9*4,SUM(季度投融资!$D$158:CR158),0)</f>
        <v>0</v>
      </c>
      <c r="CS188" s="9">
        <f>IF(93&lt;=核心参数输入!$B$9*4,SUM(季度投融资!$D$158:CS158),0)</f>
        <v>0</v>
      </c>
      <c r="CT188" s="9">
        <f>IF(94&lt;=核心参数输入!$B$9*4,SUM(季度投融资!$D$158:CT158),0)</f>
        <v>0</v>
      </c>
      <c r="CU188" s="9">
        <f>IF(95&lt;=核心参数输入!$B$9*4,SUM(季度投融资!$D$158:CU158),0)</f>
        <v>0</v>
      </c>
      <c r="CV188" s="9">
        <f>IF(96&lt;=核心参数输入!$B$9*4,SUM(季度投融资!$D$158:CV158),0)</f>
        <v>0</v>
      </c>
      <c r="CW188" s="9">
        <f>IF(97&lt;=核心参数输入!$B$9*4,SUM(季度投融资!$D$158:CW158),0)</f>
        <v>0</v>
      </c>
      <c r="CX188" s="9">
        <f>IF(98&lt;=核心参数输入!$B$9*4,SUM(季度投融资!$D$158:CX158),0)</f>
        <v>0</v>
      </c>
      <c r="CY188" s="9">
        <f>IF(99&lt;=核心参数输入!$B$9*4,SUM(季度投融资!$D$158:CY158),0)</f>
        <v>0</v>
      </c>
      <c r="CZ188" s="9">
        <f>IF(100&lt;=核心参数输入!$B$9*4,SUM(季度投融资!$D$158:CZ158),0)</f>
        <v>0</v>
      </c>
      <c r="DA188" s="9">
        <f>IF(101&lt;=核心参数输入!$B$9*4,SUM(季度投融资!$D$158:DA158),0)</f>
        <v>0</v>
      </c>
      <c r="DB188" s="9">
        <f>IF(102&lt;=核心参数输入!$B$9*4,SUM(季度投融资!$D$158:DB158),0)</f>
        <v>0</v>
      </c>
      <c r="DC188" s="9">
        <f>IF(103&lt;=核心参数输入!$B$9*4,SUM(季度投融资!$D$158:DC158),0)</f>
        <v>0</v>
      </c>
      <c r="DD188" s="9">
        <f>IF(104&lt;=核心参数输入!$B$9*4,SUM(季度投融资!$D$158:DD158),0)</f>
        <v>0</v>
      </c>
      <c r="DE188" s="9">
        <f>IF(105&lt;=核心参数输入!$B$9*4,SUM(季度投融资!$D$158:DE158),0)</f>
        <v>0</v>
      </c>
      <c r="DF188" s="9">
        <f>IF(106&lt;=核心参数输入!$B$9*4,SUM(季度投融资!$D$158:DF158),0)</f>
        <v>0</v>
      </c>
      <c r="DG188" s="9">
        <f>IF(107&lt;=核心参数输入!$B$9*4,SUM(季度投融资!$D$158:DG158),0)</f>
        <v>0</v>
      </c>
      <c r="DH188" s="9">
        <f>IF(108&lt;=核心参数输入!$B$9*4,SUM(季度投融资!$D$158:DH158),0)</f>
        <v>0</v>
      </c>
      <c r="DI188" s="9">
        <f>IF(109&lt;=核心参数输入!$B$9*4,SUM(季度投融资!$D$158:DI158),0)</f>
        <v>0</v>
      </c>
      <c r="DJ188" s="9">
        <f>IF(110&lt;=核心参数输入!$B$9*4,SUM(季度投融资!$D$158:DJ158),0)</f>
        <v>0</v>
      </c>
      <c r="DK188" s="9">
        <f>IF(111&lt;=核心参数输入!$B$9*4,SUM(季度投融资!$D$158:DK158),0)</f>
        <v>0</v>
      </c>
      <c r="DL188" s="9">
        <f>IF(112&lt;=核心参数输入!$B$9*4,SUM(季度投融资!$D$158:DL158),0)</f>
        <v>0</v>
      </c>
      <c r="DM188" s="9">
        <f>IF(113&lt;=核心参数输入!$B$9*4,SUM(季度投融资!$D$158:DM158),0)</f>
        <v>0</v>
      </c>
      <c r="DN188" s="9">
        <f>IF(114&lt;=核心参数输入!$B$9*4,SUM(季度投融资!$D$158:DN158),0)</f>
        <v>0</v>
      </c>
      <c r="DO188" s="9">
        <f>IF(115&lt;=核心参数输入!$B$9*4,SUM(季度投融资!$D$158:DO158),0)</f>
        <v>0</v>
      </c>
      <c r="DP188" s="9">
        <f>IF(116&lt;=核心参数输入!$B$9*4,SUM(季度投融资!$D$158:DP158),0)</f>
        <v>0</v>
      </c>
      <c r="DQ188" s="9">
        <f>IF(117&lt;=核心参数输入!$B$9*4,SUM(季度投融资!$D$158:DQ158),0)</f>
        <v>0</v>
      </c>
      <c r="DR188" s="9">
        <f>IF(118&lt;=核心参数输入!$B$9*4,SUM(季度投融资!$D$158:DR158),0)</f>
        <v>0</v>
      </c>
      <c r="DS188" s="9">
        <f>IF(119&lt;=核心参数输入!$B$9*4,SUM(季度投融资!$D$158:DS158),0)</f>
        <v>0</v>
      </c>
      <c r="DT188" s="9">
        <f>IF(120&lt;=核心参数输入!$B$9*4,SUM(季度投融资!$D$158:DT158),0)</f>
        <v>0</v>
      </c>
    </row>
    <row r="189" spans="1:124" ht="21" customHeight="1">
      <c r="A189" s="8" t="s">
        <v>570</v>
      </c>
      <c r="B189" s="8" t="s">
        <v>39</v>
      </c>
      <c r="C189" s="8"/>
      <c r="D189" s="9">
        <f>IF(0&lt;=核心参数输入!$B$9*4,SUM($D159:D159),0)</f>
        <v>8000</v>
      </c>
      <c r="E189" s="9">
        <f>IF(1&lt;=核心参数输入!$B$9*4,SUM($D159:E159),0)</f>
        <v>10127.7125</v>
      </c>
      <c r="F189" s="9">
        <f>IF(2&lt;=核心参数输入!$B$9*4,SUM($D159:F159),0)</f>
        <v>12279.05</v>
      </c>
      <c r="G189" s="9">
        <f>IF(3&lt;=核心参数输入!$B$9*4,SUM($D159:G159),0)</f>
        <v>14454.012499999999</v>
      </c>
      <c r="H189" s="9">
        <f>IF(4&lt;=核心参数输入!$B$9*4,SUM($D159:H159),0)</f>
        <v>16652.599999999999</v>
      </c>
      <c r="I189" s="9">
        <f>IF(5&lt;=核心参数输入!$B$9*4,SUM($D159:I159),0)</f>
        <v>19584.05</v>
      </c>
      <c r="J189" s="9">
        <f>IF(6&lt;=核心参数输入!$B$9*4,SUM($D159:J159),0)</f>
        <v>22547</v>
      </c>
      <c r="K189" s="9">
        <f>IF(7&lt;=核心参数输入!$B$9*4,SUM($D159:K159),0)</f>
        <v>25541.45</v>
      </c>
      <c r="L189" s="9">
        <f>IF(8&lt;=核心参数输入!$B$9*4,SUM($D159:L159),0)</f>
        <v>28567.4</v>
      </c>
      <c r="M189" s="9">
        <f>IF(9&lt;=核心参数输入!$B$9*4,SUM($D159:M159),0)</f>
        <v>30915.612500000003</v>
      </c>
      <c r="N189" s="9">
        <f>IF(10&lt;=核心参数输入!$B$9*4,SUM($D159:N159),0)</f>
        <v>33287.450000000004</v>
      </c>
      <c r="O189" s="9">
        <f>IF(11&lt;=核心参数输入!$B$9*4,SUM($D159:O159),0)</f>
        <v>35682.912500000006</v>
      </c>
      <c r="P189" s="9">
        <f>IF(12&lt;=核心参数输入!$B$9*4,SUM($D159:P159),0)</f>
        <v>38102.000000000007</v>
      </c>
      <c r="Q189" s="9">
        <f>IF(13&lt;=核心参数输入!$B$9*4,SUM($D159:Q159),0)</f>
        <v>38102.000000000007</v>
      </c>
      <c r="R189" s="9">
        <f>IF(14&lt;=核心参数输入!$B$9*4,SUM($D159:R159),0)</f>
        <v>38102.000000000007</v>
      </c>
      <c r="S189" s="9">
        <f>IF(15&lt;=核心参数输入!$B$9*4,SUM($D159:S159),0)</f>
        <v>38102.000000000007</v>
      </c>
      <c r="T189" s="9">
        <f>IF(16&lt;=核心参数输入!$B$9*4,SUM($D159:T159),0)</f>
        <v>38102.000000000007</v>
      </c>
      <c r="U189" s="9">
        <f>IF(17&lt;=核心参数输入!$B$9*4,SUM($D159:U159),0)</f>
        <v>38102.000000000007</v>
      </c>
      <c r="V189" s="9">
        <f>IF(18&lt;=核心参数输入!$B$9*4,SUM($D159:V159),0)</f>
        <v>38102.000000000007</v>
      </c>
      <c r="W189" s="9">
        <f>IF(19&lt;=核心参数输入!$B$9*4,SUM($D159:W159),0)</f>
        <v>38102.000000000007</v>
      </c>
      <c r="X189" s="9">
        <f>IF(20&lt;=核心参数输入!$B$9*4,SUM($D159:X159),0)</f>
        <v>38102.000000000007</v>
      </c>
      <c r="Y189" s="9">
        <f>IF(21&lt;=核心参数输入!$B$9*4,SUM($D159:Y159),0)</f>
        <v>38102.000000000007</v>
      </c>
      <c r="Z189" s="9">
        <f>IF(22&lt;=核心参数输入!$B$9*4,SUM($D159:Z159),0)</f>
        <v>38102.000000000007</v>
      </c>
      <c r="AA189" s="9">
        <f>IF(23&lt;=核心参数输入!$B$9*4,SUM($D159:AA159),0)</f>
        <v>38102.000000000007</v>
      </c>
      <c r="AB189" s="9">
        <f>IF(24&lt;=核心参数输入!$B$9*4,SUM($D159:AB159),0)</f>
        <v>38102.000000000007</v>
      </c>
      <c r="AC189" s="9">
        <f>IF(25&lt;=核心参数输入!$B$9*4,SUM($D159:AC159),0)</f>
        <v>38102.000000000007</v>
      </c>
      <c r="AD189" s="9">
        <f>IF(26&lt;=核心参数输入!$B$9*4,SUM($D159:AD159),0)</f>
        <v>38102.000000000007</v>
      </c>
      <c r="AE189" s="9">
        <f>IF(27&lt;=核心参数输入!$B$9*4,SUM($D159:AE159),0)</f>
        <v>38102.000000000007</v>
      </c>
      <c r="AF189" s="9">
        <f>IF(28&lt;=核心参数输入!$B$9*4,SUM($D159:AF159),0)</f>
        <v>38102.000000000007</v>
      </c>
      <c r="AG189" s="9">
        <f>IF(29&lt;=核心参数输入!$B$9*4,SUM($D159:AG159),0)</f>
        <v>38102.000000000007</v>
      </c>
      <c r="AH189" s="9">
        <f>IF(30&lt;=核心参数输入!$B$9*4,SUM($D159:AH159),0)</f>
        <v>38102.000000000007</v>
      </c>
      <c r="AI189" s="9">
        <f>IF(31&lt;=核心参数输入!$B$9*4,SUM($D159:AI159),0)</f>
        <v>38102.000000000007</v>
      </c>
      <c r="AJ189" s="9">
        <f>IF(32&lt;=核心参数输入!$B$9*4,SUM($D159:AJ159),0)</f>
        <v>38102.000000000007</v>
      </c>
      <c r="AK189" s="9">
        <f>IF(33&lt;=核心参数输入!$B$9*4,SUM($D159:AK159),0)</f>
        <v>38102.000000000007</v>
      </c>
      <c r="AL189" s="9">
        <f>IF(34&lt;=核心参数输入!$B$9*4,SUM($D159:AL159),0)</f>
        <v>38102.000000000007</v>
      </c>
      <c r="AM189" s="9">
        <f>IF(35&lt;=核心参数输入!$B$9*4,SUM($D159:AM159),0)</f>
        <v>38102.000000000007</v>
      </c>
      <c r="AN189" s="9">
        <f>IF(36&lt;=核心参数输入!$B$9*4,SUM($D159:AN159),0)</f>
        <v>38102.000000000007</v>
      </c>
      <c r="AO189" s="9">
        <f>IF(37&lt;=核心参数输入!$B$9*4,SUM($D159:AO159),0)</f>
        <v>38102.000000000007</v>
      </c>
      <c r="AP189" s="9">
        <f>IF(38&lt;=核心参数输入!$B$9*4,SUM($D159:AP159),0)</f>
        <v>38102.000000000007</v>
      </c>
      <c r="AQ189" s="9">
        <f>IF(39&lt;=核心参数输入!$B$9*4,SUM($D159:AQ159),0)</f>
        <v>38102.000000000007</v>
      </c>
      <c r="AR189" s="9">
        <f>IF(40&lt;=核心参数输入!$B$9*4,SUM($D159:AR159),0)</f>
        <v>38102.000000000007</v>
      </c>
      <c r="AS189" s="9">
        <f>IF(41&lt;=核心参数输入!$B$9*4,SUM($D159:AS159),0)</f>
        <v>38102.000000000007</v>
      </c>
      <c r="AT189" s="9">
        <f>IF(42&lt;=核心参数输入!$B$9*4,SUM($D159:AT159),0)</f>
        <v>38102.000000000007</v>
      </c>
      <c r="AU189" s="9">
        <f>IF(43&lt;=核心参数输入!$B$9*4,SUM($D159:AU159),0)</f>
        <v>38102.000000000007</v>
      </c>
      <c r="AV189" s="9">
        <f>IF(44&lt;=核心参数输入!$B$9*4,SUM($D159:AV159),0)</f>
        <v>38102.000000000007</v>
      </c>
      <c r="AW189" s="9">
        <f>IF(45&lt;=核心参数输入!$B$9*4,SUM($D159:AW159),0)</f>
        <v>38102.000000000007</v>
      </c>
      <c r="AX189" s="9">
        <f>IF(46&lt;=核心参数输入!$B$9*4,SUM($D159:AX159),0)</f>
        <v>38102.000000000007</v>
      </c>
      <c r="AY189" s="9">
        <f>IF(47&lt;=核心参数输入!$B$9*4,SUM($D159:AY159),0)</f>
        <v>38102.000000000007</v>
      </c>
      <c r="AZ189" s="9">
        <f>IF(48&lt;=核心参数输入!$B$9*4,SUM($D159:AZ159),0)</f>
        <v>38102.000000000007</v>
      </c>
      <c r="BA189" s="9">
        <f>IF(49&lt;=核心参数输入!$B$9*4,SUM($D159:BA159),0)</f>
        <v>38102.000000000007</v>
      </c>
      <c r="BB189" s="9">
        <f>IF(50&lt;=核心参数输入!$B$9*4,SUM($D159:BB159),0)</f>
        <v>38102.000000000007</v>
      </c>
      <c r="BC189" s="9">
        <f>IF(51&lt;=核心参数输入!$B$9*4,SUM($D159:BC159),0)</f>
        <v>38102.000000000007</v>
      </c>
      <c r="BD189" s="9">
        <f>IF(52&lt;=核心参数输入!$B$9*4,SUM($D159:BD159),0)</f>
        <v>38102.000000000007</v>
      </c>
      <c r="BE189" s="9">
        <f>IF(53&lt;=核心参数输入!$B$9*4,SUM($D159:BE159),0)</f>
        <v>38102.000000000007</v>
      </c>
      <c r="BF189" s="9">
        <f>IF(54&lt;=核心参数输入!$B$9*4,SUM($D159:BF159),0)</f>
        <v>38102.000000000007</v>
      </c>
      <c r="BG189" s="9">
        <f>IF(55&lt;=核心参数输入!$B$9*4,SUM($D159:BG159),0)</f>
        <v>38102.000000000007</v>
      </c>
      <c r="BH189" s="9">
        <f>IF(56&lt;=核心参数输入!$B$9*4,SUM($D159:BH159),0)</f>
        <v>38102.000000000007</v>
      </c>
      <c r="BI189" s="9">
        <f>IF(57&lt;=核心参数输入!$B$9*4,SUM($D159:BI159),0)</f>
        <v>38102.000000000007</v>
      </c>
      <c r="BJ189" s="9">
        <f>IF(58&lt;=核心参数输入!$B$9*4,SUM($D159:BJ159),0)</f>
        <v>38102.000000000007</v>
      </c>
      <c r="BK189" s="9">
        <f>IF(59&lt;=核心参数输入!$B$9*4,SUM($D159:BK159),0)</f>
        <v>38102.000000000007</v>
      </c>
      <c r="BL189" s="9">
        <f>IF(60&lt;=核心参数输入!$B$9*4,SUM($D159:BL159),0)</f>
        <v>38102.000000000007</v>
      </c>
      <c r="BM189" s="9">
        <f>IF(61&lt;=核心参数输入!$B$9*4,SUM($D159:BM159),0)</f>
        <v>38102.000000000007</v>
      </c>
      <c r="BN189" s="9">
        <f>IF(62&lt;=核心参数输入!$B$9*4,SUM($D159:BN159),0)</f>
        <v>38102.000000000007</v>
      </c>
      <c r="BO189" s="9">
        <f>IF(63&lt;=核心参数输入!$B$9*4,SUM($D159:BO159),0)</f>
        <v>38102.000000000007</v>
      </c>
      <c r="BP189" s="9">
        <f>IF(64&lt;=核心参数输入!$B$9*4,SUM($D159:BP159),0)</f>
        <v>38102.000000000007</v>
      </c>
      <c r="BQ189" s="9">
        <f>IF(65&lt;=核心参数输入!$B$9*4,SUM($D159:BQ159),0)</f>
        <v>38102.000000000007</v>
      </c>
      <c r="BR189" s="9">
        <f>IF(66&lt;=核心参数输入!$B$9*4,SUM($D159:BR159),0)</f>
        <v>38102.000000000007</v>
      </c>
      <c r="BS189" s="9">
        <f>IF(67&lt;=核心参数输入!$B$9*4,SUM($D159:BS159),0)</f>
        <v>38102.000000000007</v>
      </c>
      <c r="BT189" s="9">
        <f>IF(68&lt;=核心参数输入!$B$9*4,SUM($D159:BT159),0)</f>
        <v>38102.000000000007</v>
      </c>
      <c r="BU189" s="9">
        <f>IF(69&lt;=核心参数输入!$B$9*4,SUM($D159:BU159),0)</f>
        <v>38102.000000000007</v>
      </c>
      <c r="BV189" s="9">
        <f>IF(70&lt;=核心参数输入!$B$9*4,SUM($D159:BV159),0)</f>
        <v>38102.000000000007</v>
      </c>
      <c r="BW189" s="9">
        <f>IF(71&lt;=核心参数输入!$B$9*4,SUM($D159:BW159),0)</f>
        <v>38102.000000000007</v>
      </c>
      <c r="BX189" s="9">
        <f>IF(72&lt;=核心参数输入!$B$9*4,SUM($D159:BX159),0)</f>
        <v>38102.000000000007</v>
      </c>
      <c r="BY189" s="9">
        <f>IF(73&lt;=核心参数输入!$B$9*4,SUM($D159:BY159),0)</f>
        <v>38102.000000000007</v>
      </c>
      <c r="BZ189" s="9">
        <f>IF(74&lt;=核心参数输入!$B$9*4,SUM($D159:BZ159),0)</f>
        <v>38102.000000000007</v>
      </c>
      <c r="CA189" s="9">
        <f>IF(75&lt;=核心参数输入!$B$9*4,SUM($D159:CA159),0)</f>
        <v>38102.000000000007</v>
      </c>
      <c r="CB189" s="9">
        <f>IF(76&lt;=核心参数输入!$B$9*4,SUM($D159:CB159),0)</f>
        <v>38102.000000000007</v>
      </c>
      <c r="CC189" s="9">
        <f>IF(77&lt;=核心参数输入!$B$9*4,SUM($D159:CC159),0)</f>
        <v>38102.000000000007</v>
      </c>
      <c r="CD189" s="9">
        <f>IF(78&lt;=核心参数输入!$B$9*4,SUM($D159:CD159),0)</f>
        <v>38102.000000000007</v>
      </c>
      <c r="CE189" s="9">
        <f>IF(79&lt;=核心参数输入!$B$9*4,SUM($D159:CE159),0)</f>
        <v>38102.000000000007</v>
      </c>
      <c r="CF189" s="9">
        <f>IF(80&lt;=核心参数输入!$B$9*4,SUM($D159:CF159),0)</f>
        <v>38102.000000000007</v>
      </c>
      <c r="CG189" s="9">
        <f>IF(81&lt;=核心参数输入!$B$9*4,SUM($D159:CG159),0)</f>
        <v>0</v>
      </c>
      <c r="CH189" s="9">
        <f>IF(82&lt;=核心参数输入!$B$9*4,SUM($D159:CH159),0)</f>
        <v>0</v>
      </c>
      <c r="CI189" s="9">
        <f>IF(83&lt;=核心参数输入!$B$9*4,SUM($D159:CI159),0)</f>
        <v>0</v>
      </c>
      <c r="CJ189" s="9">
        <f>IF(84&lt;=核心参数输入!$B$9*4,SUM($D159:CJ159),0)</f>
        <v>0</v>
      </c>
      <c r="CK189" s="9">
        <f>IF(85&lt;=核心参数输入!$B$9*4,SUM($D159:CK159),0)</f>
        <v>0</v>
      </c>
      <c r="CL189" s="9">
        <f>IF(86&lt;=核心参数输入!$B$9*4,SUM($D159:CL159),0)</f>
        <v>0</v>
      </c>
      <c r="CM189" s="9">
        <f>IF(87&lt;=核心参数输入!$B$9*4,SUM($D159:CM159),0)</f>
        <v>0</v>
      </c>
      <c r="CN189" s="9">
        <f>IF(88&lt;=核心参数输入!$B$9*4,SUM($D159:CN159),0)</f>
        <v>0</v>
      </c>
      <c r="CO189" s="9">
        <f>IF(89&lt;=核心参数输入!$B$9*4,SUM($D159:CO159),0)</f>
        <v>0</v>
      </c>
      <c r="CP189" s="9">
        <f>IF(90&lt;=核心参数输入!$B$9*4,SUM($D159:CP159),0)</f>
        <v>0</v>
      </c>
      <c r="CQ189" s="9">
        <f>IF(91&lt;=核心参数输入!$B$9*4,SUM($D159:CQ159),0)</f>
        <v>0</v>
      </c>
      <c r="CR189" s="9">
        <f>IF(92&lt;=核心参数输入!$B$9*4,SUM($D159:CR159),0)</f>
        <v>0</v>
      </c>
      <c r="CS189" s="9">
        <f>IF(93&lt;=核心参数输入!$B$9*4,SUM($D159:CS159),0)</f>
        <v>0</v>
      </c>
      <c r="CT189" s="9">
        <f>IF(94&lt;=核心参数输入!$B$9*4,SUM($D159:CT159),0)</f>
        <v>0</v>
      </c>
      <c r="CU189" s="9">
        <f>IF(95&lt;=核心参数输入!$B$9*4,SUM($D159:CU159),0)</f>
        <v>0</v>
      </c>
      <c r="CV189" s="9">
        <f>IF(96&lt;=核心参数输入!$B$9*4,SUM($D159:CV159),0)</f>
        <v>0</v>
      </c>
      <c r="CW189" s="9">
        <f>IF(97&lt;=核心参数输入!$B$9*4,SUM($D159:CW159),0)</f>
        <v>0</v>
      </c>
      <c r="CX189" s="9">
        <f>IF(98&lt;=核心参数输入!$B$9*4,SUM($D159:CX159),0)</f>
        <v>0</v>
      </c>
      <c r="CY189" s="9">
        <f>IF(99&lt;=核心参数输入!$B$9*4,SUM($D159:CY159),0)</f>
        <v>0</v>
      </c>
      <c r="CZ189" s="9">
        <f>IF(100&lt;=核心参数输入!$B$9*4,SUM($D159:CZ159),0)</f>
        <v>0</v>
      </c>
      <c r="DA189" s="9">
        <f>IF(101&lt;=核心参数输入!$B$9*4,SUM($D159:DA159),0)</f>
        <v>0</v>
      </c>
      <c r="DB189" s="9">
        <f>IF(102&lt;=核心参数输入!$B$9*4,SUM($D159:DB159),0)</f>
        <v>0</v>
      </c>
      <c r="DC189" s="9">
        <f>IF(103&lt;=核心参数输入!$B$9*4,SUM($D159:DC159),0)</f>
        <v>0</v>
      </c>
      <c r="DD189" s="9">
        <f>IF(104&lt;=核心参数输入!$B$9*4,SUM($D159:DD159),0)</f>
        <v>0</v>
      </c>
      <c r="DE189" s="9">
        <f>IF(105&lt;=核心参数输入!$B$9*4,SUM($D159:DE159),0)</f>
        <v>0</v>
      </c>
      <c r="DF189" s="9">
        <f>IF(106&lt;=核心参数输入!$B$9*4,SUM($D159:DF159),0)</f>
        <v>0</v>
      </c>
      <c r="DG189" s="9">
        <f>IF(107&lt;=核心参数输入!$B$9*4,SUM($D159:DG159),0)</f>
        <v>0</v>
      </c>
      <c r="DH189" s="9">
        <f>IF(108&lt;=核心参数输入!$B$9*4,SUM($D159:DH159),0)</f>
        <v>0</v>
      </c>
      <c r="DI189" s="9">
        <f>IF(109&lt;=核心参数输入!$B$9*4,SUM($D159:DI159),0)</f>
        <v>0</v>
      </c>
      <c r="DJ189" s="9">
        <f>IF(110&lt;=核心参数输入!$B$9*4,SUM($D159:DJ159),0)</f>
        <v>0</v>
      </c>
      <c r="DK189" s="9">
        <f>IF(111&lt;=核心参数输入!$B$9*4,SUM($D159:DK159),0)</f>
        <v>0</v>
      </c>
      <c r="DL189" s="9">
        <f>IF(112&lt;=核心参数输入!$B$9*4,SUM($D159:DL159),0)</f>
        <v>0</v>
      </c>
      <c r="DM189" s="9">
        <f>IF(113&lt;=核心参数输入!$B$9*4,SUM($D159:DM159),0)</f>
        <v>0</v>
      </c>
      <c r="DN189" s="9">
        <f>IF(114&lt;=核心参数输入!$B$9*4,SUM($D159:DN159),0)</f>
        <v>0</v>
      </c>
      <c r="DO189" s="9">
        <f>IF(115&lt;=核心参数输入!$B$9*4,SUM($D159:DO159),0)</f>
        <v>0</v>
      </c>
      <c r="DP189" s="9">
        <f>IF(116&lt;=核心参数输入!$B$9*4,SUM($D159:DP159),0)</f>
        <v>0</v>
      </c>
      <c r="DQ189" s="9">
        <f>IF(117&lt;=核心参数输入!$B$9*4,SUM($D159:DQ159),0)</f>
        <v>0</v>
      </c>
      <c r="DR189" s="9">
        <f>IF(118&lt;=核心参数输入!$B$9*4,SUM($D159:DR159),0)</f>
        <v>0</v>
      </c>
      <c r="DS189" s="9">
        <f>IF(119&lt;=核心参数输入!$B$9*4,SUM($D159:DS159),0)</f>
        <v>0</v>
      </c>
      <c r="DT189" s="9">
        <f>IF(120&lt;=核心参数输入!$B$9*4,SUM($D159:DT159),0)</f>
        <v>0</v>
      </c>
    </row>
    <row r="190" spans="1:124" ht="21" customHeight="1">
      <c r="A190" s="8"/>
      <c r="B190" s="8"/>
      <c r="C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</row>
    <row r="191" spans="1:124" ht="21" customHeight="1">
      <c r="A191" s="8"/>
      <c r="B191" s="8"/>
      <c r="C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</row>
    <row r="192" spans="1:124" ht="21" customHeight="1">
      <c r="A192" s="8"/>
      <c r="B192" s="8"/>
      <c r="C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</row>
    <row r="193" spans="1:124" ht="21" customHeight="1">
      <c r="A193" s="8"/>
      <c r="B193" s="8"/>
      <c r="C193" s="8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</row>
    <row r="194" spans="1:124" ht="21" customHeight="1">
      <c r="A194" s="8"/>
      <c r="B194" s="8"/>
      <c r="C194" s="8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</row>
    <row r="195" spans="1:124" ht="21" customHeight="1">
      <c r="A195" s="8"/>
      <c r="B195" s="8"/>
      <c r="C195" s="8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</row>
    <row r="196" spans="1:124" ht="21" customHeight="1">
      <c r="A196" s="8"/>
      <c r="B196" s="8"/>
      <c r="C196" s="8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</row>
    <row r="197" spans="1:124" ht="21" customHeight="1">
      <c r="A197" s="8"/>
      <c r="B197" s="8"/>
      <c r="C197" s="8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</row>
    <row r="198" spans="1:124" ht="21" customHeight="1">
      <c r="A198" s="8"/>
      <c r="B198" s="8"/>
      <c r="C198" s="8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</row>
    <row r="199" spans="1:124" ht="21" customHeight="1">
      <c r="A199" s="8"/>
      <c r="B199" s="8"/>
      <c r="C199" s="8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</row>
    <row r="200" spans="1:124" ht="21" customHeight="1">
      <c r="A200" s="8"/>
      <c r="B200" s="8"/>
      <c r="C200" s="8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</row>
    <row r="201" spans="1:124" ht="21" customHeight="1">
      <c r="A201" s="8"/>
      <c r="B201" s="8"/>
      <c r="C201" s="8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</row>
    <row r="202" spans="1:124" ht="21" customHeight="1">
      <c r="A202" s="8"/>
      <c r="B202" s="8"/>
      <c r="C202" s="8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</row>
    <row r="203" spans="1:124" ht="21" customHeight="1">
      <c r="A203" s="8"/>
      <c r="B203" s="8"/>
      <c r="C203" s="8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</row>
    <row r="204" spans="1:124" ht="21" customHeight="1">
      <c r="A204" s="8"/>
      <c r="B204" s="8"/>
      <c r="C204" s="8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</row>
    <row r="205" spans="1:124" ht="21" customHeight="1">
      <c r="A205" s="8"/>
      <c r="B205" s="8"/>
      <c r="C205" s="8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</row>
  </sheetData>
  <sheetProtection sheet="1" objects="1" scenarios="1"/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0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10" customWidth="1"/>
    <col min="2" max="2" width="18" style="10" customWidth="1"/>
    <col min="3" max="3" width="3" style="10" customWidth="1"/>
    <col min="4" max="34" width="16" style="10" customWidth="1"/>
    <col min="35" max="16384" width="9" style="10"/>
  </cols>
  <sheetData>
    <row r="1" spans="1:34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30" customHeight="1">
      <c r="A2" s="11" t="s">
        <v>572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21" customHeight="1">
      <c r="A4" s="8" t="s">
        <v>360</v>
      </c>
      <c r="B4" s="8"/>
      <c r="C4" s="8"/>
      <c r="D4" s="31">
        <v>0</v>
      </c>
      <c r="E4" s="31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1">
        <v>30</v>
      </c>
    </row>
    <row r="5" spans="1:34" ht="21" customHeight="1">
      <c r="A5" s="8" t="s">
        <v>361</v>
      </c>
      <c r="B5" s="8"/>
      <c r="C5" s="8"/>
      <c r="D5" s="31">
        <f>核心参数输入!$B$8+D$4</f>
        <v>2026</v>
      </c>
      <c r="E5" s="31">
        <f>核心参数输入!$B$8+E$4</f>
        <v>2027</v>
      </c>
      <c r="F5" s="31">
        <f>核心参数输入!$B$8+F$4</f>
        <v>2028</v>
      </c>
      <c r="G5" s="31">
        <f>核心参数输入!$B$8+G$4</f>
        <v>2029</v>
      </c>
      <c r="H5" s="31">
        <f>核心参数输入!$B$8+H$4</f>
        <v>2030</v>
      </c>
      <c r="I5" s="31">
        <f>核心参数输入!$B$8+I$4</f>
        <v>2031</v>
      </c>
      <c r="J5" s="31">
        <f>核心参数输入!$B$8+J$4</f>
        <v>2032</v>
      </c>
      <c r="K5" s="31">
        <f>核心参数输入!$B$8+K$4</f>
        <v>2033</v>
      </c>
      <c r="L5" s="31">
        <f>核心参数输入!$B$8+L$4</f>
        <v>2034</v>
      </c>
      <c r="M5" s="31">
        <f>核心参数输入!$B$8+M$4</f>
        <v>2035</v>
      </c>
      <c r="N5" s="31">
        <f>核心参数输入!$B$8+N$4</f>
        <v>2036</v>
      </c>
      <c r="O5" s="31">
        <f>核心参数输入!$B$8+O$4</f>
        <v>2037</v>
      </c>
      <c r="P5" s="31">
        <f>核心参数输入!$B$8+P$4</f>
        <v>2038</v>
      </c>
      <c r="Q5" s="31">
        <f>核心参数输入!$B$8+Q$4</f>
        <v>2039</v>
      </c>
      <c r="R5" s="31">
        <f>核心参数输入!$B$8+R$4</f>
        <v>2040</v>
      </c>
      <c r="S5" s="31">
        <f>核心参数输入!$B$8+S$4</f>
        <v>2041</v>
      </c>
      <c r="T5" s="31">
        <f>核心参数输入!$B$8+T$4</f>
        <v>2042</v>
      </c>
      <c r="U5" s="31">
        <f>核心参数输入!$B$8+U$4</f>
        <v>2043</v>
      </c>
      <c r="V5" s="31">
        <f>核心参数输入!$B$8+V$4</f>
        <v>2044</v>
      </c>
      <c r="W5" s="31">
        <f>核心参数输入!$B$8+W$4</f>
        <v>2045</v>
      </c>
      <c r="X5" s="31">
        <f>核心参数输入!$B$8+X$4</f>
        <v>2046</v>
      </c>
      <c r="Y5" s="31">
        <f>核心参数输入!$B$8+Y$4</f>
        <v>2047</v>
      </c>
      <c r="Z5" s="31">
        <f>核心参数输入!$B$8+Z$4</f>
        <v>2048</v>
      </c>
      <c r="AA5" s="31">
        <f>核心参数输入!$B$8+AA$4</f>
        <v>2049</v>
      </c>
      <c r="AB5" s="31">
        <f>核心参数输入!$B$8+AB$4</f>
        <v>2050</v>
      </c>
      <c r="AC5" s="31">
        <f>核心参数输入!$B$8+AC$4</f>
        <v>2051</v>
      </c>
      <c r="AD5" s="31">
        <f>核心参数输入!$B$8+AD$4</f>
        <v>2052</v>
      </c>
      <c r="AE5" s="31">
        <f>核心参数输入!$B$8+AE$4</f>
        <v>2053</v>
      </c>
      <c r="AF5" s="31">
        <f>核心参数输入!$B$8+AF$4</f>
        <v>2054</v>
      </c>
      <c r="AG5" s="31">
        <f>核心参数输入!$B$8+AG$4</f>
        <v>2055</v>
      </c>
      <c r="AH5" s="31">
        <f>核心参数输入!$B$8+AH$4</f>
        <v>2056</v>
      </c>
    </row>
    <row r="6" spans="1:34" ht="21" customHeight="1">
      <c r="A6" s="8"/>
      <c r="B6" s="8"/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21" customHeight="1">
      <c r="A7" s="8"/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24" customHeight="1">
      <c r="A8" s="23" t="s">
        <v>573</v>
      </c>
      <c r="B8" s="23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ht="21" customHeight="1">
      <c r="A9" s="8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21" customHeight="1">
      <c r="A10" s="8" t="s">
        <v>574</v>
      </c>
      <c r="B10" s="8" t="s">
        <v>39</v>
      </c>
      <c r="C10" s="8"/>
      <c r="D10" s="9">
        <f>IF(0&lt;=核心参数输入!$B$9,SUMIFS(季度经营税费!$D$46:$DT$46,季度经营税费!$D$6:$DT$6,0),0)</f>
        <v>0</v>
      </c>
      <c r="E10" s="9">
        <f>IF(1&lt;=核心参数输入!$B$9,SUMIFS(季度经营税费!$D$46:$DT$46,季度经营税费!$D$6:$DT$6,1),0)</f>
        <v>0</v>
      </c>
      <c r="F10" s="9">
        <f>IF(2&lt;=核心参数输入!$B$9,SUMIFS(季度经营税费!$D$46:$DT$46,季度经营税费!$D$6:$DT$6,2),0)</f>
        <v>0</v>
      </c>
      <c r="G10" s="9">
        <f>IF(3&lt;=核心参数输入!$B$9,SUMIFS(季度经营税费!$D$46:$DT$46,季度经营税费!$D$6:$DT$6,3),0)</f>
        <v>0</v>
      </c>
      <c r="H10" s="9">
        <f>IF(4&lt;=核心参数输入!$B$9,SUMIFS(季度经营税费!$D$46:$DT$46,季度经营税费!$D$6:$DT$6,4),0)</f>
        <v>1825.1530498125016</v>
      </c>
      <c r="I10" s="9">
        <f>IF(5&lt;=核心参数输入!$B$9,SUMIFS(季度经营税费!$D$46:$DT$46,季度经营税费!$D$6:$DT$6,5),0)</f>
        <v>3439.8081364016862</v>
      </c>
      <c r="J10" s="9">
        <f>IF(6&lt;=核心参数输入!$B$9,SUMIFS(季度经营税费!$D$46:$DT$46,季度经营税费!$D$6:$DT$6,6),0)</f>
        <v>2799.2864566585931</v>
      </c>
      <c r="K10" s="9">
        <f>IF(7&lt;=核心参数输入!$B$9,SUMIFS(季度经营税费!$D$46:$DT$46,季度经营税费!$D$6:$DT$6,7),0)</f>
        <v>110.66295905978471</v>
      </c>
      <c r="L10" s="9">
        <f>IF(8&lt;=核心参数输入!$B$9,SUMIFS(季度经营税费!$D$46:$DT$46,季度经营税费!$D$6:$DT$6,8),0)</f>
        <v>192.03466823866663</v>
      </c>
      <c r="M10" s="9">
        <f>IF(9&lt;=核心参数输入!$B$9,SUMIFS(季度经营税费!$D$46:$DT$46,季度经营税费!$D$6:$DT$6,9),0)</f>
        <v>211.07139425004152</v>
      </c>
      <c r="N10" s="9">
        <f>IF(10&lt;=核心参数输入!$B$9,SUMIFS(季度经营税费!$D$46:$DT$46,季度经营税费!$D$6:$DT$6,10),0)</f>
        <v>227.67299395899195</v>
      </c>
      <c r="O10" s="9">
        <f>IF(11&lt;=核心参数输入!$B$9,SUMIFS(季度经营税费!$D$46:$DT$46,季度经营税费!$D$6:$DT$6,11),0)</f>
        <v>244.49049523948077</v>
      </c>
      <c r="P10" s="9">
        <f>IF(12&lt;=核心参数输入!$B$9,SUMIFS(季度经营税费!$D$46:$DT$46,季度经营税费!$D$6:$DT$6,12),0)</f>
        <v>261.5264741665988</v>
      </c>
      <c r="Q10" s="9">
        <f>IF(13&lt;=核心参数输入!$B$9,SUMIFS(季度经营税费!$D$46:$DT$46,季度经营税费!$D$6:$DT$6,13),0)</f>
        <v>278.78353220759425</v>
      </c>
      <c r="R10" s="9">
        <f>IF(14&lt;=核心参数输入!$B$9,SUMIFS(季度经营税费!$D$46:$DT$46,季度经营税费!$D$6:$DT$6,14),0)</f>
        <v>296.26429633777428</v>
      </c>
      <c r="S10" s="9">
        <f>IF(15&lt;=核心参数输入!$B$9,SUMIFS(季度经营税费!$D$46:$DT$46,季度经营税费!$D$6:$DT$6,15),0)</f>
        <v>313.97141915284885</v>
      </c>
      <c r="T10" s="9">
        <f>IF(16&lt;=核心参数输入!$B$9,SUMIFS(季度经营税费!$D$46:$DT$46,季度经营税费!$D$6:$DT$6,16),0)</f>
        <v>331.90757897754889</v>
      </c>
      <c r="U10" s="9">
        <f>IF(17&lt;=核心参数输入!$B$9,SUMIFS(季度经营税费!$D$46:$DT$46,季度经营税费!$D$6:$DT$6,17),0)</f>
        <v>350.07547997036852</v>
      </c>
      <c r="V10" s="9">
        <f>IF(18&lt;=核心参数输入!$B$9,SUMIFS(季度经营税费!$D$46:$DT$46,季度经营税费!$D$6:$DT$6,18),0)</f>
        <v>368.47785222424324</v>
      </c>
      <c r="W10" s="9">
        <f>IF(19&lt;=核心参数输入!$B$9,SUMIFS(季度经营税费!$D$46:$DT$46,季度经营税费!$D$6:$DT$6,19),0)</f>
        <v>387.11745186301198</v>
      </c>
      <c r="X10" s="9">
        <f>IF(20&lt;=核心参数输入!$B$9,SUMIFS(季度经营税费!$D$46:$DT$46,季度经营税费!$D$6:$DT$6,20),0)</f>
        <v>405.99706113347003</v>
      </c>
      <c r="Y10" s="9">
        <f>IF(21&lt;=核心参数输入!$B$9,SUMIFS(季度经营税费!$D$46:$DT$46,季度经营税费!$D$6:$DT$6,21),0)</f>
        <v>0</v>
      </c>
      <c r="Z10" s="9">
        <f>IF(22&lt;=核心参数输入!$B$9,SUMIFS(季度经营税费!$D$46:$DT$46,季度经营税费!$D$6:$DT$6,22),0)</f>
        <v>0</v>
      </c>
      <c r="AA10" s="9">
        <f>IF(23&lt;=核心参数输入!$B$9,SUMIFS(季度经营税费!$D$46:$DT$46,季度经营税费!$D$6:$DT$6,23),0)</f>
        <v>0</v>
      </c>
      <c r="AB10" s="9">
        <f>IF(24&lt;=核心参数输入!$B$9,SUMIFS(季度经营税费!$D$46:$DT$46,季度经营税费!$D$6:$DT$6,24),0)</f>
        <v>0</v>
      </c>
      <c r="AC10" s="9">
        <f>IF(25&lt;=核心参数输入!$B$9,SUMIFS(季度经营税费!$D$46:$DT$46,季度经营税费!$D$6:$DT$6,25),0)</f>
        <v>0</v>
      </c>
      <c r="AD10" s="9">
        <f>IF(26&lt;=核心参数输入!$B$9,SUMIFS(季度经营税费!$D$46:$DT$46,季度经营税费!$D$6:$DT$6,26),0)</f>
        <v>0</v>
      </c>
      <c r="AE10" s="9">
        <f>IF(27&lt;=核心参数输入!$B$9,SUMIFS(季度经营税费!$D$46:$DT$46,季度经营税费!$D$6:$DT$6,27),0)</f>
        <v>0</v>
      </c>
      <c r="AF10" s="9">
        <f>IF(28&lt;=核心参数输入!$B$9,SUMIFS(季度经营税费!$D$46:$DT$46,季度经营税费!$D$6:$DT$6,28),0)</f>
        <v>0</v>
      </c>
      <c r="AG10" s="9">
        <f>IF(29&lt;=核心参数输入!$B$9,SUMIFS(季度经营税费!$D$46:$DT$46,季度经营税费!$D$6:$DT$6,29),0)</f>
        <v>0</v>
      </c>
      <c r="AH10" s="9">
        <f>IF(30&lt;=核心参数输入!$B$9,SUMIFS(季度经营税费!$D$46:$DT$46,季度经营税费!$D$6:$DT$6,30),0)</f>
        <v>0</v>
      </c>
    </row>
    <row r="11" spans="1:34" ht="21" customHeight="1">
      <c r="A11" s="8" t="s">
        <v>575</v>
      </c>
      <c r="B11" s="8" t="s">
        <v>39</v>
      </c>
      <c r="C11" s="8"/>
      <c r="D11" s="9">
        <f>IF(0&lt;=核心参数输入!$B$9,SUMIFS(季度经营税费!$D$60:$DT$60,季度经营税费!$D$6:$DT$6,0),0)</f>
        <v>0</v>
      </c>
      <c r="E11" s="9">
        <f>IF(1&lt;=核心参数输入!$B$9,SUMIFS(季度经营税费!$D$60:$DT$60,季度经营税费!$D$6:$DT$6,1),0)</f>
        <v>0</v>
      </c>
      <c r="F11" s="9">
        <f>IF(2&lt;=核心参数输入!$B$9,SUMIFS(季度经营税费!$D$60:$DT$60,季度经营税费!$D$6:$DT$6,2),0)</f>
        <v>0</v>
      </c>
      <c r="G11" s="9">
        <f>IF(3&lt;=核心参数输入!$B$9,SUMIFS(季度经营税费!$D$60:$DT$60,季度经营税费!$D$6:$DT$6,3),0)</f>
        <v>0</v>
      </c>
      <c r="H11" s="9">
        <f>IF(4&lt;=核心参数输入!$B$9,SUMIFS(季度经营税费!$D$60:$DT$60,季度经营税费!$D$6:$DT$6,4),0)</f>
        <v>0</v>
      </c>
      <c r="I11" s="9">
        <f>IF(5&lt;=核心参数输入!$B$9,SUMIFS(季度经营税费!$D$60:$DT$60,季度经营税费!$D$6:$DT$6,5),0)</f>
        <v>0</v>
      </c>
      <c r="J11" s="9">
        <f>IF(6&lt;=核心参数输入!$B$9,SUMIFS(季度经营税费!$D$60:$DT$60,季度经营税费!$D$6:$DT$6,6),0)</f>
        <v>0</v>
      </c>
      <c r="K11" s="9">
        <f>IF(7&lt;=核心参数输入!$B$9,SUMIFS(季度经营税费!$D$60:$DT$60,季度经营税费!$D$6:$DT$6,7),0)</f>
        <v>0</v>
      </c>
      <c r="L11" s="9">
        <f>IF(8&lt;=核心参数输入!$B$9,SUMIFS(季度经营税费!$D$60:$DT$60,季度经营税费!$D$6:$DT$6,8),0)</f>
        <v>0</v>
      </c>
      <c r="M11" s="9">
        <f>IF(9&lt;=核心参数输入!$B$9,SUMIFS(季度经营税费!$D$60:$DT$60,季度经营税费!$D$6:$DT$6,9),0)</f>
        <v>0</v>
      </c>
      <c r="N11" s="9">
        <f>IF(10&lt;=核心参数输入!$B$9,SUMIFS(季度经营税费!$D$60:$DT$60,季度经营税费!$D$6:$DT$6,10),0)</f>
        <v>0</v>
      </c>
      <c r="O11" s="9">
        <f>IF(11&lt;=核心参数输入!$B$9,SUMIFS(季度经营税费!$D$60:$DT$60,季度经营税费!$D$6:$DT$6,11),0)</f>
        <v>0</v>
      </c>
      <c r="P11" s="9">
        <f>IF(12&lt;=核心参数输入!$B$9,SUMIFS(季度经营税费!$D$60:$DT$60,季度经营税费!$D$6:$DT$6,12),0)</f>
        <v>0</v>
      </c>
      <c r="Q11" s="9">
        <f>IF(13&lt;=核心参数输入!$B$9,SUMIFS(季度经营税费!$D$60:$DT$60,季度经营税费!$D$6:$DT$6,13),0)</f>
        <v>0</v>
      </c>
      <c r="R11" s="9">
        <f>IF(14&lt;=核心参数输入!$B$9,SUMIFS(季度经营税费!$D$60:$DT$60,季度经营税费!$D$6:$DT$6,14),0)</f>
        <v>0</v>
      </c>
      <c r="S11" s="9">
        <f>IF(15&lt;=核心参数输入!$B$9,SUMIFS(季度经营税费!$D$60:$DT$60,季度经营税费!$D$6:$DT$6,15),0)</f>
        <v>0</v>
      </c>
      <c r="T11" s="9">
        <f>IF(16&lt;=核心参数输入!$B$9,SUMIFS(季度经营税费!$D$60:$DT$60,季度经营税费!$D$6:$DT$6,16),0)</f>
        <v>0</v>
      </c>
      <c r="U11" s="9">
        <f>IF(17&lt;=核心参数输入!$B$9,SUMIFS(季度经营税费!$D$60:$DT$60,季度经营税费!$D$6:$DT$6,17),0)</f>
        <v>0</v>
      </c>
      <c r="V11" s="9">
        <f>IF(18&lt;=核心参数输入!$B$9,SUMIFS(季度经营税费!$D$60:$DT$60,季度经营税费!$D$6:$DT$6,18),0)</f>
        <v>0</v>
      </c>
      <c r="W11" s="9">
        <f>IF(19&lt;=核心参数输入!$B$9,SUMIFS(季度经营税费!$D$60:$DT$60,季度经营税费!$D$6:$DT$6,19),0)</f>
        <v>0</v>
      </c>
      <c r="X11" s="9">
        <f>IF(20&lt;=核心参数输入!$B$9,SUMIFS(季度经营税费!$D$60:$DT$60,季度经营税费!$D$6:$DT$6,20),0)</f>
        <v>15729.870000000014</v>
      </c>
      <c r="Y11" s="9">
        <f>IF(21&lt;=核心参数输入!$B$9,SUMIFS(季度经营税费!$D$60:$DT$60,季度经营税费!$D$6:$DT$6,21),0)</f>
        <v>0</v>
      </c>
      <c r="Z11" s="9">
        <f>IF(22&lt;=核心参数输入!$B$9,SUMIFS(季度经营税费!$D$60:$DT$60,季度经营税费!$D$6:$DT$6,22),0)</f>
        <v>0</v>
      </c>
      <c r="AA11" s="9">
        <f>IF(23&lt;=核心参数输入!$B$9,SUMIFS(季度经营税费!$D$60:$DT$60,季度经营税费!$D$6:$DT$6,23),0)</f>
        <v>0</v>
      </c>
      <c r="AB11" s="9">
        <f>IF(24&lt;=核心参数输入!$B$9,SUMIFS(季度经营税费!$D$60:$DT$60,季度经营税费!$D$6:$DT$6,24),0)</f>
        <v>0</v>
      </c>
      <c r="AC11" s="9">
        <f>IF(25&lt;=核心参数输入!$B$9,SUMIFS(季度经营税费!$D$60:$DT$60,季度经营税费!$D$6:$DT$6,25),0)</f>
        <v>0</v>
      </c>
      <c r="AD11" s="9">
        <f>IF(26&lt;=核心参数输入!$B$9,SUMIFS(季度经营税费!$D$60:$DT$60,季度经营税费!$D$6:$DT$6,26),0)</f>
        <v>0</v>
      </c>
      <c r="AE11" s="9">
        <f>IF(27&lt;=核心参数输入!$B$9,SUMIFS(季度经营税费!$D$60:$DT$60,季度经营税费!$D$6:$DT$6,27),0)</f>
        <v>0</v>
      </c>
      <c r="AF11" s="9">
        <f>IF(28&lt;=核心参数输入!$B$9,SUMIFS(季度经营税费!$D$60:$DT$60,季度经营税费!$D$6:$DT$6,28),0)</f>
        <v>0</v>
      </c>
      <c r="AG11" s="9">
        <f>IF(29&lt;=核心参数输入!$B$9,SUMIFS(季度经营税费!$D$60:$DT$60,季度经营税费!$D$6:$DT$6,29),0)</f>
        <v>0</v>
      </c>
      <c r="AH11" s="9">
        <f>IF(30&lt;=核心参数输入!$B$9,SUMIFS(季度经营税费!$D$60:$DT$60,季度经营税费!$D$6:$DT$6,30),0)</f>
        <v>0</v>
      </c>
    </row>
    <row r="12" spans="1:34" ht="21" customHeight="1">
      <c r="A12" s="8" t="s">
        <v>576</v>
      </c>
      <c r="B12" s="8" t="s">
        <v>39</v>
      </c>
      <c r="C12" s="8"/>
      <c r="D12" s="9">
        <f>IF(0&lt;=核心参数输入!$B$9,IF(核心参数输入!$B$100=1,0,0),0)</f>
        <v>0</v>
      </c>
      <c r="E12" s="9">
        <f>IF(1&lt;=核心参数输入!$B$9,IF(核心参数输入!$B$100=1,SUMIFS(年度所得税!$D$35:$D$65,$B$35:$B$65,"&gt;="&amp;IF(核心参数输入!$B$101=0,0,1-核心参数输入!$B$101)),0),0)</f>
        <v>0</v>
      </c>
      <c r="F12" s="9">
        <f>IF(2&lt;=核心参数输入!$B$9,IF(核心参数输入!$B$100=1,SUMIFS(年度所得税!$E$35:$E$65,$B$35:$B$65,"&gt;="&amp;IF(核心参数输入!$B$101=0,0,2-核心参数输入!$B$101)),0),0)</f>
        <v>0</v>
      </c>
      <c r="G12" s="9">
        <f>IF(3&lt;=核心参数输入!$B$9,IF(核心参数输入!$B$100=1,SUMIFS(年度所得税!$F$35:$F$65,$B$35:$B$65,"&gt;="&amp;IF(核心参数输入!$B$101=0,0,3-核心参数输入!$B$101)),0),0)</f>
        <v>0</v>
      </c>
      <c r="H12" s="9">
        <f>IF(4&lt;=核心参数输入!$B$9,IF(核心参数输入!$B$100=1,SUMIFS(年度所得税!$G$35:$G$65,$B$35:$B$65,"&gt;="&amp;IF(核心参数输入!$B$101=0,0,4-核心参数输入!$B$101)),0),0)</f>
        <v>0</v>
      </c>
      <c r="I12" s="9">
        <f>IF(5&lt;=核心参数输入!$B$9,IF(核心参数输入!$B$100=1,SUMIFS(年度所得税!$H$35:$H$65,$B$35:$B$65,"&gt;="&amp;IF(核心参数输入!$B$101=0,0,5-核心参数输入!$B$101)),0),0)</f>
        <v>0</v>
      </c>
      <c r="J12" s="9">
        <f>IF(6&lt;=核心参数输入!$B$9,IF(核心参数输入!$B$100=1,SUMIFS(年度所得税!$I$35:$I$65,$B$35:$B$65,"&gt;="&amp;IF(核心参数输入!$B$101=0,0,6-核心参数输入!$B$101)),0),0)</f>
        <v>0</v>
      </c>
      <c r="K12" s="9">
        <f>IF(7&lt;=核心参数输入!$B$9,IF(核心参数输入!$B$100=1,SUMIFS(年度所得税!$J$35:$J$65,$B$35:$B$65,"&gt;="&amp;IF(核心参数输入!$B$101=0,0,7-核心参数输入!$B$101)),0),0)</f>
        <v>0</v>
      </c>
      <c r="L12" s="9">
        <f>IF(8&lt;=核心参数输入!$B$9,IF(核心参数输入!$B$100=1,SUMIFS(年度所得税!$K$35:$K$65,$B$35:$B$65,"&gt;="&amp;IF(核心参数输入!$B$101=0,0,8-核心参数输入!$B$101)),0),0)</f>
        <v>0</v>
      </c>
      <c r="M12" s="9">
        <f>IF(9&lt;=核心参数输入!$B$9,IF(核心参数输入!$B$100=1,SUMIFS(年度所得税!$L$35:$L$65,$B$35:$B$65,"&gt;="&amp;IF(核心参数输入!$B$101=0,0,9-核心参数输入!$B$101)),0),0)</f>
        <v>0</v>
      </c>
      <c r="N12" s="9">
        <f>IF(10&lt;=核心参数输入!$B$9,IF(核心参数输入!$B$100=1,SUMIFS(年度所得税!$M$35:$M$65,$B$35:$B$65,"&gt;="&amp;IF(核心参数输入!$B$101=0,0,10-核心参数输入!$B$101)),0),0)</f>
        <v>0</v>
      </c>
      <c r="O12" s="9">
        <f>IF(11&lt;=核心参数输入!$B$9,IF(核心参数输入!$B$100=1,SUMIFS(年度所得税!$N$35:$N$65,$B$35:$B$65,"&gt;="&amp;IF(核心参数输入!$B$101=0,0,11-核心参数输入!$B$101)),0),0)</f>
        <v>0</v>
      </c>
      <c r="P12" s="9">
        <f>IF(12&lt;=核心参数输入!$B$9,IF(核心参数输入!$B$100=1,SUMIFS(年度所得税!$O$35:$O$65,$B$35:$B$65,"&gt;="&amp;IF(核心参数输入!$B$101=0,0,12-核心参数输入!$B$101)),0),0)</f>
        <v>0</v>
      </c>
      <c r="Q12" s="9">
        <f>IF(13&lt;=核心参数输入!$B$9,IF(核心参数输入!$B$100=1,SUMIFS(年度所得税!$P$35:$P$65,$B$35:$B$65,"&gt;="&amp;IF(核心参数输入!$B$101=0,0,13-核心参数输入!$B$101)),0),0)</f>
        <v>0</v>
      </c>
      <c r="R12" s="9">
        <f>IF(14&lt;=核心参数输入!$B$9,IF(核心参数输入!$B$100=1,SUMIFS(年度所得税!$Q$35:$Q$65,$B$35:$B$65,"&gt;="&amp;IF(核心参数输入!$B$101=0,0,14-核心参数输入!$B$101)),0),0)</f>
        <v>0</v>
      </c>
      <c r="S12" s="9">
        <f>IF(15&lt;=核心参数输入!$B$9,IF(核心参数输入!$B$100=1,SUMIFS(年度所得税!$R$35:$R$65,$B$35:$B$65,"&gt;="&amp;IF(核心参数输入!$B$101=0,0,15-核心参数输入!$B$101)),0),0)</f>
        <v>0</v>
      </c>
      <c r="T12" s="9">
        <f>IF(16&lt;=核心参数输入!$B$9,IF(核心参数输入!$B$100=1,SUMIFS(年度所得税!$S$35:$S$65,$B$35:$B$65,"&gt;="&amp;IF(核心参数输入!$B$101=0,0,16-核心参数输入!$B$101)),0),0)</f>
        <v>0</v>
      </c>
      <c r="U12" s="9">
        <f>IF(17&lt;=核心参数输入!$B$9,IF(核心参数输入!$B$100=1,SUMIFS(年度所得税!$T$35:$T$65,$B$35:$B$65,"&gt;="&amp;IF(核心参数输入!$B$101=0,0,17-核心参数输入!$B$101)),0),0)</f>
        <v>0</v>
      </c>
      <c r="V12" s="9">
        <f>IF(18&lt;=核心参数输入!$B$9,IF(核心参数输入!$B$100=1,SUMIFS(年度所得税!$U$35:$U$65,$B$35:$B$65,"&gt;="&amp;IF(核心参数输入!$B$101=0,0,18-核心参数输入!$B$101)),0),0)</f>
        <v>0</v>
      </c>
      <c r="W12" s="9">
        <f>IF(19&lt;=核心参数输入!$B$9,IF(核心参数输入!$B$100=1,SUMIFS(年度所得税!$V$35:$V$65,$B$35:$B$65,"&gt;="&amp;IF(核心参数输入!$B$101=0,0,19-核心参数输入!$B$101)),0),0)</f>
        <v>0</v>
      </c>
      <c r="X12" s="9">
        <f>IF(20&lt;=核心参数输入!$B$9,IF(核心参数输入!$B$100=1,SUMIFS(年度所得税!$W$35:$W$65,$B$35:$B$65,"&gt;="&amp;IF(核心参数输入!$B$101=0,0,20-核心参数输入!$B$101)),0),0)</f>
        <v>0</v>
      </c>
      <c r="Y12" s="9">
        <f>IF(21&lt;=核心参数输入!$B$9,IF(核心参数输入!$B$100=1,SUMIFS(年度所得税!$X$35:$X$65,$B$35:$B$65,"&gt;="&amp;IF(核心参数输入!$B$101=0,0,21-核心参数输入!$B$101)),0),0)</f>
        <v>0</v>
      </c>
      <c r="Z12" s="9">
        <f>IF(22&lt;=核心参数输入!$B$9,IF(核心参数输入!$B$100=1,SUMIFS(年度所得税!$Y$35:$Y$65,$B$35:$B$65,"&gt;="&amp;IF(核心参数输入!$B$101=0,0,22-核心参数输入!$B$101)),0),0)</f>
        <v>0</v>
      </c>
      <c r="AA12" s="9">
        <f>IF(23&lt;=核心参数输入!$B$9,IF(核心参数输入!$B$100=1,SUMIFS(年度所得税!$Z$35:$Z$65,$B$35:$B$65,"&gt;="&amp;IF(核心参数输入!$B$101=0,0,23-核心参数输入!$B$101)),0),0)</f>
        <v>0</v>
      </c>
      <c r="AB12" s="9">
        <f>IF(24&lt;=核心参数输入!$B$9,IF(核心参数输入!$B$100=1,SUMIFS(年度所得税!$AA$35:$AA$65,$B$35:$B$65,"&gt;="&amp;IF(核心参数输入!$B$101=0,0,24-核心参数输入!$B$101)),0),0)</f>
        <v>0</v>
      </c>
      <c r="AC12" s="9">
        <f>IF(25&lt;=核心参数输入!$B$9,IF(核心参数输入!$B$100=1,SUMIFS(年度所得税!$AB$35:$AB$65,$B$35:$B$65,"&gt;="&amp;IF(核心参数输入!$B$101=0,0,25-核心参数输入!$B$101)),0),0)</f>
        <v>0</v>
      </c>
      <c r="AD12" s="9">
        <f>IF(26&lt;=核心参数输入!$B$9,IF(核心参数输入!$B$100=1,SUMIFS(年度所得税!$AC$35:$AC$65,$B$35:$B$65,"&gt;="&amp;IF(核心参数输入!$B$101=0,0,26-核心参数输入!$B$101)),0),0)</f>
        <v>0</v>
      </c>
      <c r="AE12" s="9">
        <f>IF(27&lt;=核心参数输入!$B$9,IF(核心参数输入!$B$100=1,SUMIFS(年度所得税!$AD$35:$AD$65,$B$35:$B$65,"&gt;="&amp;IF(核心参数输入!$B$101=0,0,27-核心参数输入!$B$101)),0),0)</f>
        <v>0</v>
      </c>
      <c r="AF12" s="9">
        <f>IF(28&lt;=核心参数输入!$B$9,IF(核心参数输入!$B$100=1,SUMIFS(年度所得税!$AE$35:$AE$65,$B$35:$B$65,"&gt;="&amp;IF(核心参数输入!$B$101=0,0,28-核心参数输入!$B$101)),0),0)</f>
        <v>0</v>
      </c>
      <c r="AG12" s="9">
        <f>IF(29&lt;=核心参数输入!$B$9,IF(核心参数输入!$B$100=1,SUMIFS(年度所得税!$AF$35:$AF$65,$B$35:$B$65,"&gt;="&amp;IF(核心参数输入!$B$101=0,0,29-核心参数输入!$B$101)),0),0)</f>
        <v>0</v>
      </c>
      <c r="AH12" s="9">
        <f>IF(30&lt;=核心参数输入!$B$9,IF(核心参数输入!$B$100=1,SUMIFS(年度所得税!$AG$35:$AG$65,$B$35:$B$65,"&gt;="&amp;IF(核心参数输入!$B$101=0,0,30-核心参数输入!$B$101)),0),0)</f>
        <v>0</v>
      </c>
    </row>
    <row r="13" spans="1:34" ht="21" customHeight="1">
      <c r="A13" s="8" t="s">
        <v>577</v>
      </c>
      <c r="B13" s="8" t="s">
        <v>39</v>
      </c>
      <c r="C13" s="8"/>
      <c r="D13" s="9">
        <f>IF(0&lt;=核心参数输入!$B$9,MIN(MAX(0,D10),D12),0)</f>
        <v>0</v>
      </c>
      <c r="E13" s="9">
        <f>IF(1&lt;=核心参数输入!$B$9,MIN(MAX(0,E10),E12),0)</f>
        <v>0</v>
      </c>
      <c r="F13" s="9">
        <f>IF(2&lt;=核心参数输入!$B$9,MIN(MAX(0,F10),F12),0)</f>
        <v>0</v>
      </c>
      <c r="G13" s="9">
        <f>IF(3&lt;=核心参数输入!$B$9,MIN(MAX(0,G10),G12),0)</f>
        <v>0</v>
      </c>
      <c r="H13" s="9">
        <f>IF(4&lt;=核心参数输入!$B$9,MIN(MAX(0,H10),H12),0)</f>
        <v>0</v>
      </c>
      <c r="I13" s="9">
        <f>IF(5&lt;=核心参数输入!$B$9,MIN(MAX(0,I10),I12),0)</f>
        <v>0</v>
      </c>
      <c r="J13" s="9">
        <f>IF(6&lt;=核心参数输入!$B$9,MIN(MAX(0,J10),J12),0)</f>
        <v>0</v>
      </c>
      <c r="K13" s="9">
        <f>IF(7&lt;=核心参数输入!$B$9,MIN(MAX(0,K10),K12),0)</f>
        <v>0</v>
      </c>
      <c r="L13" s="9">
        <f>IF(8&lt;=核心参数输入!$B$9,MIN(MAX(0,L10),L12),0)</f>
        <v>0</v>
      </c>
      <c r="M13" s="9">
        <f>IF(9&lt;=核心参数输入!$B$9,MIN(MAX(0,M10),M12),0)</f>
        <v>0</v>
      </c>
      <c r="N13" s="9">
        <f>IF(10&lt;=核心参数输入!$B$9,MIN(MAX(0,N10),N12),0)</f>
        <v>0</v>
      </c>
      <c r="O13" s="9">
        <f>IF(11&lt;=核心参数输入!$B$9,MIN(MAX(0,O10),O12),0)</f>
        <v>0</v>
      </c>
      <c r="P13" s="9">
        <f>IF(12&lt;=核心参数输入!$B$9,MIN(MAX(0,P10),P12),0)</f>
        <v>0</v>
      </c>
      <c r="Q13" s="9">
        <f>IF(13&lt;=核心参数输入!$B$9,MIN(MAX(0,Q10),Q12),0)</f>
        <v>0</v>
      </c>
      <c r="R13" s="9">
        <f>IF(14&lt;=核心参数输入!$B$9,MIN(MAX(0,R10),R12),0)</f>
        <v>0</v>
      </c>
      <c r="S13" s="9">
        <f>IF(15&lt;=核心参数输入!$B$9,MIN(MAX(0,S10),S12),0)</f>
        <v>0</v>
      </c>
      <c r="T13" s="9">
        <f>IF(16&lt;=核心参数输入!$B$9,MIN(MAX(0,T10),T12),0)</f>
        <v>0</v>
      </c>
      <c r="U13" s="9">
        <f>IF(17&lt;=核心参数输入!$B$9,MIN(MAX(0,U10),U12),0)</f>
        <v>0</v>
      </c>
      <c r="V13" s="9">
        <f>IF(18&lt;=核心参数输入!$B$9,MIN(MAX(0,V10),V12),0)</f>
        <v>0</v>
      </c>
      <c r="W13" s="9">
        <f>IF(19&lt;=核心参数输入!$B$9,MIN(MAX(0,W10),W12),0)</f>
        <v>0</v>
      </c>
      <c r="X13" s="9">
        <f>IF(20&lt;=核心参数输入!$B$9,MIN(MAX(0,X10),X12),0)</f>
        <v>0</v>
      </c>
      <c r="Y13" s="9">
        <f>IF(21&lt;=核心参数输入!$B$9,MIN(MAX(0,Y10),Y12),0)</f>
        <v>0</v>
      </c>
      <c r="Z13" s="9">
        <f>IF(22&lt;=核心参数输入!$B$9,MIN(MAX(0,Z10),Z12),0)</f>
        <v>0</v>
      </c>
      <c r="AA13" s="9">
        <f>IF(23&lt;=核心参数输入!$B$9,MIN(MAX(0,AA10),AA12),0)</f>
        <v>0</v>
      </c>
      <c r="AB13" s="9">
        <f>IF(24&lt;=核心参数输入!$B$9,MIN(MAX(0,AB10),AB12),0)</f>
        <v>0</v>
      </c>
      <c r="AC13" s="9">
        <f>IF(25&lt;=核心参数输入!$B$9,MIN(MAX(0,AC10),AC12),0)</f>
        <v>0</v>
      </c>
      <c r="AD13" s="9">
        <f>IF(26&lt;=核心参数输入!$B$9,MIN(MAX(0,AD10),AD12),0)</f>
        <v>0</v>
      </c>
      <c r="AE13" s="9">
        <f>IF(27&lt;=核心参数输入!$B$9,MIN(MAX(0,AE10),AE12),0)</f>
        <v>0</v>
      </c>
      <c r="AF13" s="9">
        <f>IF(28&lt;=核心参数输入!$B$9,MIN(MAX(0,AF10),AF12),0)</f>
        <v>0</v>
      </c>
      <c r="AG13" s="9">
        <f>IF(29&lt;=核心参数输入!$B$9,MIN(MAX(0,AG10),AG12),0)</f>
        <v>0</v>
      </c>
      <c r="AH13" s="9">
        <f>IF(30&lt;=核心参数输入!$B$9,MIN(MAX(0,AH10),AH12),0)</f>
        <v>0</v>
      </c>
    </row>
    <row r="14" spans="1:34" ht="21" customHeight="1">
      <c r="A14" s="8" t="s">
        <v>578</v>
      </c>
      <c r="B14" s="8" t="s">
        <v>39</v>
      </c>
      <c r="C14" s="8"/>
      <c r="D14" s="9">
        <f>IF(0&lt;=核心参数输入!$B$9,MAX(0,D10-D13),0)</f>
        <v>0</v>
      </c>
      <c r="E14" s="9">
        <f>IF(1&lt;=核心参数输入!$B$9,MAX(0,E10-E13),0)</f>
        <v>0</v>
      </c>
      <c r="F14" s="9">
        <f>IF(2&lt;=核心参数输入!$B$9,MAX(0,F10-F13),0)</f>
        <v>0</v>
      </c>
      <c r="G14" s="9">
        <f>IF(3&lt;=核心参数输入!$B$9,MAX(0,G10-G13),0)</f>
        <v>0</v>
      </c>
      <c r="H14" s="9">
        <f>IF(4&lt;=核心参数输入!$B$9,MAX(0,H10-H13),0)</f>
        <v>1825.1530498125016</v>
      </c>
      <c r="I14" s="9">
        <f>IF(5&lt;=核心参数输入!$B$9,MAX(0,I10-I13),0)</f>
        <v>3439.8081364016862</v>
      </c>
      <c r="J14" s="9">
        <f>IF(6&lt;=核心参数输入!$B$9,MAX(0,J10-J13),0)</f>
        <v>2799.2864566585931</v>
      </c>
      <c r="K14" s="9">
        <f>IF(7&lt;=核心参数输入!$B$9,MAX(0,K10-K13),0)</f>
        <v>110.66295905978471</v>
      </c>
      <c r="L14" s="9">
        <f>IF(8&lt;=核心参数输入!$B$9,MAX(0,L10-L13),0)</f>
        <v>192.03466823866663</v>
      </c>
      <c r="M14" s="9">
        <f>IF(9&lt;=核心参数输入!$B$9,MAX(0,M10-M13),0)</f>
        <v>211.07139425004152</v>
      </c>
      <c r="N14" s="9">
        <f>IF(10&lt;=核心参数输入!$B$9,MAX(0,N10-N13),0)</f>
        <v>227.67299395899195</v>
      </c>
      <c r="O14" s="9">
        <f>IF(11&lt;=核心参数输入!$B$9,MAX(0,O10-O13),0)</f>
        <v>244.49049523948077</v>
      </c>
      <c r="P14" s="9">
        <f>IF(12&lt;=核心参数输入!$B$9,MAX(0,P10-P13),0)</f>
        <v>261.5264741665988</v>
      </c>
      <c r="Q14" s="9">
        <f>IF(13&lt;=核心参数输入!$B$9,MAX(0,Q10-Q13),0)</f>
        <v>278.78353220759425</v>
      </c>
      <c r="R14" s="9">
        <f>IF(14&lt;=核心参数输入!$B$9,MAX(0,R10-R13),0)</f>
        <v>296.26429633777428</v>
      </c>
      <c r="S14" s="9">
        <f>IF(15&lt;=核心参数输入!$B$9,MAX(0,S10-S13),0)</f>
        <v>313.97141915284885</v>
      </c>
      <c r="T14" s="9">
        <f>IF(16&lt;=核心参数输入!$B$9,MAX(0,T10-T13),0)</f>
        <v>331.90757897754889</v>
      </c>
      <c r="U14" s="9">
        <f>IF(17&lt;=核心参数输入!$B$9,MAX(0,U10-U13),0)</f>
        <v>350.07547997036852</v>
      </c>
      <c r="V14" s="9">
        <f>IF(18&lt;=核心参数输入!$B$9,MAX(0,V10-V13),0)</f>
        <v>368.47785222424324</v>
      </c>
      <c r="W14" s="9">
        <f>IF(19&lt;=核心参数输入!$B$9,MAX(0,W10-W13),0)</f>
        <v>387.11745186301198</v>
      </c>
      <c r="X14" s="9">
        <f>IF(20&lt;=核心参数输入!$B$9,MAX(0,X10-X13),0)</f>
        <v>405.99706113347003</v>
      </c>
      <c r="Y14" s="9">
        <f>IF(21&lt;=核心参数输入!$B$9,MAX(0,Y10-Y13),0)</f>
        <v>0</v>
      </c>
      <c r="Z14" s="9">
        <f>IF(22&lt;=核心参数输入!$B$9,MAX(0,Z10-Z13),0)</f>
        <v>0</v>
      </c>
      <c r="AA14" s="9">
        <f>IF(23&lt;=核心参数输入!$B$9,MAX(0,AA10-AA13),0)</f>
        <v>0</v>
      </c>
      <c r="AB14" s="9">
        <f>IF(24&lt;=核心参数输入!$B$9,MAX(0,AB10-AB13),0)</f>
        <v>0</v>
      </c>
      <c r="AC14" s="9">
        <f>IF(25&lt;=核心参数输入!$B$9,MAX(0,AC10-AC13),0)</f>
        <v>0</v>
      </c>
      <c r="AD14" s="9">
        <f>IF(26&lt;=核心参数输入!$B$9,MAX(0,AD10-AD13),0)</f>
        <v>0</v>
      </c>
      <c r="AE14" s="9">
        <f>IF(27&lt;=核心参数输入!$B$9,MAX(0,AE10-AE13),0)</f>
        <v>0</v>
      </c>
      <c r="AF14" s="9">
        <f>IF(28&lt;=核心参数输入!$B$9,MAX(0,AF10-AF13),0)</f>
        <v>0</v>
      </c>
      <c r="AG14" s="9">
        <f>IF(29&lt;=核心参数输入!$B$9,MAX(0,AG10-AG13),0)</f>
        <v>0</v>
      </c>
      <c r="AH14" s="9">
        <f>IF(30&lt;=核心参数输入!$B$9,MAX(0,AH10-AH13),0)</f>
        <v>0</v>
      </c>
    </row>
    <row r="15" spans="1:34" ht="21" customHeight="1">
      <c r="A15" s="8" t="s">
        <v>579</v>
      </c>
      <c r="B15" s="8" t="s">
        <v>39</v>
      </c>
      <c r="C15" s="8"/>
      <c r="D15" s="9">
        <f>IF(0&lt;=核心参数输入!$B$9,D14*核心参数输入!$B$52,0)</f>
        <v>0</v>
      </c>
      <c r="E15" s="9">
        <f>IF(1&lt;=核心参数输入!$B$9,E14*核心参数输入!$B$52,0)</f>
        <v>0</v>
      </c>
      <c r="F15" s="9">
        <f>IF(2&lt;=核心参数输入!$B$9,F14*核心参数输入!$B$52,0)</f>
        <v>0</v>
      </c>
      <c r="G15" s="9">
        <f>IF(3&lt;=核心参数输入!$B$9,G14*核心参数输入!$B$52,0)</f>
        <v>0</v>
      </c>
      <c r="H15" s="9">
        <f>IF(4&lt;=核心参数输入!$B$9,H14*核心参数输入!$B$52,0)</f>
        <v>456.28826245312541</v>
      </c>
      <c r="I15" s="9">
        <f>IF(5&lt;=核心参数输入!$B$9,I14*核心参数输入!$B$52,0)</f>
        <v>859.95203410042154</v>
      </c>
      <c r="J15" s="9">
        <f>IF(6&lt;=核心参数输入!$B$9,J14*核心参数输入!$B$52,0)</f>
        <v>699.82161416464828</v>
      </c>
      <c r="K15" s="9">
        <f>IF(7&lt;=核心参数输入!$B$9,K14*核心参数输入!$B$52,0)</f>
        <v>27.665739764946178</v>
      </c>
      <c r="L15" s="9">
        <f>IF(8&lt;=核心参数输入!$B$9,L14*核心参数输入!$B$52,0)</f>
        <v>48.008667059666656</v>
      </c>
      <c r="M15" s="9">
        <f>IF(9&lt;=核心参数输入!$B$9,M14*核心参数输入!$B$52,0)</f>
        <v>52.76784856251038</v>
      </c>
      <c r="N15" s="9">
        <f>IF(10&lt;=核心参数输入!$B$9,N14*核心参数输入!$B$52,0)</f>
        <v>56.918248489747988</v>
      </c>
      <c r="O15" s="9">
        <f>IF(11&lt;=核心参数输入!$B$9,O14*核心参数输入!$B$52,0)</f>
        <v>61.122623809870191</v>
      </c>
      <c r="P15" s="9">
        <f>IF(12&lt;=核心参数输入!$B$9,P14*核心参数输入!$B$52,0)</f>
        <v>65.381618541649701</v>
      </c>
      <c r="Q15" s="9">
        <f>IF(13&lt;=核心参数输入!$B$9,Q14*核心参数输入!$B$52,0)</f>
        <v>69.695883051898562</v>
      </c>
      <c r="R15" s="9">
        <f>IF(14&lt;=核心参数输入!$B$9,R14*核心参数输入!$B$52,0)</f>
        <v>74.066074084443571</v>
      </c>
      <c r="S15" s="9">
        <f>IF(15&lt;=核心参数输入!$B$9,S14*核心参数输入!$B$52,0)</f>
        <v>78.492854788212213</v>
      </c>
      <c r="T15" s="9">
        <f>IF(16&lt;=核心参数输入!$B$9,T14*核心参数输入!$B$52,0)</f>
        <v>82.976894744387224</v>
      </c>
      <c r="U15" s="9">
        <f>IF(17&lt;=核心参数输入!$B$9,U14*核心参数输入!$B$52,0)</f>
        <v>87.51886999259213</v>
      </c>
      <c r="V15" s="9">
        <f>IF(18&lt;=核心参数输入!$B$9,V14*核心参数输入!$B$52,0)</f>
        <v>92.119463056060809</v>
      </c>
      <c r="W15" s="9">
        <f>IF(19&lt;=核心参数输入!$B$9,W14*核心参数输入!$B$52,0)</f>
        <v>96.779362965752995</v>
      </c>
      <c r="X15" s="9">
        <f>IF(20&lt;=核心参数输入!$B$9,X14*核心参数输入!$B$52,0)</f>
        <v>101.49926528336751</v>
      </c>
      <c r="Y15" s="9">
        <f>IF(21&lt;=核心参数输入!$B$9,Y14*核心参数输入!$B$52,0)</f>
        <v>0</v>
      </c>
      <c r="Z15" s="9">
        <f>IF(22&lt;=核心参数输入!$B$9,Z14*核心参数输入!$B$52,0)</f>
        <v>0</v>
      </c>
      <c r="AA15" s="9">
        <f>IF(23&lt;=核心参数输入!$B$9,AA14*核心参数输入!$B$52,0)</f>
        <v>0</v>
      </c>
      <c r="AB15" s="9">
        <f>IF(24&lt;=核心参数输入!$B$9,AB14*核心参数输入!$B$52,0)</f>
        <v>0</v>
      </c>
      <c r="AC15" s="9">
        <f>IF(25&lt;=核心参数输入!$B$9,AC14*核心参数输入!$B$52,0)</f>
        <v>0</v>
      </c>
      <c r="AD15" s="9">
        <f>IF(26&lt;=核心参数输入!$B$9,AD14*核心参数输入!$B$52,0)</f>
        <v>0</v>
      </c>
      <c r="AE15" s="9">
        <f>IF(27&lt;=核心参数输入!$B$9,AE14*核心参数输入!$B$52,0)</f>
        <v>0</v>
      </c>
      <c r="AF15" s="9">
        <f>IF(28&lt;=核心参数输入!$B$9,AF14*核心参数输入!$B$52,0)</f>
        <v>0</v>
      </c>
      <c r="AG15" s="9">
        <f>IF(29&lt;=核心参数输入!$B$9,AG14*核心参数输入!$B$52,0)</f>
        <v>0</v>
      </c>
      <c r="AH15" s="9">
        <f>IF(30&lt;=核心参数输入!$B$9,AH14*核心参数输入!$B$52,0)</f>
        <v>0</v>
      </c>
    </row>
    <row r="16" spans="1:34" ht="21" customHeight="1">
      <c r="A16" s="8" t="s">
        <v>580</v>
      </c>
      <c r="B16" s="8" t="s">
        <v>39</v>
      </c>
      <c r="C16" s="8"/>
      <c r="D16" s="9">
        <f>IF(0&lt;=核心参数输入!$B$9,IF(核心参数输入!$B$100=1,MAX(0,-D10),0),0)</f>
        <v>0</v>
      </c>
      <c r="E16" s="9">
        <f>IF(1&lt;=核心参数输入!$B$9,IF(核心参数输入!$B$100=1,MAX(0,-E10),0),0)</f>
        <v>0</v>
      </c>
      <c r="F16" s="9">
        <f>IF(2&lt;=核心参数输入!$B$9,IF(核心参数输入!$B$100=1,MAX(0,-F10),0),0)</f>
        <v>0</v>
      </c>
      <c r="G16" s="9">
        <f>IF(3&lt;=核心参数输入!$B$9,IF(核心参数输入!$B$100=1,MAX(0,-G10),0),0)</f>
        <v>0</v>
      </c>
      <c r="H16" s="9">
        <f>IF(4&lt;=核心参数输入!$B$9,IF(核心参数输入!$B$100=1,MAX(0,-H10),0),0)</f>
        <v>0</v>
      </c>
      <c r="I16" s="9">
        <f>IF(5&lt;=核心参数输入!$B$9,IF(核心参数输入!$B$100=1,MAX(0,-I10),0),0)</f>
        <v>0</v>
      </c>
      <c r="J16" s="9">
        <f>IF(6&lt;=核心参数输入!$B$9,IF(核心参数输入!$B$100=1,MAX(0,-J10),0),0)</f>
        <v>0</v>
      </c>
      <c r="K16" s="9">
        <f>IF(7&lt;=核心参数输入!$B$9,IF(核心参数输入!$B$100=1,MAX(0,-K10),0),0)</f>
        <v>0</v>
      </c>
      <c r="L16" s="9">
        <f>IF(8&lt;=核心参数输入!$B$9,IF(核心参数输入!$B$100=1,MAX(0,-L10),0),0)</f>
        <v>0</v>
      </c>
      <c r="M16" s="9">
        <f>IF(9&lt;=核心参数输入!$B$9,IF(核心参数输入!$B$100=1,MAX(0,-M10),0),0)</f>
        <v>0</v>
      </c>
      <c r="N16" s="9">
        <f>IF(10&lt;=核心参数输入!$B$9,IF(核心参数输入!$B$100=1,MAX(0,-N10),0),0)</f>
        <v>0</v>
      </c>
      <c r="O16" s="9">
        <f>IF(11&lt;=核心参数输入!$B$9,IF(核心参数输入!$B$100=1,MAX(0,-O10),0),0)</f>
        <v>0</v>
      </c>
      <c r="P16" s="9">
        <f>IF(12&lt;=核心参数输入!$B$9,IF(核心参数输入!$B$100=1,MAX(0,-P10),0),0)</f>
        <v>0</v>
      </c>
      <c r="Q16" s="9">
        <f>IF(13&lt;=核心参数输入!$B$9,IF(核心参数输入!$B$100=1,MAX(0,-Q10),0),0)</f>
        <v>0</v>
      </c>
      <c r="R16" s="9">
        <f>IF(14&lt;=核心参数输入!$B$9,IF(核心参数输入!$B$100=1,MAX(0,-R10),0),0)</f>
        <v>0</v>
      </c>
      <c r="S16" s="9">
        <f>IF(15&lt;=核心参数输入!$B$9,IF(核心参数输入!$B$100=1,MAX(0,-S10),0),0)</f>
        <v>0</v>
      </c>
      <c r="T16" s="9">
        <f>IF(16&lt;=核心参数输入!$B$9,IF(核心参数输入!$B$100=1,MAX(0,-T10),0),0)</f>
        <v>0</v>
      </c>
      <c r="U16" s="9">
        <f>IF(17&lt;=核心参数输入!$B$9,IF(核心参数输入!$B$100=1,MAX(0,-U10),0),0)</f>
        <v>0</v>
      </c>
      <c r="V16" s="9">
        <f>IF(18&lt;=核心参数输入!$B$9,IF(核心参数输入!$B$100=1,MAX(0,-V10),0),0)</f>
        <v>0</v>
      </c>
      <c r="W16" s="9">
        <f>IF(19&lt;=核心参数输入!$B$9,IF(核心参数输入!$B$100=1,MAX(0,-W10),0),0)</f>
        <v>0</v>
      </c>
      <c r="X16" s="9">
        <f>IF(20&lt;=核心参数输入!$B$9,IF(核心参数输入!$B$100=1,MAX(0,-X10),0),0)</f>
        <v>0</v>
      </c>
      <c r="Y16" s="9">
        <f>IF(21&lt;=核心参数输入!$B$9,IF(核心参数输入!$B$100=1,MAX(0,-Y10),0),0)</f>
        <v>0</v>
      </c>
      <c r="Z16" s="9">
        <f>IF(22&lt;=核心参数输入!$B$9,IF(核心参数输入!$B$100=1,MAX(0,-Z10),0),0)</f>
        <v>0</v>
      </c>
      <c r="AA16" s="9">
        <f>IF(23&lt;=核心参数输入!$B$9,IF(核心参数输入!$B$100=1,MAX(0,-AA10),0),0)</f>
        <v>0</v>
      </c>
      <c r="AB16" s="9">
        <f>IF(24&lt;=核心参数输入!$B$9,IF(核心参数输入!$B$100=1,MAX(0,-AB10),0),0)</f>
        <v>0</v>
      </c>
      <c r="AC16" s="9">
        <f>IF(25&lt;=核心参数输入!$B$9,IF(核心参数输入!$B$100=1,MAX(0,-AC10),0),0)</f>
        <v>0</v>
      </c>
      <c r="AD16" s="9">
        <f>IF(26&lt;=核心参数输入!$B$9,IF(核心参数输入!$B$100=1,MAX(0,-AD10),0),0)</f>
        <v>0</v>
      </c>
      <c r="AE16" s="9">
        <f>IF(27&lt;=核心参数输入!$B$9,IF(核心参数输入!$B$100=1,MAX(0,-AE10),0),0)</f>
        <v>0</v>
      </c>
      <c r="AF16" s="9">
        <f>IF(28&lt;=核心参数输入!$B$9,IF(核心参数输入!$B$100=1,MAX(0,-AF10),0),0)</f>
        <v>0</v>
      </c>
      <c r="AG16" s="9">
        <f>IF(29&lt;=核心参数输入!$B$9,IF(核心参数输入!$B$100=1,MAX(0,-AG10),0),0)</f>
        <v>0</v>
      </c>
      <c r="AH16" s="9">
        <f>IF(30&lt;=核心参数输入!$B$9,IF(核心参数输入!$B$100=1,MAX(0,-AH10),0),0)</f>
        <v>0</v>
      </c>
    </row>
    <row r="17" spans="1:34" ht="21" customHeight="1">
      <c r="A17" s="8" t="s">
        <v>581</v>
      </c>
      <c r="B17" s="8" t="s">
        <v>39</v>
      </c>
      <c r="C17" s="8"/>
      <c r="D17" s="9">
        <f>IF(0&lt;=核心参数输入!$B$9,SUM(D35:D65),0)</f>
        <v>0</v>
      </c>
      <c r="E17" s="9">
        <f>IF(1&lt;=核心参数输入!$B$9,SUM(E35:E65),0)</f>
        <v>0</v>
      </c>
      <c r="F17" s="9">
        <f>IF(2&lt;=核心参数输入!$B$9,SUM(F35:F65),0)</f>
        <v>0</v>
      </c>
      <c r="G17" s="9">
        <f>IF(3&lt;=核心参数输入!$B$9,SUM(G35:G65),0)</f>
        <v>0</v>
      </c>
      <c r="H17" s="9">
        <f>IF(4&lt;=核心参数输入!$B$9,SUM(H35:H65),0)</f>
        <v>0</v>
      </c>
      <c r="I17" s="9">
        <f>IF(5&lt;=核心参数输入!$B$9,SUM(I35:I65),0)</f>
        <v>0</v>
      </c>
      <c r="J17" s="9">
        <f>IF(6&lt;=核心参数输入!$B$9,SUM(J35:J65),0)</f>
        <v>0</v>
      </c>
      <c r="K17" s="9">
        <f>IF(7&lt;=核心参数输入!$B$9,SUM(K35:K65),0)</f>
        <v>0</v>
      </c>
      <c r="L17" s="9">
        <f>IF(8&lt;=核心参数输入!$B$9,SUM(L35:L65),0)</f>
        <v>0</v>
      </c>
      <c r="M17" s="9">
        <f>IF(9&lt;=核心参数输入!$B$9,SUM(M35:M65),0)</f>
        <v>0</v>
      </c>
      <c r="N17" s="9">
        <f>IF(10&lt;=核心参数输入!$B$9,SUM(N35:N65),0)</f>
        <v>0</v>
      </c>
      <c r="O17" s="9">
        <f>IF(11&lt;=核心参数输入!$B$9,SUM(O35:O65),0)</f>
        <v>0</v>
      </c>
      <c r="P17" s="9">
        <f>IF(12&lt;=核心参数输入!$B$9,SUM(P35:P65),0)</f>
        <v>0</v>
      </c>
      <c r="Q17" s="9">
        <f>IF(13&lt;=核心参数输入!$B$9,SUM(Q35:Q65),0)</f>
        <v>0</v>
      </c>
      <c r="R17" s="9">
        <f>IF(14&lt;=核心参数输入!$B$9,SUM(R35:R65),0)</f>
        <v>0</v>
      </c>
      <c r="S17" s="9">
        <f>IF(15&lt;=核心参数输入!$B$9,SUM(S35:S65),0)</f>
        <v>0</v>
      </c>
      <c r="T17" s="9">
        <f>IF(16&lt;=核心参数输入!$B$9,SUM(T35:T65),0)</f>
        <v>0</v>
      </c>
      <c r="U17" s="9">
        <f>IF(17&lt;=核心参数输入!$B$9,SUM(U35:U65),0)</f>
        <v>0</v>
      </c>
      <c r="V17" s="9">
        <f>IF(18&lt;=核心参数输入!$B$9,SUM(V35:V65),0)</f>
        <v>0</v>
      </c>
      <c r="W17" s="9">
        <f>IF(19&lt;=核心参数输入!$B$9,SUM(W35:W65),0)</f>
        <v>0</v>
      </c>
      <c r="X17" s="9">
        <f>IF(20&lt;=核心参数输入!$B$9,SUM(X35:X65),0)</f>
        <v>0</v>
      </c>
      <c r="Y17" s="9">
        <f>IF(21&lt;=核心参数输入!$B$9,SUM(Y35:Y65),0)</f>
        <v>0</v>
      </c>
      <c r="Z17" s="9">
        <f>IF(22&lt;=核心参数输入!$B$9,SUM(Z35:Z65),0)</f>
        <v>0</v>
      </c>
      <c r="AA17" s="9">
        <f>IF(23&lt;=核心参数输入!$B$9,SUM(AA35:AA65),0)</f>
        <v>0</v>
      </c>
      <c r="AB17" s="9">
        <f>IF(24&lt;=核心参数输入!$B$9,SUM(AB35:AB65),0)</f>
        <v>0</v>
      </c>
      <c r="AC17" s="9">
        <f>IF(25&lt;=核心参数输入!$B$9,SUM(AC35:AC65),0)</f>
        <v>0</v>
      </c>
      <c r="AD17" s="9">
        <f>IF(26&lt;=核心参数输入!$B$9,SUM(AD35:AD65),0)</f>
        <v>0</v>
      </c>
      <c r="AE17" s="9">
        <f>IF(27&lt;=核心参数输入!$B$9,SUM(AE35:AE65),0)</f>
        <v>0</v>
      </c>
      <c r="AF17" s="9">
        <f>IF(28&lt;=核心参数输入!$B$9,SUM(AF35:AF65),0)</f>
        <v>0</v>
      </c>
      <c r="AG17" s="9">
        <f>IF(29&lt;=核心参数输入!$B$9,SUM(AG35:AG65),0)</f>
        <v>0</v>
      </c>
      <c r="AH17" s="9">
        <f>IF(30&lt;=核心参数输入!$B$9,SUM(AH35:AH65),0)</f>
        <v>0</v>
      </c>
    </row>
    <row r="18" spans="1:34" ht="21" customHeight="1">
      <c r="A18" s="8" t="s">
        <v>582</v>
      </c>
      <c r="B18" s="8" t="s">
        <v>39</v>
      </c>
      <c r="C18" s="8"/>
      <c r="D18" s="9">
        <f>IF(0&lt;=核心参数输入!$B$9,0,0)</f>
        <v>0</v>
      </c>
      <c r="E18" s="9">
        <f>IF(1&lt;=核心参数输入!$B$9,MAX(0,D17-E12),0)</f>
        <v>0</v>
      </c>
      <c r="F18" s="9">
        <f>IF(2&lt;=核心参数输入!$B$9,MAX(0,E17-F12),0)</f>
        <v>0</v>
      </c>
      <c r="G18" s="9">
        <f>IF(3&lt;=核心参数输入!$B$9,MAX(0,F17-G12),0)</f>
        <v>0</v>
      </c>
      <c r="H18" s="9">
        <f>IF(4&lt;=核心参数输入!$B$9,MAX(0,G17-H12),0)</f>
        <v>0</v>
      </c>
      <c r="I18" s="9">
        <f>IF(5&lt;=核心参数输入!$B$9,MAX(0,H17-I12),0)</f>
        <v>0</v>
      </c>
      <c r="J18" s="9">
        <f>IF(6&lt;=核心参数输入!$B$9,MAX(0,I17-J12),0)</f>
        <v>0</v>
      </c>
      <c r="K18" s="9">
        <f>IF(7&lt;=核心参数输入!$B$9,MAX(0,J17-K12),0)</f>
        <v>0</v>
      </c>
      <c r="L18" s="9">
        <f>IF(8&lt;=核心参数输入!$B$9,MAX(0,K17-L12),0)</f>
        <v>0</v>
      </c>
      <c r="M18" s="9">
        <f>IF(9&lt;=核心参数输入!$B$9,MAX(0,L17-M12),0)</f>
        <v>0</v>
      </c>
      <c r="N18" s="9">
        <f>IF(10&lt;=核心参数输入!$B$9,MAX(0,M17-N12),0)</f>
        <v>0</v>
      </c>
      <c r="O18" s="9">
        <f>IF(11&lt;=核心参数输入!$B$9,MAX(0,N17-O12),0)</f>
        <v>0</v>
      </c>
      <c r="P18" s="9">
        <f>IF(12&lt;=核心参数输入!$B$9,MAX(0,O17-P12),0)</f>
        <v>0</v>
      </c>
      <c r="Q18" s="9">
        <f>IF(13&lt;=核心参数输入!$B$9,MAX(0,P17-Q12),0)</f>
        <v>0</v>
      </c>
      <c r="R18" s="9">
        <f>IF(14&lt;=核心参数输入!$B$9,MAX(0,Q17-R12),0)</f>
        <v>0</v>
      </c>
      <c r="S18" s="9">
        <f>IF(15&lt;=核心参数输入!$B$9,MAX(0,R17-S12),0)</f>
        <v>0</v>
      </c>
      <c r="T18" s="9">
        <f>IF(16&lt;=核心参数输入!$B$9,MAX(0,S17-T12),0)</f>
        <v>0</v>
      </c>
      <c r="U18" s="9">
        <f>IF(17&lt;=核心参数输入!$B$9,MAX(0,T17-U12),0)</f>
        <v>0</v>
      </c>
      <c r="V18" s="9">
        <f>IF(18&lt;=核心参数输入!$B$9,MAX(0,U17-V12),0)</f>
        <v>0</v>
      </c>
      <c r="W18" s="9">
        <f>IF(19&lt;=核心参数输入!$B$9,MAX(0,V17-W12),0)</f>
        <v>0</v>
      </c>
      <c r="X18" s="9">
        <f>IF(20&lt;=核心参数输入!$B$9,MAX(0,W17-X12),0)</f>
        <v>0</v>
      </c>
      <c r="Y18" s="9">
        <f>IF(21&lt;=核心参数输入!$B$9,MAX(0,X17-Y12),0)</f>
        <v>0</v>
      </c>
      <c r="Z18" s="9">
        <f>IF(22&lt;=核心参数输入!$B$9,MAX(0,Y17-Z12),0)</f>
        <v>0</v>
      </c>
      <c r="AA18" s="9">
        <f>IF(23&lt;=核心参数输入!$B$9,MAX(0,Z17-AA12),0)</f>
        <v>0</v>
      </c>
      <c r="AB18" s="9">
        <f>IF(24&lt;=核心参数输入!$B$9,MAX(0,AA17-AB12),0)</f>
        <v>0</v>
      </c>
      <c r="AC18" s="9">
        <f>IF(25&lt;=核心参数输入!$B$9,MAX(0,AB17-AC12),0)</f>
        <v>0</v>
      </c>
      <c r="AD18" s="9">
        <f>IF(26&lt;=核心参数输入!$B$9,MAX(0,AC17-AD12),0)</f>
        <v>0</v>
      </c>
      <c r="AE18" s="9">
        <f>IF(27&lt;=核心参数输入!$B$9,MAX(0,AD17-AE12),0)</f>
        <v>0</v>
      </c>
      <c r="AF18" s="9">
        <f>IF(28&lt;=核心参数输入!$B$9,MAX(0,AE17-AF12),0)</f>
        <v>0</v>
      </c>
      <c r="AG18" s="9">
        <f>IF(29&lt;=核心参数输入!$B$9,MAX(0,AF17-AG12),0)</f>
        <v>0</v>
      </c>
      <c r="AH18" s="9">
        <f>IF(30&lt;=核心参数输入!$B$9,MAX(0,AG17-AH12),0)</f>
        <v>0</v>
      </c>
    </row>
    <row r="19" spans="1:34" ht="21" customHeight="1">
      <c r="A19" s="8" t="s">
        <v>583</v>
      </c>
      <c r="B19" s="8" t="s">
        <v>39</v>
      </c>
      <c r="C19" s="8"/>
      <c r="D19" s="9">
        <f>IF(0&lt;=核心参数输入!$B$9,MAX(0,D10+D11-MIN(MAX(0,D10+D11),D12))*核心参数输入!$B$52,0)</f>
        <v>0</v>
      </c>
      <c r="E19" s="9">
        <f>IF(1&lt;=核心参数输入!$B$9,MAX(0,E10+E11-MIN(MAX(0,E10+E11),E12))*核心参数输入!$B$52,0)</f>
        <v>0</v>
      </c>
      <c r="F19" s="9">
        <f>IF(2&lt;=核心参数输入!$B$9,MAX(0,F10+F11-MIN(MAX(0,F10+F11),F12))*核心参数输入!$B$52,0)</f>
        <v>0</v>
      </c>
      <c r="G19" s="9">
        <f>IF(3&lt;=核心参数输入!$B$9,MAX(0,G10+G11-MIN(MAX(0,G10+G11),G12))*核心参数输入!$B$52,0)</f>
        <v>0</v>
      </c>
      <c r="H19" s="9">
        <f>IF(4&lt;=核心参数输入!$B$9,MAX(0,H10+H11-MIN(MAX(0,H10+H11),H12))*核心参数输入!$B$52,0)</f>
        <v>456.28826245312541</v>
      </c>
      <c r="I19" s="9">
        <f>IF(5&lt;=核心参数输入!$B$9,MAX(0,I10+I11-MIN(MAX(0,I10+I11),I12))*核心参数输入!$B$52,0)</f>
        <v>859.95203410042154</v>
      </c>
      <c r="J19" s="9">
        <f>IF(6&lt;=核心参数输入!$B$9,MAX(0,J10+J11-MIN(MAX(0,J10+J11),J12))*核心参数输入!$B$52,0)</f>
        <v>699.82161416464828</v>
      </c>
      <c r="K19" s="9">
        <f>IF(7&lt;=核心参数输入!$B$9,MAX(0,K10+K11-MIN(MAX(0,K10+K11),K12))*核心参数输入!$B$52,0)</f>
        <v>27.665739764946178</v>
      </c>
      <c r="L19" s="9">
        <f>IF(8&lt;=核心参数输入!$B$9,MAX(0,L10+L11-MIN(MAX(0,L10+L11),L12))*核心参数输入!$B$52,0)</f>
        <v>48.008667059666656</v>
      </c>
      <c r="M19" s="9">
        <f>IF(9&lt;=核心参数输入!$B$9,MAX(0,M10+M11-MIN(MAX(0,M10+M11),M12))*核心参数输入!$B$52,0)</f>
        <v>52.76784856251038</v>
      </c>
      <c r="N19" s="9">
        <f>IF(10&lt;=核心参数输入!$B$9,MAX(0,N10+N11-MIN(MAX(0,N10+N11),N12))*核心参数输入!$B$52,0)</f>
        <v>56.918248489747988</v>
      </c>
      <c r="O19" s="9">
        <f>IF(11&lt;=核心参数输入!$B$9,MAX(0,O10+O11-MIN(MAX(0,O10+O11),O12))*核心参数输入!$B$52,0)</f>
        <v>61.122623809870191</v>
      </c>
      <c r="P19" s="9">
        <f>IF(12&lt;=核心参数输入!$B$9,MAX(0,P10+P11-MIN(MAX(0,P10+P11),P12))*核心参数输入!$B$52,0)</f>
        <v>65.381618541649701</v>
      </c>
      <c r="Q19" s="9">
        <f>IF(13&lt;=核心参数输入!$B$9,MAX(0,Q10+Q11-MIN(MAX(0,Q10+Q11),Q12))*核心参数输入!$B$52,0)</f>
        <v>69.695883051898562</v>
      </c>
      <c r="R19" s="9">
        <f>IF(14&lt;=核心参数输入!$B$9,MAX(0,R10+R11-MIN(MAX(0,R10+R11),R12))*核心参数输入!$B$52,0)</f>
        <v>74.066074084443571</v>
      </c>
      <c r="S19" s="9">
        <f>IF(15&lt;=核心参数输入!$B$9,MAX(0,S10+S11-MIN(MAX(0,S10+S11),S12))*核心参数输入!$B$52,0)</f>
        <v>78.492854788212213</v>
      </c>
      <c r="T19" s="9">
        <f>IF(16&lt;=核心参数输入!$B$9,MAX(0,T10+T11-MIN(MAX(0,T10+T11),T12))*核心参数输入!$B$52,0)</f>
        <v>82.976894744387224</v>
      </c>
      <c r="U19" s="9">
        <f>IF(17&lt;=核心参数输入!$B$9,MAX(0,U10+U11-MIN(MAX(0,U10+U11),U12))*核心参数输入!$B$52,0)</f>
        <v>87.51886999259213</v>
      </c>
      <c r="V19" s="9">
        <f>IF(18&lt;=核心参数输入!$B$9,MAX(0,V10+V11-MIN(MAX(0,V10+V11),V12))*核心参数输入!$B$52,0)</f>
        <v>92.119463056060809</v>
      </c>
      <c r="W19" s="9">
        <f>IF(19&lt;=核心参数输入!$B$9,MAX(0,W10+W11-MIN(MAX(0,W10+W11),W12))*核心参数输入!$B$52,0)</f>
        <v>96.779362965752995</v>
      </c>
      <c r="X19" s="9">
        <f>IF(20&lt;=核心参数输入!$B$9,MAX(0,X10+X11-MIN(MAX(0,X10+X11),X12))*核心参数输入!$B$52,0)</f>
        <v>4033.9667652833709</v>
      </c>
      <c r="Y19" s="9">
        <f>IF(21&lt;=核心参数输入!$B$9,MAX(0,Y10+Y11-MIN(MAX(0,Y10+Y11),Y12))*核心参数输入!$B$52,0)</f>
        <v>0</v>
      </c>
      <c r="Z19" s="9">
        <f>IF(22&lt;=核心参数输入!$B$9,MAX(0,Z10+Z11-MIN(MAX(0,Z10+Z11),Z12))*核心参数输入!$B$52,0)</f>
        <v>0</v>
      </c>
      <c r="AA19" s="9">
        <f>IF(23&lt;=核心参数输入!$B$9,MAX(0,AA10+AA11-MIN(MAX(0,AA10+AA11),AA12))*核心参数输入!$B$52,0)</f>
        <v>0</v>
      </c>
      <c r="AB19" s="9">
        <f>IF(24&lt;=核心参数输入!$B$9,MAX(0,AB10+AB11-MIN(MAX(0,AB10+AB11),AB12))*核心参数输入!$B$52,0)</f>
        <v>0</v>
      </c>
      <c r="AC19" s="9">
        <f>IF(25&lt;=核心参数输入!$B$9,MAX(0,AC10+AC11-MIN(MAX(0,AC10+AC11),AC12))*核心参数输入!$B$52,0)</f>
        <v>0</v>
      </c>
      <c r="AD19" s="9">
        <f>IF(26&lt;=核心参数输入!$B$9,MAX(0,AD10+AD11-MIN(MAX(0,AD10+AD11),AD12))*核心参数输入!$B$52,0)</f>
        <v>0</v>
      </c>
      <c r="AE19" s="9">
        <f>IF(27&lt;=核心参数输入!$B$9,MAX(0,AE10+AE11-MIN(MAX(0,AE10+AE11),AE12))*核心参数输入!$B$52,0)</f>
        <v>0</v>
      </c>
      <c r="AF19" s="9">
        <f>IF(28&lt;=核心参数输入!$B$9,MAX(0,AF10+AF11-MIN(MAX(0,AF10+AF11),AF12))*核心参数输入!$B$52,0)</f>
        <v>0</v>
      </c>
      <c r="AG19" s="9">
        <f>IF(29&lt;=核心参数输入!$B$9,MAX(0,AG10+AG11-MIN(MAX(0,AG10+AG11),AG12))*核心参数输入!$B$52,0)</f>
        <v>0</v>
      </c>
      <c r="AH19" s="9">
        <f>IF(30&lt;=核心参数输入!$B$9,MAX(0,AH10+AH11-MIN(MAX(0,AH10+AH11),AH12))*核心参数输入!$B$52,0)</f>
        <v>0</v>
      </c>
    </row>
    <row r="20" spans="1:34" ht="21" customHeight="1">
      <c r="A20" s="8" t="s">
        <v>584</v>
      </c>
      <c r="B20" s="8" t="s">
        <v>39</v>
      </c>
      <c r="C20" s="8"/>
      <c r="D20" s="9">
        <f>IF(0&lt;=核心参数输入!$B$9,D10+D11,0)</f>
        <v>0</v>
      </c>
      <c r="E20" s="9">
        <f>IF(1&lt;=核心参数输入!$B$9,E10+E11,0)</f>
        <v>0</v>
      </c>
      <c r="F20" s="9">
        <f>IF(2&lt;=核心参数输入!$B$9,F10+F11,0)</f>
        <v>0</v>
      </c>
      <c r="G20" s="9">
        <f>IF(3&lt;=核心参数输入!$B$9,G10+G11,0)</f>
        <v>0</v>
      </c>
      <c r="H20" s="9">
        <f>IF(4&lt;=核心参数输入!$B$9,H10+H11,0)</f>
        <v>1825.1530498125016</v>
      </c>
      <c r="I20" s="9">
        <f>IF(5&lt;=核心参数输入!$B$9,I10+I11,0)</f>
        <v>3439.8081364016862</v>
      </c>
      <c r="J20" s="9">
        <f>IF(6&lt;=核心参数输入!$B$9,J10+J11,0)</f>
        <v>2799.2864566585931</v>
      </c>
      <c r="K20" s="9">
        <f>IF(7&lt;=核心参数输入!$B$9,K10+K11,0)</f>
        <v>110.66295905978471</v>
      </c>
      <c r="L20" s="9">
        <f>IF(8&lt;=核心参数输入!$B$9,L10+L11,0)</f>
        <v>192.03466823866663</v>
      </c>
      <c r="M20" s="9">
        <f>IF(9&lt;=核心参数输入!$B$9,M10+M11,0)</f>
        <v>211.07139425004152</v>
      </c>
      <c r="N20" s="9">
        <f>IF(10&lt;=核心参数输入!$B$9,N10+N11,0)</f>
        <v>227.67299395899195</v>
      </c>
      <c r="O20" s="9">
        <f>IF(11&lt;=核心参数输入!$B$9,O10+O11,0)</f>
        <v>244.49049523948077</v>
      </c>
      <c r="P20" s="9">
        <f>IF(12&lt;=核心参数输入!$B$9,P10+P11,0)</f>
        <v>261.5264741665988</v>
      </c>
      <c r="Q20" s="9">
        <f>IF(13&lt;=核心参数输入!$B$9,Q10+Q11,0)</f>
        <v>278.78353220759425</v>
      </c>
      <c r="R20" s="9">
        <f>IF(14&lt;=核心参数输入!$B$9,R10+R11,0)</f>
        <v>296.26429633777428</v>
      </c>
      <c r="S20" s="9">
        <f>IF(15&lt;=核心参数输入!$B$9,S10+S11,0)</f>
        <v>313.97141915284885</v>
      </c>
      <c r="T20" s="9">
        <f>IF(16&lt;=核心参数输入!$B$9,T10+T11,0)</f>
        <v>331.90757897754889</v>
      </c>
      <c r="U20" s="9">
        <f>IF(17&lt;=核心参数输入!$B$9,U10+U11,0)</f>
        <v>350.07547997036852</v>
      </c>
      <c r="V20" s="9">
        <f>IF(18&lt;=核心参数输入!$B$9,V10+V11,0)</f>
        <v>368.47785222424324</v>
      </c>
      <c r="W20" s="9">
        <f>IF(19&lt;=核心参数输入!$B$9,W10+W11,0)</f>
        <v>387.11745186301198</v>
      </c>
      <c r="X20" s="9">
        <f>IF(20&lt;=核心参数输入!$B$9,X10+X11,0)</f>
        <v>16135.867061133484</v>
      </c>
      <c r="Y20" s="9">
        <f>IF(21&lt;=核心参数输入!$B$9,Y10+Y11,0)</f>
        <v>0</v>
      </c>
      <c r="Z20" s="9">
        <f>IF(22&lt;=核心参数输入!$B$9,Z10+Z11,0)</f>
        <v>0</v>
      </c>
      <c r="AA20" s="9">
        <f>IF(23&lt;=核心参数输入!$B$9,AA10+AA11,0)</f>
        <v>0</v>
      </c>
      <c r="AB20" s="9">
        <f>IF(24&lt;=核心参数输入!$B$9,AB10+AB11,0)</f>
        <v>0</v>
      </c>
      <c r="AC20" s="9">
        <f>IF(25&lt;=核心参数输入!$B$9,AC10+AC11,0)</f>
        <v>0</v>
      </c>
      <c r="AD20" s="9">
        <f>IF(26&lt;=核心参数输入!$B$9,AD10+AD11,0)</f>
        <v>0</v>
      </c>
      <c r="AE20" s="9">
        <f>IF(27&lt;=核心参数输入!$B$9,AE10+AE11,0)</f>
        <v>0</v>
      </c>
      <c r="AF20" s="9">
        <f>IF(28&lt;=核心参数输入!$B$9,AF10+AF11,0)</f>
        <v>0</v>
      </c>
      <c r="AG20" s="9">
        <f>IF(29&lt;=核心参数输入!$B$9,AG10+AG11,0)</f>
        <v>0</v>
      </c>
      <c r="AH20" s="9">
        <f>IF(30&lt;=核心参数输入!$B$9,AH10+AH11,0)</f>
        <v>0</v>
      </c>
    </row>
    <row r="21" spans="1:34" ht="21" customHeight="1">
      <c r="A21" s="8" t="s">
        <v>585</v>
      </c>
      <c r="B21" s="8" t="s">
        <v>39</v>
      </c>
      <c r="C21" s="8"/>
      <c r="D21" s="9">
        <f>IF(0&lt;=核心参数输入!$B$9,IF(核心参数输入!$B$64=1,D19,D15),0)</f>
        <v>0</v>
      </c>
      <c r="E21" s="9">
        <f>IF(1&lt;=核心参数输入!$B$9,IF(核心参数输入!$B$64=1,E19,E15),0)</f>
        <v>0</v>
      </c>
      <c r="F21" s="9">
        <f>IF(2&lt;=核心参数输入!$B$9,IF(核心参数输入!$B$64=1,F19,F15),0)</f>
        <v>0</v>
      </c>
      <c r="G21" s="9">
        <f>IF(3&lt;=核心参数输入!$B$9,IF(核心参数输入!$B$64=1,G19,G15),0)</f>
        <v>0</v>
      </c>
      <c r="H21" s="9">
        <f>IF(4&lt;=核心参数输入!$B$9,IF(核心参数输入!$B$64=1,H19,H15),0)</f>
        <v>456.28826245312541</v>
      </c>
      <c r="I21" s="9">
        <f>IF(5&lt;=核心参数输入!$B$9,IF(核心参数输入!$B$64=1,I19,I15),0)</f>
        <v>859.95203410042154</v>
      </c>
      <c r="J21" s="9">
        <f>IF(6&lt;=核心参数输入!$B$9,IF(核心参数输入!$B$64=1,J19,J15),0)</f>
        <v>699.82161416464828</v>
      </c>
      <c r="K21" s="9">
        <f>IF(7&lt;=核心参数输入!$B$9,IF(核心参数输入!$B$64=1,K19,K15),0)</f>
        <v>27.665739764946178</v>
      </c>
      <c r="L21" s="9">
        <f>IF(8&lt;=核心参数输入!$B$9,IF(核心参数输入!$B$64=1,L19,L15),0)</f>
        <v>48.008667059666656</v>
      </c>
      <c r="M21" s="9">
        <f>IF(9&lt;=核心参数输入!$B$9,IF(核心参数输入!$B$64=1,M19,M15),0)</f>
        <v>52.76784856251038</v>
      </c>
      <c r="N21" s="9">
        <f>IF(10&lt;=核心参数输入!$B$9,IF(核心参数输入!$B$64=1,N19,N15),0)</f>
        <v>56.918248489747988</v>
      </c>
      <c r="O21" s="9">
        <f>IF(11&lt;=核心参数输入!$B$9,IF(核心参数输入!$B$64=1,O19,O15),0)</f>
        <v>61.122623809870191</v>
      </c>
      <c r="P21" s="9">
        <f>IF(12&lt;=核心参数输入!$B$9,IF(核心参数输入!$B$64=1,P19,P15),0)</f>
        <v>65.381618541649701</v>
      </c>
      <c r="Q21" s="9">
        <f>IF(13&lt;=核心参数输入!$B$9,IF(核心参数输入!$B$64=1,Q19,Q15),0)</f>
        <v>69.695883051898562</v>
      </c>
      <c r="R21" s="9">
        <f>IF(14&lt;=核心参数输入!$B$9,IF(核心参数输入!$B$64=1,R19,R15),0)</f>
        <v>74.066074084443571</v>
      </c>
      <c r="S21" s="9">
        <f>IF(15&lt;=核心参数输入!$B$9,IF(核心参数输入!$B$64=1,S19,S15),0)</f>
        <v>78.492854788212213</v>
      </c>
      <c r="T21" s="9">
        <f>IF(16&lt;=核心参数输入!$B$9,IF(核心参数输入!$B$64=1,T19,T15),0)</f>
        <v>82.976894744387224</v>
      </c>
      <c r="U21" s="9">
        <f>IF(17&lt;=核心参数输入!$B$9,IF(核心参数输入!$B$64=1,U19,U15),0)</f>
        <v>87.51886999259213</v>
      </c>
      <c r="V21" s="9">
        <f>IF(18&lt;=核心参数输入!$B$9,IF(核心参数输入!$B$64=1,V19,V15),0)</f>
        <v>92.119463056060809</v>
      </c>
      <c r="W21" s="9">
        <f>IF(19&lt;=核心参数输入!$B$9,IF(核心参数输入!$B$64=1,W19,W15),0)</f>
        <v>96.779362965752995</v>
      </c>
      <c r="X21" s="9">
        <f>IF(20&lt;=核心参数输入!$B$9,IF(核心参数输入!$B$64=1,X19,X15),0)</f>
        <v>101.49926528336751</v>
      </c>
      <c r="Y21" s="9">
        <f>IF(21&lt;=核心参数输入!$B$9,IF(核心参数输入!$B$64=1,Y19,Y15),0)</f>
        <v>0</v>
      </c>
      <c r="Z21" s="9">
        <f>IF(22&lt;=核心参数输入!$B$9,IF(核心参数输入!$B$64=1,Z19,Z15),0)</f>
        <v>0</v>
      </c>
      <c r="AA21" s="9">
        <f>IF(23&lt;=核心参数输入!$B$9,IF(核心参数输入!$B$64=1,AA19,AA15),0)</f>
        <v>0</v>
      </c>
      <c r="AB21" s="9">
        <f>IF(24&lt;=核心参数输入!$B$9,IF(核心参数输入!$B$64=1,AB19,AB15),0)</f>
        <v>0</v>
      </c>
      <c r="AC21" s="9">
        <f>IF(25&lt;=核心参数输入!$B$9,IF(核心参数输入!$B$64=1,AC19,AC15),0)</f>
        <v>0</v>
      </c>
      <c r="AD21" s="9">
        <f>IF(26&lt;=核心参数输入!$B$9,IF(核心参数输入!$B$64=1,AD19,AD15),0)</f>
        <v>0</v>
      </c>
      <c r="AE21" s="9">
        <f>IF(27&lt;=核心参数输入!$B$9,IF(核心参数输入!$B$64=1,AE19,AE15),0)</f>
        <v>0</v>
      </c>
      <c r="AF21" s="9">
        <f>IF(28&lt;=核心参数输入!$B$9,IF(核心参数输入!$B$64=1,AF19,AF15),0)</f>
        <v>0</v>
      </c>
      <c r="AG21" s="9">
        <f>IF(29&lt;=核心参数输入!$B$9,IF(核心参数输入!$B$64=1,AG19,AG15),0)</f>
        <v>0</v>
      </c>
      <c r="AH21" s="9">
        <f>IF(30&lt;=核心参数输入!$B$9,IF(核心参数输入!$B$64=1,AH19,AH15),0)</f>
        <v>0</v>
      </c>
    </row>
    <row r="22" spans="1:34" ht="21" customHeight="1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1:34" ht="21" customHeight="1">
      <c r="A23" s="8"/>
      <c r="B23" s="8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1:34" ht="21" customHeight="1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1:34" ht="21" customHeight="1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1:34" ht="21" customHeight="1">
      <c r="A26" s="8"/>
      <c r="B26" s="8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spans="1:34" ht="21" customHeight="1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spans="1:34" ht="21" customHeight="1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spans="1:34" ht="21" customHeight="1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spans="1:34" ht="21" customHeight="1">
      <c r="A30" s="8"/>
      <c r="B30" s="8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spans="1:34" ht="21" customHeight="1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spans="1:34" ht="21" customHeight="1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spans="1:34" ht="21" customHeight="1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1:34" ht="21" customHeight="1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spans="1:34" ht="21" customHeight="1">
      <c r="A35" s="8" t="s">
        <v>586</v>
      </c>
      <c r="B35" s="8">
        <v>0</v>
      </c>
      <c r="C35" s="8"/>
      <c r="D35" s="9">
        <f>IF(0&lt;=核心参数输入!$B$9,D16,0)</f>
        <v>0</v>
      </c>
      <c r="E35" s="9">
        <f>IF(1&lt;=核心参数输入!$B$9,IF(AND(核心参数输入!$B$100=1,OR(核心参数输入!$B$101=0,1-0&lt;=核心参数输入!$B$101)),MAX(0,D35-MAX(0,E13-0)),0),0)</f>
        <v>0</v>
      </c>
      <c r="F35" s="9">
        <f>IF(2&lt;=核心参数输入!$B$9,IF(AND(核心参数输入!$B$100=1,OR(核心参数输入!$B$101=0,2-0&lt;=核心参数输入!$B$101)),MAX(0,E35-MAX(0,F13-0)),0),0)</f>
        <v>0</v>
      </c>
      <c r="G35" s="9">
        <f>IF(3&lt;=核心参数输入!$B$9,IF(AND(核心参数输入!$B$100=1,OR(核心参数输入!$B$101=0,3-0&lt;=核心参数输入!$B$101)),MAX(0,F35-MAX(0,G13-0)),0),0)</f>
        <v>0</v>
      </c>
      <c r="H35" s="9">
        <f>IF(4&lt;=核心参数输入!$B$9,IF(AND(核心参数输入!$B$100=1,OR(核心参数输入!$B$101=0,4-0&lt;=核心参数输入!$B$101)),MAX(0,G35-MAX(0,H13-0)),0),0)</f>
        <v>0</v>
      </c>
      <c r="I35" s="9">
        <f>IF(5&lt;=核心参数输入!$B$9,IF(AND(核心参数输入!$B$100=1,OR(核心参数输入!$B$101=0,5-0&lt;=核心参数输入!$B$101)),MAX(0,H35-MAX(0,I13-0)),0),0)</f>
        <v>0</v>
      </c>
      <c r="J35" s="9">
        <f>IF(6&lt;=核心参数输入!$B$9,IF(AND(核心参数输入!$B$100=1,OR(核心参数输入!$B$101=0,6-0&lt;=核心参数输入!$B$101)),MAX(0,I35-MAX(0,J13-0)),0),0)</f>
        <v>0</v>
      </c>
      <c r="K35" s="9">
        <f>IF(7&lt;=核心参数输入!$B$9,IF(AND(核心参数输入!$B$100=1,OR(核心参数输入!$B$101=0,7-0&lt;=核心参数输入!$B$101)),MAX(0,J35-MAX(0,K13-0)),0),0)</f>
        <v>0</v>
      </c>
      <c r="L35" s="9">
        <f>IF(8&lt;=核心参数输入!$B$9,IF(AND(核心参数输入!$B$100=1,OR(核心参数输入!$B$101=0,8-0&lt;=核心参数输入!$B$101)),MAX(0,K35-MAX(0,L13-0)),0),0)</f>
        <v>0</v>
      </c>
      <c r="M35" s="9">
        <f>IF(9&lt;=核心参数输入!$B$9,IF(AND(核心参数输入!$B$100=1,OR(核心参数输入!$B$101=0,9-0&lt;=核心参数输入!$B$101)),MAX(0,L35-MAX(0,M13-0)),0),0)</f>
        <v>0</v>
      </c>
      <c r="N35" s="9">
        <f>IF(10&lt;=核心参数输入!$B$9,IF(AND(核心参数输入!$B$100=1,OR(核心参数输入!$B$101=0,10-0&lt;=核心参数输入!$B$101)),MAX(0,M35-MAX(0,N13-0)),0),0)</f>
        <v>0</v>
      </c>
      <c r="O35" s="9">
        <f>IF(11&lt;=核心参数输入!$B$9,IF(AND(核心参数输入!$B$100=1,OR(核心参数输入!$B$101=0,11-0&lt;=核心参数输入!$B$101)),MAX(0,N35-MAX(0,O13-0)),0),0)</f>
        <v>0</v>
      </c>
      <c r="P35" s="9">
        <f>IF(12&lt;=核心参数输入!$B$9,IF(AND(核心参数输入!$B$100=1,OR(核心参数输入!$B$101=0,12-0&lt;=核心参数输入!$B$101)),MAX(0,O35-MAX(0,P13-0)),0),0)</f>
        <v>0</v>
      </c>
      <c r="Q35" s="9">
        <f>IF(13&lt;=核心参数输入!$B$9,IF(AND(核心参数输入!$B$100=1,OR(核心参数输入!$B$101=0,13-0&lt;=核心参数输入!$B$101)),MAX(0,P35-MAX(0,Q13-0)),0),0)</f>
        <v>0</v>
      </c>
      <c r="R35" s="9">
        <f>IF(14&lt;=核心参数输入!$B$9,IF(AND(核心参数输入!$B$100=1,OR(核心参数输入!$B$101=0,14-0&lt;=核心参数输入!$B$101)),MAX(0,Q35-MAX(0,R13-0)),0),0)</f>
        <v>0</v>
      </c>
      <c r="S35" s="9">
        <f>IF(15&lt;=核心参数输入!$B$9,IF(AND(核心参数输入!$B$100=1,OR(核心参数输入!$B$101=0,15-0&lt;=核心参数输入!$B$101)),MAX(0,R35-MAX(0,S13-0)),0),0)</f>
        <v>0</v>
      </c>
      <c r="T35" s="9">
        <f>IF(16&lt;=核心参数输入!$B$9,IF(AND(核心参数输入!$B$100=1,OR(核心参数输入!$B$101=0,16-0&lt;=核心参数输入!$B$101)),MAX(0,S35-MAX(0,T13-0)),0),0)</f>
        <v>0</v>
      </c>
      <c r="U35" s="9">
        <f>IF(17&lt;=核心参数输入!$B$9,IF(AND(核心参数输入!$B$100=1,OR(核心参数输入!$B$101=0,17-0&lt;=核心参数输入!$B$101)),MAX(0,T35-MAX(0,U13-0)),0),0)</f>
        <v>0</v>
      </c>
      <c r="V35" s="9">
        <f>IF(18&lt;=核心参数输入!$B$9,IF(AND(核心参数输入!$B$100=1,OR(核心参数输入!$B$101=0,18-0&lt;=核心参数输入!$B$101)),MAX(0,U35-MAX(0,V13-0)),0),0)</f>
        <v>0</v>
      </c>
      <c r="W35" s="9">
        <f>IF(19&lt;=核心参数输入!$B$9,IF(AND(核心参数输入!$B$100=1,OR(核心参数输入!$B$101=0,19-0&lt;=核心参数输入!$B$101)),MAX(0,V35-MAX(0,W13-0)),0),0)</f>
        <v>0</v>
      </c>
      <c r="X35" s="9">
        <f>IF(20&lt;=核心参数输入!$B$9,IF(AND(核心参数输入!$B$100=1,OR(核心参数输入!$B$101=0,20-0&lt;=核心参数输入!$B$101)),MAX(0,W35-MAX(0,X13-0)),0),0)</f>
        <v>0</v>
      </c>
      <c r="Y35" s="9">
        <f>IF(21&lt;=核心参数输入!$B$9,IF(AND(核心参数输入!$B$100=1,OR(核心参数输入!$B$101=0,21-0&lt;=核心参数输入!$B$101)),MAX(0,X35-MAX(0,Y13-0)),0),0)</f>
        <v>0</v>
      </c>
      <c r="Z35" s="9">
        <f>IF(22&lt;=核心参数输入!$B$9,IF(AND(核心参数输入!$B$100=1,OR(核心参数输入!$B$101=0,22-0&lt;=核心参数输入!$B$101)),MAX(0,Y35-MAX(0,Z13-0)),0),0)</f>
        <v>0</v>
      </c>
      <c r="AA35" s="9">
        <f>IF(23&lt;=核心参数输入!$B$9,IF(AND(核心参数输入!$B$100=1,OR(核心参数输入!$B$101=0,23-0&lt;=核心参数输入!$B$101)),MAX(0,Z35-MAX(0,AA13-0)),0),0)</f>
        <v>0</v>
      </c>
      <c r="AB35" s="9">
        <f>IF(24&lt;=核心参数输入!$B$9,IF(AND(核心参数输入!$B$100=1,OR(核心参数输入!$B$101=0,24-0&lt;=核心参数输入!$B$101)),MAX(0,AA35-MAX(0,AB13-0)),0),0)</f>
        <v>0</v>
      </c>
      <c r="AC35" s="9">
        <f>IF(25&lt;=核心参数输入!$B$9,IF(AND(核心参数输入!$B$100=1,OR(核心参数输入!$B$101=0,25-0&lt;=核心参数输入!$B$101)),MAX(0,AB35-MAX(0,AC13-0)),0),0)</f>
        <v>0</v>
      </c>
      <c r="AD35" s="9">
        <f>IF(26&lt;=核心参数输入!$B$9,IF(AND(核心参数输入!$B$100=1,OR(核心参数输入!$B$101=0,26-0&lt;=核心参数输入!$B$101)),MAX(0,AC35-MAX(0,AD13-0)),0),0)</f>
        <v>0</v>
      </c>
      <c r="AE35" s="9">
        <f>IF(27&lt;=核心参数输入!$B$9,IF(AND(核心参数输入!$B$100=1,OR(核心参数输入!$B$101=0,27-0&lt;=核心参数输入!$B$101)),MAX(0,AD35-MAX(0,AE13-0)),0),0)</f>
        <v>0</v>
      </c>
      <c r="AF35" s="9">
        <f>IF(28&lt;=核心参数输入!$B$9,IF(AND(核心参数输入!$B$100=1,OR(核心参数输入!$B$101=0,28-0&lt;=核心参数输入!$B$101)),MAX(0,AE35-MAX(0,AF13-0)),0),0)</f>
        <v>0</v>
      </c>
      <c r="AG35" s="9">
        <f>IF(29&lt;=核心参数输入!$B$9,IF(AND(核心参数输入!$B$100=1,OR(核心参数输入!$B$101=0,29-0&lt;=核心参数输入!$B$101)),MAX(0,AF35-MAX(0,AG13-0)),0),0)</f>
        <v>0</v>
      </c>
      <c r="AH35" s="9">
        <f>IF(30&lt;=核心参数输入!$B$9,IF(AND(核心参数输入!$B$100=1,OR(核心参数输入!$B$101=0,30-0&lt;=核心参数输入!$B$101)),MAX(0,AG35-MAX(0,AH13-0)),0),0)</f>
        <v>0</v>
      </c>
    </row>
    <row r="36" spans="1:34" ht="21" customHeight="1">
      <c r="A36" s="8" t="s">
        <v>587</v>
      </c>
      <c r="B36" s="8">
        <v>1</v>
      </c>
      <c r="C36" s="8"/>
      <c r="D36" s="9">
        <f>IF(0&lt;=核心参数输入!$B$9,0,0)</f>
        <v>0</v>
      </c>
      <c r="E36" s="9">
        <f>IF(1&lt;=核心参数输入!$B$9,E16,0)</f>
        <v>0</v>
      </c>
      <c r="F36" s="9">
        <f>IF(2&lt;=核心参数输入!$B$9,IF(AND(核心参数输入!$B$100=1,OR(核心参数输入!$B$101=0,2-1&lt;=核心参数输入!$B$101)),MAX(0,E36-MAX(0,F13-SUMIFS($E$35:$E$35,$B$35:$B$35,"&gt;="&amp;IF(核心参数输入!$B$101=0,0,2-核心参数输入!$B$101)))),0),0)</f>
        <v>0</v>
      </c>
      <c r="G36" s="9">
        <f>IF(3&lt;=核心参数输入!$B$9,IF(AND(核心参数输入!$B$100=1,OR(核心参数输入!$B$101=0,3-1&lt;=核心参数输入!$B$101)),MAX(0,F36-MAX(0,G13-SUMIFS($F$35:$F$35,$B$35:$B$35,"&gt;="&amp;IF(核心参数输入!$B$101=0,0,3-核心参数输入!$B$101)))),0),0)</f>
        <v>0</v>
      </c>
      <c r="H36" s="9">
        <f>IF(4&lt;=核心参数输入!$B$9,IF(AND(核心参数输入!$B$100=1,OR(核心参数输入!$B$101=0,4-1&lt;=核心参数输入!$B$101)),MAX(0,G36-MAX(0,H13-SUMIFS($G$35:$G$35,$B$35:$B$35,"&gt;="&amp;IF(核心参数输入!$B$101=0,0,4-核心参数输入!$B$101)))),0),0)</f>
        <v>0</v>
      </c>
      <c r="I36" s="9">
        <f>IF(5&lt;=核心参数输入!$B$9,IF(AND(核心参数输入!$B$100=1,OR(核心参数输入!$B$101=0,5-1&lt;=核心参数输入!$B$101)),MAX(0,H36-MAX(0,I13-SUMIFS($H$35:$H$35,$B$35:$B$35,"&gt;="&amp;IF(核心参数输入!$B$101=0,0,5-核心参数输入!$B$101)))),0),0)</f>
        <v>0</v>
      </c>
      <c r="J36" s="9">
        <f>IF(6&lt;=核心参数输入!$B$9,IF(AND(核心参数输入!$B$100=1,OR(核心参数输入!$B$101=0,6-1&lt;=核心参数输入!$B$101)),MAX(0,I36-MAX(0,J13-SUMIFS($I$35:$I$35,$B$35:$B$35,"&gt;="&amp;IF(核心参数输入!$B$101=0,0,6-核心参数输入!$B$101)))),0),0)</f>
        <v>0</v>
      </c>
      <c r="K36" s="9">
        <f>IF(7&lt;=核心参数输入!$B$9,IF(AND(核心参数输入!$B$100=1,OR(核心参数输入!$B$101=0,7-1&lt;=核心参数输入!$B$101)),MAX(0,J36-MAX(0,K13-SUMIFS($J$35:$J$35,$B$35:$B$35,"&gt;="&amp;IF(核心参数输入!$B$101=0,0,7-核心参数输入!$B$101)))),0),0)</f>
        <v>0</v>
      </c>
      <c r="L36" s="9">
        <f>IF(8&lt;=核心参数输入!$B$9,IF(AND(核心参数输入!$B$100=1,OR(核心参数输入!$B$101=0,8-1&lt;=核心参数输入!$B$101)),MAX(0,K36-MAX(0,L13-SUMIFS($K$35:$K$35,$B$35:$B$35,"&gt;="&amp;IF(核心参数输入!$B$101=0,0,8-核心参数输入!$B$101)))),0),0)</f>
        <v>0</v>
      </c>
      <c r="M36" s="9">
        <f>IF(9&lt;=核心参数输入!$B$9,IF(AND(核心参数输入!$B$100=1,OR(核心参数输入!$B$101=0,9-1&lt;=核心参数输入!$B$101)),MAX(0,L36-MAX(0,M13-SUMIFS($L$35:$L$35,$B$35:$B$35,"&gt;="&amp;IF(核心参数输入!$B$101=0,0,9-核心参数输入!$B$101)))),0),0)</f>
        <v>0</v>
      </c>
      <c r="N36" s="9">
        <f>IF(10&lt;=核心参数输入!$B$9,IF(AND(核心参数输入!$B$100=1,OR(核心参数输入!$B$101=0,10-1&lt;=核心参数输入!$B$101)),MAX(0,M36-MAX(0,N13-SUMIFS($M$35:$M$35,$B$35:$B$35,"&gt;="&amp;IF(核心参数输入!$B$101=0,0,10-核心参数输入!$B$101)))),0),0)</f>
        <v>0</v>
      </c>
      <c r="O36" s="9">
        <f>IF(11&lt;=核心参数输入!$B$9,IF(AND(核心参数输入!$B$100=1,OR(核心参数输入!$B$101=0,11-1&lt;=核心参数输入!$B$101)),MAX(0,N36-MAX(0,O13-SUMIFS($N$35:$N$35,$B$35:$B$35,"&gt;="&amp;IF(核心参数输入!$B$101=0,0,11-核心参数输入!$B$101)))),0),0)</f>
        <v>0</v>
      </c>
      <c r="P36" s="9">
        <f>IF(12&lt;=核心参数输入!$B$9,IF(AND(核心参数输入!$B$100=1,OR(核心参数输入!$B$101=0,12-1&lt;=核心参数输入!$B$101)),MAX(0,O36-MAX(0,P13-SUMIFS($O$35:$O$35,$B$35:$B$35,"&gt;="&amp;IF(核心参数输入!$B$101=0,0,12-核心参数输入!$B$101)))),0),0)</f>
        <v>0</v>
      </c>
      <c r="Q36" s="9">
        <f>IF(13&lt;=核心参数输入!$B$9,IF(AND(核心参数输入!$B$100=1,OR(核心参数输入!$B$101=0,13-1&lt;=核心参数输入!$B$101)),MAX(0,P36-MAX(0,Q13-SUMIFS($P$35:$P$35,$B$35:$B$35,"&gt;="&amp;IF(核心参数输入!$B$101=0,0,13-核心参数输入!$B$101)))),0),0)</f>
        <v>0</v>
      </c>
      <c r="R36" s="9">
        <f>IF(14&lt;=核心参数输入!$B$9,IF(AND(核心参数输入!$B$100=1,OR(核心参数输入!$B$101=0,14-1&lt;=核心参数输入!$B$101)),MAX(0,Q36-MAX(0,R13-SUMIFS($Q$35:$Q$35,$B$35:$B$35,"&gt;="&amp;IF(核心参数输入!$B$101=0,0,14-核心参数输入!$B$101)))),0),0)</f>
        <v>0</v>
      </c>
      <c r="S36" s="9">
        <f>IF(15&lt;=核心参数输入!$B$9,IF(AND(核心参数输入!$B$100=1,OR(核心参数输入!$B$101=0,15-1&lt;=核心参数输入!$B$101)),MAX(0,R36-MAX(0,S13-SUMIFS($R$35:$R$35,$B$35:$B$35,"&gt;="&amp;IF(核心参数输入!$B$101=0,0,15-核心参数输入!$B$101)))),0),0)</f>
        <v>0</v>
      </c>
      <c r="T36" s="9">
        <f>IF(16&lt;=核心参数输入!$B$9,IF(AND(核心参数输入!$B$100=1,OR(核心参数输入!$B$101=0,16-1&lt;=核心参数输入!$B$101)),MAX(0,S36-MAX(0,T13-SUMIFS($S$35:$S$35,$B$35:$B$35,"&gt;="&amp;IF(核心参数输入!$B$101=0,0,16-核心参数输入!$B$101)))),0),0)</f>
        <v>0</v>
      </c>
      <c r="U36" s="9">
        <f>IF(17&lt;=核心参数输入!$B$9,IF(AND(核心参数输入!$B$100=1,OR(核心参数输入!$B$101=0,17-1&lt;=核心参数输入!$B$101)),MAX(0,T36-MAX(0,U13-SUMIFS($T$35:$T$35,$B$35:$B$35,"&gt;="&amp;IF(核心参数输入!$B$101=0,0,17-核心参数输入!$B$101)))),0),0)</f>
        <v>0</v>
      </c>
      <c r="V36" s="9">
        <f>IF(18&lt;=核心参数输入!$B$9,IF(AND(核心参数输入!$B$100=1,OR(核心参数输入!$B$101=0,18-1&lt;=核心参数输入!$B$101)),MAX(0,U36-MAX(0,V13-SUMIFS($U$35:$U$35,$B$35:$B$35,"&gt;="&amp;IF(核心参数输入!$B$101=0,0,18-核心参数输入!$B$101)))),0),0)</f>
        <v>0</v>
      </c>
      <c r="W36" s="9">
        <f>IF(19&lt;=核心参数输入!$B$9,IF(AND(核心参数输入!$B$100=1,OR(核心参数输入!$B$101=0,19-1&lt;=核心参数输入!$B$101)),MAX(0,V36-MAX(0,W13-SUMIFS($V$35:$V$35,$B$35:$B$35,"&gt;="&amp;IF(核心参数输入!$B$101=0,0,19-核心参数输入!$B$101)))),0),0)</f>
        <v>0</v>
      </c>
      <c r="X36" s="9">
        <f>IF(20&lt;=核心参数输入!$B$9,IF(AND(核心参数输入!$B$100=1,OR(核心参数输入!$B$101=0,20-1&lt;=核心参数输入!$B$101)),MAX(0,W36-MAX(0,X13-SUMIFS($W$35:$W$35,$B$35:$B$35,"&gt;="&amp;IF(核心参数输入!$B$101=0,0,20-核心参数输入!$B$101)))),0),0)</f>
        <v>0</v>
      </c>
      <c r="Y36" s="9">
        <f>IF(21&lt;=核心参数输入!$B$9,IF(AND(核心参数输入!$B$100=1,OR(核心参数输入!$B$101=0,21-1&lt;=核心参数输入!$B$101)),MAX(0,X36-MAX(0,Y13-SUMIFS($X$35:$X$35,$B$35:$B$35,"&gt;="&amp;IF(核心参数输入!$B$101=0,0,21-核心参数输入!$B$101)))),0),0)</f>
        <v>0</v>
      </c>
      <c r="Z36" s="9">
        <f>IF(22&lt;=核心参数输入!$B$9,IF(AND(核心参数输入!$B$100=1,OR(核心参数输入!$B$101=0,22-1&lt;=核心参数输入!$B$101)),MAX(0,Y36-MAX(0,Z13-SUMIFS($Y$35:$Y$35,$B$35:$B$35,"&gt;="&amp;IF(核心参数输入!$B$101=0,0,22-核心参数输入!$B$101)))),0),0)</f>
        <v>0</v>
      </c>
      <c r="AA36" s="9">
        <f>IF(23&lt;=核心参数输入!$B$9,IF(AND(核心参数输入!$B$100=1,OR(核心参数输入!$B$101=0,23-1&lt;=核心参数输入!$B$101)),MAX(0,Z36-MAX(0,AA13-SUMIFS($Z$35:$Z$35,$B$35:$B$35,"&gt;="&amp;IF(核心参数输入!$B$101=0,0,23-核心参数输入!$B$101)))),0),0)</f>
        <v>0</v>
      </c>
      <c r="AB36" s="9">
        <f>IF(24&lt;=核心参数输入!$B$9,IF(AND(核心参数输入!$B$100=1,OR(核心参数输入!$B$101=0,24-1&lt;=核心参数输入!$B$101)),MAX(0,AA36-MAX(0,AB13-SUMIFS($AA$35:$AA$35,$B$35:$B$35,"&gt;="&amp;IF(核心参数输入!$B$101=0,0,24-核心参数输入!$B$101)))),0),0)</f>
        <v>0</v>
      </c>
      <c r="AC36" s="9">
        <f>IF(25&lt;=核心参数输入!$B$9,IF(AND(核心参数输入!$B$100=1,OR(核心参数输入!$B$101=0,25-1&lt;=核心参数输入!$B$101)),MAX(0,AB36-MAX(0,AC13-SUMIFS($AB$35:$AB$35,$B$35:$B$35,"&gt;="&amp;IF(核心参数输入!$B$101=0,0,25-核心参数输入!$B$101)))),0),0)</f>
        <v>0</v>
      </c>
      <c r="AD36" s="9">
        <f>IF(26&lt;=核心参数输入!$B$9,IF(AND(核心参数输入!$B$100=1,OR(核心参数输入!$B$101=0,26-1&lt;=核心参数输入!$B$101)),MAX(0,AC36-MAX(0,AD13-SUMIFS($AC$35:$AC$35,$B$35:$B$35,"&gt;="&amp;IF(核心参数输入!$B$101=0,0,26-核心参数输入!$B$101)))),0),0)</f>
        <v>0</v>
      </c>
      <c r="AE36" s="9">
        <f>IF(27&lt;=核心参数输入!$B$9,IF(AND(核心参数输入!$B$100=1,OR(核心参数输入!$B$101=0,27-1&lt;=核心参数输入!$B$101)),MAX(0,AD36-MAX(0,AE13-SUMIFS($AD$35:$AD$35,$B$35:$B$35,"&gt;="&amp;IF(核心参数输入!$B$101=0,0,27-核心参数输入!$B$101)))),0),0)</f>
        <v>0</v>
      </c>
      <c r="AF36" s="9">
        <f>IF(28&lt;=核心参数输入!$B$9,IF(AND(核心参数输入!$B$100=1,OR(核心参数输入!$B$101=0,28-1&lt;=核心参数输入!$B$101)),MAX(0,AE36-MAX(0,AF13-SUMIFS($AE$35:$AE$35,$B$35:$B$35,"&gt;="&amp;IF(核心参数输入!$B$101=0,0,28-核心参数输入!$B$101)))),0),0)</f>
        <v>0</v>
      </c>
      <c r="AG36" s="9">
        <f>IF(29&lt;=核心参数输入!$B$9,IF(AND(核心参数输入!$B$100=1,OR(核心参数输入!$B$101=0,29-1&lt;=核心参数输入!$B$101)),MAX(0,AF36-MAX(0,AG13-SUMIFS($AF$35:$AF$35,$B$35:$B$35,"&gt;="&amp;IF(核心参数输入!$B$101=0,0,29-核心参数输入!$B$101)))),0),0)</f>
        <v>0</v>
      </c>
      <c r="AH36" s="9">
        <f>IF(30&lt;=核心参数输入!$B$9,IF(AND(核心参数输入!$B$100=1,OR(核心参数输入!$B$101=0,30-1&lt;=核心参数输入!$B$101)),MAX(0,AG36-MAX(0,AH13-SUMIFS($AG$35:$AG$35,$B$35:$B$35,"&gt;="&amp;IF(核心参数输入!$B$101=0,0,30-核心参数输入!$B$101)))),0),0)</f>
        <v>0</v>
      </c>
    </row>
    <row r="37" spans="1:34" ht="21" customHeight="1">
      <c r="A37" s="8" t="s">
        <v>588</v>
      </c>
      <c r="B37" s="8">
        <v>2</v>
      </c>
      <c r="C37" s="8"/>
      <c r="D37" s="9">
        <f>IF(0&lt;=核心参数输入!$B$9,0,0)</f>
        <v>0</v>
      </c>
      <c r="E37" s="9">
        <f>IF(1&lt;=核心参数输入!$B$9,0,0)</f>
        <v>0</v>
      </c>
      <c r="F37" s="9">
        <f>IF(2&lt;=核心参数输入!$B$9,F16,0)</f>
        <v>0</v>
      </c>
      <c r="G37" s="9">
        <f>IF(3&lt;=核心参数输入!$B$9,IF(AND(核心参数输入!$B$100=1,OR(核心参数输入!$B$101=0,3-2&lt;=核心参数输入!$B$101)),MAX(0,F37-MAX(0,G13-SUMIFS($F$35:$F$36,$B$35:$B$36,"&gt;="&amp;IF(核心参数输入!$B$101=0,0,3-核心参数输入!$B$101)))),0),0)</f>
        <v>0</v>
      </c>
      <c r="H37" s="9">
        <f>IF(4&lt;=核心参数输入!$B$9,IF(AND(核心参数输入!$B$100=1,OR(核心参数输入!$B$101=0,4-2&lt;=核心参数输入!$B$101)),MAX(0,G37-MAX(0,H13-SUMIFS($G$35:$G$36,$B$35:$B$36,"&gt;="&amp;IF(核心参数输入!$B$101=0,0,4-核心参数输入!$B$101)))),0),0)</f>
        <v>0</v>
      </c>
      <c r="I37" s="9">
        <f>IF(5&lt;=核心参数输入!$B$9,IF(AND(核心参数输入!$B$100=1,OR(核心参数输入!$B$101=0,5-2&lt;=核心参数输入!$B$101)),MAX(0,H37-MAX(0,I13-SUMIFS($H$35:$H$36,$B$35:$B$36,"&gt;="&amp;IF(核心参数输入!$B$101=0,0,5-核心参数输入!$B$101)))),0),0)</f>
        <v>0</v>
      </c>
      <c r="J37" s="9">
        <f>IF(6&lt;=核心参数输入!$B$9,IF(AND(核心参数输入!$B$100=1,OR(核心参数输入!$B$101=0,6-2&lt;=核心参数输入!$B$101)),MAX(0,I37-MAX(0,J13-SUMIFS($I$35:$I$36,$B$35:$B$36,"&gt;="&amp;IF(核心参数输入!$B$101=0,0,6-核心参数输入!$B$101)))),0),0)</f>
        <v>0</v>
      </c>
      <c r="K37" s="9">
        <f>IF(7&lt;=核心参数输入!$B$9,IF(AND(核心参数输入!$B$100=1,OR(核心参数输入!$B$101=0,7-2&lt;=核心参数输入!$B$101)),MAX(0,J37-MAX(0,K13-SUMIFS($J$35:$J$36,$B$35:$B$36,"&gt;="&amp;IF(核心参数输入!$B$101=0,0,7-核心参数输入!$B$101)))),0),0)</f>
        <v>0</v>
      </c>
      <c r="L37" s="9">
        <f>IF(8&lt;=核心参数输入!$B$9,IF(AND(核心参数输入!$B$100=1,OR(核心参数输入!$B$101=0,8-2&lt;=核心参数输入!$B$101)),MAX(0,K37-MAX(0,L13-SUMIFS($K$35:$K$36,$B$35:$B$36,"&gt;="&amp;IF(核心参数输入!$B$101=0,0,8-核心参数输入!$B$101)))),0),0)</f>
        <v>0</v>
      </c>
      <c r="M37" s="9">
        <f>IF(9&lt;=核心参数输入!$B$9,IF(AND(核心参数输入!$B$100=1,OR(核心参数输入!$B$101=0,9-2&lt;=核心参数输入!$B$101)),MAX(0,L37-MAX(0,M13-SUMIFS($L$35:$L$36,$B$35:$B$36,"&gt;="&amp;IF(核心参数输入!$B$101=0,0,9-核心参数输入!$B$101)))),0),0)</f>
        <v>0</v>
      </c>
      <c r="N37" s="9">
        <f>IF(10&lt;=核心参数输入!$B$9,IF(AND(核心参数输入!$B$100=1,OR(核心参数输入!$B$101=0,10-2&lt;=核心参数输入!$B$101)),MAX(0,M37-MAX(0,N13-SUMIFS($M$35:$M$36,$B$35:$B$36,"&gt;="&amp;IF(核心参数输入!$B$101=0,0,10-核心参数输入!$B$101)))),0),0)</f>
        <v>0</v>
      </c>
      <c r="O37" s="9">
        <f>IF(11&lt;=核心参数输入!$B$9,IF(AND(核心参数输入!$B$100=1,OR(核心参数输入!$B$101=0,11-2&lt;=核心参数输入!$B$101)),MAX(0,N37-MAX(0,O13-SUMIFS($N$35:$N$36,$B$35:$B$36,"&gt;="&amp;IF(核心参数输入!$B$101=0,0,11-核心参数输入!$B$101)))),0),0)</f>
        <v>0</v>
      </c>
      <c r="P37" s="9">
        <f>IF(12&lt;=核心参数输入!$B$9,IF(AND(核心参数输入!$B$100=1,OR(核心参数输入!$B$101=0,12-2&lt;=核心参数输入!$B$101)),MAX(0,O37-MAX(0,P13-SUMIFS($O$35:$O$36,$B$35:$B$36,"&gt;="&amp;IF(核心参数输入!$B$101=0,0,12-核心参数输入!$B$101)))),0),0)</f>
        <v>0</v>
      </c>
      <c r="Q37" s="9">
        <f>IF(13&lt;=核心参数输入!$B$9,IF(AND(核心参数输入!$B$100=1,OR(核心参数输入!$B$101=0,13-2&lt;=核心参数输入!$B$101)),MAX(0,P37-MAX(0,Q13-SUMIFS($P$35:$P$36,$B$35:$B$36,"&gt;="&amp;IF(核心参数输入!$B$101=0,0,13-核心参数输入!$B$101)))),0),0)</f>
        <v>0</v>
      </c>
      <c r="R37" s="9">
        <f>IF(14&lt;=核心参数输入!$B$9,IF(AND(核心参数输入!$B$100=1,OR(核心参数输入!$B$101=0,14-2&lt;=核心参数输入!$B$101)),MAX(0,Q37-MAX(0,R13-SUMIFS($Q$35:$Q$36,$B$35:$B$36,"&gt;="&amp;IF(核心参数输入!$B$101=0,0,14-核心参数输入!$B$101)))),0),0)</f>
        <v>0</v>
      </c>
      <c r="S37" s="9">
        <f>IF(15&lt;=核心参数输入!$B$9,IF(AND(核心参数输入!$B$100=1,OR(核心参数输入!$B$101=0,15-2&lt;=核心参数输入!$B$101)),MAX(0,R37-MAX(0,S13-SUMIFS($R$35:$R$36,$B$35:$B$36,"&gt;="&amp;IF(核心参数输入!$B$101=0,0,15-核心参数输入!$B$101)))),0),0)</f>
        <v>0</v>
      </c>
      <c r="T37" s="9">
        <f>IF(16&lt;=核心参数输入!$B$9,IF(AND(核心参数输入!$B$100=1,OR(核心参数输入!$B$101=0,16-2&lt;=核心参数输入!$B$101)),MAX(0,S37-MAX(0,T13-SUMIFS($S$35:$S$36,$B$35:$B$36,"&gt;="&amp;IF(核心参数输入!$B$101=0,0,16-核心参数输入!$B$101)))),0),0)</f>
        <v>0</v>
      </c>
      <c r="U37" s="9">
        <f>IF(17&lt;=核心参数输入!$B$9,IF(AND(核心参数输入!$B$100=1,OR(核心参数输入!$B$101=0,17-2&lt;=核心参数输入!$B$101)),MAX(0,T37-MAX(0,U13-SUMIFS($T$35:$T$36,$B$35:$B$36,"&gt;="&amp;IF(核心参数输入!$B$101=0,0,17-核心参数输入!$B$101)))),0),0)</f>
        <v>0</v>
      </c>
      <c r="V37" s="9">
        <f>IF(18&lt;=核心参数输入!$B$9,IF(AND(核心参数输入!$B$100=1,OR(核心参数输入!$B$101=0,18-2&lt;=核心参数输入!$B$101)),MAX(0,U37-MAX(0,V13-SUMIFS($U$35:$U$36,$B$35:$B$36,"&gt;="&amp;IF(核心参数输入!$B$101=0,0,18-核心参数输入!$B$101)))),0),0)</f>
        <v>0</v>
      </c>
      <c r="W37" s="9">
        <f>IF(19&lt;=核心参数输入!$B$9,IF(AND(核心参数输入!$B$100=1,OR(核心参数输入!$B$101=0,19-2&lt;=核心参数输入!$B$101)),MAX(0,V37-MAX(0,W13-SUMIFS($V$35:$V$36,$B$35:$B$36,"&gt;="&amp;IF(核心参数输入!$B$101=0,0,19-核心参数输入!$B$101)))),0),0)</f>
        <v>0</v>
      </c>
      <c r="X37" s="9">
        <f>IF(20&lt;=核心参数输入!$B$9,IF(AND(核心参数输入!$B$100=1,OR(核心参数输入!$B$101=0,20-2&lt;=核心参数输入!$B$101)),MAX(0,W37-MAX(0,X13-SUMIFS($W$35:$W$36,$B$35:$B$36,"&gt;="&amp;IF(核心参数输入!$B$101=0,0,20-核心参数输入!$B$101)))),0),0)</f>
        <v>0</v>
      </c>
      <c r="Y37" s="9">
        <f>IF(21&lt;=核心参数输入!$B$9,IF(AND(核心参数输入!$B$100=1,OR(核心参数输入!$B$101=0,21-2&lt;=核心参数输入!$B$101)),MAX(0,X37-MAX(0,Y13-SUMIFS($X$35:$X$36,$B$35:$B$36,"&gt;="&amp;IF(核心参数输入!$B$101=0,0,21-核心参数输入!$B$101)))),0),0)</f>
        <v>0</v>
      </c>
      <c r="Z37" s="9">
        <f>IF(22&lt;=核心参数输入!$B$9,IF(AND(核心参数输入!$B$100=1,OR(核心参数输入!$B$101=0,22-2&lt;=核心参数输入!$B$101)),MAX(0,Y37-MAX(0,Z13-SUMIFS($Y$35:$Y$36,$B$35:$B$36,"&gt;="&amp;IF(核心参数输入!$B$101=0,0,22-核心参数输入!$B$101)))),0),0)</f>
        <v>0</v>
      </c>
      <c r="AA37" s="9">
        <f>IF(23&lt;=核心参数输入!$B$9,IF(AND(核心参数输入!$B$100=1,OR(核心参数输入!$B$101=0,23-2&lt;=核心参数输入!$B$101)),MAX(0,Z37-MAX(0,AA13-SUMIFS($Z$35:$Z$36,$B$35:$B$36,"&gt;="&amp;IF(核心参数输入!$B$101=0,0,23-核心参数输入!$B$101)))),0),0)</f>
        <v>0</v>
      </c>
      <c r="AB37" s="9">
        <f>IF(24&lt;=核心参数输入!$B$9,IF(AND(核心参数输入!$B$100=1,OR(核心参数输入!$B$101=0,24-2&lt;=核心参数输入!$B$101)),MAX(0,AA37-MAX(0,AB13-SUMIFS($AA$35:$AA$36,$B$35:$B$36,"&gt;="&amp;IF(核心参数输入!$B$101=0,0,24-核心参数输入!$B$101)))),0),0)</f>
        <v>0</v>
      </c>
      <c r="AC37" s="9">
        <f>IF(25&lt;=核心参数输入!$B$9,IF(AND(核心参数输入!$B$100=1,OR(核心参数输入!$B$101=0,25-2&lt;=核心参数输入!$B$101)),MAX(0,AB37-MAX(0,AC13-SUMIFS($AB$35:$AB$36,$B$35:$B$36,"&gt;="&amp;IF(核心参数输入!$B$101=0,0,25-核心参数输入!$B$101)))),0),0)</f>
        <v>0</v>
      </c>
      <c r="AD37" s="9">
        <f>IF(26&lt;=核心参数输入!$B$9,IF(AND(核心参数输入!$B$100=1,OR(核心参数输入!$B$101=0,26-2&lt;=核心参数输入!$B$101)),MAX(0,AC37-MAX(0,AD13-SUMIFS($AC$35:$AC$36,$B$35:$B$36,"&gt;="&amp;IF(核心参数输入!$B$101=0,0,26-核心参数输入!$B$101)))),0),0)</f>
        <v>0</v>
      </c>
      <c r="AE37" s="9">
        <f>IF(27&lt;=核心参数输入!$B$9,IF(AND(核心参数输入!$B$100=1,OR(核心参数输入!$B$101=0,27-2&lt;=核心参数输入!$B$101)),MAX(0,AD37-MAX(0,AE13-SUMIFS($AD$35:$AD$36,$B$35:$B$36,"&gt;="&amp;IF(核心参数输入!$B$101=0,0,27-核心参数输入!$B$101)))),0),0)</f>
        <v>0</v>
      </c>
      <c r="AF37" s="9">
        <f>IF(28&lt;=核心参数输入!$B$9,IF(AND(核心参数输入!$B$100=1,OR(核心参数输入!$B$101=0,28-2&lt;=核心参数输入!$B$101)),MAX(0,AE37-MAX(0,AF13-SUMIFS($AE$35:$AE$36,$B$35:$B$36,"&gt;="&amp;IF(核心参数输入!$B$101=0,0,28-核心参数输入!$B$101)))),0),0)</f>
        <v>0</v>
      </c>
      <c r="AG37" s="9">
        <f>IF(29&lt;=核心参数输入!$B$9,IF(AND(核心参数输入!$B$100=1,OR(核心参数输入!$B$101=0,29-2&lt;=核心参数输入!$B$101)),MAX(0,AF37-MAX(0,AG13-SUMIFS($AF$35:$AF$36,$B$35:$B$36,"&gt;="&amp;IF(核心参数输入!$B$101=0,0,29-核心参数输入!$B$101)))),0),0)</f>
        <v>0</v>
      </c>
      <c r="AH37" s="9">
        <f>IF(30&lt;=核心参数输入!$B$9,IF(AND(核心参数输入!$B$100=1,OR(核心参数输入!$B$101=0,30-2&lt;=核心参数输入!$B$101)),MAX(0,AG37-MAX(0,AH13-SUMIFS($AG$35:$AG$36,$B$35:$B$36,"&gt;="&amp;IF(核心参数输入!$B$101=0,0,30-核心参数输入!$B$101)))),0),0)</f>
        <v>0</v>
      </c>
    </row>
    <row r="38" spans="1:34" ht="21" customHeight="1">
      <c r="A38" s="8" t="s">
        <v>589</v>
      </c>
      <c r="B38" s="8">
        <v>3</v>
      </c>
      <c r="C38" s="8"/>
      <c r="D38" s="9">
        <f>IF(0&lt;=核心参数输入!$B$9,0,0)</f>
        <v>0</v>
      </c>
      <c r="E38" s="9">
        <f>IF(1&lt;=核心参数输入!$B$9,0,0)</f>
        <v>0</v>
      </c>
      <c r="F38" s="9">
        <f>IF(2&lt;=核心参数输入!$B$9,0,0)</f>
        <v>0</v>
      </c>
      <c r="G38" s="9">
        <f>IF(3&lt;=核心参数输入!$B$9,G16,0)</f>
        <v>0</v>
      </c>
      <c r="H38" s="9">
        <f>IF(4&lt;=核心参数输入!$B$9,IF(AND(核心参数输入!$B$100=1,OR(核心参数输入!$B$101=0,4-3&lt;=核心参数输入!$B$101)),MAX(0,G38-MAX(0,H13-SUMIFS($G$35:$G$37,$B$35:$B$37,"&gt;="&amp;IF(核心参数输入!$B$101=0,0,4-核心参数输入!$B$101)))),0),0)</f>
        <v>0</v>
      </c>
      <c r="I38" s="9">
        <f>IF(5&lt;=核心参数输入!$B$9,IF(AND(核心参数输入!$B$100=1,OR(核心参数输入!$B$101=0,5-3&lt;=核心参数输入!$B$101)),MAX(0,H38-MAX(0,I13-SUMIFS($H$35:$H$37,$B$35:$B$37,"&gt;="&amp;IF(核心参数输入!$B$101=0,0,5-核心参数输入!$B$101)))),0),0)</f>
        <v>0</v>
      </c>
      <c r="J38" s="9">
        <f>IF(6&lt;=核心参数输入!$B$9,IF(AND(核心参数输入!$B$100=1,OR(核心参数输入!$B$101=0,6-3&lt;=核心参数输入!$B$101)),MAX(0,I38-MAX(0,J13-SUMIFS($I$35:$I$37,$B$35:$B$37,"&gt;="&amp;IF(核心参数输入!$B$101=0,0,6-核心参数输入!$B$101)))),0),0)</f>
        <v>0</v>
      </c>
      <c r="K38" s="9">
        <f>IF(7&lt;=核心参数输入!$B$9,IF(AND(核心参数输入!$B$100=1,OR(核心参数输入!$B$101=0,7-3&lt;=核心参数输入!$B$101)),MAX(0,J38-MAX(0,K13-SUMIFS($J$35:$J$37,$B$35:$B$37,"&gt;="&amp;IF(核心参数输入!$B$101=0,0,7-核心参数输入!$B$101)))),0),0)</f>
        <v>0</v>
      </c>
      <c r="L38" s="9">
        <f>IF(8&lt;=核心参数输入!$B$9,IF(AND(核心参数输入!$B$100=1,OR(核心参数输入!$B$101=0,8-3&lt;=核心参数输入!$B$101)),MAX(0,K38-MAX(0,L13-SUMIFS($K$35:$K$37,$B$35:$B$37,"&gt;="&amp;IF(核心参数输入!$B$101=0,0,8-核心参数输入!$B$101)))),0),0)</f>
        <v>0</v>
      </c>
      <c r="M38" s="9">
        <f>IF(9&lt;=核心参数输入!$B$9,IF(AND(核心参数输入!$B$100=1,OR(核心参数输入!$B$101=0,9-3&lt;=核心参数输入!$B$101)),MAX(0,L38-MAX(0,M13-SUMIFS($L$35:$L$37,$B$35:$B$37,"&gt;="&amp;IF(核心参数输入!$B$101=0,0,9-核心参数输入!$B$101)))),0),0)</f>
        <v>0</v>
      </c>
      <c r="N38" s="9">
        <f>IF(10&lt;=核心参数输入!$B$9,IF(AND(核心参数输入!$B$100=1,OR(核心参数输入!$B$101=0,10-3&lt;=核心参数输入!$B$101)),MAX(0,M38-MAX(0,N13-SUMIFS($M$35:$M$37,$B$35:$B$37,"&gt;="&amp;IF(核心参数输入!$B$101=0,0,10-核心参数输入!$B$101)))),0),0)</f>
        <v>0</v>
      </c>
      <c r="O38" s="9">
        <f>IF(11&lt;=核心参数输入!$B$9,IF(AND(核心参数输入!$B$100=1,OR(核心参数输入!$B$101=0,11-3&lt;=核心参数输入!$B$101)),MAX(0,N38-MAX(0,O13-SUMIFS($N$35:$N$37,$B$35:$B$37,"&gt;="&amp;IF(核心参数输入!$B$101=0,0,11-核心参数输入!$B$101)))),0),0)</f>
        <v>0</v>
      </c>
      <c r="P38" s="9">
        <f>IF(12&lt;=核心参数输入!$B$9,IF(AND(核心参数输入!$B$100=1,OR(核心参数输入!$B$101=0,12-3&lt;=核心参数输入!$B$101)),MAX(0,O38-MAX(0,P13-SUMIFS($O$35:$O$37,$B$35:$B$37,"&gt;="&amp;IF(核心参数输入!$B$101=0,0,12-核心参数输入!$B$101)))),0),0)</f>
        <v>0</v>
      </c>
      <c r="Q38" s="9">
        <f>IF(13&lt;=核心参数输入!$B$9,IF(AND(核心参数输入!$B$100=1,OR(核心参数输入!$B$101=0,13-3&lt;=核心参数输入!$B$101)),MAX(0,P38-MAX(0,Q13-SUMIFS($P$35:$P$37,$B$35:$B$37,"&gt;="&amp;IF(核心参数输入!$B$101=0,0,13-核心参数输入!$B$101)))),0),0)</f>
        <v>0</v>
      </c>
      <c r="R38" s="9">
        <f>IF(14&lt;=核心参数输入!$B$9,IF(AND(核心参数输入!$B$100=1,OR(核心参数输入!$B$101=0,14-3&lt;=核心参数输入!$B$101)),MAX(0,Q38-MAX(0,R13-SUMIFS($Q$35:$Q$37,$B$35:$B$37,"&gt;="&amp;IF(核心参数输入!$B$101=0,0,14-核心参数输入!$B$101)))),0),0)</f>
        <v>0</v>
      </c>
      <c r="S38" s="9">
        <f>IF(15&lt;=核心参数输入!$B$9,IF(AND(核心参数输入!$B$100=1,OR(核心参数输入!$B$101=0,15-3&lt;=核心参数输入!$B$101)),MAX(0,R38-MAX(0,S13-SUMIFS($R$35:$R$37,$B$35:$B$37,"&gt;="&amp;IF(核心参数输入!$B$101=0,0,15-核心参数输入!$B$101)))),0),0)</f>
        <v>0</v>
      </c>
      <c r="T38" s="9">
        <f>IF(16&lt;=核心参数输入!$B$9,IF(AND(核心参数输入!$B$100=1,OR(核心参数输入!$B$101=0,16-3&lt;=核心参数输入!$B$101)),MAX(0,S38-MAX(0,T13-SUMIFS($S$35:$S$37,$B$35:$B$37,"&gt;="&amp;IF(核心参数输入!$B$101=0,0,16-核心参数输入!$B$101)))),0),0)</f>
        <v>0</v>
      </c>
      <c r="U38" s="9">
        <f>IF(17&lt;=核心参数输入!$B$9,IF(AND(核心参数输入!$B$100=1,OR(核心参数输入!$B$101=0,17-3&lt;=核心参数输入!$B$101)),MAX(0,T38-MAX(0,U13-SUMIFS($T$35:$T$37,$B$35:$B$37,"&gt;="&amp;IF(核心参数输入!$B$101=0,0,17-核心参数输入!$B$101)))),0),0)</f>
        <v>0</v>
      </c>
      <c r="V38" s="9">
        <f>IF(18&lt;=核心参数输入!$B$9,IF(AND(核心参数输入!$B$100=1,OR(核心参数输入!$B$101=0,18-3&lt;=核心参数输入!$B$101)),MAX(0,U38-MAX(0,V13-SUMIFS($U$35:$U$37,$B$35:$B$37,"&gt;="&amp;IF(核心参数输入!$B$101=0,0,18-核心参数输入!$B$101)))),0),0)</f>
        <v>0</v>
      </c>
      <c r="W38" s="9">
        <f>IF(19&lt;=核心参数输入!$B$9,IF(AND(核心参数输入!$B$100=1,OR(核心参数输入!$B$101=0,19-3&lt;=核心参数输入!$B$101)),MAX(0,V38-MAX(0,W13-SUMIFS($V$35:$V$37,$B$35:$B$37,"&gt;="&amp;IF(核心参数输入!$B$101=0,0,19-核心参数输入!$B$101)))),0),0)</f>
        <v>0</v>
      </c>
      <c r="X38" s="9">
        <f>IF(20&lt;=核心参数输入!$B$9,IF(AND(核心参数输入!$B$100=1,OR(核心参数输入!$B$101=0,20-3&lt;=核心参数输入!$B$101)),MAX(0,W38-MAX(0,X13-SUMIFS($W$35:$W$37,$B$35:$B$37,"&gt;="&amp;IF(核心参数输入!$B$101=0,0,20-核心参数输入!$B$101)))),0),0)</f>
        <v>0</v>
      </c>
      <c r="Y38" s="9">
        <f>IF(21&lt;=核心参数输入!$B$9,IF(AND(核心参数输入!$B$100=1,OR(核心参数输入!$B$101=0,21-3&lt;=核心参数输入!$B$101)),MAX(0,X38-MAX(0,Y13-SUMIFS($X$35:$X$37,$B$35:$B$37,"&gt;="&amp;IF(核心参数输入!$B$101=0,0,21-核心参数输入!$B$101)))),0),0)</f>
        <v>0</v>
      </c>
      <c r="Z38" s="9">
        <f>IF(22&lt;=核心参数输入!$B$9,IF(AND(核心参数输入!$B$100=1,OR(核心参数输入!$B$101=0,22-3&lt;=核心参数输入!$B$101)),MAX(0,Y38-MAX(0,Z13-SUMIFS($Y$35:$Y$37,$B$35:$B$37,"&gt;="&amp;IF(核心参数输入!$B$101=0,0,22-核心参数输入!$B$101)))),0),0)</f>
        <v>0</v>
      </c>
      <c r="AA38" s="9">
        <f>IF(23&lt;=核心参数输入!$B$9,IF(AND(核心参数输入!$B$100=1,OR(核心参数输入!$B$101=0,23-3&lt;=核心参数输入!$B$101)),MAX(0,Z38-MAX(0,AA13-SUMIFS($Z$35:$Z$37,$B$35:$B$37,"&gt;="&amp;IF(核心参数输入!$B$101=0,0,23-核心参数输入!$B$101)))),0),0)</f>
        <v>0</v>
      </c>
      <c r="AB38" s="9">
        <f>IF(24&lt;=核心参数输入!$B$9,IF(AND(核心参数输入!$B$100=1,OR(核心参数输入!$B$101=0,24-3&lt;=核心参数输入!$B$101)),MAX(0,AA38-MAX(0,AB13-SUMIFS($AA$35:$AA$37,$B$35:$B$37,"&gt;="&amp;IF(核心参数输入!$B$101=0,0,24-核心参数输入!$B$101)))),0),0)</f>
        <v>0</v>
      </c>
      <c r="AC38" s="9">
        <f>IF(25&lt;=核心参数输入!$B$9,IF(AND(核心参数输入!$B$100=1,OR(核心参数输入!$B$101=0,25-3&lt;=核心参数输入!$B$101)),MAX(0,AB38-MAX(0,AC13-SUMIFS($AB$35:$AB$37,$B$35:$B$37,"&gt;="&amp;IF(核心参数输入!$B$101=0,0,25-核心参数输入!$B$101)))),0),0)</f>
        <v>0</v>
      </c>
      <c r="AD38" s="9">
        <f>IF(26&lt;=核心参数输入!$B$9,IF(AND(核心参数输入!$B$100=1,OR(核心参数输入!$B$101=0,26-3&lt;=核心参数输入!$B$101)),MAX(0,AC38-MAX(0,AD13-SUMIFS($AC$35:$AC$37,$B$35:$B$37,"&gt;="&amp;IF(核心参数输入!$B$101=0,0,26-核心参数输入!$B$101)))),0),0)</f>
        <v>0</v>
      </c>
      <c r="AE38" s="9">
        <f>IF(27&lt;=核心参数输入!$B$9,IF(AND(核心参数输入!$B$100=1,OR(核心参数输入!$B$101=0,27-3&lt;=核心参数输入!$B$101)),MAX(0,AD38-MAX(0,AE13-SUMIFS($AD$35:$AD$37,$B$35:$B$37,"&gt;="&amp;IF(核心参数输入!$B$101=0,0,27-核心参数输入!$B$101)))),0),0)</f>
        <v>0</v>
      </c>
      <c r="AF38" s="9">
        <f>IF(28&lt;=核心参数输入!$B$9,IF(AND(核心参数输入!$B$100=1,OR(核心参数输入!$B$101=0,28-3&lt;=核心参数输入!$B$101)),MAX(0,AE38-MAX(0,AF13-SUMIFS($AE$35:$AE$37,$B$35:$B$37,"&gt;="&amp;IF(核心参数输入!$B$101=0,0,28-核心参数输入!$B$101)))),0),0)</f>
        <v>0</v>
      </c>
      <c r="AG38" s="9">
        <f>IF(29&lt;=核心参数输入!$B$9,IF(AND(核心参数输入!$B$100=1,OR(核心参数输入!$B$101=0,29-3&lt;=核心参数输入!$B$101)),MAX(0,AF38-MAX(0,AG13-SUMIFS($AF$35:$AF$37,$B$35:$B$37,"&gt;="&amp;IF(核心参数输入!$B$101=0,0,29-核心参数输入!$B$101)))),0),0)</f>
        <v>0</v>
      </c>
      <c r="AH38" s="9">
        <f>IF(30&lt;=核心参数输入!$B$9,IF(AND(核心参数输入!$B$100=1,OR(核心参数输入!$B$101=0,30-3&lt;=核心参数输入!$B$101)),MAX(0,AG38-MAX(0,AH13-SUMIFS($AG$35:$AG$37,$B$35:$B$37,"&gt;="&amp;IF(核心参数输入!$B$101=0,0,30-核心参数输入!$B$101)))),0),0)</f>
        <v>0</v>
      </c>
    </row>
    <row r="39" spans="1:34" ht="21" customHeight="1">
      <c r="A39" s="8" t="s">
        <v>590</v>
      </c>
      <c r="B39" s="8">
        <v>4</v>
      </c>
      <c r="C39" s="8"/>
      <c r="D39" s="9">
        <f>IF(0&lt;=核心参数输入!$B$9,0,0)</f>
        <v>0</v>
      </c>
      <c r="E39" s="9">
        <f>IF(1&lt;=核心参数输入!$B$9,0,0)</f>
        <v>0</v>
      </c>
      <c r="F39" s="9">
        <f>IF(2&lt;=核心参数输入!$B$9,0,0)</f>
        <v>0</v>
      </c>
      <c r="G39" s="9">
        <f>IF(3&lt;=核心参数输入!$B$9,0,0)</f>
        <v>0</v>
      </c>
      <c r="H39" s="9">
        <f>IF(4&lt;=核心参数输入!$B$9,H16,0)</f>
        <v>0</v>
      </c>
      <c r="I39" s="9">
        <f>IF(5&lt;=核心参数输入!$B$9,IF(AND(核心参数输入!$B$100=1,OR(核心参数输入!$B$101=0,5-4&lt;=核心参数输入!$B$101)),MAX(0,H39-MAX(0,I13-SUMIFS($H$35:$H$38,$B$35:$B$38,"&gt;="&amp;IF(核心参数输入!$B$101=0,0,5-核心参数输入!$B$101)))),0),0)</f>
        <v>0</v>
      </c>
      <c r="J39" s="9">
        <f>IF(6&lt;=核心参数输入!$B$9,IF(AND(核心参数输入!$B$100=1,OR(核心参数输入!$B$101=0,6-4&lt;=核心参数输入!$B$101)),MAX(0,I39-MAX(0,J13-SUMIFS($I$35:$I$38,$B$35:$B$38,"&gt;="&amp;IF(核心参数输入!$B$101=0,0,6-核心参数输入!$B$101)))),0),0)</f>
        <v>0</v>
      </c>
      <c r="K39" s="9">
        <f>IF(7&lt;=核心参数输入!$B$9,IF(AND(核心参数输入!$B$100=1,OR(核心参数输入!$B$101=0,7-4&lt;=核心参数输入!$B$101)),MAX(0,J39-MAX(0,K13-SUMIFS($J$35:$J$38,$B$35:$B$38,"&gt;="&amp;IF(核心参数输入!$B$101=0,0,7-核心参数输入!$B$101)))),0),0)</f>
        <v>0</v>
      </c>
      <c r="L39" s="9">
        <f>IF(8&lt;=核心参数输入!$B$9,IF(AND(核心参数输入!$B$100=1,OR(核心参数输入!$B$101=0,8-4&lt;=核心参数输入!$B$101)),MAX(0,K39-MAX(0,L13-SUMIFS($K$35:$K$38,$B$35:$B$38,"&gt;="&amp;IF(核心参数输入!$B$101=0,0,8-核心参数输入!$B$101)))),0),0)</f>
        <v>0</v>
      </c>
      <c r="M39" s="9">
        <f>IF(9&lt;=核心参数输入!$B$9,IF(AND(核心参数输入!$B$100=1,OR(核心参数输入!$B$101=0,9-4&lt;=核心参数输入!$B$101)),MAX(0,L39-MAX(0,M13-SUMIFS($L$35:$L$38,$B$35:$B$38,"&gt;="&amp;IF(核心参数输入!$B$101=0,0,9-核心参数输入!$B$101)))),0),0)</f>
        <v>0</v>
      </c>
      <c r="N39" s="9">
        <f>IF(10&lt;=核心参数输入!$B$9,IF(AND(核心参数输入!$B$100=1,OR(核心参数输入!$B$101=0,10-4&lt;=核心参数输入!$B$101)),MAX(0,M39-MAX(0,N13-SUMIFS($M$35:$M$38,$B$35:$B$38,"&gt;="&amp;IF(核心参数输入!$B$101=0,0,10-核心参数输入!$B$101)))),0),0)</f>
        <v>0</v>
      </c>
      <c r="O39" s="9">
        <f>IF(11&lt;=核心参数输入!$B$9,IF(AND(核心参数输入!$B$100=1,OR(核心参数输入!$B$101=0,11-4&lt;=核心参数输入!$B$101)),MAX(0,N39-MAX(0,O13-SUMIFS($N$35:$N$38,$B$35:$B$38,"&gt;="&amp;IF(核心参数输入!$B$101=0,0,11-核心参数输入!$B$101)))),0),0)</f>
        <v>0</v>
      </c>
      <c r="P39" s="9">
        <f>IF(12&lt;=核心参数输入!$B$9,IF(AND(核心参数输入!$B$100=1,OR(核心参数输入!$B$101=0,12-4&lt;=核心参数输入!$B$101)),MAX(0,O39-MAX(0,P13-SUMIFS($O$35:$O$38,$B$35:$B$38,"&gt;="&amp;IF(核心参数输入!$B$101=0,0,12-核心参数输入!$B$101)))),0),0)</f>
        <v>0</v>
      </c>
      <c r="Q39" s="9">
        <f>IF(13&lt;=核心参数输入!$B$9,IF(AND(核心参数输入!$B$100=1,OR(核心参数输入!$B$101=0,13-4&lt;=核心参数输入!$B$101)),MAX(0,P39-MAX(0,Q13-SUMIFS($P$35:$P$38,$B$35:$B$38,"&gt;="&amp;IF(核心参数输入!$B$101=0,0,13-核心参数输入!$B$101)))),0),0)</f>
        <v>0</v>
      </c>
      <c r="R39" s="9">
        <f>IF(14&lt;=核心参数输入!$B$9,IF(AND(核心参数输入!$B$100=1,OR(核心参数输入!$B$101=0,14-4&lt;=核心参数输入!$B$101)),MAX(0,Q39-MAX(0,R13-SUMIFS($Q$35:$Q$38,$B$35:$B$38,"&gt;="&amp;IF(核心参数输入!$B$101=0,0,14-核心参数输入!$B$101)))),0),0)</f>
        <v>0</v>
      </c>
      <c r="S39" s="9">
        <f>IF(15&lt;=核心参数输入!$B$9,IF(AND(核心参数输入!$B$100=1,OR(核心参数输入!$B$101=0,15-4&lt;=核心参数输入!$B$101)),MAX(0,R39-MAX(0,S13-SUMIFS($R$35:$R$38,$B$35:$B$38,"&gt;="&amp;IF(核心参数输入!$B$101=0,0,15-核心参数输入!$B$101)))),0),0)</f>
        <v>0</v>
      </c>
      <c r="T39" s="9">
        <f>IF(16&lt;=核心参数输入!$B$9,IF(AND(核心参数输入!$B$100=1,OR(核心参数输入!$B$101=0,16-4&lt;=核心参数输入!$B$101)),MAX(0,S39-MAX(0,T13-SUMIFS($S$35:$S$38,$B$35:$B$38,"&gt;="&amp;IF(核心参数输入!$B$101=0,0,16-核心参数输入!$B$101)))),0),0)</f>
        <v>0</v>
      </c>
      <c r="U39" s="9">
        <f>IF(17&lt;=核心参数输入!$B$9,IF(AND(核心参数输入!$B$100=1,OR(核心参数输入!$B$101=0,17-4&lt;=核心参数输入!$B$101)),MAX(0,T39-MAX(0,U13-SUMIFS($T$35:$T$38,$B$35:$B$38,"&gt;="&amp;IF(核心参数输入!$B$101=0,0,17-核心参数输入!$B$101)))),0),0)</f>
        <v>0</v>
      </c>
      <c r="V39" s="9">
        <f>IF(18&lt;=核心参数输入!$B$9,IF(AND(核心参数输入!$B$100=1,OR(核心参数输入!$B$101=0,18-4&lt;=核心参数输入!$B$101)),MAX(0,U39-MAX(0,V13-SUMIFS($U$35:$U$38,$B$35:$B$38,"&gt;="&amp;IF(核心参数输入!$B$101=0,0,18-核心参数输入!$B$101)))),0),0)</f>
        <v>0</v>
      </c>
      <c r="W39" s="9">
        <f>IF(19&lt;=核心参数输入!$B$9,IF(AND(核心参数输入!$B$100=1,OR(核心参数输入!$B$101=0,19-4&lt;=核心参数输入!$B$101)),MAX(0,V39-MAX(0,W13-SUMIFS($V$35:$V$38,$B$35:$B$38,"&gt;="&amp;IF(核心参数输入!$B$101=0,0,19-核心参数输入!$B$101)))),0),0)</f>
        <v>0</v>
      </c>
      <c r="X39" s="9">
        <f>IF(20&lt;=核心参数输入!$B$9,IF(AND(核心参数输入!$B$100=1,OR(核心参数输入!$B$101=0,20-4&lt;=核心参数输入!$B$101)),MAX(0,W39-MAX(0,X13-SUMIFS($W$35:$W$38,$B$35:$B$38,"&gt;="&amp;IF(核心参数输入!$B$101=0,0,20-核心参数输入!$B$101)))),0),0)</f>
        <v>0</v>
      </c>
      <c r="Y39" s="9">
        <f>IF(21&lt;=核心参数输入!$B$9,IF(AND(核心参数输入!$B$100=1,OR(核心参数输入!$B$101=0,21-4&lt;=核心参数输入!$B$101)),MAX(0,X39-MAX(0,Y13-SUMIFS($X$35:$X$38,$B$35:$B$38,"&gt;="&amp;IF(核心参数输入!$B$101=0,0,21-核心参数输入!$B$101)))),0),0)</f>
        <v>0</v>
      </c>
      <c r="Z39" s="9">
        <f>IF(22&lt;=核心参数输入!$B$9,IF(AND(核心参数输入!$B$100=1,OR(核心参数输入!$B$101=0,22-4&lt;=核心参数输入!$B$101)),MAX(0,Y39-MAX(0,Z13-SUMIFS($Y$35:$Y$38,$B$35:$B$38,"&gt;="&amp;IF(核心参数输入!$B$101=0,0,22-核心参数输入!$B$101)))),0),0)</f>
        <v>0</v>
      </c>
      <c r="AA39" s="9">
        <f>IF(23&lt;=核心参数输入!$B$9,IF(AND(核心参数输入!$B$100=1,OR(核心参数输入!$B$101=0,23-4&lt;=核心参数输入!$B$101)),MAX(0,Z39-MAX(0,AA13-SUMIFS($Z$35:$Z$38,$B$35:$B$38,"&gt;="&amp;IF(核心参数输入!$B$101=0,0,23-核心参数输入!$B$101)))),0),0)</f>
        <v>0</v>
      </c>
      <c r="AB39" s="9">
        <f>IF(24&lt;=核心参数输入!$B$9,IF(AND(核心参数输入!$B$100=1,OR(核心参数输入!$B$101=0,24-4&lt;=核心参数输入!$B$101)),MAX(0,AA39-MAX(0,AB13-SUMIFS($AA$35:$AA$38,$B$35:$B$38,"&gt;="&amp;IF(核心参数输入!$B$101=0,0,24-核心参数输入!$B$101)))),0),0)</f>
        <v>0</v>
      </c>
      <c r="AC39" s="9">
        <f>IF(25&lt;=核心参数输入!$B$9,IF(AND(核心参数输入!$B$100=1,OR(核心参数输入!$B$101=0,25-4&lt;=核心参数输入!$B$101)),MAX(0,AB39-MAX(0,AC13-SUMIFS($AB$35:$AB$38,$B$35:$B$38,"&gt;="&amp;IF(核心参数输入!$B$101=0,0,25-核心参数输入!$B$101)))),0),0)</f>
        <v>0</v>
      </c>
      <c r="AD39" s="9">
        <f>IF(26&lt;=核心参数输入!$B$9,IF(AND(核心参数输入!$B$100=1,OR(核心参数输入!$B$101=0,26-4&lt;=核心参数输入!$B$101)),MAX(0,AC39-MAX(0,AD13-SUMIFS($AC$35:$AC$38,$B$35:$B$38,"&gt;="&amp;IF(核心参数输入!$B$101=0,0,26-核心参数输入!$B$101)))),0),0)</f>
        <v>0</v>
      </c>
      <c r="AE39" s="9">
        <f>IF(27&lt;=核心参数输入!$B$9,IF(AND(核心参数输入!$B$100=1,OR(核心参数输入!$B$101=0,27-4&lt;=核心参数输入!$B$101)),MAX(0,AD39-MAX(0,AE13-SUMIFS($AD$35:$AD$38,$B$35:$B$38,"&gt;="&amp;IF(核心参数输入!$B$101=0,0,27-核心参数输入!$B$101)))),0),0)</f>
        <v>0</v>
      </c>
      <c r="AF39" s="9">
        <f>IF(28&lt;=核心参数输入!$B$9,IF(AND(核心参数输入!$B$100=1,OR(核心参数输入!$B$101=0,28-4&lt;=核心参数输入!$B$101)),MAX(0,AE39-MAX(0,AF13-SUMIFS($AE$35:$AE$38,$B$35:$B$38,"&gt;="&amp;IF(核心参数输入!$B$101=0,0,28-核心参数输入!$B$101)))),0),0)</f>
        <v>0</v>
      </c>
      <c r="AG39" s="9">
        <f>IF(29&lt;=核心参数输入!$B$9,IF(AND(核心参数输入!$B$100=1,OR(核心参数输入!$B$101=0,29-4&lt;=核心参数输入!$B$101)),MAX(0,AF39-MAX(0,AG13-SUMIFS($AF$35:$AF$38,$B$35:$B$38,"&gt;="&amp;IF(核心参数输入!$B$101=0,0,29-核心参数输入!$B$101)))),0),0)</f>
        <v>0</v>
      </c>
      <c r="AH39" s="9">
        <f>IF(30&lt;=核心参数输入!$B$9,IF(AND(核心参数输入!$B$100=1,OR(核心参数输入!$B$101=0,30-4&lt;=核心参数输入!$B$101)),MAX(0,AG39-MAX(0,AH13-SUMIFS($AG$35:$AG$38,$B$35:$B$38,"&gt;="&amp;IF(核心参数输入!$B$101=0,0,30-核心参数输入!$B$101)))),0),0)</f>
        <v>0</v>
      </c>
    </row>
    <row r="40" spans="1:34" ht="21" customHeight="1">
      <c r="A40" s="8" t="s">
        <v>591</v>
      </c>
      <c r="B40" s="8">
        <v>5</v>
      </c>
      <c r="C40" s="8"/>
      <c r="D40" s="9">
        <f>IF(0&lt;=核心参数输入!$B$9,0,0)</f>
        <v>0</v>
      </c>
      <c r="E40" s="9">
        <f>IF(1&lt;=核心参数输入!$B$9,0,0)</f>
        <v>0</v>
      </c>
      <c r="F40" s="9">
        <f>IF(2&lt;=核心参数输入!$B$9,0,0)</f>
        <v>0</v>
      </c>
      <c r="G40" s="9">
        <f>IF(3&lt;=核心参数输入!$B$9,0,0)</f>
        <v>0</v>
      </c>
      <c r="H40" s="9">
        <f>IF(4&lt;=核心参数输入!$B$9,0,0)</f>
        <v>0</v>
      </c>
      <c r="I40" s="9">
        <f>IF(5&lt;=核心参数输入!$B$9,I16,0)</f>
        <v>0</v>
      </c>
      <c r="J40" s="9">
        <f>IF(6&lt;=核心参数输入!$B$9,IF(AND(核心参数输入!$B$100=1,OR(核心参数输入!$B$101=0,6-5&lt;=核心参数输入!$B$101)),MAX(0,I40-MAX(0,J13-SUMIFS($I$35:$I$39,$B$35:$B$39,"&gt;="&amp;IF(核心参数输入!$B$101=0,0,6-核心参数输入!$B$101)))),0),0)</f>
        <v>0</v>
      </c>
      <c r="K40" s="9">
        <f>IF(7&lt;=核心参数输入!$B$9,IF(AND(核心参数输入!$B$100=1,OR(核心参数输入!$B$101=0,7-5&lt;=核心参数输入!$B$101)),MAX(0,J40-MAX(0,K13-SUMIFS($J$35:$J$39,$B$35:$B$39,"&gt;="&amp;IF(核心参数输入!$B$101=0,0,7-核心参数输入!$B$101)))),0),0)</f>
        <v>0</v>
      </c>
      <c r="L40" s="9">
        <f>IF(8&lt;=核心参数输入!$B$9,IF(AND(核心参数输入!$B$100=1,OR(核心参数输入!$B$101=0,8-5&lt;=核心参数输入!$B$101)),MAX(0,K40-MAX(0,L13-SUMIFS($K$35:$K$39,$B$35:$B$39,"&gt;="&amp;IF(核心参数输入!$B$101=0,0,8-核心参数输入!$B$101)))),0),0)</f>
        <v>0</v>
      </c>
      <c r="M40" s="9">
        <f>IF(9&lt;=核心参数输入!$B$9,IF(AND(核心参数输入!$B$100=1,OR(核心参数输入!$B$101=0,9-5&lt;=核心参数输入!$B$101)),MAX(0,L40-MAX(0,M13-SUMIFS($L$35:$L$39,$B$35:$B$39,"&gt;="&amp;IF(核心参数输入!$B$101=0,0,9-核心参数输入!$B$101)))),0),0)</f>
        <v>0</v>
      </c>
      <c r="N40" s="9">
        <f>IF(10&lt;=核心参数输入!$B$9,IF(AND(核心参数输入!$B$100=1,OR(核心参数输入!$B$101=0,10-5&lt;=核心参数输入!$B$101)),MAX(0,M40-MAX(0,N13-SUMIFS($M$35:$M$39,$B$35:$B$39,"&gt;="&amp;IF(核心参数输入!$B$101=0,0,10-核心参数输入!$B$101)))),0),0)</f>
        <v>0</v>
      </c>
      <c r="O40" s="9">
        <f>IF(11&lt;=核心参数输入!$B$9,IF(AND(核心参数输入!$B$100=1,OR(核心参数输入!$B$101=0,11-5&lt;=核心参数输入!$B$101)),MAX(0,N40-MAX(0,O13-SUMIFS($N$35:$N$39,$B$35:$B$39,"&gt;="&amp;IF(核心参数输入!$B$101=0,0,11-核心参数输入!$B$101)))),0),0)</f>
        <v>0</v>
      </c>
      <c r="P40" s="9">
        <f>IF(12&lt;=核心参数输入!$B$9,IF(AND(核心参数输入!$B$100=1,OR(核心参数输入!$B$101=0,12-5&lt;=核心参数输入!$B$101)),MAX(0,O40-MAX(0,P13-SUMIFS($O$35:$O$39,$B$35:$B$39,"&gt;="&amp;IF(核心参数输入!$B$101=0,0,12-核心参数输入!$B$101)))),0),0)</f>
        <v>0</v>
      </c>
      <c r="Q40" s="9">
        <f>IF(13&lt;=核心参数输入!$B$9,IF(AND(核心参数输入!$B$100=1,OR(核心参数输入!$B$101=0,13-5&lt;=核心参数输入!$B$101)),MAX(0,P40-MAX(0,Q13-SUMIFS($P$35:$P$39,$B$35:$B$39,"&gt;="&amp;IF(核心参数输入!$B$101=0,0,13-核心参数输入!$B$101)))),0),0)</f>
        <v>0</v>
      </c>
      <c r="R40" s="9">
        <f>IF(14&lt;=核心参数输入!$B$9,IF(AND(核心参数输入!$B$100=1,OR(核心参数输入!$B$101=0,14-5&lt;=核心参数输入!$B$101)),MAX(0,Q40-MAX(0,R13-SUMIFS($Q$35:$Q$39,$B$35:$B$39,"&gt;="&amp;IF(核心参数输入!$B$101=0,0,14-核心参数输入!$B$101)))),0),0)</f>
        <v>0</v>
      </c>
      <c r="S40" s="9">
        <f>IF(15&lt;=核心参数输入!$B$9,IF(AND(核心参数输入!$B$100=1,OR(核心参数输入!$B$101=0,15-5&lt;=核心参数输入!$B$101)),MAX(0,R40-MAX(0,S13-SUMIFS($R$35:$R$39,$B$35:$B$39,"&gt;="&amp;IF(核心参数输入!$B$101=0,0,15-核心参数输入!$B$101)))),0),0)</f>
        <v>0</v>
      </c>
      <c r="T40" s="9">
        <f>IF(16&lt;=核心参数输入!$B$9,IF(AND(核心参数输入!$B$100=1,OR(核心参数输入!$B$101=0,16-5&lt;=核心参数输入!$B$101)),MAX(0,S40-MAX(0,T13-SUMIFS($S$35:$S$39,$B$35:$B$39,"&gt;="&amp;IF(核心参数输入!$B$101=0,0,16-核心参数输入!$B$101)))),0),0)</f>
        <v>0</v>
      </c>
      <c r="U40" s="9">
        <f>IF(17&lt;=核心参数输入!$B$9,IF(AND(核心参数输入!$B$100=1,OR(核心参数输入!$B$101=0,17-5&lt;=核心参数输入!$B$101)),MAX(0,T40-MAX(0,U13-SUMIFS($T$35:$T$39,$B$35:$B$39,"&gt;="&amp;IF(核心参数输入!$B$101=0,0,17-核心参数输入!$B$101)))),0),0)</f>
        <v>0</v>
      </c>
      <c r="V40" s="9">
        <f>IF(18&lt;=核心参数输入!$B$9,IF(AND(核心参数输入!$B$100=1,OR(核心参数输入!$B$101=0,18-5&lt;=核心参数输入!$B$101)),MAX(0,U40-MAX(0,V13-SUMIFS($U$35:$U$39,$B$35:$B$39,"&gt;="&amp;IF(核心参数输入!$B$101=0,0,18-核心参数输入!$B$101)))),0),0)</f>
        <v>0</v>
      </c>
      <c r="W40" s="9">
        <f>IF(19&lt;=核心参数输入!$B$9,IF(AND(核心参数输入!$B$100=1,OR(核心参数输入!$B$101=0,19-5&lt;=核心参数输入!$B$101)),MAX(0,V40-MAX(0,W13-SUMIFS($V$35:$V$39,$B$35:$B$39,"&gt;="&amp;IF(核心参数输入!$B$101=0,0,19-核心参数输入!$B$101)))),0),0)</f>
        <v>0</v>
      </c>
      <c r="X40" s="9">
        <f>IF(20&lt;=核心参数输入!$B$9,IF(AND(核心参数输入!$B$100=1,OR(核心参数输入!$B$101=0,20-5&lt;=核心参数输入!$B$101)),MAX(0,W40-MAX(0,X13-SUMIFS($W$35:$W$39,$B$35:$B$39,"&gt;="&amp;IF(核心参数输入!$B$101=0,0,20-核心参数输入!$B$101)))),0),0)</f>
        <v>0</v>
      </c>
      <c r="Y40" s="9">
        <f>IF(21&lt;=核心参数输入!$B$9,IF(AND(核心参数输入!$B$100=1,OR(核心参数输入!$B$101=0,21-5&lt;=核心参数输入!$B$101)),MAX(0,X40-MAX(0,Y13-SUMIFS($X$35:$X$39,$B$35:$B$39,"&gt;="&amp;IF(核心参数输入!$B$101=0,0,21-核心参数输入!$B$101)))),0),0)</f>
        <v>0</v>
      </c>
      <c r="Z40" s="9">
        <f>IF(22&lt;=核心参数输入!$B$9,IF(AND(核心参数输入!$B$100=1,OR(核心参数输入!$B$101=0,22-5&lt;=核心参数输入!$B$101)),MAX(0,Y40-MAX(0,Z13-SUMIFS($Y$35:$Y$39,$B$35:$B$39,"&gt;="&amp;IF(核心参数输入!$B$101=0,0,22-核心参数输入!$B$101)))),0),0)</f>
        <v>0</v>
      </c>
      <c r="AA40" s="9">
        <f>IF(23&lt;=核心参数输入!$B$9,IF(AND(核心参数输入!$B$100=1,OR(核心参数输入!$B$101=0,23-5&lt;=核心参数输入!$B$101)),MAX(0,Z40-MAX(0,AA13-SUMIFS($Z$35:$Z$39,$B$35:$B$39,"&gt;="&amp;IF(核心参数输入!$B$101=0,0,23-核心参数输入!$B$101)))),0),0)</f>
        <v>0</v>
      </c>
      <c r="AB40" s="9">
        <f>IF(24&lt;=核心参数输入!$B$9,IF(AND(核心参数输入!$B$100=1,OR(核心参数输入!$B$101=0,24-5&lt;=核心参数输入!$B$101)),MAX(0,AA40-MAX(0,AB13-SUMIFS($AA$35:$AA$39,$B$35:$B$39,"&gt;="&amp;IF(核心参数输入!$B$101=0,0,24-核心参数输入!$B$101)))),0),0)</f>
        <v>0</v>
      </c>
      <c r="AC40" s="9">
        <f>IF(25&lt;=核心参数输入!$B$9,IF(AND(核心参数输入!$B$100=1,OR(核心参数输入!$B$101=0,25-5&lt;=核心参数输入!$B$101)),MAX(0,AB40-MAX(0,AC13-SUMIFS($AB$35:$AB$39,$B$35:$B$39,"&gt;="&amp;IF(核心参数输入!$B$101=0,0,25-核心参数输入!$B$101)))),0),0)</f>
        <v>0</v>
      </c>
      <c r="AD40" s="9">
        <f>IF(26&lt;=核心参数输入!$B$9,IF(AND(核心参数输入!$B$100=1,OR(核心参数输入!$B$101=0,26-5&lt;=核心参数输入!$B$101)),MAX(0,AC40-MAX(0,AD13-SUMIFS($AC$35:$AC$39,$B$35:$B$39,"&gt;="&amp;IF(核心参数输入!$B$101=0,0,26-核心参数输入!$B$101)))),0),0)</f>
        <v>0</v>
      </c>
      <c r="AE40" s="9">
        <f>IF(27&lt;=核心参数输入!$B$9,IF(AND(核心参数输入!$B$100=1,OR(核心参数输入!$B$101=0,27-5&lt;=核心参数输入!$B$101)),MAX(0,AD40-MAX(0,AE13-SUMIFS($AD$35:$AD$39,$B$35:$B$39,"&gt;="&amp;IF(核心参数输入!$B$101=0,0,27-核心参数输入!$B$101)))),0),0)</f>
        <v>0</v>
      </c>
      <c r="AF40" s="9">
        <f>IF(28&lt;=核心参数输入!$B$9,IF(AND(核心参数输入!$B$100=1,OR(核心参数输入!$B$101=0,28-5&lt;=核心参数输入!$B$101)),MAX(0,AE40-MAX(0,AF13-SUMIFS($AE$35:$AE$39,$B$35:$B$39,"&gt;="&amp;IF(核心参数输入!$B$101=0,0,28-核心参数输入!$B$101)))),0),0)</f>
        <v>0</v>
      </c>
      <c r="AG40" s="9">
        <f>IF(29&lt;=核心参数输入!$B$9,IF(AND(核心参数输入!$B$100=1,OR(核心参数输入!$B$101=0,29-5&lt;=核心参数输入!$B$101)),MAX(0,AF40-MAX(0,AG13-SUMIFS($AF$35:$AF$39,$B$35:$B$39,"&gt;="&amp;IF(核心参数输入!$B$101=0,0,29-核心参数输入!$B$101)))),0),0)</f>
        <v>0</v>
      </c>
      <c r="AH40" s="9">
        <f>IF(30&lt;=核心参数输入!$B$9,IF(AND(核心参数输入!$B$100=1,OR(核心参数输入!$B$101=0,30-5&lt;=核心参数输入!$B$101)),MAX(0,AG40-MAX(0,AH13-SUMIFS($AG$35:$AG$39,$B$35:$B$39,"&gt;="&amp;IF(核心参数输入!$B$101=0,0,30-核心参数输入!$B$101)))),0),0)</f>
        <v>0</v>
      </c>
    </row>
    <row r="41" spans="1:34" ht="21" customHeight="1">
      <c r="A41" s="8" t="s">
        <v>592</v>
      </c>
      <c r="B41" s="8">
        <v>6</v>
      </c>
      <c r="C41" s="8"/>
      <c r="D41" s="9">
        <f>IF(0&lt;=核心参数输入!$B$9,0,0)</f>
        <v>0</v>
      </c>
      <c r="E41" s="9">
        <f>IF(1&lt;=核心参数输入!$B$9,0,0)</f>
        <v>0</v>
      </c>
      <c r="F41" s="9">
        <f>IF(2&lt;=核心参数输入!$B$9,0,0)</f>
        <v>0</v>
      </c>
      <c r="G41" s="9">
        <f>IF(3&lt;=核心参数输入!$B$9,0,0)</f>
        <v>0</v>
      </c>
      <c r="H41" s="9">
        <f>IF(4&lt;=核心参数输入!$B$9,0,0)</f>
        <v>0</v>
      </c>
      <c r="I41" s="9">
        <f>IF(5&lt;=核心参数输入!$B$9,0,0)</f>
        <v>0</v>
      </c>
      <c r="J41" s="9">
        <f>IF(6&lt;=核心参数输入!$B$9,J16,0)</f>
        <v>0</v>
      </c>
      <c r="K41" s="9">
        <f>IF(7&lt;=核心参数输入!$B$9,IF(AND(核心参数输入!$B$100=1,OR(核心参数输入!$B$101=0,7-6&lt;=核心参数输入!$B$101)),MAX(0,J41-MAX(0,K13-SUMIFS($J$35:$J$40,$B$35:$B$40,"&gt;="&amp;IF(核心参数输入!$B$101=0,0,7-核心参数输入!$B$101)))),0),0)</f>
        <v>0</v>
      </c>
      <c r="L41" s="9">
        <f>IF(8&lt;=核心参数输入!$B$9,IF(AND(核心参数输入!$B$100=1,OR(核心参数输入!$B$101=0,8-6&lt;=核心参数输入!$B$101)),MAX(0,K41-MAX(0,L13-SUMIFS($K$35:$K$40,$B$35:$B$40,"&gt;="&amp;IF(核心参数输入!$B$101=0,0,8-核心参数输入!$B$101)))),0),0)</f>
        <v>0</v>
      </c>
      <c r="M41" s="9">
        <f>IF(9&lt;=核心参数输入!$B$9,IF(AND(核心参数输入!$B$100=1,OR(核心参数输入!$B$101=0,9-6&lt;=核心参数输入!$B$101)),MAX(0,L41-MAX(0,M13-SUMIFS($L$35:$L$40,$B$35:$B$40,"&gt;="&amp;IF(核心参数输入!$B$101=0,0,9-核心参数输入!$B$101)))),0),0)</f>
        <v>0</v>
      </c>
      <c r="N41" s="9">
        <f>IF(10&lt;=核心参数输入!$B$9,IF(AND(核心参数输入!$B$100=1,OR(核心参数输入!$B$101=0,10-6&lt;=核心参数输入!$B$101)),MAX(0,M41-MAX(0,N13-SUMIFS($M$35:$M$40,$B$35:$B$40,"&gt;="&amp;IF(核心参数输入!$B$101=0,0,10-核心参数输入!$B$101)))),0),0)</f>
        <v>0</v>
      </c>
      <c r="O41" s="9">
        <f>IF(11&lt;=核心参数输入!$B$9,IF(AND(核心参数输入!$B$100=1,OR(核心参数输入!$B$101=0,11-6&lt;=核心参数输入!$B$101)),MAX(0,N41-MAX(0,O13-SUMIFS($N$35:$N$40,$B$35:$B$40,"&gt;="&amp;IF(核心参数输入!$B$101=0,0,11-核心参数输入!$B$101)))),0),0)</f>
        <v>0</v>
      </c>
      <c r="P41" s="9">
        <f>IF(12&lt;=核心参数输入!$B$9,IF(AND(核心参数输入!$B$100=1,OR(核心参数输入!$B$101=0,12-6&lt;=核心参数输入!$B$101)),MAX(0,O41-MAX(0,P13-SUMIFS($O$35:$O$40,$B$35:$B$40,"&gt;="&amp;IF(核心参数输入!$B$101=0,0,12-核心参数输入!$B$101)))),0),0)</f>
        <v>0</v>
      </c>
      <c r="Q41" s="9">
        <f>IF(13&lt;=核心参数输入!$B$9,IF(AND(核心参数输入!$B$100=1,OR(核心参数输入!$B$101=0,13-6&lt;=核心参数输入!$B$101)),MAX(0,P41-MAX(0,Q13-SUMIFS($P$35:$P$40,$B$35:$B$40,"&gt;="&amp;IF(核心参数输入!$B$101=0,0,13-核心参数输入!$B$101)))),0),0)</f>
        <v>0</v>
      </c>
      <c r="R41" s="9">
        <f>IF(14&lt;=核心参数输入!$B$9,IF(AND(核心参数输入!$B$100=1,OR(核心参数输入!$B$101=0,14-6&lt;=核心参数输入!$B$101)),MAX(0,Q41-MAX(0,R13-SUMIFS($Q$35:$Q$40,$B$35:$B$40,"&gt;="&amp;IF(核心参数输入!$B$101=0,0,14-核心参数输入!$B$101)))),0),0)</f>
        <v>0</v>
      </c>
      <c r="S41" s="9">
        <f>IF(15&lt;=核心参数输入!$B$9,IF(AND(核心参数输入!$B$100=1,OR(核心参数输入!$B$101=0,15-6&lt;=核心参数输入!$B$101)),MAX(0,R41-MAX(0,S13-SUMIFS($R$35:$R$40,$B$35:$B$40,"&gt;="&amp;IF(核心参数输入!$B$101=0,0,15-核心参数输入!$B$101)))),0),0)</f>
        <v>0</v>
      </c>
      <c r="T41" s="9">
        <f>IF(16&lt;=核心参数输入!$B$9,IF(AND(核心参数输入!$B$100=1,OR(核心参数输入!$B$101=0,16-6&lt;=核心参数输入!$B$101)),MAX(0,S41-MAX(0,T13-SUMIFS($S$35:$S$40,$B$35:$B$40,"&gt;="&amp;IF(核心参数输入!$B$101=0,0,16-核心参数输入!$B$101)))),0),0)</f>
        <v>0</v>
      </c>
      <c r="U41" s="9">
        <f>IF(17&lt;=核心参数输入!$B$9,IF(AND(核心参数输入!$B$100=1,OR(核心参数输入!$B$101=0,17-6&lt;=核心参数输入!$B$101)),MAX(0,T41-MAX(0,U13-SUMIFS($T$35:$T$40,$B$35:$B$40,"&gt;="&amp;IF(核心参数输入!$B$101=0,0,17-核心参数输入!$B$101)))),0),0)</f>
        <v>0</v>
      </c>
      <c r="V41" s="9">
        <f>IF(18&lt;=核心参数输入!$B$9,IF(AND(核心参数输入!$B$100=1,OR(核心参数输入!$B$101=0,18-6&lt;=核心参数输入!$B$101)),MAX(0,U41-MAX(0,V13-SUMIFS($U$35:$U$40,$B$35:$B$40,"&gt;="&amp;IF(核心参数输入!$B$101=0,0,18-核心参数输入!$B$101)))),0),0)</f>
        <v>0</v>
      </c>
      <c r="W41" s="9">
        <f>IF(19&lt;=核心参数输入!$B$9,IF(AND(核心参数输入!$B$100=1,OR(核心参数输入!$B$101=0,19-6&lt;=核心参数输入!$B$101)),MAX(0,V41-MAX(0,W13-SUMIFS($V$35:$V$40,$B$35:$B$40,"&gt;="&amp;IF(核心参数输入!$B$101=0,0,19-核心参数输入!$B$101)))),0),0)</f>
        <v>0</v>
      </c>
      <c r="X41" s="9">
        <f>IF(20&lt;=核心参数输入!$B$9,IF(AND(核心参数输入!$B$100=1,OR(核心参数输入!$B$101=0,20-6&lt;=核心参数输入!$B$101)),MAX(0,W41-MAX(0,X13-SUMIFS($W$35:$W$40,$B$35:$B$40,"&gt;="&amp;IF(核心参数输入!$B$101=0,0,20-核心参数输入!$B$101)))),0),0)</f>
        <v>0</v>
      </c>
      <c r="Y41" s="9">
        <f>IF(21&lt;=核心参数输入!$B$9,IF(AND(核心参数输入!$B$100=1,OR(核心参数输入!$B$101=0,21-6&lt;=核心参数输入!$B$101)),MAX(0,X41-MAX(0,Y13-SUMIFS($X$35:$X$40,$B$35:$B$40,"&gt;="&amp;IF(核心参数输入!$B$101=0,0,21-核心参数输入!$B$101)))),0),0)</f>
        <v>0</v>
      </c>
      <c r="Z41" s="9">
        <f>IF(22&lt;=核心参数输入!$B$9,IF(AND(核心参数输入!$B$100=1,OR(核心参数输入!$B$101=0,22-6&lt;=核心参数输入!$B$101)),MAX(0,Y41-MAX(0,Z13-SUMIFS($Y$35:$Y$40,$B$35:$B$40,"&gt;="&amp;IF(核心参数输入!$B$101=0,0,22-核心参数输入!$B$101)))),0),0)</f>
        <v>0</v>
      </c>
      <c r="AA41" s="9">
        <f>IF(23&lt;=核心参数输入!$B$9,IF(AND(核心参数输入!$B$100=1,OR(核心参数输入!$B$101=0,23-6&lt;=核心参数输入!$B$101)),MAX(0,Z41-MAX(0,AA13-SUMIFS($Z$35:$Z$40,$B$35:$B$40,"&gt;="&amp;IF(核心参数输入!$B$101=0,0,23-核心参数输入!$B$101)))),0),0)</f>
        <v>0</v>
      </c>
      <c r="AB41" s="9">
        <f>IF(24&lt;=核心参数输入!$B$9,IF(AND(核心参数输入!$B$100=1,OR(核心参数输入!$B$101=0,24-6&lt;=核心参数输入!$B$101)),MAX(0,AA41-MAX(0,AB13-SUMIFS($AA$35:$AA$40,$B$35:$B$40,"&gt;="&amp;IF(核心参数输入!$B$101=0,0,24-核心参数输入!$B$101)))),0),0)</f>
        <v>0</v>
      </c>
      <c r="AC41" s="9">
        <f>IF(25&lt;=核心参数输入!$B$9,IF(AND(核心参数输入!$B$100=1,OR(核心参数输入!$B$101=0,25-6&lt;=核心参数输入!$B$101)),MAX(0,AB41-MAX(0,AC13-SUMIFS($AB$35:$AB$40,$B$35:$B$40,"&gt;="&amp;IF(核心参数输入!$B$101=0,0,25-核心参数输入!$B$101)))),0),0)</f>
        <v>0</v>
      </c>
      <c r="AD41" s="9">
        <f>IF(26&lt;=核心参数输入!$B$9,IF(AND(核心参数输入!$B$100=1,OR(核心参数输入!$B$101=0,26-6&lt;=核心参数输入!$B$101)),MAX(0,AC41-MAX(0,AD13-SUMIFS($AC$35:$AC$40,$B$35:$B$40,"&gt;="&amp;IF(核心参数输入!$B$101=0,0,26-核心参数输入!$B$101)))),0),0)</f>
        <v>0</v>
      </c>
      <c r="AE41" s="9">
        <f>IF(27&lt;=核心参数输入!$B$9,IF(AND(核心参数输入!$B$100=1,OR(核心参数输入!$B$101=0,27-6&lt;=核心参数输入!$B$101)),MAX(0,AD41-MAX(0,AE13-SUMIFS($AD$35:$AD$40,$B$35:$B$40,"&gt;="&amp;IF(核心参数输入!$B$101=0,0,27-核心参数输入!$B$101)))),0),0)</f>
        <v>0</v>
      </c>
      <c r="AF41" s="9">
        <f>IF(28&lt;=核心参数输入!$B$9,IF(AND(核心参数输入!$B$100=1,OR(核心参数输入!$B$101=0,28-6&lt;=核心参数输入!$B$101)),MAX(0,AE41-MAX(0,AF13-SUMIFS($AE$35:$AE$40,$B$35:$B$40,"&gt;="&amp;IF(核心参数输入!$B$101=0,0,28-核心参数输入!$B$101)))),0),0)</f>
        <v>0</v>
      </c>
      <c r="AG41" s="9">
        <f>IF(29&lt;=核心参数输入!$B$9,IF(AND(核心参数输入!$B$100=1,OR(核心参数输入!$B$101=0,29-6&lt;=核心参数输入!$B$101)),MAX(0,AF41-MAX(0,AG13-SUMIFS($AF$35:$AF$40,$B$35:$B$40,"&gt;="&amp;IF(核心参数输入!$B$101=0,0,29-核心参数输入!$B$101)))),0),0)</f>
        <v>0</v>
      </c>
      <c r="AH41" s="9">
        <f>IF(30&lt;=核心参数输入!$B$9,IF(AND(核心参数输入!$B$100=1,OR(核心参数输入!$B$101=0,30-6&lt;=核心参数输入!$B$101)),MAX(0,AG41-MAX(0,AH13-SUMIFS($AG$35:$AG$40,$B$35:$B$40,"&gt;="&amp;IF(核心参数输入!$B$101=0,0,30-核心参数输入!$B$101)))),0),0)</f>
        <v>0</v>
      </c>
    </row>
    <row r="42" spans="1:34" ht="21" customHeight="1">
      <c r="A42" s="8" t="s">
        <v>593</v>
      </c>
      <c r="B42" s="8">
        <v>7</v>
      </c>
      <c r="C42" s="8"/>
      <c r="D42" s="9">
        <f>IF(0&lt;=核心参数输入!$B$9,0,0)</f>
        <v>0</v>
      </c>
      <c r="E42" s="9">
        <f>IF(1&lt;=核心参数输入!$B$9,0,0)</f>
        <v>0</v>
      </c>
      <c r="F42" s="9">
        <f>IF(2&lt;=核心参数输入!$B$9,0,0)</f>
        <v>0</v>
      </c>
      <c r="G42" s="9">
        <f>IF(3&lt;=核心参数输入!$B$9,0,0)</f>
        <v>0</v>
      </c>
      <c r="H42" s="9">
        <f>IF(4&lt;=核心参数输入!$B$9,0,0)</f>
        <v>0</v>
      </c>
      <c r="I42" s="9">
        <f>IF(5&lt;=核心参数输入!$B$9,0,0)</f>
        <v>0</v>
      </c>
      <c r="J42" s="9">
        <f>IF(6&lt;=核心参数输入!$B$9,0,0)</f>
        <v>0</v>
      </c>
      <c r="K42" s="9">
        <f>IF(7&lt;=核心参数输入!$B$9,K16,0)</f>
        <v>0</v>
      </c>
      <c r="L42" s="9">
        <f>IF(8&lt;=核心参数输入!$B$9,IF(AND(核心参数输入!$B$100=1,OR(核心参数输入!$B$101=0,8-7&lt;=核心参数输入!$B$101)),MAX(0,K42-MAX(0,L13-SUMIFS($K$35:$K$41,$B$35:$B$41,"&gt;="&amp;IF(核心参数输入!$B$101=0,0,8-核心参数输入!$B$101)))),0),0)</f>
        <v>0</v>
      </c>
      <c r="M42" s="9">
        <f>IF(9&lt;=核心参数输入!$B$9,IF(AND(核心参数输入!$B$100=1,OR(核心参数输入!$B$101=0,9-7&lt;=核心参数输入!$B$101)),MAX(0,L42-MAX(0,M13-SUMIFS($L$35:$L$41,$B$35:$B$41,"&gt;="&amp;IF(核心参数输入!$B$101=0,0,9-核心参数输入!$B$101)))),0),0)</f>
        <v>0</v>
      </c>
      <c r="N42" s="9">
        <f>IF(10&lt;=核心参数输入!$B$9,IF(AND(核心参数输入!$B$100=1,OR(核心参数输入!$B$101=0,10-7&lt;=核心参数输入!$B$101)),MAX(0,M42-MAX(0,N13-SUMIFS($M$35:$M$41,$B$35:$B$41,"&gt;="&amp;IF(核心参数输入!$B$101=0,0,10-核心参数输入!$B$101)))),0),0)</f>
        <v>0</v>
      </c>
      <c r="O42" s="9">
        <f>IF(11&lt;=核心参数输入!$B$9,IF(AND(核心参数输入!$B$100=1,OR(核心参数输入!$B$101=0,11-7&lt;=核心参数输入!$B$101)),MAX(0,N42-MAX(0,O13-SUMIFS($N$35:$N$41,$B$35:$B$41,"&gt;="&amp;IF(核心参数输入!$B$101=0,0,11-核心参数输入!$B$101)))),0),0)</f>
        <v>0</v>
      </c>
      <c r="P42" s="9">
        <f>IF(12&lt;=核心参数输入!$B$9,IF(AND(核心参数输入!$B$100=1,OR(核心参数输入!$B$101=0,12-7&lt;=核心参数输入!$B$101)),MAX(0,O42-MAX(0,P13-SUMIFS($O$35:$O$41,$B$35:$B$41,"&gt;="&amp;IF(核心参数输入!$B$101=0,0,12-核心参数输入!$B$101)))),0),0)</f>
        <v>0</v>
      </c>
      <c r="Q42" s="9">
        <f>IF(13&lt;=核心参数输入!$B$9,IF(AND(核心参数输入!$B$100=1,OR(核心参数输入!$B$101=0,13-7&lt;=核心参数输入!$B$101)),MAX(0,P42-MAX(0,Q13-SUMIFS($P$35:$P$41,$B$35:$B$41,"&gt;="&amp;IF(核心参数输入!$B$101=0,0,13-核心参数输入!$B$101)))),0),0)</f>
        <v>0</v>
      </c>
      <c r="R42" s="9">
        <f>IF(14&lt;=核心参数输入!$B$9,IF(AND(核心参数输入!$B$100=1,OR(核心参数输入!$B$101=0,14-7&lt;=核心参数输入!$B$101)),MAX(0,Q42-MAX(0,R13-SUMIFS($Q$35:$Q$41,$B$35:$B$41,"&gt;="&amp;IF(核心参数输入!$B$101=0,0,14-核心参数输入!$B$101)))),0),0)</f>
        <v>0</v>
      </c>
      <c r="S42" s="9">
        <f>IF(15&lt;=核心参数输入!$B$9,IF(AND(核心参数输入!$B$100=1,OR(核心参数输入!$B$101=0,15-7&lt;=核心参数输入!$B$101)),MAX(0,R42-MAX(0,S13-SUMIFS($R$35:$R$41,$B$35:$B$41,"&gt;="&amp;IF(核心参数输入!$B$101=0,0,15-核心参数输入!$B$101)))),0),0)</f>
        <v>0</v>
      </c>
      <c r="T42" s="9">
        <f>IF(16&lt;=核心参数输入!$B$9,IF(AND(核心参数输入!$B$100=1,OR(核心参数输入!$B$101=0,16-7&lt;=核心参数输入!$B$101)),MAX(0,S42-MAX(0,T13-SUMIFS($S$35:$S$41,$B$35:$B$41,"&gt;="&amp;IF(核心参数输入!$B$101=0,0,16-核心参数输入!$B$101)))),0),0)</f>
        <v>0</v>
      </c>
      <c r="U42" s="9">
        <f>IF(17&lt;=核心参数输入!$B$9,IF(AND(核心参数输入!$B$100=1,OR(核心参数输入!$B$101=0,17-7&lt;=核心参数输入!$B$101)),MAX(0,T42-MAX(0,U13-SUMIFS($T$35:$T$41,$B$35:$B$41,"&gt;="&amp;IF(核心参数输入!$B$101=0,0,17-核心参数输入!$B$101)))),0),0)</f>
        <v>0</v>
      </c>
      <c r="V42" s="9">
        <f>IF(18&lt;=核心参数输入!$B$9,IF(AND(核心参数输入!$B$100=1,OR(核心参数输入!$B$101=0,18-7&lt;=核心参数输入!$B$101)),MAX(0,U42-MAX(0,V13-SUMIFS($U$35:$U$41,$B$35:$B$41,"&gt;="&amp;IF(核心参数输入!$B$101=0,0,18-核心参数输入!$B$101)))),0),0)</f>
        <v>0</v>
      </c>
      <c r="W42" s="9">
        <f>IF(19&lt;=核心参数输入!$B$9,IF(AND(核心参数输入!$B$100=1,OR(核心参数输入!$B$101=0,19-7&lt;=核心参数输入!$B$101)),MAX(0,V42-MAX(0,W13-SUMIFS($V$35:$V$41,$B$35:$B$41,"&gt;="&amp;IF(核心参数输入!$B$101=0,0,19-核心参数输入!$B$101)))),0),0)</f>
        <v>0</v>
      </c>
      <c r="X42" s="9">
        <f>IF(20&lt;=核心参数输入!$B$9,IF(AND(核心参数输入!$B$100=1,OR(核心参数输入!$B$101=0,20-7&lt;=核心参数输入!$B$101)),MAX(0,W42-MAX(0,X13-SUMIFS($W$35:$W$41,$B$35:$B$41,"&gt;="&amp;IF(核心参数输入!$B$101=0,0,20-核心参数输入!$B$101)))),0),0)</f>
        <v>0</v>
      </c>
      <c r="Y42" s="9">
        <f>IF(21&lt;=核心参数输入!$B$9,IF(AND(核心参数输入!$B$100=1,OR(核心参数输入!$B$101=0,21-7&lt;=核心参数输入!$B$101)),MAX(0,X42-MAX(0,Y13-SUMIFS($X$35:$X$41,$B$35:$B$41,"&gt;="&amp;IF(核心参数输入!$B$101=0,0,21-核心参数输入!$B$101)))),0),0)</f>
        <v>0</v>
      </c>
      <c r="Z42" s="9">
        <f>IF(22&lt;=核心参数输入!$B$9,IF(AND(核心参数输入!$B$100=1,OR(核心参数输入!$B$101=0,22-7&lt;=核心参数输入!$B$101)),MAX(0,Y42-MAX(0,Z13-SUMIFS($Y$35:$Y$41,$B$35:$B$41,"&gt;="&amp;IF(核心参数输入!$B$101=0,0,22-核心参数输入!$B$101)))),0),0)</f>
        <v>0</v>
      </c>
      <c r="AA42" s="9">
        <f>IF(23&lt;=核心参数输入!$B$9,IF(AND(核心参数输入!$B$100=1,OR(核心参数输入!$B$101=0,23-7&lt;=核心参数输入!$B$101)),MAX(0,Z42-MAX(0,AA13-SUMIFS($Z$35:$Z$41,$B$35:$B$41,"&gt;="&amp;IF(核心参数输入!$B$101=0,0,23-核心参数输入!$B$101)))),0),0)</f>
        <v>0</v>
      </c>
      <c r="AB42" s="9">
        <f>IF(24&lt;=核心参数输入!$B$9,IF(AND(核心参数输入!$B$100=1,OR(核心参数输入!$B$101=0,24-7&lt;=核心参数输入!$B$101)),MAX(0,AA42-MAX(0,AB13-SUMIFS($AA$35:$AA$41,$B$35:$B$41,"&gt;="&amp;IF(核心参数输入!$B$101=0,0,24-核心参数输入!$B$101)))),0),0)</f>
        <v>0</v>
      </c>
      <c r="AC42" s="9">
        <f>IF(25&lt;=核心参数输入!$B$9,IF(AND(核心参数输入!$B$100=1,OR(核心参数输入!$B$101=0,25-7&lt;=核心参数输入!$B$101)),MAX(0,AB42-MAX(0,AC13-SUMIFS($AB$35:$AB$41,$B$35:$B$41,"&gt;="&amp;IF(核心参数输入!$B$101=0,0,25-核心参数输入!$B$101)))),0),0)</f>
        <v>0</v>
      </c>
      <c r="AD42" s="9">
        <f>IF(26&lt;=核心参数输入!$B$9,IF(AND(核心参数输入!$B$100=1,OR(核心参数输入!$B$101=0,26-7&lt;=核心参数输入!$B$101)),MAX(0,AC42-MAX(0,AD13-SUMIFS($AC$35:$AC$41,$B$35:$B$41,"&gt;="&amp;IF(核心参数输入!$B$101=0,0,26-核心参数输入!$B$101)))),0),0)</f>
        <v>0</v>
      </c>
      <c r="AE42" s="9">
        <f>IF(27&lt;=核心参数输入!$B$9,IF(AND(核心参数输入!$B$100=1,OR(核心参数输入!$B$101=0,27-7&lt;=核心参数输入!$B$101)),MAX(0,AD42-MAX(0,AE13-SUMIFS($AD$35:$AD$41,$B$35:$B$41,"&gt;="&amp;IF(核心参数输入!$B$101=0,0,27-核心参数输入!$B$101)))),0),0)</f>
        <v>0</v>
      </c>
      <c r="AF42" s="9">
        <f>IF(28&lt;=核心参数输入!$B$9,IF(AND(核心参数输入!$B$100=1,OR(核心参数输入!$B$101=0,28-7&lt;=核心参数输入!$B$101)),MAX(0,AE42-MAX(0,AF13-SUMIFS($AE$35:$AE$41,$B$35:$B$41,"&gt;="&amp;IF(核心参数输入!$B$101=0,0,28-核心参数输入!$B$101)))),0),0)</f>
        <v>0</v>
      </c>
      <c r="AG42" s="9">
        <f>IF(29&lt;=核心参数输入!$B$9,IF(AND(核心参数输入!$B$100=1,OR(核心参数输入!$B$101=0,29-7&lt;=核心参数输入!$B$101)),MAX(0,AF42-MAX(0,AG13-SUMIFS($AF$35:$AF$41,$B$35:$B$41,"&gt;="&amp;IF(核心参数输入!$B$101=0,0,29-核心参数输入!$B$101)))),0),0)</f>
        <v>0</v>
      </c>
      <c r="AH42" s="9">
        <f>IF(30&lt;=核心参数输入!$B$9,IF(AND(核心参数输入!$B$100=1,OR(核心参数输入!$B$101=0,30-7&lt;=核心参数输入!$B$101)),MAX(0,AG42-MAX(0,AH13-SUMIFS($AG$35:$AG$41,$B$35:$B$41,"&gt;="&amp;IF(核心参数输入!$B$101=0,0,30-核心参数输入!$B$101)))),0),0)</f>
        <v>0</v>
      </c>
    </row>
    <row r="43" spans="1:34" ht="21" customHeight="1">
      <c r="A43" s="8" t="s">
        <v>594</v>
      </c>
      <c r="B43" s="8">
        <v>8</v>
      </c>
      <c r="C43" s="8"/>
      <c r="D43" s="9">
        <f>IF(0&lt;=核心参数输入!$B$9,0,0)</f>
        <v>0</v>
      </c>
      <c r="E43" s="9">
        <f>IF(1&lt;=核心参数输入!$B$9,0,0)</f>
        <v>0</v>
      </c>
      <c r="F43" s="9">
        <f>IF(2&lt;=核心参数输入!$B$9,0,0)</f>
        <v>0</v>
      </c>
      <c r="G43" s="9">
        <f>IF(3&lt;=核心参数输入!$B$9,0,0)</f>
        <v>0</v>
      </c>
      <c r="H43" s="9">
        <f>IF(4&lt;=核心参数输入!$B$9,0,0)</f>
        <v>0</v>
      </c>
      <c r="I43" s="9">
        <f>IF(5&lt;=核心参数输入!$B$9,0,0)</f>
        <v>0</v>
      </c>
      <c r="J43" s="9">
        <f>IF(6&lt;=核心参数输入!$B$9,0,0)</f>
        <v>0</v>
      </c>
      <c r="K43" s="9">
        <f>IF(7&lt;=核心参数输入!$B$9,0,0)</f>
        <v>0</v>
      </c>
      <c r="L43" s="9">
        <f>IF(8&lt;=核心参数输入!$B$9,L16,0)</f>
        <v>0</v>
      </c>
      <c r="M43" s="9">
        <f>IF(9&lt;=核心参数输入!$B$9,IF(AND(核心参数输入!$B$100=1,OR(核心参数输入!$B$101=0,9-8&lt;=核心参数输入!$B$101)),MAX(0,L43-MAX(0,M13-SUMIFS($L$35:$L$42,$B$35:$B$42,"&gt;="&amp;IF(核心参数输入!$B$101=0,0,9-核心参数输入!$B$101)))),0),0)</f>
        <v>0</v>
      </c>
      <c r="N43" s="9">
        <f>IF(10&lt;=核心参数输入!$B$9,IF(AND(核心参数输入!$B$100=1,OR(核心参数输入!$B$101=0,10-8&lt;=核心参数输入!$B$101)),MAX(0,M43-MAX(0,N13-SUMIFS($M$35:$M$42,$B$35:$B$42,"&gt;="&amp;IF(核心参数输入!$B$101=0,0,10-核心参数输入!$B$101)))),0),0)</f>
        <v>0</v>
      </c>
      <c r="O43" s="9">
        <f>IF(11&lt;=核心参数输入!$B$9,IF(AND(核心参数输入!$B$100=1,OR(核心参数输入!$B$101=0,11-8&lt;=核心参数输入!$B$101)),MAX(0,N43-MAX(0,O13-SUMIFS($N$35:$N$42,$B$35:$B$42,"&gt;="&amp;IF(核心参数输入!$B$101=0,0,11-核心参数输入!$B$101)))),0),0)</f>
        <v>0</v>
      </c>
      <c r="P43" s="9">
        <f>IF(12&lt;=核心参数输入!$B$9,IF(AND(核心参数输入!$B$100=1,OR(核心参数输入!$B$101=0,12-8&lt;=核心参数输入!$B$101)),MAX(0,O43-MAX(0,P13-SUMIFS($O$35:$O$42,$B$35:$B$42,"&gt;="&amp;IF(核心参数输入!$B$101=0,0,12-核心参数输入!$B$101)))),0),0)</f>
        <v>0</v>
      </c>
      <c r="Q43" s="9">
        <f>IF(13&lt;=核心参数输入!$B$9,IF(AND(核心参数输入!$B$100=1,OR(核心参数输入!$B$101=0,13-8&lt;=核心参数输入!$B$101)),MAX(0,P43-MAX(0,Q13-SUMIFS($P$35:$P$42,$B$35:$B$42,"&gt;="&amp;IF(核心参数输入!$B$101=0,0,13-核心参数输入!$B$101)))),0),0)</f>
        <v>0</v>
      </c>
      <c r="R43" s="9">
        <f>IF(14&lt;=核心参数输入!$B$9,IF(AND(核心参数输入!$B$100=1,OR(核心参数输入!$B$101=0,14-8&lt;=核心参数输入!$B$101)),MAX(0,Q43-MAX(0,R13-SUMIFS($Q$35:$Q$42,$B$35:$B$42,"&gt;="&amp;IF(核心参数输入!$B$101=0,0,14-核心参数输入!$B$101)))),0),0)</f>
        <v>0</v>
      </c>
      <c r="S43" s="9">
        <f>IF(15&lt;=核心参数输入!$B$9,IF(AND(核心参数输入!$B$100=1,OR(核心参数输入!$B$101=0,15-8&lt;=核心参数输入!$B$101)),MAX(0,R43-MAX(0,S13-SUMIFS($R$35:$R$42,$B$35:$B$42,"&gt;="&amp;IF(核心参数输入!$B$101=0,0,15-核心参数输入!$B$101)))),0),0)</f>
        <v>0</v>
      </c>
      <c r="T43" s="9">
        <f>IF(16&lt;=核心参数输入!$B$9,IF(AND(核心参数输入!$B$100=1,OR(核心参数输入!$B$101=0,16-8&lt;=核心参数输入!$B$101)),MAX(0,S43-MAX(0,T13-SUMIFS($S$35:$S$42,$B$35:$B$42,"&gt;="&amp;IF(核心参数输入!$B$101=0,0,16-核心参数输入!$B$101)))),0),0)</f>
        <v>0</v>
      </c>
      <c r="U43" s="9">
        <f>IF(17&lt;=核心参数输入!$B$9,IF(AND(核心参数输入!$B$100=1,OR(核心参数输入!$B$101=0,17-8&lt;=核心参数输入!$B$101)),MAX(0,T43-MAX(0,U13-SUMIFS($T$35:$T$42,$B$35:$B$42,"&gt;="&amp;IF(核心参数输入!$B$101=0,0,17-核心参数输入!$B$101)))),0),0)</f>
        <v>0</v>
      </c>
      <c r="V43" s="9">
        <f>IF(18&lt;=核心参数输入!$B$9,IF(AND(核心参数输入!$B$100=1,OR(核心参数输入!$B$101=0,18-8&lt;=核心参数输入!$B$101)),MAX(0,U43-MAX(0,V13-SUMIFS($U$35:$U$42,$B$35:$B$42,"&gt;="&amp;IF(核心参数输入!$B$101=0,0,18-核心参数输入!$B$101)))),0),0)</f>
        <v>0</v>
      </c>
      <c r="W43" s="9">
        <f>IF(19&lt;=核心参数输入!$B$9,IF(AND(核心参数输入!$B$100=1,OR(核心参数输入!$B$101=0,19-8&lt;=核心参数输入!$B$101)),MAX(0,V43-MAX(0,W13-SUMIFS($V$35:$V$42,$B$35:$B$42,"&gt;="&amp;IF(核心参数输入!$B$101=0,0,19-核心参数输入!$B$101)))),0),0)</f>
        <v>0</v>
      </c>
      <c r="X43" s="9">
        <f>IF(20&lt;=核心参数输入!$B$9,IF(AND(核心参数输入!$B$100=1,OR(核心参数输入!$B$101=0,20-8&lt;=核心参数输入!$B$101)),MAX(0,W43-MAX(0,X13-SUMIFS($W$35:$W$42,$B$35:$B$42,"&gt;="&amp;IF(核心参数输入!$B$101=0,0,20-核心参数输入!$B$101)))),0),0)</f>
        <v>0</v>
      </c>
      <c r="Y43" s="9">
        <f>IF(21&lt;=核心参数输入!$B$9,IF(AND(核心参数输入!$B$100=1,OR(核心参数输入!$B$101=0,21-8&lt;=核心参数输入!$B$101)),MAX(0,X43-MAX(0,Y13-SUMIFS($X$35:$X$42,$B$35:$B$42,"&gt;="&amp;IF(核心参数输入!$B$101=0,0,21-核心参数输入!$B$101)))),0),0)</f>
        <v>0</v>
      </c>
      <c r="Z43" s="9">
        <f>IF(22&lt;=核心参数输入!$B$9,IF(AND(核心参数输入!$B$100=1,OR(核心参数输入!$B$101=0,22-8&lt;=核心参数输入!$B$101)),MAX(0,Y43-MAX(0,Z13-SUMIFS($Y$35:$Y$42,$B$35:$B$42,"&gt;="&amp;IF(核心参数输入!$B$101=0,0,22-核心参数输入!$B$101)))),0),0)</f>
        <v>0</v>
      </c>
      <c r="AA43" s="9">
        <f>IF(23&lt;=核心参数输入!$B$9,IF(AND(核心参数输入!$B$100=1,OR(核心参数输入!$B$101=0,23-8&lt;=核心参数输入!$B$101)),MAX(0,Z43-MAX(0,AA13-SUMIFS($Z$35:$Z$42,$B$35:$B$42,"&gt;="&amp;IF(核心参数输入!$B$101=0,0,23-核心参数输入!$B$101)))),0),0)</f>
        <v>0</v>
      </c>
      <c r="AB43" s="9">
        <f>IF(24&lt;=核心参数输入!$B$9,IF(AND(核心参数输入!$B$100=1,OR(核心参数输入!$B$101=0,24-8&lt;=核心参数输入!$B$101)),MAX(0,AA43-MAX(0,AB13-SUMIFS($AA$35:$AA$42,$B$35:$B$42,"&gt;="&amp;IF(核心参数输入!$B$101=0,0,24-核心参数输入!$B$101)))),0),0)</f>
        <v>0</v>
      </c>
      <c r="AC43" s="9">
        <f>IF(25&lt;=核心参数输入!$B$9,IF(AND(核心参数输入!$B$100=1,OR(核心参数输入!$B$101=0,25-8&lt;=核心参数输入!$B$101)),MAX(0,AB43-MAX(0,AC13-SUMIFS($AB$35:$AB$42,$B$35:$B$42,"&gt;="&amp;IF(核心参数输入!$B$101=0,0,25-核心参数输入!$B$101)))),0),0)</f>
        <v>0</v>
      </c>
      <c r="AD43" s="9">
        <f>IF(26&lt;=核心参数输入!$B$9,IF(AND(核心参数输入!$B$100=1,OR(核心参数输入!$B$101=0,26-8&lt;=核心参数输入!$B$101)),MAX(0,AC43-MAX(0,AD13-SUMIFS($AC$35:$AC$42,$B$35:$B$42,"&gt;="&amp;IF(核心参数输入!$B$101=0,0,26-核心参数输入!$B$101)))),0),0)</f>
        <v>0</v>
      </c>
      <c r="AE43" s="9">
        <f>IF(27&lt;=核心参数输入!$B$9,IF(AND(核心参数输入!$B$100=1,OR(核心参数输入!$B$101=0,27-8&lt;=核心参数输入!$B$101)),MAX(0,AD43-MAX(0,AE13-SUMIFS($AD$35:$AD$42,$B$35:$B$42,"&gt;="&amp;IF(核心参数输入!$B$101=0,0,27-核心参数输入!$B$101)))),0),0)</f>
        <v>0</v>
      </c>
      <c r="AF43" s="9">
        <f>IF(28&lt;=核心参数输入!$B$9,IF(AND(核心参数输入!$B$100=1,OR(核心参数输入!$B$101=0,28-8&lt;=核心参数输入!$B$101)),MAX(0,AE43-MAX(0,AF13-SUMIFS($AE$35:$AE$42,$B$35:$B$42,"&gt;="&amp;IF(核心参数输入!$B$101=0,0,28-核心参数输入!$B$101)))),0),0)</f>
        <v>0</v>
      </c>
      <c r="AG43" s="9">
        <f>IF(29&lt;=核心参数输入!$B$9,IF(AND(核心参数输入!$B$100=1,OR(核心参数输入!$B$101=0,29-8&lt;=核心参数输入!$B$101)),MAX(0,AF43-MAX(0,AG13-SUMIFS($AF$35:$AF$42,$B$35:$B$42,"&gt;="&amp;IF(核心参数输入!$B$101=0,0,29-核心参数输入!$B$101)))),0),0)</f>
        <v>0</v>
      </c>
      <c r="AH43" s="9">
        <f>IF(30&lt;=核心参数输入!$B$9,IF(AND(核心参数输入!$B$100=1,OR(核心参数输入!$B$101=0,30-8&lt;=核心参数输入!$B$101)),MAX(0,AG43-MAX(0,AH13-SUMIFS($AG$35:$AG$42,$B$35:$B$42,"&gt;="&amp;IF(核心参数输入!$B$101=0,0,30-核心参数输入!$B$101)))),0),0)</f>
        <v>0</v>
      </c>
    </row>
    <row r="44" spans="1:34" ht="21" customHeight="1">
      <c r="A44" s="8" t="s">
        <v>595</v>
      </c>
      <c r="B44" s="8">
        <v>9</v>
      </c>
      <c r="C44" s="8"/>
      <c r="D44" s="9">
        <f>IF(0&lt;=核心参数输入!$B$9,0,0)</f>
        <v>0</v>
      </c>
      <c r="E44" s="9">
        <f>IF(1&lt;=核心参数输入!$B$9,0,0)</f>
        <v>0</v>
      </c>
      <c r="F44" s="9">
        <f>IF(2&lt;=核心参数输入!$B$9,0,0)</f>
        <v>0</v>
      </c>
      <c r="G44" s="9">
        <f>IF(3&lt;=核心参数输入!$B$9,0,0)</f>
        <v>0</v>
      </c>
      <c r="H44" s="9">
        <f>IF(4&lt;=核心参数输入!$B$9,0,0)</f>
        <v>0</v>
      </c>
      <c r="I44" s="9">
        <f>IF(5&lt;=核心参数输入!$B$9,0,0)</f>
        <v>0</v>
      </c>
      <c r="J44" s="9">
        <f>IF(6&lt;=核心参数输入!$B$9,0,0)</f>
        <v>0</v>
      </c>
      <c r="K44" s="9">
        <f>IF(7&lt;=核心参数输入!$B$9,0,0)</f>
        <v>0</v>
      </c>
      <c r="L44" s="9">
        <f>IF(8&lt;=核心参数输入!$B$9,0,0)</f>
        <v>0</v>
      </c>
      <c r="M44" s="9">
        <f>IF(9&lt;=核心参数输入!$B$9,M16,0)</f>
        <v>0</v>
      </c>
      <c r="N44" s="9">
        <f>IF(10&lt;=核心参数输入!$B$9,IF(AND(核心参数输入!$B$100=1,OR(核心参数输入!$B$101=0,10-9&lt;=核心参数输入!$B$101)),MAX(0,M44-MAX(0,N13-SUMIFS($M$35:$M$43,$B$35:$B$43,"&gt;="&amp;IF(核心参数输入!$B$101=0,0,10-核心参数输入!$B$101)))),0),0)</f>
        <v>0</v>
      </c>
      <c r="O44" s="9">
        <f>IF(11&lt;=核心参数输入!$B$9,IF(AND(核心参数输入!$B$100=1,OR(核心参数输入!$B$101=0,11-9&lt;=核心参数输入!$B$101)),MAX(0,N44-MAX(0,O13-SUMIFS($N$35:$N$43,$B$35:$B$43,"&gt;="&amp;IF(核心参数输入!$B$101=0,0,11-核心参数输入!$B$101)))),0),0)</f>
        <v>0</v>
      </c>
      <c r="P44" s="9">
        <f>IF(12&lt;=核心参数输入!$B$9,IF(AND(核心参数输入!$B$100=1,OR(核心参数输入!$B$101=0,12-9&lt;=核心参数输入!$B$101)),MAX(0,O44-MAX(0,P13-SUMIFS($O$35:$O$43,$B$35:$B$43,"&gt;="&amp;IF(核心参数输入!$B$101=0,0,12-核心参数输入!$B$101)))),0),0)</f>
        <v>0</v>
      </c>
      <c r="Q44" s="9">
        <f>IF(13&lt;=核心参数输入!$B$9,IF(AND(核心参数输入!$B$100=1,OR(核心参数输入!$B$101=0,13-9&lt;=核心参数输入!$B$101)),MAX(0,P44-MAX(0,Q13-SUMIFS($P$35:$P$43,$B$35:$B$43,"&gt;="&amp;IF(核心参数输入!$B$101=0,0,13-核心参数输入!$B$101)))),0),0)</f>
        <v>0</v>
      </c>
      <c r="R44" s="9">
        <f>IF(14&lt;=核心参数输入!$B$9,IF(AND(核心参数输入!$B$100=1,OR(核心参数输入!$B$101=0,14-9&lt;=核心参数输入!$B$101)),MAX(0,Q44-MAX(0,R13-SUMIFS($Q$35:$Q$43,$B$35:$B$43,"&gt;="&amp;IF(核心参数输入!$B$101=0,0,14-核心参数输入!$B$101)))),0),0)</f>
        <v>0</v>
      </c>
      <c r="S44" s="9">
        <f>IF(15&lt;=核心参数输入!$B$9,IF(AND(核心参数输入!$B$100=1,OR(核心参数输入!$B$101=0,15-9&lt;=核心参数输入!$B$101)),MAX(0,R44-MAX(0,S13-SUMIFS($R$35:$R$43,$B$35:$B$43,"&gt;="&amp;IF(核心参数输入!$B$101=0,0,15-核心参数输入!$B$101)))),0),0)</f>
        <v>0</v>
      </c>
      <c r="T44" s="9">
        <f>IF(16&lt;=核心参数输入!$B$9,IF(AND(核心参数输入!$B$100=1,OR(核心参数输入!$B$101=0,16-9&lt;=核心参数输入!$B$101)),MAX(0,S44-MAX(0,T13-SUMIFS($S$35:$S$43,$B$35:$B$43,"&gt;="&amp;IF(核心参数输入!$B$101=0,0,16-核心参数输入!$B$101)))),0),0)</f>
        <v>0</v>
      </c>
      <c r="U44" s="9">
        <f>IF(17&lt;=核心参数输入!$B$9,IF(AND(核心参数输入!$B$100=1,OR(核心参数输入!$B$101=0,17-9&lt;=核心参数输入!$B$101)),MAX(0,T44-MAX(0,U13-SUMIFS($T$35:$T$43,$B$35:$B$43,"&gt;="&amp;IF(核心参数输入!$B$101=0,0,17-核心参数输入!$B$101)))),0),0)</f>
        <v>0</v>
      </c>
      <c r="V44" s="9">
        <f>IF(18&lt;=核心参数输入!$B$9,IF(AND(核心参数输入!$B$100=1,OR(核心参数输入!$B$101=0,18-9&lt;=核心参数输入!$B$101)),MAX(0,U44-MAX(0,V13-SUMIFS($U$35:$U$43,$B$35:$B$43,"&gt;="&amp;IF(核心参数输入!$B$101=0,0,18-核心参数输入!$B$101)))),0),0)</f>
        <v>0</v>
      </c>
      <c r="W44" s="9">
        <f>IF(19&lt;=核心参数输入!$B$9,IF(AND(核心参数输入!$B$100=1,OR(核心参数输入!$B$101=0,19-9&lt;=核心参数输入!$B$101)),MAX(0,V44-MAX(0,W13-SUMIFS($V$35:$V$43,$B$35:$B$43,"&gt;="&amp;IF(核心参数输入!$B$101=0,0,19-核心参数输入!$B$101)))),0),0)</f>
        <v>0</v>
      </c>
      <c r="X44" s="9">
        <f>IF(20&lt;=核心参数输入!$B$9,IF(AND(核心参数输入!$B$100=1,OR(核心参数输入!$B$101=0,20-9&lt;=核心参数输入!$B$101)),MAX(0,W44-MAX(0,X13-SUMIFS($W$35:$W$43,$B$35:$B$43,"&gt;="&amp;IF(核心参数输入!$B$101=0,0,20-核心参数输入!$B$101)))),0),0)</f>
        <v>0</v>
      </c>
      <c r="Y44" s="9">
        <f>IF(21&lt;=核心参数输入!$B$9,IF(AND(核心参数输入!$B$100=1,OR(核心参数输入!$B$101=0,21-9&lt;=核心参数输入!$B$101)),MAX(0,X44-MAX(0,Y13-SUMIFS($X$35:$X$43,$B$35:$B$43,"&gt;="&amp;IF(核心参数输入!$B$101=0,0,21-核心参数输入!$B$101)))),0),0)</f>
        <v>0</v>
      </c>
      <c r="Z44" s="9">
        <f>IF(22&lt;=核心参数输入!$B$9,IF(AND(核心参数输入!$B$100=1,OR(核心参数输入!$B$101=0,22-9&lt;=核心参数输入!$B$101)),MAX(0,Y44-MAX(0,Z13-SUMIFS($Y$35:$Y$43,$B$35:$B$43,"&gt;="&amp;IF(核心参数输入!$B$101=0,0,22-核心参数输入!$B$101)))),0),0)</f>
        <v>0</v>
      </c>
      <c r="AA44" s="9">
        <f>IF(23&lt;=核心参数输入!$B$9,IF(AND(核心参数输入!$B$100=1,OR(核心参数输入!$B$101=0,23-9&lt;=核心参数输入!$B$101)),MAX(0,Z44-MAX(0,AA13-SUMIFS($Z$35:$Z$43,$B$35:$B$43,"&gt;="&amp;IF(核心参数输入!$B$101=0,0,23-核心参数输入!$B$101)))),0),0)</f>
        <v>0</v>
      </c>
      <c r="AB44" s="9">
        <f>IF(24&lt;=核心参数输入!$B$9,IF(AND(核心参数输入!$B$100=1,OR(核心参数输入!$B$101=0,24-9&lt;=核心参数输入!$B$101)),MAX(0,AA44-MAX(0,AB13-SUMIFS($AA$35:$AA$43,$B$35:$B$43,"&gt;="&amp;IF(核心参数输入!$B$101=0,0,24-核心参数输入!$B$101)))),0),0)</f>
        <v>0</v>
      </c>
      <c r="AC44" s="9">
        <f>IF(25&lt;=核心参数输入!$B$9,IF(AND(核心参数输入!$B$100=1,OR(核心参数输入!$B$101=0,25-9&lt;=核心参数输入!$B$101)),MAX(0,AB44-MAX(0,AC13-SUMIFS($AB$35:$AB$43,$B$35:$B$43,"&gt;="&amp;IF(核心参数输入!$B$101=0,0,25-核心参数输入!$B$101)))),0),0)</f>
        <v>0</v>
      </c>
      <c r="AD44" s="9">
        <f>IF(26&lt;=核心参数输入!$B$9,IF(AND(核心参数输入!$B$100=1,OR(核心参数输入!$B$101=0,26-9&lt;=核心参数输入!$B$101)),MAX(0,AC44-MAX(0,AD13-SUMIFS($AC$35:$AC$43,$B$35:$B$43,"&gt;="&amp;IF(核心参数输入!$B$101=0,0,26-核心参数输入!$B$101)))),0),0)</f>
        <v>0</v>
      </c>
      <c r="AE44" s="9">
        <f>IF(27&lt;=核心参数输入!$B$9,IF(AND(核心参数输入!$B$100=1,OR(核心参数输入!$B$101=0,27-9&lt;=核心参数输入!$B$101)),MAX(0,AD44-MAX(0,AE13-SUMIFS($AD$35:$AD$43,$B$35:$B$43,"&gt;="&amp;IF(核心参数输入!$B$101=0,0,27-核心参数输入!$B$101)))),0),0)</f>
        <v>0</v>
      </c>
      <c r="AF44" s="9">
        <f>IF(28&lt;=核心参数输入!$B$9,IF(AND(核心参数输入!$B$100=1,OR(核心参数输入!$B$101=0,28-9&lt;=核心参数输入!$B$101)),MAX(0,AE44-MAX(0,AF13-SUMIFS($AE$35:$AE$43,$B$35:$B$43,"&gt;="&amp;IF(核心参数输入!$B$101=0,0,28-核心参数输入!$B$101)))),0),0)</f>
        <v>0</v>
      </c>
      <c r="AG44" s="9">
        <f>IF(29&lt;=核心参数输入!$B$9,IF(AND(核心参数输入!$B$100=1,OR(核心参数输入!$B$101=0,29-9&lt;=核心参数输入!$B$101)),MAX(0,AF44-MAX(0,AG13-SUMIFS($AF$35:$AF$43,$B$35:$B$43,"&gt;="&amp;IF(核心参数输入!$B$101=0,0,29-核心参数输入!$B$101)))),0),0)</f>
        <v>0</v>
      </c>
      <c r="AH44" s="9">
        <f>IF(30&lt;=核心参数输入!$B$9,IF(AND(核心参数输入!$B$100=1,OR(核心参数输入!$B$101=0,30-9&lt;=核心参数输入!$B$101)),MAX(0,AG44-MAX(0,AH13-SUMIFS($AG$35:$AG$43,$B$35:$B$43,"&gt;="&amp;IF(核心参数输入!$B$101=0,0,30-核心参数输入!$B$101)))),0),0)</f>
        <v>0</v>
      </c>
    </row>
    <row r="45" spans="1:34" ht="21" customHeight="1">
      <c r="A45" s="8" t="s">
        <v>596</v>
      </c>
      <c r="B45" s="8">
        <v>10</v>
      </c>
      <c r="C45" s="8"/>
      <c r="D45" s="9">
        <f>IF(0&lt;=核心参数输入!$B$9,0,0)</f>
        <v>0</v>
      </c>
      <c r="E45" s="9">
        <f>IF(1&lt;=核心参数输入!$B$9,0,0)</f>
        <v>0</v>
      </c>
      <c r="F45" s="9">
        <f>IF(2&lt;=核心参数输入!$B$9,0,0)</f>
        <v>0</v>
      </c>
      <c r="G45" s="9">
        <f>IF(3&lt;=核心参数输入!$B$9,0,0)</f>
        <v>0</v>
      </c>
      <c r="H45" s="9">
        <f>IF(4&lt;=核心参数输入!$B$9,0,0)</f>
        <v>0</v>
      </c>
      <c r="I45" s="9">
        <f>IF(5&lt;=核心参数输入!$B$9,0,0)</f>
        <v>0</v>
      </c>
      <c r="J45" s="9">
        <f>IF(6&lt;=核心参数输入!$B$9,0,0)</f>
        <v>0</v>
      </c>
      <c r="K45" s="9">
        <f>IF(7&lt;=核心参数输入!$B$9,0,0)</f>
        <v>0</v>
      </c>
      <c r="L45" s="9">
        <f>IF(8&lt;=核心参数输入!$B$9,0,0)</f>
        <v>0</v>
      </c>
      <c r="M45" s="9">
        <f>IF(9&lt;=核心参数输入!$B$9,0,0)</f>
        <v>0</v>
      </c>
      <c r="N45" s="9">
        <f>IF(10&lt;=核心参数输入!$B$9,N16,0)</f>
        <v>0</v>
      </c>
      <c r="O45" s="9">
        <f>IF(11&lt;=核心参数输入!$B$9,IF(AND(核心参数输入!$B$100=1,OR(核心参数输入!$B$101=0,11-10&lt;=核心参数输入!$B$101)),MAX(0,N45-MAX(0,O13-SUMIFS($N$35:$N$44,$B$35:$B$44,"&gt;="&amp;IF(核心参数输入!$B$101=0,0,11-核心参数输入!$B$101)))),0),0)</f>
        <v>0</v>
      </c>
      <c r="P45" s="9">
        <f>IF(12&lt;=核心参数输入!$B$9,IF(AND(核心参数输入!$B$100=1,OR(核心参数输入!$B$101=0,12-10&lt;=核心参数输入!$B$101)),MAX(0,O45-MAX(0,P13-SUMIFS($O$35:$O$44,$B$35:$B$44,"&gt;="&amp;IF(核心参数输入!$B$101=0,0,12-核心参数输入!$B$101)))),0),0)</f>
        <v>0</v>
      </c>
      <c r="Q45" s="9">
        <f>IF(13&lt;=核心参数输入!$B$9,IF(AND(核心参数输入!$B$100=1,OR(核心参数输入!$B$101=0,13-10&lt;=核心参数输入!$B$101)),MAX(0,P45-MAX(0,Q13-SUMIFS($P$35:$P$44,$B$35:$B$44,"&gt;="&amp;IF(核心参数输入!$B$101=0,0,13-核心参数输入!$B$101)))),0),0)</f>
        <v>0</v>
      </c>
      <c r="R45" s="9">
        <f>IF(14&lt;=核心参数输入!$B$9,IF(AND(核心参数输入!$B$100=1,OR(核心参数输入!$B$101=0,14-10&lt;=核心参数输入!$B$101)),MAX(0,Q45-MAX(0,R13-SUMIFS($Q$35:$Q$44,$B$35:$B$44,"&gt;="&amp;IF(核心参数输入!$B$101=0,0,14-核心参数输入!$B$101)))),0),0)</f>
        <v>0</v>
      </c>
      <c r="S45" s="9">
        <f>IF(15&lt;=核心参数输入!$B$9,IF(AND(核心参数输入!$B$100=1,OR(核心参数输入!$B$101=0,15-10&lt;=核心参数输入!$B$101)),MAX(0,R45-MAX(0,S13-SUMIFS($R$35:$R$44,$B$35:$B$44,"&gt;="&amp;IF(核心参数输入!$B$101=0,0,15-核心参数输入!$B$101)))),0),0)</f>
        <v>0</v>
      </c>
      <c r="T45" s="9">
        <f>IF(16&lt;=核心参数输入!$B$9,IF(AND(核心参数输入!$B$100=1,OR(核心参数输入!$B$101=0,16-10&lt;=核心参数输入!$B$101)),MAX(0,S45-MAX(0,T13-SUMIFS($S$35:$S$44,$B$35:$B$44,"&gt;="&amp;IF(核心参数输入!$B$101=0,0,16-核心参数输入!$B$101)))),0),0)</f>
        <v>0</v>
      </c>
      <c r="U45" s="9">
        <f>IF(17&lt;=核心参数输入!$B$9,IF(AND(核心参数输入!$B$100=1,OR(核心参数输入!$B$101=0,17-10&lt;=核心参数输入!$B$101)),MAX(0,T45-MAX(0,U13-SUMIFS($T$35:$T$44,$B$35:$B$44,"&gt;="&amp;IF(核心参数输入!$B$101=0,0,17-核心参数输入!$B$101)))),0),0)</f>
        <v>0</v>
      </c>
      <c r="V45" s="9">
        <f>IF(18&lt;=核心参数输入!$B$9,IF(AND(核心参数输入!$B$100=1,OR(核心参数输入!$B$101=0,18-10&lt;=核心参数输入!$B$101)),MAX(0,U45-MAX(0,V13-SUMIFS($U$35:$U$44,$B$35:$B$44,"&gt;="&amp;IF(核心参数输入!$B$101=0,0,18-核心参数输入!$B$101)))),0),0)</f>
        <v>0</v>
      </c>
      <c r="W45" s="9">
        <f>IF(19&lt;=核心参数输入!$B$9,IF(AND(核心参数输入!$B$100=1,OR(核心参数输入!$B$101=0,19-10&lt;=核心参数输入!$B$101)),MAX(0,V45-MAX(0,W13-SUMIFS($V$35:$V$44,$B$35:$B$44,"&gt;="&amp;IF(核心参数输入!$B$101=0,0,19-核心参数输入!$B$101)))),0),0)</f>
        <v>0</v>
      </c>
      <c r="X45" s="9">
        <f>IF(20&lt;=核心参数输入!$B$9,IF(AND(核心参数输入!$B$100=1,OR(核心参数输入!$B$101=0,20-10&lt;=核心参数输入!$B$101)),MAX(0,W45-MAX(0,X13-SUMIFS($W$35:$W$44,$B$35:$B$44,"&gt;="&amp;IF(核心参数输入!$B$101=0,0,20-核心参数输入!$B$101)))),0),0)</f>
        <v>0</v>
      </c>
      <c r="Y45" s="9">
        <f>IF(21&lt;=核心参数输入!$B$9,IF(AND(核心参数输入!$B$100=1,OR(核心参数输入!$B$101=0,21-10&lt;=核心参数输入!$B$101)),MAX(0,X45-MAX(0,Y13-SUMIFS($X$35:$X$44,$B$35:$B$44,"&gt;="&amp;IF(核心参数输入!$B$101=0,0,21-核心参数输入!$B$101)))),0),0)</f>
        <v>0</v>
      </c>
      <c r="Z45" s="9">
        <f>IF(22&lt;=核心参数输入!$B$9,IF(AND(核心参数输入!$B$100=1,OR(核心参数输入!$B$101=0,22-10&lt;=核心参数输入!$B$101)),MAX(0,Y45-MAX(0,Z13-SUMIFS($Y$35:$Y$44,$B$35:$B$44,"&gt;="&amp;IF(核心参数输入!$B$101=0,0,22-核心参数输入!$B$101)))),0),0)</f>
        <v>0</v>
      </c>
      <c r="AA45" s="9">
        <f>IF(23&lt;=核心参数输入!$B$9,IF(AND(核心参数输入!$B$100=1,OR(核心参数输入!$B$101=0,23-10&lt;=核心参数输入!$B$101)),MAX(0,Z45-MAX(0,AA13-SUMIFS($Z$35:$Z$44,$B$35:$B$44,"&gt;="&amp;IF(核心参数输入!$B$101=0,0,23-核心参数输入!$B$101)))),0),0)</f>
        <v>0</v>
      </c>
      <c r="AB45" s="9">
        <f>IF(24&lt;=核心参数输入!$B$9,IF(AND(核心参数输入!$B$100=1,OR(核心参数输入!$B$101=0,24-10&lt;=核心参数输入!$B$101)),MAX(0,AA45-MAX(0,AB13-SUMIFS($AA$35:$AA$44,$B$35:$B$44,"&gt;="&amp;IF(核心参数输入!$B$101=0,0,24-核心参数输入!$B$101)))),0),0)</f>
        <v>0</v>
      </c>
      <c r="AC45" s="9">
        <f>IF(25&lt;=核心参数输入!$B$9,IF(AND(核心参数输入!$B$100=1,OR(核心参数输入!$B$101=0,25-10&lt;=核心参数输入!$B$101)),MAX(0,AB45-MAX(0,AC13-SUMIFS($AB$35:$AB$44,$B$35:$B$44,"&gt;="&amp;IF(核心参数输入!$B$101=0,0,25-核心参数输入!$B$101)))),0),0)</f>
        <v>0</v>
      </c>
      <c r="AD45" s="9">
        <f>IF(26&lt;=核心参数输入!$B$9,IF(AND(核心参数输入!$B$100=1,OR(核心参数输入!$B$101=0,26-10&lt;=核心参数输入!$B$101)),MAX(0,AC45-MAX(0,AD13-SUMIFS($AC$35:$AC$44,$B$35:$B$44,"&gt;="&amp;IF(核心参数输入!$B$101=0,0,26-核心参数输入!$B$101)))),0),0)</f>
        <v>0</v>
      </c>
      <c r="AE45" s="9">
        <f>IF(27&lt;=核心参数输入!$B$9,IF(AND(核心参数输入!$B$100=1,OR(核心参数输入!$B$101=0,27-10&lt;=核心参数输入!$B$101)),MAX(0,AD45-MAX(0,AE13-SUMIFS($AD$35:$AD$44,$B$35:$B$44,"&gt;="&amp;IF(核心参数输入!$B$101=0,0,27-核心参数输入!$B$101)))),0),0)</f>
        <v>0</v>
      </c>
      <c r="AF45" s="9">
        <f>IF(28&lt;=核心参数输入!$B$9,IF(AND(核心参数输入!$B$100=1,OR(核心参数输入!$B$101=0,28-10&lt;=核心参数输入!$B$101)),MAX(0,AE45-MAX(0,AF13-SUMIFS($AE$35:$AE$44,$B$35:$B$44,"&gt;="&amp;IF(核心参数输入!$B$101=0,0,28-核心参数输入!$B$101)))),0),0)</f>
        <v>0</v>
      </c>
      <c r="AG45" s="9">
        <f>IF(29&lt;=核心参数输入!$B$9,IF(AND(核心参数输入!$B$100=1,OR(核心参数输入!$B$101=0,29-10&lt;=核心参数输入!$B$101)),MAX(0,AF45-MAX(0,AG13-SUMIFS($AF$35:$AF$44,$B$35:$B$44,"&gt;="&amp;IF(核心参数输入!$B$101=0,0,29-核心参数输入!$B$101)))),0),0)</f>
        <v>0</v>
      </c>
      <c r="AH45" s="9">
        <f>IF(30&lt;=核心参数输入!$B$9,IF(AND(核心参数输入!$B$100=1,OR(核心参数输入!$B$101=0,30-10&lt;=核心参数输入!$B$101)),MAX(0,AG45-MAX(0,AH13-SUMIFS($AG$35:$AG$44,$B$35:$B$44,"&gt;="&amp;IF(核心参数输入!$B$101=0,0,30-核心参数输入!$B$101)))),0),0)</f>
        <v>0</v>
      </c>
    </row>
    <row r="46" spans="1:34" ht="21" customHeight="1">
      <c r="A46" s="8" t="s">
        <v>597</v>
      </c>
      <c r="B46" s="8">
        <v>11</v>
      </c>
      <c r="C46" s="8"/>
      <c r="D46" s="9">
        <f>IF(0&lt;=核心参数输入!$B$9,0,0)</f>
        <v>0</v>
      </c>
      <c r="E46" s="9">
        <f>IF(1&lt;=核心参数输入!$B$9,0,0)</f>
        <v>0</v>
      </c>
      <c r="F46" s="9">
        <f>IF(2&lt;=核心参数输入!$B$9,0,0)</f>
        <v>0</v>
      </c>
      <c r="G46" s="9">
        <f>IF(3&lt;=核心参数输入!$B$9,0,0)</f>
        <v>0</v>
      </c>
      <c r="H46" s="9">
        <f>IF(4&lt;=核心参数输入!$B$9,0,0)</f>
        <v>0</v>
      </c>
      <c r="I46" s="9">
        <f>IF(5&lt;=核心参数输入!$B$9,0,0)</f>
        <v>0</v>
      </c>
      <c r="J46" s="9">
        <f>IF(6&lt;=核心参数输入!$B$9,0,0)</f>
        <v>0</v>
      </c>
      <c r="K46" s="9">
        <f>IF(7&lt;=核心参数输入!$B$9,0,0)</f>
        <v>0</v>
      </c>
      <c r="L46" s="9">
        <f>IF(8&lt;=核心参数输入!$B$9,0,0)</f>
        <v>0</v>
      </c>
      <c r="M46" s="9">
        <f>IF(9&lt;=核心参数输入!$B$9,0,0)</f>
        <v>0</v>
      </c>
      <c r="N46" s="9">
        <f>IF(10&lt;=核心参数输入!$B$9,0,0)</f>
        <v>0</v>
      </c>
      <c r="O46" s="9">
        <f>IF(11&lt;=核心参数输入!$B$9,O16,0)</f>
        <v>0</v>
      </c>
      <c r="P46" s="9">
        <f>IF(12&lt;=核心参数输入!$B$9,IF(AND(核心参数输入!$B$100=1,OR(核心参数输入!$B$101=0,12-11&lt;=核心参数输入!$B$101)),MAX(0,O46-MAX(0,P13-SUMIFS($O$35:$O$45,$B$35:$B$45,"&gt;="&amp;IF(核心参数输入!$B$101=0,0,12-核心参数输入!$B$101)))),0),0)</f>
        <v>0</v>
      </c>
      <c r="Q46" s="9">
        <f>IF(13&lt;=核心参数输入!$B$9,IF(AND(核心参数输入!$B$100=1,OR(核心参数输入!$B$101=0,13-11&lt;=核心参数输入!$B$101)),MAX(0,P46-MAX(0,Q13-SUMIFS($P$35:$P$45,$B$35:$B$45,"&gt;="&amp;IF(核心参数输入!$B$101=0,0,13-核心参数输入!$B$101)))),0),0)</f>
        <v>0</v>
      </c>
      <c r="R46" s="9">
        <f>IF(14&lt;=核心参数输入!$B$9,IF(AND(核心参数输入!$B$100=1,OR(核心参数输入!$B$101=0,14-11&lt;=核心参数输入!$B$101)),MAX(0,Q46-MAX(0,R13-SUMIFS($Q$35:$Q$45,$B$35:$B$45,"&gt;="&amp;IF(核心参数输入!$B$101=0,0,14-核心参数输入!$B$101)))),0),0)</f>
        <v>0</v>
      </c>
      <c r="S46" s="9">
        <f>IF(15&lt;=核心参数输入!$B$9,IF(AND(核心参数输入!$B$100=1,OR(核心参数输入!$B$101=0,15-11&lt;=核心参数输入!$B$101)),MAX(0,R46-MAX(0,S13-SUMIFS($R$35:$R$45,$B$35:$B$45,"&gt;="&amp;IF(核心参数输入!$B$101=0,0,15-核心参数输入!$B$101)))),0),0)</f>
        <v>0</v>
      </c>
      <c r="T46" s="9">
        <f>IF(16&lt;=核心参数输入!$B$9,IF(AND(核心参数输入!$B$100=1,OR(核心参数输入!$B$101=0,16-11&lt;=核心参数输入!$B$101)),MAX(0,S46-MAX(0,T13-SUMIFS($S$35:$S$45,$B$35:$B$45,"&gt;="&amp;IF(核心参数输入!$B$101=0,0,16-核心参数输入!$B$101)))),0),0)</f>
        <v>0</v>
      </c>
      <c r="U46" s="9">
        <f>IF(17&lt;=核心参数输入!$B$9,IF(AND(核心参数输入!$B$100=1,OR(核心参数输入!$B$101=0,17-11&lt;=核心参数输入!$B$101)),MAX(0,T46-MAX(0,U13-SUMIFS($T$35:$T$45,$B$35:$B$45,"&gt;="&amp;IF(核心参数输入!$B$101=0,0,17-核心参数输入!$B$101)))),0),0)</f>
        <v>0</v>
      </c>
      <c r="V46" s="9">
        <f>IF(18&lt;=核心参数输入!$B$9,IF(AND(核心参数输入!$B$100=1,OR(核心参数输入!$B$101=0,18-11&lt;=核心参数输入!$B$101)),MAX(0,U46-MAX(0,V13-SUMIFS($U$35:$U$45,$B$35:$B$45,"&gt;="&amp;IF(核心参数输入!$B$101=0,0,18-核心参数输入!$B$101)))),0),0)</f>
        <v>0</v>
      </c>
      <c r="W46" s="9">
        <f>IF(19&lt;=核心参数输入!$B$9,IF(AND(核心参数输入!$B$100=1,OR(核心参数输入!$B$101=0,19-11&lt;=核心参数输入!$B$101)),MAX(0,V46-MAX(0,W13-SUMIFS($V$35:$V$45,$B$35:$B$45,"&gt;="&amp;IF(核心参数输入!$B$101=0,0,19-核心参数输入!$B$101)))),0),0)</f>
        <v>0</v>
      </c>
      <c r="X46" s="9">
        <f>IF(20&lt;=核心参数输入!$B$9,IF(AND(核心参数输入!$B$100=1,OR(核心参数输入!$B$101=0,20-11&lt;=核心参数输入!$B$101)),MAX(0,W46-MAX(0,X13-SUMIFS($W$35:$W$45,$B$35:$B$45,"&gt;="&amp;IF(核心参数输入!$B$101=0,0,20-核心参数输入!$B$101)))),0),0)</f>
        <v>0</v>
      </c>
      <c r="Y46" s="9">
        <f>IF(21&lt;=核心参数输入!$B$9,IF(AND(核心参数输入!$B$100=1,OR(核心参数输入!$B$101=0,21-11&lt;=核心参数输入!$B$101)),MAX(0,X46-MAX(0,Y13-SUMIFS($X$35:$X$45,$B$35:$B$45,"&gt;="&amp;IF(核心参数输入!$B$101=0,0,21-核心参数输入!$B$101)))),0),0)</f>
        <v>0</v>
      </c>
      <c r="Z46" s="9">
        <f>IF(22&lt;=核心参数输入!$B$9,IF(AND(核心参数输入!$B$100=1,OR(核心参数输入!$B$101=0,22-11&lt;=核心参数输入!$B$101)),MAX(0,Y46-MAX(0,Z13-SUMIFS($Y$35:$Y$45,$B$35:$B$45,"&gt;="&amp;IF(核心参数输入!$B$101=0,0,22-核心参数输入!$B$101)))),0),0)</f>
        <v>0</v>
      </c>
      <c r="AA46" s="9">
        <f>IF(23&lt;=核心参数输入!$B$9,IF(AND(核心参数输入!$B$100=1,OR(核心参数输入!$B$101=0,23-11&lt;=核心参数输入!$B$101)),MAX(0,Z46-MAX(0,AA13-SUMIFS($Z$35:$Z$45,$B$35:$B$45,"&gt;="&amp;IF(核心参数输入!$B$101=0,0,23-核心参数输入!$B$101)))),0),0)</f>
        <v>0</v>
      </c>
      <c r="AB46" s="9">
        <f>IF(24&lt;=核心参数输入!$B$9,IF(AND(核心参数输入!$B$100=1,OR(核心参数输入!$B$101=0,24-11&lt;=核心参数输入!$B$101)),MAX(0,AA46-MAX(0,AB13-SUMIFS($AA$35:$AA$45,$B$35:$B$45,"&gt;="&amp;IF(核心参数输入!$B$101=0,0,24-核心参数输入!$B$101)))),0),0)</f>
        <v>0</v>
      </c>
      <c r="AC46" s="9">
        <f>IF(25&lt;=核心参数输入!$B$9,IF(AND(核心参数输入!$B$100=1,OR(核心参数输入!$B$101=0,25-11&lt;=核心参数输入!$B$101)),MAX(0,AB46-MAX(0,AC13-SUMIFS($AB$35:$AB$45,$B$35:$B$45,"&gt;="&amp;IF(核心参数输入!$B$101=0,0,25-核心参数输入!$B$101)))),0),0)</f>
        <v>0</v>
      </c>
      <c r="AD46" s="9">
        <f>IF(26&lt;=核心参数输入!$B$9,IF(AND(核心参数输入!$B$100=1,OR(核心参数输入!$B$101=0,26-11&lt;=核心参数输入!$B$101)),MAX(0,AC46-MAX(0,AD13-SUMIFS($AC$35:$AC$45,$B$35:$B$45,"&gt;="&amp;IF(核心参数输入!$B$101=0,0,26-核心参数输入!$B$101)))),0),0)</f>
        <v>0</v>
      </c>
      <c r="AE46" s="9">
        <f>IF(27&lt;=核心参数输入!$B$9,IF(AND(核心参数输入!$B$100=1,OR(核心参数输入!$B$101=0,27-11&lt;=核心参数输入!$B$101)),MAX(0,AD46-MAX(0,AE13-SUMIFS($AD$35:$AD$45,$B$35:$B$45,"&gt;="&amp;IF(核心参数输入!$B$101=0,0,27-核心参数输入!$B$101)))),0),0)</f>
        <v>0</v>
      </c>
      <c r="AF46" s="9">
        <f>IF(28&lt;=核心参数输入!$B$9,IF(AND(核心参数输入!$B$100=1,OR(核心参数输入!$B$101=0,28-11&lt;=核心参数输入!$B$101)),MAX(0,AE46-MAX(0,AF13-SUMIFS($AE$35:$AE$45,$B$35:$B$45,"&gt;="&amp;IF(核心参数输入!$B$101=0,0,28-核心参数输入!$B$101)))),0),0)</f>
        <v>0</v>
      </c>
      <c r="AG46" s="9">
        <f>IF(29&lt;=核心参数输入!$B$9,IF(AND(核心参数输入!$B$100=1,OR(核心参数输入!$B$101=0,29-11&lt;=核心参数输入!$B$101)),MAX(0,AF46-MAX(0,AG13-SUMIFS($AF$35:$AF$45,$B$35:$B$45,"&gt;="&amp;IF(核心参数输入!$B$101=0,0,29-核心参数输入!$B$101)))),0),0)</f>
        <v>0</v>
      </c>
      <c r="AH46" s="9">
        <f>IF(30&lt;=核心参数输入!$B$9,IF(AND(核心参数输入!$B$100=1,OR(核心参数输入!$B$101=0,30-11&lt;=核心参数输入!$B$101)),MAX(0,AG46-MAX(0,AH13-SUMIFS($AG$35:$AG$45,$B$35:$B$45,"&gt;="&amp;IF(核心参数输入!$B$101=0,0,30-核心参数输入!$B$101)))),0),0)</f>
        <v>0</v>
      </c>
    </row>
    <row r="47" spans="1:34" ht="21" customHeight="1">
      <c r="A47" s="8" t="s">
        <v>598</v>
      </c>
      <c r="B47" s="8">
        <v>12</v>
      </c>
      <c r="C47" s="8"/>
      <c r="D47" s="9">
        <f>IF(0&lt;=核心参数输入!$B$9,0,0)</f>
        <v>0</v>
      </c>
      <c r="E47" s="9">
        <f>IF(1&lt;=核心参数输入!$B$9,0,0)</f>
        <v>0</v>
      </c>
      <c r="F47" s="9">
        <f>IF(2&lt;=核心参数输入!$B$9,0,0)</f>
        <v>0</v>
      </c>
      <c r="G47" s="9">
        <f>IF(3&lt;=核心参数输入!$B$9,0,0)</f>
        <v>0</v>
      </c>
      <c r="H47" s="9">
        <f>IF(4&lt;=核心参数输入!$B$9,0,0)</f>
        <v>0</v>
      </c>
      <c r="I47" s="9">
        <f>IF(5&lt;=核心参数输入!$B$9,0,0)</f>
        <v>0</v>
      </c>
      <c r="J47" s="9">
        <f>IF(6&lt;=核心参数输入!$B$9,0,0)</f>
        <v>0</v>
      </c>
      <c r="K47" s="9">
        <f>IF(7&lt;=核心参数输入!$B$9,0,0)</f>
        <v>0</v>
      </c>
      <c r="L47" s="9">
        <f>IF(8&lt;=核心参数输入!$B$9,0,0)</f>
        <v>0</v>
      </c>
      <c r="M47" s="9">
        <f>IF(9&lt;=核心参数输入!$B$9,0,0)</f>
        <v>0</v>
      </c>
      <c r="N47" s="9">
        <f>IF(10&lt;=核心参数输入!$B$9,0,0)</f>
        <v>0</v>
      </c>
      <c r="O47" s="9">
        <f>IF(11&lt;=核心参数输入!$B$9,0,0)</f>
        <v>0</v>
      </c>
      <c r="P47" s="9">
        <f>IF(12&lt;=核心参数输入!$B$9,P16,0)</f>
        <v>0</v>
      </c>
      <c r="Q47" s="9">
        <f>IF(13&lt;=核心参数输入!$B$9,IF(AND(核心参数输入!$B$100=1,OR(核心参数输入!$B$101=0,13-12&lt;=核心参数输入!$B$101)),MAX(0,P47-MAX(0,Q13-SUMIFS($P$35:$P$46,$B$35:$B$46,"&gt;="&amp;IF(核心参数输入!$B$101=0,0,13-核心参数输入!$B$101)))),0),0)</f>
        <v>0</v>
      </c>
      <c r="R47" s="9">
        <f>IF(14&lt;=核心参数输入!$B$9,IF(AND(核心参数输入!$B$100=1,OR(核心参数输入!$B$101=0,14-12&lt;=核心参数输入!$B$101)),MAX(0,Q47-MAX(0,R13-SUMIFS($Q$35:$Q$46,$B$35:$B$46,"&gt;="&amp;IF(核心参数输入!$B$101=0,0,14-核心参数输入!$B$101)))),0),0)</f>
        <v>0</v>
      </c>
      <c r="S47" s="9">
        <f>IF(15&lt;=核心参数输入!$B$9,IF(AND(核心参数输入!$B$100=1,OR(核心参数输入!$B$101=0,15-12&lt;=核心参数输入!$B$101)),MAX(0,R47-MAX(0,S13-SUMIFS($R$35:$R$46,$B$35:$B$46,"&gt;="&amp;IF(核心参数输入!$B$101=0,0,15-核心参数输入!$B$101)))),0),0)</f>
        <v>0</v>
      </c>
      <c r="T47" s="9">
        <f>IF(16&lt;=核心参数输入!$B$9,IF(AND(核心参数输入!$B$100=1,OR(核心参数输入!$B$101=0,16-12&lt;=核心参数输入!$B$101)),MAX(0,S47-MAX(0,T13-SUMIFS($S$35:$S$46,$B$35:$B$46,"&gt;="&amp;IF(核心参数输入!$B$101=0,0,16-核心参数输入!$B$101)))),0),0)</f>
        <v>0</v>
      </c>
      <c r="U47" s="9">
        <f>IF(17&lt;=核心参数输入!$B$9,IF(AND(核心参数输入!$B$100=1,OR(核心参数输入!$B$101=0,17-12&lt;=核心参数输入!$B$101)),MAX(0,T47-MAX(0,U13-SUMIFS($T$35:$T$46,$B$35:$B$46,"&gt;="&amp;IF(核心参数输入!$B$101=0,0,17-核心参数输入!$B$101)))),0),0)</f>
        <v>0</v>
      </c>
      <c r="V47" s="9">
        <f>IF(18&lt;=核心参数输入!$B$9,IF(AND(核心参数输入!$B$100=1,OR(核心参数输入!$B$101=0,18-12&lt;=核心参数输入!$B$101)),MAX(0,U47-MAX(0,V13-SUMIFS($U$35:$U$46,$B$35:$B$46,"&gt;="&amp;IF(核心参数输入!$B$101=0,0,18-核心参数输入!$B$101)))),0),0)</f>
        <v>0</v>
      </c>
      <c r="W47" s="9">
        <f>IF(19&lt;=核心参数输入!$B$9,IF(AND(核心参数输入!$B$100=1,OR(核心参数输入!$B$101=0,19-12&lt;=核心参数输入!$B$101)),MAX(0,V47-MAX(0,W13-SUMIFS($V$35:$V$46,$B$35:$B$46,"&gt;="&amp;IF(核心参数输入!$B$101=0,0,19-核心参数输入!$B$101)))),0),0)</f>
        <v>0</v>
      </c>
      <c r="X47" s="9">
        <f>IF(20&lt;=核心参数输入!$B$9,IF(AND(核心参数输入!$B$100=1,OR(核心参数输入!$B$101=0,20-12&lt;=核心参数输入!$B$101)),MAX(0,W47-MAX(0,X13-SUMIFS($W$35:$W$46,$B$35:$B$46,"&gt;="&amp;IF(核心参数输入!$B$101=0,0,20-核心参数输入!$B$101)))),0),0)</f>
        <v>0</v>
      </c>
      <c r="Y47" s="9">
        <f>IF(21&lt;=核心参数输入!$B$9,IF(AND(核心参数输入!$B$100=1,OR(核心参数输入!$B$101=0,21-12&lt;=核心参数输入!$B$101)),MAX(0,X47-MAX(0,Y13-SUMIFS($X$35:$X$46,$B$35:$B$46,"&gt;="&amp;IF(核心参数输入!$B$101=0,0,21-核心参数输入!$B$101)))),0),0)</f>
        <v>0</v>
      </c>
      <c r="Z47" s="9">
        <f>IF(22&lt;=核心参数输入!$B$9,IF(AND(核心参数输入!$B$100=1,OR(核心参数输入!$B$101=0,22-12&lt;=核心参数输入!$B$101)),MAX(0,Y47-MAX(0,Z13-SUMIFS($Y$35:$Y$46,$B$35:$B$46,"&gt;="&amp;IF(核心参数输入!$B$101=0,0,22-核心参数输入!$B$101)))),0),0)</f>
        <v>0</v>
      </c>
      <c r="AA47" s="9">
        <f>IF(23&lt;=核心参数输入!$B$9,IF(AND(核心参数输入!$B$100=1,OR(核心参数输入!$B$101=0,23-12&lt;=核心参数输入!$B$101)),MAX(0,Z47-MAX(0,AA13-SUMIFS($Z$35:$Z$46,$B$35:$B$46,"&gt;="&amp;IF(核心参数输入!$B$101=0,0,23-核心参数输入!$B$101)))),0),0)</f>
        <v>0</v>
      </c>
      <c r="AB47" s="9">
        <f>IF(24&lt;=核心参数输入!$B$9,IF(AND(核心参数输入!$B$100=1,OR(核心参数输入!$B$101=0,24-12&lt;=核心参数输入!$B$101)),MAX(0,AA47-MAX(0,AB13-SUMIFS($AA$35:$AA$46,$B$35:$B$46,"&gt;="&amp;IF(核心参数输入!$B$101=0,0,24-核心参数输入!$B$101)))),0),0)</f>
        <v>0</v>
      </c>
      <c r="AC47" s="9">
        <f>IF(25&lt;=核心参数输入!$B$9,IF(AND(核心参数输入!$B$100=1,OR(核心参数输入!$B$101=0,25-12&lt;=核心参数输入!$B$101)),MAX(0,AB47-MAX(0,AC13-SUMIFS($AB$35:$AB$46,$B$35:$B$46,"&gt;="&amp;IF(核心参数输入!$B$101=0,0,25-核心参数输入!$B$101)))),0),0)</f>
        <v>0</v>
      </c>
      <c r="AD47" s="9">
        <f>IF(26&lt;=核心参数输入!$B$9,IF(AND(核心参数输入!$B$100=1,OR(核心参数输入!$B$101=0,26-12&lt;=核心参数输入!$B$101)),MAX(0,AC47-MAX(0,AD13-SUMIFS($AC$35:$AC$46,$B$35:$B$46,"&gt;="&amp;IF(核心参数输入!$B$101=0,0,26-核心参数输入!$B$101)))),0),0)</f>
        <v>0</v>
      </c>
      <c r="AE47" s="9">
        <f>IF(27&lt;=核心参数输入!$B$9,IF(AND(核心参数输入!$B$100=1,OR(核心参数输入!$B$101=0,27-12&lt;=核心参数输入!$B$101)),MAX(0,AD47-MAX(0,AE13-SUMIFS($AD$35:$AD$46,$B$35:$B$46,"&gt;="&amp;IF(核心参数输入!$B$101=0,0,27-核心参数输入!$B$101)))),0),0)</f>
        <v>0</v>
      </c>
      <c r="AF47" s="9">
        <f>IF(28&lt;=核心参数输入!$B$9,IF(AND(核心参数输入!$B$100=1,OR(核心参数输入!$B$101=0,28-12&lt;=核心参数输入!$B$101)),MAX(0,AE47-MAX(0,AF13-SUMIFS($AE$35:$AE$46,$B$35:$B$46,"&gt;="&amp;IF(核心参数输入!$B$101=0,0,28-核心参数输入!$B$101)))),0),0)</f>
        <v>0</v>
      </c>
      <c r="AG47" s="9">
        <f>IF(29&lt;=核心参数输入!$B$9,IF(AND(核心参数输入!$B$100=1,OR(核心参数输入!$B$101=0,29-12&lt;=核心参数输入!$B$101)),MAX(0,AF47-MAX(0,AG13-SUMIFS($AF$35:$AF$46,$B$35:$B$46,"&gt;="&amp;IF(核心参数输入!$B$101=0,0,29-核心参数输入!$B$101)))),0),0)</f>
        <v>0</v>
      </c>
      <c r="AH47" s="9">
        <f>IF(30&lt;=核心参数输入!$B$9,IF(AND(核心参数输入!$B$100=1,OR(核心参数输入!$B$101=0,30-12&lt;=核心参数输入!$B$101)),MAX(0,AG47-MAX(0,AH13-SUMIFS($AG$35:$AG$46,$B$35:$B$46,"&gt;="&amp;IF(核心参数输入!$B$101=0,0,30-核心参数输入!$B$101)))),0),0)</f>
        <v>0</v>
      </c>
    </row>
    <row r="48" spans="1:34" ht="21" customHeight="1">
      <c r="A48" s="8" t="s">
        <v>599</v>
      </c>
      <c r="B48" s="8">
        <v>13</v>
      </c>
      <c r="C48" s="8"/>
      <c r="D48" s="9">
        <f>IF(0&lt;=核心参数输入!$B$9,0,0)</f>
        <v>0</v>
      </c>
      <c r="E48" s="9">
        <f>IF(1&lt;=核心参数输入!$B$9,0,0)</f>
        <v>0</v>
      </c>
      <c r="F48" s="9">
        <f>IF(2&lt;=核心参数输入!$B$9,0,0)</f>
        <v>0</v>
      </c>
      <c r="G48" s="9">
        <f>IF(3&lt;=核心参数输入!$B$9,0,0)</f>
        <v>0</v>
      </c>
      <c r="H48" s="9">
        <f>IF(4&lt;=核心参数输入!$B$9,0,0)</f>
        <v>0</v>
      </c>
      <c r="I48" s="9">
        <f>IF(5&lt;=核心参数输入!$B$9,0,0)</f>
        <v>0</v>
      </c>
      <c r="J48" s="9">
        <f>IF(6&lt;=核心参数输入!$B$9,0,0)</f>
        <v>0</v>
      </c>
      <c r="K48" s="9">
        <f>IF(7&lt;=核心参数输入!$B$9,0,0)</f>
        <v>0</v>
      </c>
      <c r="L48" s="9">
        <f>IF(8&lt;=核心参数输入!$B$9,0,0)</f>
        <v>0</v>
      </c>
      <c r="M48" s="9">
        <f>IF(9&lt;=核心参数输入!$B$9,0,0)</f>
        <v>0</v>
      </c>
      <c r="N48" s="9">
        <f>IF(10&lt;=核心参数输入!$B$9,0,0)</f>
        <v>0</v>
      </c>
      <c r="O48" s="9">
        <f>IF(11&lt;=核心参数输入!$B$9,0,0)</f>
        <v>0</v>
      </c>
      <c r="P48" s="9">
        <f>IF(12&lt;=核心参数输入!$B$9,0,0)</f>
        <v>0</v>
      </c>
      <c r="Q48" s="9">
        <f>IF(13&lt;=核心参数输入!$B$9,Q16,0)</f>
        <v>0</v>
      </c>
      <c r="R48" s="9">
        <f>IF(14&lt;=核心参数输入!$B$9,IF(AND(核心参数输入!$B$100=1,OR(核心参数输入!$B$101=0,14-13&lt;=核心参数输入!$B$101)),MAX(0,Q48-MAX(0,R13-SUMIFS($Q$35:$Q$47,$B$35:$B$47,"&gt;="&amp;IF(核心参数输入!$B$101=0,0,14-核心参数输入!$B$101)))),0),0)</f>
        <v>0</v>
      </c>
      <c r="S48" s="9">
        <f>IF(15&lt;=核心参数输入!$B$9,IF(AND(核心参数输入!$B$100=1,OR(核心参数输入!$B$101=0,15-13&lt;=核心参数输入!$B$101)),MAX(0,R48-MAX(0,S13-SUMIFS($R$35:$R$47,$B$35:$B$47,"&gt;="&amp;IF(核心参数输入!$B$101=0,0,15-核心参数输入!$B$101)))),0),0)</f>
        <v>0</v>
      </c>
      <c r="T48" s="9">
        <f>IF(16&lt;=核心参数输入!$B$9,IF(AND(核心参数输入!$B$100=1,OR(核心参数输入!$B$101=0,16-13&lt;=核心参数输入!$B$101)),MAX(0,S48-MAX(0,T13-SUMIFS($S$35:$S$47,$B$35:$B$47,"&gt;="&amp;IF(核心参数输入!$B$101=0,0,16-核心参数输入!$B$101)))),0),0)</f>
        <v>0</v>
      </c>
      <c r="U48" s="9">
        <f>IF(17&lt;=核心参数输入!$B$9,IF(AND(核心参数输入!$B$100=1,OR(核心参数输入!$B$101=0,17-13&lt;=核心参数输入!$B$101)),MAX(0,T48-MAX(0,U13-SUMIFS($T$35:$T$47,$B$35:$B$47,"&gt;="&amp;IF(核心参数输入!$B$101=0,0,17-核心参数输入!$B$101)))),0),0)</f>
        <v>0</v>
      </c>
      <c r="V48" s="9">
        <f>IF(18&lt;=核心参数输入!$B$9,IF(AND(核心参数输入!$B$100=1,OR(核心参数输入!$B$101=0,18-13&lt;=核心参数输入!$B$101)),MAX(0,U48-MAX(0,V13-SUMIFS($U$35:$U$47,$B$35:$B$47,"&gt;="&amp;IF(核心参数输入!$B$101=0,0,18-核心参数输入!$B$101)))),0),0)</f>
        <v>0</v>
      </c>
      <c r="W48" s="9">
        <f>IF(19&lt;=核心参数输入!$B$9,IF(AND(核心参数输入!$B$100=1,OR(核心参数输入!$B$101=0,19-13&lt;=核心参数输入!$B$101)),MAX(0,V48-MAX(0,W13-SUMIFS($V$35:$V$47,$B$35:$B$47,"&gt;="&amp;IF(核心参数输入!$B$101=0,0,19-核心参数输入!$B$101)))),0),0)</f>
        <v>0</v>
      </c>
      <c r="X48" s="9">
        <f>IF(20&lt;=核心参数输入!$B$9,IF(AND(核心参数输入!$B$100=1,OR(核心参数输入!$B$101=0,20-13&lt;=核心参数输入!$B$101)),MAX(0,W48-MAX(0,X13-SUMIFS($W$35:$W$47,$B$35:$B$47,"&gt;="&amp;IF(核心参数输入!$B$101=0,0,20-核心参数输入!$B$101)))),0),0)</f>
        <v>0</v>
      </c>
      <c r="Y48" s="9">
        <f>IF(21&lt;=核心参数输入!$B$9,IF(AND(核心参数输入!$B$100=1,OR(核心参数输入!$B$101=0,21-13&lt;=核心参数输入!$B$101)),MAX(0,X48-MAX(0,Y13-SUMIFS($X$35:$X$47,$B$35:$B$47,"&gt;="&amp;IF(核心参数输入!$B$101=0,0,21-核心参数输入!$B$101)))),0),0)</f>
        <v>0</v>
      </c>
      <c r="Z48" s="9">
        <f>IF(22&lt;=核心参数输入!$B$9,IF(AND(核心参数输入!$B$100=1,OR(核心参数输入!$B$101=0,22-13&lt;=核心参数输入!$B$101)),MAX(0,Y48-MAX(0,Z13-SUMIFS($Y$35:$Y$47,$B$35:$B$47,"&gt;="&amp;IF(核心参数输入!$B$101=0,0,22-核心参数输入!$B$101)))),0),0)</f>
        <v>0</v>
      </c>
      <c r="AA48" s="9">
        <f>IF(23&lt;=核心参数输入!$B$9,IF(AND(核心参数输入!$B$100=1,OR(核心参数输入!$B$101=0,23-13&lt;=核心参数输入!$B$101)),MAX(0,Z48-MAX(0,AA13-SUMIFS($Z$35:$Z$47,$B$35:$B$47,"&gt;="&amp;IF(核心参数输入!$B$101=0,0,23-核心参数输入!$B$101)))),0),0)</f>
        <v>0</v>
      </c>
      <c r="AB48" s="9">
        <f>IF(24&lt;=核心参数输入!$B$9,IF(AND(核心参数输入!$B$100=1,OR(核心参数输入!$B$101=0,24-13&lt;=核心参数输入!$B$101)),MAX(0,AA48-MAX(0,AB13-SUMIFS($AA$35:$AA$47,$B$35:$B$47,"&gt;="&amp;IF(核心参数输入!$B$101=0,0,24-核心参数输入!$B$101)))),0),0)</f>
        <v>0</v>
      </c>
      <c r="AC48" s="9">
        <f>IF(25&lt;=核心参数输入!$B$9,IF(AND(核心参数输入!$B$100=1,OR(核心参数输入!$B$101=0,25-13&lt;=核心参数输入!$B$101)),MAX(0,AB48-MAX(0,AC13-SUMIFS($AB$35:$AB$47,$B$35:$B$47,"&gt;="&amp;IF(核心参数输入!$B$101=0,0,25-核心参数输入!$B$101)))),0),0)</f>
        <v>0</v>
      </c>
      <c r="AD48" s="9">
        <f>IF(26&lt;=核心参数输入!$B$9,IF(AND(核心参数输入!$B$100=1,OR(核心参数输入!$B$101=0,26-13&lt;=核心参数输入!$B$101)),MAX(0,AC48-MAX(0,AD13-SUMIFS($AC$35:$AC$47,$B$35:$B$47,"&gt;="&amp;IF(核心参数输入!$B$101=0,0,26-核心参数输入!$B$101)))),0),0)</f>
        <v>0</v>
      </c>
      <c r="AE48" s="9">
        <f>IF(27&lt;=核心参数输入!$B$9,IF(AND(核心参数输入!$B$100=1,OR(核心参数输入!$B$101=0,27-13&lt;=核心参数输入!$B$101)),MAX(0,AD48-MAX(0,AE13-SUMIFS($AD$35:$AD$47,$B$35:$B$47,"&gt;="&amp;IF(核心参数输入!$B$101=0,0,27-核心参数输入!$B$101)))),0),0)</f>
        <v>0</v>
      </c>
      <c r="AF48" s="9">
        <f>IF(28&lt;=核心参数输入!$B$9,IF(AND(核心参数输入!$B$100=1,OR(核心参数输入!$B$101=0,28-13&lt;=核心参数输入!$B$101)),MAX(0,AE48-MAX(0,AF13-SUMIFS($AE$35:$AE$47,$B$35:$B$47,"&gt;="&amp;IF(核心参数输入!$B$101=0,0,28-核心参数输入!$B$101)))),0),0)</f>
        <v>0</v>
      </c>
      <c r="AG48" s="9">
        <f>IF(29&lt;=核心参数输入!$B$9,IF(AND(核心参数输入!$B$100=1,OR(核心参数输入!$B$101=0,29-13&lt;=核心参数输入!$B$101)),MAX(0,AF48-MAX(0,AG13-SUMIFS($AF$35:$AF$47,$B$35:$B$47,"&gt;="&amp;IF(核心参数输入!$B$101=0,0,29-核心参数输入!$B$101)))),0),0)</f>
        <v>0</v>
      </c>
      <c r="AH48" s="9">
        <f>IF(30&lt;=核心参数输入!$B$9,IF(AND(核心参数输入!$B$100=1,OR(核心参数输入!$B$101=0,30-13&lt;=核心参数输入!$B$101)),MAX(0,AG48-MAX(0,AH13-SUMIFS($AG$35:$AG$47,$B$35:$B$47,"&gt;="&amp;IF(核心参数输入!$B$101=0,0,30-核心参数输入!$B$101)))),0),0)</f>
        <v>0</v>
      </c>
    </row>
    <row r="49" spans="1:34" ht="21" customHeight="1">
      <c r="A49" s="8" t="s">
        <v>600</v>
      </c>
      <c r="B49" s="8">
        <v>14</v>
      </c>
      <c r="C49" s="8"/>
      <c r="D49" s="9">
        <f>IF(0&lt;=核心参数输入!$B$9,0,0)</f>
        <v>0</v>
      </c>
      <c r="E49" s="9">
        <f>IF(1&lt;=核心参数输入!$B$9,0,0)</f>
        <v>0</v>
      </c>
      <c r="F49" s="9">
        <f>IF(2&lt;=核心参数输入!$B$9,0,0)</f>
        <v>0</v>
      </c>
      <c r="G49" s="9">
        <f>IF(3&lt;=核心参数输入!$B$9,0,0)</f>
        <v>0</v>
      </c>
      <c r="H49" s="9">
        <f>IF(4&lt;=核心参数输入!$B$9,0,0)</f>
        <v>0</v>
      </c>
      <c r="I49" s="9">
        <f>IF(5&lt;=核心参数输入!$B$9,0,0)</f>
        <v>0</v>
      </c>
      <c r="J49" s="9">
        <f>IF(6&lt;=核心参数输入!$B$9,0,0)</f>
        <v>0</v>
      </c>
      <c r="K49" s="9">
        <f>IF(7&lt;=核心参数输入!$B$9,0,0)</f>
        <v>0</v>
      </c>
      <c r="L49" s="9">
        <f>IF(8&lt;=核心参数输入!$B$9,0,0)</f>
        <v>0</v>
      </c>
      <c r="M49" s="9">
        <f>IF(9&lt;=核心参数输入!$B$9,0,0)</f>
        <v>0</v>
      </c>
      <c r="N49" s="9">
        <f>IF(10&lt;=核心参数输入!$B$9,0,0)</f>
        <v>0</v>
      </c>
      <c r="O49" s="9">
        <f>IF(11&lt;=核心参数输入!$B$9,0,0)</f>
        <v>0</v>
      </c>
      <c r="P49" s="9">
        <f>IF(12&lt;=核心参数输入!$B$9,0,0)</f>
        <v>0</v>
      </c>
      <c r="Q49" s="9">
        <f>IF(13&lt;=核心参数输入!$B$9,0,0)</f>
        <v>0</v>
      </c>
      <c r="R49" s="9">
        <f>IF(14&lt;=核心参数输入!$B$9,R16,0)</f>
        <v>0</v>
      </c>
      <c r="S49" s="9">
        <f>IF(15&lt;=核心参数输入!$B$9,IF(AND(核心参数输入!$B$100=1,OR(核心参数输入!$B$101=0,15-14&lt;=核心参数输入!$B$101)),MAX(0,R49-MAX(0,S13-SUMIFS($R$35:$R$48,$B$35:$B$48,"&gt;="&amp;IF(核心参数输入!$B$101=0,0,15-核心参数输入!$B$101)))),0),0)</f>
        <v>0</v>
      </c>
      <c r="T49" s="9">
        <f>IF(16&lt;=核心参数输入!$B$9,IF(AND(核心参数输入!$B$100=1,OR(核心参数输入!$B$101=0,16-14&lt;=核心参数输入!$B$101)),MAX(0,S49-MAX(0,T13-SUMIFS($S$35:$S$48,$B$35:$B$48,"&gt;="&amp;IF(核心参数输入!$B$101=0,0,16-核心参数输入!$B$101)))),0),0)</f>
        <v>0</v>
      </c>
      <c r="U49" s="9">
        <f>IF(17&lt;=核心参数输入!$B$9,IF(AND(核心参数输入!$B$100=1,OR(核心参数输入!$B$101=0,17-14&lt;=核心参数输入!$B$101)),MAX(0,T49-MAX(0,U13-SUMIFS($T$35:$T$48,$B$35:$B$48,"&gt;="&amp;IF(核心参数输入!$B$101=0,0,17-核心参数输入!$B$101)))),0),0)</f>
        <v>0</v>
      </c>
      <c r="V49" s="9">
        <f>IF(18&lt;=核心参数输入!$B$9,IF(AND(核心参数输入!$B$100=1,OR(核心参数输入!$B$101=0,18-14&lt;=核心参数输入!$B$101)),MAX(0,U49-MAX(0,V13-SUMIFS($U$35:$U$48,$B$35:$B$48,"&gt;="&amp;IF(核心参数输入!$B$101=0,0,18-核心参数输入!$B$101)))),0),0)</f>
        <v>0</v>
      </c>
      <c r="W49" s="9">
        <f>IF(19&lt;=核心参数输入!$B$9,IF(AND(核心参数输入!$B$100=1,OR(核心参数输入!$B$101=0,19-14&lt;=核心参数输入!$B$101)),MAX(0,V49-MAX(0,W13-SUMIFS($V$35:$V$48,$B$35:$B$48,"&gt;="&amp;IF(核心参数输入!$B$101=0,0,19-核心参数输入!$B$101)))),0),0)</f>
        <v>0</v>
      </c>
      <c r="X49" s="9">
        <f>IF(20&lt;=核心参数输入!$B$9,IF(AND(核心参数输入!$B$100=1,OR(核心参数输入!$B$101=0,20-14&lt;=核心参数输入!$B$101)),MAX(0,W49-MAX(0,X13-SUMIFS($W$35:$W$48,$B$35:$B$48,"&gt;="&amp;IF(核心参数输入!$B$101=0,0,20-核心参数输入!$B$101)))),0),0)</f>
        <v>0</v>
      </c>
      <c r="Y49" s="9">
        <f>IF(21&lt;=核心参数输入!$B$9,IF(AND(核心参数输入!$B$100=1,OR(核心参数输入!$B$101=0,21-14&lt;=核心参数输入!$B$101)),MAX(0,X49-MAX(0,Y13-SUMIFS($X$35:$X$48,$B$35:$B$48,"&gt;="&amp;IF(核心参数输入!$B$101=0,0,21-核心参数输入!$B$101)))),0),0)</f>
        <v>0</v>
      </c>
      <c r="Z49" s="9">
        <f>IF(22&lt;=核心参数输入!$B$9,IF(AND(核心参数输入!$B$100=1,OR(核心参数输入!$B$101=0,22-14&lt;=核心参数输入!$B$101)),MAX(0,Y49-MAX(0,Z13-SUMIFS($Y$35:$Y$48,$B$35:$B$48,"&gt;="&amp;IF(核心参数输入!$B$101=0,0,22-核心参数输入!$B$101)))),0),0)</f>
        <v>0</v>
      </c>
      <c r="AA49" s="9">
        <f>IF(23&lt;=核心参数输入!$B$9,IF(AND(核心参数输入!$B$100=1,OR(核心参数输入!$B$101=0,23-14&lt;=核心参数输入!$B$101)),MAX(0,Z49-MAX(0,AA13-SUMIFS($Z$35:$Z$48,$B$35:$B$48,"&gt;="&amp;IF(核心参数输入!$B$101=0,0,23-核心参数输入!$B$101)))),0),0)</f>
        <v>0</v>
      </c>
      <c r="AB49" s="9">
        <f>IF(24&lt;=核心参数输入!$B$9,IF(AND(核心参数输入!$B$100=1,OR(核心参数输入!$B$101=0,24-14&lt;=核心参数输入!$B$101)),MAX(0,AA49-MAX(0,AB13-SUMIFS($AA$35:$AA$48,$B$35:$B$48,"&gt;="&amp;IF(核心参数输入!$B$101=0,0,24-核心参数输入!$B$101)))),0),0)</f>
        <v>0</v>
      </c>
      <c r="AC49" s="9">
        <f>IF(25&lt;=核心参数输入!$B$9,IF(AND(核心参数输入!$B$100=1,OR(核心参数输入!$B$101=0,25-14&lt;=核心参数输入!$B$101)),MAX(0,AB49-MAX(0,AC13-SUMIFS($AB$35:$AB$48,$B$35:$B$48,"&gt;="&amp;IF(核心参数输入!$B$101=0,0,25-核心参数输入!$B$101)))),0),0)</f>
        <v>0</v>
      </c>
      <c r="AD49" s="9">
        <f>IF(26&lt;=核心参数输入!$B$9,IF(AND(核心参数输入!$B$100=1,OR(核心参数输入!$B$101=0,26-14&lt;=核心参数输入!$B$101)),MAX(0,AC49-MAX(0,AD13-SUMIFS($AC$35:$AC$48,$B$35:$B$48,"&gt;="&amp;IF(核心参数输入!$B$101=0,0,26-核心参数输入!$B$101)))),0),0)</f>
        <v>0</v>
      </c>
      <c r="AE49" s="9">
        <f>IF(27&lt;=核心参数输入!$B$9,IF(AND(核心参数输入!$B$100=1,OR(核心参数输入!$B$101=0,27-14&lt;=核心参数输入!$B$101)),MAX(0,AD49-MAX(0,AE13-SUMIFS($AD$35:$AD$48,$B$35:$B$48,"&gt;="&amp;IF(核心参数输入!$B$101=0,0,27-核心参数输入!$B$101)))),0),0)</f>
        <v>0</v>
      </c>
      <c r="AF49" s="9">
        <f>IF(28&lt;=核心参数输入!$B$9,IF(AND(核心参数输入!$B$100=1,OR(核心参数输入!$B$101=0,28-14&lt;=核心参数输入!$B$101)),MAX(0,AE49-MAX(0,AF13-SUMIFS($AE$35:$AE$48,$B$35:$B$48,"&gt;="&amp;IF(核心参数输入!$B$101=0,0,28-核心参数输入!$B$101)))),0),0)</f>
        <v>0</v>
      </c>
      <c r="AG49" s="9">
        <f>IF(29&lt;=核心参数输入!$B$9,IF(AND(核心参数输入!$B$100=1,OR(核心参数输入!$B$101=0,29-14&lt;=核心参数输入!$B$101)),MAX(0,AF49-MAX(0,AG13-SUMIFS($AF$35:$AF$48,$B$35:$B$48,"&gt;="&amp;IF(核心参数输入!$B$101=0,0,29-核心参数输入!$B$101)))),0),0)</f>
        <v>0</v>
      </c>
      <c r="AH49" s="9">
        <f>IF(30&lt;=核心参数输入!$B$9,IF(AND(核心参数输入!$B$100=1,OR(核心参数输入!$B$101=0,30-14&lt;=核心参数输入!$B$101)),MAX(0,AG49-MAX(0,AH13-SUMIFS($AG$35:$AG$48,$B$35:$B$48,"&gt;="&amp;IF(核心参数输入!$B$101=0,0,30-核心参数输入!$B$101)))),0),0)</f>
        <v>0</v>
      </c>
    </row>
    <row r="50" spans="1:34" ht="21" customHeight="1">
      <c r="A50" s="8" t="s">
        <v>601</v>
      </c>
      <c r="B50" s="8">
        <v>15</v>
      </c>
      <c r="C50" s="8"/>
      <c r="D50" s="9">
        <f>IF(0&lt;=核心参数输入!$B$9,0,0)</f>
        <v>0</v>
      </c>
      <c r="E50" s="9">
        <f>IF(1&lt;=核心参数输入!$B$9,0,0)</f>
        <v>0</v>
      </c>
      <c r="F50" s="9">
        <f>IF(2&lt;=核心参数输入!$B$9,0,0)</f>
        <v>0</v>
      </c>
      <c r="G50" s="9">
        <f>IF(3&lt;=核心参数输入!$B$9,0,0)</f>
        <v>0</v>
      </c>
      <c r="H50" s="9">
        <f>IF(4&lt;=核心参数输入!$B$9,0,0)</f>
        <v>0</v>
      </c>
      <c r="I50" s="9">
        <f>IF(5&lt;=核心参数输入!$B$9,0,0)</f>
        <v>0</v>
      </c>
      <c r="J50" s="9">
        <f>IF(6&lt;=核心参数输入!$B$9,0,0)</f>
        <v>0</v>
      </c>
      <c r="K50" s="9">
        <f>IF(7&lt;=核心参数输入!$B$9,0,0)</f>
        <v>0</v>
      </c>
      <c r="L50" s="9">
        <f>IF(8&lt;=核心参数输入!$B$9,0,0)</f>
        <v>0</v>
      </c>
      <c r="M50" s="9">
        <f>IF(9&lt;=核心参数输入!$B$9,0,0)</f>
        <v>0</v>
      </c>
      <c r="N50" s="9">
        <f>IF(10&lt;=核心参数输入!$B$9,0,0)</f>
        <v>0</v>
      </c>
      <c r="O50" s="9">
        <f>IF(11&lt;=核心参数输入!$B$9,0,0)</f>
        <v>0</v>
      </c>
      <c r="P50" s="9">
        <f>IF(12&lt;=核心参数输入!$B$9,0,0)</f>
        <v>0</v>
      </c>
      <c r="Q50" s="9">
        <f>IF(13&lt;=核心参数输入!$B$9,0,0)</f>
        <v>0</v>
      </c>
      <c r="R50" s="9">
        <f>IF(14&lt;=核心参数输入!$B$9,0,0)</f>
        <v>0</v>
      </c>
      <c r="S50" s="9">
        <f>IF(15&lt;=核心参数输入!$B$9,S16,0)</f>
        <v>0</v>
      </c>
      <c r="T50" s="9">
        <f>IF(16&lt;=核心参数输入!$B$9,IF(AND(核心参数输入!$B$100=1,OR(核心参数输入!$B$101=0,16-15&lt;=核心参数输入!$B$101)),MAX(0,S50-MAX(0,T13-SUMIFS($S$35:$S$49,$B$35:$B$49,"&gt;="&amp;IF(核心参数输入!$B$101=0,0,16-核心参数输入!$B$101)))),0),0)</f>
        <v>0</v>
      </c>
      <c r="U50" s="9">
        <f>IF(17&lt;=核心参数输入!$B$9,IF(AND(核心参数输入!$B$100=1,OR(核心参数输入!$B$101=0,17-15&lt;=核心参数输入!$B$101)),MAX(0,T50-MAX(0,U13-SUMIFS($T$35:$T$49,$B$35:$B$49,"&gt;="&amp;IF(核心参数输入!$B$101=0,0,17-核心参数输入!$B$101)))),0),0)</f>
        <v>0</v>
      </c>
      <c r="V50" s="9">
        <f>IF(18&lt;=核心参数输入!$B$9,IF(AND(核心参数输入!$B$100=1,OR(核心参数输入!$B$101=0,18-15&lt;=核心参数输入!$B$101)),MAX(0,U50-MAX(0,V13-SUMIFS($U$35:$U$49,$B$35:$B$49,"&gt;="&amp;IF(核心参数输入!$B$101=0,0,18-核心参数输入!$B$101)))),0),0)</f>
        <v>0</v>
      </c>
      <c r="W50" s="9">
        <f>IF(19&lt;=核心参数输入!$B$9,IF(AND(核心参数输入!$B$100=1,OR(核心参数输入!$B$101=0,19-15&lt;=核心参数输入!$B$101)),MAX(0,V50-MAX(0,W13-SUMIFS($V$35:$V$49,$B$35:$B$49,"&gt;="&amp;IF(核心参数输入!$B$101=0,0,19-核心参数输入!$B$101)))),0),0)</f>
        <v>0</v>
      </c>
      <c r="X50" s="9">
        <f>IF(20&lt;=核心参数输入!$B$9,IF(AND(核心参数输入!$B$100=1,OR(核心参数输入!$B$101=0,20-15&lt;=核心参数输入!$B$101)),MAX(0,W50-MAX(0,X13-SUMIFS($W$35:$W$49,$B$35:$B$49,"&gt;="&amp;IF(核心参数输入!$B$101=0,0,20-核心参数输入!$B$101)))),0),0)</f>
        <v>0</v>
      </c>
      <c r="Y50" s="9">
        <f>IF(21&lt;=核心参数输入!$B$9,IF(AND(核心参数输入!$B$100=1,OR(核心参数输入!$B$101=0,21-15&lt;=核心参数输入!$B$101)),MAX(0,X50-MAX(0,Y13-SUMIFS($X$35:$X$49,$B$35:$B$49,"&gt;="&amp;IF(核心参数输入!$B$101=0,0,21-核心参数输入!$B$101)))),0),0)</f>
        <v>0</v>
      </c>
      <c r="Z50" s="9">
        <f>IF(22&lt;=核心参数输入!$B$9,IF(AND(核心参数输入!$B$100=1,OR(核心参数输入!$B$101=0,22-15&lt;=核心参数输入!$B$101)),MAX(0,Y50-MAX(0,Z13-SUMIFS($Y$35:$Y$49,$B$35:$B$49,"&gt;="&amp;IF(核心参数输入!$B$101=0,0,22-核心参数输入!$B$101)))),0),0)</f>
        <v>0</v>
      </c>
      <c r="AA50" s="9">
        <f>IF(23&lt;=核心参数输入!$B$9,IF(AND(核心参数输入!$B$100=1,OR(核心参数输入!$B$101=0,23-15&lt;=核心参数输入!$B$101)),MAX(0,Z50-MAX(0,AA13-SUMIFS($Z$35:$Z$49,$B$35:$B$49,"&gt;="&amp;IF(核心参数输入!$B$101=0,0,23-核心参数输入!$B$101)))),0),0)</f>
        <v>0</v>
      </c>
      <c r="AB50" s="9">
        <f>IF(24&lt;=核心参数输入!$B$9,IF(AND(核心参数输入!$B$100=1,OR(核心参数输入!$B$101=0,24-15&lt;=核心参数输入!$B$101)),MAX(0,AA50-MAX(0,AB13-SUMIFS($AA$35:$AA$49,$B$35:$B$49,"&gt;="&amp;IF(核心参数输入!$B$101=0,0,24-核心参数输入!$B$101)))),0),0)</f>
        <v>0</v>
      </c>
      <c r="AC50" s="9">
        <f>IF(25&lt;=核心参数输入!$B$9,IF(AND(核心参数输入!$B$100=1,OR(核心参数输入!$B$101=0,25-15&lt;=核心参数输入!$B$101)),MAX(0,AB50-MAX(0,AC13-SUMIFS($AB$35:$AB$49,$B$35:$B$49,"&gt;="&amp;IF(核心参数输入!$B$101=0,0,25-核心参数输入!$B$101)))),0),0)</f>
        <v>0</v>
      </c>
      <c r="AD50" s="9">
        <f>IF(26&lt;=核心参数输入!$B$9,IF(AND(核心参数输入!$B$100=1,OR(核心参数输入!$B$101=0,26-15&lt;=核心参数输入!$B$101)),MAX(0,AC50-MAX(0,AD13-SUMIFS($AC$35:$AC$49,$B$35:$B$49,"&gt;="&amp;IF(核心参数输入!$B$101=0,0,26-核心参数输入!$B$101)))),0),0)</f>
        <v>0</v>
      </c>
      <c r="AE50" s="9">
        <f>IF(27&lt;=核心参数输入!$B$9,IF(AND(核心参数输入!$B$100=1,OR(核心参数输入!$B$101=0,27-15&lt;=核心参数输入!$B$101)),MAX(0,AD50-MAX(0,AE13-SUMIFS($AD$35:$AD$49,$B$35:$B$49,"&gt;="&amp;IF(核心参数输入!$B$101=0,0,27-核心参数输入!$B$101)))),0),0)</f>
        <v>0</v>
      </c>
      <c r="AF50" s="9">
        <f>IF(28&lt;=核心参数输入!$B$9,IF(AND(核心参数输入!$B$100=1,OR(核心参数输入!$B$101=0,28-15&lt;=核心参数输入!$B$101)),MAX(0,AE50-MAX(0,AF13-SUMIFS($AE$35:$AE$49,$B$35:$B$49,"&gt;="&amp;IF(核心参数输入!$B$101=0,0,28-核心参数输入!$B$101)))),0),0)</f>
        <v>0</v>
      </c>
      <c r="AG50" s="9">
        <f>IF(29&lt;=核心参数输入!$B$9,IF(AND(核心参数输入!$B$100=1,OR(核心参数输入!$B$101=0,29-15&lt;=核心参数输入!$B$101)),MAX(0,AF50-MAX(0,AG13-SUMIFS($AF$35:$AF$49,$B$35:$B$49,"&gt;="&amp;IF(核心参数输入!$B$101=0,0,29-核心参数输入!$B$101)))),0),0)</f>
        <v>0</v>
      </c>
      <c r="AH50" s="9">
        <f>IF(30&lt;=核心参数输入!$B$9,IF(AND(核心参数输入!$B$100=1,OR(核心参数输入!$B$101=0,30-15&lt;=核心参数输入!$B$101)),MAX(0,AG50-MAX(0,AH13-SUMIFS($AG$35:$AG$49,$B$35:$B$49,"&gt;="&amp;IF(核心参数输入!$B$101=0,0,30-核心参数输入!$B$101)))),0),0)</f>
        <v>0</v>
      </c>
    </row>
    <row r="51" spans="1:34" ht="21" customHeight="1">
      <c r="A51" s="8" t="s">
        <v>602</v>
      </c>
      <c r="B51" s="8">
        <v>16</v>
      </c>
      <c r="C51" s="8"/>
      <c r="D51" s="9">
        <f>IF(0&lt;=核心参数输入!$B$9,0,0)</f>
        <v>0</v>
      </c>
      <c r="E51" s="9">
        <f>IF(1&lt;=核心参数输入!$B$9,0,0)</f>
        <v>0</v>
      </c>
      <c r="F51" s="9">
        <f>IF(2&lt;=核心参数输入!$B$9,0,0)</f>
        <v>0</v>
      </c>
      <c r="G51" s="9">
        <f>IF(3&lt;=核心参数输入!$B$9,0,0)</f>
        <v>0</v>
      </c>
      <c r="H51" s="9">
        <f>IF(4&lt;=核心参数输入!$B$9,0,0)</f>
        <v>0</v>
      </c>
      <c r="I51" s="9">
        <f>IF(5&lt;=核心参数输入!$B$9,0,0)</f>
        <v>0</v>
      </c>
      <c r="J51" s="9">
        <f>IF(6&lt;=核心参数输入!$B$9,0,0)</f>
        <v>0</v>
      </c>
      <c r="K51" s="9">
        <f>IF(7&lt;=核心参数输入!$B$9,0,0)</f>
        <v>0</v>
      </c>
      <c r="L51" s="9">
        <f>IF(8&lt;=核心参数输入!$B$9,0,0)</f>
        <v>0</v>
      </c>
      <c r="M51" s="9">
        <f>IF(9&lt;=核心参数输入!$B$9,0,0)</f>
        <v>0</v>
      </c>
      <c r="N51" s="9">
        <f>IF(10&lt;=核心参数输入!$B$9,0,0)</f>
        <v>0</v>
      </c>
      <c r="O51" s="9">
        <f>IF(11&lt;=核心参数输入!$B$9,0,0)</f>
        <v>0</v>
      </c>
      <c r="P51" s="9">
        <f>IF(12&lt;=核心参数输入!$B$9,0,0)</f>
        <v>0</v>
      </c>
      <c r="Q51" s="9">
        <f>IF(13&lt;=核心参数输入!$B$9,0,0)</f>
        <v>0</v>
      </c>
      <c r="R51" s="9">
        <f>IF(14&lt;=核心参数输入!$B$9,0,0)</f>
        <v>0</v>
      </c>
      <c r="S51" s="9">
        <f>IF(15&lt;=核心参数输入!$B$9,0,0)</f>
        <v>0</v>
      </c>
      <c r="T51" s="9">
        <f>IF(16&lt;=核心参数输入!$B$9,T16,0)</f>
        <v>0</v>
      </c>
      <c r="U51" s="9">
        <f>IF(17&lt;=核心参数输入!$B$9,IF(AND(核心参数输入!$B$100=1,OR(核心参数输入!$B$101=0,17-16&lt;=核心参数输入!$B$101)),MAX(0,T51-MAX(0,U13-SUMIFS($T$35:$T$50,$B$35:$B$50,"&gt;="&amp;IF(核心参数输入!$B$101=0,0,17-核心参数输入!$B$101)))),0),0)</f>
        <v>0</v>
      </c>
      <c r="V51" s="9">
        <f>IF(18&lt;=核心参数输入!$B$9,IF(AND(核心参数输入!$B$100=1,OR(核心参数输入!$B$101=0,18-16&lt;=核心参数输入!$B$101)),MAX(0,U51-MAX(0,V13-SUMIFS($U$35:$U$50,$B$35:$B$50,"&gt;="&amp;IF(核心参数输入!$B$101=0,0,18-核心参数输入!$B$101)))),0),0)</f>
        <v>0</v>
      </c>
      <c r="W51" s="9">
        <f>IF(19&lt;=核心参数输入!$B$9,IF(AND(核心参数输入!$B$100=1,OR(核心参数输入!$B$101=0,19-16&lt;=核心参数输入!$B$101)),MAX(0,V51-MAX(0,W13-SUMIFS($V$35:$V$50,$B$35:$B$50,"&gt;="&amp;IF(核心参数输入!$B$101=0,0,19-核心参数输入!$B$101)))),0),0)</f>
        <v>0</v>
      </c>
      <c r="X51" s="9">
        <f>IF(20&lt;=核心参数输入!$B$9,IF(AND(核心参数输入!$B$100=1,OR(核心参数输入!$B$101=0,20-16&lt;=核心参数输入!$B$101)),MAX(0,W51-MAX(0,X13-SUMIFS($W$35:$W$50,$B$35:$B$50,"&gt;="&amp;IF(核心参数输入!$B$101=0,0,20-核心参数输入!$B$101)))),0),0)</f>
        <v>0</v>
      </c>
      <c r="Y51" s="9">
        <f>IF(21&lt;=核心参数输入!$B$9,IF(AND(核心参数输入!$B$100=1,OR(核心参数输入!$B$101=0,21-16&lt;=核心参数输入!$B$101)),MAX(0,X51-MAX(0,Y13-SUMIFS($X$35:$X$50,$B$35:$B$50,"&gt;="&amp;IF(核心参数输入!$B$101=0,0,21-核心参数输入!$B$101)))),0),0)</f>
        <v>0</v>
      </c>
      <c r="Z51" s="9">
        <f>IF(22&lt;=核心参数输入!$B$9,IF(AND(核心参数输入!$B$100=1,OR(核心参数输入!$B$101=0,22-16&lt;=核心参数输入!$B$101)),MAX(0,Y51-MAX(0,Z13-SUMIFS($Y$35:$Y$50,$B$35:$B$50,"&gt;="&amp;IF(核心参数输入!$B$101=0,0,22-核心参数输入!$B$101)))),0),0)</f>
        <v>0</v>
      </c>
      <c r="AA51" s="9">
        <f>IF(23&lt;=核心参数输入!$B$9,IF(AND(核心参数输入!$B$100=1,OR(核心参数输入!$B$101=0,23-16&lt;=核心参数输入!$B$101)),MAX(0,Z51-MAX(0,AA13-SUMIFS($Z$35:$Z$50,$B$35:$B$50,"&gt;="&amp;IF(核心参数输入!$B$101=0,0,23-核心参数输入!$B$101)))),0),0)</f>
        <v>0</v>
      </c>
      <c r="AB51" s="9">
        <f>IF(24&lt;=核心参数输入!$B$9,IF(AND(核心参数输入!$B$100=1,OR(核心参数输入!$B$101=0,24-16&lt;=核心参数输入!$B$101)),MAX(0,AA51-MAX(0,AB13-SUMIFS($AA$35:$AA$50,$B$35:$B$50,"&gt;="&amp;IF(核心参数输入!$B$101=0,0,24-核心参数输入!$B$101)))),0),0)</f>
        <v>0</v>
      </c>
      <c r="AC51" s="9">
        <f>IF(25&lt;=核心参数输入!$B$9,IF(AND(核心参数输入!$B$100=1,OR(核心参数输入!$B$101=0,25-16&lt;=核心参数输入!$B$101)),MAX(0,AB51-MAX(0,AC13-SUMIFS($AB$35:$AB$50,$B$35:$B$50,"&gt;="&amp;IF(核心参数输入!$B$101=0,0,25-核心参数输入!$B$101)))),0),0)</f>
        <v>0</v>
      </c>
      <c r="AD51" s="9">
        <f>IF(26&lt;=核心参数输入!$B$9,IF(AND(核心参数输入!$B$100=1,OR(核心参数输入!$B$101=0,26-16&lt;=核心参数输入!$B$101)),MAX(0,AC51-MAX(0,AD13-SUMIFS($AC$35:$AC$50,$B$35:$B$50,"&gt;="&amp;IF(核心参数输入!$B$101=0,0,26-核心参数输入!$B$101)))),0),0)</f>
        <v>0</v>
      </c>
      <c r="AE51" s="9">
        <f>IF(27&lt;=核心参数输入!$B$9,IF(AND(核心参数输入!$B$100=1,OR(核心参数输入!$B$101=0,27-16&lt;=核心参数输入!$B$101)),MAX(0,AD51-MAX(0,AE13-SUMIFS($AD$35:$AD$50,$B$35:$B$50,"&gt;="&amp;IF(核心参数输入!$B$101=0,0,27-核心参数输入!$B$101)))),0),0)</f>
        <v>0</v>
      </c>
      <c r="AF51" s="9">
        <f>IF(28&lt;=核心参数输入!$B$9,IF(AND(核心参数输入!$B$100=1,OR(核心参数输入!$B$101=0,28-16&lt;=核心参数输入!$B$101)),MAX(0,AE51-MAX(0,AF13-SUMIFS($AE$35:$AE$50,$B$35:$B$50,"&gt;="&amp;IF(核心参数输入!$B$101=0,0,28-核心参数输入!$B$101)))),0),0)</f>
        <v>0</v>
      </c>
      <c r="AG51" s="9">
        <f>IF(29&lt;=核心参数输入!$B$9,IF(AND(核心参数输入!$B$100=1,OR(核心参数输入!$B$101=0,29-16&lt;=核心参数输入!$B$101)),MAX(0,AF51-MAX(0,AG13-SUMIFS($AF$35:$AF$50,$B$35:$B$50,"&gt;="&amp;IF(核心参数输入!$B$101=0,0,29-核心参数输入!$B$101)))),0),0)</f>
        <v>0</v>
      </c>
      <c r="AH51" s="9">
        <f>IF(30&lt;=核心参数输入!$B$9,IF(AND(核心参数输入!$B$100=1,OR(核心参数输入!$B$101=0,30-16&lt;=核心参数输入!$B$101)),MAX(0,AG51-MAX(0,AH13-SUMIFS($AG$35:$AG$50,$B$35:$B$50,"&gt;="&amp;IF(核心参数输入!$B$101=0,0,30-核心参数输入!$B$101)))),0),0)</f>
        <v>0</v>
      </c>
    </row>
    <row r="52" spans="1:34" ht="21" customHeight="1">
      <c r="A52" s="8" t="s">
        <v>603</v>
      </c>
      <c r="B52" s="8">
        <v>17</v>
      </c>
      <c r="C52" s="8"/>
      <c r="D52" s="9">
        <f>IF(0&lt;=核心参数输入!$B$9,0,0)</f>
        <v>0</v>
      </c>
      <c r="E52" s="9">
        <f>IF(1&lt;=核心参数输入!$B$9,0,0)</f>
        <v>0</v>
      </c>
      <c r="F52" s="9">
        <f>IF(2&lt;=核心参数输入!$B$9,0,0)</f>
        <v>0</v>
      </c>
      <c r="G52" s="9">
        <f>IF(3&lt;=核心参数输入!$B$9,0,0)</f>
        <v>0</v>
      </c>
      <c r="H52" s="9">
        <f>IF(4&lt;=核心参数输入!$B$9,0,0)</f>
        <v>0</v>
      </c>
      <c r="I52" s="9">
        <f>IF(5&lt;=核心参数输入!$B$9,0,0)</f>
        <v>0</v>
      </c>
      <c r="J52" s="9">
        <f>IF(6&lt;=核心参数输入!$B$9,0,0)</f>
        <v>0</v>
      </c>
      <c r="K52" s="9">
        <f>IF(7&lt;=核心参数输入!$B$9,0,0)</f>
        <v>0</v>
      </c>
      <c r="L52" s="9">
        <f>IF(8&lt;=核心参数输入!$B$9,0,0)</f>
        <v>0</v>
      </c>
      <c r="M52" s="9">
        <f>IF(9&lt;=核心参数输入!$B$9,0,0)</f>
        <v>0</v>
      </c>
      <c r="N52" s="9">
        <f>IF(10&lt;=核心参数输入!$B$9,0,0)</f>
        <v>0</v>
      </c>
      <c r="O52" s="9">
        <f>IF(11&lt;=核心参数输入!$B$9,0,0)</f>
        <v>0</v>
      </c>
      <c r="P52" s="9">
        <f>IF(12&lt;=核心参数输入!$B$9,0,0)</f>
        <v>0</v>
      </c>
      <c r="Q52" s="9">
        <f>IF(13&lt;=核心参数输入!$B$9,0,0)</f>
        <v>0</v>
      </c>
      <c r="R52" s="9">
        <f>IF(14&lt;=核心参数输入!$B$9,0,0)</f>
        <v>0</v>
      </c>
      <c r="S52" s="9">
        <f>IF(15&lt;=核心参数输入!$B$9,0,0)</f>
        <v>0</v>
      </c>
      <c r="T52" s="9">
        <f>IF(16&lt;=核心参数输入!$B$9,0,0)</f>
        <v>0</v>
      </c>
      <c r="U52" s="9">
        <f>IF(17&lt;=核心参数输入!$B$9,U16,0)</f>
        <v>0</v>
      </c>
      <c r="V52" s="9">
        <f>IF(18&lt;=核心参数输入!$B$9,IF(AND(核心参数输入!$B$100=1,OR(核心参数输入!$B$101=0,18-17&lt;=核心参数输入!$B$101)),MAX(0,U52-MAX(0,V13-SUMIFS($U$35:$U$51,$B$35:$B$51,"&gt;="&amp;IF(核心参数输入!$B$101=0,0,18-核心参数输入!$B$101)))),0),0)</f>
        <v>0</v>
      </c>
      <c r="W52" s="9">
        <f>IF(19&lt;=核心参数输入!$B$9,IF(AND(核心参数输入!$B$100=1,OR(核心参数输入!$B$101=0,19-17&lt;=核心参数输入!$B$101)),MAX(0,V52-MAX(0,W13-SUMIFS($V$35:$V$51,$B$35:$B$51,"&gt;="&amp;IF(核心参数输入!$B$101=0,0,19-核心参数输入!$B$101)))),0),0)</f>
        <v>0</v>
      </c>
      <c r="X52" s="9">
        <f>IF(20&lt;=核心参数输入!$B$9,IF(AND(核心参数输入!$B$100=1,OR(核心参数输入!$B$101=0,20-17&lt;=核心参数输入!$B$101)),MAX(0,W52-MAX(0,X13-SUMIFS($W$35:$W$51,$B$35:$B$51,"&gt;="&amp;IF(核心参数输入!$B$101=0,0,20-核心参数输入!$B$101)))),0),0)</f>
        <v>0</v>
      </c>
      <c r="Y52" s="9">
        <f>IF(21&lt;=核心参数输入!$B$9,IF(AND(核心参数输入!$B$100=1,OR(核心参数输入!$B$101=0,21-17&lt;=核心参数输入!$B$101)),MAX(0,X52-MAX(0,Y13-SUMIFS($X$35:$X$51,$B$35:$B$51,"&gt;="&amp;IF(核心参数输入!$B$101=0,0,21-核心参数输入!$B$101)))),0),0)</f>
        <v>0</v>
      </c>
      <c r="Z52" s="9">
        <f>IF(22&lt;=核心参数输入!$B$9,IF(AND(核心参数输入!$B$100=1,OR(核心参数输入!$B$101=0,22-17&lt;=核心参数输入!$B$101)),MAX(0,Y52-MAX(0,Z13-SUMIFS($Y$35:$Y$51,$B$35:$B$51,"&gt;="&amp;IF(核心参数输入!$B$101=0,0,22-核心参数输入!$B$101)))),0),0)</f>
        <v>0</v>
      </c>
      <c r="AA52" s="9">
        <f>IF(23&lt;=核心参数输入!$B$9,IF(AND(核心参数输入!$B$100=1,OR(核心参数输入!$B$101=0,23-17&lt;=核心参数输入!$B$101)),MAX(0,Z52-MAX(0,AA13-SUMIFS($Z$35:$Z$51,$B$35:$B$51,"&gt;="&amp;IF(核心参数输入!$B$101=0,0,23-核心参数输入!$B$101)))),0),0)</f>
        <v>0</v>
      </c>
      <c r="AB52" s="9">
        <f>IF(24&lt;=核心参数输入!$B$9,IF(AND(核心参数输入!$B$100=1,OR(核心参数输入!$B$101=0,24-17&lt;=核心参数输入!$B$101)),MAX(0,AA52-MAX(0,AB13-SUMIFS($AA$35:$AA$51,$B$35:$B$51,"&gt;="&amp;IF(核心参数输入!$B$101=0,0,24-核心参数输入!$B$101)))),0),0)</f>
        <v>0</v>
      </c>
      <c r="AC52" s="9">
        <f>IF(25&lt;=核心参数输入!$B$9,IF(AND(核心参数输入!$B$100=1,OR(核心参数输入!$B$101=0,25-17&lt;=核心参数输入!$B$101)),MAX(0,AB52-MAX(0,AC13-SUMIFS($AB$35:$AB$51,$B$35:$B$51,"&gt;="&amp;IF(核心参数输入!$B$101=0,0,25-核心参数输入!$B$101)))),0),0)</f>
        <v>0</v>
      </c>
      <c r="AD52" s="9">
        <f>IF(26&lt;=核心参数输入!$B$9,IF(AND(核心参数输入!$B$100=1,OR(核心参数输入!$B$101=0,26-17&lt;=核心参数输入!$B$101)),MAX(0,AC52-MAX(0,AD13-SUMIFS($AC$35:$AC$51,$B$35:$B$51,"&gt;="&amp;IF(核心参数输入!$B$101=0,0,26-核心参数输入!$B$101)))),0),0)</f>
        <v>0</v>
      </c>
      <c r="AE52" s="9">
        <f>IF(27&lt;=核心参数输入!$B$9,IF(AND(核心参数输入!$B$100=1,OR(核心参数输入!$B$101=0,27-17&lt;=核心参数输入!$B$101)),MAX(0,AD52-MAX(0,AE13-SUMIFS($AD$35:$AD$51,$B$35:$B$51,"&gt;="&amp;IF(核心参数输入!$B$101=0,0,27-核心参数输入!$B$101)))),0),0)</f>
        <v>0</v>
      </c>
      <c r="AF52" s="9">
        <f>IF(28&lt;=核心参数输入!$B$9,IF(AND(核心参数输入!$B$100=1,OR(核心参数输入!$B$101=0,28-17&lt;=核心参数输入!$B$101)),MAX(0,AE52-MAX(0,AF13-SUMIFS($AE$35:$AE$51,$B$35:$B$51,"&gt;="&amp;IF(核心参数输入!$B$101=0,0,28-核心参数输入!$B$101)))),0),0)</f>
        <v>0</v>
      </c>
      <c r="AG52" s="9">
        <f>IF(29&lt;=核心参数输入!$B$9,IF(AND(核心参数输入!$B$100=1,OR(核心参数输入!$B$101=0,29-17&lt;=核心参数输入!$B$101)),MAX(0,AF52-MAX(0,AG13-SUMIFS($AF$35:$AF$51,$B$35:$B$51,"&gt;="&amp;IF(核心参数输入!$B$101=0,0,29-核心参数输入!$B$101)))),0),0)</f>
        <v>0</v>
      </c>
      <c r="AH52" s="9">
        <f>IF(30&lt;=核心参数输入!$B$9,IF(AND(核心参数输入!$B$100=1,OR(核心参数输入!$B$101=0,30-17&lt;=核心参数输入!$B$101)),MAX(0,AG52-MAX(0,AH13-SUMIFS($AG$35:$AG$51,$B$35:$B$51,"&gt;="&amp;IF(核心参数输入!$B$101=0,0,30-核心参数输入!$B$101)))),0),0)</f>
        <v>0</v>
      </c>
    </row>
    <row r="53" spans="1:34" ht="21" customHeight="1">
      <c r="A53" s="8" t="s">
        <v>604</v>
      </c>
      <c r="B53" s="8">
        <v>18</v>
      </c>
      <c r="C53" s="8"/>
      <c r="D53" s="9">
        <f>IF(0&lt;=核心参数输入!$B$9,0,0)</f>
        <v>0</v>
      </c>
      <c r="E53" s="9">
        <f>IF(1&lt;=核心参数输入!$B$9,0,0)</f>
        <v>0</v>
      </c>
      <c r="F53" s="9">
        <f>IF(2&lt;=核心参数输入!$B$9,0,0)</f>
        <v>0</v>
      </c>
      <c r="G53" s="9">
        <f>IF(3&lt;=核心参数输入!$B$9,0,0)</f>
        <v>0</v>
      </c>
      <c r="H53" s="9">
        <f>IF(4&lt;=核心参数输入!$B$9,0,0)</f>
        <v>0</v>
      </c>
      <c r="I53" s="9">
        <f>IF(5&lt;=核心参数输入!$B$9,0,0)</f>
        <v>0</v>
      </c>
      <c r="J53" s="9">
        <f>IF(6&lt;=核心参数输入!$B$9,0,0)</f>
        <v>0</v>
      </c>
      <c r="K53" s="9">
        <f>IF(7&lt;=核心参数输入!$B$9,0,0)</f>
        <v>0</v>
      </c>
      <c r="L53" s="9">
        <f>IF(8&lt;=核心参数输入!$B$9,0,0)</f>
        <v>0</v>
      </c>
      <c r="M53" s="9">
        <f>IF(9&lt;=核心参数输入!$B$9,0,0)</f>
        <v>0</v>
      </c>
      <c r="N53" s="9">
        <f>IF(10&lt;=核心参数输入!$B$9,0,0)</f>
        <v>0</v>
      </c>
      <c r="O53" s="9">
        <f>IF(11&lt;=核心参数输入!$B$9,0,0)</f>
        <v>0</v>
      </c>
      <c r="P53" s="9">
        <f>IF(12&lt;=核心参数输入!$B$9,0,0)</f>
        <v>0</v>
      </c>
      <c r="Q53" s="9">
        <f>IF(13&lt;=核心参数输入!$B$9,0,0)</f>
        <v>0</v>
      </c>
      <c r="R53" s="9">
        <f>IF(14&lt;=核心参数输入!$B$9,0,0)</f>
        <v>0</v>
      </c>
      <c r="S53" s="9">
        <f>IF(15&lt;=核心参数输入!$B$9,0,0)</f>
        <v>0</v>
      </c>
      <c r="T53" s="9">
        <f>IF(16&lt;=核心参数输入!$B$9,0,0)</f>
        <v>0</v>
      </c>
      <c r="U53" s="9">
        <f>IF(17&lt;=核心参数输入!$B$9,0,0)</f>
        <v>0</v>
      </c>
      <c r="V53" s="9">
        <f>IF(18&lt;=核心参数输入!$B$9,V16,0)</f>
        <v>0</v>
      </c>
      <c r="W53" s="9">
        <f>IF(19&lt;=核心参数输入!$B$9,IF(AND(核心参数输入!$B$100=1,OR(核心参数输入!$B$101=0,19-18&lt;=核心参数输入!$B$101)),MAX(0,V53-MAX(0,W13-SUMIFS($V$35:$V$52,$B$35:$B$52,"&gt;="&amp;IF(核心参数输入!$B$101=0,0,19-核心参数输入!$B$101)))),0),0)</f>
        <v>0</v>
      </c>
      <c r="X53" s="9">
        <f>IF(20&lt;=核心参数输入!$B$9,IF(AND(核心参数输入!$B$100=1,OR(核心参数输入!$B$101=0,20-18&lt;=核心参数输入!$B$101)),MAX(0,W53-MAX(0,X13-SUMIFS($W$35:$W$52,$B$35:$B$52,"&gt;="&amp;IF(核心参数输入!$B$101=0,0,20-核心参数输入!$B$101)))),0),0)</f>
        <v>0</v>
      </c>
      <c r="Y53" s="9">
        <f>IF(21&lt;=核心参数输入!$B$9,IF(AND(核心参数输入!$B$100=1,OR(核心参数输入!$B$101=0,21-18&lt;=核心参数输入!$B$101)),MAX(0,X53-MAX(0,Y13-SUMIFS($X$35:$X$52,$B$35:$B$52,"&gt;="&amp;IF(核心参数输入!$B$101=0,0,21-核心参数输入!$B$101)))),0),0)</f>
        <v>0</v>
      </c>
      <c r="Z53" s="9">
        <f>IF(22&lt;=核心参数输入!$B$9,IF(AND(核心参数输入!$B$100=1,OR(核心参数输入!$B$101=0,22-18&lt;=核心参数输入!$B$101)),MAX(0,Y53-MAX(0,Z13-SUMIFS($Y$35:$Y$52,$B$35:$B$52,"&gt;="&amp;IF(核心参数输入!$B$101=0,0,22-核心参数输入!$B$101)))),0),0)</f>
        <v>0</v>
      </c>
      <c r="AA53" s="9">
        <f>IF(23&lt;=核心参数输入!$B$9,IF(AND(核心参数输入!$B$100=1,OR(核心参数输入!$B$101=0,23-18&lt;=核心参数输入!$B$101)),MAX(0,Z53-MAX(0,AA13-SUMIFS($Z$35:$Z$52,$B$35:$B$52,"&gt;="&amp;IF(核心参数输入!$B$101=0,0,23-核心参数输入!$B$101)))),0),0)</f>
        <v>0</v>
      </c>
      <c r="AB53" s="9">
        <f>IF(24&lt;=核心参数输入!$B$9,IF(AND(核心参数输入!$B$100=1,OR(核心参数输入!$B$101=0,24-18&lt;=核心参数输入!$B$101)),MAX(0,AA53-MAX(0,AB13-SUMIFS($AA$35:$AA$52,$B$35:$B$52,"&gt;="&amp;IF(核心参数输入!$B$101=0,0,24-核心参数输入!$B$101)))),0),0)</f>
        <v>0</v>
      </c>
      <c r="AC53" s="9">
        <f>IF(25&lt;=核心参数输入!$B$9,IF(AND(核心参数输入!$B$100=1,OR(核心参数输入!$B$101=0,25-18&lt;=核心参数输入!$B$101)),MAX(0,AB53-MAX(0,AC13-SUMIFS($AB$35:$AB$52,$B$35:$B$52,"&gt;="&amp;IF(核心参数输入!$B$101=0,0,25-核心参数输入!$B$101)))),0),0)</f>
        <v>0</v>
      </c>
      <c r="AD53" s="9">
        <f>IF(26&lt;=核心参数输入!$B$9,IF(AND(核心参数输入!$B$100=1,OR(核心参数输入!$B$101=0,26-18&lt;=核心参数输入!$B$101)),MAX(0,AC53-MAX(0,AD13-SUMIFS($AC$35:$AC$52,$B$35:$B$52,"&gt;="&amp;IF(核心参数输入!$B$101=0,0,26-核心参数输入!$B$101)))),0),0)</f>
        <v>0</v>
      </c>
      <c r="AE53" s="9">
        <f>IF(27&lt;=核心参数输入!$B$9,IF(AND(核心参数输入!$B$100=1,OR(核心参数输入!$B$101=0,27-18&lt;=核心参数输入!$B$101)),MAX(0,AD53-MAX(0,AE13-SUMIFS($AD$35:$AD$52,$B$35:$B$52,"&gt;="&amp;IF(核心参数输入!$B$101=0,0,27-核心参数输入!$B$101)))),0),0)</f>
        <v>0</v>
      </c>
      <c r="AF53" s="9">
        <f>IF(28&lt;=核心参数输入!$B$9,IF(AND(核心参数输入!$B$100=1,OR(核心参数输入!$B$101=0,28-18&lt;=核心参数输入!$B$101)),MAX(0,AE53-MAX(0,AF13-SUMIFS($AE$35:$AE$52,$B$35:$B$52,"&gt;="&amp;IF(核心参数输入!$B$101=0,0,28-核心参数输入!$B$101)))),0),0)</f>
        <v>0</v>
      </c>
      <c r="AG53" s="9">
        <f>IF(29&lt;=核心参数输入!$B$9,IF(AND(核心参数输入!$B$100=1,OR(核心参数输入!$B$101=0,29-18&lt;=核心参数输入!$B$101)),MAX(0,AF53-MAX(0,AG13-SUMIFS($AF$35:$AF$52,$B$35:$B$52,"&gt;="&amp;IF(核心参数输入!$B$101=0,0,29-核心参数输入!$B$101)))),0),0)</f>
        <v>0</v>
      </c>
      <c r="AH53" s="9">
        <f>IF(30&lt;=核心参数输入!$B$9,IF(AND(核心参数输入!$B$100=1,OR(核心参数输入!$B$101=0,30-18&lt;=核心参数输入!$B$101)),MAX(0,AG53-MAX(0,AH13-SUMIFS($AG$35:$AG$52,$B$35:$B$52,"&gt;="&amp;IF(核心参数输入!$B$101=0,0,30-核心参数输入!$B$101)))),0),0)</f>
        <v>0</v>
      </c>
    </row>
    <row r="54" spans="1:34" ht="21" customHeight="1">
      <c r="A54" s="8" t="s">
        <v>605</v>
      </c>
      <c r="B54" s="8">
        <v>19</v>
      </c>
      <c r="C54" s="8"/>
      <c r="D54" s="9">
        <f>IF(0&lt;=核心参数输入!$B$9,0,0)</f>
        <v>0</v>
      </c>
      <c r="E54" s="9">
        <f>IF(1&lt;=核心参数输入!$B$9,0,0)</f>
        <v>0</v>
      </c>
      <c r="F54" s="9">
        <f>IF(2&lt;=核心参数输入!$B$9,0,0)</f>
        <v>0</v>
      </c>
      <c r="G54" s="9">
        <f>IF(3&lt;=核心参数输入!$B$9,0,0)</f>
        <v>0</v>
      </c>
      <c r="H54" s="9">
        <f>IF(4&lt;=核心参数输入!$B$9,0,0)</f>
        <v>0</v>
      </c>
      <c r="I54" s="9">
        <f>IF(5&lt;=核心参数输入!$B$9,0,0)</f>
        <v>0</v>
      </c>
      <c r="J54" s="9">
        <f>IF(6&lt;=核心参数输入!$B$9,0,0)</f>
        <v>0</v>
      </c>
      <c r="K54" s="9">
        <f>IF(7&lt;=核心参数输入!$B$9,0,0)</f>
        <v>0</v>
      </c>
      <c r="L54" s="9">
        <f>IF(8&lt;=核心参数输入!$B$9,0,0)</f>
        <v>0</v>
      </c>
      <c r="M54" s="9">
        <f>IF(9&lt;=核心参数输入!$B$9,0,0)</f>
        <v>0</v>
      </c>
      <c r="N54" s="9">
        <f>IF(10&lt;=核心参数输入!$B$9,0,0)</f>
        <v>0</v>
      </c>
      <c r="O54" s="9">
        <f>IF(11&lt;=核心参数输入!$B$9,0,0)</f>
        <v>0</v>
      </c>
      <c r="P54" s="9">
        <f>IF(12&lt;=核心参数输入!$B$9,0,0)</f>
        <v>0</v>
      </c>
      <c r="Q54" s="9">
        <f>IF(13&lt;=核心参数输入!$B$9,0,0)</f>
        <v>0</v>
      </c>
      <c r="R54" s="9">
        <f>IF(14&lt;=核心参数输入!$B$9,0,0)</f>
        <v>0</v>
      </c>
      <c r="S54" s="9">
        <f>IF(15&lt;=核心参数输入!$B$9,0,0)</f>
        <v>0</v>
      </c>
      <c r="T54" s="9">
        <f>IF(16&lt;=核心参数输入!$B$9,0,0)</f>
        <v>0</v>
      </c>
      <c r="U54" s="9">
        <f>IF(17&lt;=核心参数输入!$B$9,0,0)</f>
        <v>0</v>
      </c>
      <c r="V54" s="9">
        <f>IF(18&lt;=核心参数输入!$B$9,0,0)</f>
        <v>0</v>
      </c>
      <c r="W54" s="9">
        <f>IF(19&lt;=核心参数输入!$B$9,W16,0)</f>
        <v>0</v>
      </c>
      <c r="X54" s="9">
        <f>IF(20&lt;=核心参数输入!$B$9,IF(AND(核心参数输入!$B$100=1,OR(核心参数输入!$B$101=0,20-19&lt;=核心参数输入!$B$101)),MAX(0,W54-MAX(0,X13-SUMIFS($W$35:$W$53,$B$35:$B$53,"&gt;="&amp;IF(核心参数输入!$B$101=0,0,20-核心参数输入!$B$101)))),0),0)</f>
        <v>0</v>
      </c>
      <c r="Y54" s="9">
        <f>IF(21&lt;=核心参数输入!$B$9,IF(AND(核心参数输入!$B$100=1,OR(核心参数输入!$B$101=0,21-19&lt;=核心参数输入!$B$101)),MAX(0,X54-MAX(0,Y13-SUMIFS($X$35:$X$53,$B$35:$B$53,"&gt;="&amp;IF(核心参数输入!$B$101=0,0,21-核心参数输入!$B$101)))),0),0)</f>
        <v>0</v>
      </c>
      <c r="Z54" s="9">
        <f>IF(22&lt;=核心参数输入!$B$9,IF(AND(核心参数输入!$B$100=1,OR(核心参数输入!$B$101=0,22-19&lt;=核心参数输入!$B$101)),MAX(0,Y54-MAX(0,Z13-SUMIFS($Y$35:$Y$53,$B$35:$B$53,"&gt;="&amp;IF(核心参数输入!$B$101=0,0,22-核心参数输入!$B$101)))),0),0)</f>
        <v>0</v>
      </c>
      <c r="AA54" s="9">
        <f>IF(23&lt;=核心参数输入!$B$9,IF(AND(核心参数输入!$B$100=1,OR(核心参数输入!$B$101=0,23-19&lt;=核心参数输入!$B$101)),MAX(0,Z54-MAX(0,AA13-SUMIFS($Z$35:$Z$53,$B$35:$B$53,"&gt;="&amp;IF(核心参数输入!$B$101=0,0,23-核心参数输入!$B$101)))),0),0)</f>
        <v>0</v>
      </c>
      <c r="AB54" s="9">
        <f>IF(24&lt;=核心参数输入!$B$9,IF(AND(核心参数输入!$B$100=1,OR(核心参数输入!$B$101=0,24-19&lt;=核心参数输入!$B$101)),MAX(0,AA54-MAX(0,AB13-SUMIFS($AA$35:$AA$53,$B$35:$B$53,"&gt;="&amp;IF(核心参数输入!$B$101=0,0,24-核心参数输入!$B$101)))),0),0)</f>
        <v>0</v>
      </c>
      <c r="AC54" s="9">
        <f>IF(25&lt;=核心参数输入!$B$9,IF(AND(核心参数输入!$B$100=1,OR(核心参数输入!$B$101=0,25-19&lt;=核心参数输入!$B$101)),MAX(0,AB54-MAX(0,AC13-SUMIFS($AB$35:$AB$53,$B$35:$B$53,"&gt;="&amp;IF(核心参数输入!$B$101=0,0,25-核心参数输入!$B$101)))),0),0)</f>
        <v>0</v>
      </c>
      <c r="AD54" s="9">
        <f>IF(26&lt;=核心参数输入!$B$9,IF(AND(核心参数输入!$B$100=1,OR(核心参数输入!$B$101=0,26-19&lt;=核心参数输入!$B$101)),MAX(0,AC54-MAX(0,AD13-SUMIFS($AC$35:$AC$53,$B$35:$B$53,"&gt;="&amp;IF(核心参数输入!$B$101=0,0,26-核心参数输入!$B$101)))),0),0)</f>
        <v>0</v>
      </c>
      <c r="AE54" s="9">
        <f>IF(27&lt;=核心参数输入!$B$9,IF(AND(核心参数输入!$B$100=1,OR(核心参数输入!$B$101=0,27-19&lt;=核心参数输入!$B$101)),MAX(0,AD54-MAX(0,AE13-SUMIFS($AD$35:$AD$53,$B$35:$B$53,"&gt;="&amp;IF(核心参数输入!$B$101=0,0,27-核心参数输入!$B$101)))),0),0)</f>
        <v>0</v>
      </c>
      <c r="AF54" s="9">
        <f>IF(28&lt;=核心参数输入!$B$9,IF(AND(核心参数输入!$B$100=1,OR(核心参数输入!$B$101=0,28-19&lt;=核心参数输入!$B$101)),MAX(0,AE54-MAX(0,AF13-SUMIFS($AE$35:$AE$53,$B$35:$B$53,"&gt;="&amp;IF(核心参数输入!$B$101=0,0,28-核心参数输入!$B$101)))),0),0)</f>
        <v>0</v>
      </c>
      <c r="AG54" s="9">
        <f>IF(29&lt;=核心参数输入!$B$9,IF(AND(核心参数输入!$B$100=1,OR(核心参数输入!$B$101=0,29-19&lt;=核心参数输入!$B$101)),MAX(0,AF54-MAX(0,AG13-SUMIFS($AF$35:$AF$53,$B$35:$B$53,"&gt;="&amp;IF(核心参数输入!$B$101=0,0,29-核心参数输入!$B$101)))),0),0)</f>
        <v>0</v>
      </c>
      <c r="AH54" s="9">
        <f>IF(30&lt;=核心参数输入!$B$9,IF(AND(核心参数输入!$B$100=1,OR(核心参数输入!$B$101=0,30-19&lt;=核心参数输入!$B$101)),MAX(0,AG54-MAX(0,AH13-SUMIFS($AG$35:$AG$53,$B$35:$B$53,"&gt;="&amp;IF(核心参数输入!$B$101=0,0,30-核心参数输入!$B$101)))),0),0)</f>
        <v>0</v>
      </c>
    </row>
    <row r="55" spans="1:34" ht="21" customHeight="1">
      <c r="A55" s="8" t="s">
        <v>606</v>
      </c>
      <c r="B55" s="8">
        <v>20</v>
      </c>
      <c r="C55" s="8"/>
      <c r="D55" s="9">
        <f>IF(0&lt;=核心参数输入!$B$9,0,0)</f>
        <v>0</v>
      </c>
      <c r="E55" s="9">
        <f>IF(1&lt;=核心参数输入!$B$9,0,0)</f>
        <v>0</v>
      </c>
      <c r="F55" s="9">
        <f>IF(2&lt;=核心参数输入!$B$9,0,0)</f>
        <v>0</v>
      </c>
      <c r="G55" s="9">
        <f>IF(3&lt;=核心参数输入!$B$9,0,0)</f>
        <v>0</v>
      </c>
      <c r="H55" s="9">
        <f>IF(4&lt;=核心参数输入!$B$9,0,0)</f>
        <v>0</v>
      </c>
      <c r="I55" s="9">
        <f>IF(5&lt;=核心参数输入!$B$9,0,0)</f>
        <v>0</v>
      </c>
      <c r="J55" s="9">
        <f>IF(6&lt;=核心参数输入!$B$9,0,0)</f>
        <v>0</v>
      </c>
      <c r="K55" s="9">
        <f>IF(7&lt;=核心参数输入!$B$9,0,0)</f>
        <v>0</v>
      </c>
      <c r="L55" s="9">
        <f>IF(8&lt;=核心参数输入!$B$9,0,0)</f>
        <v>0</v>
      </c>
      <c r="M55" s="9">
        <f>IF(9&lt;=核心参数输入!$B$9,0,0)</f>
        <v>0</v>
      </c>
      <c r="N55" s="9">
        <f>IF(10&lt;=核心参数输入!$B$9,0,0)</f>
        <v>0</v>
      </c>
      <c r="O55" s="9">
        <f>IF(11&lt;=核心参数输入!$B$9,0,0)</f>
        <v>0</v>
      </c>
      <c r="P55" s="9">
        <f>IF(12&lt;=核心参数输入!$B$9,0,0)</f>
        <v>0</v>
      </c>
      <c r="Q55" s="9">
        <f>IF(13&lt;=核心参数输入!$B$9,0,0)</f>
        <v>0</v>
      </c>
      <c r="R55" s="9">
        <f>IF(14&lt;=核心参数输入!$B$9,0,0)</f>
        <v>0</v>
      </c>
      <c r="S55" s="9">
        <f>IF(15&lt;=核心参数输入!$B$9,0,0)</f>
        <v>0</v>
      </c>
      <c r="T55" s="9">
        <f>IF(16&lt;=核心参数输入!$B$9,0,0)</f>
        <v>0</v>
      </c>
      <c r="U55" s="9">
        <f>IF(17&lt;=核心参数输入!$B$9,0,0)</f>
        <v>0</v>
      </c>
      <c r="V55" s="9">
        <f>IF(18&lt;=核心参数输入!$B$9,0,0)</f>
        <v>0</v>
      </c>
      <c r="W55" s="9">
        <f>IF(19&lt;=核心参数输入!$B$9,0,0)</f>
        <v>0</v>
      </c>
      <c r="X55" s="9">
        <f>IF(20&lt;=核心参数输入!$B$9,X16,0)</f>
        <v>0</v>
      </c>
      <c r="Y55" s="9">
        <f>IF(21&lt;=核心参数输入!$B$9,IF(AND(核心参数输入!$B$100=1,OR(核心参数输入!$B$101=0,21-20&lt;=核心参数输入!$B$101)),MAX(0,X55-MAX(0,Y13-SUMIFS($X$35:$X$54,$B$35:$B$54,"&gt;="&amp;IF(核心参数输入!$B$101=0,0,21-核心参数输入!$B$101)))),0),0)</f>
        <v>0</v>
      </c>
      <c r="Z55" s="9">
        <f>IF(22&lt;=核心参数输入!$B$9,IF(AND(核心参数输入!$B$100=1,OR(核心参数输入!$B$101=0,22-20&lt;=核心参数输入!$B$101)),MAX(0,Y55-MAX(0,Z13-SUMIFS($Y$35:$Y$54,$B$35:$B$54,"&gt;="&amp;IF(核心参数输入!$B$101=0,0,22-核心参数输入!$B$101)))),0),0)</f>
        <v>0</v>
      </c>
      <c r="AA55" s="9">
        <f>IF(23&lt;=核心参数输入!$B$9,IF(AND(核心参数输入!$B$100=1,OR(核心参数输入!$B$101=0,23-20&lt;=核心参数输入!$B$101)),MAX(0,Z55-MAX(0,AA13-SUMIFS($Z$35:$Z$54,$B$35:$B$54,"&gt;="&amp;IF(核心参数输入!$B$101=0,0,23-核心参数输入!$B$101)))),0),0)</f>
        <v>0</v>
      </c>
      <c r="AB55" s="9">
        <f>IF(24&lt;=核心参数输入!$B$9,IF(AND(核心参数输入!$B$100=1,OR(核心参数输入!$B$101=0,24-20&lt;=核心参数输入!$B$101)),MAX(0,AA55-MAX(0,AB13-SUMIFS($AA$35:$AA$54,$B$35:$B$54,"&gt;="&amp;IF(核心参数输入!$B$101=0,0,24-核心参数输入!$B$101)))),0),0)</f>
        <v>0</v>
      </c>
      <c r="AC55" s="9">
        <f>IF(25&lt;=核心参数输入!$B$9,IF(AND(核心参数输入!$B$100=1,OR(核心参数输入!$B$101=0,25-20&lt;=核心参数输入!$B$101)),MAX(0,AB55-MAX(0,AC13-SUMIFS($AB$35:$AB$54,$B$35:$B$54,"&gt;="&amp;IF(核心参数输入!$B$101=0,0,25-核心参数输入!$B$101)))),0),0)</f>
        <v>0</v>
      </c>
      <c r="AD55" s="9">
        <f>IF(26&lt;=核心参数输入!$B$9,IF(AND(核心参数输入!$B$100=1,OR(核心参数输入!$B$101=0,26-20&lt;=核心参数输入!$B$101)),MAX(0,AC55-MAX(0,AD13-SUMIFS($AC$35:$AC$54,$B$35:$B$54,"&gt;="&amp;IF(核心参数输入!$B$101=0,0,26-核心参数输入!$B$101)))),0),0)</f>
        <v>0</v>
      </c>
      <c r="AE55" s="9">
        <f>IF(27&lt;=核心参数输入!$B$9,IF(AND(核心参数输入!$B$100=1,OR(核心参数输入!$B$101=0,27-20&lt;=核心参数输入!$B$101)),MAX(0,AD55-MAX(0,AE13-SUMIFS($AD$35:$AD$54,$B$35:$B$54,"&gt;="&amp;IF(核心参数输入!$B$101=0,0,27-核心参数输入!$B$101)))),0),0)</f>
        <v>0</v>
      </c>
      <c r="AF55" s="9">
        <f>IF(28&lt;=核心参数输入!$B$9,IF(AND(核心参数输入!$B$100=1,OR(核心参数输入!$B$101=0,28-20&lt;=核心参数输入!$B$101)),MAX(0,AE55-MAX(0,AF13-SUMIFS($AE$35:$AE$54,$B$35:$B$54,"&gt;="&amp;IF(核心参数输入!$B$101=0,0,28-核心参数输入!$B$101)))),0),0)</f>
        <v>0</v>
      </c>
      <c r="AG55" s="9">
        <f>IF(29&lt;=核心参数输入!$B$9,IF(AND(核心参数输入!$B$100=1,OR(核心参数输入!$B$101=0,29-20&lt;=核心参数输入!$B$101)),MAX(0,AF55-MAX(0,AG13-SUMIFS($AF$35:$AF$54,$B$35:$B$54,"&gt;="&amp;IF(核心参数输入!$B$101=0,0,29-核心参数输入!$B$101)))),0),0)</f>
        <v>0</v>
      </c>
      <c r="AH55" s="9">
        <f>IF(30&lt;=核心参数输入!$B$9,IF(AND(核心参数输入!$B$100=1,OR(核心参数输入!$B$101=0,30-20&lt;=核心参数输入!$B$101)),MAX(0,AG55-MAX(0,AH13-SUMIFS($AG$35:$AG$54,$B$35:$B$54,"&gt;="&amp;IF(核心参数输入!$B$101=0,0,30-核心参数输入!$B$101)))),0),0)</f>
        <v>0</v>
      </c>
    </row>
    <row r="56" spans="1:34" ht="21" customHeight="1">
      <c r="A56" s="8" t="s">
        <v>607</v>
      </c>
      <c r="B56" s="8">
        <v>21</v>
      </c>
      <c r="C56" s="8"/>
      <c r="D56" s="9">
        <f>IF(0&lt;=核心参数输入!$B$9,0,0)</f>
        <v>0</v>
      </c>
      <c r="E56" s="9">
        <f>IF(1&lt;=核心参数输入!$B$9,0,0)</f>
        <v>0</v>
      </c>
      <c r="F56" s="9">
        <f>IF(2&lt;=核心参数输入!$B$9,0,0)</f>
        <v>0</v>
      </c>
      <c r="G56" s="9">
        <f>IF(3&lt;=核心参数输入!$B$9,0,0)</f>
        <v>0</v>
      </c>
      <c r="H56" s="9">
        <f>IF(4&lt;=核心参数输入!$B$9,0,0)</f>
        <v>0</v>
      </c>
      <c r="I56" s="9">
        <f>IF(5&lt;=核心参数输入!$B$9,0,0)</f>
        <v>0</v>
      </c>
      <c r="J56" s="9">
        <f>IF(6&lt;=核心参数输入!$B$9,0,0)</f>
        <v>0</v>
      </c>
      <c r="K56" s="9">
        <f>IF(7&lt;=核心参数输入!$B$9,0,0)</f>
        <v>0</v>
      </c>
      <c r="L56" s="9">
        <f>IF(8&lt;=核心参数输入!$B$9,0,0)</f>
        <v>0</v>
      </c>
      <c r="M56" s="9">
        <f>IF(9&lt;=核心参数输入!$B$9,0,0)</f>
        <v>0</v>
      </c>
      <c r="N56" s="9">
        <f>IF(10&lt;=核心参数输入!$B$9,0,0)</f>
        <v>0</v>
      </c>
      <c r="O56" s="9">
        <f>IF(11&lt;=核心参数输入!$B$9,0,0)</f>
        <v>0</v>
      </c>
      <c r="P56" s="9">
        <f>IF(12&lt;=核心参数输入!$B$9,0,0)</f>
        <v>0</v>
      </c>
      <c r="Q56" s="9">
        <f>IF(13&lt;=核心参数输入!$B$9,0,0)</f>
        <v>0</v>
      </c>
      <c r="R56" s="9">
        <f>IF(14&lt;=核心参数输入!$B$9,0,0)</f>
        <v>0</v>
      </c>
      <c r="S56" s="9">
        <f>IF(15&lt;=核心参数输入!$B$9,0,0)</f>
        <v>0</v>
      </c>
      <c r="T56" s="9">
        <f>IF(16&lt;=核心参数输入!$B$9,0,0)</f>
        <v>0</v>
      </c>
      <c r="U56" s="9">
        <f>IF(17&lt;=核心参数输入!$B$9,0,0)</f>
        <v>0</v>
      </c>
      <c r="V56" s="9">
        <f>IF(18&lt;=核心参数输入!$B$9,0,0)</f>
        <v>0</v>
      </c>
      <c r="W56" s="9">
        <f>IF(19&lt;=核心参数输入!$B$9,0,0)</f>
        <v>0</v>
      </c>
      <c r="X56" s="9">
        <f>IF(20&lt;=核心参数输入!$B$9,0,0)</f>
        <v>0</v>
      </c>
      <c r="Y56" s="9">
        <f>IF(21&lt;=核心参数输入!$B$9,Y16,0)</f>
        <v>0</v>
      </c>
      <c r="Z56" s="9">
        <f>IF(22&lt;=核心参数输入!$B$9,IF(AND(核心参数输入!$B$100=1,OR(核心参数输入!$B$101=0,22-21&lt;=核心参数输入!$B$101)),MAX(0,Y56-MAX(0,Z13-SUMIFS($Y$35:$Y$55,$B$35:$B$55,"&gt;="&amp;IF(核心参数输入!$B$101=0,0,22-核心参数输入!$B$101)))),0),0)</f>
        <v>0</v>
      </c>
      <c r="AA56" s="9">
        <f>IF(23&lt;=核心参数输入!$B$9,IF(AND(核心参数输入!$B$100=1,OR(核心参数输入!$B$101=0,23-21&lt;=核心参数输入!$B$101)),MAX(0,Z56-MAX(0,AA13-SUMIFS($Z$35:$Z$55,$B$35:$B$55,"&gt;="&amp;IF(核心参数输入!$B$101=0,0,23-核心参数输入!$B$101)))),0),0)</f>
        <v>0</v>
      </c>
      <c r="AB56" s="9">
        <f>IF(24&lt;=核心参数输入!$B$9,IF(AND(核心参数输入!$B$100=1,OR(核心参数输入!$B$101=0,24-21&lt;=核心参数输入!$B$101)),MAX(0,AA56-MAX(0,AB13-SUMIFS($AA$35:$AA$55,$B$35:$B$55,"&gt;="&amp;IF(核心参数输入!$B$101=0,0,24-核心参数输入!$B$101)))),0),0)</f>
        <v>0</v>
      </c>
      <c r="AC56" s="9">
        <f>IF(25&lt;=核心参数输入!$B$9,IF(AND(核心参数输入!$B$100=1,OR(核心参数输入!$B$101=0,25-21&lt;=核心参数输入!$B$101)),MAX(0,AB56-MAX(0,AC13-SUMIFS($AB$35:$AB$55,$B$35:$B$55,"&gt;="&amp;IF(核心参数输入!$B$101=0,0,25-核心参数输入!$B$101)))),0),0)</f>
        <v>0</v>
      </c>
      <c r="AD56" s="9">
        <f>IF(26&lt;=核心参数输入!$B$9,IF(AND(核心参数输入!$B$100=1,OR(核心参数输入!$B$101=0,26-21&lt;=核心参数输入!$B$101)),MAX(0,AC56-MAX(0,AD13-SUMIFS($AC$35:$AC$55,$B$35:$B$55,"&gt;="&amp;IF(核心参数输入!$B$101=0,0,26-核心参数输入!$B$101)))),0),0)</f>
        <v>0</v>
      </c>
      <c r="AE56" s="9">
        <f>IF(27&lt;=核心参数输入!$B$9,IF(AND(核心参数输入!$B$100=1,OR(核心参数输入!$B$101=0,27-21&lt;=核心参数输入!$B$101)),MAX(0,AD56-MAX(0,AE13-SUMIFS($AD$35:$AD$55,$B$35:$B$55,"&gt;="&amp;IF(核心参数输入!$B$101=0,0,27-核心参数输入!$B$101)))),0),0)</f>
        <v>0</v>
      </c>
      <c r="AF56" s="9">
        <f>IF(28&lt;=核心参数输入!$B$9,IF(AND(核心参数输入!$B$100=1,OR(核心参数输入!$B$101=0,28-21&lt;=核心参数输入!$B$101)),MAX(0,AE56-MAX(0,AF13-SUMIFS($AE$35:$AE$55,$B$35:$B$55,"&gt;="&amp;IF(核心参数输入!$B$101=0,0,28-核心参数输入!$B$101)))),0),0)</f>
        <v>0</v>
      </c>
      <c r="AG56" s="9">
        <f>IF(29&lt;=核心参数输入!$B$9,IF(AND(核心参数输入!$B$100=1,OR(核心参数输入!$B$101=0,29-21&lt;=核心参数输入!$B$101)),MAX(0,AF56-MAX(0,AG13-SUMIFS($AF$35:$AF$55,$B$35:$B$55,"&gt;="&amp;IF(核心参数输入!$B$101=0,0,29-核心参数输入!$B$101)))),0),0)</f>
        <v>0</v>
      </c>
      <c r="AH56" s="9">
        <f>IF(30&lt;=核心参数输入!$B$9,IF(AND(核心参数输入!$B$100=1,OR(核心参数输入!$B$101=0,30-21&lt;=核心参数输入!$B$101)),MAX(0,AG56-MAX(0,AH13-SUMIFS($AG$35:$AG$55,$B$35:$B$55,"&gt;="&amp;IF(核心参数输入!$B$101=0,0,30-核心参数输入!$B$101)))),0),0)</f>
        <v>0</v>
      </c>
    </row>
    <row r="57" spans="1:34" ht="21" customHeight="1">
      <c r="A57" s="8" t="s">
        <v>608</v>
      </c>
      <c r="B57" s="8">
        <v>22</v>
      </c>
      <c r="C57" s="8"/>
      <c r="D57" s="9">
        <f>IF(0&lt;=核心参数输入!$B$9,0,0)</f>
        <v>0</v>
      </c>
      <c r="E57" s="9">
        <f>IF(1&lt;=核心参数输入!$B$9,0,0)</f>
        <v>0</v>
      </c>
      <c r="F57" s="9">
        <f>IF(2&lt;=核心参数输入!$B$9,0,0)</f>
        <v>0</v>
      </c>
      <c r="G57" s="9">
        <f>IF(3&lt;=核心参数输入!$B$9,0,0)</f>
        <v>0</v>
      </c>
      <c r="H57" s="9">
        <f>IF(4&lt;=核心参数输入!$B$9,0,0)</f>
        <v>0</v>
      </c>
      <c r="I57" s="9">
        <f>IF(5&lt;=核心参数输入!$B$9,0,0)</f>
        <v>0</v>
      </c>
      <c r="J57" s="9">
        <f>IF(6&lt;=核心参数输入!$B$9,0,0)</f>
        <v>0</v>
      </c>
      <c r="K57" s="9">
        <f>IF(7&lt;=核心参数输入!$B$9,0,0)</f>
        <v>0</v>
      </c>
      <c r="L57" s="9">
        <f>IF(8&lt;=核心参数输入!$B$9,0,0)</f>
        <v>0</v>
      </c>
      <c r="M57" s="9">
        <f>IF(9&lt;=核心参数输入!$B$9,0,0)</f>
        <v>0</v>
      </c>
      <c r="N57" s="9">
        <f>IF(10&lt;=核心参数输入!$B$9,0,0)</f>
        <v>0</v>
      </c>
      <c r="O57" s="9">
        <f>IF(11&lt;=核心参数输入!$B$9,0,0)</f>
        <v>0</v>
      </c>
      <c r="P57" s="9">
        <f>IF(12&lt;=核心参数输入!$B$9,0,0)</f>
        <v>0</v>
      </c>
      <c r="Q57" s="9">
        <f>IF(13&lt;=核心参数输入!$B$9,0,0)</f>
        <v>0</v>
      </c>
      <c r="R57" s="9">
        <f>IF(14&lt;=核心参数输入!$B$9,0,0)</f>
        <v>0</v>
      </c>
      <c r="S57" s="9">
        <f>IF(15&lt;=核心参数输入!$B$9,0,0)</f>
        <v>0</v>
      </c>
      <c r="T57" s="9">
        <f>IF(16&lt;=核心参数输入!$B$9,0,0)</f>
        <v>0</v>
      </c>
      <c r="U57" s="9">
        <f>IF(17&lt;=核心参数输入!$B$9,0,0)</f>
        <v>0</v>
      </c>
      <c r="V57" s="9">
        <f>IF(18&lt;=核心参数输入!$B$9,0,0)</f>
        <v>0</v>
      </c>
      <c r="W57" s="9">
        <f>IF(19&lt;=核心参数输入!$B$9,0,0)</f>
        <v>0</v>
      </c>
      <c r="X57" s="9">
        <f>IF(20&lt;=核心参数输入!$B$9,0,0)</f>
        <v>0</v>
      </c>
      <c r="Y57" s="9">
        <f>IF(21&lt;=核心参数输入!$B$9,0,0)</f>
        <v>0</v>
      </c>
      <c r="Z57" s="9">
        <f>IF(22&lt;=核心参数输入!$B$9,Z16,0)</f>
        <v>0</v>
      </c>
      <c r="AA57" s="9">
        <f>IF(23&lt;=核心参数输入!$B$9,IF(AND(核心参数输入!$B$100=1,OR(核心参数输入!$B$101=0,23-22&lt;=核心参数输入!$B$101)),MAX(0,Z57-MAX(0,AA13-SUMIFS($Z$35:$Z$56,$B$35:$B$56,"&gt;="&amp;IF(核心参数输入!$B$101=0,0,23-核心参数输入!$B$101)))),0),0)</f>
        <v>0</v>
      </c>
      <c r="AB57" s="9">
        <f>IF(24&lt;=核心参数输入!$B$9,IF(AND(核心参数输入!$B$100=1,OR(核心参数输入!$B$101=0,24-22&lt;=核心参数输入!$B$101)),MAX(0,AA57-MAX(0,AB13-SUMIFS($AA$35:$AA$56,$B$35:$B$56,"&gt;="&amp;IF(核心参数输入!$B$101=0,0,24-核心参数输入!$B$101)))),0),0)</f>
        <v>0</v>
      </c>
      <c r="AC57" s="9">
        <f>IF(25&lt;=核心参数输入!$B$9,IF(AND(核心参数输入!$B$100=1,OR(核心参数输入!$B$101=0,25-22&lt;=核心参数输入!$B$101)),MAX(0,AB57-MAX(0,AC13-SUMIFS($AB$35:$AB$56,$B$35:$B$56,"&gt;="&amp;IF(核心参数输入!$B$101=0,0,25-核心参数输入!$B$101)))),0),0)</f>
        <v>0</v>
      </c>
      <c r="AD57" s="9">
        <f>IF(26&lt;=核心参数输入!$B$9,IF(AND(核心参数输入!$B$100=1,OR(核心参数输入!$B$101=0,26-22&lt;=核心参数输入!$B$101)),MAX(0,AC57-MAX(0,AD13-SUMIFS($AC$35:$AC$56,$B$35:$B$56,"&gt;="&amp;IF(核心参数输入!$B$101=0,0,26-核心参数输入!$B$101)))),0),0)</f>
        <v>0</v>
      </c>
      <c r="AE57" s="9">
        <f>IF(27&lt;=核心参数输入!$B$9,IF(AND(核心参数输入!$B$100=1,OR(核心参数输入!$B$101=0,27-22&lt;=核心参数输入!$B$101)),MAX(0,AD57-MAX(0,AE13-SUMIFS($AD$35:$AD$56,$B$35:$B$56,"&gt;="&amp;IF(核心参数输入!$B$101=0,0,27-核心参数输入!$B$101)))),0),0)</f>
        <v>0</v>
      </c>
      <c r="AF57" s="9">
        <f>IF(28&lt;=核心参数输入!$B$9,IF(AND(核心参数输入!$B$100=1,OR(核心参数输入!$B$101=0,28-22&lt;=核心参数输入!$B$101)),MAX(0,AE57-MAX(0,AF13-SUMIFS($AE$35:$AE$56,$B$35:$B$56,"&gt;="&amp;IF(核心参数输入!$B$101=0,0,28-核心参数输入!$B$101)))),0),0)</f>
        <v>0</v>
      </c>
      <c r="AG57" s="9">
        <f>IF(29&lt;=核心参数输入!$B$9,IF(AND(核心参数输入!$B$100=1,OR(核心参数输入!$B$101=0,29-22&lt;=核心参数输入!$B$101)),MAX(0,AF57-MAX(0,AG13-SUMIFS($AF$35:$AF$56,$B$35:$B$56,"&gt;="&amp;IF(核心参数输入!$B$101=0,0,29-核心参数输入!$B$101)))),0),0)</f>
        <v>0</v>
      </c>
      <c r="AH57" s="9">
        <f>IF(30&lt;=核心参数输入!$B$9,IF(AND(核心参数输入!$B$100=1,OR(核心参数输入!$B$101=0,30-22&lt;=核心参数输入!$B$101)),MAX(0,AG57-MAX(0,AH13-SUMIFS($AG$35:$AG$56,$B$35:$B$56,"&gt;="&amp;IF(核心参数输入!$B$101=0,0,30-核心参数输入!$B$101)))),0),0)</f>
        <v>0</v>
      </c>
    </row>
    <row r="58" spans="1:34" ht="21" customHeight="1">
      <c r="A58" s="8" t="s">
        <v>609</v>
      </c>
      <c r="B58" s="8">
        <v>23</v>
      </c>
      <c r="C58" s="8"/>
      <c r="D58" s="9">
        <f>IF(0&lt;=核心参数输入!$B$9,0,0)</f>
        <v>0</v>
      </c>
      <c r="E58" s="9">
        <f>IF(1&lt;=核心参数输入!$B$9,0,0)</f>
        <v>0</v>
      </c>
      <c r="F58" s="9">
        <f>IF(2&lt;=核心参数输入!$B$9,0,0)</f>
        <v>0</v>
      </c>
      <c r="G58" s="9">
        <f>IF(3&lt;=核心参数输入!$B$9,0,0)</f>
        <v>0</v>
      </c>
      <c r="H58" s="9">
        <f>IF(4&lt;=核心参数输入!$B$9,0,0)</f>
        <v>0</v>
      </c>
      <c r="I58" s="9">
        <f>IF(5&lt;=核心参数输入!$B$9,0,0)</f>
        <v>0</v>
      </c>
      <c r="J58" s="9">
        <f>IF(6&lt;=核心参数输入!$B$9,0,0)</f>
        <v>0</v>
      </c>
      <c r="K58" s="9">
        <f>IF(7&lt;=核心参数输入!$B$9,0,0)</f>
        <v>0</v>
      </c>
      <c r="L58" s="9">
        <f>IF(8&lt;=核心参数输入!$B$9,0,0)</f>
        <v>0</v>
      </c>
      <c r="M58" s="9">
        <f>IF(9&lt;=核心参数输入!$B$9,0,0)</f>
        <v>0</v>
      </c>
      <c r="N58" s="9">
        <f>IF(10&lt;=核心参数输入!$B$9,0,0)</f>
        <v>0</v>
      </c>
      <c r="O58" s="9">
        <f>IF(11&lt;=核心参数输入!$B$9,0,0)</f>
        <v>0</v>
      </c>
      <c r="P58" s="9">
        <f>IF(12&lt;=核心参数输入!$B$9,0,0)</f>
        <v>0</v>
      </c>
      <c r="Q58" s="9">
        <f>IF(13&lt;=核心参数输入!$B$9,0,0)</f>
        <v>0</v>
      </c>
      <c r="R58" s="9">
        <f>IF(14&lt;=核心参数输入!$B$9,0,0)</f>
        <v>0</v>
      </c>
      <c r="S58" s="9">
        <f>IF(15&lt;=核心参数输入!$B$9,0,0)</f>
        <v>0</v>
      </c>
      <c r="T58" s="9">
        <f>IF(16&lt;=核心参数输入!$B$9,0,0)</f>
        <v>0</v>
      </c>
      <c r="U58" s="9">
        <f>IF(17&lt;=核心参数输入!$B$9,0,0)</f>
        <v>0</v>
      </c>
      <c r="V58" s="9">
        <f>IF(18&lt;=核心参数输入!$B$9,0,0)</f>
        <v>0</v>
      </c>
      <c r="W58" s="9">
        <f>IF(19&lt;=核心参数输入!$B$9,0,0)</f>
        <v>0</v>
      </c>
      <c r="X58" s="9">
        <f>IF(20&lt;=核心参数输入!$B$9,0,0)</f>
        <v>0</v>
      </c>
      <c r="Y58" s="9">
        <f>IF(21&lt;=核心参数输入!$B$9,0,0)</f>
        <v>0</v>
      </c>
      <c r="Z58" s="9">
        <f>IF(22&lt;=核心参数输入!$B$9,0,0)</f>
        <v>0</v>
      </c>
      <c r="AA58" s="9">
        <f>IF(23&lt;=核心参数输入!$B$9,AA16,0)</f>
        <v>0</v>
      </c>
      <c r="AB58" s="9">
        <f>IF(24&lt;=核心参数输入!$B$9,IF(AND(核心参数输入!$B$100=1,OR(核心参数输入!$B$101=0,24-23&lt;=核心参数输入!$B$101)),MAX(0,AA58-MAX(0,AB13-SUMIFS($AA$35:$AA$57,$B$35:$B$57,"&gt;="&amp;IF(核心参数输入!$B$101=0,0,24-核心参数输入!$B$101)))),0),0)</f>
        <v>0</v>
      </c>
      <c r="AC58" s="9">
        <f>IF(25&lt;=核心参数输入!$B$9,IF(AND(核心参数输入!$B$100=1,OR(核心参数输入!$B$101=0,25-23&lt;=核心参数输入!$B$101)),MAX(0,AB58-MAX(0,AC13-SUMIFS($AB$35:$AB$57,$B$35:$B$57,"&gt;="&amp;IF(核心参数输入!$B$101=0,0,25-核心参数输入!$B$101)))),0),0)</f>
        <v>0</v>
      </c>
      <c r="AD58" s="9">
        <f>IF(26&lt;=核心参数输入!$B$9,IF(AND(核心参数输入!$B$100=1,OR(核心参数输入!$B$101=0,26-23&lt;=核心参数输入!$B$101)),MAX(0,AC58-MAX(0,AD13-SUMIFS($AC$35:$AC$57,$B$35:$B$57,"&gt;="&amp;IF(核心参数输入!$B$101=0,0,26-核心参数输入!$B$101)))),0),0)</f>
        <v>0</v>
      </c>
      <c r="AE58" s="9">
        <f>IF(27&lt;=核心参数输入!$B$9,IF(AND(核心参数输入!$B$100=1,OR(核心参数输入!$B$101=0,27-23&lt;=核心参数输入!$B$101)),MAX(0,AD58-MAX(0,AE13-SUMIFS($AD$35:$AD$57,$B$35:$B$57,"&gt;="&amp;IF(核心参数输入!$B$101=0,0,27-核心参数输入!$B$101)))),0),0)</f>
        <v>0</v>
      </c>
      <c r="AF58" s="9">
        <f>IF(28&lt;=核心参数输入!$B$9,IF(AND(核心参数输入!$B$100=1,OR(核心参数输入!$B$101=0,28-23&lt;=核心参数输入!$B$101)),MAX(0,AE58-MAX(0,AF13-SUMIFS($AE$35:$AE$57,$B$35:$B$57,"&gt;="&amp;IF(核心参数输入!$B$101=0,0,28-核心参数输入!$B$101)))),0),0)</f>
        <v>0</v>
      </c>
      <c r="AG58" s="9">
        <f>IF(29&lt;=核心参数输入!$B$9,IF(AND(核心参数输入!$B$100=1,OR(核心参数输入!$B$101=0,29-23&lt;=核心参数输入!$B$101)),MAX(0,AF58-MAX(0,AG13-SUMIFS($AF$35:$AF$57,$B$35:$B$57,"&gt;="&amp;IF(核心参数输入!$B$101=0,0,29-核心参数输入!$B$101)))),0),0)</f>
        <v>0</v>
      </c>
      <c r="AH58" s="9">
        <f>IF(30&lt;=核心参数输入!$B$9,IF(AND(核心参数输入!$B$100=1,OR(核心参数输入!$B$101=0,30-23&lt;=核心参数输入!$B$101)),MAX(0,AG58-MAX(0,AH13-SUMIFS($AG$35:$AG$57,$B$35:$B$57,"&gt;="&amp;IF(核心参数输入!$B$101=0,0,30-核心参数输入!$B$101)))),0),0)</f>
        <v>0</v>
      </c>
    </row>
    <row r="59" spans="1:34" ht="21" customHeight="1">
      <c r="A59" s="8" t="s">
        <v>610</v>
      </c>
      <c r="B59" s="8">
        <v>24</v>
      </c>
      <c r="C59" s="8"/>
      <c r="D59" s="9">
        <f>IF(0&lt;=核心参数输入!$B$9,0,0)</f>
        <v>0</v>
      </c>
      <c r="E59" s="9">
        <f>IF(1&lt;=核心参数输入!$B$9,0,0)</f>
        <v>0</v>
      </c>
      <c r="F59" s="9">
        <f>IF(2&lt;=核心参数输入!$B$9,0,0)</f>
        <v>0</v>
      </c>
      <c r="G59" s="9">
        <f>IF(3&lt;=核心参数输入!$B$9,0,0)</f>
        <v>0</v>
      </c>
      <c r="H59" s="9">
        <f>IF(4&lt;=核心参数输入!$B$9,0,0)</f>
        <v>0</v>
      </c>
      <c r="I59" s="9">
        <f>IF(5&lt;=核心参数输入!$B$9,0,0)</f>
        <v>0</v>
      </c>
      <c r="J59" s="9">
        <f>IF(6&lt;=核心参数输入!$B$9,0,0)</f>
        <v>0</v>
      </c>
      <c r="K59" s="9">
        <f>IF(7&lt;=核心参数输入!$B$9,0,0)</f>
        <v>0</v>
      </c>
      <c r="L59" s="9">
        <f>IF(8&lt;=核心参数输入!$B$9,0,0)</f>
        <v>0</v>
      </c>
      <c r="M59" s="9">
        <f>IF(9&lt;=核心参数输入!$B$9,0,0)</f>
        <v>0</v>
      </c>
      <c r="N59" s="9">
        <f>IF(10&lt;=核心参数输入!$B$9,0,0)</f>
        <v>0</v>
      </c>
      <c r="O59" s="9">
        <f>IF(11&lt;=核心参数输入!$B$9,0,0)</f>
        <v>0</v>
      </c>
      <c r="P59" s="9">
        <f>IF(12&lt;=核心参数输入!$B$9,0,0)</f>
        <v>0</v>
      </c>
      <c r="Q59" s="9">
        <f>IF(13&lt;=核心参数输入!$B$9,0,0)</f>
        <v>0</v>
      </c>
      <c r="R59" s="9">
        <f>IF(14&lt;=核心参数输入!$B$9,0,0)</f>
        <v>0</v>
      </c>
      <c r="S59" s="9">
        <f>IF(15&lt;=核心参数输入!$B$9,0,0)</f>
        <v>0</v>
      </c>
      <c r="T59" s="9">
        <f>IF(16&lt;=核心参数输入!$B$9,0,0)</f>
        <v>0</v>
      </c>
      <c r="U59" s="9">
        <f>IF(17&lt;=核心参数输入!$B$9,0,0)</f>
        <v>0</v>
      </c>
      <c r="V59" s="9">
        <f>IF(18&lt;=核心参数输入!$B$9,0,0)</f>
        <v>0</v>
      </c>
      <c r="W59" s="9">
        <f>IF(19&lt;=核心参数输入!$B$9,0,0)</f>
        <v>0</v>
      </c>
      <c r="X59" s="9">
        <f>IF(20&lt;=核心参数输入!$B$9,0,0)</f>
        <v>0</v>
      </c>
      <c r="Y59" s="9">
        <f>IF(21&lt;=核心参数输入!$B$9,0,0)</f>
        <v>0</v>
      </c>
      <c r="Z59" s="9">
        <f>IF(22&lt;=核心参数输入!$B$9,0,0)</f>
        <v>0</v>
      </c>
      <c r="AA59" s="9">
        <f>IF(23&lt;=核心参数输入!$B$9,0,0)</f>
        <v>0</v>
      </c>
      <c r="AB59" s="9">
        <f>IF(24&lt;=核心参数输入!$B$9,AB16,0)</f>
        <v>0</v>
      </c>
      <c r="AC59" s="9">
        <f>IF(25&lt;=核心参数输入!$B$9,IF(AND(核心参数输入!$B$100=1,OR(核心参数输入!$B$101=0,25-24&lt;=核心参数输入!$B$101)),MAX(0,AB59-MAX(0,AC13-SUMIFS($AB$35:$AB$58,$B$35:$B$58,"&gt;="&amp;IF(核心参数输入!$B$101=0,0,25-核心参数输入!$B$101)))),0),0)</f>
        <v>0</v>
      </c>
      <c r="AD59" s="9">
        <f>IF(26&lt;=核心参数输入!$B$9,IF(AND(核心参数输入!$B$100=1,OR(核心参数输入!$B$101=0,26-24&lt;=核心参数输入!$B$101)),MAX(0,AC59-MAX(0,AD13-SUMIFS($AC$35:$AC$58,$B$35:$B$58,"&gt;="&amp;IF(核心参数输入!$B$101=0,0,26-核心参数输入!$B$101)))),0),0)</f>
        <v>0</v>
      </c>
      <c r="AE59" s="9">
        <f>IF(27&lt;=核心参数输入!$B$9,IF(AND(核心参数输入!$B$100=1,OR(核心参数输入!$B$101=0,27-24&lt;=核心参数输入!$B$101)),MAX(0,AD59-MAX(0,AE13-SUMIFS($AD$35:$AD$58,$B$35:$B$58,"&gt;="&amp;IF(核心参数输入!$B$101=0,0,27-核心参数输入!$B$101)))),0),0)</f>
        <v>0</v>
      </c>
      <c r="AF59" s="9">
        <f>IF(28&lt;=核心参数输入!$B$9,IF(AND(核心参数输入!$B$100=1,OR(核心参数输入!$B$101=0,28-24&lt;=核心参数输入!$B$101)),MAX(0,AE59-MAX(0,AF13-SUMIFS($AE$35:$AE$58,$B$35:$B$58,"&gt;="&amp;IF(核心参数输入!$B$101=0,0,28-核心参数输入!$B$101)))),0),0)</f>
        <v>0</v>
      </c>
      <c r="AG59" s="9">
        <f>IF(29&lt;=核心参数输入!$B$9,IF(AND(核心参数输入!$B$100=1,OR(核心参数输入!$B$101=0,29-24&lt;=核心参数输入!$B$101)),MAX(0,AF59-MAX(0,AG13-SUMIFS($AF$35:$AF$58,$B$35:$B$58,"&gt;="&amp;IF(核心参数输入!$B$101=0,0,29-核心参数输入!$B$101)))),0),0)</f>
        <v>0</v>
      </c>
      <c r="AH59" s="9">
        <f>IF(30&lt;=核心参数输入!$B$9,IF(AND(核心参数输入!$B$100=1,OR(核心参数输入!$B$101=0,30-24&lt;=核心参数输入!$B$101)),MAX(0,AG59-MAX(0,AH13-SUMIFS($AG$35:$AG$58,$B$35:$B$58,"&gt;="&amp;IF(核心参数输入!$B$101=0,0,30-核心参数输入!$B$101)))),0),0)</f>
        <v>0</v>
      </c>
    </row>
    <row r="60" spans="1:34" ht="21" customHeight="1">
      <c r="A60" s="8" t="s">
        <v>611</v>
      </c>
      <c r="B60" s="8">
        <v>25</v>
      </c>
      <c r="C60" s="8"/>
      <c r="D60" s="9">
        <f>IF(0&lt;=核心参数输入!$B$9,0,0)</f>
        <v>0</v>
      </c>
      <c r="E60" s="9">
        <f>IF(1&lt;=核心参数输入!$B$9,0,0)</f>
        <v>0</v>
      </c>
      <c r="F60" s="9">
        <f>IF(2&lt;=核心参数输入!$B$9,0,0)</f>
        <v>0</v>
      </c>
      <c r="G60" s="9">
        <f>IF(3&lt;=核心参数输入!$B$9,0,0)</f>
        <v>0</v>
      </c>
      <c r="H60" s="9">
        <f>IF(4&lt;=核心参数输入!$B$9,0,0)</f>
        <v>0</v>
      </c>
      <c r="I60" s="9">
        <f>IF(5&lt;=核心参数输入!$B$9,0,0)</f>
        <v>0</v>
      </c>
      <c r="J60" s="9">
        <f>IF(6&lt;=核心参数输入!$B$9,0,0)</f>
        <v>0</v>
      </c>
      <c r="K60" s="9">
        <f>IF(7&lt;=核心参数输入!$B$9,0,0)</f>
        <v>0</v>
      </c>
      <c r="L60" s="9">
        <f>IF(8&lt;=核心参数输入!$B$9,0,0)</f>
        <v>0</v>
      </c>
      <c r="M60" s="9">
        <f>IF(9&lt;=核心参数输入!$B$9,0,0)</f>
        <v>0</v>
      </c>
      <c r="N60" s="9">
        <f>IF(10&lt;=核心参数输入!$B$9,0,0)</f>
        <v>0</v>
      </c>
      <c r="O60" s="9">
        <f>IF(11&lt;=核心参数输入!$B$9,0,0)</f>
        <v>0</v>
      </c>
      <c r="P60" s="9">
        <f>IF(12&lt;=核心参数输入!$B$9,0,0)</f>
        <v>0</v>
      </c>
      <c r="Q60" s="9">
        <f>IF(13&lt;=核心参数输入!$B$9,0,0)</f>
        <v>0</v>
      </c>
      <c r="R60" s="9">
        <f>IF(14&lt;=核心参数输入!$B$9,0,0)</f>
        <v>0</v>
      </c>
      <c r="S60" s="9">
        <f>IF(15&lt;=核心参数输入!$B$9,0,0)</f>
        <v>0</v>
      </c>
      <c r="T60" s="9">
        <f>IF(16&lt;=核心参数输入!$B$9,0,0)</f>
        <v>0</v>
      </c>
      <c r="U60" s="9">
        <f>IF(17&lt;=核心参数输入!$B$9,0,0)</f>
        <v>0</v>
      </c>
      <c r="V60" s="9">
        <f>IF(18&lt;=核心参数输入!$B$9,0,0)</f>
        <v>0</v>
      </c>
      <c r="W60" s="9">
        <f>IF(19&lt;=核心参数输入!$B$9,0,0)</f>
        <v>0</v>
      </c>
      <c r="X60" s="9">
        <f>IF(20&lt;=核心参数输入!$B$9,0,0)</f>
        <v>0</v>
      </c>
      <c r="Y60" s="9">
        <f>IF(21&lt;=核心参数输入!$B$9,0,0)</f>
        <v>0</v>
      </c>
      <c r="Z60" s="9">
        <f>IF(22&lt;=核心参数输入!$B$9,0,0)</f>
        <v>0</v>
      </c>
      <c r="AA60" s="9">
        <f>IF(23&lt;=核心参数输入!$B$9,0,0)</f>
        <v>0</v>
      </c>
      <c r="AB60" s="9">
        <f>IF(24&lt;=核心参数输入!$B$9,0,0)</f>
        <v>0</v>
      </c>
      <c r="AC60" s="9">
        <f>IF(25&lt;=核心参数输入!$B$9,AC16,0)</f>
        <v>0</v>
      </c>
      <c r="AD60" s="9">
        <f>IF(26&lt;=核心参数输入!$B$9,IF(AND(核心参数输入!$B$100=1,OR(核心参数输入!$B$101=0,26-25&lt;=核心参数输入!$B$101)),MAX(0,AC60-MAX(0,AD13-SUMIFS($AC$35:$AC$59,$B$35:$B$59,"&gt;="&amp;IF(核心参数输入!$B$101=0,0,26-核心参数输入!$B$101)))),0),0)</f>
        <v>0</v>
      </c>
      <c r="AE60" s="9">
        <f>IF(27&lt;=核心参数输入!$B$9,IF(AND(核心参数输入!$B$100=1,OR(核心参数输入!$B$101=0,27-25&lt;=核心参数输入!$B$101)),MAX(0,AD60-MAX(0,AE13-SUMIFS($AD$35:$AD$59,$B$35:$B$59,"&gt;="&amp;IF(核心参数输入!$B$101=0,0,27-核心参数输入!$B$101)))),0),0)</f>
        <v>0</v>
      </c>
      <c r="AF60" s="9">
        <f>IF(28&lt;=核心参数输入!$B$9,IF(AND(核心参数输入!$B$100=1,OR(核心参数输入!$B$101=0,28-25&lt;=核心参数输入!$B$101)),MAX(0,AE60-MAX(0,AF13-SUMIFS($AE$35:$AE$59,$B$35:$B$59,"&gt;="&amp;IF(核心参数输入!$B$101=0,0,28-核心参数输入!$B$101)))),0),0)</f>
        <v>0</v>
      </c>
      <c r="AG60" s="9">
        <f>IF(29&lt;=核心参数输入!$B$9,IF(AND(核心参数输入!$B$100=1,OR(核心参数输入!$B$101=0,29-25&lt;=核心参数输入!$B$101)),MAX(0,AF60-MAX(0,AG13-SUMIFS($AF$35:$AF$59,$B$35:$B$59,"&gt;="&amp;IF(核心参数输入!$B$101=0,0,29-核心参数输入!$B$101)))),0),0)</f>
        <v>0</v>
      </c>
      <c r="AH60" s="9">
        <f>IF(30&lt;=核心参数输入!$B$9,IF(AND(核心参数输入!$B$100=1,OR(核心参数输入!$B$101=0,30-25&lt;=核心参数输入!$B$101)),MAX(0,AG60-MAX(0,AH13-SUMIFS($AG$35:$AG$59,$B$35:$B$59,"&gt;="&amp;IF(核心参数输入!$B$101=0,0,30-核心参数输入!$B$101)))),0),0)</f>
        <v>0</v>
      </c>
    </row>
    <row r="61" spans="1:34" ht="21" customHeight="1">
      <c r="A61" s="8" t="s">
        <v>612</v>
      </c>
      <c r="B61" s="8">
        <v>26</v>
      </c>
      <c r="C61" s="8"/>
      <c r="D61" s="9">
        <f>IF(0&lt;=核心参数输入!$B$9,0,0)</f>
        <v>0</v>
      </c>
      <c r="E61" s="9">
        <f>IF(1&lt;=核心参数输入!$B$9,0,0)</f>
        <v>0</v>
      </c>
      <c r="F61" s="9">
        <f>IF(2&lt;=核心参数输入!$B$9,0,0)</f>
        <v>0</v>
      </c>
      <c r="G61" s="9">
        <f>IF(3&lt;=核心参数输入!$B$9,0,0)</f>
        <v>0</v>
      </c>
      <c r="H61" s="9">
        <f>IF(4&lt;=核心参数输入!$B$9,0,0)</f>
        <v>0</v>
      </c>
      <c r="I61" s="9">
        <f>IF(5&lt;=核心参数输入!$B$9,0,0)</f>
        <v>0</v>
      </c>
      <c r="J61" s="9">
        <f>IF(6&lt;=核心参数输入!$B$9,0,0)</f>
        <v>0</v>
      </c>
      <c r="K61" s="9">
        <f>IF(7&lt;=核心参数输入!$B$9,0,0)</f>
        <v>0</v>
      </c>
      <c r="L61" s="9">
        <f>IF(8&lt;=核心参数输入!$B$9,0,0)</f>
        <v>0</v>
      </c>
      <c r="M61" s="9">
        <f>IF(9&lt;=核心参数输入!$B$9,0,0)</f>
        <v>0</v>
      </c>
      <c r="N61" s="9">
        <f>IF(10&lt;=核心参数输入!$B$9,0,0)</f>
        <v>0</v>
      </c>
      <c r="O61" s="9">
        <f>IF(11&lt;=核心参数输入!$B$9,0,0)</f>
        <v>0</v>
      </c>
      <c r="P61" s="9">
        <f>IF(12&lt;=核心参数输入!$B$9,0,0)</f>
        <v>0</v>
      </c>
      <c r="Q61" s="9">
        <f>IF(13&lt;=核心参数输入!$B$9,0,0)</f>
        <v>0</v>
      </c>
      <c r="R61" s="9">
        <f>IF(14&lt;=核心参数输入!$B$9,0,0)</f>
        <v>0</v>
      </c>
      <c r="S61" s="9">
        <f>IF(15&lt;=核心参数输入!$B$9,0,0)</f>
        <v>0</v>
      </c>
      <c r="T61" s="9">
        <f>IF(16&lt;=核心参数输入!$B$9,0,0)</f>
        <v>0</v>
      </c>
      <c r="U61" s="9">
        <f>IF(17&lt;=核心参数输入!$B$9,0,0)</f>
        <v>0</v>
      </c>
      <c r="V61" s="9">
        <f>IF(18&lt;=核心参数输入!$B$9,0,0)</f>
        <v>0</v>
      </c>
      <c r="W61" s="9">
        <f>IF(19&lt;=核心参数输入!$B$9,0,0)</f>
        <v>0</v>
      </c>
      <c r="X61" s="9">
        <f>IF(20&lt;=核心参数输入!$B$9,0,0)</f>
        <v>0</v>
      </c>
      <c r="Y61" s="9">
        <f>IF(21&lt;=核心参数输入!$B$9,0,0)</f>
        <v>0</v>
      </c>
      <c r="Z61" s="9">
        <f>IF(22&lt;=核心参数输入!$B$9,0,0)</f>
        <v>0</v>
      </c>
      <c r="AA61" s="9">
        <f>IF(23&lt;=核心参数输入!$B$9,0,0)</f>
        <v>0</v>
      </c>
      <c r="AB61" s="9">
        <f>IF(24&lt;=核心参数输入!$B$9,0,0)</f>
        <v>0</v>
      </c>
      <c r="AC61" s="9">
        <f>IF(25&lt;=核心参数输入!$B$9,0,0)</f>
        <v>0</v>
      </c>
      <c r="AD61" s="9">
        <f>IF(26&lt;=核心参数输入!$B$9,AD16,0)</f>
        <v>0</v>
      </c>
      <c r="AE61" s="9">
        <f>IF(27&lt;=核心参数输入!$B$9,IF(AND(核心参数输入!$B$100=1,OR(核心参数输入!$B$101=0,27-26&lt;=核心参数输入!$B$101)),MAX(0,AD61-MAX(0,AE13-SUMIFS($AD$35:$AD$60,$B$35:$B$60,"&gt;="&amp;IF(核心参数输入!$B$101=0,0,27-核心参数输入!$B$101)))),0),0)</f>
        <v>0</v>
      </c>
      <c r="AF61" s="9">
        <f>IF(28&lt;=核心参数输入!$B$9,IF(AND(核心参数输入!$B$100=1,OR(核心参数输入!$B$101=0,28-26&lt;=核心参数输入!$B$101)),MAX(0,AE61-MAX(0,AF13-SUMIFS($AE$35:$AE$60,$B$35:$B$60,"&gt;="&amp;IF(核心参数输入!$B$101=0,0,28-核心参数输入!$B$101)))),0),0)</f>
        <v>0</v>
      </c>
      <c r="AG61" s="9">
        <f>IF(29&lt;=核心参数输入!$B$9,IF(AND(核心参数输入!$B$100=1,OR(核心参数输入!$B$101=0,29-26&lt;=核心参数输入!$B$101)),MAX(0,AF61-MAX(0,AG13-SUMIFS($AF$35:$AF$60,$B$35:$B$60,"&gt;="&amp;IF(核心参数输入!$B$101=0,0,29-核心参数输入!$B$101)))),0),0)</f>
        <v>0</v>
      </c>
      <c r="AH61" s="9">
        <f>IF(30&lt;=核心参数输入!$B$9,IF(AND(核心参数输入!$B$100=1,OR(核心参数输入!$B$101=0,30-26&lt;=核心参数输入!$B$101)),MAX(0,AG61-MAX(0,AH13-SUMIFS($AG$35:$AG$60,$B$35:$B$60,"&gt;="&amp;IF(核心参数输入!$B$101=0,0,30-核心参数输入!$B$101)))),0),0)</f>
        <v>0</v>
      </c>
    </row>
    <row r="62" spans="1:34" ht="21" customHeight="1">
      <c r="A62" s="8" t="s">
        <v>613</v>
      </c>
      <c r="B62" s="8">
        <v>27</v>
      </c>
      <c r="C62" s="8"/>
      <c r="D62" s="9">
        <f>IF(0&lt;=核心参数输入!$B$9,0,0)</f>
        <v>0</v>
      </c>
      <c r="E62" s="9">
        <f>IF(1&lt;=核心参数输入!$B$9,0,0)</f>
        <v>0</v>
      </c>
      <c r="F62" s="9">
        <f>IF(2&lt;=核心参数输入!$B$9,0,0)</f>
        <v>0</v>
      </c>
      <c r="G62" s="9">
        <f>IF(3&lt;=核心参数输入!$B$9,0,0)</f>
        <v>0</v>
      </c>
      <c r="H62" s="9">
        <f>IF(4&lt;=核心参数输入!$B$9,0,0)</f>
        <v>0</v>
      </c>
      <c r="I62" s="9">
        <f>IF(5&lt;=核心参数输入!$B$9,0,0)</f>
        <v>0</v>
      </c>
      <c r="J62" s="9">
        <f>IF(6&lt;=核心参数输入!$B$9,0,0)</f>
        <v>0</v>
      </c>
      <c r="K62" s="9">
        <f>IF(7&lt;=核心参数输入!$B$9,0,0)</f>
        <v>0</v>
      </c>
      <c r="L62" s="9">
        <f>IF(8&lt;=核心参数输入!$B$9,0,0)</f>
        <v>0</v>
      </c>
      <c r="M62" s="9">
        <f>IF(9&lt;=核心参数输入!$B$9,0,0)</f>
        <v>0</v>
      </c>
      <c r="N62" s="9">
        <f>IF(10&lt;=核心参数输入!$B$9,0,0)</f>
        <v>0</v>
      </c>
      <c r="O62" s="9">
        <f>IF(11&lt;=核心参数输入!$B$9,0,0)</f>
        <v>0</v>
      </c>
      <c r="P62" s="9">
        <f>IF(12&lt;=核心参数输入!$B$9,0,0)</f>
        <v>0</v>
      </c>
      <c r="Q62" s="9">
        <f>IF(13&lt;=核心参数输入!$B$9,0,0)</f>
        <v>0</v>
      </c>
      <c r="R62" s="9">
        <f>IF(14&lt;=核心参数输入!$B$9,0,0)</f>
        <v>0</v>
      </c>
      <c r="S62" s="9">
        <f>IF(15&lt;=核心参数输入!$B$9,0,0)</f>
        <v>0</v>
      </c>
      <c r="T62" s="9">
        <f>IF(16&lt;=核心参数输入!$B$9,0,0)</f>
        <v>0</v>
      </c>
      <c r="U62" s="9">
        <f>IF(17&lt;=核心参数输入!$B$9,0,0)</f>
        <v>0</v>
      </c>
      <c r="V62" s="9">
        <f>IF(18&lt;=核心参数输入!$B$9,0,0)</f>
        <v>0</v>
      </c>
      <c r="W62" s="9">
        <f>IF(19&lt;=核心参数输入!$B$9,0,0)</f>
        <v>0</v>
      </c>
      <c r="X62" s="9">
        <f>IF(20&lt;=核心参数输入!$B$9,0,0)</f>
        <v>0</v>
      </c>
      <c r="Y62" s="9">
        <f>IF(21&lt;=核心参数输入!$B$9,0,0)</f>
        <v>0</v>
      </c>
      <c r="Z62" s="9">
        <f>IF(22&lt;=核心参数输入!$B$9,0,0)</f>
        <v>0</v>
      </c>
      <c r="AA62" s="9">
        <f>IF(23&lt;=核心参数输入!$B$9,0,0)</f>
        <v>0</v>
      </c>
      <c r="AB62" s="9">
        <f>IF(24&lt;=核心参数输入!$B$9,0,0)</f>
        <v>0</v>
      </c>
      <c r="AC62" s="9">
        <f>IF(25&lt;=核心参数输入!$B$9,0,0)</f>
        <v>0</v>
      </c>
      <c r="AD62" s="9">
        <f>IF(26&lt;=核心参数输入!$B$9,0,0)</f>
        <v>0</v>
      </c>
      <c r="AE62" s="9">
        <f>IF(27&lt;=核心参数输入!$B$9,AE16,0)</f>
        <v>0</v>
      </c>
      <c r="AF62" s="9">
        <f>IF(28&lt;=核心参数输入!$B$9,IF(AND(核心参数输入!$B$100=1,OR(核心参数输入!$B$101=0,28-27&lt;=核心参数输入!$B$101)),MAX(0,AE62-MAX(0,AF13-SUMIFS($AE$35:$AE$61,$B$35:$B$61,"&gt;="&amp;IF(核心参数输入!$B$101=0,0,28-核心参数输入!$B$101)))),0),0)</f>
        <v>0</v>
      </c>
      <c r="AG62" s="9">
        <f>IF(29&lt;=核心参数输入!$B$9,IF(AND(核心参数输入!$B$100=1,OR(核心参数输入!$B$101=0,29-27&lt;=核心参数输入!$B$101)),MAX(0,AF62-MAX(0,AG13-SUMIFS($AF$35:$AF$61,$B$35:$B$61,"&gt;="&amp;IF(核心参数输入!$B$101=0,0,29-核心参数输入!$B$101)))),0),0)</f>
        <v>0</v>
      </c>
      <c r="AH62" s="9">
        <f>IF(30&lt;=核心参数输入!$B$9,IF(AND(核心参数输入!$B$100=1,OR(核心参数输入!$B$101=0,30-27&lt;=核心参数输入!$B$101)),MAX(0,AG62-MAX(0,AH13-SUMIFS($AG$35:$AG$61,$B$35:$B$61,"&gt;="&amp;IF(核心参数输入!$B$101=0,0,30-核心参数输入!$B$101)))),0),0)</f>
        <v>0</v>
      </c>
    </row>
    <row r="63" spans="1:34" ht="21" customHeight="1">
      <c r="A63" s="8" t="s">
        <v>614</v>
      </c>
      <c r="B63" s="8">
        <v>28</v>
      </c>
      <c r="C63" s="8"/>
      <c r="D63" s="9">
        <f>IF(0&lt;=核心参数输入!$B$9,0,0)</f>
        <v>0</v>
      </c>
      <c r="E63" s="9">
        <f>IF(1&lt;=核心参数输入!$B$9,0,0)</f>
        <v>0</v>
      </c>
      <c r="F63" s="9">
        <f>IF(2&lt;=核心参数输入!$B$9,0,0)</f>
        <v>0</v>
      </c>
      <c r="G63" s="9">
        <f>IF(3&lt;=核心参数输入!$B$9,0,0)</f>
        <v>0</v>
      </c>
      <c r="H63" s="9">
        <f>IF(4&lt;=核心参数输入!$B$9,0,0)</f>
        <v>0</v>
      </c>
      <c r="I63" s="9">
        <f>IF(5&lt;=核心参数输入!$B$9,0,0)</f>
        <v>0</v>
      </c>
      <c r="J63" s="9">
        <f>IF(6&lt;=核心参数输入!$B$9,0,0)</f>
        <v>0</v>
      </c>
      <c r="K63" s="9">
        <f>IF(7&lt;=核心参数输入!$B$9,0,0)</f>
        <v>0</v>
      </c>
      <c r="L63" s="9">
        <f>IF(8&lt;=核心参数输入!$B$9,0,0)</f>
        <v>0</v>
      </c>
      <c r="M63" s="9">
        <f>IF(9&lt;=核心参数输入!$B$9,0,0)</f>
        <v>0</v>
      </c>
      <c r="N63" s="9">
        <f>IF(10&lt;=核心参数输入!$B$9,0,0)</f>
        <v>0</v>
      </c>
      <c r="O63" s="9">
        <f>IF(11&lt;=核心参数输入!$B$9,0,0)</f>
        <v>0</v>
      </c>
      <c r="P63" s="9">
        <f>IF(12&lt;=核心参数输入!$B$9,0,0)</f>
        <v>0</v>
      </c>
      <c r="Q63" s="9">
        <f>IF(13&lt;=核心参数输入!$B$9,0,0)</f>
        <v>0</v>
      </c>
      <c r="R63" s="9">
        <f>IF(14&lt;=核心参数输入!$B$9,0,0)</f>
        <v>0</v>
      </c>
      <c r="S63" s="9">
        <f>IF(15&lt;=核心参数输入!$B$9,0,0)</f>
        <v>0</v>
      </c>
      <c r="T63" s="9">
        <f>IF(16&lt;=核心参数输入!$B$9,0,0)</f>
        <v>0</v>
      </c>
      <c r="U63" s="9">
        <f>IF(17&lt;=核心参数输入!$B$9,0,0)</f>
        <v>0</v>
      </c>
      <c r="V63" s="9">
        <f>IF(18&lt;=核心参数输入!$B$9,0,0)</f>
        <v>0</v>
      </c>
      <c r="W63" s="9">
        <f>IF(19&lt;=核心参数输入!$B$9,0,0)</f>
        <v>0</v>
      </c>
      <c r="X63" s="9">
        <f>IF(20&lt;=核心参数输入!$B$9,0,0)</f>
        <v>0</v>
      </c>
      <c r="Y63" s="9">
        <f>IF(21&lt;=核心参数输入!$B$9,0,0)</f>
        <v>0</v>
      </c>
      <c r="Z63" s="9">
        <f>IF(22&lt;=核心参数输入!$B$9,0,0)</f>
        <v>0</v>
      </c>
      <c r="AA63" s="9">
        <f>IF(23&lt;=核心参数输入!$B$9,0,0)</f>
        <v>0</v>
      </c>
      <c r="AB63" s="9">
        <f>IF(24&lt;=核心参数输入!$B$9,0,0)</f>
        <v>0</v>
      </c>
      <c r="AC63" s="9">
        <f>IF(25&lt;=核心参数输入!$B$9,0,0)</f>
        <v>0</v>
      </c>
      <c r="AD63" s="9">
        <f>IF(26&lt;=核心参数输入!$B$9,0,0)</f>
        <v>0</v>
      </c>
      <c r="AE63" s="9">
        <f>IF(27&lt;=核心参数输入!$B$9,0,0)</f>
        <v>0</v>
      </c>
      <c r="AF63" s="9">
        <f>IF(28&lt;=核心参数输入!$B$9,AF16,0)</f>
        <v>0</v>
      </c>
      <c r="AG63" s="9">
        <f>IF(29&lt;=核心参数输入!$B$9,IF(AND(核心参数输入!$B$100=1,OR(核心参数输入!$B$101=0,29-28&lt;=核心参数输入!$B$101)),MAX(0,AF63-MAX(0,AG13-SUMIFS($AF$35:$AF$62,$B$35:$B$62,"&gt;="&amp;IF(核心参数输入!$B$101=0,0,29-核心参数输入!$B$101)))),0),0)</f>
        <v>0</v>
      </c>
      <c r="AH63" s="9">
        <f>IF(30&lt;=核心参数输入!$B$9,IF(AND(核心参数输入!$B$100=1,OR(核心参数输入!$B$101=0,30-28&lt;=核心参数输入!$B$101)),MAX(0,AG63-MAX(0,AH13-SUMIFS($AG$35:$AG$62,$B$35:$B$62,"&gt;="&amp;IF(核心参数输入!$B$101=0,0,30-核心参数输入!$B$101)))),0),0)</f>
        <v>0</v>
      </c>
    </row>
    <row r="64" spans="1:34" ht="21" customHeight="1">
      <c r="A64" s="8" t="s">
        <v>615</v>
      </c>
      <c r="B64" s="8">
        <v>29</v>
      </c>
      <c r="C64" s="8"/>
      <c r="D64" s="9">
        <f>IF(0&lt;=核心参数输入!$B$9,0,0)</f>
        <v>0</v>
      </c>
      <c r="E64" s="9">
        <f>IF(1&lt;=核心参数输入!$B$9,0,0)</f>
        <v>0</v>
      </c>
      <c r="F64" s="9">
        <f>IF(2&lt;=核心参数输入!$B$9,0,0)</f>
        <v>0</v>
      </c>
      <c r="G64" s="9">
        <f>IF(3&lt;=核心参数输入!$B$9,0,0)</f>
        <v>0</v>
      </c>
      <c r="H64" s="9">
        <f>IF(4&lt;=核心参数输入!$B$9,0,0)</f>
        <v>0</v>
      </c>
      <c r="I64" s="9">
        <f>IF(5&lt;=核心参数输入!$B$9,0,0)</f>
        <v>0</v>
      </c>
      <c r="J64" s="9">
        <f>IF(6&lt;=核心参数输入!$B$9,0,0)</f>
        <v>0</v>
      </c>
      <c r="K64" s="9">
        <f>IF(7&lt;=核心参数输入!$B$9,0,0)</f>
        <v>0</v>
      </c>
      <c r="L64" s="9">
        <f>IF(8&lt;=核心参数输入!$B$9,0,0)</f>
        <v>0</v>
      </c>
      <c r="M64" s="9">
        <f>IF(9&lt;=核心参数输入!$B$9,0,0)</f>
        <v>0</v>
      </c>
      <c r="N64" s="9">
        <f>IF(10&lt;=核心参数输入!$B$9,0,0)</f>
        <v>0</v>
      </c>
      <c r="O64" s="9">
        <f>IF(11&lt;=核心参数输入!$B$9,0,0)</f>
        <v>0</v>
      </c>
      <c r="P64" s="9">
        <f>IF(12&lt;=核心参数输入!$B$9,0,0)</f>
        <v>0</v>
      </c>
      <c r="Q64" s="9">
        <f>IF(13&lt;=核心参数输入!$B$9,0,0)</f>
        <v>0</v>
      </c>
      <c r="R64" s="9">
        <f>IF(14&lt;=核心参数输入!$B$9,0,0)</f>
        <v>0</v>
      </c>
      <c r="S64" s="9">
        <f>IF(15&lt;=核心参数输入!$B$9,0,0)</f>
        <v>0</v>
      </c>
      <c r="T64" s="9">
        <f>IF(16&lt;=核心参数输入!$B$9,0,0)</f>
        <v>0</v>
      </c>
      <c r="U64" s="9">
        <f>IF(17&lt;=核心参数输入!$B$9,0,0)</f>
        <v>0</v>
      </c>
      <c r="V64" s="9">
        <f>IF(18&lt;=核心参数输入!$B$9,0,0)</f>
        <v>0</v>
      </c>
      <c r="W64" s="9">
        <f>IF(19&lt;=核心参数输入!$B$9,0,0)</f>
        <v>0</v>
      </c>
      <c r="X64" s="9">
        <f>IF(20&lt;=核心参数输入!$B$9,0,0)</f>
        <v>0</v>
      </c>
      <c r="Y64" s="9">
        <f>IF(21&lt;=核心参数输入!$B$9,0,0)</f>
        <v>0</v>
      </c>
      <c r="Z64" s="9">
        <f>IF(22&lt;=核心参数输入!$B$9,0,0)</f>
        <v>0</v>
      </c>
      <c r="AA64" s="9">
        <f>IF(23&lt;=核心参数输入!$B$9,0,0)</f>
        <v>0</v>
      </c>
      <c r="AB64" s="9">
        <f>IF(24&lt;=核心参数输入!$B$9,0,0)</f>
        <v>0</v>
      </c>
      <c r="AC64" s="9">
        <f>IF(25&lt;=核心参数输入!$B$9,0,0)</f>
        <v>0</v>
      </c>
      <c r="AD64" s="9">
        <f>IF(26&lt;=核心参数输入!$B$9,0,0)</f>
        <v>0</v>
      </c>
      <c r="AE64" s="9">
        <f>IF(27&lt;=核心参数输入!$B$9,0,0)</f>
        <v>0</v>
      </c>
      <c r="AF64" s="9">
        <f>IF(28&lt;=核心参数输入!$B$9,0,0)</f>
        <v>0</v>
      </c>
      <c r="AG64" s="9">
        <f>IF(29&lt;=核心参数输入!$B$9,AG16,0)</f>
        <v>0</v>
      </c>
      <c r="AH64" s="9">
        <f>IF(30&lt;=核心参数输入!$B$9,IF(AND(核心参数输入!$B$100=1,OR(核心参数输入!$B$101=0,30-29&lt;=核心参数输入!$B$101)),MAX(0,AG64-MAX(0,AH13-SUMIFS($AG$35:$AG$63,$B$35:$B$63,"&gt;="&amp;IF(核心参数输入!$B$101=0,0,30-核心参数输入!$B$101)))),0),0)</f>
        <v>0</v>
      </c>
    </row>
    <row r="65" spans="1:34" ht="21" customHeight="1">
      <c r="A65" s="8" t="s">
        <v>616</v>
      </c>
      <c r="B65" s="8">
        <v>30</v>
      </c>
      <c r="C65" s="8"/>
      <c r="D65" s="9">
        <f>IF(0&lt;=核心参数输入!$B$9,0,0)</f>
        <v>0</v>
      </c>
      <c r="E65" s="9">
        <f>IF(1&lt;=核心参数输入!$B$9,0,0)</f>
        <v>0</v>
      </c>
      <c r="F65" s="9">
        <f>IF(2&lt;=核心参数输入!$B$9,0,0)</f>
        <v>0</v>
      </c>
      <c r="G65" s="9">
        <f>IF(3&lt;=核心参数输入!$B$9,0,0)</f>
        <v>0</v>
      </c>
      <c r="H65" s="9">
        <f>IF(4&lt;=核心参数输入!$B$9,0,0)</f>
        <v>0</v>
      </c>
      <c r="I65" s="9">
        <f>IF(5&lt;=核心参数输入!$B$9,0,0)</f>
        <v>0</v>
      </c>
      <c r="J65" s="9">
        <f>IF(6&lt;=核心参数输入!$B$9,0,0)</f>
        <v>0</v>
      </c>
      <c r="K65" s="9">
        <f>IF(7&lt;=核心参数输入!$B$9,0,0)</f>
        <v>0</v>
      </c>
      <c r="L65" s="9">
        <f>IF(8&lt;=核心参数输入!$B$9,0,0)</f>
        <v>0</v>
      </c>
      <c r="M65" s="9">
        <f>IF(9&lt;=核心参数输入!$B$9,0,0)</f>
        <v>0</v>
      </c>
      <c r="N65" s="9">
        <f>IF(10&lt;=核心参数输入!$B$9,0,0)</f>
        <v>0</v>
      </c>
      <c r="O65" s="9">
        <f>IF(11&lt;=核心参数输入!$B$9,0,0)</f>
        <v>0</v>
      </c>
      <c r="P65" s="9">
        <f>IF(12&lt;=核心参数输入!$B$9,0,0)</f>
        <v>0</v>
      </c>
      <c r="Q65" s="9">
        <f>IF(13&lt;=核心参数输入!$B$9,0,0)</f>
        <v>0</v>
      </c>
      <c r="R65" s="9">
        <f>IF(14&lt;=核心参数输入!$B$9,0,0)</f>
        <v>0</v>
      </c>
      <c r="S65" s="9">
        <f>IF(15&lt;=核心参数输入!$B$9,0,0)</f>
        <v>0</v>
      </c>
      <c r="T65" s="9">
        <f>IF(16&lt;=核心参数输入!$B$9,0,0)</f>
        <v>0</v>
      </c>
      <c r="U65" s="9">
        <f>IF(17&lt;=核心参数输入!$B$9,0,0)</f>
        <v>0</v>
      </c>
      <c r="V65" s="9">
        <f>IF(18&lt;=核心参数输入!$B$9,0,0)</f>
        <v>0</v>
      </c>
      <c r="W65" s="9">
        <f>IF(19&lt;=核心参数输入!$B$9,0,0)</f>
        <v>0</v>
      </c>
      <c r="X65" s="9">
        <f>IF(20&lt;=核心参数输入!$B$9,0,0)</f>
        <v>0</v>
      </c>
      <c r="Y65" s="9">
        <f>IF(21&lt;=核心参数输入!$B$9,0,0)</f>
        <v>0</v>
      </c>
      <c r="Z65" s="9">
        <f>IF(22&lt;=核心参数输入!$B$9,0,0)</f>
        <v>0</v>
      </c>
      <c r="AA65" s="9">
        <f>IF(23&lt;=核心参数输入!$B$9,0,0)</f>
        <v>0</v>
      </c>
      <c r="AB65" s="9">
        <f>IF(24&lt;=核心参数输入!$B$9,0,0)</f>
        <v>0</v>
      </c>
      <c r="AC65" s="9">
        <f>IF(25&lt;=核心参数输入!$B$9,0,0)</f>
        <v>0</v>
      </c>
      <c r="AD65" s="9">
        <f>IF(26&lt;=核心参数输入!$B$9,0,0)</f>
        <v>0</v>
      </c>
      <c r="AE65" s="9">
        <f>IF(27&lt;=核心参数输入!$B$9,0,0)</f>
        <v>0</v>
      </c>
      <c r="AF65" s="9">
        <f>IF(28&lt;=核心参数输入!$B$9,0,0)</f>
        <v>0</v>
      </c>
      <c r="AG65" s="9">
        <f>IF(29&lt;=核心参数输入!$B$9,0,0)</f>
        <v>0</v>
      </c>
      <c r="AH65" s="9">
        <f>IF(30&lt;=核心参数输入!$B$9,AH16,0)</f>
        <v>0</v>
      </c>
    </row>
    <row r="66" spans="1:34" ht="21" customHeight="1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 spans="1:34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 spans="1:34" ht="21" customHeight="1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 spans="1:34" ht="21" customHeight="1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 spans="1:34" ht="21" customHeight="1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 spans="1:34" ht="21" customHeight="1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 spans="1:34" ht="21" customHeight="1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 spans="1:34" ht="21" customHeight="1">
      <c r="A73" s="8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1:34" ht="21" customHeight="1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 spans="1:34" ht="21" customHeight="1">
      <c r="A75" s="8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 spans="1:34" ht="21" customHeight="1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 spans="1:34" ht="21" customHeight="1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1:34" ht="21" customHeight="1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1:34" ht="21" customHeight="1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1:34" ht="21" customHeight="1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1:34" ht="21" customHeight="1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1:34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1:34" ht="24" customHeight="1">
      <c r="A83" s="23" t="s">
        <v>617</v>
      </c>
      <c r="B83" s="23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4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1:34" ht="21" customHeight="1">
      <c r="A85" s="8" t="s">
        <v>574</v>
      </c>
      <c r="B85" s="8" t="s">
        <v>39</v>
      </c>
      <c r="C85" s="8"/>
      <c r="D85" s="9">
        <f>IF(0&lt;=核心参数输入!$B$9,SUMIFS(季度经营税费!$D$47:$DT$47,季度经营税费!$D$6:$DT$6,0),0)</f>
        <v>0</v>
      </c>
      <c r="E85" s="9">
        <f>IF(1&lt;=核心参数输入!$B$9,SUMIFS(季度经营税费!$D$47:$DT$47,季度经营税费!$D$6:$DT$6,1),0)</f>
        <v>0</v>
      </c>
      <c r="F85" s="9">
        <f>IF(2&lt;=核心参数输入!$B$9,SUMIFS(季度经营税费!$D$47:$DT$47,季度经营税费!$D$6:$DT$6,2),0)</f>
        <v>0</v>
      </c>
      <c r="G85" s="9">
        <f>IF(3&lt;=核心参数输入!$B$9,SUMIFS(季度经营税费!$D$47:$DT$47,季度经营税费!$D$6:$DT$6,3),0)</f>
        <v>0</v>
      </c>
      <c r="H85" s="9">
        <f>IF(4&lt;=核心参数输入!$B$9,SUMIFS(季度经营税费!$D$47:$DT$47,季度经营税费!$D$6:$DT$6,4),0)</f>
        <v>248.87054981250122</v>
      </c>
      <c r="I85" s="9">
        <f>IF(5&lt;=核心参数输入!$B$9,SUMIFS(季度经营税费!$D$47:$DT$47,季度经营税费!$D$6:$DT$6,5),0)</f>
        <v>1939.5756364016872</v>
      </c>
      <c r="J85" s="9">
        <f>IF(6&lt;=核心参数输入!$B$9,SUMIFS(季度经营税费!$D$47:$DT$47,季度经营税费!$D$6:$DT$6,6),0)</f>
        <v>1583.003956658592</v>
      </c>
      <c r="K85" s="9">
        <f>IF(7&lt;=核心参数输入!$B$9,SUMIFS(季度经营税费!$D$47:$DT$47,季度经营税费!$D$6:$DT$6,7),0)</f>
        <v>-613.76954094021517</v>
      </c>
      <c r="L85" s="9">
        <f>IF(8&lt;=核心参数输入!$B$9,SUMIFS(季度经营税费!$D$47:$DT$47,季度经营税费!$D$6:$DT$6,8),0)</f>
        <v>-352.39783176133324</v>
      </c>
      <c r="M85" s="9">
        <f>IF(9&lt;=核心参数输入!$B$9,SUMIFS(季度经营税费!$D$47:$DT$47,季度经营税费!$D$6:$DT$6,9),0)</f>
        <v>-153.36110574995826</v>
      </c>
      <c r="N85" s="9">
        <f>IF(10&lt;=核心参数输入!$B$9,SUMIFS(季度经营税费!$D$47:$DT$47,季度经营税费!$D$6:$DT$6,10),0)</f>
        <v>43.240493958992133</v>
      </c>
      <c r="O85" s="9">
        <f>IF(11&lt;=核心参数输入!$B$9,SUMIFS(季度经营税费!$D$47:$DT$47,季度经营税费!$D$6:$DT$6,11),0)</f>
        <v>217.55799523948087</v>
      </c>
      <c r="P85" s="9">
        <f>IF(12&lt;=核心参数输入!$B$9,SUMIFS(季度经营税费!$D$47:$DT$47,季度经营税费!$D$6:$DT$6,12),0)</f>
        <v>234.59397416659891</v>
      </c>
      <c r="Q85" s="9">
        <f>IF(13&lt;=核心参数输入!$B$9,SUMIFS(季度经营税费!$D$47:$DT$47,季度经营税费!$D$6:$DT$6,13),0)</f>
        <v>251.85103220759456</v>
      </c>
      <c r="R85" s="9">
        <f>IF(14&lt;=核心参数输入!$B$9,SUMIFS(季度经营税费!$D$47:$DT$47,季度经营税费!$D$6:$DT$6,14),0)</f>
        <v>269.33179633777439</v>
      </c>
      <c r="S85" s="9">
        <f>IF(15&lt;=核心参数输入!$B$9,SUMIFS(季度经营税费!$D$47:$DT$47,季度经营税费!$D$6:$DT$6,15),0)</f>
        <v>287.03891915284896</v>
      </c>
      <c r="T85" s="9">
        <f>IF(16&lt;=核心参数输入!$B$9,SUMIFS(季度经营税费!$D$47:$DT$47,季度经营税费!$D$6:$DT$6,16),0)</f>
        <v>304.97507897754923</v>
      </c>
      <c r="U85" s="9">
        <f>IF(17&lt;=核心参数输入!$B$9,SUMIFS(季度经营税费!$D$47:$DT$47,季度经营税费!$D$6:$DT$6,17),0)</f>
        <v>323.14297997036863</v>
      </c>
      <c r="V85" s="9">
        <f>IF(18&lt;=核心参数输入!$B$9,SUMIFS(季度经营税费!$D$47:$DT$47,季度经营税费!$D$6:$DT$6,18),0)</f>
        <v>341.54535222424335</v>
      </c>
      <c r="W85" s="9">
        <f>IF(19&lt;=核心参数输入!$B$9,SUMIFS(季度经营税费!$D$47:$DT$47,季度经营税费!$D$6:$DT$6,19),0)</f>
        <v>360.18495186301186</v>
      </c>
      <c r="X85" s="9">
        <f>IF(20&lt;=核心参数输入!$B$9,SUMIFS(季度经营税费!$D$47:$DT$47,季度经营税费!$D$6:$DT$6,20),0)</f>
        <v>379.06456113347036</v>
      </c>
      <c r="Y85" s="9">
        <f>IF(21&lt;=核心参数输入!$B$9,SUMIFS(季度经营税费!$D$47:$DT$47,季度经营税费!$D$6:$DT$6,21),0)</f>
        <v>0</v>
      </c>
      <c r="Z85" s="9">
        <f>IF(22&lt;=核心参数输入!$B$9,SUMIFS(季度经营税费!$D$47:$DT$47,季度经营税费!$D$6:$DT$6,22),0)</f>
        <v>0</v>
      </c>
      <c r="AA85" s="9">
        <f>IF(23&lt;=核心参数输入!$B$9,SUMIFS(季度经营税费!$D$47:$DT$47,季度经营税费!$D$6:$DT$6,23),0)</f>
        <v>0</v>
      </c>
      <c r="AB85" s="9">
        <f>IF(24&lt;=核心参数输入!$B$9,SUMIFS(季度经营税费!$D$47:$DT$47,季度经营税费!$D$6:$DT$6,24),0)</f>
        <v>0</v>
      </c>
      <c r="AC85" s="9">
        <f>IF(25&lt;=核心参数输入!$B$9,SUMIFS(季度经营税费!$D$47:$DT$47,季度经营税费!$D$6:$DT$6,25),0)</f>
        <v>0</v>
      </c>
      <c r="AD85" s="9">
        <f>IF(26&lt;=核心参数输入!$B$9,SUMIFS(季度经营税费!$D$47:$DT$47,季度经营税费!$D$6:$DT$6,26),0)</f>
        <v>0</v>
      </c>
      <c r="AE85" s="9">
        <f>IF(27&lt;=核心参数输入!$B$9,SUMIFS(季度经营税费!$D$47:$DT$47,季度经营税费!$D$6:$DT$6,27),0)</f>
        <v>0</v>
      </c>
      <c r="AF85" s="9">
        <f>IF(28&lt;=核心参数输入!$B$9,SUMIFS(季度经营税费!$D$47:$DT$47,季度经营税费!$D$6:$DT$6,28),0)</f>
        <v>0</v>
      </c>
      <c r="AG85" s="9">
        <f>IF(29&lt;=核心参数输入!$B$9,SUMIFS(季度经营税费!$D$47:$DT$47,季度经营税费!$D$6:$DT$6,29),0)</f>
        <v>0</v>
      </c>
      <c r="AH85" s="9">
        <f>IF(30&lt;=核心参数输入!$B$9,SUMIFS(季度经营税费!$D$47:$DT$47,季度经营税费!$D$6:$DT$6,30),0)</f>
        <v>0</v>
      </c>
    </row>
    <row r="86" spans="1:34" ht="21" customHeight="1">
      <c r="A86" s="8" t="s">
        <v>575</v>
      </c>
      <c r="B86" s="8" t="s">
        <v>39</v>
      </c>
      <c r="C86" s="8"/>
      <c r="D86" s="9">
        <f>IF(0&lt;=核心参数输入!$B$9,SUMIFS(季度经营税费!$D$61:$DT$61,季度经营税费!$D$6:$DT$6,0),0)</f>
        <v>0</v>
      </c>
      <c r="E86" s="9">
        <f>IF(1&lt;=核心参数输入!$B$9,SUMIFS(季度经营税费!$D$61:$DT$61,季度经营税费!$D$6:$DT$6,1),0)</f>
        <v>0</v>
      </c>
      <c r="F86" s="9">
        <f>IF(2&lt;=核心参数输入!$B$9,SUMIFS(季度经营税费!$D$61:$DT$61,季度经营税费!$D$6:$DT$6,2),0)</f>
        <v>0</v>
      </c>
      <c r="G86" s="9">
        <f>IF(3&lt;=核心参数输入!$B$9,SUMIFS(季度经营税费!$D$61:$DT$61,季度经营税费!$D$6:$DT$6,3),0)</f>
        <v>0</v>
      </c>
      <c r="H86" s="9">
        <f>IF(4&lt;=核心参数输入!$B$9,SUMIFS(季度经营税费!$D$61:$DT$61,季度经营税费!$D$6:$DT$6,4),0)</f>
        <v>0</v>
      </c>
      <c r="I86" s="9">
        <f>IF(5&lt;=核心参数输入!$B$9,SUMIFS(季度经营税费!$D$61:$DT$61,季度经营税费!$D$6:$DT$6,5),0)</f>
        <v>0</v>
      </c>
      <c r="J86" s="9">
        <f>IF(6&lt;=核心参数输入!$B$9,SUMIFS(季度经营税费!$D$61:$DT$61,季度经营税费!$D$6:$DT$6,6),0)</f>
        <v>0</v>
      </c>
      <c r="K86" s="9">
        <f>IF(7&lt;=核心参数输入!$B$9,SUMIFS(季度经营税费!$D$61:$DT$61,季度经营税费!$D$6:$DT$6,7),0)</f>
        <v>0</v>
      </c>
      <c r="L86" s="9">
        <f>IF(8&lt;=核心参数输入!$B$9,SUMIFS(季度经营税费!$D$61:$DT$61,季度经营税费!$D$6:$DT$6,8),0)</f>
        <v>0</v>
      </c>
      <c r="M86" s="9">
        <f>IF(9&lt;=核心参数输入!$B$9,SUMIFS(季度经营税费!$D$61:$DT$61,季度经营税费!$D$6:$DT$6,9),0)</f>
        <v>0</v>
      </c>
      <c r="N86" s="9">
        <f>IF(10&lt;=核心参数输入!$B$9,SUMIFS(季度经营税费!$D$61:$DT$61,季度经营税费!$D$6:$DT$6,10),0)</f>
        <v>0</v>
      </c>
      <c r="O86" s="9">
        <f>IF(11&lt;=核心参数输入!$B$9,SUMIFS(季度经营税费!$D$61:$DT$61,季度经营税费!$D$6:$DT$6,11),0)</f>
        <v>0</v>
      </c>
      <c r="P86" s="9">
        <f>IF(12&lt;=核心参数输入!$B$9,SUMIFS(季度经营税费!$D$61:$DT$61,季度经营税费!$D$6:$DT$6,12),0)</f>
        <v>0</v>
      </c>
      <c r="Q86" s="9">
        <f>IF(13&lt;=核心参数输入!$B$9,SUMIFS(季度经营税费!$D$61:$DT$61,季度经营税费!$D$6:$DT$6,13),0)</f>
        <v>0</v>
      </c>
      <c r="R86" s="9">
        <f>IF(14&lt;=核心参数输入!$B$9,SUMIFS(季度经营税费!$D$61:$DT$61,季度经营税费!$D$6:$DT$6,14),0)</f>
        <v>0</v>
      </c>
      <c r="S86" s="9">
        <f>IF(15&lt;=核心参数输入!$B$9,SUMIFS(季度经营税费!$D$61:$DT$61,季度经营税费!$D$6:$DT$6,15),0)</f>
        <v>0</v>
      </c>
      <c r="T86" s="9">
        <f>IF(16&lt;=核心参数输入!$B$9,SUMIFS(季度经营税费!$D$61:$DT$61,季度经营税费!$D$6:$DT$6,16),0)</f>
        <v>0</v>
      </c>
      <c r="U86" s="9">
        <f>IF(17&lt;=核心参数输入!$B$9,SUMIFS(季度经营税费!$D$61:$DT$61,季度经营税费!$D$6:$DT$6,17),0)</f>
        <v>0</v>
      </c>
      <c r="V86" s="9">
        <f>IF(18&lt;=核心参数输入!$B$9,SUMIFS(季度经营税费!$D$61:$DT$61,季度经营税费!$D$6:$DT$6,18),0)</f>
        <v>0</v>
      </c>
      <c r="W86" s="9">
        <f>IF(19&lt;=核心参数输入!$B$9,SUMIFS(季度经营税费!$D$61:$DT$61,季度经营税费!$D$6:$DT$6,19),0)</f>
        <v>0</v>
      </c>
      <c r="X86" s="9">
        <f>IF(20&lt;=核心参数输入!$B$9,SUMIFS(季度经营税费!$D$61:$DT$61,季度经营税费!$D$6:$DT$6,20),0)</f>
        <v>15337.222500000025</v>
      </c>
      <c r="Y86" s="9">
        <f>IF(21&lt;=核心参数输入!$B$9,SUMIFS(季度经营税费!$D$61:$DT$61,季度经营税费!$D$6:$DT$6,21),0)</f>
        <v>0</v>
      </c>
      <c r="Z86" s="9">
        <f>IF(22&lt;=核心参数输入!$B$9,SUMIFS(季度经营税费!$D$61:$DT$61,季度经营税费!$D$6:$DT$6,22),0)</f>
        <v>0</v>
      </c>
      <c r="AA86" s="9">
        <f>IF(23&lt;=核心参数输入!$B$9,SUMIFS(季度经营税费!$D$61:$DT$61,季度经营税费!$D$6:$DT$6,23),0)</f>
        <v>0</v>
      </c>
      <c r="AB86" s="9">
        <f>IF(24&lt;=核心参数输入!$B$9,SUMIFS(季度经营税费!$D$61:$DT$61,季度经营税费!$D$6:$DT$6,24),0)</f>
        <v>0</v>
      </c>
      <c r="AC86" s="9">
        <f>IF(25&lt;=核心参数输入!$B$9,SUMIFS(季度经营税费!$D$61:$DT$61,季度经营税费!$D$6:$DT$6,25),0)</f>
        <v>0</v>
      </c>
      <c r="AD86" s="9">
        <f>IF(26&lt;=核心参数输入!$B$9,SUMIFS(季度经营税费!$D$61:$DT$61,季度经营税费!$D$6:$DT$6,26),0)</f>
        <v>0</v>
      </c>
      <c r="AE86" s="9">
        <f>IF(27&lt;=核心参数输入!$B$9,SUMIFS(季度经营税费!$D$61:$DT$61,季度经营税费!$D$6:$DT$6,27),0)</f>
        <v>0</v>
      </c>
      <c r="AF86" s="9">
        <f>IF(28&lt;=核心参数输入!$B$9,SUMIFS(季度经营税费!$D$61:$DT$61,季度经营税费!$D$6:$DT$6,28),0)</f>
        <v>0</v>
      </c>
      <c r="AG86" s="9">
        <f>IF(29&lt;=核心参数输入!$B$9,SUMIFS(季度经营税费!$D$61:$DT$61,季度经营税费!$D$6:$DT$6,29),0)</f>
        <v>0</v>
      </c>
      <c r="AH86" s="9">
        <f>IF(30&lt;=核心参数输入!$B$9,SUMIFS(季度经营税费!$D$61:$DT$61,季度经营税费!$D$6:$DT$6,30),0)</f>
        <v>0</v>
      </c>
    </row>
    <row r="87" spans="1:34" ht="21" customHeight="1">
      <c r="A87" s="8" t="s">
        <v>576</v>
      </c>
      <c r="B87" s="8" t="s">
        <v>39</v>
      </c>
      <c r="C87" s="8"/>
      <c r="D87" s="9">
        <f>IF(0&lt;=核心参数输入!$B$9,IF(核心参数输入!$B$100=1,0,0),0)</f>
        <v>0</v>
      </c>
      <c r="E87" s="9">
        <f>IF(1&lt;=核心参数输入!$B$9,IF(核心参数输入!$B$100=1,SUMIFS(年度所得税!$D$110:$D$140,$B$110:$B$140,"&gt;="&amp;IF(核心参数输入!$B$101=0,0,1-核心参数输入!$B$101)),0),0)</f>
        <v>0</v>
      </c>
      <c r="F87" s="9">
        <f>IF(2&lt;=核心参数输入!$B$9,IF(核心参数输入!$B$100=1,SUMIFS(年度所得税!$E$110:$E$140,$B$110:$B$140,"&gt;="&amp;IF(核心参数输入!$B$101=0,0,2-核心参数输入!$B$101)),0),0)</f>
        <v>0</v>
      </c>
      <c r="G87" s="9">
        <f>IF(3&lt;=核心参数输入!$B$9,IF(核心参数输入!$B$100=1,SUMIFS(年度所得税!$F$110:$F$140,$B$110:$B$140,"&gt;="&amp;IF(核心参数输入!$B$101=0,0,3-核心参数输入!$B$101)),0),0)</f>
        <v>0</v>
      </c>
      <c r="H87" s="9">
        <f>IF(4&lt;=核心参数输入!$B$9,IF(核心参数输入!$B$100=1,SUMIFS(年度所得税!$G$110:$G$140,$B$110:$B$140,"&gt;="&amp;IF(核心参数输入!$B$101=0,0,4-核心参数输入!$B$101)),0),0)</f>
        <v>0</v>
      </c>
      <c r="I87" s="9">
        <f>IF(5&lt;=核心参数输入!$B$9,IF(核心参数输入!$B$100=1,SUMIFS(年度所得税!$H$110:$H$140,$B$110:$B$140,"&gt;="&amp;IF(核心参数输入!$B$101=0,0,5-核心参数输入!$B$101)),0),0)</f>
        <v>0</v>
      </c>
      <c r="J87" s="9">
        <f>IF(6&lt;=核心参数输入!$B$9,IF(核心参数输入!$B$100=1,SUMIFS(年度所得税!$I$110:$I$140,$B$110:$B$140,"&gt;="&amp;IF(核心参数输入!$B$101=0,0,6-核心参数输入!$B$101)),0),0)</f>
        <v>0</v>
      </c>
      <c r="K87" s="9">
        <f>IF(7&lt;=核心参数输入!$B$9,IF(核心参数输入!$B$100=1,SUMIFS(年度所得税!$J$110:$J$140,$B$110:$B$140,"&gt;="&amp;IF(核心参数输入!$B$101=0,0,7-核心参数输入!$B$101)),0),0)</f>
        <v>0</v>
      </c>
      <c r="L87" s="9">
        <f>IF(8&lt;=核心参数输入!$B$9,IF(核心参数输入!$B$100=1,SUMIFS(年度所得税!$K$110:$K$140,$B$110:$B$140,"&gt;="&amp;IF(核心参数输入!$B$101=0,0,8-核心参数输入!$B$101)),0),0)</f>
        <v>613.76954094021517</v>
      </c>
      <c r="M87" s="9">
        <f>IF(9&lt;=核心参数输入!$B$9,IF(核心参数输入!$B$100=1,SUMIFS(年度所得税!$L$110:$L$140,$B$110:$B$140,"&gt;="&amp;IF(核心参数输入!$B$101=0,0,9-核心参数输入!$B$101)),0),0)</f>
        <v>966.1673727015484</v>
      </c>
      <c r="N87" s="9">
        <f>IF(10&lt;=核心参数输入!$B$9,IF(核心参数输入!$B$100=1,SUMIFS(年度所得税!$M$110:$M$140,$B$110:$B$140,"&gt;="&amp;IF(核心参数输入!$B$101=0,0,10-核心参数输入!$B$101)),0),0)</f>
        <v>1119.5284784515065</v>
      </c>
      <c r="O87" s="9">
        <f>IF(11&lt;=核心参数输入!$B$9,IF(核心参数输入!$B$100=1,SUMIFS(年度所得税!$N$110:$N$140,$B$110:$B$140,"&gt;="&amp;IF(核心参数输入!$B$101=0,0,11-核心参数输入!$B$101)),0),0)</f>
        <v>1076.2879844925146</v>
      </c>
      <c r="P87" s="9">
        <f>IF(12&lt;=核心参数输入!$B$9,IF(核心参数输入!$B$100=1,SUMIFS(年度所得税!$O$110:$O$140,$B$110:$B$140,"&gt;="&amp;IF(核心参数输入!$B$101=0,0,12-核心参数输入!$B$101)),0),0)</f>
        <v>858.72998925303364</v>
      </c>
      <c r="Q87" s="9">
        <f>IF(13&lt;=核心参数输入!$B$9,IF(核心参数输入!$B$100=1,SUMIFS(年度所得税!$P$110:$P$140,$B$110:$B$140,"&gt;="&amp;IF(核心参数输入!$B$101=0,0,13-核心参数输入!$B$101)),0),0)</f>
        <v>505.75893751129149</v>
      </c>
      <c r="R87" s="9">
        <f>IF(14&lt;=核心参数输入!$B$9,IF(核心参数输入!$B$100=1,SUMIFS(年度所得税!$Q$110:$Q$140,$B$110:$B$140,"&gt;="&amp;IF(核心参数输入!$B$101=0,0,14-核心参数输入!$B$101)),0),0)</f>
        <v>153.36110574995826</v>
      </c>
      <c r="S87" s="9">
        <f>IF(15&lt;=核心参数输入!$B$9,IF(核心参数输入!$B$100=1,SUMIFS(年度所得税!$R$110:$R$140,$B$110:$B$140,"&gt;="&amp;IF(核心参数输入!$B$101=0,0,15-核心参数输入!$B$101)),0),0)</f>
        <v>0</v>
      </c>
      <c r="T87" s="9">
        <f>IF(16&lt;=核心参数输入!$B$9,IF(核心参数输入!$B$100=1,SUMIFS(年度所得税!$S$110:$S$140,$B$110:$B$140,"&gt;="&amp;IF(核心参数输入!$B$101=0,0,16-核心参数输入!$B$101)),0),0)</f>
        <v>0</v>
      </c>
      <c r="U87" s="9">
        <f>IF(17&lt;=核心参数输入!$B$9,IF(核心参数输入!$B$100=1,SUMIFS(年度所得税!$T$110:$T$140,$B$110:$B$140,"&gt;="&amp;IF(核心参数输入!$B$101=0,0,17-核心参数输入!$B$101)),0),0)</f>
        <v>0</v>
      </c>
      <c r="V87" s="9">
        <f>IF(18&lt;=核心参数输入!$B$9,IF(核心参数输入!$B$100=1,SUMIFS(年度所得税!$U$110:$U$140,$B$110:$B$140,"&gt;="&amp;IF(核心参数输入!$B$101=0,0,18-核心参数输入!$B$101)),0),0)</f>
        <v>0</v>
      </c>
      <c r="W87" s="9">
        <f>IF(19&lt;=核心参数输入!$B$9,IF(核心参数输入!$B$100=1,SUMIFS(年度所得税!$V$110:$V$140,$B$110:$B$140,"&gt;="&amp;IF(核心参数输入!$B$101=0,0,19-核心参数输入!$B$101)),0),0)</f>
        <v>0</v>
      </c>
      <c r="X87" s="9">
        <f>IF(20&lt;=核心参数输入!$B$9,IF(核心参数输入!$B$100=1,SUMIFS(年度所得税!$W$110:$W$140,$B$110:$B$140,"&gt;="&amp;IF(核心参数输入!$B$101=0,0,20-核心参数输入!$B$101)),0),0)</f>
        <v>0</v>
      </c>
      <c r="Y87" s="9">
        <f>IF(21&lt;=核心参数输入!$B$9,IF(核心参数输入!$B$100=1,SUMIFS(年度所得税!$X$110:$X$140,$B$110:$B$140,"&gt;="&amp;IF(核心参数输入!$B$101=0,0,21-核心参数输入!$B$101)),0),0)</f>
        <v>0</v>
      </c>
      <c r="Z87" s="9">
        <f>IF(22&lt;=核心参数输入!$B$9,IF(核心参数输入!$B$100=1,SUMIFS(年度所得税!$Y$110:$Y$140,$B$110:$B$140,"&gt;="&amp;IF(核心参数输入!$B$101=0,0,22-核心参数输入!$B$101)),0),0)</f>
        <v>0</v>
      </c>
      <c r="AA87" s="9">
        <f>IF(23&lt;=核心参数输入!$B$9,IF(核心参数输入!$B$100=1,SUMIFS(年度所得税!$Z$110:$Z$140,$B$110:$B$140,"&gt;="&amp;IF(核心参数输入!$B$101=0,0,23-核心参数输入!$B$101)),0),0)</f>
        <v>0</v>
      </c>
      <c r="AB87" s="9">
        <f>IF(24&lt;=核心参数输入!$B$9,IF(核心参数输入!$B$100=1,SUMIFS(年度所得税!$AA$110:$AA$140,$B$110:$B$140,"&gt;="&amp;IF(核心参数输入!$B$101=0,0,24-核心参数输入!$B$101)),0),0)</f>
        <v>0</v>
      </c>
      <c r="AC87" s="9">
        <f>IF(25&lt;=核心参数输入!$B$9,IF(核心参数输入!$B$100=1,SUMIFS(年度所得税!$AB$110:$AB$140,$B$110:$B$140,"&gt;="&amp;IF(核心参数输入!$B$101=0,0,25-核心参数输入!$B$101)),0),0)</f>
        <v>0</v>
      </c>
      <c r="AD87" s="9">
        <f>IF(26&lt;=核心参数输入!$B$9,IF(核心参数输入!$B$100=1,SUMIFS(年度所得税!$AC$110:$AC$140,$B$110:$B$140,"&gt;="&amp;IF(核心参数输入!$B$101=0,0,26-核心参数输入!$B$101)),0),0)</f>
        <v>0</v>
      </c>
      <c r="AE87" s="9">
        <f>IF(27&lt;=核心参数输入!$B$9,IF(核心参数输入!$B$100=1,SUMIFS(年度所得税!$AD$110:$AD$140,$B$110:$B$140,"&gt;="&amp;IF(核心参数输入!$B$101=0,0,27-核心参数输入!$B$101)),0),0)</f>
        <v>0</v>
      </c>
      <c r="AF87" s="9">
        <f>IF(28&lt;=核心参数输入!$B$9,IF(核心参数输入!$B$100=1,SUMIFS(年度所得税!$AE$110:$AE$140,$B$110:$B$140,"&gt;="&amp;IF(核心参数输入!$B$101=0,0,28-核心参数输入!$B$101)),0),0)</f>
        <v>0</v>
      </c>
      <c r="AG87" s="9">
        <f>IF(29&lt;=核心参数输入!$B$9,IF(核心参数输入!$B$100=1,SUMIFS(年度所得税!$AF$110:$AF$140,$B$110:$B$140,"&gt;="&amp;IF(核心参数输入!$B$101=0,0,29-核心参数输入!$B$101)),0),0)</f>
        <v>0</v>
      </c>
      <c r="AH87" s="9">
        <f>IF(30&lt;=核心参数输入!$B$9,IF(核心参数输入!$B$100=1,SUMIFS(年度所得税!$AG$110:$AG$140,$B$110:$B$140,"&gt;="&amp;IF(核心参数输入!$B$101=0,0,30-核心参数输入!$B$101)),0),0)</f>
        <v>0</v>
      </c>
    </row>
    <row r="88" spans="1:34" ht="21" customHeight="1">
      <c r="A88" s="8" t="s">
        <v>577</v>
      </c>
      <c r="B88" s="8" t="s">
        <v>39</v>
      </c>
      <c r="C88" s="8"/>
      <c r="D88" s="9">
        <f>IF(0&lt;=核心参数输入!$B$9,MIN(MAX(0,D85),D87),0)</f>
        <v>0</v>
      </c>
      <c r="E88" s="9">
        <f>IF(1&lt;=核心参数输入!$B$9,MIN(MAX(0,E85),E87),0)</f>
        <v>0</v>
      </c>
      <c r="F88" s="9">
        <f>IF(2&lt;=核心参数输入!$B$9,MIN(MAX(0,F85),F87),0)</f>
        <v>0</v>
      </c>
      <c r="G88" s="9">
        <f>IF(3&lt;=核心参数输入!$B$9,MIN(MAX(0,G85),G87),0)</f>
        <v>0</v>
      </c>
      <c r="H88" s="9">
        <f>IF(4&lt;=核心参数输入!$B$9,MIN(MAX(0,H85),H87),0)</f>
        <v>0</v>
      </c>
      <c r="I88" s="9">
        <f>IF(5&lt;=核心参数输入!$B$9,MIN(MAX(0,I85),I87),0)</f>
        <v>0</v>
      </c>
      <c r="J88" s="9">
        <f>IF(6&lt;=核心参数输入!$B$9,MIN(MAX(0,J85),J87),0)</f>
        <v>0</v>
      </c>
      <c r="K88" s="9">
        <f>IF(7&lt;=核心参数输入!$B$9,MIN(MAX(0,K85),K87),0)</f>
        <v>0</v>
      </c>
      <c r="L88" s="9">
        <f>IF(8&lt;=核心参数输入!$B$9,MIN(MAX(0,L85),L87),0)</f>
        <v>0</v>
      </c>
      <c r="M88" s="9">
        <f>IF(9&lt;=核心参数输入!$B$9,MIN(MAX(0,M85),M87),0)</f>
        <v>0</v>
      </c>
      <c r="N88" s="9">
        <f>IF(10&lt;=核心参数输入!$B$9,MIN(MAX(0,N85),N87),0)</f>
        <v>43.240493958992133</v>
      </c>
      <c r="O88" s="9">
        <f>IF(11&lt;=核心参数输入!$B$9,MIN(MAX(0,O85),O87),0)</f>
        <v>217.55799523948087</v>
      </c>
      <c r="P88" s="9">
        <f>IF(12&lt;=核心参数输入!$B$9,MIN(MAX(0,P85),P87),0)</f>
        <v>234.59397416659891</v>
      </c>
      <c r="Q88" s="9">
        <f>IF(13&lt;=核心参数输入!$B$9,MIN(MAX(0,Q85),Q87),0)</f>
        <v>251.85103220759456</v>
      </c>
      <c r="R88" s="9">
        <f>IF(14&lt;=核心参数输入!$B$9,MIN(MAX(0,R85),R87),0)</f>
        <v>153.36110574995826</v>
      </c>
      <c r="S88" s="9">
        <f>IF(15&lt;=核心参数输入!$B$9,MIN(MAX(0,S85),S87),0)</f>
        <v>0</v>
      </c>
      <c r="T88" s="9">
        <f>IF(16&lt;=核心参数输入!$B$9,MIN(MAX(0,T85),T87),0)</f>
        <v>0</v>
      </c>
      <c r="U88" s="9">
        <f>IF(17&lt;=核心参数输入!$B$9,MIN(MAX(0,U85),U87),0)</f>
        <v>0</v>
      </c>
      <c r="V88" s="9">
        <f>IF(18&lt;=核心参数输入!$B$9,MIN(MAX(0,V85),V87),0)</f>
        <v>0</v>
      </c>
      <c r="W88" s="9">
        <f>IF(19&lt;=核心参数输入!$B$9,MIN(MAX(0,W85),W87),0)</f>
        <v>0</v>
      </c>
      <c r="X88" s="9">
        <f>IF(20&lt;=核心参数输入!$B$9,MIN(MAX(0,X85),X87),0)</f>
        <v>0</v>
      </c>
      <c r="Y88" s="9">
        <f>IF(21&lt;=核心参数输入!$B$9,MIN(MAX(0,Y85),Y87),0)</f>
        <v>0</v>
      </c>
      <c r="Z88" s="9">
        <f>IF(22&lt;=核心参数输入!$B$9,MIN(MAX(0,Z85),Z87),0)</f>
        <v>0</v>
      </c>
      <c r="AA88" s="9">
        <f>IF(23&lt;=核心参数输入!$B$9,MIN(MAX(0,AA85),AA87),0)</f>
        <v>0</v>
      </c>
      <c r="AB88" s="9">
        <f>IF(24&lt;=核心参数输入!$B$9,MIN(MAX(0,AB85),AB87),0)</f>
        <v>0</v>
      </c>
      <c r="AC88" s="9">
        <f>IF(25&lt;=核心参数输入!$B$9,MIN(MAX(0,AC85),AC87),0)</f>
        <v>0</v>
      </c>
      <c r="AD88" s="9">
        <f>IF(26&lt;=核心参数输入!$B$9,MIN(MAX(0,AD85),AD87),0)</f>
        <v>0</v>
      </c>
      <c r="AE88" s="9">
        <f>IF(27&lt;=核心参数输入!$B$9,MIN(MAX(0,AE85),AE87),0)</f>
        <v>0</v>
      </c>
      <c r="AF88" s="9">
        <f>IF(28&lt;=核心参数输入!$B$9,MIN(MAX(0,AF85),AF87),0)</f>
        <v>0</v>
      </c>
      <c r="AG88" s="9">
        <f>IF(29&lt;=核心参数输入!$B$9,MIN(MAX(0,AG85),AG87),0)</f>
        <v>0</v>
      </c>
      <c r="AH88" s="9">
        <f>IF(30&lt;=核心参数输入!$B$9,MIN(MAX(0,AH85),AH87),0)</f>
        <v>0</v>
      </c>
    </row>
    <row r="89" spans="1:34" ht="21" customHeight="1">
      <c r="A89" s="8" t="s">
        <v>578</v>
      </c>
      <c r="B89" s="8" t="s">
        <v>39</v>
      </c>
      <c r="C89" s="8"/>
      <c r="D89" s="9">
        <f>IF(0&lt;=核心参数输入!$B$9,MAX(0,D85-D88),0)</f>
        <v>0</v>
      </c>
      <c r="E89" s="9">
        <f>IF(1&lt;=核心参数输入!$B$9,MAX(0,E85-E88),0)</f>
        <v>0</v>
      </c>
      <c r="F89" s="9">
        <f>IF(2&lt;=核心参数输入!$B$9,MAX(0,F85-F88),0)</f>
        <v>0</v>
      </c>
      <c r="G89" s="9">
        <f>IF(3&lt;=核心参数输入!$B$9,MAX(0,G85-G88),0)</f>
        <v>0</v>
      </c>
      <c r="H89" s="9">
        <f>IF(4&lt;=核心参数输入!$B$9,MAX(0,H85-H88),0)</f>
        <v>248.87054981250122</v>
      </c>
      <c r="I89" s="9">
        <f>IF(5&lt;=核心参数输入!$B$9,MAX(0,I85-I88),0)</f>
        <v>1939.5756364016872</v>
      </c>
      <c r="J89" s="9">
        <f>IF(6&lt;=核心参数输入!$B$9,MAX(0,J85-J88),0)</f>
        <v>1583.003956658592</v>
      </c>
      <c r="K89" s="9">
        <f>IF(7&lt;=核心参数输入!$B$9,MAX(0,K85-K88),0)</f>
        <v>0</v>
      </c>
      <c r="L89" s="9">
        <f>IF(8&lt;=核心参数输入!$B$9,MAX(0,L85-L88),0)</f>
        <v>0</v>
      </c>
      <c r="M89" s="9">
        <f>IF(9&lt;=核心参数输入!$B$9,MAX(0,M85-M88),0)</f>
        <v>0</v>
      </c>
      <c r="N89" s="9">
        <f>IF(10&lt;=核心参数输入!$B$9,MAX(0,N85-N88),0)</f>
        <v>0</v>
      </c>
      <c r="O89" s="9">
        <f>IF(11&lt;=核心参数输入!$B$9,MAX(0,O85-O88),0)</f>
        <v>0</v>
      </c>
      <c r="P89" s="9">
        <f>IF(12&lt;=核心参数输入!$B$9,MAX(0,P85-P88),0)</f>
        <v>0</v>
      </c>
      <c r="Q89" s="9">
        <f>IF(13&lt;=核心参数输入!$B$9,MAX(0,Q85-Q88),0)</f>
        <v>0</v>
      </c>
      <c r="R89" s="9">
        <f>IF(14&lt;=核心参数输入!$B$9,MAX(0,R85-R88),0)</f>
        <v>115.97069058781614</v>
      </c>
      <c r="S89" s="9">
        <f>IF(15&lt;=核心参数输入!$B$9,MAX(0,S85-S88),0)</f>
        <v>287.03891915284896</v>
      </c>
      <c r="T89" s="9">
        <f>IF(16&lt;=核心参数输入!$B$9,MAX(0,T85-T88),0)</f>
        <v>304.97507897754923</v>
      </c>
      <c r="U89" s="9">
        <f>IF(17&lt;=核心参数输入!$B$9,MAX(0,U85-U88),0)</f>
        <v>323.14297997036863</v>
      </c>
      <c r="V89" s="9">
        <f>IF(18&lt;=核心参数输入!$B$9,MAX(0,V85-V88),0)</f>
        <v>341.54535222424335</v>
      </c>
      <c r="W89" s="9">
        <f>IF(19&lt;=核心参数输入!$B$9,MAX(0,W85-W88),0)</f>
        <v>360.18495186301186</v>
      </c>
      <c r="X89" s="9">
        <f>IF(20&lt;=核心参数输入!$B$9,MAX(0,X85-X88),0)</f>
        <v>379.06456113347036</v>
      </c>
      <c r="Y89" s="9">
        <f>IF(21&lt;=核心参数输入!$B$9,MAX(0,Y85-Y88),0)</f>
        <v>0</v>
      </c>
      <c r="Z89" s="9">
        <f>IF(22&lt;=核心参数输入!$B$9,MAX(0,Z85-Z88),0)</f>
        <v>0</v>
      </c>
      <c r="AA89" s="9">
        <f>IF(23&lt;=核心参数输入!$B$9,MAX(0,AA85-AA88),0)</f>
        <v>0</v>
      </c>
      <c r="AB89" s="9">
        <f>IF(24&lt;=核心参数输入!$B$9,MAX(0,AB85-AB88),0)</f>
        <v>0</v>
      </c>
      <c r="AC89" s="9">
        <f>IF(25&lt;=核心参数输入!$B$9,MAX(0,AC85-AC88),0)</f>
        <v>0</v>
      </c>
      <c r="AD89" s="9">
        <f>IF(26&lt;=核心参数输入!$B$9,MAX(0,AD85-AD88),0)</f>
        <v>0</v>
      </c>
      <c r="AE89" s="9">
        <f>IF(27&lt;=核心参数输入!$B$9,MAX(0,AE85-AE88),0)</f>
        <v>0</v>
      </c>
      <c r="AF89" s="9">
        <f>IF(28&lt;=核心参数输入!$B$9,MAX(0,AF85-AF88),0)</f>
        <v>0</v>
      </c>
      <c r="AG89" s="9">
        <f>IF(29&lt;=核心参数输入!$B$9,MAX(0,AG85-AG88),0)</f>
        <v>0</v>
      </c>
      <c r="AH89" s="9">
        <f>IF(30&lt;=核心参数输入!$B$9,MAX(0,AH85-AH88),0)</f>
        <v>0</v>
      </c>
    </row>
    <row r="90" spans="1:34" ht="21" customHeight="1">
      <c r="A90" s="8" t="s">
        <v>579</v>
      </c>
      <c r="B90" s="8" t="s">
        <v>39</v>
      </c>
      <c r="C90" s="8"/>
      <c r="D90" s="9">
        <f>IF(0&lt;=核心参数输入!$B$9,D89*核心参数输入!$B$52,0)</f>
        <v>0</v>
      </c>
      <c r="E90" s="9">
        <f>IF(1&lt;=核心参数输入!$B$9,E89*核心参数输入!$B$52,0)</f>
        <v>0</v>
      </c>
      <c r="F90" s="9">
        <f>IF(2&lt;=核心参数输入!$B$9,F89*核心参数输入!$B$52,0)</f>
        <v>0</v>
      </c>
      <c r="G90" s="9">
        <f>IF(3&lt;=核心参数输入!$B$9,G89*核心参数输入!$B$52,0)</f>
        <v>0</v>
      </c>
      <c r="H90" s="9">
        <f>IF(4&lt;=核心参数输入!$B$9,H89*核心参数输入!$B$52,0)</f>
        <v>62.217637453125306</v>
      </c>
      <c r="I90" s="9">
        <f>IF(5&lt;=核心参数输入!$B$9,I89*核心参数输入!$B$52,0)</f>
        <v>484.89390910042181</v>
      </c>
      <c r="J90" s="9">
        <f>IF(6&lt;=核心参数输入!$B$9,J89*核心参数输入!$B$52,0)</f>
        <v>395.75098916464799</v>
      </c>
      <c r="K90" s="9">
        <f>IF(7&lt;=核心参数输入!$B$9,K89*核心参数输入!$B$52,0)</f>
        <v>0</v>
      </c>
      <c r="L90" s="9">
        <f>IF(8&lt;=核心参数输入!$B$9,L89*核心参数输入!$B$52,0)</f>
        <v>0</v>
      </c>
      <c r="M90" s="9">
        <f>IF(9&lt;=核心参数输入!$B$9,M89*核心参数输入!$B$52,0)</f>
        <v>0</v>
      </c>
      <c r="N90" s="9">
        <f>IF(10&lt;=核心参数输入!$B$9,N89*核心参数输入!$B$52,0)</f>
        <v>0</v>
      </c>
      <c r="O90" s="9">
        <f>IF(11&lt;=核心参数输入!$B$9,O89*核心参数输入!$B$52,0)</f>
        <v>0</v>
      </c>
      <c r="P90" s="9">
        <f>IF(12&lt;=核心参数输入!$B$9,P89*核心参数输入!$B$52,0)</f>
        <v>0</v>
      </c>
      <c r="Q90" s="9">
        <f>IF(13&lt;=核心参数输入!$B$9,Q89*核心参数输入!$B$52,0)</f>
        <v>0</v>
      </c>
      <c r="R90" s="9">
        <f>IF(14&lt;=核心参数输入!$B$9,R89*核心参数输入!$B$52,0)</f>
        <v>28.992672646954034</v>
      </c>
      <c r="S90" s="9">
        <f>IF(15&lt;=核心参数输入!$B$9,S89*核心参数输入!$B$52,0)</f>
        <v>71.75972978821224</v>
      </c>
      <c r="T90" s="9">
        <f>IF(16&lt;=核心参数输入!$B$9,T89*核心参数输入!$B$52,0)</f>
        <v>76.243769744387308</v>
      </c>
      <c r="U90" s="9">
        <f>IF(17&lt;=核心参数输入!$B$9,U89*核心参数输入!$B$52,0)</f>
        <v>80.785744992592157</v>
      </c>
      <c r="V90" s="9">
        <f>IF(18&lt;=核心参数输入!$B$9,V89*核心参数输入!$B$52,0)</f>
        <v>85.386338056060836</v>
      </c>
      <c r="W90" s="9">
        <f>IF(19&lt;=核心参数输入!$B$9,W89*核心参数输入!$B$52,0)</f>
        <v>90.046237965752965</v>
      </c>
      <c r="X90" s="9">
        <f>IF(20&lt;=核心参数输入!$B$9,X89*核心参数输入!$B$52,0)</f>
        <v>94.766140283367591</v>
      </c>
      <c r="Y90" s="9">
        <f>IF(21&lt;=核心参数输入!$B$9,Y89*核心参数输入!$B$52,0)</f>
        <v>0</v>
      </c>
      <c r="Z90" s="9">
        <f>IF(22&lt;=核心参数输入!$B$9,Z89*核心参数输入!$B$52,0)</f>
        <v>0</v>
      </c>
      <c r="AA90" s="9">
        <f>IF(23&lt;=核心参数输入!$B$9,AA89*核心参数输入!$B$52,0)</f>
        <v>0</v>
      </c>
      <c r="AB90" s="9">
        <f>IF(24&lt;=核心参数输入!$B$9,AB89*核心参数输入!$B$52,0)</f>
        <v>0</v>
      </c>
      <c r="AC90" s="9">
        <f>IF(25&lt;=核心参数输入!$B$9,AC89*核心参数输入!$B$52,0)</f>
        <v>0</v>
      </c>
      <c r="AD90" s="9">
        <f>IF(26&lt;=核心参数输入!$B$9,AD89*核心参数输入!$B$52,0)</f>
        <v>0</v>
      </c>
      <c r="AE90" s="9">
        <f>IF(27&lt;=核心参数输入!$B$9,AE89*核心参数输入!$B$52,0)</f>
        <v>0</v>
      </c>
      <c r="AF90" s="9">
        <f>IF(28&lt;=核心参数输入!$B$9,AF89*核心参数输入!$B$52,0)</f>
        <v>0</v>
      </c>
      <c r="AG90" s="9">
        <f>IF(29&lt;=核心参数输入!$B$9,AG89*核心参数输入!$B$52,0)</f>
        <v>0</v>
      </c>
      <c r="AH90" s="9">
        <f>IF(30&lt;=核心参数输入!$B$9,AH89*核心参数输入!$B$52,0)</f>
        <v>0</v>
      </c>
    </row>
    <row r="91" spans="1:34" ht="21" customHeight="1">
      <c r="A91" s="8" t="s">
        <v>580</v>
      </c>
      <c r="B91" s="8" t="s">
        <v>39</v>
      </c>
      <c r="C91" s="8"/>
      <c r="D91" s="9">
        <f>IF(0&lt;=核心参数输入!$B$9,IF(核心参数输入!$B$100=1,MAX(0,-D85),0),0)</f>
        <v>0</v>
      </c>
      <c r="E91" s="9">
        <f>IF(1&lt;=核心参数输入!$B$9,IF(核心参数输入!$B$100=1,MAX(0,-E85),0),0)</f>
        <v>0</v>
      </c>
      <c r="F91" s="9">
        <f>IF(2&lt;=核心参数输入!$B$9,IF(核心参数输入!$B$100=1,MAX(0,-F85),0),0)</f>
        <v>0</v>
      </c>
      <c r="G91" s="9">
        <f>IF(3&lt;=核心参数输入!$B$9,IF(核心参数输入!$B$100=1,MAX(0,-G85),0),0)</f>
        <v>0</v>
      </c>
      <c r="H91" s="9">
        <f>IF(4&lt;=核心参数输入!$B$9,IF(核心参数输入!$B$100=1,MAX(0,-H85),0),0)</f>
        <v>0</v>
      </c>
      <c r="I91" s="9">
        <f>IF(5&lt;=核心参数输入!$B$9,IF(核心参数输入!$B$100=1,MAX(0,-I85),0),0)</f>
        <v>0</v>
      </c>
      <c r="J91" s="9">
        <f>IF(6&lt;=核心参数输入!$B$9,IF(核心参数输入!$B$100=1,MAX(0,-J85),0),0)</f>
        <v>0</v>
      </c>
      <c r="K91" s="9">
        <f>IF(7&lt;=核心参数输入!$B$9,IF(核心参数输入!$B$100=1,MAX(0,-K85),0),0)</f>
        <v>613.76954094021517</v>
      </c>
      <c r="L91" s="9">
        <f>IF(8&lt;=核心参数输入!$B$9,IF(核心参数输入!$B$100=1,MAX(0,-L85),0),0)</f>
        <v>352.39783176133324</v>
      </c>
      <c r="M91" s="9">
        <f>IF(9&lt;=核心参数输入!$B$9,IF(核心参数输入!$B$100=1,MAX(0,-M85),0),0)</f>
        <v>153.36110574995826</v>
      </c>
      <c r="N91" s="9">
        <f>IF(10&lt;=核心参数输入!$B$9,IF(核心参数输入!$B$100=1,MAX(0,-N85),0),0)</f>
        <v>0</v>
      </c>
      <c r="O91" s="9">
        <f>IF(11&lt;=核心参数输入!$B$9,IF(核心参数输入!$B$100=1,MAX(0,-O85),0),0)</f>
        <v>0</v>
      </c>
      <c r="P91" s="9">
        <f>IF(12&lt;=核心参数输入!$B$9,IF(核心参数输入!$B$100=1,MAX(0,-P85),0),0)</f>
        <v>0</v>
      </c>
      <c r="Q91" s="9">
        <f>IF(13&lt;=核心参数输入!$B$9,IF(核心参数输入!$B$100=1,MAX(0,-Q85),0),0)</f>
        <v>0</v>
      </c>
      <c r="R91" s="9">
        <f>IF(14&lt;=核心参数输入!$B$9,IF(核心参数输入!$B$100=1,MAX(0,-R85),0),0)</f>
        <v>0</v>
      </c>
      <c r="S91" s="9">
        <f>IF(15&lt;=核心参数输入!$B$9,IF(核心参数输入!$B$100=1,MAX(0,-S85),0),0)</f>
        <v>0</v>
      </c>
      <c r="T91" s="9">
        <f>IF(16&lt;=核心参数输入!$B$9,IF(核心参数输入!$B$100=1,MAX(0,-T85),0),0)</f>
        <v>0</v>
      </c>
      <c r="U91" s="9">
        <f>IF(17&lt;=核心参数输入!$B$9,IF(核心参数输入!$B$100=1,MAX(0,-U85),0),0)</f>
        <v>0</v>
      </c>
      <c r="V91" s="9">
        <f>IF(18&lt;=核心参数输入!$B$9,IF(核心参数输入!$B$100=1,MAX(0,-V85),0),0)</f>
        <v>0</v>
      </c>
      <c r="W91" s="9">
        <f>IF(19&lt;=核心参数输入!$B$9,IF(核心参数输入!$B$100=1,MAX(0,-W85),0),0)</f>
        <v>0</v>
      </c>
      <c r="X91" s="9">
        <f>IF(20&lt;=核心参数输入!$B$9,IF(核心参数输入!$B$100=1,MAX(0,-X85),0),0)</f>
        <v>0</v>
      </c>
      <c r="Y91" s="9">
        <f>IF(21&lt;=核心参数输入!$B$9,IF(核心参数输入!$B$100=1,MAX(0,-Y85),0),0)</f>
        <v>0</v>
      </c>
      <c r="Z91" s="9">
        <f>IF(22&lt;=核心参数输入!$B$9,IF(核心参数输入!$B$100=1,MAX(0,-Z85),0),0)</f>
        <v>0</v>
      </c>
      <c r="AA91" s="9">
        <f>IF(23&lt;=核心参数输入!$B$9,IF(核心参数输入!$B$100=1,MAX(0,-AA85),0),0)</f>
        <v>0</v>
      </c>
      <c r="AB91" s="9">
        <f>IF(24&lt;=核心参数输入!$B$9,IF(核心参数输入!$B$100=1,MAX(0,-AB85),0),0)</f>
        <v>0</v>
      </c>
      <c r="AC91" s="9">
        <f>IF(25&lt;=核心参数输入!$B$9,IF(核心参数输入!$B$100=1,MAX(0,-AC85),0),0)</f>
        <v>0</v>
      </c>
      <c r="AD91" s="9">
        <f>IF(26&lt;=核心参数输入!$B$9,IF(核心参数输入!$B$100=1,MAX(0,-AD85),0),0)</f>
        <v>0</v>
      </c>
      <c r="AE91" s="9">
        <f>IF(27&lt;=核心参数输入!$B$9,IF(核心参数输入!$B$100=1,MAX(0,-AE85),0),0)</f>
        <v>0</v>
      </c>
      <c r="AF91" s="9">
        <f>IF(28&lt;=核心参数输入!$B$9,IF(核心参数输入!$B$100=1,MAX(0,-AF85),0),0)</f>
        <v>0</v>
      </c>
      <c r="AG91" s="9">
        <f>IF(29&lt;=核心参数输入!$B$9,IF(核心参数输入!$B$100=1,MAX(0,-AG85),0),0)</f>
        <v>0</v>
      </c>
      <c r="AH91" s="9">
        <f>IF(30&lt;=核心参数输入!$B$9,IF(核心参数输入!$B$100=1,MAX(0,-AH85),0),0)</f>
        <v>0</v>
      </c>
    </row>
    <row r="92" spans="1:34" ht="21" customHeight="1">
      <c r="A92" s="8" t="s">
        <v>581</v>
      </c>
      <c r="B92" s="8" t="s">
        <v>39</v>
      </c>
      <c r="C92" s="8"/>
      <c r="D92" s="9">
        <f>IF(0&lt;=核心参数输入!$B$9,SUM(D110:D140),0)</f>
        <v>0</v>
      </c>
      <c r="E92" s="9">
        <f>IF(1&lt;=核心参数输入!$B$9,SUM(E110:E140),0)</f>
        <v>0</v>
      </c>
      <c r="F92" s="9">
        <f>IF(2&lt;=核心参数输入!$B$9,SUM(F110:F140),0)</f>
        <v>0</v>
      </c>
      <c r="G92" s="9">
        <f>IF(3&lt;=核心参数输入!$B$9,SUM(G110:G140),0)</f>
        <v>0</v>
      </c>
      <c r="H92" s="9">
        <f>IF(4&lt;=核心参数输入!$B$9,SUM(H110:H140),0)</f>
        <v>0</v>
      </c>
      <c r="I92" s="9">
        <f>IF(5&lt;=核心参数输入!$B$9,SUM(I110:I140),0)</f>
        <v>0</v>
      </c>
      <c r="J92" s="9">
        <f>IF(6&lt;=核心参数输入!$B$9,SUM(J110:J140),0)</f>
        <v>0</v>
      </c>
      <c r="K92" s="9">
        <f>IF(7&lt;=核心参数输入!$B$9,SUM(K110:K140),0)</f>
        <v>613.76954094021517</v>
      </c>
      <c r="L92" s="9">
        <f>IF(8&lt;=核心参数输入!$B$9,SUM(L110:L140),0)</f>
        <v>966.1673727015484</v>
      </c>
      <c r="M92" s="9">
        <f>IF(9&lt;=核心参数输入!$B$9,SUM(M110:M140),0)</f>
        <v>1119.5284784515065</v>
      </c>
      <c r="N92" s="9">
        <f>IF(10&lt;=核心参数输入!$B$9,SUM(N110:N140),0)</f>
        <v>1076.2879844925146</v>
      </c>
      <c r="O92" s="9">
        <f>IF(11&lt;=核心参数输入!$B$9,SUM(O110:O140),0)</f>
        <v>858.72998925303364</v>
      </c>
      <c r="P92" s="9">
        <f>IF(12&lt;=核心参数输入!$B$9,SUM(P110:P140),0)</f>
        <v>624.13601508643478</v>
      </c>
      <c r="Q92" s="9">
        <f>IF(13&lt;=核心参数输入!$B$9,SUM(Q110:Q140),0)</f>
        <v>253.90790530369694</v>
      </c>
      <c r="R92" s="9">
        <f>IF(14&lt;=核心参数输入!$B$9,SUM(R110:R140),0)</f>
        <v>0</v>
      </c>
      <c r="S92" s="9">
        <f>IF(15&lt;=核心参数输入!$B$9,SUM(S110:S140),0)</f>
        <v>0</v>
      </c>
      <c r="T92" s="9">
        <f>IF(16&lt;=核心参数输入!$B$9,SUM(T110:T140),0)</f>
        <v>0</v>
      </c>
      <c r="U92" s="9">
        <f>IF(17&lt;=核心参数输入!$B$9,SUM(U110:U140),0)</f>
        <v>0</v>
      </c>
      <c r="V92" s="9">
        <f>IF(18&lt;=核心参数输入!$B$9,SUM(V110:V140),0)</f>
        <v>0</v>
      </c>
      <c r="W92" s="9">
        <f>IF(19&lt;=核心参数输入!$B$9,SUM(W110:W140),0)</f>
        <v>0</v>
      </c>
      <c r="X92" s="9">
        <f>IF(20&lt;=核心参数输入!$B$9,SUM(X110:X140),0)</f>
        <v>0</v>
      </c>
      <c r="Y92" s="9">
        <f>IF(21&lt;=核心参数输入!$B$9,SUM(Y110:Y140),0)</f>
        <v>0</v>
      </c>
      <c r="Z92" s="9">
        <f>IF(22&lt;=核心参数输入!$B$9,SUM(Z110:Z140),0)</f>
        <v>0</v>
      </c>
      <c r="AA92" s="9">
        <f>IF(23&lt;=核心参数输入!$B$9,SUM(AA110:AA140),0)</f>
        <v>0</v>
      </c>
      <c r="AB92" s="9">
        <f>IF(24&lt;=核心参数输入!$B$9,SUM(AB110:AB140),0)</f>
        <v>0</v>
      </c>
      <c r="AC92" s="9">
        <f>IF(25&lt;=核心参数输入!$B$9,SUM(AC110:AC140),0)</f>
        <v>0</v>
      </c>
      <c r="AD92" s="9">
        <f>IF(26&lt;=核心参数输入!$B$9,SUM(AD110:AD140),0)</f>
        <v>0</v>
      </c>
      <c r="AE92" s="9">
        <f>IF(27&lt;=核心参数输入!$B$9,SUM(AE110:AE140),0)</f>
        <v>0</v>
      </c>
      <c r="AF92" s="9">
        <f>IF(28&lt;=核心参数输入!$B$9,SUM(AF110:AF140),0)</f>
        <v>0</v>
      </c>
      <c r="AG92" s="9">
        <f>IF(29&lt;=核心参数输入!$B$9,SUM(AG110:AG140),0)</f>
        <v>0</v>
      </c>
      <c r="AH92" s="9">
        <f>IF(30&lt;=核心参数输入!$B$9,SUM(AH110:AH140),0)</f>
        <v>0</v>
      </c>
    </row>
    <row r="93" spans="1:34" ht="21" customHeight="1">
      <c r="A93" s="8" t="s">
        <v>582</v>
      </c>
      <c r="B93" s="8" t="s">
        <v>39</v>
      </c>
      <c r="C93" s="8"/>
      <c r="D93" s="9">
        <f>IF(0&lt;=核心参数输入!$B$9,0,0)</f>
        <v>0</v>
      </c>
      <c r="E93" s="9">
        <f>IF(1&lt;=核心参数输入!$B$9,MAX(0,D92-E87),0)</f>
        <v>0</v>
      </c>
      <c r="F93" s="9">
        <f>IF(2&lt;=核心参数输入!$B$9,MAX(0,E92-F87),0)</f>
        <v>0</v>
      </c>
      <c r="G93" s="9">
        <f>IF(3&lt;=核心参数输入!$B$9,MAX(0,F92-G87),0)</f>
        <v>0</v>
      </c>
      <c r="H93" s="9">
        <f>IF(4&lt;=核心参数输入!$B$9,MAX(0,G92-H87),0)</f>
        <v>0</v>
      </c>
      <c r="I93" s="9">
        <f>IF(5&lt;=核心参数输入!$B$9,MAX(0,H92-I87),0)</f>
        <v>0</v>
      </c>
      <c r="J93" s="9">
        <f>IF(6&lt;=核心参数输入!$B$9,MAX(0,I92-J87),0)</f>
        <v>0</v>
      </c>
      <c r="K93" s="9">
        <f>IF(7&lt;=核心参数输入!$B$9,MAX(0,J92-K87),0)</f>
        <v>0</v>
      </c>
      <c r="L93" s="9">
        <f>IF(8&lt;=核心参数输入!$B$9,MAX(0,K92-L87),0)</f>
        <v>0</v>
      </c>
      <c r="M93" s="9">
        <f>IF(9&lt;=核心参数输入!$B$9,MAX(0,L92-M87),0)</f>
        <v>0</v>
      </c>
      <c r="N93" s="9">
        <f>IF(10&lt;=核心参数输入!$B$9,MAX(0,M92-N87),0)</f>
        <v>0</v>
      </c>
      <c r="O93" s="9">
        <f>IF(11&lt;=核心参数输入!$B$9,MAX(0,N92-O87),0)</f>
        <v>0</v>
      </c>
      <c r="P93" s="9">
        <f>IF(12&lt;=核心参数输入!$B$9,MAX(0,O92-P87),0)</f>
        <v>0</v>
      </c>
      <c r="Q93" s="9">
        <f>IF(13&lt;=核心参数输入!$B$9,MAX(0,P92-Q87),0)</f>
        <v>118.37707757514329</v>
      </c>
      <c r="R93" s="9">
        <f>IF(14&lt;=核心参数输入!$B$9,MAX(0,Q92-R87),0)</f>
        <v>100.54679955373868</v>
      </c>
      <c r="S93" s="9">
        <f>IF(15&lt;=核心参数输入!$B$9,MAX(0,R92-S87),0)</f>
        <v>0</v>
      </c>
      <c r="T93" s="9">
        <f>IF(16&lt;=核心参数输入!$B$9,MAX(0,S92-T87),0)</f>
        <v>0</v>
      </c>
      <c r="U93" s="9">
        <f>IF(17&lt;=核心参数输入!$B$9,MAX(0,T92-U87),0)</f>
        <v>0</v>
      </c>
      <c r="V93" s="9">
        <f>IF(18&lt;=核心参数输入!$B$9,MAX(0,U92-V87),0)</f>
        <v>0</v>
      </c>
      <c r="W93" s="9">
        <f>IF(19&lt;=核心参数输入!$B$9,MAX(0,V92-W87),0)</f>
        <v>0</v>
      </c>
      <c r="X93" s="9">
        <f>IF(20&lt;=核心参数输入!$B$9,MAX(0,W92-X87),0)</f>
        <v>0</v>
      </c>
      <c r="Y93" s="9">
        <f>IF(21&lt;=核心参数输入!$B$9,MAX(0,X92-Y87),0)</f>
        <v>0</v>
      </c>
      <c r="Z93" s="9">
        <f>IF(22&lt;=核心参数输入!$B$9,MAX(0,Y92-Z87),0)</f>
        <v>0</v>
      </c>
      <c r="AA93" s="9">
        <f>IF(23&lt;=核心参数输入!$B$9,MAX(0,Z92-AA87),0)</f>
        <v>0</v>
      </c>
      <c r="AB93" s="9">
        <f>IF(24&lt;=核心参数输入!$B$9,MAX(0,AA92-AB87),0)</f>
        <v>0</v>
      </c>
      <c r="AC93" s="9">
        <f>IF(25&lt;=核心参数输入!$B$9,MAX(0,AB92-AC87),0)</f>
        <v>0</v>
      </c>
      <c r="AD93" s="9">
        <f>IF(26&lt;=核心参数输入!$B$9,MAX(0,AC92-AD87),0)</f>
        <v>0</v>
      </c>
      <c r="AE93" s="9">
        <f>IF(27&lt;=核心参数输入!$B$9,MAX(0,AD92-AE87),0)</f>
        <v>0</v>
      </c>
      <c r="AF93" s="9">
        <f>IF(28&lt;=核心参数输入!$B$9,MAX(0,AE92-AF87),0)</f>
        <v>0</v>
      </c>
      <c r="AG93" s="9">
        <f>IF(29&lt;=核心参数输入!$B$9,MAX(0,AF92-AG87),0)</f>
        <v>0</v>
      </c>
      <c r="AH93" s="9">
        <f>IF(30&lt;=核心参数输入!$B$9,MAX(0,AG92-AH87),0)</f>
        <v>0</v>
      </c>
    </row>
    <row r="94" spans="1:34" ht="21" customHeight="1">
      <c r="A94" s="8" t="s">
        <v>583</v>
      </c>
      <c r="B94" s="8" t="s">
        <v>39</v>
      </c>
      <c r="C94" s="8"/>
      <c r="D94" s="9">
        <f>IF(0&lt;=核心参数输入!$B$9,MAX(0,D85+D86-MIN(MAX(0,D85+D86),D87))*核心参数输入!$B$52,0)</f>
        <v>0</v>
      </c>
      <c r="E94" s="9">
        <f>IF(1&lt;=核心参数输入!$B$9,MAX(0,E85+E86-MIN(MAX(0,E85+E86),E87))*核心参数输入!$B$52,0)</f>
        <v>0</v>
      </c>
      <c r="F94" s="9">
        <f>IF(2&lt;=核心参数输入!$B$9,MAX(0,F85+F86-MIN(MAX(0,F85+F86),F87))*核心参数输入!$B$52,0)</f>
        <v>0</v>
      </c>
      <c r="G94" s="9">
        <f>IF(3&lt;=核心参数输入!$B$9,MAX(0,G85+G86-MIN(MAX(0,G85+G86),G87))*核心参数输入!$B$52,0)</f>
        <v>0</v>
      </c>
      <c r="H94" s="9">
        <f>IF(4&lt;=核心参数输入!$B$9,MAX(0,H85+H86-MIN(MAX(0,H85+H86),H87))*核心参数输入!$B$52,0)</f>
        <v>62.217637453125306</v>
      </c>
      <c r="I94" s="9">
        <f>IF(5&lt;=核心参数输入!$B$9,MAX(0,I85+I86-MIN(MAX(0,I85+I86),I87))*核心参数输入!$B$52,0)</f>
        <v>484.89390910042181</v>
      </c>
      <c r="J94" s="9">
        <f>IF(6&lt;=核心参数输入!$B$9,MAX(0,J85+J86-MIN(MAX(0,J85+J86),J87))*核心参数输入!$B$52,0)</f>
        <v>395.75098916464799</v>
      </c>
      <c r="K94" s="9">
        <f>IF(7&lt;=核心参数输入!$B$9,MAX(0,K85+K86-MIN(MAX(0,K85+K86),K87))*核心参数输入!$B$52,0)</f>
        <v>0</v>
      </c>
      <c r="L94" s="9">
        <f>IF(8&lt;=核心参数输入!$B$9,MAX(0,L85+L86-MIN(MAX(0,L85+L86),L87))*核心参数输入!$B$52,0)</f>
        <v>0</v>
      </c>
      <c r="M94" s="9">
        <f>IF(9&lt;=核心参数输入!$B$9,MAX(0,M85+M86-MIN(MAX(0,M85+M86),M87))*核心参数输入!$B$52,0)</f>
        <v>0</v>
      </c>
      <c r="N94" s="9">
        <f>IF(10&lt;=核心参数输入!$B$9,MAX(0,N85+N86-MIN(MAX(0,N85+N86),N87))*核心参数输入!$B$52,0)</f>
        <v>0</v>
      </c>
      <c r="O94" s="9">
        <f>IF(11&lt;=核心参数输入!$B$9,MAX(0,O85+O86-MIN(MAX(0,O85+O86),O87))*核心参数输入!$B$52,0)</f>
        <v>0</v>
      </c>
      <c r="P94" s="9">
        <f>IF(12&lt;=核心参数输入!$B$9,MAX(0,P85+P86-MIN(MAX(0,P85+P86),P87))*核心参数输入!$B$52,0)</f>
        <v>0</v>
      </c>
      <c r="Q94" s="9">
        <f>IF(13&lt;=核心参数输入!$B$9,MAX(0,Q85+Q86-MIN(MAX(0,Q85+Q86),Q87))*核心参数输入!$B$52,0)</f>
        <v>0</v>
      </c>
      <c r="R94" s="9">
        <f>IF(14&lt;=核心参数输入!$B$9,MAX(0,R85+R86-MIN(MAX(0,R85+R86),R87))*核心参数输入!$B$52,0)</f>
        <v>28.992672646954034</v>
      </c>
      <c r="S94" s="9">
        <f>IF(15&lt;=核心参数输入!$B$9,MAX(0,S85+S86-MIN(MAX(0,S85+S86),S87))*核心参数输入!$B$52,0)</f>
        <v>71.75972978821224</v>
      </c>
      <c r="T94" s="9">
        <f>IF(16&lt;=核心参数输入!$B$9,MAX(0,T85+T86-MIN(MAX(0,T85+T86),T87))*核心参数输入!$B$52,0)</f>
        <v>76.243769744387308</v>
      </c>
      <c r="U94" s="9">
        <f>IF(17&lt;=核心参数输入!$B$9,MAX(0,U85+U86-MIN(MAX(0,U85+U86),U87))*核心参数输入!$B$52,0)</f>
        <v>80.785744992592157</v>
      </c>
      <c r="V94" s="9">
        <f>IF(18&lt;=核心参数输入!$B$9,MAX(0,V85+V86-MIN(MAX(0,V85+V86),V87))*核心参数输入!$B$52,0)</f>
        <v>85.386338056060836</v>
      </c>
      <c r="W94" s="9">
        <f>IF(19&lt;=核心参数输入!$B$9,MAX(0,W85+W86-MIN(MAX(0,W85+W86),W87))*核心参数输入!$B$52,0)</f>
        <v>90.046237965752965</v>
      </c>
      <c r="X94" s="9">
        <f>IF(20&lt;=核心参数输入!$B$9,MAX(0,X85+X86-MIN(MAX(0,X85+X86),X87))*核心参数输入!$B$52,0)</f>
        <v>3929.0717652833741</v>
      </c>
      <c r="Y94" s="9">
        <f>IF(21&lt;=核心参数输入!$B$9,MAX(0,Y85+Y86-MIN(MAX(0,Y85+Y86),Y87))*核心参数输入!$B$52,0)</f>
        <v>0</v>
      </c>
      <c r="Z94" s="9">
        <f>IF(22&lt;=核心参数输入!$B$9,MAX(0,Z85+Z86-MIN(MAX(0,Z85+Z86),Z87))*核心参数输入!$B$52,0)</f>
        <v>0</v>
      </c>
      <c r="AA94" s="9">
        <f>IF(23&lt;=核心参数输入!$B$9,MAX(0,AA85+AA86-MIN(MAX(0,AA85+AA86),AA87))*核心参数输入!$B$52,0)</f>
        <v>0</v>
      </c>
      <c r="AB94" s="9">
        <f>IF(24&lt;=核心参数输入!$B$9,MAX(0,AB85+AB86-MIN(MAX(0,AB85+AB86),AB87))*核心参数输入!$B$52,0)</f>
        <v>0</v>
      </c>
      <c r="AC94" s="9">
        <f>IF(25&lt;=核心参数输入!$B$9,MAX(0,AC85+AC86-MIN(MAX(0,AC85+AC86),AC87))*核心参数输入!$B$52,0)</f>
        <v>0</v>
      </c>
      <c r="AD94" s="9">
        <f>IF(26&lt;=核心参数输入!$B$9,MAX(0,AD85+AD86-MIN(MAX(0,AD85+AD86),AD87))*核心参数输入!$B$52,0)</f>
        <v>0</v>
      </c>
      <c r="AE94" s="9">
        <f>IF(27&lt;=核心参数输入!$B$9,MAX(0,AE85+AE86-MIN(MAX(0,AE85+AE86),AE87))*核心参数输入!$B$52,0)</f>
        <v>0</v>
      </c>
      <c r="AF94" s="9">
        <f>IF(28&lt;=核心参数输入!$B$9,MAX(0,AF85+AF86-MIN(MAX(0,AF85+AF86),AF87))*核心参数输入!$B$52,0)</f>
        <v>0</v>
      </c>
      <c r="AG94" s="9">
        <f>IF(29&lt;=核心参数输入!$B$9,MAX(0,AG85+AG86-MIN(MAX(0,AG85+AG86),AG87))*核心参数输入!$B$52,0)</f>
        <v>0</v>
      </c>
      <c r="AH94" s="9">
        <f>IF(30&lt;=核心参数输入!$B$9,MAX(0,AH85+AH86-MIN(MAX(0,AH85+AH86),AH87))*核心参数输入!$B$52,0)</f>
        <v>0</v>
      </c>
    </row>
    <row r="95" spans="1:34" ht="21" customHeight="1">
      <c r="A95" s="8" t="s">
        <v>584</v>
      </c>
      <c r="B95" s="8" t="s">
        <v>39</v>
      </c>
      <c r="C95" s="8"/>
      <c r="D95" s="9">
        <f>IF(0&lt;=核心参数输入!$B$9,D85+D86,0)</f>
        <v>0</v>
      </c>
      <c r="E95" s="9">
        <f>IF(1&lt;=核心参数输入!$B$9,E85+E86,0)</f>
        <v>0</v>
      </c>
      <c r="F95" s="9">
        <f>IF(2&lt;=核心参数输入!$B$9,F85+F86,0)</f>
        <v>0</v>
      </c>
      <c r="G95" s="9">
        <f>IF(3&lt;=核心参数输入!$B$9,G85+G86,0)</f>
        <v>0</v>
      </c>
      <c r="H95" s="9">
        <f>IF(4&lt;=核心参数输入!$B$9,H85+H86,0)</f>
        <v>248.87054981250122</v>
      </c>
      <c r="I95" s="9">
        <f>IF(5&lt;=核心参数输入!$B$9,I85+I86,0)</f>
        <v>1939.5756364016872</v>
      </c>
      <c r="J95" s="9">
        <f>IF(6&lt;=核心参数输入!$B$9,J85+J86,0)</f>
        <v>1583.003956658592</v>
      </c>
      <c r="K95" s="9">
        <f>IF(7&lt;=核心参数输入!$B$9,K85+K86,0)</f>
        <v>-613.76954094021517</v>
      </c>
      <c r="L95" s="9">
        <f>IF(8&lt;=核心参数输入!$B$9,L85+L86,0)</f>
        <v>-352.39783176133324</v>
      </c>
      <c r="M95" s="9">
        <f>IF(9&lt;=核心参数输入!$B$9,M85+M86,0)</f>
        <v>-153.36110574995826</v>
      </c>
      <c r="N95" s="9">
        <f>IF(10&lt;=核心参数输入!$B$9,N85+N86,0)</f>
        <v>43.240493958992133</v>
      </c>
      <c r="O95" s="9">
        <f>IF(11&lt;=核心参数输入!$B$9,O85+O86,0)</f>
        <v>217.55799523948087</v>
      </c>
      <c r="P95" s="9">
        <f>IF(12&lt;=核心参数输入!$B$9,P85+P86,0)</f>
        <v>234.59397416659891</v>
      </c>
      <c r="Q95" s="9">
        <f>IF(13&lt;=核心参数输入!$B$9,Q85+Q86,0)</f>
        <v>251.85103220759456</v>
      </c>
      <c r="R95" s="9">
        <f>IF(14&lt;=核心参数输入!$B$9,R85+R86,0)</f>
        <v>269.33179633777439</v>
      </c>
      <c r="S95" s="9">
        <f>IF(15&lt;=核心参数输入!$B$9,S85+S86,0)</f>
        <v>287.03891915284896</v>
      </c>
      <c r="T95" s="9">
        <f>IF(16&lt;=核心参数输入!$B$9,T85+T86,0)</f>
        <v>304.97507897754923</v>
      </c>
      <c r="U95" s="9">
        <f>IF(17&lt;=核心参数输入!$B$9,U85+U86,0)</f>
        <v>323.14297997036863</v>
      </c>
      <c r="V95" s="9">
        <f>IF(18&lt;=核心参数输入!$B$9,V85+V86,0)</f>
        <v>341.54535222424335</v>
      </c>
      <c r="W95" s="9">
        <f>IF(19&lt;=核心参数输入!$B$9,W85+W86,0)</f>
        <v>360.18495186301186</v>
      </c>
      <c r="X95" s="9">
        <f>IF(20&lt;=核心参数输入!$B$9,X85+X86,0)</f>
        <v>15716.287061133497</v>
      </c>
      <c r="Y95" s="9">
        <f>IF(21&lt;=核心参数输入!$B$9,Y85+Y86,0)</f>
        <v>0</v>
      </c>
      <c r="Z95" s="9">
        <f>IF(22&lt;=核心参数输入!$B$9,Z85+Z86,0)</f>
        <v>0</v>
      </c>
      <c r="AA95" s="9">
        <f>IF(23&lt;=核心参数输入!$B$9,AA85+AA86,0)</f>
        <v>0</v>
      </c>
      <c r="AB95" s="9">
        <f>IF(24&lt;=核心参数输入!$B$9,AB85+AB86,0)</f>
        <v>0</v>
      </c>
      <c r="AC95" s="9">
        <f>IF(25&lt;=核心参数输入!$B$9,AC85+AC86,0)</f>
        <v>0</v>
      </c>
      <c r="AD95" s="9">
        <f>IF(26&lt;=核心参数输入!$B$9,AD85+AD86,0)</f>
        <v>0</v>
      </c>
      <c r="AE95" s="9">
        <f>IF(27&lt;=核心参数输入!$B$9,AE85+AE86,0)</f>
        <v>0</v>
      </c>
      <c r="AF95" s="9">
        <f>IF(28&lt;=核心参数输入!$B$9,AF85+AF86,0)</f>
        <v>0</v>
      </c>
      <c r="AG95" s="9">
        <f>IF(29&lt;=核心参数输入!$B$9,AG85+AG86,0)</f>
        <v>0</v>
      </c>
      <c r="AH95" s="9">
        <f>IF(30&lt;=核心参数输入!$B$9,AH85+AH86,0)</f>
        <v>0</v>
      </c>
    </row>
    <row r="96" spans="1:34" ht="21" customHeight="1">
      <c r="A96" s="8" t="s">
        <v>585</v>
      </c>
      <c r="B96" s="8" t="s">
        <v>39</v>
      </c>
      <c r="C96" s="8"/>
      <c r="D96" s="9">
        <f>IF(0&lt;=核心参数输入!$B$9,IF(核心参数输入!$B$64=1,D94,D90),0)</f>
        <v>0</v>
      </c>
      <c r="E96" s="9">
        <f>IF(1&lt;=核心参数输入!$B$9,IF(核心参数输入!$B$64=1,E94,E90),0)</f>
        <v>0</v>
      </c>
      <c r="F96" s="9">
        <f>IF(2&lt;=核心参数输入!$B$9,IF(核心参数输入!$B$64=1,F94,F90),0)</f>
        <v>0</v>
      </c>
      <c r="G96" s="9">
        <f>IF(3&lt;=核心参数输入!$B$9,IF(核心参数输入!$B$64=1,G94,G90),0)</f>
        <v>0</v>
      </c>
      <c r="H96" s="9">
        <f>IF(4&lt;=核心参数输入!$B$9,IF(核心参数输入!$B$64=1,H94,H90),0)</f>
        <v>62.217637453125306</v>
      </c>
      <c r="I96" s="9">
        <f>IF(5&lt;=核心参数输入!$B$9,IF(核心参数输入!$B$64=1,I94,I90),0)</f>
        <v>484.89390910042181</v>
      </c>
      <c r="J96" s="9">
        <f>IF(6&lt;=核心参数输入!$B$9,IF(核心参数输入!$B$64=1,J94,J90),0)</f>
        <v>395.75098916464799</v>
      </c>
      <c r="K96" s="9">
        <f>IF(7&lt;=核心参数输入!$B$9,IF(核心参数输入!$B$64=1,K94,K90),0)</f>
        <v>0</v>
      </c>
      <c r="L96" s="9">
        <f>IF(8&lt;=核心参数输入!$B$9,IF(核心参数输入!$B$64=1,L94,L90),0)</f>
        <v>0</v>
      </c>
      <c r="M96" s="9">
        <f>IF(9&lt;=核心参数输入!$B$9,IF(核心参数输入!$B$64=1,M94,M90),0)</f>
        <v>0</v>
      </c>
      <c r="N96" s="9">
        <f>IF(10&lt;=核心参数输入!$B$9,IF(核心参数输入!$B$64=1,N94,N90),0)</f>
        <v>0</v>
      </c>
      <c r="O96" s="9">
        <f>IF(11&lt;=核心参数输入!$B$9,IF(核心参数输入!$B$64=1,O94,O90),0)</f>
        <v>0</v>
      </c>
      <c r="P96" s="9">
        <f>IF(12&lt;=核心参数输入!$B$9,IF(核心参数输入!$B$64=1,P94,P90),0)</f>
        <v>0</v>
      </c>
      <c r="Q96" s="9">
        <f>IF(13&lt;=核心参数输入!$B$9,IF(核心参数输入!$B$64=1,Q94,Q90),0)</f>
        <v>0</v>
      </c>
      <c r="R96" s="9">
        <f>IF(14&lt;=核心参数输入!$B$9,IF(核心参数输入!$B$64=1,R94,R90),0)</f>
        <v>28.992672646954034</v>
      </c>
      <c r="S96" s="9">
        <f>IF(15&lt;=核心参数输入!$B$9,IF(核心参数输入!$B$64=1,S94,S90),0)</f>
        <v>71.75972978821224</v>
      </c>
      <c r="T96" s="9">
        <f>IF(16&lt;=核心参数输入!$B$9,IF(核心参数输入!$B$64=1,T94,T90),0)</f>
        <v>76.243769744387308</v>
      </c>
      <c r="U96" s="9">
        <f>IF(17&lt;=核心参数输入!$B$9,IF(核心参数输入!$B$64=1,U94,U90),0)</f>
        <v>80.785744992592157</v>
      </c>
      <c r="V96" s="9">
        <f>IF(18&lt;=核心参数输入!$B$9,IF(核心参数输入!$B$64=1,V94,V90),0)</f>
        <v>85.386338056060836</v>
      </c>
      <c r="W96" s="9">
        <f>IF(19&lt;=核心参数输入!$B$9,IF(核心参数输入!$B$64=1,W94,W90),0)</f>
        <v>90.046237965752965</v>
      </c>
      <c r="X96" s="9">
        <f>IF(20&lt;=核心参数输入!$B$9,IF(核心参数输入!$B$64=1,X94,X90),0)</f>
        <v>94.766140283367591</v>
      </c>
      <c r="Y96" s="9">
        <f>IF(21&lt;=核心参数输入!$B$9,IF(核心参数输入!$B$64=1,Y94,Y90),0)</f>
        <v>0</v>
      </c>
      <c r="Z96" s="9">
        <f>IF(22&lt;=核心参数输入!$B$9,IF(核心参数输入!$B$64=1,Z94,Z90),0)</f>
        <v>0</v>
      </c>
      <c r="AA96" s="9">
        <f>IF(23&lt;=核心参数输入!$B$9,IF(核心参数输入!$B$64=1,AA94,AA90),0)</f>
        <v>0</v>
      </c>
      <c r="AB96" s="9">
        <f>IF(24&lt;=核心参数输入!$B$9,IF(核心参数输入!$B$64=1,AB94,AB90),0)</f>
        <v>0</v>
      </c>
      <c r="AC96" s="9">
        <f>IF(25&lt;=核心参数输入!$B$9,IF(核心参数输入!$B$64=1,AC94,AC90),0)</f>
        <v>0</v>
      </c>
      <c r="AD96" s="9">
        <f>IF(26&lt;=核心参数输入!$B$9,IF(核心参数输入!$B$64=1,AD94,AD90),0)</f>
        <v>0</v>
      </c>
      <c r="AE96" s="9">
        <f>IF(27&lt;=核心参数输入!$B$9,IF(核心参数输入!$B$64=1,AE94,AE90),0)</f>
        <v>0</v>
      </c>
      <c r="AF96" s="9">
        <f>IF(28&lt;=核心参数输入!$B$9,IF(核心参数输入!$B$64=1,AF94,AF90),0)</f>
        <v>0</v>
      </c>
      <c r="AG96" s="9">
        <f>IF(29&lt;=核心参数输入!$B$9,IF(核心参数输入!$B$64=1,AG94,AG90),0)</f>
        <v>0</v>
      </c>
      <c r="AH96" s="9">
        <f>IF(30&lt;=核心参数输入!$B$9,IF(核心参数输入!$B$64=1,AH94,AH90),0)</f>
        <v>0</v>
      </c>
    </row>
    <row r="97" spans="1:34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1:34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 spans="1:34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 spans="1:34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 spans="1:34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 spans="1:34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 spans="1:34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 spans="1:34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 spans="1:34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1:34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 spans="1:34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 spans="1:34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 spans="1:34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 spans="1:34" ht="21" customHeight="1">
      <c r="A110" s="8" t="s">
        <v>586</v>
      </c>
      <c r="B110" s="8">
        <v>0</v>
      </c>
      <c r="C110" s="8"/>
      <c r="D110" s="9">
        <f>IF(0&lt;=核心参数输入!$B$9,D91,0)</f>
        <v>0</v>
      </c>
      <c r="E110" s="9">
        <f>IF(1&lt;=核心参数输入!$B$9,IF(AND(核心参数输入!$B$100=1,OR(核心参数输入!$B$101=0,1-0&lt;=核心参数输入!$B$101)),MAX(0,D110-MAX(0,E88-0)),0),0)</f>
        <v>0</v>
      </c>
      <c r="F110" s="9">
        <f>IF(2&lt;=核心参数输入!$B$9,IF(AND(核心参数输入!$B$100=1,OR(核心参数输入!$B$101=0,2-0&lt;=核心参数输入!$B$101)),MAX(0,E110-MAX(0,F88-0)),0),0)</f>
        <v>0</v>
      </c>
      <c r="G110" s="9">
        <f>IF(3&lt;=核心参数输入!$B$9,IF(AND(核心参数输入!$B$100=1,OR(核心参数输入!$B$101=0,3-0&lt;=核心参数输入!$B$101)),MAX(0,F110-MAX(0,G88-0)),0),0)</f>
        <v>0</v>
      </c>
      <c r="H110" s="9">
        <f>IF(4&lt;=核心参数输入!$B$9,IF(AND(核心参数输入!$B$100=1,OR(核心参数输入!$B$101=0,4-0&lt;=核心参数输入!$B$101)),MAX(0,G110-MAX(0,H88-0)),0),0)</f>
        <v>0</v>
      </c>
      <c r="I110" s="9">
        <f>IF(5&lt;=核心参数输入!$B$9,IF(AND(核心参数输入!$B$100=1,OR(核心参数输入!$B$101=0,5-0&lt;=核心参数输入!$B$101)),MAX(0,H110-MAX(0,I88-0)),0),0)</f>
        <v>0</v>
      </c>
      <c r="J110" s="9">
        <f>IF(6&lt;=核心参数输入!$B$9,IF(AND(核心参数输入!$B$100=1,OR(核心参数输入!$B$101=0,6-0&lt;=核心参数输入!$B$101)),MAX(0,I110-MAX(0,J88-0)),0),0)</f>
        <v>0</v>
      </c>
      <c r="K110" s="9">
        <f>IF(7&lt;=核心参数输入!$B$9,IF(AND(核心参数输入!$B$100=1,OR(核心参数输入!$B$101=0,7-0&lt;=核心参数输入!$B$101)),MAX(0,J110-MAX(0,K88-0)),0),0)</f>
        <v>0</v>
      </c>
      <c r="L110" s="9">
        <f>IF(8&lt;=核心参数输入!$B$9,IF(AND(核心参数输入!$B$100=1,OR(核心参数输入!$B$101=0,8-0&lt;=核心参数输入!$B$101)),MAX(0,K110-MAX(0,L88-0)),0),0)</f>
        <v>0</v>
      </c>
      <c r="M110" s="9">
        <f>IF(9&lt;=核心参数输入!$B$9,IF(AND(核心参数输入!$B$100=1,OR(核心参数输入!$B$101=0,9-0&lt;=核心参数输入!$B$101)),MAX(0,L110-MAX(0,M88-0)),0),0)</f>
        <v>0</v>
      </c>
      <c r="N110" s="9">
        <f>IF(10&lt;=核心参数输入!$B$9,IF(AND(核心参数输入!$B$100=1,OR(核心参数输入!$B$101=0,10-0&lt;=核心参数输入!$B$101)),MAX(0,M110-MAX(0,N88-0)),0),0)</f>
        <v>0</v>
      </c>
      <c r="O110" s="9">
        <f>IF(11&lt;=核心参数输入!$B$9,IF(AND(核心参数输入!$B$100=1,OR(核心参数输入!$B$101=0,11-0&lt;=核心参数输入!$B$101)),MAX(0,N110-MAX(0,O88-0)),0),0)</f>
        <v>0</v>
      </c>
      <c r="P110" s="9">
        <f>IF(12&lt;=核心参数输入!$B$9,IF(AND(核心参数输入!$B$100=1,OR(核心参数输入!$B$101=0,12-0&lt;=核心参数输入!$B$101)),MAX(0,O110-MAX(0,P88-0)),0),0)</f>
        <v>0</v>
      </c>
      <c r="Q110" s="9">
        <f>IF(13&lt;=核心参数输入!$B$9,IF(AND(核心参数输入!$B$100=1,OR(核心参数输入!$B$101=0,13-0&lt;=核心参数输入!$B$101)),MAX(0,P110-MAX(0,Q88-0)),0),0)</f>
        <v>0</v>
      </c>
      <c r="R110" s="9">
        <f>IF(14&lt;=核心参数输入!$B$9,IF(AND(核心参数输入!$B$100=1,OR(核心参数输入!$B$101=0,14-0&lt;=核心参数输入!$B$101)),MAX(0,Q110-MAX(0,R88-0)),0),0)</f>
        <v>0</v>
      </c>
      <c r="S110" s="9">
        <f>IF(15&lt;=核心参数输入!$B$9,IF(AND(核心参数输入!$B$100=1,OR(核心参数输入!$B$101=0,15-0&lt;=核心参数输入!$B$101)),MAX(0,R110-MAX(0,S88-0)),0),0)</f>
        <v>0</v>
      </c>
      <c r="T110" s="9">
        <f>IF(16&lt;=核心参数输入!$B$9,IF(AND(核心参数输入!$B$100=1,OR(核心参数输入!$B$101=0,16-0&lt;=核心参数输入!$B$101)),MAX(0,S110-MAX(0,T88-0)),0),0)</f>
        <v>0</v>
      </c>
      <c r="U110" s="9">
        <f>IF(17&lt;=核心参数输入!$B$9,IF(AND(核心参数输入!$B$100=1,OR(核心参数输入!$B$101=0,17-0&lt;=核心参数输入!$B$101)),MAX(0,T110-MAX(0,U88-0)),0),0)</f>
        <v>0</v>
      </c>
      <c r="V110" s="9">
        <f>IF(18&lt;=核心参数输入!$B$9,IF(AND(核心参数输入!$B$100=1,OR(核心参数输入!$B$101=0,18-0&lt;=核心参数输入!$B$101)),MAX(0,U110-MAX(0,V88-0)),0),0)</f>
        <v>0</v>
      </c>
      <c r="W110" s="9">
        <f>IF(19&lt;=核心参数输入!$B$9,IF(AND(核心参数输入!$B$100=1,OR(核心参数输入!$B$101=0,19-0&lt;=核心参数输入!$B$101)),MAX(0,V110-MAX(0,W88-0)),0),0)</f>
        <v>0</v>
      </c>
      <c r="X110" s="9">
        <f>IF(20&lt;=核心参数输入!$B$9,IF(AND(核心参数输入!$B$100=1,OR(核心参数输入!$B$101=0,20-0&lt;=核心参数输入!$B$101)),MAX(0,W110-MAX(0,X88-0)),0),0)</f>
        <v>0</v>
      </c>
      <c r="Y110" s="9">
        <f>IF(21&lt;=核心参数输入!$B$9,IF(AND(核心参数输入!$B$100=1,OR(核心参数输入!$B$101=0,21-0&lt;=核心参数输入!$B$101)),MAX(0,X110-MAX(0,Y88-0)),0),0)</f>
        <v>0</v>
      </c>
      <c r="Z110" s="9">
        <f>IF(22&lt;=核心参数输入!$B$9,IF(AND(核心参数输入!$B$100=1,OR(核心参数输入!$B$101=0,22-0&lt;=核心参数输入!$B$101)),MAX(0,Y110-MAX(0,Z88-0)),0),0)</f>
        <v>0</v>
      </c>
      <c r="AA110" s="9">
        <f>IF(23&lt;=核心参数输入!$B$9,IF(AND(核心参数输入!$B$100=1,OR(核心参数输入!$B$101=0,23-0&lt;=核心参数输入!$B$101)),MAX(0,Z110-MAX(0,AA88-0)),0),0)</f>
        <v>0</v>
      </c>
      <c r="AB110" s="9">
        <f>IF(24&lt;=核心参数输入!$B$9,IF(AND(核心参数输入!$B$100=1,OR(核心参数输入!$B$101=0,24-0&lt;=核心参数输入!$B$101)),MAX(0,AA110-MAX(0,AB88-0)),0),0)</f>
        <v>0</v>
      </c>
      <c r="AC110" s="9">
        <f>IF(25&lt;=核心参数输入!$B$9,IF(AND(核心参数输入!$B$100=1,OR(核心参数输入!$B$101=0,25-0&lt;=核心参数输入!$B$101)),MAX(0,AB110-MAX(0,AC88-0)),0),0)</f>
        <v>0</v>
      </c>
      <c r="AD110" s="9">
        <f>IF(26&lt;=核心参数输入!$B$9,IF(AND(核心参数输入!$B$100=1,OR(核心参数输入!$B$101=0,26-0&lt;=核心参数输入!$B$101)),MAX(0,AC110-MAX(0,AD88-0)),0),0)</f>
        <v>0</v>
      </c>
      <c r="AE110" s="9">
        <f>IF(27&lt;=核心参数输入!$B$9,IF(AND(核心参数输入!$B$100=1,OR(核心参数输入!$B$101=0,27-0&lt;=核心参数输入!$B$101)),MAX(0,AD110-MAX(0,AE88-0)),0),0)</f>
        <v>0</v>
      </c>
      <c r="AF110" s="9">
        <f>IF(28&lt;=核心参数输入!$B$9,IF(AND(核心参数输入!$B$100=1,OR(核心参数输入!$B$101=0,28-0&lt;=核心参数输入!$B$101)),MAX(0,AE110-MAX(0,AF88-0)),0),0)</f>
        <v>0</v>
      </c>
      <c r="AG110" s="9">
        <f>IF(29&lt;=核心参数输入!$B$9,IF(AND(核心参数输入!$B$100=1,OR(核心参数输入!$B$101=0,29-0&lt;=核心参数输入!$B$101)),MAX(0,AF110-MAX(0,AG88-0)),0),0)</f>
        <v>0</v>
      </c>
      <c r="AH110" s="9">
        <f>IF(30&lt;=核心参数输入!$B$9,IF(AND(核心参数输入!$B$100=1,OR(核心参数输入!$B$101=0,30-0&lt;=核心参数输入!$B$101)),MAX(0,AG110-MAX(0,AH88-0)),0),0)</f>
        <v>0</v>
      </c>
    </row>
    <row r="111" spans="1:34" ht="21" customHeight="1">
      <c r="A111" s="8" t="s">
        <v>587</v>
      </c>
      <c r="B111" s="8">
        <v>1</v>
      </c>
      <c r="C111" s="8"/>
      <c r="D111" s="9">
        <f>IF(0&lt;=核心参数输入!$B$9,0,0)</f>
        <v>0</v>
      </c>
      <c r="E111" s="9">
        <f>IF(1&lt;=核心参数输入!$B$9,E91,0)</f>
        <v>0</v>
      </c>
      <c r="F111" s="9">
        <f>IF(2&lt;=核心参数输入!$B$9,IF(AND(核心参数输入!$B$100=1,OR(核心参数输入!$B$101=0,2-1&lt;=核心参数输入!$B$101)),MAX(0,E111-MAX(0,F88-SUMIFS($E$110:$E$110,$B$110:$B$110,"&gt;="&amp;IF(核心参数输入!$B$101=0,0,2-核心参数输入!$B$101)))),0),0)</f>
        <v>0</v>
      </c>
      <c r="G111" s="9">
        <f>IF(3&lt;=核心参数输入!$B$9,IF(AND(核心参数输入!$B$100=1,OR(核心参数输入!$B$101=0,3-1&lt;=核心参数输入!$B$101)),MAX(0,F111-MAX(0,G88-SUMIFS($F$110:$F$110,$B$110:$B$110,"&gt;="&amp;IF(核心参数输入!$B$101=0,0,3-核心参数输入!$B$101)))),0),0)</f>
        <v>0</v>
      </c>
      <c r="H111" s="9">
        <f>IF(4&lt;=核心参数输入!$B$9,IF(AND(核心参数输入!$B$100=1,OR(核心参数输入!$B$101=0,4-1&lt;=核心参数输入!$B$101)),MAX(0,G111-MAX(0,H88-SUMIFS($G$110:$G$110,$B$110:$B$110,"&gt;="&amp;IF(核心参数输入!$B$101=0,0,4-核心参数输入!$B$101)))),0),0)</f>
        <v>0</v>
      </c>
      <c r="I111" s="9">
        <f>IF(5&lt;=核心参数输入!$B$9,IF(AND(核心参数输入!$B$100=1,OR(核心参数输入!$B$101=0,5-1&lt;=核心参数输入!$B$101)),MAX(0,H111-MAX(0,I88-SUMIFS($H$110:$H$110,$B$110:$B$110,"&gt;="&amp;IF(核心参数输入!$B$101=0,0,5-核心参数输入!$B$101)))),0),0)</f>
        <v>0</v>
      </c>
      <c r="J111" s="9">
        <f>IF(6&lt;=核心参数输入!$B$9,IF(AND(核心参数输入!$B$100=1,OR(核心参数输入!$B$101=0,6-1&lt;=核心参数输入!$B$101)),MAX(0,I111-MAX(0,J88-SUMIFS($I$110:$I$110,$B$110:$B$110,"&gt;="&amp;IF(核心参数输入!$B$101=0,0,6-核心参数输入!$B$101)))),0),0)</f>
        <v>0</v>
      </c>
      <c r="K111" s="9">
        <f>IF(7&lt;=核心参数输入!$B$9,IF(AND(核心参数输入!$B$100=1,OR(核心参数输入!$B$101=0,7-1&lt;=核心参数输入!$B$101)),MAX(0,J111-MAX(0,K88-SUMIFS($J$110:$J$110,$B$110:$B$110,"&gt;="&amp;IF(核心参数输入!$B$101=0,0,7-核心参数输入!$B$101)))),0),0)</f>
        <v>0</v>
      </c>
      <c r="L111" s="9">
        <f>IF(8&lt;=核心参数输入!$B$9,IF(AND(核心参数输入!$B$100=1,OR(核心参数输入!$B$101=0,8-1&lt;=核心参数输入!$B$101)),MAX(0,K111-MAX(0,L88-SUMIFS($K$110:$K$110,$B$110:$B$110,"&gt;="&amp;IF(核心参数输入!$B$101=0,0,8-核心参数输入!$B$101)))),0),0)</f>
        <v>0</v>
      </c>
      <c r="M111" s="9">
        <f>IF(9&lt;=核心参数输入!$B$9,IF(AND(核心参数输入!$B$100=1,OR(核心参数输入!$B$101=0,9-1&lt;=核心参数输入!$B$101)),MAX(0,L111-MAX(0,M88-SUMIFS($L$110:$L$110,$B$110:$B$110,"&gt;="&amp;IF(核心参数输入!$B$101=0,0,9-核心参数输入!$B$101)))),0),0)</f>
        <v>0</v>
      </c>
      <c r="N111" s="9">
        <f>IF(10&lt;=核心参数输入!$B$9,IF(AND(核心参数输入!$B$100=1,OR(核心参数输入!$B$101=0,10-1&lt;=核心参数输入!$B$101)),MAX(0,M111-MAX(0,N88-SUMIFS($M$110:$M$110,$B$110:$B$110,"&gt;="&amp;IF(核心参数输入!$B$101=0,0,10-核心参数输入!$B$101)))),0),0)</f>
        <v>0</v>
      </c>
      <c r="O111" s="9">
        <f>IF(11&lt;=核心参数输入!$B$9,IF(AND(核心参数输入!$B$100=1,OR(核心参数输入!$B$101=0,11-1&lt;=核心参数输入!$B$101)),MAX(0,N111-MAX(0,O88-SUMIFS($N$110:$N$110,$B$110:$B$110,"&gt;="&amp;IF(核心参数输入!$B$101=0,0,11-核心参数输入!$B$101)))),0),0)</f>
        <v>0</v>
      </c>
      <c r="P111" s="9">
        <f>IF(12&lt;=核心参数输入!$B$9,IF(AND(核心参数输入!$B$100=1,OR(核心参数输入!$B$101=0,12-1&lt;=核心参数输入!$B$101)),MAX(0,O111-MAX(0,P88-SUMIFS($O$110:$O$110,$B$110:$B$110,"&gt;="&amp;IF(核心参数输入!$B$101=0,0,12-核心参数输入!$B$101)))),0),0)</f>
        <v>0</v>
      </c>
      <c r="Q111" s="9">
        <f>IF(13&lt;=核心参数输入!$B$9,IF(AND(核心参数输入!$B$100=1,OR(核心参数输入!$B$101=0,13-1&lt;=核心参数输入!$B$101)),MAX(0,P111-MAX(0,Q88-SUMIFS($P$110:$P$110,$B$110:$B$110,"&gt;="&amp;IF(核心参数输入!$B$101=0,0,13-核心参数输入!$B$101)))),0),0)</f>
        <v>0</v>
      </c>
      <c r="R111" s="9">
        <f>IF(14&lt;=核心参数输入!$B$9,IF(AND(核心参数输入!$B$100=1,OR(核心参数输入!$B$101=0,14-1&lt;=核心参数输入!$B$101)),MAX(0,Q111-MAX(0,R88-SUMIFS($Q$110:$Q$110,$B$110:$B$110,"&gt;="&amp;IF(核心参数输入!$B$101=0,0,14-核心参数输入!$B$101)))),0),0)</f>
        <v>0</v>
      </c>
      <c r="S111" s="9">
        <f>IF(15&lt;=核心参数输入!$B$9,IF(AND(核心参数输入!$B$100=1,OR(核心参数输入!$B$101=0,15-1&lt;=核心参数输入!$B$101)),MAX(0,R111-MAX(0,S88-SUMIFS($R$110:$R$110,$B$110:$B$110,"&gt;="&amp;IF(核心参数输入!$B$101=0,0,15-核心参数输入!$B$101)))),0),0)</f>
        <v>0</v>
      </c>
      <c r="T111" s="9">
        <f>IF(16&lt;=核心参数输入!$B$9,IF(AND(核心参数输入!$B$100=1,OR(核心参数输入!$B$101=0,16-1&lt;=核心参数输入!$B$101)),MAX(0,S111-MAX(0,T88-SUMIFS($S$110:$S$110,$B$110:$B$110,"&gt;="&amp;IF(核心参数输入!$B$101=0,0,16-核心参数输入!$B$101)))),0),0)</f>
        <v>0</v>
      </c>
      <c r="U111" s="9">
        <f>IF(17&lt;=核心参数输入!$B$9,IF(AND(核心参数输入!$B$100=1,OR(核心参数输入!$B$101=0,17-1&lt;=核心参数输入!$B$101)),MAX(0,T111-MAX(0,U88-SUMIFS($T$110:$T$110,$B$110:$B$110,"&gt;="&amp;IF(核心参数输入!$B$101=0,0,17-核心参数输入!$B$101)))),0),0)</f>
        <v>0</v>
      </c>
      <c r="V111" s="9">
        <f>IF(18&lt;=核心参数输入!$B$9,IF(AND(核心参数输入!$B$100=1,OR(核心参数输入!$B$101=0,18-1&lt;=核心参数输入!$B$101)),MAX(0,U111-MAX(0,V88-SUMIFS($U$110:$U$110,$B$110:$B$110,"&gt;="&amp;IF(核心参数输入!$B$101=0,0,18-核心参数输入!$B$101)))),0),0)</f>
        <v>0</v>
      </c>
      <c r="W111" s="9">
        <f>IF(19&lt;=核心参数输入!$B$9,IF(AND(核心参数输入!$B$100=1,OR(核心参数输入!$B$101=0,19-1&lt;=核心参数输入!$B$101)),MAX(0,V111-MAX(0,W88-SUMIFS($V$110:$V$110,$B$110:$B$110,"&gt;="&amp;IF(核心参数输入!$B$101=0,0,19-核心参数输入!$B$101)))),0),0)</f>
        <v>0</v>
      </c>
      <c r="X111" s="9">
        <f>IF(20&lt;=核心参数输入!$B$9,IF(AND(核心参数输入!$B$100=1,OR(核心参数输入!$B$101=0,20-1&lt;=核心参数输入!$B$101)),MAX(0,W111-MAX(0,X88-SUMIFS($W$110:$W$110,$B$110:$B$110,"&gt;="&amp;IF(核心参数输入!$B$101=0,0,20-核心参数输入!$B$101)))),0),0)</f>
        <v>0</v>
      </c>
      <c r="Y111" s="9">
        <f>IF(21&lt;=核心参数输入!$B$9,IF(AND(核心参数输入!$B$100=1,OR(核心参数输入!$B$101=0,21-1&lt;=核心参数输入!$B$101)),MAX(0,X111-MAX(0,Y88-SUMIFS($X$110:$X$110,$B$110:$B$110,"&gt;="&amp;IF(核心参数输入!$B$101=0,0,21-核心参数输入!$B$101)))),0),0)</f>
        <v>0</v>
      </c>
      <c r="Z111" s="9">
        <f>IF(22&lt;=核心参数输入!$B$9,IF(AND(核心参数输入!$B$100=1,OR(核心参数输入!$B$101=0,22-1&lt;=核心参数输入!$B$101)),MAX(0,Y111-MAX(0,Z88-SUMIFS($Y$110:$Y$110,$B$110:$B$110,"&gt;="&amp;IF(核心参数输入!$B$101=0,0,22-核心参数输入!$B$101)))),0),0)</f>
        <v>0</v>
      </c>
      <c r="AA111" s="9">
        <f>IF(23&lt;=核心参数输入!$B$9,IF(AND(核心参数输入!$B$100=1,OR(核心参数输入!$B$101=0,23-1&lt;=核心参数输入!$B$101)),MAX(0,Z111-MAX(0,AA88-SUMIFS($Z$110:$Z$110,$B$110:$B$110,"&gt;="&amp;IF(核心参数输入!$B$101=0,0,23-核心参数输入!$B$101)))),0),0)</f>
        <v>0</v>
      </c>
      <c r="AB111" s="9">
        <f>IF(24&lt;=核心参数输入!$B$9,IF(AND(核心参数输入!$B$100=1,OR(核心参数输入!$B$101=0,24-1&lt;=核心参数输入!$B$101)),MAX(0,AA111-MAX(0,AB88-SUMIFS($AA$110:$AA$110,$B$110:$B$110,"&gt;="&amp;IF(核心参数输入!$B$101=0,0,24-核心参数输入!$B$101)))),0),0)</f>
        <v>0</v>
      </c>
      <c r="AC111" s="9">
        <f>IF(25&lt;=核心参数输入!$B$9,IF(AND(核心参数输入!$B$100=1,OR(核心参数输入!$B$101=0,25-1&lt;=核心参数输入!$B$101)),MAX(0,AB111-MAX(0,AC88-SUMIFS($AB$110:$AB$110,$B$110:$B$110,"&gt;="&amp;IF(核心参数输入!$B$101=0,0,25-核心参数输入!$B$101)))),0),0)</f>
        <v>0</v>
      </c>
      <c r="AD111" s="9">
        <f>IF(26&lt;=核心参数输入!$B$9,IF(AND(核心参数输入!$B$100=1,OR(核心参数输入!$B$101=0,26-1&lt;=核心参数输入!$B$101)),MAX(0,AC111-MAX(0,AD88-SUMIFS($AC$110:$AC$110,$B$110:$B$110,"&gt;="&amp;IF(核心参数输入!$B$101=0,0,26-核心参数输入!$B$101)))),0),0)</f>
        <v>0</v>
      </c>
      <c r="AE111" s="9">
        <f>IF(27&lt;=核心参数输入!$B$9,IF(AND(核心参数输入!$B$100=1,OR(核心参数输入!$B$101=0,27-1&lt;=核心参数输入!$B$101)),MAX(0,AD111-MAX(0,AE88-SUMIFS($AD$110:$AD$110,$B$110:$B$110,"&gt;="&amp;IF(核心参数输入!$B$101=0,0,27-核心参数输入!$B$101)))),0),0)</f>
        <v>0</v>
      </c>
      <c r="AF111" s="9">
        <f>IF(28&lt;=核心参数输入!$B$9,IF(AND(核心参数输入!$B$100=1,OR(核心参数输入!$B$101=0,28-1&lt;=核心参数输入!$B$101)),MAX(0,AE111-MAX(0,AF88-SUMIFS($AE$110:$AE$110,$B$110:$B$110,"&gt;="&amp;IF(核心参数输入!$B$101=0,0,28-核心参数输入!$B$101)))),0),0)</f>
        <v>0</v>
      </c>
      <c r="AG111" s="9">
        <f>IF(29&lt;=核心参数输入!$B$9,IF(AND(核心参数输入!$B$100=1,OR(核心参数输入!$B$101=0,29-1&lt;=核心参数输入!$B$101)),MAX(0,AF111-MAX(0,AG88-SUMIFS($AF$110:$AF$110,$B$110:$B$110,"&gt;="&amp;IF(核心参数输入!$B$101=0,0,29-核心参数输入!$B$101)))),0),0)</f>
        <v>0</v>
      </c>
      <c r="AH111" s="9">
        <f>IF(30&lt;=核心参数输入!$B$9,IF(AND(核心参数输入!$B$100=1,OR(核心参数输入!$B$101=0,30-1&lt;=核心参数输入!$B$101)),MAX(0,AG111-MAX(0,AH88-SUMIFS($AG$110:$AG$110,$B$110:$B$110,"&gt;="&amp;IF(核心参数输入!$B$101=0,0,30-核心参数输入!$B$101)))),0),0)</f>
        <v>0</v>
      </c>
    </row>
    <row r="112" spans="1:34" ht="21" customHeight="1">
      <c r="A112" s="8" t="s">
        <v>588</v>
      </c>
      <c r="B112" s="8">
        <v>2</v>
      </c>
      <c r="C112" s="8"/>
      <c r="D112" s="9">
        <f>IF(0&lt;=核心参数输入!$B$9,0,0)</f>
        <v>0</v>
      </c>
      <c r="E112" s="9">
        <f>IF(1&lt;=核心参数输入!$B$9,0,0)</f>
        <v>0</v>
      </c>
      <c r="F112" s="9">
        <f>IF(2&lt;=核心参数输入!$B$9,F91,0)</f>
        <v>0</v>
      </c>
      <c r="G112" s="9">
        <f>IF(3&lt;=核心参数输入!$B$9,IF(AND(核心参数输入!$B$100=1,OR(核心参数输入!$B$101=0,3-2&lt;=核心参数输入!$B$101)),MAX(0,F112-MAX(0,G88-SUMIFS($F$110:$F$111,$B$110:$B$111,"&gt;="&amp;IF(核心参数输入!$B$101=0,0,3-核心参数输入!$B$101)))),0),0)</f>
        <v>0</v>
      </c>
      <c r="H112" s="9">
        <f>IF(4&lt;=核心参数输入!$B$9,IF(AND(核心参数输入!$B$100=1,OR(核心参数输入!$B$101=0,4-2&lt;=核心参数输入!$B$101)),MAX(0,G112-MAX(0,H88-SUMIFS($G$110:$G$111,$B$110:$B$111,"&gt;="&amp;IF(核心参数输入!$B$101=0,0,4-核心参数输入!$B$101)))),0),0)</f>
        <v>0</v>
      </c>
      <c r="I112" s="9">
        <f>IF(5&lt;=核心参数输入!$B$9,IF(AND(核心参数输入!$B$100=1,OR(核心参数输入!$B$101=0,5-2&lt;=核心参数输入!$B$101)),MAX(0,H112-MAX(0,I88-SUMIFS($H$110:$H$111,$B$110:$B$111,"&gt;="&amp;IF(核心参数输入!$B$101=0,0,5-核心参数输入!$B$101)))),0),0)</f>
        <v>0</v>
      </c>
      <c r="J112" s="9">
        <f>IF(6&lt;=核心参数输入!$B$9,IF(AND(核心参数输入!$B$100=1,OR(核心参数输入!$B$101=0,6-2&lt;=核心参数输入!$B$101)),MAX(0,I112-MAX(0,J88-SUMIFS($I$110:$I$111,$B$110:$B$111,"&gt;="&amp;IF(核心参数输入!$B$101=0,0,6-核心参数输入!$B$101)))),0),0)</f>
        <v>0</v>
      </c>
      <c r="K112" s="9">
        <f>IF(7&lt;=核心参数输入!$B$9,IF(AND(核心参数输入!$B$100=1,OR(核心参数输入!$B$101=0,7-2&lt;=核心参数输入!$B$101)),MAX(0,J112-MAX(0,K88-SUMIFS($J$110:$J$111,$B$110:$B$111,"&gt;="&amp;IF(核心参数输入!$B$101=0,0,7-核心参数输入!$B$101)))),0),0)</f>
        <v>0</v>
      </c>
      <c r="L112" s="9">
        <f>IF(8&lt;=核心参数输入!$B$9,IF(AND(核心参数输入!$B$100=1,OR(核心参数输入!$B$101=0,8-2&lt;=核心参数输入!$B$101)),MAX(0,K112-MAX(0,L88-SUMIFS($K$110:$K$111,$B$110:$B$111,"&gt;="&amp;IF(核心参数输入!$B$101=0,0,8-核心参数输入!$B$101)))),0),0)</f>
        <v>0</v>
      </c>
      <c r="M112" s="9">
        <f>IF(9&lt;=核心参数输入!$B$9,IF(AND(核心参数输入!$B$100=1,OR(核心参数输入!$B$101=0,9-2&lt;=核心参数输入!$B$101)),MAX(0,L112-MAX(0,M88-SUMIFS($L$110:$L$111,$B$110:$B$111,"&gt;="&amp;IF(核心参数输入!$B$101=0,0,9-核心参数输入!$B$101)))),0),0)</f>
        <v>0</v>
      </c>
      <c r="N112" s="9">
        <f>IF(10&lt;=核心参数输入!$B$9,IF(AND(核心参数输入!$B$100=1,OR(核心参数输入!$B$101=0,10-2&lt;=核心参数输入!$B$101)),MAX(0,M112-MAX(0,N88-SUMIFS($M$110:$M$111,$B$110:$B$111,"&gt;="&amp;IF(核心参数输入!$B$101=0,0,10-核心参数输入!$B$101)))),0),0)</f>
        <v>0</v>
      </c>
      <c r="O112" s="9">
        <f>IF(11&lt;=核心参数输入!$B$9,IF(AND(核心参数输入!$B$100=1,OR(核心参数输入!$B$101=0,11-2&lt;=核心参数输入!$B$101)),MAX(0,N112-MAX(0,O88-SUMIFS($N$110:$N$111,$B$110:$B$111,"&gt;="&amp;IF(核心参数输入!$B$101=0,0,11-核心参数输入!$B$101)))),0),0)</f>
        <v>0</v>
      </c>
      <c r="P112" s="9">
        <f>IF(12&lt;=核心参数输入!$B$9,IF(AND(核心参数输入!$B$100=1,OR(核心参数输入!$B$101=0,12-2&lt;=核心参数输入!$B$101)),MAX(0,O112-MAX(0,P88-SUMIFS($O$110:$O$111,$B$110:$B$111,"&gt;="&amp;IF(核心参数输入!$B$101=0,0,12-核心参数输入!$B$101)))),0),0)</f>
        <v>0</v>
      </c>
      <c r="Q112" s="9">
        <f>IF(13&lt;=核心参数输入!$B$9,IF(AND(核心参数输入!$B$100=1,OR(核心参数输入!$B$101=0,13-2&lt;=核心参数输入!$B$101)),MAX(0,P112-MAX(0,Q88-SUMIFS($P$110:$P$111,$B$110:$B$111,"&gt;="&amp;IF(核心参数输入!$B$101=0,0,13-核心参数输入!$B$101)))),0),0)</f>
        <v>0</v>
      </c>
      <c r="R112" s="9">
        <f>IF(14&lt;=核心参数输入!$B$9,IF(AND(核心参数输入!$B$100=1,OR(核心参数输入!$B$101=0,14-2&lt;=核心参数输入!$B$101)),MAX(0,Q112-MAX(0,R88-SUMIFS($Q$110:$Q$111,$B$110:$B$111,"&gt;="&amp;IF(核心参数输入!$B$101=0,0,14-核心参数输入!$B$101)))),0),0)</f>
        <v>0</v>
      </c>
      <c r="S112" s="9">
        <f>IF(15&lt;=核心参数输入!$B$9,IF(AND(核心参数输入!$B$100=1,OR(核心参数输入!$B$101=0,15-2&lt;=核心参数输入!$B$101)),MAX(0,R112-MAX(0,S88-SUMIFS($R$110:$R$111,$B$110:$B$111,"&gt;="&amp;IF(核心参数输入!$B$101=0,0,15-核心参数输入!$B$101)))),0),0)</f>
        <v>0</v>
      </c>
      <c r="T112" s="9">
        <f>IF(16&lt;=核心参数输入!$B$9,IF(AND(核心参数输入!$B$100=1,OR(核心参数输入!$B$101=0,16-2&lt;=核心参数输入!$B$101)),MAX(0,S112-MAX(0,T88-SUMIFS($S$110:$S$111,$B$110:$B$111,"&gt;="&amp;IF(核心参数输入!$B$101=0,0,16-核心参数输入!$B$101)))),0),0)</f>
        <v>0</v>
      </c>
      <c r="U112" s="9">
        <f>IF(17&lt;=核心参数输入!$B$9,IF(AND(核心参数输入!$B$100=1,OR(核心参数输入!$B$101=0,17-2&lt;=核心参数输入!$B$101)),MAX(0,T112-MAX(0,U88-SUMIFS($T$110:$T$111,$B$110:$B$111,"&gt;="&amp;IF(核心参数输入!$B$101=0,0,17-核心参数输入!$B$101)))),0),0)</f>
        <v>0</v>
      </c>
      <c r="V112" s="9">
        <f>IF(18&lt;=核心参数输入!$B$9,IF(AND(核心参数输入!$B$100=1,OR(核心参数输入!$B$101=0,18-2&lt;=核心参数输入!$B$101)),MAX(0,U112-MAX(0,V88-SUMIFS($U$110:$U$111,$B$110:$B$111,"&gt;="&amp;IF(核心参数输入!$B$101=0,0,18-核心参数输入!$B$101)))),0),0)</f>
        <v>0</v>
      </c>
      <c r="W112" s="9">
        <f>IF(19&lt;=核心参数输入!$B$9,IF(AND(核心参数输入!$B$100=1,OR(核心参数输入!$B$101=0,19-2&lt;=核心参数输入!$B$101)),MAX(0,V112-MAX(0,W88-SUMIFS($V$110:$V$111,$B$110:$B$111,"&gt;="&amp;IF(核心参数输入!$B$101=0,0,19-核心参数输入!$B$101)))),0),0)</f>
        <v>0</v>
      </c>
      <c r="X112" s="9">
        <f>IF(20&lt;=核心参数输入!$B$9,IF(AND(核心参数输入!$B$100=1,OR(核心参数输入!$B$101=0,20-2&lt;=核心参数输入!$B$101)),MAX(0,W112-MAX(0,X88-SUMIFS($W$110:$W$111,$B$110:$B$111,"&gt;="&amp;IF(核心参数输入!$B$101=0,0,20-核心参数输入!$B$101)))),0),0)</f>
        <v>0</v>
      </c>
      <c r="Y112" s="9">
        <f>IF(21&lt;=核心参数输入!$B$9,IF(AND(核心参数输入!$B$100=1,OR(核心参数输入!$B$101=0,21-2&lt;=核心参数输入!$B$101)),MAX(0,X112-MAX(0,Y88-SUMIFS($X$110:$X$111,$B$110:$B$111,"&gt;="&amp;IF(核心参数输入!$B$101=0,0,21-核心参数输入!$B$101)))),0),0)</f>
        <v>0</v>
      </c>
      <c r="Z112" s="9">
        <f>IF(22&lt;=核心参数输入!$B$9,IF(AND(核心参数输入!$B$100=1,OR(核心参数输入!$B$101=0,22-2&lt;=核心参数输入!$B$101)),MAX(0,Y112-MAX(0,Z88-SUMIFS($Y$110:$Y$111,$B$110:$B$111,"&gt;="&amp;IF(核心参数输入!$B$101=0,0,22-核心参数输入!$B$101)))),0),0)</f>
        <v>0</v>
      </c>
      <c r="AA112" s="9">
        <f>IF(23&lt;=核心参数输入!$B$9,IF(AND(核心参数输入!$B$100=1,OR(核心参数输入!$B$101=0,23-2&lt;=核心参数输入!$B$101)),MAX(0,Z112-MAX(0,AA88-SUMIFS($Z$110:$Z$111,$B$110:$B$111,"&gt;="&amp;IF(核心参数输入!$B$101=0,0,23-核心参数输入!$B$101)))),0),0)</f>
        <v>0</v>
      </c>
      <c r="AB112" s="9">
        <f>IF(24&lt;=核心参数输入!$B$9,IF(AND(核心参数输入!$B$100=1,OR(核心参数输入!$B$101=0,24-2&lt;=核心参数输入!$B$101)),MAX(0,AA112-MAX(0,AB88-SUMIFS($AA$110:$AA$111,$B$110:$B$111,"&gt;="&amp;IF(核心参数输入!$B$101=0,0,24-核心参数输入!$B$101)))),0),0)</f>
        <v>0</v>
      </c>
      <c r="AC112" s="9">
        <f>IF(25&lt;=核心参数输入!$B$9,IF(AND(核心参数输入!$B$100=1,OR(核心参数输入!$B$101=0,25-2&lt;=核心参数输入!$B$101)),MAX(0,AB112-MAX(0,AC88-SUMIFS($AB$110:$AB$111,$B$110:$B$111,"&gt;="&amp;IF(核心参数输入!$B$101=0,0,25-核心参数输入!$B$101)))),0),0)</f>
        <v>0</v>
      </c>
      <c r="AD112" s="9">
        <f>IF(26&lt;=核心参数输入!$B$9,IF(AND(核心参数输入!$B$100=1,OR(核心参数输入!$B$101=0,26-2&lt;=核心参数输入!$B$101)),MAX(0,AC112-MAX(0,AD88-SUMIFS($AC$110:$AC$111,$B$110:$B$111,"&gt;="&amp;IF(核心参数输入!$B$101=0,0,26-核心参数输入!$B$101)))),0),0)</f>
        <v>0</v>
      </c>
      <c r="AE112" s="9">
        <f>IF(27&lt;=核心参数输入!$B$9,IF(AND(核心参数输入!$B$100=1,OR(核心参数输入!$B$101=0,27-2&lt;=核心参数输入!$B$101)),MAX(0,AD112-MAX(0,AE88-SUMIFS($AD$110:$AD$111,$B$110:$B$111,"&gt;="&amp;IF(核心参数输入!$B$101=0,0,27-核心参数输入!$B$101)))),0),0)</f>
        <v>0</v>
      </c>
      <c r="AF112" s="9">
        <f>IF(28&lt;=核心参数输入!$B$9,IF(AND(核心参数输入!$B$100=1,OR(核心参数输入!$B$101=0,28-2&lt;=核心参数输入!$B$101)),MAX(0,AE112-MAX(0,AF88-SUMIFS($AE$110:$AE$111,$B$110:$B$111,"&gt;="&amp;IF(核心参数输入!$B$101=0,0,28-核心参数输入!$B$101)))),0),0)</f>
        <v>0</v>
      </c>
      <c r="AG112" s="9">
        <f>IF(29&lt;=核心参数输入!$B$9,IF(AND(核心参数输入!$B$100=1,OR(核心参数输入!$B$101=0,29-2&lt;=核心参数输入!$B$101)),MAX(0,AF112-MAX(0,AG88-SUMIFS($AF$110:$AF$111,$B$110:$B$111,"&gt;="&amp;IF(核心参数输入!$B$101=0,0,29-核心参数输入!$B$101)))),0),0)</f>
        <v>0</v>
      </c>
      <c r="AH112" s="9">
        <f>IF(30&lt;=核心参数输入!$B$9,IF(AND(核心参数输入!$B$100=1,OR(核心参数输入!$B$101=0,30-2&lt;=核心参数输入!$B$101)),MAX(0,AG112-MAX(0,AH88-SUMIFS($AG$110:$AG$111,$B$110:$B$111,"&gt;="&amp;IF(核心参数输入!$B$101=0,0,30-核心参数输入!$B$101)))),0),0)</f>
        <v>0</v>
      </c>
    </row>
    <row r="113" spans="1:34" ht="21" customHeight="1">
      <c r="A113" s="8" t="s">
        <v>589</v>
      </c>
      <c r="B113" s="8">
        <v>3</v>
      </c>
      <c r="C113" s="8"/>
      <c r="D113" s="9">
        <f>IF(0&lt;=核心参数输入!$B$9,0,0)</f>
        <v>0</v>
      </c>
      <c r="E113" s="9">
        <f>IF(1&lt;=核心参数输入!$B$9,0,0)</f>
        <v>0</v>
      </c>
      <c r="F113" s="9">
        <f>IF(2&lt;=核心参数输入!$B$9,0,0)</f>
        <v>0</v>
      </c>
      <c r="G113" s="9">
        <f>IF(3&lt;=核心参数输入!$B$9,G91,0)</f>
        <v>0</v>
      </c>
      <c r="H113" s="9">
        <f>IF(4&lt;=核心参数输入!$B$9,IF(AND(核心参数输入!$B$100=1,OR(核心参数输入!$B$101=0,4-3&lt;=核心参数输入!$B$101)),MAX(0,G113-MAX(0,H88-SUMIFS($G$110:$G$112,$B$110:$B$112,"&gt;="&amp;IF(核心参数输入!$B$101=0,0,4-核心参数输入!$B$101)))),0),0)</f>
        <v>0</v>
      </c>
      <c r="I113" s="9">
        <f>IF(5&lt;=核心参数输入!$B$9,IF(AND(核心参数输入!$B$100=1,OR(核心参数输入!$B$101=0,5-3&lt;=核心参数输入!$B$101)),MAX(0,H113-MAX(0,I88-SUMIFS($H$110:$H$112,$B$110:$B$112,"&gt;="&amp;IF(核心参数输入!$B$101=0,0,5-核心参数输入!$B$101)))),0),0)</f>
        <v>0</v>
      </c>
      <c r="J113" s="9">
        <f>IF(6&lt;=核心参数输入!$B$9,IF(AND(核心参数输入!$B$100=1,OR(核心参数输入!$B$101=0,6-3&lt;=核心参数输入!$B$101)),MAX(0,I113-MAX(0,J88-SUMIFS($I$110:$I$112,$B$110:$B$112,"&gt;="&amp;IF(核心参数输入!$B$101=0,0,6-核心参数输入!$B$101)))),0),0)</f>
        <v>0</v>
      </c>
      <c r="K113" s="9">
        <f>IF(7&lt;=核心参数输入!$B$9,IF(AND(核心参数输入!$B$100=1,OR(核心参数输入!$B$101=0,7-3&lt;=核心参数输入!$B$101)),MAX(0,J113-MAX(0,K88-SUMIFS($J$110:$J$112,$B$110:$B$112,"&gt;="&amp;IF(核心参数输入!$B$101=0,0,7-核心参数输入!$B$101)))),0),0)</f>
        <v>0</v>
      </c>
      <c r="L113" s="9">
        <f>IF(8&lt;=核心参数输入!$B$9,IF(AND(核心参数输入!$B$100=1,OR(核心参数输入!$B$101=0,8-3&lt;=核心参数输入!$B$101)),MAX(0,K113-MAX(0,L88-SUMIFS($K$110:$K$112,$B$110:$B$112,"&gt;="&amp;IF(核心参数输入!$B$101=0,0,8-核心参数输入!$B$101)))),0),0)</f>
        <v>0</v>
      </c>
      <c r="M113" s="9">
        <f>IF(9&lt;=核心参数输入!$B$9,IF(AND(核心参数输入!$B$100=1,OR(核心参数输入!$B$101=0,9-3&lt;=核心参数输入!$B$101)),MAX(0,L113-MAX(0,M88-SUMIFS($L$110:$L$112,$B$110:$B$112,"&gt;="&amp;IF(核心参数输入!$B$101=0,0,9-核心参数输入!$B$101)))),0),0)</f>
        <v>0</v>
      </c>
      <c r="N113" s="9">
        <f>IF(10&lt;=核心参数输入!$B$9,IF(AND(核心参数输入!$B$100=1,OR(核心参数输入!$B$101=0,10-3&lt;=核心参数输入!$B$101)),MAX(0,M113-MAX(0,N88-SUMIFS($M$110:$M$112,$B$110:$B$112,"&gt;="&amp;IF(核心参数输入!$B$101=0,0,10-核心参数输入!$B$101)))),0),0)</f>
        <v>0</v>
      </c>
      <c r="O113" s="9">
        <f>IF(11&lt;=核心参数输入!$B$9,IF(AND(核心参数输入!$B$100=1,OR(核心参数输入!$B$101=0,11-3&lt;=核心参数输入!$B$101)),MAX(0,N113-MAX(0,O88-SUMIFS($N$110:$N$112,$B$110:$B$112,"&gt;="&amp;IF(核心参数输入!$B$101=0,0,11-核心参数输入!$B$101)))),0),0)</f>
        <v>0</v>
      </c>
      <c r="P113" s="9">
        <f>IF(12&lt;=核心参数输入!$B$9,IF(AND(核心参数输入!$B$100=1,OR(核心参数输入!$B$101=0,12-3&lt;=核心参数输入!$B$101)),MAX(0,O113-MAX(0,P88-SUMIFS($O$110:$O$112,$B$110:$B$112,"&gt;="&amp;IF(核心参数输入!$B$101=0,0,12-核心参数输入!$B$101)))),0),0)</f>
        <v>0</v>
      </c>
      <c r="Q113" s="9">
        <f>IF(13&lt;=核心参数输入!$B$9,IF(AND(核心参数输入!$B$100=1,OR(核心参数输入!$B$101=0,13-3&lt;=核心参数输入!$B$101)),MAX(0,P113-MAX(0,Q88-SUMIFS($P$110:$P$112,$B$110:$B$112,"&gt;="&amp;IF(核心参数输入!$B$101=0,0,13-核心参数输入!$B$101)))),0),0)</f>
        <v>0</v>
      </c>
      <c r="R113" s="9">
        <f>IF(14&lt;=核心参数输入!$B$9,IF(AND(核心参数输入!$B$100=1,OR(核心参数输入!$B$101=0,14-3&lt;=核心参数输入!$B$101)),MAX(0,Q113-MAX(0,R88-SUMIFS($Q$110:$Q$112,$B$110:$B$112,"&gt;="&amp;IF(核心参数输入!$B$101=0,0,14-核心参数输入!$B$101)))),0),0)</f>
        <v>0</v>
      </c>
      <c r="S113" s="9">
        <f>IF(15&lt;=核心参数输入!$B$9,IF(AND(核心参数输入!$B$100=1,OR(核心参数输入!$B$101=0,15-3&lt;=核心参数输入!$B$101)),MAX(0,R113-MAX(0,S88-SUMIFS($R$110:$R$112,$B$110:$B$112,"&gt;="&amp;IF(核心参数输入!$B$101=0,0,15-核心参数输入!$B$101)))),0),0)</f>
        <v>0</v>
      </c>
      <c r="T113" s="9">
        <f>IF(16&lt;=核心参数输入!$B$9,IF(AND(核心参数输入!$B$100=1,OR(核心参数输入!$B$101=0,16-3&lt;=核心参数输入!$B$101)),MAX(0,S113-MAX(0,T88-SUMIFS($S$110:$S$112,$B$110:$B$112,"&gt;="&amp;IF(核心参数输入!$B$101=0,0,16-核心参数输入!$B$101)))),0),0)</f>
        <v>0</v>
      </c>
      <c r="U113" s="9">
        <f>IF(17&lt;=核心参数输入!$B$9,IF(AND(核心参数输入!$B$100=1,OR(核心参数输入!$B$101=0,17-3&lt;=核心参数输入!$B$101)),MAX(0,T113-MAX(0,U88-SUMIFS($T$110:$T$112,$B$110:$B$112,"&gt;="&amp;IF(核心参数输入!$B$101=0,0,17-核心参数输入!$B$101)))),0),0)</f>
        <v>0</v>
      </c>
      <c r="V113" s="9">
        <f>IF(18&lt;=核心参数输入!$B$9,IF(AND(核心参数输入!$B$100=1,OR(核心参数输入!$B$101=0,18-3&lt;=核心参数输入!$B$101)),MAX(0,U113-MAX(0,V88-SUMIFS($U$110:$U$112,$B$110:$B$112,"&gt;="&amp;IF(核心参数输入!$B$101=0,0,18-核心参数输入!$B$101)))),0),0)</f>
        <v>0</v>
      </c>
      <c r="W113" s="9">
        <f>IF(19&lt;=核心参数输入!$B$9,IF(AND(核心参数输入!$B$100=1,OR(核心参数输入!$B$101=0,19-3&lt;=核心参数输入!$B$101)),MAX(0,V113-MAX(0,W88-SUMIFS($V$110:$V$112,$B$110:$B$112,"&gt;="&amp;IF(核心参数输入!$B$101=0,0,19-核心参数输入!$B$101)))),0),0)</f>
        <v>0</v>
      </c>
      <c r="X113" s="9">
        <f>IF(20&lt;=核心参数输入!$B$9,IF(AND(核心参数输入!$B$100=1,OR(核心参数输入!$B$101=0,20-3&lt;=核心参数输入!$B$101)),MAX(0,W113-MAX(0,X88-SUMIFS($W$110:$W$112,$B$110:$B$112,"&gt;="&amp;IF(核心参数输入!$B$101=0,0,20-核心参数输入!$B$101)))),0),0)</f>
        <v>0</v>
      </c>
      <c r="Y113" s="9">
        <f>IF(21&lt;=核心参数输入!$B$9,IF(AND(核心参数输入!$B$100=1,OR(核心参数输入!$B$101=0,21-3&lt;=核心参数输入!$B$101)),MAX(0,X113-MAX(0,Y88-SUMIFS($X$110:$X$112,$B$110:$B$112,"&gt;="&amp;IF(核心参数输入!$B$101=0,0,21-核心参数输入!$B$101)))),0),0)</f>
        <v>0</v>
      </c>
      <c r="Z113" s="9">
        <f>IF(22&lt;=核心参数输入!$B$9,IF(AND(核心参数输入!$B$100=1,OR(核心参数输入!$B$101=0,22-3&lt;=核心参数输入!$B$101)),MAX(0,Y113-MAX(0,Z88-SUMIFS($Y$110:$Y$112,$B$110:$B$112,"&gt;="&amp;IF(核心参数输入!$B$101=0,0,22-核心参数输入!$B$101)))),0),0)</f>
        <v>0</v>
      </c>
      <c r="AA113" s="9">
        <f>IF(23&lt;=核心参数输入!$B$9,IF(AND(核心参数输入!$B$100=1,OR(核心参数输入!$B$101=0,23-3&lt;=核心参数输入!$B$101)),MAX(0,Z113-MAX(0,AA88-SUMIFS($Z$110:$Z$112,$B$110:$B$112,"&gt;="&amp;IF(核心参数输入!$B$101=0,0,23-核心参数输入!$B$101)))),0),0)</f>
        <v>0</v>
      </c>
      <c r="AB113" s="9">
        <f>IF(24&lt;=核心参数输入!$B$9,IF(AND(核心参数输入!$B$100=1,OR(核心参数输入!$B$101=0,24-3&lt;=核心参数输入!$B$101)),MAX(0,AA113-MAX(0,AB88-SUMIFS($AA$110:$AA$112,$B$110:$B$112,"&gt;="&amp;IF(核心参数输入!$B$101=0,0,24-核心参数输入!$B$101)))),0),0)</f>
        <v>0</v>
      </c>
      <c r="AC113" s="9">
        <f>IF(25&lt;=核心参数输入!$B$9,IF(AND(核心参数输入!$B$100=1,OR(核心参数输入!$B$101=0,25-3&lt;=核心参数输入!$B$101)),MAX(0,AB113-MAX(0,AC88-SUMIFS($AB$110:$AB$112,$B$110:$B$112,"&gt;="&amp;IF(核心参数输入!$B$101=0,0,25-核心参数输入!$B$101)))),0),0)</f>
        <v>0</v>
      </c>
      <c r="AD113" s="9">
        <f>IF(26&lt;=核心参数输入!$B$9,IF(AND(核心参数输入!$B$100=1,OR(核心参数输入!$B$101=0,26-3&lt;=核心参数输入!$B$101)),MAX(0,AC113-MAX(0,AD88-SUMIFS($AC$110:$AC$112,$B$110:$B$112,"&gt;="&amp;IF(核心参数输入!$B$101=0,0,26-核心参数输入!$B$101)))),0),0)</f>
        <v>0</v>
      </c>
      <c r="AE113" s="9">
        <f>IF(27&lt;=核心参数输入!$B$9,IF(AND(核心参数输入!$B$100=1,OR(核心参数输入!$B$101=0,27-3&lt;=核心参数输入!$B$101)),MAX(0,AD113-MAX(0,AE88-SUMIFS($AD$110:$AD$112,$B$110:$B$112,"&gt;="&amp;IF(核心参数输入!$B$101=0,0,27-核心参数输入!$B$101)))),0),0)</f>
        <v>0</v>
      </c>
      <c r="AF113" s="9">
        <f>IF(28&lt;=核心参数输入!$B$9,IF(AND(核心参数输入!$B$100=1,OR(核心参数输入!$B$101=0,28-3&lt;=核心参数输入!$B$101)),MAX(0,AE113-MAX(0,AF88-SUMIFS($AE$110:$AE$112,$B$110:$B$112,"&gt;="&amp;IF(核心参数输入!$B$101=0,0,28-核心参数输入!$B$101)))),0),0)</f>
        <v>0</v>
      </c>
      <c r="AG113" s="9">
        <f>IF(29&lt;=核心参数输入!$B$9,IF(AND(核心参数输入!$B$100=1,OR(核心参数输入!$B$101=0,29-3&lt;=核心参数输入!$B$101)),MAX(0,AF113-MAX(0,AG88-SUMIFS($AF$110:$AF$112,$B$110:$B$112,"&gt;="&amp;IF(核心参数输入!$B$101=0,0,29-核心参数输入!$B$101)))),0),0)</f>
        <v>0</v>
      </c>
      <c r="AH113" s="9">
        <f>IF(30&lt;=核心参数输入!$B$9,IF(AND(核心参数输入!$B$100=1,OR(核心参数输入!$B$101=0,30-3&lt;=核心参数输入!$B$101)),MAX(0,AG113-MAX(0,AH88-SUMIFS($AG$110:$AG$112,$B$110:$B$112,"&gt;="&amp;IF(核心参数输入!$B$101=0,0,30-核心参数输入!$B$101)))),0),0)</f>
        <v>0</v>
      </c>
    </row>
    <row r="114" spans="1:34" ht="21" customHeight="1">
      <c r="A114" s="8" t="s">
        <v>590</v>
      </c>
      <c r="B114" s="8">
        <v>4</v>
      </c>
      <c r="C114" s="8"/>
      <c r="D114" s="9">
        <f>IF(0&lt;=核心参数输入!$B$9,0,0)</f>
        <v>0</v>
      </c>
      <c r="E114" s="9">
        <f>IF(1&lt;=核心参数输入!$B$9,0,0)</f>
        <v>0</v>
      </c>
      <c r="F114" s="9">
        <f>IF(2&lt;=核心参数输入!$B$9,0,0)</f>
        <v>0</v>
      </c>
      <c r="G114" s="9">
        <f>IF(3&lt;=核心参数输入!$B$9,0,0)</f>
        <v>0</v>
      </c>
      <c r="H114" s="9">
        <f>IF(4&lt;=核心参数输入!$B$9,H91,0)</f>
        <v>0</v>
      </c>
      <c r="I114" s="9">
        <f>IF(5&lt;=核心参数输入!$B$9,IF(AND(核心参数输入!$B$100=1,OR(核心参数输入!$B$101=0,5-4&lt;=核心参数输入!$B$101)),MAX(0,H114-MAX(0,I88-SUMIFS($H$110:$H$113,$B$110:$B$113,"&gt;="&amp;IF(核心参数输入!$B$101=0,0,5-核心参数输入!$B$101)))),0),0)</f>
        <v>0</v>
      </c>
      <c r="J114" s="9">
        <f>IF(6&lt;=核心参数输入!$B$9,IF(AND(核心参数输入!$B$100=1,OR(核心参数输入!$B$101=0,6-4&lt;=核心参数输入!$B$101)),MAX(0,I114-MAX(0,J88-SUMIFS($I$110:$I$113,$B$110:$B$113,"&gt;="&amp;IF(核心参数输入!$B$101=0,0,6-核心参数输入!$B$101)))),0),0)</f>
        <v>0</v>
      </c>
      <c r="K114" s="9">
        <f>IF(7&lt;=核心参数输入!$B$9,IF(AND(核心参数输入!$B$100=1,OR(核心参数输入!$B$101=0,7-4&lt;=核心参数输入!$B$101)),MAX(0,J114-MAX(0,K88-SUMIFS($J$110:$J$113,$B$110:$B$113,"&gt;="&amp;IF(核心参数输入!$B$101=0,0,7-核心参数输入!$B$101)))),0),0)</f>
        <v>0</v>
      </c>
      <c r="L114" s="9">
        <f>IF(8&lt;=核心参数输入!$B$9,IF(AND(核心参数输入!$B$100=1,OR(核心参数输入!$B$101=0,8-4&lt;=核心参数输入!$B$101)),MAX(0,K114-MAX(0,L88-SUMIFS($K$110:$K$113,$B$110:$B$113,"&gt;="&amp;IF(核心参数输入!$B$101=0,0,8-核心参数输入!$B$101)))),0),0)</f>
        <v>0</v>
      </c>
      <c r="M114" s="9">
        <f>IF(9&lt;=核心参数输入!$B$9,IF(AND(核心参数输入!$B$100=1,OR(核心参数输入!$B$101=0,9-4&lt;=核心参数输入!$B$101)),MAX(0,L114-MAX(0,M88-SUMIFS($L$110:$L$113,$B$110:$B$113,"&gt;="&amp;IF(核心参数输入!$B$101=0,0,9-核心参数输入!$B$101)))),0),0)</f>
        <v>0</v>
      </c>
      <c r="N114" s="9">
        <f>IF(10&lt;=核心参数输入!$B$9,IF(AND(核心参数输入!$B$100=1,OR(核心参数输入!$B$101=0,10-4&lt;=核心参数输入!$B$101)),MAX(0,M114-MAX(0,N88-SUMIFS($M$110:$M$113,$B$110:$B$113,"&gt;="&amp;IF(核心参数输入!$B$101=0,0,10-核心参数输入!$B$101)))),0),0)</f>
        <v>0</v>
      </c>
      <c r="O114" s="9">
        <f>IF(11&lt;=核心参数输入!$B$9,IF(AND(核心参数输入!$B$100=1,OR(核心参数输入!$B$101=0,11-4&lt;=核心参数输入!$B$101)),MAX(0,N114-MAX(0,O88-SUMIFS($N$110:$N$113,$B$110:$B$113,"&gt;="&amp;IF(核心参数输入!$B$101=0,0,11-核心参数输入!$B$101)))),0),0)</f>
        <v>0</v>
      </c>
      <c r="P114" s="9">
        <f>IF(12&lt;=核心参数输入!$B$9,IF(AND(核心参数输入!$B$100=1,OR(核心参数输入!$B$101=0,12-4&lt;=核心参数输入!$B$101)),MAX(0,O114-MAX(0,P88-SUMIFS($O$110:$O$113,$B$110:$B$113,"&gt;="&amp;IF(核心参数输入!$B$101=0,0,12-核心参数输入!$B$101)))),0),0)</f>
        <v>0</v>
      </c>
      <c r="Q114" s="9">
        <f>IF(13&lt;=核心参数输入!$B$9,IF(AND(核心参数输入!$B$100=1,OR(核心参数输入!$B$101=0,13-4&lt;=核心参数输入!$B$101)),MAX(0,P114-MAX(0,Q88-SUMIFS($P$110:$P$113,$B$110:$B$113,"&gt;="&amp;IF(核心参数输入!$B$101=0,0,13-核心参数输入!$B$101)))),0),0)</f>
        <v>0</v>
      </c>
      <c r="R114" s="9">
        <f>IF(14&lt;=核心参数输入!$B$9,IF(AND(核心参数输入!$B$100=1,OR(核心参数输入!$B$101=0,14-4&lt;=核心参数输入!$B$101)),MAX(0,Q114-MAX(0,R88-SUMIFS($Q$110:$Q$113,$B$110:$B$113,"&gt;="&amp;IF(核心参数输入!$B$101=0,0,14-核心参数输入!$B$101)))),0),0)</f>
        <v>0</v>
      </c>
      <c r="S114" s="9">
        <f>IF(15&lt;=核心参数输入!$B$9,IF(AND(核心参数输入!$B$100=1,OR(核心参数输入!$B$101=0,15-4&lt;=核心参数输入!$B$101)),MAX(0,R114-MAX(0,S88-SUMIFS($R$110:$R$113,$B$110:$B$113,"&gt;="&amp;IF(核心参数输入!$B$101=0,0,15-核心参数输入!$B$101)))),0),0)</f>
        <v>0</v>
      </c>
      <c r="T114" s="9">
        <f>IF(16&lt;=核心参数输入!$B$9,IF(AND(核心参数输入!$B$100=1,OR(核心参数输入!$B$101=0,16-4&lt;=核心参数输入!$B$101)),MAX(0,S114-MAX(0,T88-SUMIFS($S$110:$S$113,$B$110:$B$113,"&gt;="&amp;IF(核心参数输入!$B$101=0,0,16-核心参数输入!$B$101)))),0),0)</f>
        <v>0</v>
      </c>
      <c r="U114" s="9">
        <f>IF(17&lt;=核心参数输入!$B$9,IF(AND(核心参数输入!$B$100=1,OR(核心参数输入!$B$101=0,17-4&lt;=核心参数输入!$B$101)),MAX(0,T114-MAX(0,U88-SUMIFS($T$110:$T$113,$B$110:$B$113,"&gt;="&amp;IF(核心参数输入!$B$101=0,0,17-核心参数输入!$B$101)))),0),0)</f>
        <v>0</v>
      </c>
      <c r="V114" s="9">
        <f>IF(18&lt;=核心参数输入!$B$9,IF(AND(核心参数输入!$B$100=1,OR(核心参数输入!$B$101=0,18-4&lt;=核心参数输入!$B$101)),MAX(0,U114-MAX(0,V88-SUMIFS($U$110:$U$113,$B$110:$B$113,"&gt;="&amp;IF(核心参数输入!$B$101=0,0,18-核心参数输入!$B$101)))),0),0)</f>
        <v>0</v>
      </c>
      <c r="W114" s="9">
        <f>IF(19&lt;=核心参数输入!$B$9,IF(AND(核心参数输入!$B$100=1,OR(核心参数输入!$B$101=0,19-4&lt;=核心参数输入!$B$101)),MAX(0,V114-MAX(0,W88-SUMIFS($V$110:$V$113,$B$110:$B$113,"&gt;="&amp;IF(核心参数输入!$B$101=0,0,19-核心参数输入!$B$101)))),0),0)</f>
        <v>0</v>
      </c>
      <c r="X114" s="9">
        <f>IF(20&lt;=核心参数输入!$B$9,IF(AND(核心参数输入!$B$100=1,OR(核心参数输入!$B$101=0,20-4&lt;=核心参数输入!$B$101)),MAX(0,W114-MAX(0,X88-SUMIFS($W$110:$W$113,$B$110:$B$113,"&gt;="&amp;IF(核心参数输入!$B$101=0,0,20-核心参数输入!$B$101)))),0),0)</f>
        <v>0</v>
      </c>
      <c r="Y114" s="9">
        <f>IF(21&lt;=核心参数输入!$B$9,IF(AND(核心参数输入!$B$100=1,OR(核心参数输入!$B$101=0,21-4&lt;=核心参数输入!$B$101)),MAX(0,X114-MAX(0,Y88-SUMIFS($X$110:$X$113,$B$110:$B$113,"&gt;="&amp;IF(核心参数输入!$B$101=0,0,21-核心参数输入!$B$101)))),0),0)</f>
        <v>0</v>
      </c>
      <c r="Z114" s="9">
        <f>IF(22&lt;=核心参数输入!$B$9,IF(AND(核心参数输入!$B$100=1,OR(核心参数输入!$B$101=0,22-4&lt;=核心参数输入!$B$101)),MAX(0,Y114-MAX(0,Z88-SUMIFS($Y$110:$Y$113,$B$110:$B$113,"&gt;="&amp;IF(核心参数输入!$B$101=0,0,22-核心参数输入!$B$101)))),0),0)</f>
        <v>0</v>
      </c>
      <c r="AA114" s="9">
        <f>IF(23&lt;=核心参数输入!$B$9,IF(AND(核心参数输入!$B$100=1,OR(核心参数输入!$B$101=0,23-4&lt;=核心参数输入!$B$101)),MAX(0,Z114-MAX(0,AA88-SUMIFS($Z$110:$Z$113,$B$110:$B$113,"&gt;="&amp;IF(核心参数输入!$B$101=0,0,23-核心参数输入!$B$101)))),0),0)</f>
        <v>0</v>
      </c>
      <c r="AB114" s="9">
        <f>IF(24&lt;=核心参数输入!$B$9,IF(AND(核心参数输入!$B$100=1,OR(核心参数输入!$B$101=0,24-4&lt;=核心参数输入!$B$101)),MAX(0,AA114-MAX(0,AB88-SUMIFS($AA$110:$AA$113,$B$110:$B$113,"&gt;="&amp;IF(核心参数输入!$B$101=0,0,24-核心参数输入!$B$101)))),0),0)</f>
        <v>0</v>
      </c>
      <c r="AC114" s="9">
        <f>IF(25&lt;=核心参数输入!$B$9,IF(AND(核心参数输入!$B$100=1,OR(核心参数输入!$B$101=0,25-4&lt;=核心参数输入!$B$101)),MAX(0,AB114-MAX(0,AC88-SUMIFS($AB$110:$AB$113,$B$110:$B$113,"&gt;="&amp;IF(核心参数输入!$B$101=0,0,25-核心参数输入!$B$101)))),0),0)</f>
        <v>0</v>
      </c>
      <c r="AD114" s="9">
        <f>IF(26&lt;=核心参数输入!$B$9,IF(AND(核心参数输入!$B$100=1,OR(核心参数输入!$B$101=0,26-4&lt;=核心参数输入!$B$101)),MAX(0,AC114-MAX(0,AD88-SUMIFS($AC$110:$AC$113,$B$110:$B$113,"&gt;="&amp;IF(核心参数输入!$B$101=0,0,26-核心参数输入!$B$101)))),0),0)</f>
        <v>0</v>
      </c>
      <c r="AE114" s="9">
        <f>IF(27&lt;=核心参数输入!$B$9,IF(AND(核心参数输入!$B$100=1,OR(核心参数输入!$B$101=0,27-4&lt;=核心参数输入!$B$101)),MAX(0,AD114-MAX(0,AE88-SUMIFS($AD$110:$AD$113,$B$110:$B$113,"&gt;="&amp;IF(核心参数输入!$B$101=0,0,27-核心参数输入!$B$101)))),0),0)</f>
        <v>0</v>
      </c>
      <c r="AF114" s="9">
        <f>IF(28&lt;=核心参数输入!$B$9,IF(AND(核心参数输入!$B$100=1,OR(核心参数输入!$B$101=0,28-4&lt;=核心参数输入!$B$101)),MAX(0,AE114-MAX(0,AF88-SUMIFS($AE$110:$AE$113,$B$110:$B$113,"&gt;="&amp;IF(核心参数输入!$B$101=0,0,28-核心参数输入!$B$101)))),0),0)</f>
        <v>0</v>
      </c>
      <c r="AG114" s="9">
        <f>IF(29&lt;=核心参数输入!$B$9,IF(AND(核心参数输入!$B$100=1,OR(核心参数输入!$B$101=0,29-4&lt;=核心参数输入!$B$101)),MAX(0,AF114-MAX(0,AG88-SUMIFS($AF$110:$AF$113,$B$110:$B$113,"&gt;="&amp;IF(核心参数输入!$B$101=0,0,29-核心参数输入!$B$101)))),0),0)</f>
        <v>0</v>
      </c>
      <c r="AH114" s="9">
        <f>IF(30&lt;=核心参数输入!$B$9,IF(AND(核心参数输入!$B$100=1,OR(核心参数输入!$B$101=0,30-4&lt;=核心参数输入!$B$101)),MAX(0,AG114-MAX(0,AH88-SUMIFS($AG$110:$AG$113,$B$110:$B$113,"&gt;="&amp;IF(核心参数输入!$B$101=0,0,30-核心参数输入!$B$101)))),0),0)</f>
        <v>0</v>
      </c>
    </row>
    <row r="115" spans="1:34" ht="21" customHeight="1">
      <c r="A115" s="8" t="s">
        <v>591</v>
      </c>
      <c r="B115" s="8">
        <v>5</v>
      </c>
      <c r="C115" s="8"/>
      <c r="D115" s="9">
        <f>IF(0&lt;=核心参数输入!$B$9,0,0)</f>
        <v>0</v>
      </c>
      <c r="E115" s="9">
        <f>IF(1&lt;=核心参数输入!$B$9,0,0)</f>
        <v>0</v>
      </c>
      <c r="F115" s="9">
        <f>IF(2&lt;=核心参数输入!$B$9,0,0)</f>
        <v>0</v>
      </c>
      <c r="G115" s="9">
        <f>IF(3&lt;=核心参数输入!$B$9,0,0)</f>
        <v>0</v>
      </c>
      <c r="H115" s="9">
        <f>IF(4&lt;=核心参数输入!$B$9,0,0)</f>
        <v>0</v>
      </c>
      <c r="I115" s="9">
        <f>IF(5&lt;=核心参数输入!$B$9,I91,0)</f>
        <v>0</v>
      </c>
      <c r="J115" s="9">
        <f>IF(6&lt;=核心参数输入!$B$9,IF(AND(核心参数输入!$B$100=1,OR(核心参数输入!$B$101=0,6-5&lt;=核心参数输入!$B$101)),MAX(0,I115-MAX(0,J88-SUMIFS($I$110:$I$114,$B$110:$B$114,"&gt;="&amp;IF(核心参数输入!$B$101=0,0,6-核心参数输入!$B$101)))),0),0)</f>
        <v>0</v>
      </c>
      <c r="K115" s="9">
        <f>IF(7&lt;=核心参数输入!$B$9,IF(AND(核心参数输入!$B$100=1,OR(核心参数输入!$B$101=0,7-5&lt;=核心参数输入!$B$101)),MAX(0,J115-MAX(0,K88-SUMIFS($J$110:$J$114,$B$110:$B$114,"&gt;="&amp;IF(核心参数输入!$B$101=0,0,7-核心参数输入!$B$101)))),0),0)</f>
        <v>0</v>
      </c>
      <c r="L115" s="9">
        <f>IF(8&lt;=核心参数输入!$B$9,IF(AND(核心参数输入!$B$100=1,OR(核心参数输入!$B$101=0,8-5&lt;=核心参数输入!$B$101)),MAX(0,K115-MAX(0,L88-SUMIFS($K$110:$K$114,$B$110:$B$114,"&gt;="&amp;IF(核心参数输入!$B$101=0,0,8-核心参数输入!$B$101)))),0),0)</f>
        <v>0</v>
      </c>
      <c r="M115" s="9">
        <f>IF(9&lt;=核心参数输入!$B$9,IF(AND(核心参数输入!$B$100=1,OR(核心参数输入!$B$101=0,9-5&lt;=核心参数输入!$B$101)),MAX(0,L115-MAX(0,M88-SUMIFS($L$110:$L$114,$B$110:$B$114,"&gt;="&amp;IF(核心参数输入!$B$101=0,0,9-核心参数输入!$B$101)))),0),0)</f>
        <v>0</v>
      </c>
      <c r="N115" s="9">
        <f>IF(10&lt;=核心参数输入!$B$9,IF(AND(核心参数输入!$B$100=1,OR(核心参数输入!$B$101=0,10-5&lt;=核心参数输入!$B$101)),MAX(0,M115-MAX(0,N88-SUMIFS($M$110:$M$114,$B$110:$B$114,"&gt;="&amp;IF(核心参数输入!$B$101=0,0,10-核心参数输入!$B$101)))),0),0)</f>
        <v>0</v>
      </c>
      <c r="O115" s="9">
        <f>IF(11&lt;=核心参数输入!$B$9,IF(AND(核心参数输入!$B$100=1,OR(核心参数输入!$B$101=0,11-5&lt;=核心参数输入!$B$101)),MAX(0,N115-MAX(0,O88-SUMIFS($N$110:$N$114,$B$110:$B$114,"&gt;="&amp;IF(核心参数输入!$B$101=0,0,11-核心参数输入!$B$101)))),0),0)</f>
        <v>0</v>
      </c>
      <c r="P115" s="9">
        <f>IF(12&lt;=核心参数输入!$B$9,IF(AND(核心参数输入!$B$100=1,OR(核心参数输入!$B$101=0,12-5&lt;=核心参数输入!$B$101)),MAX(0,O115-MAX(0,P88-SUMIFS($O$110:$O$114,$B$110:$B$114,"&gt;="&amp;IF(核心参数输入!$B$101=0,0,12-核心参数输入!$B$101)))),0),0)</f>
        <v>0</v>
      </c>
      <c r="Q115" s="9">
        <f>IF(13&lt;=核心参数输入!$B$9,IF(AND(核心参数输入!$B$100=1,OR(核心参数输入!$B$101=0,13-5&lt;=核心参数输入!$B$101)),MAX(0,P115-MAX(0,Q88-SUMIFS($P$110:$P$114,$B$110:$B$114,"&gt;="&amp;IF(核心参数输入!$B$101=0,0,13-核心参数输入!$B$101)))),0),0)</f>
        <v>0</v>
      </c>
      <c r="R115" s="9">
        <f>IF(14&lt;=核心参数输入!$B$9,IF(AND(核心参数输入!$B$100=1,OR(核心参数输入!$B$101=0,14-5&lt;=核心参数输入!$B$101)),MAX(0,Q115-MAX(0,R88-SUMIFS($Q$110:$Q$114,$B$110:$B$114,"&gt;="&amp;IF(核心参数输入!$B$101=0,0,14-核心参数输入!$B$101)))),0),0)</f>
        <v>0</v>
      </c>
      <c r="S115" s="9">
        <f>IF(15&lt;=核心参数输入!$B$9,IF(AND(核心参数输入!$B$100=1,OR(核心参数输入!$B$101=0,15-5&lt;=核心参数输入!$B$101)),MAX(0,R115-MAX(0,S88-SUMIFS($R$110:$R$114,$B$110:$B$114,"&gt;="&amp;IF(核心参数输入!$B$101=0,0,15-核心参数输入!$B$101)))),0),0)</f>
        <v>0</v>
      </c>
      <c r="T115" s="9">
        <f>IF(16&lt;=核心参数输入!$B$9,IF(AND(核心参数输入!$B$100=1,OR(核心参数输入!$B$101=0,16-5&lt;=核心参数输入!$B$101)),MAX(0,S115-MAX(0,T88-SUMIFS($S$110:$S$114,$B$110:$B$114,"&gt;="&amp;IF(核心参数输入!$B$101=0,0,16-核心参数输入!$B$101)))),0),0)</f>
        <v>0</v>
      </c>
      <c r="U115" s="9">
        <f>IF(17&lt;=核心参数输入!$B$9,IF(AND(核心参数输入!$B$100=1,OR(核心参数输入!$B$101=0,17-5&lt;=核心参数输入!$B$101)),MAX(0,T115-MAX(0,U88-SUMIFS($T$110:$T$114,$B$110:$B$114,"&gt;="&amp;IF(核心参数输入!$B$101=0,0,17-核心参数输入!$B$101)))),0),0)</f>
        <v>0</v>
      </c>
      <c r="V115" s="9">
        <f>IF(18&lt;=核心参数输入!$B$9,IF(AND(核心参数输入!$B$100=1,OR(核心参数输入!$B$101=0,18-5&lt;=核心参数输入!$B$101)),MAX(0,U115-MAX(0,V88-SUMIFS($U$110:$U$114,$B$110:$B$114,"&gt;="&amp;IF(核心参数输入!$B$101=0,0,18-核心参数输入!$B$101)))),0),0)</f>
        <v>0</v>
      </c>
      <c r="W115" s="9">
        <f>IF(19&lt;=核心参数输入!$B$9,IF(AND(核心参数输入!$B$100=1,OR(核心参数输入!$B$101=0,19-5&lt;=核心参数输入!$B$101)),MAX(0,V115-MAX(0,W88-SUMIFS($V$110:$V$114,$B$110:$B$114,"&gt;="&amp;IF(核心参数输入!$B$101=0,0,19-核心参数输入!$B$101)))),0),0)</f>
        <v>0</v>
      </c>
      <c r="X115" s="9">
        <f>IF(20&lt;=核心参数输入!$B$9,IF(AND(核心参数输入!$B$100=1,OR(核心参数输入!$B$101=0,20-5&lt;=核心参数输入!$B$101)),MAX(0,W115-MAX(0,X88-SUMIFS($W$110:$W$114,$B$110:$B$114,"&gt;="&amp;IF(核心参数输入!$B$101=0,0,20-核心参数输入!$B$101)))),0),0)</f>
        <v>0</v>
      </c>
      <c r="Y115" s="9">
        <f>IF(21&lt;=核心参数输入!$B$9,IF(AND(核心参数输入!$B$100=1,OR(核心参数输入!$B$101=0,21-5&lt;=核心参数输入!$B$101)),MAX(0,X115-MAX(0,Y88-SUMIFS($X$110:$X$114,$B$110:$B$114,"&gt;="&amp;IF(核心参数输入!$B$101=0,0,21-核心参数输入!$B$101)))),0),0)</f>
        <v>0</v>
      </c>
      <c r="Z115" s="9">
        <f>IF(22&lt;=核心参数输入!$B$9,IF(AND(核心参数输入!$B$100=1,OR(核心参数输入!$B$101=0,22-5&lt;=核心参数输入!$B$101)),MAX(0,Y115-MAX(0,Z88-SUMIFS($Y$110:$Y$114,$B$110:$B$114,"&gt;="&amp;IF(核心参数输入!$B$101=0,0,22-核心参数输入!$B$101)))),0),0)</f>
        <v>0</v>
      </c>
      <c r="AA115" s="9">
        <f>IF(23&lt;=核心参数输入!$B$9,IF(AND(核心参数输入!$B$100=1,OR(核心参数输入!$B$101=0,23-5&lt;=核心参数输入!$B$101)),MAX(0,Z115-MAX(0,AA88-SUMIFS($Z$110:$Z$114,$B$110:$B$114,"&gt;="&amp;IF(核心参数输入!$B$101=0,0,23-核心参数输入!$B$101)))),0),0)</f>
        <v>0</v>
      </c>
      <c r="AB115" s="9">
        <f>IF(24&lt;=核心参数输入!$B$9,IF(AND(核心参数输入!$B$100=1,OR(核心参数输入!$B$101=0,24-5&lt;=核心参数输入!$B$101)),MAX(0,AA115-MAX(0,AB88-SUMIFS($AA$110:$AA$114,$B$110:$B$114,"&gt;="&amp;IF(核心参数输入!$B$101=0,0,24-核心参数输入!$B$101)))),0),0)</f>
        <v>0</v>
      </c>
      <c r="AC115" s="9">
        <f>IF(25&lt;=核心参数输入!$B$9,IF(AND(核心参数输入!$B$100=1,OR(核心参数输入!$B$101=0,25-5&lt;=核心参数输入!$B$101)),MAX(0,AB115-MAX(0,AC88-SUMIFS($AB$110:$AB$114,$B$110:$B$114,"&gt;="&amp;IF(核心参数输入!$B$101=0,0,25-核心参数输入!$B$101)))),0),0)</f>
        <v>0</v>
      </c>
      <c r="AD115" s="9">
        <f>IF(26&lt;=核心参数输入!$B$9,IF(AND(核心参数输入!$B$100=1,OR(核心参数输入!$B$101=0,26-5&lt;=核心参数输入!$B$101)),MAX(0,AC115-MAX(0,AD88-SUMIFS($AC$110:$AC$114,$B$110:$B$114,"&gt;="&amp;IF(核心参数输入!$B$101=0,0,26-核心参数输入!$B$101)))),0),0)</f>
        <v>0</v>
      </c>
      <c r="AE115" s="9">
        <f>IF(27&lt;=核心参数输入!$B$9,IF(AND(核心参数输入!$B$100=1,OR(核心参数输入!$B$101=0,27-5&lt;=核心参数输入!$B$101)),MAX(0,AD115-MAX(0,AE88-SUMIFS($AD$110:$AD$114,$B$110:$B$114,"&gt;="&amp;IF(核心参数输入!$B$101=0,0,27-核心参数输入!$B$101)))),0),0)</f>
        <v>0</v>
      </c>
      <c r="AF115" s="9">
        <f>IF(28&lt;=核心参数输入!$B$9,IF(AND(核心参数输入!$B$100=1,OR(核心参数输入!$B$101=0,28-5&lt;=核心参数输入!$B$101)),MAX(0,AE115-MAX(0,AF88-SUMIFS($AE$110:$AE$114,$B$110:$B$114,"&gt;="&amp;IF(核心参数输入!$B$101=0,0,28-核心参数输入!$B$101)))),0),0)</f>
        <v>0</v>
      </c>
      <c r="AG115" s="9">
        <f>IF(29&lt;=核心参数输入!$B$9,IF(AND(核心参数输入!$B$100=1,OR(核心参数输入!$B$101=0,29-5&lt;=核心参数输入!$B$101)),MAX(0,AF115-MAX(0,AG88-SUMIFS($AF$110:$AF$114,$B$110:$B$114,"&gt;="&amp;IF(核心参数输入!$B$101=0,0,29-核心参数输入!$B$101)))),0),0)</f>
        <v>0</v>
      </c>
      <c r="AH115" s="9">
        <f>IF(30&lt;=核心参数输入!$B$9,IF(AND(核心参数输入!$B$100=1,OR(核心参数输入!$B$101=0,30-5&lt;=核心参数输入!$B$101)),MAX(0,AG115-MAX(0,AH88-SUMIFS($AG$110:$AG$114,$B$110:$B$114,"&gt;="&amp;IF(核心参数输入!$B$101=0,0,30-核心参数输入!$B$101)))),0),0)</f>
        <v>0</v>
      </c>
    </row>
    <row r="116" spans="1:34" ht="21" customHeight="1">
      <c r="A116" s="8" t="s">
        <v>592</v>
      </c>
      <c r="B116" s="8">
        <v>6</v>
      </c>
      <c r="C116" s="8"/>
      <c r="D116" s="9">
        <f>IF(0&lt;=核心参数输入!$B$9,0,0)</f>
        <v>0</v>
      </c>
      <c r="E116" s="9">
        <f>IF(1&lt;=核心参数输入!$B$9,0,0)</f>
        <v>0</v>
      </c>
      <c r="F116" s="9">
        <f>IF(2&lt;=核心参数输入!$B$9,0,0)</f>
        <v>0</v>
      </c>
      <c r="G116" s="9">
        <f>IF(3&lt;=核心参数输入!$B$9,0,0)</f>
        <v>0</v>
      </c>
      <c r="H116" s="9">
        <f>IF(4&lt;=核心参数输入!$B$9,0,0)</f>
        <v>0</v>
      </c>
      <c r="I116" s="9">
        <f>IF(5&lt;=核心参数输入!$B$9,0,0)</f>
        <v>0</v>
      </c>
      <c r="J116" s="9">
        <f>IF(6&lt;=核心参数输入!$B$9,J91,0)</f>
        <v>0</v>
      </c>
      <c r="K116" s="9">
        <f>IF(7&lt;=核心参数输入!$B$9,IF(AND(核心参数输入!$B$100=1,OR(核心参数输入!$B$101=0,7-6&lt;=核心参数输入!$B$101)),MAX(0,J116-MAX(0,K88-SUMIFS($J$110:$J$115,$B$110:$B$115,"&gt;="&amp;IF(核心参数输入!$B$101=0,0,7-核心参数输入!$B$101)))),0),0)</f>
        <v>0</v>
      </c>
      <c r="L116" s="9">
        <f>IF(8&lt;=核心参数输入!$B$9,IF(AND(核心参数输入!$B$100=1,OR(核心参数输入!$B$101=0,8-6&lt;=核心参数输入!$B$101)),MAX(0,K116-MAX(0,L88-SUMIFS($K$110:$K$115,$B$110:$B$115,"&gt;="&amp;IF(核心参数输入!$B$101=0,0,8-核心参数输入!$B$101)))),0),0)</f>
        <v>0</v>
      </c>
      <c r="M116" s="9">
        <f>IF(9&lt;=核心参数输入!$B$9,IF(AND(核心参数输入!$B$100=1,OR(核心参数输入!$B$101=0,9-6&lt;=核心参数输入!$B$101)),MAX(0,L116-MAX(0,M88-SUMIFS($L$110:$L$115,$B$110:$B$115,"&gt;="&amp;IF(核心参数输入!$B$101=0,0,9-核心参数输入!$B$101)))),0),0)</f>
        <v>0</v>
      </c>
      <c r="N116" s="9">
        <f>IF(10&lt;=核心参数输入!$B$9,IF(AND(核心参数输入!$B$100=1,OR(核心参数输入!$B$101=0,10-6&lt;=核心参数输入!$B$101)),MAX(0,M116-MAX(0,N88-SUMIFS($M$110:$M$115,$B$110:$B$115,"&gt;="&amp;IF(核心参数输入!$B$101=0,0,10-核心参数输入!$B$101)))),0),0)</f>
        <v>0</v>
      </c>
      <c r="O116" s="9">
        <f>IF(11&lt;=核心参数输入!$B$9,IF(AND(核心参数输入!$B$100=1,OR(核心参数输入!$B$101=0,11-6&lt;=核心参数输入!$B$101)),MAX(0,N116-MAX(0,O88-SUMIFS($N$110:$N$115,$B$110:$B$115,"&gt;="&amp;IF(核心参数输入!$B$101=0,0,11-核心参数输入!$B$101)))),0),0)</f>
        <v>0</v>
      </c>
      <c r="P116" s="9">
        <f>IF(12&lt;=核心参数输入!$B$9,IF(AND(核心参数输入!$B$100=1,OR(核心参数输入!$B$101=0,12-6&lt;=核心参数输入!$B$101)),MAX(0,O116-MAX(0,P88-SUMIFS($O$110:$O$115,$B$110:$B$115,"&gt;="&amp;IF(核心参数输入!$B$101=0,0,12-核心参数输入!$B$101)))),0),0)</f>
        <v>0</v>
      </c>
      <c r="Q116" s="9">
        <f>IF(13&lt;=核心参数输入!$B$9,IF(AND(核心参数输入!$B$100=1,OR(核心参数输入!$B$101=0,13-6&lt;=核心参数输入!$B$101)),MAX(0,P116-MAX(0,Q88-SUMIFS($P$110:$P$115,$B$110:$B$115,"&gt;="&amp;IF(核心参数输入!$B$101=0,0,13-核心参数输入!$B$101)))),0),0)</f>
        <v>0</v>
      </c>
      <c r="R116" s="9">
        <f>IF(14&lt;=核心参数输入!$B$9,IF(AND(核心参数输入!$B$100=1,OR(核心参数输入!$B$101=0,14-6&lt;=核心参数输入!$B$101)),MAX(0,Q116-MAX(0,R88-SUMIFS($Q$110:$Q$115,$B$110:$B$115,"&gt;="&amp;IF(核心参数输入!$B$101=0,0,14-核心参数输入!$B$101)))),0),0)</f>
        <v>0</v>
      </c>
      <c r="S116" s="9">
        <f>IF(15&lt;=核心参数输入!$B$9,IF(AND(核心参数输入!$B$100=1,OR(核心参数输入!$B$101=0,15-6&lt;=核心参数输入!$B$101)),MAX(0,R116-MAX(0,S88-SUMIFS($R$110:$R$115,$B$110:$B$115,"&gt;="&amp;IF(核心参数输入!$B$101=0,0,15-核心参数输入!$B$101)))),0),0)</f>
        <v>0</v>
      </c>
      <c r="T116" s="9">
        <f>IF(16&lt;=核心参数输入!$B$9,IF(AND(核心参数输入!$B$100=1,OR(核心参数输入!$B$101=0,16-6&lt;=核心参数输入!$B$101)),MAX(0,S116-MAX(0,T88-SUMIFS($S$110:$S$115,$B$110:$B$115,"&gt;="&amp;IF(核心参数输入!$B$101=0,0,16-核心参数输入!$B$101)))),0),0)</f>
        <v>0</v>
      </c>
      <c r="U116" s="9">
        <f>IF(17&lt;=核心参数输入!$B$9,IF(AND(核心参数输入!$B$100=1,OR(核心参数输入!$B$101=0,17-6&lt;=核心参数输入!$B$101)),MAX(0,T116-MAX(0,U88-SUMIFS($T$110:$T$115,$B$110:$B$115,"&gt;="&amp;IF(核心参数输入!$B$101=0,0,17-核心参数输入!$B$101)))),0),0)</f>
        <v>0</v>
      </c>
      <c r="V116" s="9">
        <f>IF(18&lt;=核心参数输入!$B$9,IF(AND(核心参数输入!$B$100=1,OR(核心参数输入!$B$101=0,18-6&lt;=核心参数输入!$B$101)),MAX(0,U116-MAX(0,V88-SUMIFS($U$110:$U$115,$B$110:$B$115,"&gt;="&amp;IF(核心参数输入!$B$101=0,0,18-核心参数输入!$B$101)))),0),0)</f>
        <v>0</v>
      </c>
      <c r="W116" s="9">
        <f>IF(19&lt;=核心参数输入!$B$9,IF(AND(核心参数输入!$B$100=1,OR(核心参数输入!$B$101=0,19-6&lt;=核心参数输入!$B$101)),MAX(0,V116-MAX(0,W88-SUMIFS($V$110:$V$115,$B$110:$B$115,"&gt;="&amp;IF(核心参数输入!$B$101=0,0,19-核心参数输入!$B$101)))),0),0)</f>
        <v>0</v>
      </c>
      <c r="X116" s="9">
        <f>IF(20&lt;=核心参数输入!$B$9,IF(AND(核心参数输入!$B$100=1,OR(核心参数输入!$B$101=0,20-6&lt;=核心参数输入!$B$101)),MAX(0,W116-MAX(0,X88-SUMIFS($W$110:$W$115,$B$110:$B$115,"&gt;="&amp;IF(核心参数输入!$B$101=0,0,20-核心参数输入!$B$101)))),0),0)</f>
        <v>0</v>
      </c>
      <c r="Y116" s="9">
        <f>IF(21&lt;=核心参数输入!$B$9,IF(AND(核心参数输入!$B$100=1,OR(核心参数输入!$B$101=0,21-6&lt;=核心参数输入!$B$101)),MAX(0,X116-MAX(0,Y88-SUMIFS($X$110:$X$115,$B$110:$B$115,"&gt;="&amp;IF(核心参数输入!$B$101=0,0,21-核心参数输入!$B$101)))),0),0)</f>
        <v>0</v>
      </c>
      <c r="Z116" s="9">
        <f>IF(22&lt;=核心参数输入!$B$9,IF(AND(核心参数输入!$B$100=1,OR(核心参数输入!$B$101=0,22-6&lt;=核心参数输入!$B$101)),MAX(0,Y116-MAX(0,Z88-SUMIFS($Y$110:$Y$115,$B$110:$B$115,"&gt;="&amp;IF(核心参数输入!$B$101=0,0,22-核心参数输入!$B$101)))),0),0)</f>
        <v>0</v>
      </c>
      <c r="AA116" s="9">
        <f>IF(23&lt;=核心参数输入!$B$9,IF(AND(核心参数输入!$B$100=1,OR(核心参数输入!$B$101=0,23-6&lt;=核心参数输入!$B$101)),MAX(0,Z116-MAX(0,AA88-SUMIFS($Z$110:$Z$115,$B$110:$B$115,"&gt;="&amp;IF(核心参数输入!$B$101=0,0,23-核心参数输入!$B$101)))),0),0)</f>
        <v>0</v>
      </c>
      <c r="AB116" s="9">
        <f>IF(24&lt;=核心参数输入!$B$9,IF(AND(核心参数输入!$B$100=1,OR(核心参数输入!$B$101=0,24-6&lt;=核心参数输入!$B$101)),MAX(0,AA116-MAX(0,AB88-SUMIFS($AA$110:$AA$115,$B$110:$B$115,"&gt;="&amp;IF(核心参数输入!$B$101=0,0,24-核心参数输入!$B$101)))),0),0)</f>
        <v>0</v>
      </c>
      <c r="AC116" s="9">
        <f>IF(25&lt;=核心参数输入!$B$9,IF(AND(核心参数输入!$B$100=1,OR(核心参数输入!$B$101=0,25-6&lt;=核心参数输入!$B$101)),MAX(0,AB116-MAX(0,AC88-SUMIFS($AB$110:$AB$115,$B$110:$B$115,"&gt;="&amp;IF(核心参数输入!$B$101=0,0,25-核心参数输入!$B$101)))),0),0)</f>
        <v>0</v>
      </c>
      <c r="AD116" s="9">
        <f>IF(26&lt;=核心参数输入!$B$9,IF(AND(核心参数输入!$B$100=1,OR(核心参数输入!$B$101=0,26-6&lt;=核心参数输入!$B$101)),MAX(0,AC116-MAX(0,AD88-SUMIFS($AC$110:$AC$115,$B$110:$B$115,"&gt;="&amp;IF(核心参数输入!$B$101=0,0,26-核心参数输入!$B$101)))),0),0)</f>
        <v>0</v>
      </c>
      <c r="AE116" s="9">
        <f>IF(27&lt;=核心参数输入!$B$9,IF(AND(核心参数输入!$B$100=1,OR(核心参数输入!$B$101=0,27-6&lt;=核心参数输入!$B$101)),MAX(0,AD116-MAX(0,AE88-SUMIFS($AD$110:$AD$115,$B$110:$B$115,"&gt;="&amp;IF(核心参数输入!$B$101=0,0,27-核心参数输入!$B$101)))),0),0)</f>
        <v>0</v>
      </c>
      <c r="AF116" s="9">
        <f>IF(28&lt;=核心参数输入!$B$9,IF(AND(核心参数输入!$B$100=1,OR(核心参数输入!$B$101=0,28-6&lt;=核心参数输入!$B$101)),MAX(0,AE116-MAX(0,AF88-SUMIFS($AE$110:$AE$115,$B$110:$B$115,"&gt;="&amp;IF(核心参数输入!$B$101=0,0,28-核心参数输入!$B$101)))),0),0)</f>
        <v>0</v>
      </c>
      <c r="AG116" s="9">
        <f>IF(29&lt;=核心参数输入!$B$9,IF(AND(核心参数输入!$B$100=1,OR(核心参数输入!$B$101=0,29-6&lt;=核心参数输入!$B$101)),MAX(0,AF116-MAX(0,AG88-SUMIFS($AF$110:$AF$115,$B$110:$B$115,"&gt;="&amp;IF(核心参数输入!$B$101=0,0,29-核心参数输入!$B$101)))),0),0)</f>
        <v>0</v>
      </c>
      <c r="AH116" s="9">
        <f>IF(30&lt;=核心参数输入!$B$9,IF(AND(核心参数输入!$B$100=1,OR(核心参数输入!$B$101=0,30-6&lt;=核心参数输入!$B$101)),MAX(0,AG116-MAX(0,AH88-SUMIFS($AG$110:$AG$115,$B$110:$B$115,"&gt;="&amp;IF(核心参数输入!$B$101=0,0,30-核心参数输入!$B$101)))),0),0)</f>
        <v>0</v>
      </c>
    </row>
    <row r="117" spans="1:34" ht="21" customHeight="1">
      <c r="A117" s="8" t="s">
        <v>593</v>
      </c>
      <c r="B117" s="8">
        <v>7</v>
      </c>
      <c r="C117" s="8"/>
      <c r="D117" s="9">
        <f>IF(0&lt;=核心参数输入!$B$9,0,0)</f>
        <v>0</v>
      </c>
      <c r="E117" s="9">
        <f>IF(1&lt;=核心参数输入!$B$9,0,0)</f>
        <v>0</v>
      </c>
      <c r="F117" s="9">
        <f>IF(2&lt;=核心参数输入!$B$9,0,0)</f>
        <v>0</v>
      </c>
      <c r="G117" s="9">
        <f>IF(3&lt;=核心参数输入!$B$9,0,0)</f>
        <v>0</v>
      </c>
      <c r="H117" s="9">
        <f>IF(4&lt;=核心参数输入!$B$9,0,0)</f>
        <v>0</v>
      </c>
      <c r="I117" s="9">
        <f>IF(5&lt;=核心参数输入!$B$9,0,0)</f>
        <v>0</v>
      </c>
      <c r="J117" s="9">
        <f>IF(6&lt;=核心参数输入!$B$9,0,0)</f>
        <v>0</v>
      </c>
      <c r="K117" s="9">
        <f>IF(7&lt;=核心参数输入!$B$9,K91,0)</f>
        <v>613.76954094021517</v>
      </c>
      <c r="L117" s="9">
        <f>IF(8&lt;=核心参数输入!$B$9,IF(AND(核心参数输入!$B$100=1,OR(核心参数输入!$B$101=0,8-7&lt;=核心参数输入!$B$101)),MAX(0,K117-MAX(0,L88-SUMIFS($K$110:$K$116,$B$110:$B$116,"&gt;="&amp;IF(核心参数输入!$B$101=0,0,8-核心参数输入!$B$101)))),0),0)</f>
        <v>613.76954094021517</v>
      </c>
      <c r="M117" s="9">
        <f>IF(9&lt;=核心参数输入!$B$9,IF(AND(核心参数输入!$B$100=1,OR(核心参数输入!$B$101=0,9-7&lt;=核心参数输入!$B$101)),MAX(0,L117-MAX(0,M88-SUMIFS($L$110:$L$116,$B$110:$B$116,"&gt;="&amp;IF(核心参数输入!$B$101=0,0,9-核心参数输入!$B$101)))),0),0)</f>
        <v>613.76954094021517</v>
      </c>
      <c r="N117" s="9">
        <f>IF(10&lt;=核心参数输入!$B$9,IF(AND(核心参数输入!$B$100=1,OR(核心参数输入!$B$101=0,10-7&lt;=核心参数输入!$B$101)),MAX(0,M117-MAX(0,N88-SUMIFS($M$110:$M$116,$B$110:$B$116,"&gt;="&amp;IF(核心参数输入!$B$101=0,0,10-核心参数输入!$B$101)))),0),0)</f>
        <v>570.52904698122302</v>
      </c>
      <c r="O117" s="9">
        <f>IF(11&lt;=核心参数输入!$B$9,IF(AND(核心参数输入!$B$100=1,OR(核心参数输入!$B$101=0,11-7&lt;=核心参数输入!$B$101)),MAX(0,N117-MAX(0,O88-SUMIFS($N$110:$N$116,$B$110:$B$116,"&gt;="&amp;IF(核心参数输入!$B$101=0,0,11-核心参数输入!$B$101)))),0),0)</f>
        <v>352.97105174174214</v>
      </c>
      <c r="P117" s="9">
        <f>IF(12&lt;=核心参数输入!$B$9,IF(AND(核心参数输入!$B$100=1,OR(核心参数输入!$B$101=0,12-7&lt;=核心参数输入!$B$101)),MAX(0,O117-MAX(0,P88-SUMIFS($O$110:$O$116,$B$110:$B$116,"&gt;="&amp;IF(核心参数输入!$B$101=0,0,12-核心参数输入!$B$101)))),0),0)</f>
        <v>118.37707757514323</v>
      </c>
      <c r="Q117" s="9">
        <f>IF(13&lt;=核心参数输入!$B$9,IF(AND(核心参数输入!$B$100=1,OR(核心参数输入!$B$101=0,13-7&lt;=核心参数输入!$B$101)),MAX(0,P117-MAX(0,Q88-SUMIFS($P$110:$P$116,$B$110:$B$116,"&gt;="&amp;IF(核心参数输入!$B$101=0,0,13-核心参数输入!$B$101)))),0),0)</f>
        <v>0</v>
      </c>
      <c r="R117" s="9">
        <f>IF(14&lt;=核心参数输入!$B$9,IF(AND(核心参数输入!$B$100=1,OR(核心参数输入!$B$101=0,14-7&lt;=核心参数输入!$B$101)),MAX(0,Q117-MAX(0,R88-SUMIFS($Q$110:$Q$116,$B$110:$B$116,"&gt;="&amp;IF(核心参数输入!$B$101=0,0,14-核心参数输入!$B$101)))),0),0)</f>
        <v>0</v>
      </c>
      <c r="S117" s="9">
        <f>IF(15&lt;=核心参数输入!$B$9,IF(AND(核心参数输入!$B$100=1,OR(核心参数输入!$B$101=0,15-7&lt;=核心参数输入!$B$101)),MAX(0,R117-MAX(0,S88-SUMIFS($R$110:$R$116,$B$110:$B$116,"&gt;="&amp;IF(核心参数输入!$B$101=0,0,15-核心参数输入!$B$101)))),0),0)</f>
        <v>0</v>
      </c>
      <c r="T117" s="9">
        <f>IF(16&lt;=核心参数输入!$B$9,IF(AND(核心参数输入!$B$100=1,OR(核心参数输入!$B$101=0,16-7&lt;=核心参数输入!$B$101)),MAX(0,S117-MAX(0,T88-SUMIFS($S$110:$S$116,$B$110:$B$116,"&gt;="&amp;IF(核心参数输入!$B$101=0,0,16-核心参数输入!$B$101)))),0),0)</f>
        <v>0</v>
      </c>
      <c r="U117" s="9">
        <f>IF(17&lt;=核心参数输入!$B$9,IF(AND(核心参数输入!$B$100=1,OR(核心参数输入!$B$101=0,17-7&lt;=核心参数输入!$B$101)),MAX(0,T117-MAX(0,U88-SUMIFS($T$110:$T$116,$B$110:$B$116,"&gt;="&amp;IF(核心参数输入!$B$101=0,0,17-核心参数输入!$B$101)))),0),0)</f>
        <v>0</v>
      </c>
      <c r="V117" s="9">
        <f>IF(18&lt;=核心参数输入!$B$9,IF(AND(核心参数输入!$B$100=1,OR(核心参数输入!$B$101=0,18-7&lt;=核心参数输入!$B$101)),MAX(0,U117-MAX(0,V88-SUMIFS($U$110:$U$116,$B$110:$B$116,"&gt;="&amp;IF(核心参数输入!$B$101=0,0,18-核心参数输入!$B$101)))),0),0)</f>
        <v>0</v>
      </c>
      <c r="W117" s="9">
        <f>IF(19&lt;=核心参数输入!$B$9,IF(AND(核心参数输入!$B$100=1,OR(核心参数输入!$B$101=0,19-7&lt;=核心参数输入!$B$101)),MAX(0,V117-MAX(0,W88-SUMIFS($V$110:$V$116,$B$110:$B$116,"&gt;="&amp;IF(核心参数输入!$B$101=0,0,19-核心参数输入!$B$101)))),0),0)</f>
        <v>0</v>
      </c>
      <c r="X117" s="9">
        <f>IF(20&lt;=核心参数输入!$B$9,IF(AND(核心参数输入!$B$100=1,OR(核心参数输入!$B$101=0,20-7&lt;=核心参数输入!$B$101)),MAX(0,W117-MAX(0,X88-SUMIFS($W$110:$W$116,$B$110:$B$116,"&gt;="&amp;IF(核心参数输入!$B$101=0,0,20-核心参数输入!$B$101)))),0),0)</f>
        <v>0</v>
      </c>
      <c r="Y117" s="9">
        <f>IF(21&lt;=核心参数输入!$B$9,IF(AND(核心参数输入!$B$100=1,OR(核心参数输入!$B$101=0,21-7&lt;=核心参数输入!$B$101)),MAX(0,X117-MAX(0,Y88-SUMIFS($X$110:$X$116,$B$110:$B$116,"&gt;="&amp;IF(核心参数输入!$B$101=0,0,21-核心参数输入!$B$101)))),0),0)</f>
        <v>0</v>
      </c>
      <c r="Z117" s="9">
        <f>IF(22&lt;=核心参数输入!$B$9,IF(AND(核心参数输入!$B$100=1,OR(核心参数输入!$B$101=0,22-7&lt;=核心参数输入!$B$101)),MAX(0,Y117-MAX(0,Z88-SUMIFS($Y$110:$Y$116,$B$110:$B$116,"&gt;="&amp;IF(核心参数输入!$B$101=0,0,22-核心参数输入!$B$101)))),0),0)</f>
        <v>0</v>
      </c>
      <c r="AA117" s="9">
        <f>IF(23&lt;=核心参数输入!$B$9,IF(AND(核心参数输入!$B$100=1,OR(核心参数输入!$B$101=0,23-7&lt;=核心参数输入!$B$101)),MAX(0,Z117-MAX(0,AA88-SUMIFS($Z$110:$Z$116,$B$110:$B$116,"&gt;="&amp;IF(核心参数输入!$B$101=0,0,23-核心参数输入!$B$101)))),0),0)</f>
        <v>0</v>
      </c>
      <c r="AB117" s="9">
        <f>IF(24&lt;=核心参数输入!$B$9,IF(AND(核心参数输入!$B$100=1,OR(核心参数输入!$B$101=0,24-7&lt;=核心参数输入!$B$101)),MAX(0,AA117-MAX(0,AB88-SUMIFS($AA$110:$AA$116,$B$110:$B$116,"&gt;="&amp;IF(核心参数输入!$B$101=0,0,24-核心参数输入!$B$101)))),0),0)</f>
        <v>0</v>
      </c>
      <c r="AC117" s="9">
        <f>IF(25&lt;=核心参数输入!$B$9,IF(AND(核心参数输入!$B$100=1,OR(核心参数输入!$B$101=0,25-7&lt;=核心参数输入!$B$101)),MAX(0,AB117-MAX(0,AC88-SUMIFS($AB$110:$AB$116,$B$110:$B$116,"&gt;="&amp;IF(核心参数输入!$B$101=0,0,25-核心参数输入!$B$101)))),0),0)</f>
        <v>0</v>
      </c>
      <c r="AD117" s="9">
        <f>IF(26&lt;=核心参数输入!$B$9,IF(AND(核心参数输入!$B$100=1,OR(核心参数输入!$B$101=0,26-7&lt;=核心参数输入!$B$101)),MAX(0,AC117-MAX(0,AD88-SUMIFS($AC$110:$AC$116,$B$110:$B$116,"&gt;="&amp;IF(核心参数输入!$B$101=0,0,26-核心参数输入!$B$101)))),0),0)</f>
        <v>0</v>
      </c>
      <c r="AE117" s="9">
        <f>IF(27&lt;=核心参数输入!$B$9,IF(AND(核心参数输入!$B$100=1,OR(核心参数输入!$B$101=0,27-7&lt;=核心参数输入!$B$101)),MAX(0,AD117-MAX(0,AE88-SUMIFS($AD$110:$AD$116,$B$110:$B$116,"&gt;="&amp;IF(核心参数输入!$B$101=0,0,27-核心参数输入!$B$101)))),0),0)</f>
        <v>0</v>
      </c>
      <c r="AF117" s="9">
        <f>IF(28&lt;=核心参数输入!$B$9,IF(AND(核心参数输入!$B$100=1,OR(核心参数输入!$B$101=0,28-7&lt;=核心参数输入!$B$101)),MAX(0,AE117-MAX(0,AF88-SUMIFS($AE$110:$AE$116,$B$110:$B$116,"&gt;="&amp;IF(核心参数输入!$B$101=0,0,28-核心参数输入!$B$101)))),0),0)</f>
        <v>0</v>
      </c>
      <c r="AG117" s="9">
        <f>IF(29&lt;=核心参数输入!$B$9,IF(AND(核心参数输入!$B$100=1,OR(核心参数输入!$B$101=0,29-7&lt;=核心参数输入!$B$101)),MAX(0,AF117-MAX(0,AG88-SUMIFS($AF$110:$AF$116,$B$110:$B$116,"&gt;="&amp;IF(核心参数输入!$B$101=0,0,29-核心参数输入!$B$101)))),0),0)</f>
        <v>0</v>
      </c>
      <c r="AH117" s="9">
        <f>IF(30&lt;=核心参数输入!$B$9,IF(AND(核心参数输入!$B$100=1,OR(核心参数输入!$B$101=0,30-7&lt;=核心参数输入!$B$101)),MAX(0,AG117-MAX(0,AH88-SUMIFS($AG$110:$AG$116,$B$110:$B$116,"&gt;="&amp;IF(核心参数输入!$B$101=0,0,30-核心参数输入!$B$101)))),0),0)</f>
        <v>0</v>
      </c>
    </row>
    <row r="118" spans="1:34" ht="21" customHeight="1">
      <c r="A118" s="8" t="s">
        <v>594</v>
      </c>
      <c r="B118" s="8">
        <v>8</v>
      </c>
      <c r="C118" s="8"/>
      <c r="D118" s="9">
        <f>IF(0&lt;=核心参数输入!$B$9,0,0)</f>
        <v>0</v>
      </c>
      <c r="E118" s="9">
        <f>IF(1&lt;=核心参数输入!$B$9,0,0)</f>
        <v>0</v>
      </c>
      <c r="F118" s="9">
        <f>IF(2&lt;=核心参数输入!$B$9,0,0)</f>
        <v>0</v>
      </c>
      <c r="G118" s="9">
        <f>IF(3&lt;=核心参数输入!$B$9,0,0)</f>
        <v>0</v>
      </c>
      <c r="H118" s="9">
        <f>IF(4&lt;=核心参数输入!$B$9,0,0)</f>
        <v>0</v>
      </c>
      <c r="I118" s="9">
        <f>IF(5&lt;=核心参数输入!$B$9,0,0)</f>
        <v>0</v>
      </c>
      <c r="J118" s="9">
        <f>IF(6&lt;=核心参数输入!$B$9,0,0)</f>
        <v>0</v>
      </c>
      <c r="K118" s="9">
        <f>IF(7&lt;=核心参数输入!$B$9,0,0)</f>
        <v>0</v>
      </c>
      <c r="L118" s="9">
        <f>IF(8&lt;=核心参数输入!$B$9,L91,0)</f>
        <v>352.39783176133324</v>
      </c>
      <c r="M118" s="9">
        <f>IF(9&lt;=核心参数输入!$B$9,IF(AND(核心参数输入!$B$100=1,OR(核心参数输入!$B$101=0,9-8&lt;=核心参数输入!$B$101)),MAX(0,L118-MAX(0,M88-SUMIFS($L$110:$L$117,$B$110:$B$117,"&gt;="&amp;IF(核心参数输入!$B$101=0,0,9-核心参数输入!$B$101)))),0),0)</f>
        <v>352.39783176133324</v>
      </c>
      <c r="N118" s="9">
        <f>IF(10&lt;=核心参数输入!$B$9,IF(AND(核心参数输入!$B$100=1,OR(核心参数输入!$B$101=0,10-8&lt;=核心参数输入!$B$101)),MAX(0,M118-MAX(0,N88-SUMIFS($M$110:$M$117,$B$110:$B$117,"&gt;="&amp;IF(核心参数输入!$B$101=0,0,10-核心参数输入!$B$101)))),0),0)</f>
        <v>352.39783176133324</v>
      </c>
      <c r="O118" s="9">
        <f>IF(11&lt;=核心参数输入!$B$9,IF(AND(核心参数输入!$B$100=1,OR(核心参数输入!$B$101=0,11-8&lt;=核心参数输入!$B$101)),MAX(0,N118-MAX(0,O88-SUMIFS($N$110:$N$117,$B$110:$B$117,"&gt;="&amp;IF(核心参数输入!$B$101=0,0,11-核心参数输入!$B$101)))),0),0)</f>
        <v>352.39783176133324</v>
      </c>
      <c r="P118" s="9">
        <f>IF(12&lt;=核心参数输入!$B$9,IF(AND(核心参数输入!$B$100=1,OR(核心参数输入!$B$101=0,12-8&lt;=核心参数输入!$B$101)),MAX(0,O118-MAX(0,P88-SUMIFS($O$110:$O$117,$B$110:$B$117,"&gt;="&amp;IF(核心参数输入!$B$101=0,0,12-核心参数输入!$B$101)))),0),0)</f>
        <v>352.39783176133324</v>
      </c>
      <c r="Q118" s="9">
        <f>IF(13&lt;=核心参数输入!$B$9,IF(AND(核心参数输入!$B$100=1,OR(核心参数输入!$B$101=0,13-8&lt;=核心参数输入!$B$101)),MAX(0,P118-MAX(0,Q88-SUMIFS($P$110:$P$117,$B$110:$B$117,"&gt;="&amp;IF(核心参数输入!$B$101=0,0,13-核心参数输入!$B$101)))),0),0)</f>
        <v>100.54679955373868</v>
      </c>
      <c r="R118" s="9">
        <f>IF(14&lt;=核心参数输入!$B$9,IF(AND(核心参数输入!$B$100=1,OR(核心参数输入!$B$101=0,14-8&lt;=核心参数输入!$B$101)),MAX(0,Q118-MAX(0,R88-SUMIFS($Q$110:$Q$117,$B$110:$B$117,"&gt;="&amp;IF(核心参数输入!$B$101=0,0,14-核心参数输入!$B$101)))),0),0)</f>
        <v>0</v>
      </c>
      <c r="S118" s="9">
        <f>IF(15&lt;=核心参数输入!$B$9,IF(AND(核心参数输入!$B$100=1,OR(核心参数输入!$B$101=0,15-8&lt;=核心参数输入!$B$101)),MAX(0,R118-MAX(0,S88-SUMIFS($R$110:$R$117,$B$110:$B$117,"&gt;="&amp;IF(核心参数输入!$B$101=0,0,15-核心参数输入!$B$101)))),0),0)</f>
        <v>0</v>
      </c>
      <c r="T118" s="9">
        <f>IF(16&lt;=核心参数输入!$B$9,IF(AND(核心参数输入!$B$100=1,OR(核心参数输入!$B$101=0,16-8&lt;=核心参数输入!$B$101)),MAX(0,S118-MAX(0,T88-SUMIFS($S$110:$S$117,$B$110:$B$117,"&gt;="&amp;IF(核心参数输入!$B$101=0,0,16-核心参数输入!$B$101)))),0),0)</f>
        <v>0</v>
      </c>
      <c r="U118" s="9">
        <f>IF(17&lt;=核心参数输入!$B$9,IF(AND(核心参数输入!$B$100=1,OR(核心参数输入!$B$101=0,17-8&lt;=核心参数输入!$B$101)),MAX(0,T118-MAX(0,U88-SUMIFS($T$110:$T$117,$B$110:$B$117,"&gt;="&amp;IF(核心参数输入!$B$101=0,0,17-核心参数输入!$B$101)))),0),0)</f>
        <v>0</v>
      </c>
      <c r="V118" s="9">
        <f>IF(18&lt;=核心参数输入!$B$9,IF(AND(核心参数输入!$B$100=1,OR(核心参数输入!$B$101=0,18-8&lt;=核心参数输入!$B$101)),MAX(0,U118-MAX(0,V88-SUMIFS($U$110:$U$117,$B$110:$B$117,"&gt;="&amp;IF(核心参数输入!$B$101=0,0,18-核心参数输入!$B$101)))),0),0)</f>
        <v>0</v>
      </c>
      <c r="W118" s="9">
        <f>IF(19&lt;=核心参数输入!$B$9,IF(AND(核心参数输入!$B$100=1,OR(核心参数输入!$B$101=0,19-8&lt;=核心参数输入!$B$101)),MAX(0,V118-MAX(0,W88-SUMIFS($V$110:$V$117,$B$110:$B$117,"&gt;="&amp;IF(核心参数输入!$B$101=0,0,19-核心参数输入!$B$101)))),0),0)</f>
        <v>0</v>
      </c>
      <c r="X118" s="9">
        <f>IF(20&lt;=核心参数输入!$B$9,IF(AND(核心参数输入!$B$100=1,OR(核心参数输入!$B$101=0,20-8&lt;=核心参数输入!$B$101)),MAX(0,W118-MAX(0,X88-SUMIFS($W$110:$W$117,$B$110:$B$117,"&gt;="&amp;IF(核心参数输入!$B$101=0,0,20-核心参数输入!$B$101)))),0),0)</f>
        <v>0</v>
      </c>
      <c r="Y118" s="9">
        <f>IF(21&lt;=核心参数输入!$B$9,IF(AND(核心参数输入!$B$100=1,OR(核心参数输入!$B$101=0,21-8&lt;=核心参数输入!$B$101)),MAX(0,X118-MAX(0,Y88-SUMIFS($X$110:$X$117,$B$110:$B$117,"&gt;="&amp;IF(核心参数输入!$B$101=0,0,21-核心参数输入!$B$101)))),0),0)</f>
        <v>0</v>
      </c>
      <c r="Z118" s="9">
        <f>IF(22&lt;=核心参数输入!$B$9,IF(AND(核心参数输入!$B$100=1,OR(核心参数输入!$B$101=0,22-8&lt;=核心参数输入!$B$101)),MAX(0,Y118-MAX(0,Z88-SUMIFS($Y$110:$Y$117,$B$110:$B$117,"&gt;="&amp;IF(核心参数输入!$B$101=0,0,22-核心参数输入!$B$101)))),0),0)</f>
        <v>0</v>
      </c>
      <c r="AA118" s="9">
        <f>IF(23&lt;=核心参数输入!$B$9,IF(AND(核心参数输入!$B$100=1,OR(核心参数输入!$B$101=0,23-8&lt;=核心参数输入!$B$101)),MAX(0,Z118-MAX(0,AA88-SUMIFS($Z$110:$Z$117,$B$110:$B$117,"&gt;="&amp;IF(核心参数输入!$B$101=0,0,23-核心参数输入!$B$101)))),0),0)</f>
        <v>0</v>
      </c>
      <c r="AB118" s="9">
        <f>IF(24&lt;=核心参数输入!$B$9,IF(AND(核心参数输入!$B$100=1,OR(核心参数输入!$B$101=0,24-8&lt;=核心参数输入!$B$101)),MAX(0,AA118-MAX(0,AB88-SUMIFS($AA$110:$AA$117,$B$110:$B$117,"&gt;="&amp;IF(核心参数输入!$B$101=0,0,24-核心参数输入!$B$101)))),0),0)</f>
        <v>0</v>
      </c>
      <c r="AC118" s="9">
        <f>IF(25&lt;=核心参数输入!$B$9,IF(AND(核心参数输入!$B$100=1,OR(核心参数输入!$B$101=0,25-8&lt;=核心参数输入!$B$101)),MAX(0,AB118-MAX(0,AC88-SUMIFS($AB$110:$AB$117,$B$110:$B$117,"&gt;="&amp;IF(核心参数输入!$B$101=0,0,25-核心参数输入!$B$101)))),0),0)</f>
        <v>0</v>
      </c>
      <c r="AD118" s="9">
        <f>IF(26&lt;=核心参数输入!$B$9,IF(AND(核心参数输入!$B$100=1,OR(核心参数输入!$B$101=0,26-8&lt;=核心参数输入!$B$101)),MAX(0,AC118-MAX(0,AD88-SUMIFS($AC$110:$AC$117,$B$110:$B$117,"&gt;="&amp;IF(核心参数输入!$B$101=0,0,26-核心参数输入!$B$101)))),0),0)</f>
        <v>0</v>
      </c>
      <c r="AE118" s="9">
        <f>IF(27&lt;=核心参数输入!$B$9,IF(AND(核心参数输入!$B$100=1,OR(核心参数输入!$B$101=0,27-8&lt;=核心参数输入!$B$101)),MAX(0,AD118-MAX(0,AE88-SUMIFS($AD$110:$AD$117,$B$110:$B$117,"&gt;="&amp;IF(核心参数输入!$B$101=0,0,27-核心参数输入!$B$101)))),0),0)</f>
        <v>0</v>
      </c>
      <c r="AF118" s="9">
        <f>IF(28&lt;=核心参数输入!$B$9,IF(AND(核心参数输入!$B$100=1,OR(核心参数输入!$B$101=0,28-8&lt;=核心参数输入!$B$101)),MAX(0,AE118-MAX(0,AF88-SUMIFS($AE$110:$AE$117,$B$110:$B$117,"&gt;="&amp;IF(核心参数输入!$B$101=0,0,28-核心参数输入!$B$101)))),0),0)</f>
        <v>0</v>
      </c>
      <c r="AG118" s="9">
        <f>IF(29&lt;=核心参数输入!$B$9,IF(AND(核心参数输入!$B$100=1,OR(核心参数输入!$B$101=0,29-8&lt;=核心参数输入!$B$101)),MAX(0,AF118-MAX(0,AG88-SUMIFS($AF$110:$AF$117,$B$110:$B$117,"&gt;="&amp;IF(核心参数输入!$B$101=0,0,29-核心参数输入!$B$101)))),0),0)</f>
        <v>0</v>
      </c>
      <c r="AH118" s="9">
        <f>IF(30&lt;=核心参数输入!$B$9,IF(AND(核心参数输入!$B$100=1,OR(核心参数输入!$B$101=0,30-8&lt;=核心参数输入!$B$101)),MAX(0,AG118-MAX(0,AH88-SUMIFS($AG$110:$AG$117,$B$110:$B$117,"&gt;="&amp;IF(核心参数输入!$B$101=0,0,30-核心参数输入!$B$101)))),0),0)</f>
        <v>0</v>
      </c>
    </row>
    <row r="119" spans="1:34" ht="21" customHeight="1">
      <c r="A119" s="8" t="s">
        <v>595</v>
      </c>
      <c r="B119" s="8">
        <v>9</v>
      </c>
      <c r="C119" s="8"/>
      <c r="D119" s="9">
        <f>IF(0&lt;=核心参数输入!$B$9,0,0)</f>
        <v>0</v>
      </c>
      <c r="E119" s="9">
        <f>IF(1&lt;=核心参数输入!$B$9,0,0)</f>
        <v>0</v>
      </c>
      <c r="F119" s="9">
        <f>IF(2&lt;=核心参数输入!$B$9,0,0)</f>
        <v>0</v>
      </c>
      <c r="G119" s="9">
        <f>IF(3&lt;=核心参数输入!$B$9,0,0)</f>
        <v>0</v>
      </c>
      <c r="H119" s="9">
        <f>IF(4&lt;=核心参数输入!$B$9,0,0)</f>
        <v>0</v>
      </c>
      <c r="I119" s="9">
        <f>IF(5&lt;=核心参数输入!$B$9,0,0)</f>
        <v>0</v>
      </c>
      <c r="J119" s="9">
        <f>IF(6&lt;=核心参数输入!$B$9,0,0)</f>
        <v>0</v>
      </c>
      <c r="K119" s="9">
        <f>IF(7&lt;=核心参数输入!$B$9,0,0)</f>
        <v>0</v>
      </c>
      <c r="L119" s="9">
        <f>IF(8&lt;=核心参数输入!$B$9,0,0)</f>
        <v>0</v>
      </c>
      <c r="M119" s="9">
        <f>IF(9&lt;=核心参数输入!$B$9,M91,0)</f>
        <v>153.36110574995826</v>
      </c>
      <c r="N119" s="9">
        <f>IF(10&lt;=核心参数输入!$B$9,IF(AND(核心参数输入!$B$100=1,OR(核心参数输入!$B$101=0,10-9&lt;=核心参数输入!$B$101)),MAX(0,M119-MAX(0,N88-SUMIFS($M$110:$M$118,$B$110:$B$118,"&gt;="&amp;IF(核心参数输入!$B$101=0,0,10-核心参数输入!$B$101)))),0),0)</f>
        <v>153.36110574995826</v>
      </c>
      <c r="O119" s="9">
        <f>IF(11&lt;=核心参数输入!$B$9,IF(AND(核心参数输入!$B$100=1,OR(核心参数输入!$B$101=0,11-9&lt;=核心参数输入!$B$101)),MAX(0,N119-MAX(0,O88-SUMIFS($N$110:$N$118,$B$110:$B$118,"&gt;="&amp;IF(核心参数输入!$B$101=0,0,11-核心参数输入!$B$101)))),0),0)</f>
        <v>153.36110574995826</v>
      </c>
      <c r="P119" s="9">
        <f>IF(12&lt;=核心参数输入!$B$9,IF(AND(核心参数输入!$B$100=1,OR(核心参数输入!$B$101=0,12-9&lt;=核心参数输入!$B$101)),MAX(0,O119-MAX(0,P88-SUMIFS($O$110:$O$118,$B$110:$B$118,"&gt;="&amp;IF(核心参数输入!$B$101=0,0,12-核心参数输入!$B$101)))),0),0)</f>
        <v>153.36110574995826</v>
      </c>
      <c r="Q119" s="9">
        <f>IF(13&lt;=核心参数输入!$B$9,IF(AND(核心参数输入!$B$100=1,OR(核心参数输入!$B$101=0,13-9&lt;=核心参数输入!$B$101)),MAX(0,P119-MAX(0,Q88-SUMIFS($P$110:$P$118,$B$110:$B$118,"&gt;="&amp;IF(核心参数输入!$B$101=0,0,13-核心参数输入!$B$101)))),0),0)</f>
        <v>153.36110574995826</v>
      </c>
      <c r="R119" s="9">
        <f>IF(14&lt;=核心参数输入!$B$9,IF(AND(核心参数输入!$B$100=1,OR(核心参数输入!$B$101=0,14-9&lt;=核心参数输入!$B$101)),MAX(0,Q119-MAX(0,R88-SUMIFS($Q$110:$Q$118,$B$110:$B$118,"&gt;="&amp;IF(核心参数输入!$B$101=0,0,14-核心参数输入!$B$101)))),0),0)</f>
        <v>0</v>
      </c>
      <c r="S119" s="9">
        <f>IF(15&lt;=核心参数输入!$B$9,IF(AND(核心参数输入!$B$100=1,OR(核心参数输入!$B$101=0,15-9&lt;=核心参数输入!$B$101)),MAX(0,R119-MAX(0,S88-SUMIFS($R$110:$R$118,$B$110:$B$118,"&gt;="&amp;IF(核心参数输入!$B$101=0,0,15-核心参数输入!$B$101)))),0),0)</f>
        <v>0</v>
      </c>
      <c r="T119" s="9">
        <f>IF(16&lt;=核心参数输入!$B$9,IF(AND(核心参数输入!$B$100=1,OR(核心参数输入!$B$101=0,16-9&lt;=核心参数输入!$B$101)),MAX(0,S119-MAX(0,T88-SUMIFS($S$110:$S$118,$B$110:$B$118,"&gt;="&amp;IF(核心参数输入!$B$101=0,0,16-核心参数输入!$B$101)))),0),0)</f>
        <v>0</v>
      </c>
      <c r="U119" s="9">
        <f>IF(17&lt;=核心参数输入!$B$9,IF(AND(核心参数输入!$B$100=1,OR(核心参数输入!$B$101=0,17-9&lt;=核心参数输入!$B$101)),MAX(0,T119-MAX(0,U88-SUMIFS($T$110:$T$118,$B$110:$B$118,"&gt;="&amp;IF(核心参数输入!$B$101=0,0,17-核心参数输入!$B$101)))),0),0)</f>
        <v>0</v>
      </c>
      <c r="V119" s="9">
        <f>IF(18&lt;=核心参数输入!$B$9,IF(AND(核心参数输入!$B$100=1,OR(核心参数输入!$B$101=0,18-9&lt;=核心参数输入!$B$101)),MAX(0,U119-MAX(0,V88-SUMIFS($U$110:$U$118,$B$110:$B$118,"&gt;="&amp;IF(核心参数输入!$B$101=0,0,18-核心参数输入!$B$101)))),0),0)</f>
        <v>0</v>
      </c>
      <c r="W119" s="9">
        <f>IF(19&lt;=核心参数输入!$B$9,IF(AND(核心参数输入!$B$100=1,OR(核心参数输入!$B$101=0,19-9&lt;=核心参数输入!$B$101)),MAX(0,V119-MAX(0,W88-SUMIFS($V$110:$V$118,$B$110:$B$118,"&gt;="&amp;IF(核心参数输入!$B$101=0,0,19-核心参数输入!$B$101)))),0),0)</f>
        <v>0</v>
      </c>
      <c r="X119" s="9">
        <f>IF(20&lt;=核心参数输入!$B$9,IF(AND(核心参数输入!$B$100=1,OR(核心参数输入!$B$101=0,20-9&lt;=核心参数输入!$B$101)),MAX(0,W119-MAX(0,X88-SUMIFS($W$110:$W$118,$B$110:$B$118,"&gt;="&amp;IF(核心参数输入!$B$101=0,0,20-核心参数输入!$B$101)))),0),0)</f>
        <v>0</v>
      </c>
      <c r="Y119" s="9">
        <f>IF(21&lt;=核心参数输入!$B$9,IF(AND(核心参数输入!$B$100=1,OR(核心参数输入!$B$101=0,21-9&lt;=核心参数输入!$B$101)),MAX(0,X119-MAX(0,Y88-SUMIFS($X$110:$X$118,$B$110:$B$118,"&gt;="&amp;IF(核心参数输入!$B$101=0,0,21-核心参数输入!$B$101)))),0),0)</f>
        <v>0</v>
      </c>
      <c r="Z119" s="9">
        <f>IF(22&lt;=核心参数输入!$B$9,IF(AND(核心参数输入!$B$100=1,OR(核心参数输入!$B$101=0,22-9&lt;=核心参数输入!$B$101)),MAX(0,Y119-MAX(0,Z88-SUMIFS($Y$110:$Y$118,$B$110:$B$118,"&gt;="&amp;IF(核心参数输入!$B$101=0,0,22-核心参数输入!$B$101)))),0),0)</f>
        <v>0</v>
      </c>
      <c r="AA119" s="9">
        <f>IF(23&lt;=核心参数输入!$B$9,IF(AND(核心参数输入!$B$100=1,OR(核心参数输入!$B$101=0,23-9&lt;=核心参数输入!$B$101)),MAX(0,Z119-MAX(0,AA88-SUMIFS($Z$110:$Z$118,$B$110:$B$118,"&gt;="&amp;IF(核心参数输入!$B$101=0,0,23-核心参数输入!$B$101)))),0),0)</f>
        <v>0</v>
      </c>
      <c r="AB119" s="9">
        <f>IF(24&lt;=核心参数输入!$B$9,IF(AND(核心参数输入!$B$100=1,OR(核心参数输入!$B$101=0,24-9&lt;=核心参数输入!$B$101)),MAX(0,AA119-MAX(0,AB88-SUMIFS($AA$110:$AA$118,$B$110:$B$118,"&gt;="&amp;IF(核心参数输入!$B$101=0,0,24-核心参数输入!$B$101)))),0),0)</f>
        <v>0</v>
      </c>
      <c r="AC119" s="9">
        <f>IF(25&lt;=核心参数输入!$B$9,IF(AND(核心参数输入!$B$100=1,OR(核心参数输入!$B$101=0,25-9&lt;=核心参数输入!$B$101)),MAX(0,AB119-MAX(0,AC88-SUMIFS($AB$110:$AB$118,$B$110:$B$118,"&gt;="&amp;IF(核心参数输入!$B$101=0,0,25-核心参数输入!$B$101)))),0),0)</f>
        <v>0</v>
      </c>
      <c r="AD119" s="9">
        <f>IF(26&lt;=核心参数输入!$B$9,IF(AND(核心参数输入!$B$100=1,OR(核心参数输入!$B$101=0,26-9&lt;=核心参数输入!$B$101)),MAX(0,AC119-MAX(0,AD88-SUMIFS($AC$110:$AC$118,$B$110:$B$118,"&gt;="&amp;IF(核心参数输入!$B$101=0,0,26-核心参数输入!$B$101)))),0),0)</f>
        <v>0</v>
      </c>
      <c r="AE119" s="9">
        <f>IF(27&lt;=核心参数输入!$B$9,IF(AND(核心参数输入!$B$100=1,OR(核心参数输入!$B$101=0,27-9&lt;=核心参数输入!$B$101)),MAX(0,AD119-MAX(0,AE88-SUMIFS($AD$110:$AD$118,$B$110:$B$118,"&gt;="&amp;IF(核心参数输入!$B$101=0,0,27-核心参数输入!$B$101)))),0),0)</f>
        <v>0</v>
      </c>
      <c r="AF119" s="9">
        <f>IF(28&lt;=核心参数输入!$B$9,IF(AND(核心参数输入!$B$100=1,OR(核心参数输入!$B$101=0,28-9&lt;=核心参数输入!$B$101)),MAX(0,AE119-MAX(0,AF88-SUMIFS($AE$110:$AE$118,$B$110:$B$118,"&gt;="&amp;IF(核心参数输入!$B$101=0,0,28-核心参数输入!$B$101)))),0),0)</f>
        <v>0</v>
      </c>
      <c r="AG119" s="9">
        <f>IF(29&lt;=核心参数输入!$B$9,IF(AND(核心参数输入!$B$100=1,OR(核心参数输入!$B$101=0,29-9&lt;=核心参数输入!$B$101)),MAX(0,AF119-MAX(0,AG88-SUMIFS($AF$110:$AF$118,$B$110:$B$118,"&gt;="&amp;IF(核心参数输入!$B$101=0,0,29-核心参数输入!$B$101)))),0),0)</f>
        <v>0</v>
      </c>
      <c r="AH119" s="9">
        <f>IF(30&lt;=核心参数输入!$B$9,IF(AND(核心参数输入!$B$100=1,OR(核心参数输入!$B$101=0,30-9&lt;=核心参数输入!$B$101)),MAX(0,AG119-MAX(0,AH88-SUMIFS($AG$110:$AG$118,$B$110:$B$118,"&gt;="&amp;IF(核心参数输入!$B$101=0,0,30-核心参数输入!$B$101)))),0),0)</f>
        <v>0</v>
      </c>
    </row>
    <row r="120" spans="1:34" ht="21" customHeight="1">
      <c r="A120" s="8" t="s">
        <v>596</v>
      </c>
      <c r="B120" s="8">
        <v>10</v>
      </c>
      <c r="C120" s="8"/>
      <c r="D120" s="9">
        <f>IF(0&lt;=核心参数输入!$B$9,0,0)</f>
        <v>0</v>
      </c>
      <c r="E120" s="9">
        <f>IF(1&lt;=核心参数输入!$B$9,0,0)</f>
        <v>0</v>
      </c>
      <c r="F120" s="9">
        <f>IF(2&lt;=核心参数输入!$B$9,0,0)</f>
        <v>0</v>
      </c>
      <c r="G120" s="9">
        <f>IF(3&lt;=核心参数输入!$B$9,0,0)</f>
        <v>0</v>
      </c>
      <c r="H120" s="9">
        <f>IF(4&lt;=核心参数输入!$B$9,0,0)</f>
        <v>0</v>
      </c>
      <c r="I120" s="9">
        <f>IF(5&lt;=核心参数输入!$B$9,0,0)</f>
        <v>0</v>
      </c>
      <c r="J120" s="9">
        <f>IF(6&lt;=核心参数输入!$B$9,0,0)</f>
        <v>0</v>
      </c>
      <c r="K120" s="9">
        <f>IF(7&lt;=核心参数输入!$B$9,0,0)</f>
        <v>0</v>
      </c>
      <c r="L120" s="9">
        <f>IF(8&lt;=核心参数输入!$B$9,0,0)</f>
        <v>0</v>
      </c>
      <c r="M120" s="9">
        <f>IF(9&lt;=核心参数输入!$B$9,0,0)</f>
        <v>0</v>
      </c>
      <c r="N120" s="9">
        <f>IF(10&lt;=核心参数输入!$B$9,N91,0)</f>
        <v>0</v>
      </c>
      <c r="O120" s="9">
        <f>IF(11&lt;=核心参数输入!$B$9,IF(AND(核心参数输入!$B$100=1,OR(核心参数输入!$B$101=0,11-10&lt;=核心参数输入!$B$101)),MAX(0,N120-MAX(0,O88-SUMIFS($N$110:$N$119,$B$110:$B$119,"&gt;="&amp;IF(核心参数输入!$B$101=0,0,11-核心参数输入!$B$101)))),0),0)</f>
        <v>0</v>
      </c>
      <c r="P120" s="9">
        <f>IF(12&lt;=核心参数输入!$B$9,IF(AND(核心参数输入!$B$100=1,OR(核心参数输入!$B$101=0,12-10&lt;=核心参数输入!$B$101)),MAX(0,O120-MAX(0,P88-SUMIFS($O$110:$O$119,$B$110:$B$119,"&gt;="&amp;IF(核心参数输入!$B$101=0,0,12-核心参数输入!$B$101)))),0),0)</f>
        <v>0</v>
      </c>
      <c r="Q120" s="9">
        <f>IF(13&lt;=核心参数输入!$B$9,IF(AND(核心参数输入!$B$100=1,OR(核心参数输入!$B$101=0,13-10&lt;=核心参数输入!$B$101)),MAX(0,P120-MAX(0,Q88-SUMIFS($P$110:$P$119,$B$110:$B$119,"&gt;="&amp;IF(核心参数输入!$B$101=0,0,13-核心参数输入!$B$101)))),0),0)</f>
        <v>0</v>
      </c>
      <c r="R120" s="9">
        <f>IF(14&lt;=核心参数输入!$B$9,IF(AND(核心参数输入!$B$100=1,OR(核心参数输入!$B$101=0,14-10&lt;=核心参数输入!$B$101)),MAX(0,Q120-MAX(0,R88-SUMIFS($Q$110:$Q$119,$B$110:$B$119,"&gt;="&amp;IF(核心参数输入!$B$101=0,0,14-核心参数输入!$B$101)))),0),0)</f>
        <v>0</v>
      </c>
      <c r="S120" s="9">
        <f>IF(15&lt;=核心参数输入!$B$9,IF(AND(核心参数输入!$B$100=1,OR(核心参数输入!$B$101=0,15-10&lt;=核心参数输入!$B$101)),MAX(0,R120-MAX(0,S88-SUMIFS($R$110:$R$119,$B$110:$B$119,"&gt;="&amp;IF(核心参数输入!$B$101=0,0,15-核心参数输入!$B$101)))),0),0)</f>
        <v>0</v>
      </c>
      <c r="T120" s="9">
        <f>IF(16&lt;=核心参数输入!$B$9,IF(AND(核心参数输入!$B$100=1,OR(核心参数输入!$B$101=0,16-10&lt;=核心参数输入!$B$101)),MAX(0,S120-MAX(0,T88-SUMIFS($S$110:$S$119,$B$110:$B$119,"&gt;="&amp;IF(核心参数输入!$B$101=0,0,16-核心参数输入!$B$101)))),0),0)</f>
        <v>0</v>
      </c>
      <c r="U120" s="9">
        <f>IF(17&lt;=核心参数输入!$B$9,IF(AND(核心参数输入!$B$100=1,OR(核心参数输入!$B$101=0,17-10&lt;=核心参数输入!$B$101)),MAX(0,T120-MAX(0,U88-SUMIFS($T$110:$T$119,$B$110:$B$119,"&gt;="&amp;IF(核心参数输入!$B$101=0,0,17-核心参数输入!$B$101)))),0),0)</f>
        <v>0</v>
      </c>
      <c r="V120" s="9">
        <f>IF(18&lt;=核心参数输入!$B$9,IF(AND(核心参数输入!$B$100=1,OR(核心参数输入!$B$101=0,18-10&lt;=核心参数输入!$B$101)),MAX(0,U120-MAX(0,V88-SUMIFS($U$110:$U$119,$B$110:$B$119,"&gt;="&amp;IF(核心参数输入!$B$101=0,0,18-核心参数输入!$B$101)))),0),0)</f>
        <v>0</v>
      </c>
      <c r="W120" s="9">
        <f>IF(19&lt;=核心参数输入!$B$9,IF(AND(核心参数输入!$B$100=1,OR(核心参数输入!$B$101=0,19-10&lt;=核心参数输入!$B$101)),MAX(0,V120-MAX(0,W88-SUMIFS($V$110:$V$119,$B$110:$B$119,"&gt;="&amp;IF(核心参数输入!$B$101=0,0,19-核心参数输入!$B$101)))),0),0)</f>
        <v>0</v>
      </c>
      <c r="X120" s="9">
        <f>IF(20&lt;=核心参数输入!$B$9,IF(AND(核心参数输入!$B$100=1,OR(核心参数输入!$B$101=0,20-10&lt;=核心参数输入!$B$101)),MAX(0,W120-MAX(0,X88-SUMIFS($W$110:$W$119,$B$110:$B$119,"&gt;="&amp;IF(核心参数输入!$B$101=0,0,20-核心参数输入!$B$101)))),0),0)</f>
        <v>0</v>
      </c>
      <c r="Y120" s="9">
        <f>IF(21&lt;=核心参数输入!$B$9,IF(AND(核心参数输入!$B$100=1,OR(核心参数输入!$B$101=0,21-10&lt;=核心参数输入!$B$101)),MAX(0,X120-MAX(0,Y88-SUMIFS($X$110:$X$119,$B$110:$B$119,"&gt;="&amp;IF(核心参数输入!$B$101=0,0,21-核心参数输入!$B$101)))),0),0)</f>
        <v>0</v>
      </c>
      <c r="Z120" s="9">
        <f>IF(22&lt;=核心参数输入!$B$9,IF(AND(核心参数输入!$B$100=1,OR(核心参数输入!$B$101=0,22-10&lt;=核心参数输入!$B$101)),MAX(0,Y120-MAX(0,Z88-SUMIFS($Y$110:$Y$119,$B$110:$B$119,"&gt;="&amp;IF(核心参数输入!$B$101=0,0,22-核心参数输入!$B$101)))),0),0)</f>
        <v>0</v>
      </c>
      <c r="AA120" s="9">
        <f>IF(23&lt;=核心参数输入!$B$9,IF(AND(核心参数输入!$B$100=1,OR(核心参数输入!$B$101=0,23-10&lt;=核心参数输入!$B$101)),MAX(0,Z120-MAX(0,AA88-SUMIFS($Z$110:$Z$119,$B$110:$B$119,"&gt;="&amp;IF(核心参数输入!$B$101=0,0,23-核心参数输入!$B$101)))),0),0)</f>
        <v>0</v>
      </c>
      <c r="AB120" s="9">
        <f>IF(24&lt;=核心参数输入!$B$9,IF(AND(核心参数输入!$B$100=1,OR(核心参数输入!$B$101=0,24-10&lt;=核心参数输入!$B$101)),MAX(0,AA120-MAX(0,AB88-SUMIFS($AA$110:$AA$119,$B$110:$B$119,"&gt;="&amp;IF(核心参数输入!$B$101=0,0,24-核心参数输入!$B$101)))),0),0)</f>
        <v>0</v>
      </c>
      <c r="AC120" s="9">
        <f>IF(25&lt;=核心参数输入!$B$9,IF(AND(核心参数输入!$B$100=1,OR(核心参数输入!$B$101=0,25-10&lt;=核心参数输入!$B$101)),MAX(0,AB120-MAX(0,AC88-SUMIFS($AB$110:$AB$119,$B$110:$B$119,"&gt;="&amp;IF(核心参数输入!$B$101=0,0,25-核心参数输入!$B$101)))),0),0)</f>
        <v>0</v>
      </c>
      <c r="AD120" s="9">
        <f>IF(26&lt;=核心参数输入!$B$9,IF(AND(核心参数输入!$B$100=1,OR(核心参数输入!$B$101=0,26-10&lt;=核心参数输入!$B$101)),MAX(0,AC120-MAX(0,AD88-SUMIFS($AC$110:$AC$119,$B$110:$B$119,"&gt;="&amp;IF(核心参数输入!$B$101=0,0,26-核心参数输入!$B$101)))),0),0)</f>
        <v>0</v>
      </c>
      <c r="AE120" s="9">
        <f>IF(27&lt;=核心参数输入!$B$9,IF(AND(核心参数输入!$B$100=1,OR(核心参数输入!$B$101=0,27-10&lt;=核心参数输入!$B$101)),MAX(0,AD120-MAX(0,AE88-SUMIFS($AD$110:$AD$119,$B$110:$B$119,"&gt;="&amp;IF(核心参数输入!$B$101=0,0,27-核心参数输入!$B$101)))),0),0)</f>
        <v>0</v>
      </c>
      <c r="AF120" s="9">
        <f>IF(28&lt;=核心参数输入!$B$9,IF(AND(核心参数输入!$B$100=1,OR(核心参数输入!$B$101=0,28-10&lt;=核心参数输入!$B$101)),MAX(0,AE120-MAX(0,AF88-SUMIFS($AE$110:$AE$119,$B$110:$B$119,"&gt;="&amp;IF(核心参数输入!$B$101=0,0,28-核心参数输入!$B$101)))),0),0)</f>
        <v>0</v>
      </c>
      <c r="AG120" s="9">
        <f>IF(29&lt;=核心参数输入!$B$9,IF(AND(核心参数输入!$B$100=1,OR(核心参数输入!$B$101=0,29-10&lt;=核心参数输入!$B$101)),MAX(0,AF120-MAX(0,AG88-SUMIFS($AF$110:$AF$119,$B$110:$B$119,"&gt;="&amp;IF(核心参数输入!$B$101=0,0,29-核心参数输入!$B$101)))),0),0)</f>
        <v>0</v>
      </c>
      <c r="AH120" s="9">
        <f>IF(30&lt;=核心参数输入!$B$9,IF(AND(核心参数输入!$B$100=1,OR(核心参数输入!$B$101=0,30-10&lt;=核心参数输入!$B$101)),MAX(0,AG120-MAX(0,AH88-SUMIFS($AG$110:$AG$119,$B$110:$B$119,"&gt;="&amp;IF(核心参数输入!$B$101=0,0,30-核心参数输入!$B$101)))),0),0)</f>
        <v>0</v>
      </c>
    </row>
    <row r="121" spans="1:34" ht="21" customHeight="1">
      <c r="A121" s="8" t="s">
        <v>597</v>
      </c>
      <c r="B121" s="8">
        <v>11</v>
      </c>
      <c r="C121" s="8"/>
      <c r="D121" s="9">
        <f>IF(0&lt;=核心参数输入!$B$9,0,0)</f>
        <v>0</v>
      </c>
      <c r="E121" s="9">
        <f>IF(1&lt;=核心参数输入!$B$9,0,0)</f>
        <v>0</v>
      </c>
      <c r="F121" s="9">
        <f>IF(2&lt;=核心参数输入!$B$9,0,0)</f>
        <v>0</v>
      </c>
      <c r="G121" s="9">
        <f>IF(3&lt;=核心参数输入!$B$9,0,0)</f>
        <v>0</v>
      </c>
      <c r="H121" s="9">
        <f>IF(4&lt;=核心参数输入!$B$9,0,0)</f>
        <v>0</v>
      </c>
      <c r="I121" s="9">
        <f>IF(5&lt;=核心参数输入!$B$9,0,0)</f>
        <v>0</v>
      </c>
      <c r="J121" s="9">
        <f>IF(6&lt;=核心参数输入!$B$9,0,0)</f>
        <v>0</v>
      </c>
      <c r="K121" s="9">
        <f>IF(7&lt;=核心参数输入!$B$9,0,0)</f>
        <v>0</v>
      </c>
      <c r="L121" s="9">
        <f>IF(8&lt;=核心参数输入!$B$9,0,0)</f>
        <v>0</v>
      </c>
      <c r="M121" s="9">
        <f>IF(9&lt;=核心参数输入!$B$9,0,0)</f>
        <v>0</v>
      </c>
      <c r="N121" s="9">
        <f>IF(10&lt;=核心参数输入!$B$9,0,0)</f>
        <v>0</v>
      </c>
      <c r="O121" s="9">
        <f>IF(11&lt;=核心参数输入!$B$9,O91,0)</f>
        <v>0</v>
      </c>
      <c r="P121" s="9">
        <f>IF(12&lt;=核心参数输入!$B$9,IF(AND(核心参数输入!$B$100=1,OR(核心参数输入!$B$101=0,12-11&lt;=核心参数输入!$B$101)),MAX(0,O121-MAX(0,P88-SUMIFS($O$110:$O$120,$B$110:$B$120,"&gt;="&amp;IF(核心参数输入!$B$101=0,0,12-核心参数输入!$B$101)))),0),0)</f>
        <v>0</v>
      </c>
      <c r="Q121" s="9">
        <f>IF(13&lt;=核心参数输入!$B$9,IF(AND(核心参数输入!$B$100=1,OR(核心参数输入!$B$101=0,13-11&lt;=核心参数输入!$B$101)),MAX(0,P121-MAX(0,Q88-SUMIFS($P$110:$P$120,$B$110:$B$120,"&gt;="&amp;IF(核心参数输入!$B$101=0,0,13-核心参数输入!$B$101)))),0),0)</f>
        <v>0</v>
      </c>
      <c r="R121" s="9">
        <f>IF(14&lt;=核心参数输入!$B$9,IF(AND(核心参数输入!$B$100=1,OR(核心参数输入!$B$101=0,14-11&lt;=核心参数输入!$B$101)),MAX(0,Q121-MAX(0,R88-SUMIFS($Q$110:$Q$120,$B$110:$B$120,"&gt;="&amp;IF(核心参数输入!$B$101=0,0,14-核心参数输入!$B$101)))),0),0)</f>
        <v>0</v>
      </c>
      <c r="S121" s="9">
        <f>IF(15&lt;=核心参数输入!$B$9,IF(AND(核心参数输入!$B$100=1,OR(核心参数输入!$B$101=0,15-11&lt;=核心参数输入!$B$101)),MAX(0,R121-MAX(0,S88-SUMIFS($R$110:$R$120,$B$110:$B$120,"&gt;="&amp;IF(核心参数输入!$B$101=0,0,15-核心参数输入!$B$101)))),0),0)</f>
        <v>0</v>
      </c>
      <c r="T121" s="9">
        <f>IF(16&lt;=核心参数输入!$B$9,IF(AND(核心参数输入!$B$100=1,OR(核心参数输入!$B$101=0,16-11&lt;=核心参数输入!$B$101)),MAX(0,S121-MAX(0,T88-SUMIFS($S$110:$S$120,$B$110:$B$120,"&gt;="&amp;IF(核心参数输入!$B$101=0,0,16-核心参数输入!$B$101)))),0),0)</f>
        <v>0</v>
      </c>
      <c r="U121" s="9">
        <f>IF(17&lt;=核心参数输入!$B$9,IF(AND(核心参数输入!$B$100=1,OR(核心参数输入!$B$101=0,17-11&lt;=核心参数输入!$B$101)),MAX(0,T121-MAX(0,U88-SUMIFS($T$110:$T$120,$B$110:$B$120,"&gt;="&amp;IF(核心参数输入!$B$101=0,0,17-核心参数输入!$B$101)))),0),0)</f>
        <v>0</v>
      </c>
      <c r="V121" s="9">
        <f>IF(18&lt;=核心参数输入!$B$9,IF(AND(核心参数输入!$B$100=1,OR(核心参数输入!$B$101=0,18-11&lt;=核心参数输入!$B$101)),MAX(0,U121-MAX(0,V88-SUMIFS($U$110:$U$120,$B$110:$B$120,"&gt;="&amp;IF(核心参数输入!$B$101=0,0,18-核心参数输入!$B$101)))),0),0)</f>
        <v>0</v>
      </c>
      <c r="W121" s="9">
        <f>IF(19&lt;=核心参数输入!$B$9,IF(AND(核心参数输入!$B$100=1,OR(核心参数输入!$B$101=0,19-11&lt;=核心参数输入!$B$101)),MAX(0,V121-MAX(0,W88-SUMIFS($V$110:$V$120,$B$110:$B$120,"&gt;="&amp;IF(核心参数输入!$B$101=0,0,19-核心参数输入!$B$101)))),0),0)</f>
        <v>0</v>
      </c>
      <c r="X121" s="9">
        <f>IF(20&lt;=核心参数输入!$B$9,IF(AND(核心参数输入!$B$100=1,OR(核心参数输入!$B$101=0,20-11&lt;=核心参数输入!$B$101)),MAX(0,W121-MAX(0,X88-SUMIFS($W$110:$W$120,$B$110:$B$120,"&gt;="&amp;IF(核心参数输入!$B$101=0,0,20-核心参数输入!$B$101)))),0),0)</f>
        <v>0</v>
      </c>
      <c r="Y121" s="9">
        <f>IF(21&lt;=核心参数输入!$B$9,IF(AND(核心参数输入!$B$100=1,OR(核心参数输入!$B$101=0,21-11&lt;=核心参数输入!$B$101)),MAX(0,X121-MAX(0,Y88-SUMIFS($X$110:$X$120,$B$110:$B$120,"&gt;="&amp;IF(核心参数输入!$B$101=0,0,21-核心参数输入!$B$101)))),0),0)</f>
        <v>0</v>
      </c>
      <c r="Z121" s="9">
        <f>IF(22&lt;=核心参数输入!$B$9,IF(AND(核心参数输入!$B$100=1,OR(核心参数输入!$B$101=0,22-11&lt;=核心参数输入!$B$101)),MAX(0,Y121-MAX(0,Z88-SUMIFS($Y$110:$Y$120,$B$110:$B$120,"&gt;="&amp;IF(核心参数输入!$B$101=0,0,22-核心参数输入!$B$101)))),0),0)</f>
        <v>0</v>
      </c>
      <c r="AA121" s="9">
        <f>IF(23&lt;=核心参数输入!$B$9,IF(AND(核心参数输入!$B$100=1,OR(核心参数输入!$B$101=0,23-11&lt;=核心参数输入!$B$101)),MAX(0,Z121-MAX(0,AA88-SUMIFS($Z$110:$Z$120,$B$110:$B$120,"&gt;="&amp;IF(核心参数输入!$B$101=0,0,23-核心参数输入!$B$101)))),0),0)</f>
        <v>0</v>
      </c>
      <c r="AB121" s="9">
        <f>IF(24&lt;=核心参数输入!$B$9,IF(AND(核心参数输入!$B$100=1,OR(核心参数输入!$B$101=0,24-11&lt;=核心参数输入!$B$101)),MAX(0,AA121-MAX(0,AB88-SUMIFS($AA$110:$AA$120,$B$110:$B$120,"&gt;="&amp;IF(核心参数输入!$B$101=0,0,24-核心参数输入!$B$101)))),0),0)</f>
        <v>0</v>
      </c>
      <c r="AC121" s="9">
        <f>IF(25&lt;=核心参数输入!$B$9,IF(AND(核心参数输入!$B$100=1,OR(核心参数输入!$B$101=0,25-11&lt;=核心参数输入!$B$101)),MAX(0,AB121-MAX(0,AC88-SUMIFS($AB$110:$AB$120,$B$110:$B$120,"&gt;="&amp;IF(核心参数输入!$B$101=0,0,25-核心参数输入!$B$101)))),0),0)</f>
        <v>0</v>
      </c>
      <c r="AD121" s="9">
        <f>IF(26&lt;=核心参数输入!$B$9,IF(AND(核心参数输入!$B$100=1,OR(核心参数输入!$B$101=0,26-11&lt;=核心参数输入!$B$101)),MAX(0,AC121-MAX(0,AD88-SUMIFS($AC$110:$AC$120,$B$110:$B$120,"&gt;="&amp;IF(核心参数输入!$B$101=0,0,26-核心参数输入!$B$101)))),0),0)</f>
        <v>0</v>
      </c>
      <c r="AE121" s="9">
        <f>IF(27&lt;=核心参数输入!$B$9,IF(AND(核心参数输入!$B$100=1,OR(核心参数输入!$B$101=0,27-11&lt;=核心参数输入!$B$101)),MAX(0,AD121-MAX(0,AE88-SUMIFS($AD$110:$AD$120,$B$110:$B$120,"&gt;="&amp;IF(核心参数输入!$B$101=0,0,27-核心参数输入!$B$101)))),0),0)</f>
        <v>0</v>
      </c>
      <c r="AF121" s="9">
        <f>IF(28&lt;=核心参数输入!$B$9,IF(AND(核心参数输入!$B$100=1,OR(核心参数输入!$B$101=0,28-11&lt;=核心参数输入!$B$101)),MAX(0,AE121-MAX(0,AF88-SUMIFS($AE$110:$AE$120,$B$110:$B$120,"&gt;="&amp;IF(核心参数输入!$B$101=0,0,28-核心参数输入!$B$101)))),0),0)</f>
        <v>0</v>
      </c>
      <c r="AG121" s="9">
        <f>IF(29&lt;=核心参数输入!$B$9,IF(AND(核心参数输入!$B$100=1,OR(核心参数输入!$B$101=0,29-11&lt;=核心参数输入!$B$101)),MAX(0,AF121-MAX(0,AG88-SUMIFS($AF$110:$AF$120,$B$110:$B$120,"&gt;="&amp;IF(核心参数输入!$B$101=0,0,29-核心参数输入!$B$101)))),0),0)</f>
        <v>0</v>
      </c>
      <c r="AH121" s="9">
        <f>IF(30&lt;=核心参数输入!$B$9,IF(AND(核心参数输入!$B$100=1,OR(核心参数输入!$B$101=0,30-11&lt;=核心参数输入!$B$101)),MAX(0,AG121-MAX(0,AH88-SUMIFS($AG$110:$AG$120,$B$110:$B$120,"&gt;="&amp;IF(核心参数输入!$B$101=0,0,30-核心参数输入!$B$101)))),0),0)</f>
        <v>0</v>
      </c>
    </row>
    <row r="122" spans="1:34" ht="21" customHeight="1">
      <c r="A122" s="8" t="s">
        <v>598</v>
      </c>
      <c r="B122" s="8">
        <v>12</v>
      </c>
      <c r="C122" s="8"/>
      <c r="D122" s="9">
        <f>IF(0&lt;=核心参数输入!$B$9,0,0)</f>
        <v>0</v>
      </c>
      <c r="E122" s="9">
        <f>IF(1&lt;=核心参数输入!$B$9,0,0)</f>
        <v>0</v>
      </c>
      <c r="F122" s="9">
        <f>IF(2&lt;=核心参数输入!$B$9,0,0)</f>
        <v>0</v>
      </c>
      <c r="G122" s="9">
        <f>IF(3&lt;=核心参数输入!$B$9,0,0)</f>
        <v>0</v>
      </c>
      <c r="H122" s="9">
        <f>IF(4&lt;=核心参数输入!$B$9,0,0)</f>
        <v>0</v>
      </c>
      <c r="I122" s="9">
        <f>IF(5&lt;=核心参数输入!$B$9,0,0)</f>
        <v>0</v>
      </c>
      <c r="J122" s="9">
        <f>IF(6&lt;=核心参数输入!$B$9,0,0)</f>
        <v>0</v>
      </c>
      <c r="K122" s="9">
        <f>IF(7&lt;=核心参数输入!$B$9,0,0)</f>
        <v>0</v>
      </c>
      <c r="L122" s="9">
        <f>IF(8&lt;=核心参数输入!$B$9,0,0)</f>
        <v>0</v>
      </c>
      <c r="M122" s="9">
        <f>IF(9&lt;=核心参数输入!$B$9,0,0)</f>
        <v>0</v>
      </c>
      <c r="N122" s="9">
        <f>IF(10&lt;=核心参数输入!$B$9,0,0)</f>
        <v>0</v>
      </c>
      <c r="O122" s="9">
        <f>IF(11&lt;=核心参数输入!$B$9,0,0)</f>
        <v>0</v>
      </c>
      <c r="P122" s="9">
        <f>IF(12&lt;=核心参数输入!$B$9,P91,0)</f>
        <v>0</v>
      </c>
      <c r="Q122" s="9">
        <f>IF(13&lt;=核心参数输入!$B$9,IF(AND(核心参数输入!$B$100=1,OR(核心参数输入!$B$101=0,13-12&lt;=核心参数输入!$B$101)),MAX(0,P122-MAX(0,Q88-SUMIFS($P$110:$P$121,$B$110:$B$121,"&gt;="&amp;IF(核心参数输入!$B$101=0,0,13-核心参数输入!$B$101)))),0),0)</f>
        <v>0</v>
      </c>
      <c r="R122" s="9">
        <f>IF(14&lt;=核心参数输入!$B$9,IF(AND(核心参数输入!$B$100=1,OR(核心参数输入!$B$101=0,14-12&lt;=核心参数输入!$B$101)),MAX(0,Q122-MAX(0,R88-SUMIFS($Q$110:$Q$121,$B$110:$B$121,"&gt;="&amp;IF(核心参数输入!$B$101=0,0,14-核心参数输入!$B$101)))),0),0)</f>
        <v>0</v>
      </c>
      <c r="S122" s="9">
        <f>IF(15&lt;=核心参数输入!$B$9,IF(AND(核心参数输入!$B$100=1,OR(核心参数输入!$B$101=0,15-12&lt;=核心参数输入!$B$101)),MAX(0,R122-MAX(0,S88-SUMIFS($R$110:$R$121,$B$110:$B$121,"&gt;="&amp;IF(核心参数输入!$B$101=0,0,15-核心参数输入!$B$101)))),0),0)</f>
        <v>0</v>
      </c>
      <c r="T122" s="9">
        <f>IF(16&lt;=核心参数输入!$B$9,IF(AND(核心参数输入!$B$100=1,OR(核心参数输入!$B$101=0,16-12&lt;=核心参数输入!$B$101)),MAX(0,S122-MAX(0,T88-SUMIFS($S$110:$S$121,$B$110:$B$121,"&gt;="&amp;IF(核心参数输入!$B$101=0,0,16-核心参数输入!$B$101)))),0),0)</f>
        <v>0</v>
      </c>
      <c r="U122" s="9">
        <f>IF(17&lt;=核心参数输入!$B$9,IF(AND(核心参数输入!$B$100=1,OR(核心参数输入!$B$101=0,17-12&lt;=核心参数输入!$B$101)),MAX(0,T122-MAX(0,U88-SUMIFS($T$110:$T$121,$B$110:$B$121,"&gt;="&amp;IF(核心参数输入!$B$101=0,0,17-核心参数输入!$B$101)))),0),0)</f>
        <v>0</v>
      </c>
      <c r="V122" s="9">
        <f>IF(18&lt;=核心参数输入!$B$9,IF(AND(核心参数输入!$B$100=1,OR(核心参数输入!$B$101=0,18-12&lt;=核心参数输入!$B$101)),MAX(0,U122-MAX(0,V88-SUMIFS($U$110:$U$121,$B$110:$B$121,"&gt;="&amp;IF(核心参数输入!$B$101=0,0,18-核心参数输入!$B$101)))),0),0)</f>
        <v>0</v>
      </c>
      <c r="W122" s="9">
        <f>IF(19&lt;=核心参数输入!$B$9,IF(AND(核心参数输入!$B$100=1,OR(核心参数输入!$B$101=0,19-12&lt;=核心参数输入!$B$101)),MAX(0,V122-MAX(0,W88-SUMIFS($V$110:$V$121,$B$110:$B$121,"&gt;="&amp;IF(核心参数输入!$B$101=0,0,19-核心参数输入!$B$101)))),0),0)</f>
        <v>0</v>
      </c>
      <c r="X122" s="9">
        <f>IF(20&lt;=核心参数输入!$B$9,IF(AND(核心参数输入!$B$100=1,OR(核心参数输入!$B$101=0,20-12&lt;=核心参数输入!$B$101)),MAX(0,W122-MAX(0,X88-SUMIFS($W$110:$W$121,$B$110:$B$121,"&gt;="&amp;IF(核心参数输入!$B$101=0,0,20-核心参数输入!$B$101)))),0),0)</f>
        <v>0</v>
      </c>
      <c r="Y122" s="9">
        <f>IF(21&lt;=核心参数输入!$B$9,IF(AND(核心参数输入!$B$100=1,OR(核心参数输入!$B$101=0,21-12&lt;=核心参数输入!$B$101)),MAX(0,X122-MAX(0,Y88-SUMIFS($X$110:$X$121,$B$110:$B$121,"&gt;="&amp;IF(核心参数输入!$B$101=0,0,21-核心参数输入!$B$101)))),0),0)</f>
        <v>0</v>
      </c>
      <c r="Z122" s="9">
        <f>IF(22&lt;=核心参数输入!$B$9,IF(AND(核心参数输入!$B$100=1,OR(核心参数输入!$B$101=0,22-12&lt;=核心参数输入!$B$101)),MAX(0,Y122-MAX(0,Z88-SUMIFS($Y$110:$Y$121,$B$110:$B$121,"&gt;="&amp;IF(核心参数输入!$B$101=0,0,22-核心参数输入!$B$101)))),0),0)</f>
        <v>0</v>
      </c>
      <c r="AA122" s="9">
        <f>IF(23&lt;=核心参数输入!$B$9,IF(AND(核心参数输入!$B$100=1,OR(核心参数输入!$B$101=0,23-12&lt;=核心参数输入!$B$101)),MAX(0,Z122-MAX(0,AA88-SUMIFS($Z$110:$Z$121,$B$110:$B$121,"&gt;="&amp;IF(核心参数输入!$B$101=0,0,23-核心参数输入!$B$101)))),0),0)</f>
        <v>0</v>
      </c>
      <c r="AB122" s="9">
        <f>IF(24&lt;=核心参数输入!$B$9,IF(AND(核心参数输入!$B$100=1,OR(核心参数输入!$B$101=0,24-12&lt;=核心参数输入!$B$101)),MAX(0,AA122-MAX(0,AB88-SUMIFS($AA$110:$AA$121,$B$110:$B$121,"&gt;="&amp;IF(核心参数输入!$B$101=0,0,24-核心参数输入!$B$101)))),0),0)</f>
        <v>0</v>
      </c>
      <c r="AC122" s="9">
        <f>IF(25&lt;=核心参数输入!$B$9,IF(AND(核心参数输入!$B$100=1,OR(核心参数输入!$B$101=0,25-12&lt;=核心参数输入!$B$101)),MAX(0,AB122-MAX(0,AC88-SUMIFS($AB$110:$AB$121,$B$110:$B$121,"&gt;="&amp;IF(核心参数输入!$B$101=0,0,25-核心参数输入!$B$101)))),0),0)</f>
        <v>0</v>
      </c>
      <c r="AD122" s="9">
        <f>IF(26&lt;=核心参数输入!$B$9,IF(AND(核心参数输入!$B$100=1,OR(核心参数输入!$B$101=0,26-12&lt;=核心参数输入!$B$101)),MAX(0,AC122-MAX(0,AD88-SUMIFS($AC$110:$AC$121,$B$110:$B$121,"&gt;="&amp;IF(核心参数输入!$B$101=0,0,26-核心参数输入!$B$101)))),0),0)</f>
        <v>0</v>
      </c>
      <c r="AE122" s="9">
        <f>IF(27&lt;=核心参数输入!$B$9,IF(AND(核心参数输入!$B$100=1,OR(核心参数输入!$B$101=0,27-12&lt;=核心参数输入!$B$101)),MAX(0,AD122-MAX(0,AE88-SUMIFS($AD$110:$AD$121,$B$110:$B$121,"&gt;="&amp;IF(核心参数输入!$B$101=0,0,27-核心参数输入!$B$101)))),0),0)</f>
        <v>0</v>
      </c>
      <c r="AF122" s="9">
        <f>IF(28&lt;=核心参数输入!$B$9,IF(AND(核心参数输入!$B$100=1,OR(核心参数输入!$B$101=0,28-12&lt;=核心参数输入!$B$101)),MAX(0,AE122-MAX(0,AF88-SUMIFS($AE$110:$AE$121,$B$110:$B$121,"&gt;="&amp;IF(核心参数输入!$B$101=0,0,28-核心参数输入!$B$101)))),0),0)</f>
        <v>0</v>
      </c>
      <c r="AG122" s="9">
        <f>IF(29&lt;=核心参数输入!$B$9,IF(AND(核心参数输入!$B$100=1,OR(核心参数输入!$B$101=0,29-12&lt;=核心参数输入!$B$101)),MAX(0,AF122-MAX(0,AG88-SUMIFS($AF$110:$AF$121,$B$110:$B$121,"&gt;="&amp;IF(核心参数输入!$B$101=0,0,29-核心参数输入!$B$101)))),0),0)</f>
        <v>0</v>
      </c>
      <c r="AH122" s="9">
        <f>IF(30&lt;=核心参数输入!$B$9,IF(AND(核心参数输入!$B$100=1,OR(核心参数输入!$B$101=0,30-12&lt;=核心参数输入!$B$101)),MAX(0,AG122-MAX(0,AH88-SUMIFS($AG$110:$AG$121,$B$110:$B$121,"&gt;="&amp;IF(核心参数输入!$B$101=0,0,30-核心参数输入!$B$101)))),0),0)</f>
        <v>0</v>
      </c>
    </row>
    <row r="123" spans="1:34" ht="21" customHeight="1">
      <c r="A123" s="8" t="s">
        <v>599</v>
      </c>
      <c r="B123" s="8">
        <v>13</v>
      </c>
      <c r="C123" s="8"/>
      <c r="D123" s="9">
        <f>IF(0&lt;=核心参数输入!$B$9,0,0)</f>
        <v>0</v>
      </c>
      <c r="E123" s="9">
        <f>IF(1&lt;=核心参数输入!$B$9,0,0)</f>
        <v>0</v>
      </c>
      <c r="F123" s="9">
        <f>IF(2&lt;=核心参数输入!$B$9,0,0)</f>
        <v>0</v>
      </c>
      <c r="G123" s="9">
        <f>IF(3&lt;=核心参数输入!$B$9,0,0)</f>
        <v>0</v>
      </c>
      <c r="H123" s="9">
        <f>IF(4&lt;=核心参数输入!$B$9,0,0)</f>
        <v>0</v>
      </c>
      <c r="I123" s="9">
        <f>IF(5&lt;=核心参数输入!$B$9,0,0)</f>
        <v>0</v>
      </c>
      <c r="J123" s="9">
        <f>IF(6&lt;=核心参数输入!$B$9,0,0)</f>
        <v>0</v>
      </c>
      <c r="K123" s="9">
        <f>IF(7&lt;=核心参数输入!$B$9,0,0)</f>
        <v>0</v>
      </c>
      <c r="L123" s="9">
        <f>IF(8&lt;=核心参数输入!$B$9,0,0)</f>
        <v>0</v>
      </c>
      <c r="M123" s="9">
        <f>IF(9&lt;=核心参数输入!$B$9,0,0)</f>
        <v>0</v>
      </c>
      <c r="N123" s="9">
        <f>IF(10&lt;=核心参数输入!$B$9,0,0)</f>
        <v>0</v>
      </c>
      <c r="O123" s="9">
        <f>IF(11&lt;=核心参数输入!$B$9,0,0)</f>
        <v>0</v>
      </c>
      <c r="P123" s="9">
        <f>IF(12&lt;=核心参数输入!$B$9,0,0)</f>
        <v>0</v>
      </c>
      <c r="Q123" s="9">
        <f>IF(13&lt;=核心参数输入!$B$9,Q91,0)</f>
        <v>0</v>
      </c>
      <c r="R123" s="9">
        <f>IF(14&lt;=核心参数输入!$B$9,IF(AND(核心参数输入!$B$100=1,OR(核心参数输入!$B$101=0,14-13&lt;=核心参数输入!$B$101)),MAX(0,Q123-MAX(0,R88-SUMIFS($Q$110:$Q$122,$B$110:$B$122,"&gt;="&amp;IF(核心参数输入!$B$101=0,0,14-核心参数输入!$B$101)))),0),0)</f>
        <v>0</v>
      </c>
      <c r="S123" s="9">
        <f>IF(15&lt;=核心参数输入!$B$9,IF(AND(核心参数输入!$B$100=1,OR(核心参数输入!$B$101=0,15-13&lt;=核心参数输入!$B$101)),MAX(0,R123-MAX(0,S88-SUMIFS($R$110:$R$122,$B$110:$B$122,"&gt;="&amp;IF(核心参数输入!$B$101=0,0,15-核心参数输入!$B$101)))),0),0)</f>
        <v>0</v>
      </c>
      <c r="T123" s="9">
        <f>IF(16&lt;=核心参数输入!$B$9,IF(AND(核心参数输入!$B$100=1,OR(核心参数输入!$B$101=0,16-13&lt;=核心参数输入!$B$101)),MAX(0,S123-MAX(0,T88-SUMIFS($S$110:$S$122,$B$110:$B$122,"&gt;="&amp;IF(核心参数输入!$B$101=0,0,16-核心参数输入!$B$101)))),0),0)</f>
        <v>0</v>
      </c>
      <c r="U123" s="9">
        <f>IF(17&lt;=核心参数输入!$B$9,IF(AND(核心参数输入!$B$100=1,OR(核心参数输入!$B$101=0,17-13&lt;=核心参数输入!$B$101)),MAX(0,T123-MAX(0,U88-SUMIFS($T$110:$T$122,$B$110:$B$122,"&gt;="&amp;IF(核心参数输入!$B$101=0,0,17-核心参数输入!$B$101)))),0),0)</f>
        <v>0</v>
      </c>
      <c r="V123" s="9">
        <f>IF(18&lt;=核心参数输入!$B$9,IF(AND(核心参数输入!$B$100=1,OR(核心参数输入!$B$101=0,18-13&lt;=核心参数输入!$B$101)),MAX(0,U123-MAX(0,V88-SUMIFS($U$110:$U$122,$B$110:$B$122,"&gt;="&amp;IF(核心参数输入!$B$101=0,0,18-核心参数输入!$B$101)))),0),0)</f>
        <v>0</v>
      </c>
      <c r="W123" s="9">
        <f>IF(19&lt;=核心参数输入!$B$9,IF(AND(核心参数输入!$B$100=1,OR(核心参数输入!$B$101=0,19-13&lt;=核心参数输入!$B$101)),MAX(0,V123-MAX(0,W88-SUMIFS($V$110:$V$122,$B$110:$B$122,"&gt;="&amp;IF(核心参数输入!$B$101=0,0,19-核心参数输入!$B$101)))),0),0)</f>
        <v>0</v>
      </c>
      <c r="X123" s="9">
        <f>IF(20&lt;=核心参数输入!$B$9,IF(AND(核心参数输入!$B$100=1,OR(核心参数输入!$B$101=0,20-13&lt;=核心参数输入!$B$101)),MAX(0,W123-MAX(0,X88-SUMIFS($W$110:$W$122,$B$110:$B$122,"&gt;="&amp;IF(核心参数输入!$B$101=0,0,20-核心参数输入!$B$101)))),0),0)</f>
        <v>0</v>
      </c>
      <c r="Y123" s="9">
        <f>IF(21&lt;=核心参数输入!$B$9,IF(AND(核心参数输入!$B$100=1,OR(核心参数输入!$B$101=0,21-13&lt;=核心参数输入!$B$101)),MAX(0,X123-MAX(0,Y88-SUMIFS($X$110:$X$122,$B$110:$B$122,"&gt;="&amp;IF(核心参数输入!$B$101=0,0,21-核心参数输入!$B$101)))),0),0)</f>
        <v>0</v>
      </c>
      <c r="Z123" s="9">
        <f>IF(22&lt;=核心参数输入!$B$9,IF(AND(核心参数输入!$B$100=1,OR(核心参数输入!$B$101=0,22-13&lt;=核心参数输入!$B$101)),MAX(0,Y123-MAX(0,Z88-SUMIFS($Y$110:$Y$122,$B$110:$B$122,"&gt;="&amp;IF(核心参数输入!$B$101=0,0,22-核心参数输入!$B$101)))),0),0)</f>
        <v>0</v>
      </c>
      <c r="AA123" s="9">
        <f>IF(23&lt;=核心参数输入!$B$9,IF(AND(核心参数输入!$B$100=1,OR(核心参数输入!$B$101=0,23-13&lt;=核心参数输入!$B$101)),MAX(0,Z123-MAX(0,AA88-SUMIFS($Z$110:$Z$122,$B$110:$B$122,"&gt;="&amp;IF(核心参数输入!$B$101=0,0,23-核心参数输入!$B$101)))),0),0)</f>
        <v>0</v>
      </c>
      <c r="AB123" s="9">
        <f>IF(24&lt;=核心参数输入!$B$9,IF(AND(核心参数输入!$B$100=1,OR(核心参数输入!$B$101=0,24-13&lt;=核心参数输入!$B$101)),MAX(0,AA123-MAX(0,AB88-SUMIFS($AA$110:$AA$122,$B$110:$B$122,"&gt;="&amp;IF(核心参数输入!$B$101=0,0,24-核心参数输入!$B$101)))),0),0)</f>
        <v>0</v>
      </c>
      <c r="AC123" s="9">
        <f>IF(25&lt;=核心参数输入!$B$9,IF(AND(核心参数输入!$B$100=1,OR(核心参数输入!$B$101=0,25-13&lt;=核心参数输入!$B$101)),MAX(0,AB123-MAX(0,AC88-SUMIFS($AB$110:$AB$122,$B$110:$B$122,"&gt;="&amp;IF(核心参数输入!$B$101=0,0,25-核心参数输入!$B$101)))),0),0)</f>
        <v>0</v>
      </c>
      <c r="AD123" s="9">
        <f>IF(26&lt;=核心参数输入!$B$9,IF(AND(核心参数输入!$B$100=1,OR(核心参数输入!$B$101=0,26-13&lt;=核心参数输入!$B$101)),MAX(0,AC123-MAX(0,AD88-SUMIFS($AC$110:$AC$122,$B$110:$B$122,"&gt;="&amp;IF(核心参数输入!$B$101=0,0,26-核心参数输入!$B$101)))),0),0)</f>
        <v>0</v>
      </c>
      <c r="AE123" s="9">
        <f>IF(27&lt;=核心参数输入!$B$9,IF(AND(核心参数输入!$B$100=1,OR(核心参数输入!$B$101=0,27-13&lt;=核心参数输入!$B$101)),MAX(0,AD123-MAX(0,AE88-SUMIFS($AD$110:$AD$122,$B$110:$B$122,"&gt;="&amp;IF(核心参数输入!$B$101=0,0,27-核心参数输入!$B$101)))),0),0)</f>
        <v>0</v>
      </c>
      <c r="AF123" s="9">
        <f>IF(28&lt;=核心参数输入!$B$9,IF(AND(核心参数输入!$B$100=1,OR(核心参数输入!$B$101=0,28-13&lt;=核心参数输入!$B$101)),MAX(0,AE123-MAX(0,AF88-SUMIFS($AE$110:$AE$122,$B$110:$B$122,"&gt;="&amp;IF(核心参数输入!$B$101=0,0,28-核心参数输入!$B$101)))),0),0)</f>
        <v>0</v>
      </c>
      <c r="AG123" s="9">
        <f>IF(29&lt;=核心参数输入!$B$9,IF(AND(核心参数输入!$B$100=1,OR(核心参数输入!$B$101=0,29-13&lt;=核心参数输入!$B$101)),MAX(0,AF123-MAX(0,AG88-SUMIFS($AF$110:$AF$122,$B$110:$B$122,"&gt;="&amp;IF(核心参数输入!$B$101=0,0,29-核心参数输入!$B$101)))),0),0)</f>
        <v>0</v>
      </c>
      <c r="AH123" s="9">
        <f>IF(30&lt;=核心参数输入!$B$9,IF(AND(核心参数输入!$B$100=1,OR(核心参数输入!$B$101=0,30-13&lt;=核心参数输入!$B$101)),MAX(0,AG123-MAX(0,AH88-SUMIFS($AG$110:$AG$122,$B$110:$B$122,"&gt;="&amp;IF(核心参数输入!$B$101=0,0,30-核心参数输入!$B$101)))),0),0)</f>
        <v>0</v>
      </c>
    </row>
    <row r="124" spans="1:34" ht="21" customHeight="1">
      <c r="A124" s="8" t="s">
        <v>600</v>
      </c>
      <c r="B124" s="8">
        <v>14</v>
      </c>
      <c r="C124" s="8"/>
      <c r="D124" s="9">
        <f>IF(0&lt;=核心参数输入!$B$9,0,0)</f>
        <v>0</v>
      </c>
      <c r="E124" s="9">
        <f>IF(1&lt;=核心参数输入!$B$9,0,0)</f>
        <v>0</v>
      </c>
      <c r="F124" s="9">
        <f>IF(2&lt;=核心参数输入!$B$9,0,0)</f>
        <v>0</v>
      </c>
      <c r="G124" s="9">
        <f>IF(3&lt;=核心参数输入!$B$9,0,0)</f>
        <v>0</v>
      </c>
      <c r="H124" s="9">
        <f>IF(4&lt;=核心参数输入!$B$9,0,0)</f>
        <v>0</v>
      </c>
      <c r="I124" s="9">
        <f>IF(5&lt;=核心参数输入!$B$9,0,0)</f>
        <v>0</v>
      </c>
      <c r="J124" s="9">
        <f>IF(6&lt;=核心参数输入!$B$9,0,0)</f>
        <v>0</v>
      </c>
      <c r="K124" s="9">
        <f>IF(7&lt;=核心参数输入!$B$9,0,0)</f>
        <v>0</v>
      </c>
      <c r="L124" s="9">
        <f>IF(8&lt;=核心参数输入!$B$9,0,0)</f>
        <v>0</v>
      </c>
      <c r="M124" s="9">
        <f>IF(9&lt;=核心参数输入!$B$9,0,0)</f>
        <v>0</v>
      </c>
      <c r="N124" s="9">
        <f>IF(10&lt;=核心参数输入!$B$9,0,0)</f>
        <v>0</v>
      </c>
      <c r="O124" s="9">
        <f>IF(11&lt;=核心参数输入!$B$9,0,0)</f>
        <v>0</v>
      </c>
      <c r="P124" s="9">
        <f>IF(12&lt;=核心参数输入!$B$9,0,0)</f>
        <v>0</v>
      </c>
      <c r="Q124" s="9">
        <f>IF(13&lt;=核心参数输入!$B$9,0,0)</f>
        <v>0</v>
      </c>
      <c r="R124" s="9">
        <f>IF(14&lt;=核心参数输入!$B$9,R91,0)</f>
        <v>0</v>
      </c>
      <c r="S124" s="9">
        <f>IF(15&lt;=核心参数输入!$B$9,IF(AND(核心参数输入!$B$100=1,OR(核心参数输入!$B$101=0,15-14&lt;=核心参数输入!$B$101)),MAX(0,R124-MAX(0,S88-SUMIFS($R$110:$R$123,$B$110:$B$123,"&gt;="&amp;IF(核心参数输入!$B$101=0,0,15-核心参数输入!$B$101)))),0),0)</f>
        <v>0</v>
      </c>
      <c r="T124" s="9">
        <f>IF(16&lt;=核心参数输入!$B$9,IF(AND(核心参数输入!$B$100=1,OR(核心参数输入!$B$101=0,16-14&lt;=核心参数输入!$B$101)),MAX(0,S124-MAX(0,T88-SUMIFS($S$110:$S$123,$B$110:$B$123,"&gt;="&amp;IF(核心参数输入!$B$101=0,0,16-核心参数输入!$B$101)))),0),0)</f>
        <v>0</v>
      </c>
      <c r="U124" s="9">
        <f>IF(17&lt;=核心参数输入!$B$9,IF(AND(核心参数输入!$B$100=1,OR(核心参数输入!$B$101=0,17-14&lt;=核心参数输入!$B$101)),MAX(0,T124-MAX(0,U88-SUMIFS($T$110:$T$123,$B$110:$B$123,"&gt;="&amp;IF(核心参数输入!$B$101=0,0,17-核心参数输入!$B$101)))),0),0)</f>
        <v>0</v>
      </c>
      <c r="V124" s="9">
        <f>IF(18&lt;=核心参数输入!$B$9,IF(AND(核心参数输入!$B$100=1,OR(核心参数输入!$B$101=0,18-14&lt;=核心参数输入!$B$101)),MAX(0,U124-MAX(0,V88-SUMIFS($U$110:$U$123,$B$110:$B$123,"&gt;="&amp;IF(核心参数输入!$B$101=0,0,18-核心参数输入!$B$101)))),0),0)</f>
        <v>0</v>
      </c>
      <c r="W124" s="9">
        <f>IF(19&lt;=核心参数输入!$B$9,IF(AND(核心参数输入!$B$100=1,OR(核心参数输入!$B$101=0,19-14&lt;=核心参数输入!$B$101)),MAX(0,V124-MAX(0,W88-SUMIFS($V$110:$V$123,$B$110:$B$123,"&gt;="&amp;IF(核心参数输入!$B$101=0,0,19-核心参数输入!$B$101)))),0),0)</f>
        <v>0</v>
      </c>
      <c r="X124" s="9">
        <f>IF(20&lt;=核心参数输入!$B$9,IF(AND(核心参数输入!$B$100=1,OR(核心参数输入!$B$101=0,20-14&lt;=核心参数输入!$B$101)),MAX(0,W124-MAX(0,X88-SUMIFS($W$110:$W$123,$B$110:$B$123,"&gt;="&amp;IF(核心参数输入!$B$101=0,0,20-核心参数输入!$B$101)))),0),0)</f>
        <v>0</v>
      </c>
      <c r="Y124" s="9">
        <f>IF(21&lt;=核心参数输入!$B$9,IF(AND(核心参数输入!$B$100=1,OR(核心参数输入!$B$101=0,21-14&lt;=核心参数输入!$B$101)),MAX(0,X124-MAX(0,Y88-SUMIFS($X$110:$X$123,$B$110:$B$123,"&gt;="&amp;IF(核心参数输入!$B$101=0,0,21-核心参数输入!$B$101)))),0),0)</f>
        <v>0</v>
      </c>
      <c r="Z124" s="9">
        <f>IF(22&lt;=核心参数输入!$B$9,IF(AND(核心参数输入!$B$100=1,OR(核心参数输入!$B$101=0,22-14&lt;=核心参数输入!$B$101)),MAX(0,Y124-MAX(0,Z88-SUMIFS($Y$110:$Y$123,$B$110:$B$123,"&gt;="&amp;IF(核心参数输入!$B$101=0,0,22-核心参数输入!$B$101)))),0),0)</f>
        <v>0</v>
      </c>
      <c r="AA124" s="9">
        <f>IF(23&lt;=核心参数输入!$B$9,IF(AND(核心参数输入!$B$100=1,OR(核心参数输入!$B$101=0,23-14&lt;=核心参数输入!$B$101)),MAX(0,Z124-MAX(0,AA88-SUMIFS($Z$110:$Z$123,$B$110:$B$123,"&gt;="&amp;IF(核心参数输入!$B$101=0,0,23-核心参数输入!$B$101)))),0),0)</f>
        <v>0</v>
      </c>
      <c r="AB124" s="9">
        <f>IF(24&lt;=核心参数输入!$B$9,IF(AND(核心参数输入!$B$100=1,OR(核心参数输入!$B$101=0,24-14&lt;=核心参数输入!$B$101)),MAX(0,AA124-MAX(0,AB88-SUMIFS($AA$110:$AA$123,$B$110:$B$123,"&gt;="&amp;IF(核心参数输入!$B$101=0,0,24-核心参数输入!$B$101)))),0),0)</f>
        <v>0</v>
      </c>
      <c r="AC124" s="9">
        <f>IF(25&lt;=核心参数输入!$B$9,IF(AND(核心参数输入!$B$100=1,OR(核心参数输入!$B$101=0,25-14&lt;=核心参数输入!$B$101)),MAX(0,AB124-MAX(0,AC88-SUMIFS($AB$110:$AB$123,$B$110:$B$123,"&gt;="&amp;IF(核心参数输入!$B$101=0,0,25-核心参数输入!$B$101)))),0),0)</f>
        <v>0</v>
      </c>
      <c r="AD124" s="9">
        <f>IF(26&lt;=核心参数输入!$B$9,IF(AND(核心参数输入!$B$100=1,OR(核心参数输入!$B$101=0,26-14&lt;=核心参数输入!$B$101)),MAX(0,AC124-MAX(0,AD88-SUMIFS($AC$110:$AC$123,$B$110:$B$123,"&gt;="&amp;IF(核心参数输入!$B$101=0,0,26-核心参数输入!$B$101)))),0),0)</f>
        <v>0</v>
      </c>
      <c r="AE124" s="9">
        <f>IF(27&lt;=核心参数输入!$B$9,IF(AND(核心参数输入!$B$100=1,OR(核心参数输入!$B$101=0,27-14&lt;=核心参数输入!$B$101)),MAX(0,AD124-MAX(0,AE88-SUMIFS($AD$110:$AD$123,$B$110:$B$123,"&gt;="&amp;IF(核心参数输入!$B$101=0,0,27-核心参数输入!$B$101)))),0),0)</f>
        <v>0</v>
      </c>
      <c r="AF124" s="9">
        <f>IF(28&lt;=核心参数输入!$B$9,IF(AND(核心参数输入!$B$100=1,OR(核心参数输入!$B$101=0,28-14&lt;=核心参数输入!$B$101)),MAX(0,AE124-MAX(0,AF88-SUMIFS($AE$110:$AE$123,$B$110:$B$123,"&gt;="&amp;IF(核心参数输入!$B$101=0,0,28-核心参数输入!$B$101)))),0),0)</f>
        <v>0</v>
      </c>
      <c r="AG124" s="9">
        <f>IF(29&lt;=核心参数输入!$B$9,IF(AND(核心参数输入!$B$100=1,OR(核心参数输入!$B$101=0,29-14&lt;=核心参数输入!$B$101)),MAX(0,AF124-MAX(0,AG88-SUMIFS($AF$110:$AF$123,$B$110:$B$123,"&gt;="&amp;IF(核心参数输入!$B$101=0,0,29-核心参数输入!$B$101)))),0),0)</f>
        <v>0</v>
      </c>
      <c r="AH124" s="9">
        <f>IF(30&lt;=核心参数输入!$B$9,IF(AND(核心参数输入!$B$100=1,OR(核心参数输入!$B$101=0,30-14&lt;=核心参数输入!$B$101)),MAX(0,AG124-MAX(0,AH88-SUMIFS($AG$110:$AG$123,$B$110:$B$123,"&gt;="&amp;IF(核心参数输入!$B$101=0,0,30-核心参数输入!$B$101)))),0),0)</f>
        <v>0</v>
      </c>
    </row>
    <row r="125" spans="1:34" ht="21" customHeight="1">
      <c r="A125" s="8" t="s">
        <v>601</v>
      </c>
      <c r="B125" s="8">
        <v>15</v>
      </c>
      <c r="C125" s="8"/>
      <c r="D125" s="9">
        <f>IF(0&lt;=核心参数输入!$B$9,0,0)</f>
        <v>0</v>
      </c>
      <c r="E125" s="9">
        <f>IF(1&lt;=核心参数输入!$B$9,0,0)</f>
        <v>0</v>
      </c>
      <c r="F125" s="9">
        <f>IF(2&lt;=核心参数输入!$B$9,0,0)</f>
        <v>0</v>
      </c>
      <c r="G125" s="9">
        <f>IF(3&lt;=核心参数输入!$B$9,0,0)</f>
        <v>0</v>
      </c>
      <c r="H125" s="9">
        <f>IF(4&lt;=核心参数输入!$B$9,0,0)</f>
        <v>0</v>
      </c>
      <c r="I125" s="9">
        <f>IF(5&lt;=核心参数输入!$B$9,0,0)</f>
        <v>0</v>
      </c>
      <c r="J125" s="9">
        <f>IF(6&lt;=核心参数输入!$B$9,0,0)</f>
        <v>0</v>
      </c>
      <c r="K125" s="9">
        <f>IF(7&lt;=核心参数输入!$B$9,0,0)</f>
        <v>0</v>
      </c>
      <c r="L125" s="9">
        <f>IF(8&lt;=核心参数输入!$B$9,0,0)</f>
        <v>0</v>
      </c>
      <c r="M125" s="9">
        <f>IF(9&lt;=核心参数输入!$B$9,0,0)</f>
        <v>0</v>
      </c>
      <c r="N125" s="9">
        <f>IF(10&lt;=核心参数输入!$B$9,0,0)</f>
        <v>0</v>
      </c>
      <c r="O125" s="9">
        <f>IF(11&lt;=核心参数输入!$B$9,0,0)</f>
        <v>0</v>
      </c>
      <c r="P125" s="9">
        <f>IF(12&lt;=核心参数输入!$B$9,0,0)</f>
        <v>0</v>
      </c>
      <c r="Q125" s="9">
        <f>IF(13&lt;=核心参数输入!$B$9,0,0)</f>
        <v>0</v>
      </c>
      <c r="R125" s="9">
        <f>IF(14&lt;=核心参数输入!$B$9,0,0)</f>
        <v>0</v>
      </c>
      <c r="S125" s="9">
        <f>IF(15&lt;=核心参数输入!$B$9,S91,0)</f>
        <v>0</v>
      </c>
      <c r="T125" s="9">
        <f>IF(16&lt;=核心参数输入!$B$9,IF(AND(核心参数输入!$B$100=1,OR(核心参数输入!$B$101=0,16-15&lt;=核心参数输入!$B$101)),MAX(0,S125-MAX(0,T88-SUMIFS($S$110:$S$124,$B$110:$B$124,"&gt;="&amp;IF(核心参数输入!$B$101=0,0,16-核心参数输入!$B$101)))),0),0)</f>
        <v>0</v>
      </c>
      <c r="U125" s="9">
        <f>IF(17&lt;=核心参数输入!$B$9,IF(AND(核心参数输入!$B$100=1,OR(核心参数输入!$B$101=0,17-15&lt;=核心参数输入!$B$101)),MAX(0,T125-MAX(0,U88-SUMIFS($T$110:$T$124,$B$110:$B$124,"&gt;="&amp;IF(核心参数输入!$B$101=0,0,17-核心参数输入!$B$101)))),0),0)</f>
        <v>0</v>
      </c>
      <c r="V125" s="9">
        <f>IF(18&lt;=核心参数输入!$B$9,IF(AND(核心参数输入!$B$100=1,OR(核心参数输入!$B$101=0,18-15&lt;=核心参数输入!$B$101)),MAX(0,U125-MAX(0,V88-SUMIFS($U$110:$U$124,$B$110:$B$124,"&gt;="&amp;IF(核心参数输入!$B$101=0,0,18-核心参数输入!$B$101)))),0),0)</f>
        <v>0</v>
      </c>
      <c r="W125" s="9">
        <f>IF(19&lt;=核心参数输入!$B$9,IF(AND(核心参数输入!$B$100=1,OR(核心参数输入!$B$101=0,19-15&lt;=核心参数输入!$B$101)),MAX(0,V125-MAX(0,W88-SUMIFS($V$110:$V$124,$B$110:$B$124,"&gt;="&amp;IF(核心参数输入!$B$101=0,0,19-核心参数输入!$B$101)))),0),0)</f>
        <v>0</v>
      </c>
      <c r="X125" s="9">
        <f>IF(20&lt;=核心参数输入!$B$9,IF(AND(核心参数输入!$B$100=1,OR(核心参数输入!$B$101=0,20-15&lt;=核心参数输入!$B$101)),MAX(0,W125-MAX(0,X88-SUMIFS($W$110:$W$124,$B$110:$B$124,"&gt;="&amp;IF(核心参数输入!$B$101=0,0,20-核心参数输入!$B$101)))),0),0)</f>
        <v>0</v>
      </c>
      <c r="Y125" s="9">
        <f>IF(21&lt;=核心参数输入!$B$9,IF(AND(核心参数输入!$B$100=1,OR(核心参数输入!$B$101=0,21-15&lt;=核心参数输入!$B$101)),MAX(0,X125-MAX(0,Y88-SUMIFS($X$110:$X$124,$B$110:$B$124,"&gt;="&amp;IF(核心参数输入!$B$101=0,0,21-核心参数输入!$B$101)))),0),0)</f>
        <v>0</v>
      </c>
      <c r="Z125" s="9">
        <f>IF(22&lt;=核心参数输入!$B$9,IF(AND(核心参数输入!$B$100=1,OR(核心参数输入!$B$101=0,22-15&lt;=核心参数输入!$B$101)),MAX(0,Y125-MAX(0,Z88-SUMIFS($Y$110:$Y$124,$B$110:$B$124,"&gt;="&amp;IF(核心参数输入!$B$101=0,0,22-核心参数输入!$B$101)))),0),0)</f>
        <v>0</v>
      </c>
      <c r="AA125" s="9">
        <f>IF(23&lt;=核心参数输入!$B$9,IF(AND(核心参数输入!$B$100=1,OR(核心参数输入!$B$101=0,23-15&lt;=核心参数输入!$B$101)),MAX(0,Z125-MAX(0,AA88-SUMIFS($Z$110:$Z$124,$B$110:$B$124,"&gt;="&amp;IF(核心参数输入!$B$101=0,0,23-核心参数输入!$B$101)))),0),0)</f>
        <v>0</v>
      </c>
      <c r="AB125" s="9">
        <f>IF(24&lt;=核心参数输入!$B$9,IF(AND(核心参数输入!$B$100=1,OR(核心参数输入!$B$101=0,24-15&lt;=核心参数输入!$B$101)),MAX(0,AA125-MAX(0,AB88-SUMIFS($AA$110:$AA$124,$B$110:$B$124,"&gt;="&amp;IF(核心参数输入!$B$101=0,0,24-核心参数输入!$B$101)))),0),0)</f>
        <v>0</v>
      </c>
      <c r="AC125" s="9">
        <f>IF(25&lt;=核心参数输入!$B$9,IF(AND(核心参数输入!$B$100=1,OR(核心参数输入!$B$101=0,25-15&lt;=核心参数输入!$B$101)),MAX(0,AB125-MAX(0,AC88-SUMIFS($AB$110:$AB$124,$B$110:$B$124,"&gt;="&amp;IF(核心参数输入!$B$101=0,0,25-核心参数输入!$B$101)))),0),0)</f>
        <v>0</v>
      </c>
      <c r="AD125" s="9">
        <f>IF(26&lt;=核心参数输入!$B$9,IF(AND(核心参数输入!$B$100=1,OR(核心参数输入!$B$101=0,26-15&lt;=核心参数输入!$B$101)),MAX(0,AC125-MAX(0,AD88-SUMIFS($AC$110:$AC$124,$B$110:$B$124,"&gt;="&amp;IF(核心参数输入!$B$101=0,0,26-核心参数输入!$B$101)))),0),0)</f>
        <v>0</v>
      </c>
      <c r="AE125" s="9">
        <f>IF(27&lt;=核心参数输入!$B$9,IF(AND(核心参数输入!$B$100=1,OR(核心参数输入!$B$101=0,27-15&lt;=核心参数输入!$B$101)),MAX(0,AD125-MAX(0,AE88-SUMIFS($AD$110:$AD$124,$B$110:$B$124,"&gt;="&amp;IF(核心参数输入!$B$101=0,0,27-核心参数输入!$B$101)))),0),0)</f>
        <v>0</v>
      </c>
      <c r="AF125" s="9">
        <f>IF(28&lt;=核心参数输入!$B$9,IF(AND(核心参数输入!$B$100=1,OR(核心参数输入!$B$101=0,28-15&lt;=核心参数输入!$B$101)),MAX(0,AE125-MAX(0,AF88-SUMIFS($AE$110:$AE$124,$B$110:$B$124,"&gt;="&amp;IF(核心参数输入!$B$101=0,0,28-核心参数输入!$B$101)))),0),0)</f>
        <v>0</v>
      </c>
      <c r="AG125" s="9">
        <f>IF(29&lt;=核心参数输入!$B$9,IF(AND(核心参数输入!$B$100=1,OR(核心参数输入!$B$101=0,29-15&lt;=核心参数输入!$B$101)),MAX(0,AF125-MAX(0,AG88-SUMIFS($AF$110:$AF$124,$B$110:$B$124,"&gt;="&amp;IF(核心参数输入!$B$101=0,0,29-核心参数输入!$B$101)))),0),0)</f>
        <v>0</v>
      </c>
      <c r="AH125" s="9">
        <f>IF(30&lt;=核心参数输入!$B$9,IF(AND(核心参数输入!$B$100=1,OR(核心参数输入!$B$101=0,30-15&lt;=核心参数输入!$B$101)),MAX(0,AG125-MAX(0,AH88-SUMIFS($AG$110:$AG$124,$B$110:$B$124,"&gt;="&amp;IF(核心参数输入!$B$101=0,0,30-核心参数输入!$B$101)))),0),0)</f>
        <v>0</v>
      </c>
    </row>
    <row r="126" spans="1:34" ht="21" customHeight="1">
      <c r="A126" s="8" t="s">
        <v>602</v>
      </c>
      <c r="B126" s="8">
        <v>16</v>
      </c>
      <c r="C126" s="8"/>
      <c r="D126" s="9">
        <f>IF(0&lt;=核心参数输入!$B$9,0,0)</f>
        <v>0</v>
      </c>
      <c r="E126" s="9">
        <f>IF(1&lt;=核心参数输入!$B$9,0,0)</f>
        <v>0</v>
      </c>
      <c r="F126" s="9">
        <f>IF(2&lt;=核心参数输入!$B$9,0,0)</f>
        <v>0</v>
      </c>
      <c r="G126" s="9">
        <f>IF(3&lt;=核心参数输入!$B$9,0,0)</f>
        <v>0</v>
      </c>
      <c r="H126" s="9">
        <f>IF(4&lt;=核心参数输入!$B$9,0,0)</f>
        <v>0</v>
      </c>
      <c r="I126" s="9">
        <f>IF(5&lt;=核心参数输入!$B$9,0,0)</f>
        <v>0</v>
      </c>
      <c r="J126" s="9">
        <f>IF(6&lt;=核心参数输入!$B$9,0,0)</f>
        <v>0</v>
      </c>
      <c r="K126" s="9">
        <f>IF(7&lt;=核心参数输入!$B$9,0,0)</f>
        <v>0</v>
      </c>
      <c r="L126" s="9">
        <f>IF(8&lt;=核心参数输入!$B$9,0,0)</f>
        <v>0</v>
      </c>
      <c r="M126" s="9">
        <f>IF(9&lt;=核心参数输入!$B$9,0,0)</f>
        <v>0</v>
      </c>
      <c r="N126" s="9">
        <f>IF(10&lt;=核心参数输入!$B$9,0,0)</f>
        <v>0</v>
      </c>
      <c r="O126" s="9">
        <f>IF(11&lt;=核心参数输入!$B$9,0,0)</f>
        <v>0</v>
      </c>
      <c r="P126" s="9">
        <f>IF(12&lt;=核心参数输入!$B$9,0,0)</f>
        <v>0</v>
      </c>
      <c r="Q126" s="9">
        <f>IF(13&lt;=核心参数输入!$B$9,0,0)</f>
        <v>0</v>
      </c>
      <c r="R126" s="9">
        <f>IF(14&lt;=核心参数输入!$B$9,0,0)</f>
        <v>0</v>
      </c>
      <c r="S126" s="9">
        <f>IF(15&lt;=核心参数输入!$B$9,0,0)</f>
        <v>0</v>
      </c>
      <c r="T126" s="9">
        <f>IF(16&lt;=核心参数输入!$B$9,T91,0)</f>
        <v>0</v>
      </c>
      <c r="U126" s="9">
        <f>IF(17&lt;=核心参数输入!$B$9,IF(AND(核心参数输入!$B$100=1,OR(核心参数输入!$B$101=0,17-16&lt;=核心参数输入!$B$101)),MAX(0,T126-MAX(0,U88-SUMIFS($T$110:$T$125,$B$110:$B$125,"&gt;="&amp;IF(核心参数输入!$B$101=0,0,17-核心参数输入!$B$101)))),0),0)</f>
        <v>0</v>
      </c>
      <c r="V126" s="9">
        <f>IF(18&lt;=核心参数输入!$B$9,IF(AND(核心参数输入!$B$100=1,OR(核心参数输入!$B$101=0,18-16&lt;=核心参数输入!$B$101)),MAX(0,U126-MAX(0,V88-SUMIFS($U$110:$U$125,$B$110:$B$125,"&gt;="&amp;IF(核心参数输入!$B$101=0,0,18-核心参数输入!$B$101)))),0),0)</f>
        <v>0</v>
      </c>
      <c r="W126" s="9">
        <f>IF(19&lt;=核心参数输入!$B$9,IF(AND(核心参数输入!$B$100=1,OR(核心参数输入!$B$101=0,19-16&lt;=核心参数输入!$B$101)),MAX(0,V126-MAX(0,W88-SUMIFS($V$110:$V$125,$B$110:$B$125,"&gt;="&amp;IF(核心参数输入!$B$101=0,0,19-核心参数输入!$B$101)))),0),0)</f>
        <v>0</v>
      </c>
      <c r="X126" s="9">
        <f>IF(20&lt;=核心参数输入!$B$9,IF(AND(核心参数输入!$B$100=1,OR(核心参数输入!$B$101=0,20-16&lt;=核心参数输入!$B$101)),MAX(0,W126-MAX(0,X88-SUMIFS($W$110:$W$125,$B$110:$B$125,"&gt;="&amp;IF(核心参数输入!$B$101=0,0,20-核心参数输入!$B$101)))),0),0)</f>
        <v>0</v>
      </c>
      <c r="Y126" s="9">
        <f>IF(21&lt;=核心参数输入!$B$9,IF(AND(核心参数输入!$B$100=1,OR(核心参数输入!$B$101=0,21-16&lt;=核心参数输入!$B$101)),MAX(0,X126-MAX(0,Y88-SUMIFS($X$110:$X$125,$B$110:$B$125,"&gt;="&amp;IF(核心参数输入!$B$101=0,0,21-核心参数输入!$B$101)))),0),0)</f>
        <v>0</v>
      </c>
      <c r="Z126" s="9">
        <f>IF(22&lt;=核心参数输入!$B$9,IF(AND(核心参数输入!$B$100=1,OR(核心参数输入!$B$101=0,22-16&lt;=核心参数输入!$B$101)),MAX(0,Y126-MAX(0,Z88-SUMIFS($Y$110:$Y$125,$B$110:$B$125,"&gt;="&amp;IF(核心参数输入!$B$101=0,0,22-核心参数输入!$B$101)))),0),0)</f>
        <v>0</v>
      </c>
      <c r="AA126" s="9">
        <f>IF(23&lt;=核心参数输入!$B$9,IF(AND(核心参数输入!$B$100=1,OR(核心参数输入!$B$101=0,23-16&lt;=核心参数输入!$B$101)),MAX(0,Z126-MAX(0,AA88-SUMIFS($Z$110:$Z$125,$B$110:$B$125,"&gt;="&amp;IF(核心参数输入!$B$101=0,0,23-核心参数输入!$B$101)))),0),0)</f>
        <v>0</v>
      </c>
      <c r="AB126" s="9">
        <f>IF(24&lt;=核心参数输入!$B$9,IF(AND(核心参数输入!$B$100=1,OR(核心参数输入!$B$101=0,24-16&lt;=核心参数输入!$B$101)),MAX(0,AA126-MAX(0,AB88-SUMIFS($AA$110:$AA$125,$B$110:$B$125,"&gt;="&amp;IF(核心参数输入!$B$101=0,0,24-核心参数输入!$B$101)))),0),0)</f>
        <v>0</v>
      </c>
      <c r="AC126" s="9">
        <f>IF(25&lt;=核心参数输入!$B$9,IF(AND(核心参数输入!$B$100=1,OR(核心参数输入!$B$101=0,25-16&lt;=核心参数输入!$B$101)),MAX(0,AB126-MAX(0,AC88-SUMIFS($AB$110:$AB$125,$B$110:$B$125,"&gt;="&amp;IF(核心参数输入!$B$101=0,0,25-核心参数输入!$B$101)))),0),0)</f>
        <v>0</v>
      </c>
      <c r="AD126" s="9">
        <f>IF(26&lt;=核心参数输入!$B$9,IF(AND(核心参数输入!$B$100=1,OR(核心参数输入!$B$101=0,26-16&lt;=核心参数输入!$B$101)),MAX(0,AC126-MAX(0,AD88-SUMIFS($AC$110:$AC$125,$B$110:$B$125,"&gt;="&amp;IF(核心参数输入!$B$101=0,0,26-核心参数输入!$B$101)))),0),0)</f>
        <v>0</v>
      </c>
      <c r="AE126" s="9">
        <f>IF(27&lt;=核心参数输入!$B$9,IF(AND(核心参数输入!$B$100=1,OR(核心参数输入!$B$101=0,27-16&lt;=核心参数输入!$B$101)),MAX(0,AD126-MAX(0,AE88-SUMIFS($AD$110:$AD$125,$B$110:$B$125,"&gt;="&amp;IF(核心参数输入!$B$101=0,0,27-核心参数输入!$B$101)))),0),0)</f>
        <v>0</v>
      </c>
      <c r="AF126" s="9">
        <f>IF(28&lt;=核心参数输入!$B$9,IF(AND(核心参数输入!$B$100=1,OR(核心参数输入!$B$101=0,28-16&lt;=核心参数输入!$B$101)),MAX(0,AE126-MAX(0,AF88-SUMIFS($AE$110:$AE$125,$B$110:$B$125,"&gt;="&amp;IF(核心参数输入!$B$101=0,0,28-核心参数输入!$B$101)))),0),0)</f>
        <v>0</v>
      </c>
      <c r="AG126" s="9">
        <f>IF(29&lt;=核心参数输入!$B$9,IF(AND(核心参数输入!$B$100=1,OR(核心参数输入!$B$101=0,29-16&lt;=核心参数输入!$B$101)),MAX(0,AF126-MAX(0,AG88-SUMIFS($AF$110:$AF$125,$B$110:$B$125,"&gt;="&amp;IF(核心参数输入!$B$101=0,0,29-核心参数输入!$B$101)))),0),0)</f>
        <v>0</v>
      </c>
      <c r="AH126" s="9">
        <f>IF(30&lt;=核心参数输入!$B$9,IF(AND(核心参数输入!$B$100=1,OR(核心参数输入!$B$101=0,30-16&lt;=核心参数输入!$B$101)),MAX(0,AG126-MAX(0,AH88-SUMIFS($AG$110:$AG$125,$B$110:$B$125,"&gt;="&amp;IF(核心参数输入!$B$101=0,0,30-核心参数输入!$B$101)))),0),0)</f>
        <v>0</v>
      </c>
    </row>
    <row r="127" spans="1:34" ht="21" customHeight="1">
      <c r="A127" s="8" t="s">
        <v>603</v>
      </c>
      <c r="B127" s="8">
        <v>17</v>
      </c>
      <c r="C127" s="8"/>
      <c r="D127" s="9">
        <f>IF(0&lt;=核心参数输入!$B$9,0,0)</f>
        <v>0</v>
      </c>
      <c r="E127" s="9">
        <f>IF(1&lt;=核心参数输入!$B$9,0,0)</f>
        <v>0</v>
      </c>
      <c r="F127" s="9">
        <f>IF(2&lt;=核心参数输入!$B$9,0,0)</f>
        <v>0</v>
      </c>
      <c r="G127" s="9">
        <f>IF(3&lt;=核心参数输入!$B$9,0,0)</f>
        <v>0</v>
      </c>
      <c r="H127" s="9">
        <f>IF(4&lt;=核心参数输入!$B$9,0,0)</f>
        <v>0</v>
      </c>
      <c r="I127" s="9">
        <f>IF(5&lt;=核心参数输入!$B$9,0,0)</f>
        <v>0</v>
      </c>
      <c r="J127" s="9">
        <f>IF(6&lt;=核心参数输入!$B$9,0,0)</f>
        <v>0</v>
      </c>
      <c r="K127" s="9">
        <f>IF(7&lt;=核心参数输入!$B$9,0,0)</f>
        <v>0</v>
      </c>
      <c r="L127" s="9">
        <f>IF(8&lt;=核心参数输入!$B$9,0,0)</f>
        <v>0</v>
      </c>
      <c r="M127" s="9">
        <f>IF(9&lt;=核心参数输入!$B$9,0,0)</f>
        <v>0</v>
      </c>
      <c r="N127" s="9">
        <f>IF(10&lt;=核心参数输入!$B$9,0,0)</f>
        <v>0</v>
      </c>
      <c r="O127" s="9">
        <f>IF(11&lt;=核心参数输入!$B$9,0,0)</f>
        <v>0</v>
      </c>
      <c r="P127" s="9">
        <f>IF(12&lt;=核心参数输入!$B$9,0,0)</f>
        <v>0</v>
      </c>
      <c r="Q127" s="9">
        <f>IF(13&lt;=核心参数输入!$B$9,0,0)</f>
        <v>0</v>
      </c>
      <c r="R127" s="9">
        <f>IF(14&lt;=核心参数输入!$B$9,0,0)</f>
        <v>0</v>
      </c>
      <c r="S127" s="9">
        <f>IF(15&lt;=核心参数输入!$B$9,0,0)</f>
        <v>0</v>
      </c>
      <c r="T127" s="9">
        <f>IF(16&lt;=核心参数输入!$B$9,0,0)</f>
        <v>0</v>
      </c>
      <c r="U127" s="9">
        <f>IF(17&lt;=核心参数输入!$B$9,U91,0)</f>
        <v>0</v>
      </c>
      <c r="V127" s="9">
        <f>IF(18&lt;=核心参数输入!$B$9,IF(AND(核心参数输入!$B$100=1,OR(核心参数输入!$B$101=0,18-17&lt;=核心参数输入!$B$101)),MAX(0,U127-MAX(0,V88-SUMIFS($U$110:$U$126,$B$110:$B$126,"&gt;="&amp;IF(核心参数输入!$B$101=0,0,18-核心参数输入!$B$101)))),0),0)</f>
        <v>0</v>
      </c>
      <c r="W127" s="9">
        <f>IF(19&lt;=核心参数输入!$B$9,IF(AND(核心参数输入!$B$100=1,OR(核心参数输入!$B$101=0,19-17&lt;=核心参数输入!$B$101)),MAX(0,V127-MAX(0,W88-SUMIFS($V$110:$V$126,$B$110:$B$126,"&gt;="&amp;IF(核心参数输入!$B$101=0,0,19-核心参数输入!$B$101)))),0),0)</f>
        <v>0</v>
      </c>
      <c r="X127" s="9">
        <f>IF(20&lt;=核心参数输入!$B$9,IF(AND(核心参数输入!$B$100=1,OR(核心参数输入!$B$101=0,20-17&lt;=核心参数输入!$B$101)),MAX(0,W127-MAX(0,X88-SUMIFS($W$110:$W$126,$B$110:$B$126,"&gt;="&amp;IF(核心参数输入!$B$101=0,0,20-核心参数输入!$B$101)))),0),0)</f>
        <v>0</v>
      </c>
      <c r="Y127" s="9">
        <f>IF(21&lt;=核心参数输入!$B$9,IF(AND(核心参数输入!$B$100=1,OR(核心参数输入!$B$101=0,21-17&lt;=核心参数输入!$B$101)),MAX(0,X127-MAX(0,Y88-SUMIFS($X$110:$X$126,$B$110:$B$126,"&gt;="&amp;IF(核心参数输入!$B$101=0,0,21-核心参数输入!$B$101)))),0),0)</f>
        <v>0</v>
      </c>
      <c r="Z127" s="9">
        <f>IF(22&lt;=核心参数输入!$B$9,IF(AND(核心参数输入!$B$100=1,OR(核心参数输入!$B$101=0,22-17&lt;=核心参数输入!$B$101)),MAX(0,Y127-MAX(0,Z88-SUMIFS($Y$110:$Y$126,$B$110:$B$126,"&gt;="&amp;IF(核心参数输入!$B$101=0,0,22-核心参数输入!$B$101)))),0),0)</f>
        <v>0</v>
      </c>
      <c r="AA127" s="9">
        <f>IF(23&lt;=核心参数输入!$B$9,IF(AND(核心参数输入!$B$100=1,OR(核心参数输入!$B$101=0,23-17&lt;=核心参数输入!$B$101)),MAX(0,Z127-MAX(0,AA88-SUMIFS($Z$110:$Z$126,$B$110:$B$126,"&gt;="&amp;IF(核心参数输入!$B$101=0,0,23-核心参数输入!$B$101)))),0),0)</f>
        <v>0</v>
      </c>
      <c r="AB127" s="9">
        <f>IF(24&lt;=核心参数输入!$B$9,IF(AND(核心参数输入!$B$100=1,OR(核心参数输入!$B$101=0,24-17&lt;=核心参数输入!$B$101)),MAX(0,AA127-MAX(0,AB88-SUMIFS($AA$110:$AA$126,$B$110:$B$126,"&gt;="&amp;IF(核心参数输入!$B$101=0,0,24-核心参数输入!$B$101)))),0),0)</f>
        <v>0</v>
      </c>
      <c r="AC127" s="9">
        <f>IF(25&lt;=核心参数输入!$B$9,IF(AND(核心参数输入!$B$100=1,OR(核心参数输入!$B$101=0,25-17&lt;=核心参数输入!$B$101)),MAX(0,AB127-MAX(0,AC88-SUMIFS($AB$110:$AB$126,$B$110:$B$126,"&gt;="&amp;IF(核心参数输入!$B$101=0,0,25-核心参数输入!$B$101)))),0),0)</f>
        <v>0</v>
      </c>
      <c r="AD127" s="9">
        <f>IF(26&lt;=核心参数输入!$B$9,IF(AND(核心参数输入!$B$100=1,OR(核心参数输入!$B$101=0,26-17&lt;=核心参数输入!$B$101)),MAX(0,AC127-MAX(0,AD88-SUMIFS($AC$110:$AC$126,$B$110:$B$126,"&gt;="&amp;IF(核心参数输入!$B$101=0,0,26-核心参数输入!$B$101)))),0),0)</f>
        <v>0</v>
      </c>
      <c r="AE127" s="9">
        <f>IF(27&lt;=核心参数输入!$B$9,IF(AND(核心参数输入!$B$100=1,OR(核心参数输入!$B$101=0,27-17&lt;=核心参数输入!$B$101)),MAX(0,AD127-MAX(0,AE88-SUMIFS($AD$110:$AD$126,$B$110:$B$126,"&gt;="&amp;IF(核心参数输入!$B$101=0,0,27-核心参数输入!$B$101)))),0),0)</f>
        <v>0</v>
      </c>
      <c r="AF127" s="9">
        <f>IF(28&lt;=核心参数输入!$B$9,IF(AND(核心参数输入!$B$100=1,OR(核心参数输入!$B$101=0,28-17&lt;=核心参数输入!$B$101)),MAX(0,AE127-MAX(0,AF88-SUMIFS($AE$110:$AE$126,$B$110:$B$126,"&gt;="&amp;IF(核心参数输入!$B$101=0,0,28-核心参数输入!$B$101)))),0),0)</f>
        <v>0</v>
      </c>
      <c r="AG127" s="9">
        <f>IF(29&lt;=核心参数输入!$B$9,IF(AND(核心参数输入!$B$100=1,OR(核心参数输入!$B$101=0,29-17&lt;=核心参数输入!$B$101)),MAX(0,AF127-MAX(0,AG88-SUMIFS($AF$110:$AF$126,$B$110:$B$126,"&gt;="&amp;IF(核心参数输入!$B$101=0,0,29-核心参数输入!$B$101)))),0),0)</f>
        <v>0</v>
      </c>
      <c r="AH127" s="9">
        <f>IF(30&lt;=核心参数输入!$B$9,IF(AND(核心参数输入!$B$100=1,OR(核心参数输入!$B$101=0,30-17&lt;=核心参数输入!$B$101)),MAX(0,AG127-MAX(0,AH88-SUMIFS($AG$110:$AG$126,$B$110:$B$126,"&gt;="&amp;IF(核心参数输入!$B$101=0,0,30-核心参数输入!$B$101)))),0),0)</f>
        <v>0</v>
      </c>
    </row>
    <row r="128" spans="1:34" ht="21" customHeight="1">
      <c r="A128" s="8" t="s">
        <v>604</v>
      </c>
      <c r="B128" s="8">
        <v>18</v>
      </c>
      <c r="C128" s="8"/>
      <c r="D128" s="9">
        <f>IF(0&lt;=核心参数输入!$B$9,0,0)</f>
        <v>0</v>
      </c>
      <c r="E128" s="9">
        <f>IF(1&lt;=核心参数输入!$B$9,0,0)</f>
        <v>0</v>
      </c>
      <c r="F128" s="9">
        <f>IF(2&lt;=核心参数输入!$B$9,0,0)</f>
        <v>0</v>
      </c>
      <c r="G128" s="9">
        <f>IF(3&lt;=核心参数输入!$B$9,0,0)</f>
        <v>0</v>
      </c>
      <c r="H128" s="9">
        <f>IF(4&lt;=核心参数输入!$B$9,0,0)</f>
        <v>0</v>
      </c>
      <c r="I128" s="9">
        <f>IF(5&lt;=核心参数输入!$B$9,0,0)</f>
        <v>0</v>
      </c>
      <c r="J128" s="9">
        <f>IF(6&lt;=核心参数输入!$B$9,0,0)</f>
        <v>0</v>
      </c>
      <c r="K128" s="9">
        <f>IF(7&lt;=核心参数输入!$B$9,0,0)</f>
        <v>0</v>
      </c>
      <c r="L128" s="9">
        <f>IF(8&lt;=核心参数输入!$B$9,0,0)</f>
        <v>0</v>
      </c>
      <c r="M128" s="9">
        <f>IF(9&lt;=核心参数输入!$B$9,0,0)</f>
        <v>0</v>
      </c>
      <c r="N128" s="9">
        <f>IF(10&lt;=核心参数输入!$B$9,0,0)</f>
        <v>0</v>
      </c>
      <c r="O128" s="9">
        <f>IF(11&lt;=核心参数输入!$B$9,0,0)</f>
        <v>0</v>
      </c>
      <c r="P128" s="9">
        <f>IF(12&lt;=核心参数输入!$B$9,0,0)</f>
        <v>0</v>
      </c>
      <c r="Q128" s="9">
        <f>IF(13&lt;=核心参数输入!$B$9,0,0)</f>
        <v>0</v>
      </c>
      <c r="R128" s="9">
        <f>IF(14&lt;=核心参数输入!$B$9,0,0)</f>
        <v>0</v>
      </c>
      <c r="S128" s="9">
        <f>IF(15&lt;=核心参数输入!$B$9,0,0)</f>
        <v>0</v>
      </c>
      <c r="T128" s="9">
        <f>IF(16&lt;=核心参数输入!$B$9,0,0)</f>
        <v>0</v>
      </c>
      <c r="U128" s="9">
        <f>IF(17&lt;=核心参数输入!$B$9,0,0)</f>
        <v>0</v>
      </c>
      <c r="V128" s="9">
        <f>IF(18&lt;=核心参数输入!$B$9,V91,0)</f>
        <v>0</v>
      </c>
      <c r="W128" s="9">
        <f>IF(19&lt;=核心参数输入!$B$9,IF(AND(核心参数输入!$B$100=1,OR(核心参数输入!$B$101=0,19-18&lt;=核心参数输入!$B$101)),MAX(0,V128-MAX(0,W88-SUMIFS($V$110:$V$127,$B$110:$B$127,"&gt;="&amp;IF(核心参数输入!$B$101=0,0,19-核心参数输入!$B$101)))),0),0)</f>
        <v>0</v>
      </c>
      <c r="X128" s="9">
        <f>IF(20&lt;=核心参数输入!$B$9,IF(AND(核心参数输入!$B$100=1,OR(核心参数输入!$B$101=0,20-18&lt;=核心参数输入!$B$101)),MAX(0,W128-MAX(0,X88-SUMIFS($W$110:$W$127,$B$110:$B$127,"&gt;="&amp;IF(核心参数输入!$B$101=0,0,20-核心参数输入!$B$101)))),0),0)</f>
        <v>0</v>
      </c>
      <c r="Y128" s="9">
        <f>IF(21&lt;=核心参数输入!$B$9,IF(AND(核心参数输入!$B$100=1,OR(核心参数输入!$B$101=0,21-18&lt;=核心参数输入!$B$101)),MAX(0,X128-MAX(0,Y88-SUMIFS($X$110:$X$127,$B$110:$B$127,"&gt;="&amp;IF(核心参数输入!$B$101=0,0,21-核心参数输入!$B$101)))),0),0)</f>
        <v>0</v>
      </c>
      <c r="Z128" s="9">
        <f>IF(22&lt;=核心参数输入!$B$9,IF(AND(核心参数输入!$B$100=1,OR(核心参数输入!$B$101=0,22-18&lt;=核心参数输入!$B$101)),MAX(0,Y128-MAX(0,Z88-SUMIFS($Y$110:$Y$127,$B$110:$B$127,"&gt;="&amp;IF(核心参数输入!$B$101=0,0,22-核心参数输入!$B$101)))),0),0)</f>
        <v>0</v>
      </c>
      <c r="AA128" s="9">
        <f>IF(23&lt;=核心参数输入!$B$9,IF(AND(核心参数输入!$B$100=1,OR(核心参数输入!$B$101=0,23-18&lt;=核心参数输入!$B$101)),MAX(0,Z128-MAX(0,AA88-SUMIFS($Z$110:$Z$127,$B$110:$B$127,"&gt;="&amp;IF(核心参数输入!$B$101=0,0,23-核心参数输入!$B$101)))),0),0)</f>
        <v>0</v>
      </c>
      <c r="AB128" s="9">
        <f>IF(24&lt;=核心参数输入!$B$9,IF(AND(核心参数输入!$B$100=1,OR(核心参数输入!$B$101=0,24-18&lt;=核心参数输入!$B$101)),MAX(0,AA128-MAX(0,AB88-SUMIFS($AA$110:$AA$127,$B$110:$B$127,"&gt;="&amp;IF(核心参数输入!$B$101=0,0,24-核心参数输入!$B$101)))),0),0)</f>
        <v>0</v>
      </c>
      <c r="AC128" s="9">
        <f>IF(25&lt;=核心参数输入!$B$9,IF(AND(核心参数输入!$B$100=1,OR(核心参数输入!$B$101=0,25-18&lt;=核心参数输入!$B$101)),MAX(0,AB128-MAX(0,AC88-SUMIFS($AB$110:$AB$127,$B$110:$B$127,"&gt;="&amp;IF(核心参数输入!$B$101=0,0,25-核心参数输入!$B$101)))),0),0)</f>
        <v>0</v>
      </c>
      <c r="AD128" s="9">
        <f>IF(26&lt;=核心参数输入!$B$9,IF(AND(核心参数输入!$B$100=1,OR(核心参数输入!$B$101=0,26-18&lt;=核心参数输入!$B$101)),MAX(0,AC128-MAX(0,AD88-SUMIFS($AC$110:$AC$127,$B$110:$B$127,"&gt;="&amp;IF(核心参数输入!$B$101=0,0,26-核心参数输入!$B$101)))),0),0)</f>
        <v>0</v>
      </c>
      <c r="AE128" s="9">
        <f>IF(27&lt;=核心参数输入!$B$9,IF(AND(核心参数输入!$B$100=1,OR(核心参数输入!$B$101=0,27-18&lt;=核心参数输入!$B$101)),MAX(0,AD128-MAX(0,AE88-SUMIFS($AD$110:$AD$127,$B$110:$B$127,"&gt;="&amp;IF(核心参数输入!$B$101=0,0,27-核心参数输入!$B$101)))),0),0)</f>
        <v>0</v>
      </c>
      <c r="AF128" s="9">
        <f>IF(28&lt;=核心参数输入!$B$9,IF(AND(核心参数输入!$B$100=1,OR(核心参数输入!$B$101=0,28-18&lt;=核心参数输入!$B$101)),MAX(0,AE128-MAX(0,AF88-SUMIFS($AE$110:$AE$127,$B$110:$B$127,"&gt;="&amp;IF(核心参数输入!$B$101=0,0,28-核心参数输入!$B$101)))),0),0)</f>
        <v>0</v>
      </c>
      <c r="AG128" s="9">
        <f>IF(29&lt;=核心参数输入!$B$9,IF(AND(核心参数输入!$B$100=1,OR(核心参数输入!$B$101=0,29-18&lt;=核心参数输入!$B$101)),MAX(0,AF128-MAX(0,AG88-SUMIFS($AF$110:$AF$127,$B$110:$B$127,"&gt;="&amp;IF(核心参数输入!$B$101=0,0,29-核心参数输入!$B$101)))),0),0)</f>
        <v>0</v>
      </c>
      <c r="AH128" s="9">
        <f>IF(30&lt;=核心参数输入!$B$9,IF(AND(核心参数输入!$B$100=1,OR(核心参数输入!$B$101=0,30-18&lt;=核心参数输入!$B$101)),MAX(0,AG128-MAX(0,AH88-SUMIFS($AG$110:$AG$127,$B$110:$B$127,"&gt;="&amp;IF(核心参数输入!$B$101=0,0,30-核心参数输入!$B$101)))),0),0)</f>
        <v>0</v>
      </c>
    </row>
    <row r="129" spans="1:34" ht="21" customHeight="1">
      <c r="A129" s="8" t="s">
        <v>605</v>
      </c>
      <c r="B129" s="8">
        <v>19</v>
      </c>
      <c r="C129" s="8"/>
      <c r="D129" s="9">
        <f>IF(0&lt;=核心参数输入!$B$9,0,0)</f>
        <v>0</v>
      </c>
      <c r="E129" s="9">
        <f>IF(1&lt;=核心参数输入!$B$9,0,0)</f>
        <v>0</v>
      </c>
      <c r="F129" s="9">
        <f>IF(2&lt;=核心参数输入!$B$9,0,0)</f>
        <v>0</v>
      </c>
      <c r="G129" s="9">
        <f>IF(3&lt;=核心参数输入!$B$9,0,0)</f>
        <v>0</v>
      </c>
      <c r="H129" s="9">
        <f>IF(4&lt;=核心参数输入!$B$9,0,0)</f>
        <v>0</v>
      </c>
      <c r="I129" s="9">
        <f>IF(5&lt;=核心参数输入!$B$9,0,0)</f>
        <v>0</v>
      </c>
      <c r="J129" s="9">
        <f>IF(6&lt;=核心参数输入!$B$9,0,0)</f>
        <v>0</v>
      </c>
      <c r="K129" s="9">
        <f>IF(7&lt;=核心参数输入!$B$9,0,0)</f>
        <v>0</v>
      </c>
      <c r="L129" s="9">
        <f>IF(8&lt;=核心参数输入!$B$9,0,0)</f>
        <v>0</v>
      </c>
      <c r="M129" s="9">
        <f>IF(9&lt;=核心参数输入!$B$9,0,0)</f>
        <v>0</v>
      </c>
      <c r="N129" s="9">
        <f>IF(10&lt;=核心参数输入!$B$9,0,0)</f>
        <v>0</v>
      </c>
      <c r="O129" s="9">
        <f>IF(11&lt;=核心参数输入!$B$9,0,0)</f>
        <v>0</v>
      </c>
      <c r="P129" s="9">
        <f>IF(12&lt;=核心参数输入!$B$9,0,0)</f>
        <v>0</v>
      </c>
      <c r="Q129" s="9">
        <f>IF(13&lt;=核心参数输入!$B$9,0,0)</f>
        <v>0</v>
      </c>
      <c r="R129" s="9">
        <f>IF(14&lt;=核心参数输入!$B$9,0,0)</f>
        <v>0</v>
      </c>
      <c r="S129" s="9">
        <f>IF(15&lt;=核心参数输入!$B$9,0,0)</f>
        <v>0</v>
      </c>
      <c r="T129" s="9">
        <f>IF(16&lt;=核心参数输入!$B$9,0,0)</f>
        <v>0</v>
      </c>
      <c r="U129" s="9">
        <f>IF(17&lt;=核心参数输入!$B$9,0,0)</f>
        <v>0</v>
      </c>
      <c r="V129" s="9">
        <f>IF(18&lt;=核心参数输入!$B$9,0,0)</f>
        <v>0</v>
      </c>
      <c r="W129" s="9">
        <f>IF(19&lt;=核心参数输入!$B$9,W91,0)</f>
        <v>0</v>
      </c>
      <c r="X129" s="9">
        <f>IF(20&lt;=核心参数输入!$B$9,IF(AND(核心参数输入!$B$100=1,OR(核心参数输入!$B$101=0,20-19&lt;=核心参数输入!$B$101)),MAX(0,W129-MAX(0,X88-SUMIFS($W$110:$W$128,$B$110:$B$128,"&gt;="&amp;IF(核心参数输入!$B$101=0,0,20-核心参数输入!$B$101)))),0),0)</f>
        <v>0</v>
      </c>
      <c r="Y129" s="9">
        <f>IF(21&lt;=核心参数输入!$B$9,IF(AND(核心参数输入!$B$100=1,OR(核心参数输入!$B$101=0,21-19&lt;=核心参数输入!$B$101)),MAX(0,X129-MAX(0,Y88-SUMIFS($X$110:$X$128,$B$110:$B$128,"&gt;="&amp;IF(核心参数输入!$B$101=0,0,21-核心参数输入!$B$101)))),0),0)</f>
        <v>0</v>
      </c>
      <c r="Z129" s="9">
        <f>IF(22&lt;=核心参数输入!$B$9,IF(AND(核心参数输入!$B$100=1,OR(核心参数输入!$B$101=0,22-19&lt;=核心参数输入!$B$101)),MAX(0,Y129-MAX(0,Z88-SUMIFS($Y$110:$Y$128,$B$110:$B$128,"&gt;="&amp;IF(核心参数输入!$B$101=0,0,22-核心参数输入!$B$101)))),0),0)</f>
        <v>0</v>
      </c>
      <c r="AA129" s="9">
        <f>IF(23&lt;=核心参数输入!$B$9,IF(AND(核心参数输入!$B$100=1,OR(核心参数输入!$B$101=0,23-19&lt;=核心参数输入!$B$101)),MAX(0,Z129-MAX(0,AA88-SUMIFS($Z$110:$Z$128,$B$110:$B$128,"&gt;="&amp;IF(核心参数输入!$B$101=0,0,23-核心参数输入!$B$101)))),0),0)</f>
        <v>0</v>
      </c>
      <c r="AB129" s="9">
        <f>IF(24&lt;=核心参数输入!$B$9,IF(AND(核心参数输入!$B$100=1,OR(核心参数输入!$B$101=0,24-19&lt;=核心参数输入!$B$101)),MAX(0,AA129-MAX(0,AB88-SUMIFS($AA$110:$AA$128,$B$110:$B$128,"&gt;="&amp;IF(核心参数输入!$B$101=0,0,24-核心参数输入!$B$101)))),0),0)</f>
        <v>0</v>
      </c>
      <c r="AC129" s="9">
        <f>IF(25&lt;=核心参数输入!$B$9,IF(AND(核心参数输入!$B$100=1,OR(核心参数输入!$B$101=0,25-19&lt;=核心参数输入!$B$101)),MAX(0,AB129-MAX(0,AC88-SUMIFS($AB$110:$AB$128,$B$110:$B$128,"&gt;="&amp;IF(核心参数输入!$B$101=0,0,25-核心参数输入!$B$101)))),0),0)</f>
        <v>0</v>
      </c>
      <c r="AD129" s="9">
        <f>IF(26&lt;=核心参数输入!$B$9,IF(AND(核心参数输入!$B$100=1,OR(核心参数输入!$B$101=0,26-19&lt;=核心参数输入!$B$101)),MAX(0,AC129-MAX(0,AD88-SUMIFS($AC$110:$AC$128,$B$110:$B$128,"&gt;="&amp;IF(核心参数输入!$B$101=0,0,26-核心参数输入!$B$101)))),0),0)</f>
        <v>0</v>
      </c>
      <c r="AE129" s="9">
        <f>IF(27&lt;=核心参数输入!$B$9,IF(AND(核心参数输入!$B$100=1,OR(核心参数输入!$B$101=0,27-19&lt;=核心参数输入!$B$101)),MAX(0,AD129-MAX(0,AE88-SUMIFS($AD$110:$AD$128,$B$110:$B$128,"&gt;="&amp;IF(核心参数输入!$B$101=0,0,27-核心参数输入!$B$101)))),0),0)</f>
        <v>0</v>
      </c>
      <c r="AF129" s="9">
        <f>IF(28&lt;=核心参数输入!$B$9,IF(AND(核心参数输入!$B$100=1,OR(核心参数输入!$B$101=0,28-19&lt;=核心参数输入!$B$101)),MAX(0,AE129-MAX(0,AF88-SUMIFS($AE$110:$AE$128,$B$110:$B$128,"&gt;="&amp;IF(核心参数输入!$B$101=0,0,28-核心参数输入!$B$101)))),0),0)</f>
        <v>0</v>
      </c>
      <c r="AG129" s="9">
        <f>IF(29&lt;=核心参数输入!$B$9,IF(AND(核心参数输入!$B$100=1,OR(核心参数输入!$B$101=0,29-19&lt;=核心参数输入!$B$101)),MAX(0,AF129-MAX(0,AG88-SUMIFS($AF$110:$AF$128,$B$110:$B$128,"&gt;="&amp;IF(核心参数输入!$B$101=0,0,29-核心参数输入!$B$101)))),0),0)</f>
        <v>0</v>
      </c>
      <c r="AH129" s="9">
        <f>IF(30&lt;=核心参数输入!$B$9,IF(AND(核心参数输入!$B$100=1,OR(核心参数输入!$B$101=0,30-19&lt;=核心参数输入!$B$101)),MAX(0,AG129-MAX(0,AH88-SUMIFS($AG$110:$AG$128,$B$110:$B$128,"&gt;="&amp;IF(核心参数输入!$B$101=0,0,30-核心参数输入!$B$101)))),0),0)</f>
        <v>0</v>
      </c>
    </row>
    <row r="130" spans="1:34" ht="21" customHeight="1">
      <c r="A130" s="8" t="s">
        <v>606</v>
      </c>
      <c r="B130" s="8">
        <v>20</v>
      </c>
      <c r="C130" s="8"/>
      <c r="D130" s="9">
        <f>IF(0&lt;=核心参数输入!$B$9,0,0)</f>
        <v>0</v>
      </c>
      <c r="E130" s="9">
        <f>IF(1&lt;=核心参数输入!$B$9,0,0)</f>
        <v>0</v>
      </c>
      <c r="F130" s="9">
        <f>IF(2&lt;=核心参数输入!$B$9,0,0)</f>
        <v>0</v>
      </c>
      <c r="G130" s="9">
        <f>IF(3&lt;=核心参数输入!$B$9,0,0)</f>
        <v>0</v>
      </c>
      <c r="H130" s="9">
        <f>IF(4&lt;=核心参数输入!$B$9,0,0)</f>
        <v>0</v>
      </c>
      <c r="I130" s="9">
        <f>IF(5&lt;=核心参数输入!$B$9,0,0)</f>
        <v>0</v>
      </c>
      <c r="J130" s="9">
        <f>IF(6&lt;=核心参数输入!$B$9,0,0)</f>
        <v>0</v>
      </c>
      <c r="K130" s="9">
        <f>IF(7&lt;=核心参数输入!$B$9,0,0)</f>
        <v>0</v>
      </c>
      <c r="L130" s="9">
        <f>IF(8&lt;=核心参数输入!$B$9,0,0)</f>
        <v>0</v>
      </c>
      <c r="M130" s="9">
        <f>IF(9&lt;=核心参数输入!$B$9,0,0)</f>
        <v>0</v>
      </c>
      <c r="N130" s="9">
        <f>IF(10&lt;=核心参数输入!$B$9,0,0)</f>
        <v>0</v>
      </c>
      <c r="O130" s="9">
        <f>IF(11&lt;=核心参数输入!$B$9,0,0)</f>
        <v>0</v>
      </c>
      <c r="P130" s="9">
        <f>IF(12&lt;=核心参数输入!$B$9,0,0)</f>
        <v>0</v>
      </c>
      <c r="Q130" s="9">
        <f>IF(13&lt;=核心参数输入!$B$9,0,0)</f>
        <v>0</v>
      </c>
      <c r="R130" s="9">
        <f>IF(14&lt;=核心参数输入!$B$9,0,0)</f>
        <v>0</v>
      </c>
      <c r="S130" s="9">
        <f>IF(15&lt;=核心参数输入!$B$9,0,0)</f>
        <v>0</v>
      </c>
      <c r="T130" s="9">
        <f>IF(16&lt;=核心参数输入!$B$9,0,0)</f>
        <v>0</v>
      </c>
      <c r="U130" s="9">
        <f>IF(17&lt;=核心参数输入!$B$9,0,0)</f>
        <v>0</v>
      </c>
      <c r="V130" s="9">
        <f>IF(18&lt;=核心参数输入!$B$9,0,0)</f>
        <v>0</v>
      </c>
      <c r="W130" s="9">
        <f>IF(19&lt;=核心参数输入!$B$9,0,0)</f>
        <v>0</v>
      </c>
      <c r="X130" s="9">
        <f>IF(20&lt;=核心参数输入!$B$9,X91,0)</f>
        <v>0</v>
      </c>
      <c r="Y130" s="9">
        <f>IF(21&lt;=核心参数输入!$B$9,IF(AND(核心参数输入!$B$100=1,OR(核心参数输入!$B$101=0,21-20&lt;=核心参数输入!$B$101)),MAX(0,X130-MAX(0,Y88-SUMIFS($X$110:$X$129,$B$110:$B$129,"&gt;="&amp;IF(核心参数输入!$B$101=0,0,21-核心参数输入!$B$101)))),0),0)</f>
        <v>0</v>
      </c>
      <c r="Z130" s="9">
        <f>IF(22&lt;=核心参数输入!$B$9,IF(AND(核心参数输入!$B$100=1,OR(核心参数输入!$B$101=0,22-20&lt;=核心参数输入!$B$101)),MAX(0,Y130-MAX(0,Z88-SUMIFS($Y$110:$Y$129,$B$110:$B$129,"&gt;="&amp;IF(核心参数输入!$B$101=0,0,22-核心参数输入!$B$101)))),0),0)</f>
        <v>0</v>
      </c>
      <c r="AA130" s="9">
        <f>IF(23&lt;=核心参数输入!$B$9,IF(AND(核心参数输入!$B$100=1,OR(核心参数输入!$B$101=0,23-20&lt;=核心参数输入!$B$101)),MAX(0,Z130-MAX(0,AA88-SUMIFS($Z$110:$Z$129,$B$110:$B$129,"&gt;="&amp;IF(核心参数输入!$B$101=0,0,23-核心参数输入!$B$101)))),0),0)</f>
        <v>0</v>
      </c>
      <c r="AB130" s="9">
        <f>IF(24&lt;=核心参数输入!$B$9,IF(AND(核心参数输入!$B$100=1,OR(核心参数输入!$B$101=0,24-20&lt;=核心参数输入!$B$101)),MAX(0,AA130-MAX(0,AB88-SUMIFS($AA$110:$AA$129,$B$110:$B$129,"&gt;="&amp;IF(核心参数输入!$B$101=0,0,24-核心参数输入!$B$101)))),0),0)</f>
        <v>0</v>
      </c>
      <c r="AC130" s="9">
        <f>IF(25&lt;=核心参数输入!$B$9,IF(AND(核心参数输入!$B$100=1,OR(核心参数输入!$B$101=0,25-20&lt;=核心参数输入!$B$101)),MAX(0,AB130-MAX(0,AC88-SUMIFS($AB$110:$AB$129,$B$110:$B$129,"&gt;="&amp;IF(核心参数输入!$B$101=0,0,25-核心参数输入!$B$101)))),0),0)</f>
        <v>0</v>
      </c>
      <c r="AD130" s="9">
        <f>IF(26&lt;=核心参数输入!$B$9,IF(AND(核心参数输入!$B$100=1,OR(核心参数输入!$B$101=0,26-20&lt;=核心参数输入!$B$101)),MAX(0,AC130-MAX(0,AD88-SUMIFS($AC$110:$AC$129,$B$110:$B$129,"&gt;="&amp;IF(核心参数输入!$B$101=0,0,26-核心参数输入!$B$101)))),0),0)</f>
        <v>0</v>
      </c>
      <c r="AE130" s="9">
        <f>IF(27&lt;=核心参数输入!$B$9,IF(AND(核心参数输入!$B$100=1,OR(核心参数输入!$B$101=0,27-20&lt;=核心参数输入!$B$101)),MAX(0,AD130-MAX(0,AE88-SUMIFS($AD$110:$AD$129,$B$110:$B$129,"&gt;="&amp;IF(核心参数输入!$B$101=0,0,27-核心参数输入!$B$101)))),0),0)</f>
        <v>0</v>
      </c>
      <c r="AF130" s="9">
        <f>IF(28&lt;=核心参数输入!$B$9,IF(AND(核心参数输入!$B$100=1,OR(核心参数输入!$B$101=0,28-20&lt;=核心参数输入!$B$101)),MAX(0,AE130-MAX(0,AF88-SUMIFS($AE$110:$AE$129,$B$110:$B$129,"&gt;="&amp;IF(核心参数输入!$B$101=0,0,28-核心参数输入!$B$101)))),0),0)</f>
        <v>0</v>
      </c>
      <c r="AG130" s="9">
        <f>IF(29&lt;=核心参数输入!$B$9,IF(AND(核心参数输入!$B$100=1,OR(核心参数输入!$B$101=0,29-20&lt;=核心参数输入!$B$101)),MAX(0,AF130-MAX(0,AG88-SUMIFS($AF$110:$AF$129,$B$110:$B$129,"&gt;="&amp;IF(核心参数输入!$B$101=0,0,29-核心参数输入!$B$101)))),0),0)</f>
        <v>0</v>
      </c>
      <c r="AH130" s="9">
        <f>IF(30&lt;=核心参数输入!$B$9,IF(AND(核心参数输入!$B$100=1,OR(核心参数输入!$B$101=0,30-20&lt;=核心参数输入!$B$101)),MAX(0,AG130-MAX(0,AH88-SUMIFS($AG$110:$AG$129,$B$110:$B$129,"&gt;="&amp;IF(核心参数输入!$B$101=0,0,30-核心参数输入!$B$101)))),0),0)</f>
        <v>0</v>
      </c>
    </row>
    <row r="131" spans="1:34" ht="21" customHeight="1">
      <c r="A131" s="8" t="s">
        <v>607</v>
      </c>
      <c r="B131" s="8">
        <v>21</v>
      </c>
      <c r="C131" s="8"/>
      <c r="D131" s="9">
        <f>IF(0&lt;=核心参数输入!$B$9,0,0)</f>
        <v>0</v>
      </c>
      <c r="E131" s="9">
        <f>IF(1&lt;=核心参数输入!$B$9,0,0)</f>
        <v>0</v>
      </c>
      <c r="F131" s="9">
        <f>IF(2&lt;=核心参数输入!$B$9,0,0)</f>
        <v>0</v>
      </c>
      <c r="G131" s="9">
        <f>IF(3&lt;=核心参数输入!$B$9,0,0)</f>
        <v>0</v>
      </c>
      <c r="H131" s="9">
        <f>IF(4&lt;=核心参数输入!$B$9,0,0)</f>
        <v>0</v>
      </c>
      <c r="I131" s="9">
        <f>IF(5&lt;=核心参数输入!$B$9,0,0)</f>
        <v>0</v>
      </c>
      <c r="J131" s="9">
        <f>IF(6&lt;=核心参数输入!$B$9,0,0)</f>
        <v>0</v>
      </c>
      <c r="K131" s="9">
        <f>IF(7&lt;=核心参数输入!$B$9,0,0)</f>
        <v>0</v>
      </c>
      <c r="L131" s="9">
        <f>IF(8&lt;=核心参数输入!$B$9,0,0)</f>
        <v>0</v>
      </c>
      <c r="M131" s="9">
        <f>IF(9&lt;=核心参数输入!$B$9,0,0)</f>
        <v>0</v>
      </c>
      <c r="N131" s="9">
        <f>IF(10&lt;=核心参数输入!$B$9,0,0)</f>
        <v>0</v>
      </c>
      <c r="O131" s="9">
        <f>IF(11&lt;=核心参数输入!$B$9,0,0)</f>
        <v>0</v>
      </c>
      <c r="P131" s="9">
        <f>IF(12&lt;=核心参数输入!$B$9,0,0)</f>
        <v>0</v>
      </c>
      <c r="Q131" s="9">
        <f>IF(13&lt;=核心参数输入!$B$9,0,0)</f>
        <v>0</v>
      </c>
      <c r="R131" s="9">
        <f>IF(14&lt;=核心参数输入!$B$9,0,0)</f>
        <v>0</v>
      </c>
      <c r="S131" s="9">
        <f>IF(15&lt;=核心参数输入!$B$9,0,0)</f>
        <v>0</v>
      </c>
      <c r="T131" s="9">
        <f>IF(16&lt;=核心参数输入!$B$9,0,0)</f>
        <v>0</v>
      </c>
      <c r="U131" s="9">
        <f>IF(17&lt;=核心参数输入!$B$9,0,0)</f>
        <v>0</v>
      </c>
      <c r="V131" s="9">
        <f>IF(18&lt;=核心参数输入!$B$9,0,0)</f>
        <v>0</v>
      </c>
      <c r="W131" s="9">
        <f>IF(19&lt;=核心参数输入!$B$9,0,0)</f>
        <v>0</v>
      </c>
      <c r="X131" s="9">
        <f>IF(20&lt;=核心参数输入!$B$9,0,0)</f>
        <v>0</v>
      </c>
      <c r="Y131" s="9">
        <f>IF(21&lt;=核心参数输入!$B$9,Y91,0)</f>
        <v>0</v>
      </c>
      <c r="Z131" s="9">
        <f>IF(22&lt;=核心参数输入!$B$9,IF(AND(核心参数输入!$B$100=1,OR(核心参数输入!$B$101=0,22-21&lt;=核心参数输入!$B$101)),MAX(0,Y131-MAX(0,Z88-SUMIFS($Y$110:$Y$130,$B$110:$B$130,"&gt;="&amp;IF(核心参数输入!$B$101=0,0,22-核心参数输入!$B$101)))),0),0)</f>
        <v>0</v>
      </c>
      <c r="AA131" s="9">
        <f>IF(23&lt;=核心参数输入!$B$9,IF(AND(核心参数输入!$B$100=1,OR(核心参数输入!$B$101=0,23-21&lt;=核心参数输入!$B$101)),MAX(0,Z131-MAX(0,AA88-SUMIFS($Z$110:$Z$130,$B$110:$B$130,"&gt;="&amp;IF(核心参数输入!$B$101=0,0,23-核心参数输入!$B$101)))),0),0)</f>
        <v>0</v>
      </c>
      <c r="AB131" s="9">
        <f>IF(24&lt;=核心参数输入!$B$9,IF(AND(核心参数输入!$B$100=1,OR(核心参数输入!$B$101=0,24-21&lt;=核心参数输入!$B$101)),MAX(0,AA131-MAX(0,AB88-SUMIFS($AA$110:$AA$130,$B$110:$B$130,"&gt;="&amp;IF(核心参数输入!$B$101=0,0,24-核心参数输入!$B$101)))),0),0)</f>
        <v>0</v>
      </c>
      <c r="AC131" s="9">
        <f>IF(25&lt;=核心参数输入!$B$9,IF(AND(核心参数输入!$B$100=1,OR(核心参数输入!$B$101=0,25-21&lt;=核心参数输入!$B$101)),MAX(0,AB131-MAX(0,AC88-SUMIFS($AB$110:$AB$130,$B$110:$B$130,"&gt;="&amp;IF(核心参数输入!$B$101=0,0,25-核心参数输入!$B$101)))),0),0)</f>
        <v>0</v>
      </c>
      <c r="AD131" s="9">
        <f>IF(26&lt;=核心参数输入!$B$9,IF(AND(核心参数输入!$B$100=1,OR(核心参数输入!$B$101=0,26-21&lt;=核心参数输入!$B$101)),MAX(0,AC131-MAX(0,AD88-SUMIFS($AC$110:$AC$130,$B$110:$B$130,"&gt;="&amp;IF(核心参数输入!$B$101=0,0,26-核心参数输入!$B$101)))),0),0)</f>
        <v>0</v>
      </c>
      <c r="AE131" s="9">
        <f>IF(27&lt;=核心参数输入!$B$9,IF(AND(核心参数输入!$B$100=1,OR(核心参数输入!$B$101=0,27-21&lt;=核心参数输入!$B$101)),MAX(0,AD131-MAX(0,AE88-SUMIFS($AD$110:$AD$130,$B$110:$B$130,"&gt;="&amp;IF(核心参数输入!$B$101=0,0,27-核心参数输入!$B$101)))),0),0)</f>
        <v>0</v>
      </c>
      <c r="AF131" s="9">
        <f>IF(28&lt;=核心参数输入!$B$9,IF(AND(核心参数输入!$B$100=1,OR(核心参数输入!$B$101=0,28-21&lt;=核心参数输入!$B$101)),MAX(0,AE131-MAX(0,AF88-SUMIFS($AE$110:$AE$130,$B$110:$B$130,"&gt;="&amp;IF(核心参数输入!$B$101=0,0,28-核心参数输入!$B$101)))),0),0)</f>
        <v>0</v>
      </c>
      <c r="AG131" s="9">
        <f>IF(29&lt;=核心参数输入!$B$9,IF(AND(核心参数输入!$B$100=1,OR(核心参数输入!$B$101=0,29-21&lt;=核心参数输入!$B$101)),MAX(0,AF131-MAX(0,AG88-SUMIFS($AF$110:$AF$130,$B$110:$B$130,"&gt;="&amp;IF(核心参数输入!$B$101=0,0,29-核心参数输入!$B$101)))),0),0)</f>
        <v>0</v>
      </c>
      <c r="AH131" s="9">
        <f>IF(30&lt;=核心参数输入!$B$9,IF(AND(核心参数输入!$B$100=1,OR(核心参数输入!$B$101=0,30-21&lt;=核心参数输入!$B$101)),MAX(0,AG131-MAX(0,AH88-SUMIFS($AG$110:$AG$130,$B$110:$B$130,"&gt;="&amp;IF(核心参数输入!$B$101=0,0,30-核心参数输入!$B$101)))),0),0)</f>
        <v>0</v>
      </c>
    </row>
    <row r="132" spans="1:34" ht="21" customHeight="1">
      <c r="A132" s="8" t="s">
        <v>608</v>
      </c>
      <c r="B132" s="8">
        <v>22</v>
      </c>
      <c r="C132" s="8"/>
      <c r="D132" s="9">
        <f>IF(0&lt;=核心参数输入!$B$9,0,0)</f>
        <v>0</v>
      </c>
      <c r="E132" s="9">
        <f>IF(1&lt;=核心参数输入!$B$9,0,0)</f>
        <v>0</v>
      </c>
      <c r="F132" s="9">
        <f>IF(2&lt;=核心参数输入!$B$9,0,0)</f>
        <v>0</v>
      </c>
      <c r="G132" s="9">
        <f>IF(3&lt;=核心参数输入!$B$9,0,0)</f>
        <v>0</v>
      </c>
      <c r="H132" s="9">
        <f>IF(4&lt;=核心参数输入!$B$9,0,0)</f>
        <v>0</v>
      </c>
      <c r="I132" s="9">
        <f>IF(5&lt;=核心参数输入!$B$9,0,0)</f>
        <v>0</v>
      </c>
      <c r="J132" s="9">
        <f>IF(6&lt;=核心参数输入!$B$9,0,0)</f>
        <v>0</v>
      </c>
      <c r="K132" s="9">
        <f>IF(7&lt;=核心参数输入!$B$9,0,0)</f>
        <v>0</v>
      </c>
      <c r="L132" s="9">
        <f>IF(8&lt;=核心参数输入!$B$9,0,0)</f>
        <v>0</v>
      </c>
      <c r="M132" s="9">
        <f>IF(9&lt;=核心参数输入!$B$9,0,0)</f>
        <v>0</v>
      </c>
      <c r="N132" s="9">
        <f>IF(10&lt;=核心参数输入!$B$9,0,0)</f>
        <v>0</v>
      </c>
      <c r="O132" s="9">
        <f>IF(11&lt;=核心参数输入!$B$9,0,0)</f>
        <v>0</v>
      </c>
      <c r="P132" s="9">
        <f>IF(12&lt;=核心参数输入!$B$9,0,0)</f>
        <v>0</v>
      </c>
      <c r="Q132" s="9">
        <f>IF(13&lt;=核心参数输入!$B$9,0,0)</f>
        <v>0</v>
      </c>
      <c r="R132" s="9">
        <f>IF(14&lt;=核心参数输入!$B$9,0,0)</f>
        <v>0</v>
      </c>
      <c r="S132" s="9">
        <f>IF(15&lt;=核心参数输入!$B$9,0,0)</f>
        <v>0</v>
      </c>
      <c r="T132" s="9">
        <f>IF(16&lt;=核心参数输入!$B$9,0,0)</f>
        <v>0</v>
      </c>
      <c r="U132" s="9">
        <f>IF(17&lt;=核心参数输入!$B$9,0,0)</f>
        <v>0</v>
      </c>
      <c r="V132" s="9">
        <f>IF(18&lt;=核心参数输入!$B$9,0,0)</f>
        <v>0</v>
      </c>
      <c r="W132" s="9">
        <f>IF(19&lt;=核心参数输入!$B$9,0,0)</f>
        <v>0</v>
      </c>
      <c r="X132" s="9">
        <f>IF(20&lt;=核心参数输入!$B$9,0,0)</f>
        <v>0</v>
      </c>
      <c r="Y132" s="9">
        <f>IF(21&lt;=核心参数输入!$B$9,0,0)</f>
        <v>0</v>
      </c>
      <c r="Z132" s="9">
        <f>IF(22&lt;=核心参数输入!$B$9,Z91,0)</f>
        <v>0</v>
      </c>
      <c r="AA132" s="9">
        <f>IF(23&lt;=核心参数输入!$B$9,IF(AND(核心参数输入!$B$100=1,OR(核心参数输入!$B$101=0,23-22&lt;=核心参数输入!$B$101)),MAX(0,Z132-MAX(0,AA88-SUMIFS($Z$110:$Z$131,$B$110:$B$131,"&gt;="&amp;IF(核心参数输入!$B$101=0,0,23-核心参数输入!$B$101)))),0),0)</f>
        <v>0</v>
      </c>
      <c r="AB132" s="9">
        <f>IF(24&lt;=核心参数输入!$B$9,IF(AND(核心参数输入!$B$100=1,OR(核心参数输入!$B$101=0,24-22&lt;=核心参数输入!$B$101)),MAX(0,AA132-MAX(0,AB88-SUMIFS($AA$110:$AA$131,$B$110:$B$131,"&gt;="&amp;IF(核心参数输入!$B$101=0,0,24-核心参数输入!$B$101)))),0),0)</f>
        <v>0</v>
      </c>
      <c r="AC132" s="9">
        <f>IF(25&lt;=核心参数输入!$B$9,IF(AND(核心参数输入!$B$100=1,OR(核心参数输入!$B$101=0,25-22&lt;=核心参数输入!$B$101)),MAX(0,AB132-MAX(0,AC88-SUMIFS($AB$110:$AB$131,$B$110:$B$131,"&gt;="&amp;IF(核心参数输入!$B$101=0,0,25-核心参数输入!$B$101)))),0),0)</f>
        <v>0</v>
      </c>
      <c r="AD132" s="9">
        <f>IF(26&lt;=核心参数输入!$B$9,IF(AND(核心参数输入!$B$100=1,OR(核心参数输入!$B$101=0,26-22&lt;=核心参数输入!$B$101)),MAX(0,AC132-MAX(0,AD88-SUMIFS($AC$110:$AC$131,$B$110:$B$131,"&gt;="&amp;IF(核心参数输入!$B$101=0,0,26-核心参数输入!$B$101)))),0),0)</f>
        <v>0</v>
      </c>
      <c r="AE132" s="9">
        <f>IF(27&lt;=核心参数输入!$B$9,IF(AND(核心参数输入!$B$100=1,OR(核心参数输入!$B$101=0,27-22&lt;=核心参数输入!$B$101)),MAX(0,AD132-MAX(0,AE88-SUMIFS($AD$110:$AD$131,$B$110:$B$131,"&gt;="&amp;IF(核心参数输入!$B$101=0,0,27-核心参数输入!$B$101)))),0),0)</f>
        <v>0</v>
      </c>
      <c r="AF132" s="9">
        <f>IF(28&lt;=核心参数输入!$B$9,IF(AND(核心参数输入!$B$100=1,OR(核心参数输入!$B$101=0,28-22&lt;=核心参数输入!$B$101)),MAX(0,AE132-MAX(0,AF88-SUMIFS($AE$110:$AE$131,$B$110:$B$131,"&gt;="&amp;IF(核心参数输入!$B$101=0,0,28-核心参数输入!$B$101)))),0),0)</f>
        <v>0</v>
      </c>
      <c r="AG132" s="9">
        <f>IF(29&lt;=核心参数输入!$B$9,IF(AND(核心参数输入!$B$100=1,OR(核心参数输入!$B$101=0,29-22&lt;=核心参数输入!$B$101)),MAX(0,AF132-MAX(0,AG88-SUMIFS($AF$110:$AF$131,$B$110:$B$131,"&gt;="&amp;IF(核心参数输入!$B$101=0,0,29-核心参数输入!$B$101)))),0),0)</f>
        <v>0</v>
      </c>
      <c r="AH132" s="9">
        <f>IF(30&lt;=核心参数输入!$B$9,IF(AND(核心参数输入!$B$100=1,OR(核心参数输入!$B$101=0,30-22&lt;=核心参数输入!$B$101)),MAX(0,AG132-MAX(0,AH88-SUMIFS($AG$110:$AG$131,$B$110:$B$131,"&gt;="&amp;IF(核心参数输入!$B$101=0,0,30-核心参数输入!$B$101)))),0),0)</f>
        <v>0</v>
      </c>
    </row>
    <row r="133" spans="1:34" ht="21" customHeight="1">
      <c r="A133" s="8" t="s">
        <v>609</v>
      </c>
      <c r="B133" s="8">
        <v>23</v>
      </c>
      <c r="C133" s="8"/>
      <c r="D133" s="9">
        <f>IF(0&lt;=核心参数输入!$B$9,0,0)</f>
        <v>0</v>
      </c>
      <c r="E133" s="9">
        <f>IF(1&lt;=核心参数输入!$B$9,0,0)</f>
        <v>0</v>
      </c>
      <c r="F133" s="9">
        <f>IF(2&lt;=核心参数输入!$B$9,0,0)</f>
        <v>0</v>
      </c>
      <c r="G133" s="9">
        <f>IF(3&lt;=核心参数输入!$B$9,0,0)</f>
        <v>0</v>
      </c>
      <c r="H133" s="9">
        <f>IF(4&lt;=核心参数输入!$B$9,0,0)</f>
        <v>0</v>
      </c>
      <c r="I133" s="9">
        <f>IF(5&lt;=核心参数输入!$B$9,0,0)</f>
        <v>0</v>
      </c>
      <c r="J133" s="9">
        <f>IF(6&lt;=核心参数输入!$B$9,0,0)</f>
        <v>0</v>
      </c>
      <c r="K133" s="9">
        <f>IF(7&lt;=核心参数输入!$B$9,0,0)</f>
        <v>0</v>
      </c>
      <c r="L133" s="9">
        <f>IF(8&lt;=核心参数输入!$B$9,0,0)</f>
        <v>0</v>
      </c>
      <c r="M133" s="9">
        <f>IF(9&lt;=核心参数输入!$B$9,0,0)</f>
        <v>0</v>
      </c>
      <c r="N133" s="9">
        <f>IF(10&lt;=核心参数输入!$B$9,0,0)</f>
        <v>0</v>
      </c>
      <c r="O133" s="9">
        <f>IF(11&lt;=核心参数输入!$B$9,0,0)</f>
        <v>0</v>
      </c>
      <c r="P133" s="9">
        <f>IF(12&lt;=核心参数输入!$B$9,0,0)</f>
        <v>0</v>
      </c>
      <c r="Q133" s="9">
        <f>IF(13&lt;=核心参数输入!$B$9,0,0)</f>
        <v>0</v>
      </c>
      <c r="R133" s="9">
        <f>IF(14&lt;=核心参数输入!$B$9,0,0)</f>
        <v>0</v>
      </c>
      <c r="S133" s="9">
        <f>IF(15&lt;=核心参数输入!$B$9,0,0)</f>
        <v>0</v>
      </c>
      <c r="T133" s="9">
        <f>IF(16&lt;=核心参数输入!$B$9,0,0)</f>
        <v>0</v>
      </c>
      <c r="U133" s="9">
        <f>IF(17&lt;=核心参数输入!$B$9,0,0)</f>
        <v>0</v>
      </c>
      <c r="V133" s="9">
        <f>IF(18&lt;=核心参数输入!$B$9,0,0)</f>
        <v>0</v>
      </c>
      <c r="W133" s="9">
        <f>IF(19&lt;=核心参数输入!$B$9,0,0)</f>
        <v>0</v>
      </c>
      <c r="X133" s="9">
        <f>IF(20&lt;=核心参数输入!$B$9,0,0)</f>
        <v>0</v>
      </c>
      <c r="Y133" s="9">
        <f>IF(21&lt;=核心参数输入!$B$9,0,0)</f>
        <v>0</v>
      </c>
      <c r="Z133" s="9">
        <f>IF(22&lt;=核心参数输入!$B$9,0,0)</f>
        <v>0</v>
      </c>
      <c r="AA133" s="9">
        <f>IF(23&lt;=核心参数输入!$B$9,AA91,0)</f>
        <v>0</v>
      </c>
      <c r="AB133" s="9">
        <f>IF(24&lt;=核心参数输入!$B$9,IF(AND(核心参数输入!$B$100=1,OR(核心参数输入!$B$101=0,24-23&lt;=核心参数输入!$B$101)),MAX(0,AA133-MAX(0,AB88-SUMIFS($AA$110:$AA$132,$B$110:$B$132,"&gt;="&amp;IF(核心参数输入!$B$101=0,0,24-核心参数输入!$B$101)))),0),0)</f>
        <v>0</v>
      </c>
      <c r="AC133" s="9">
        <f>IF(25&lt;=核心参数输入!$B$9,IF(AND(核心参数输入!$B$100=1,OR(核心参数输入!$B$101=0,25-23&lt;=核心参数输入!$B$101)),MAX(0,AB133-MAX(0,AC88-SUMIFS($AB$110:$AB$132,$B$110:$B$132,"&gt;="&amp;IF(核心参数输入!$B$101=0,0,25-核心参数输入!$B$101)))),0),0)</f>
        <v>0</v>
      </c>
      <c r="AD133" s="9">
        <f>IF(26&lt;=核心参数输入!$B$9,IF(AND(核心参数输入!$B$100=1,OR(核心参数输入!$B$101=0,26-23&lt;=核心参数输入!$B$101)),MAX(0,AC133-MAX(0,AD88-SUMIFS($AC$110:$AC$132,$B$110:$B$132,"&gt;="&amp;IF(核心参数输入!$B$101=0,0,26-核心参数输入!$B$101)))),0),0)</f>
        <v>0</v>
      </c>
      <c r="AE133" s="9">
        <f>IF(27&lt;=核心参数输入!$B$9,IF(AND(核心参数输入!$B$100=1,OR(核心参数输入!$B$101=0,27-23&lt;=核心参数输入!$B$101)),MAX(0,AD133-MAX(0,AE88-SUMIFS($AD$110:$AD$132,$B$110:$B$132,"&gt;="&amp;IF(核心参数输入!$B$101=0,0,27-核心参数输入!$B$101)))),0),0)</f>
        <v>0</v>
      </c>
      <c r="AF133" s="9">
        <f>IF(28&lt;=核心参数输入!$B$9,IF(AND(核心参数输入!$B$100=1,OR(核心参数输入!$B$101=0,28-23&lt;=核心参数输入!$B$101)),MAX(0,AE133-MAX(0,AF88-SUMIFS($AE$110:$AE$132,$B$110:$B$132,"&gt;="&amp;IF(核心参数输入!$B$101=0,0,28-核心参数输入!$B$101)))),0),0)</f>
        <v>0</v>
      </c>
      <c r="AG133" s="9">
        <f>IF(29&lt;=核心参数输入!$B$9,IF(AND(核心参数输入!$B$100=1,OR(核心参数输入!$B$101=0,29-23&lt;=核心参数输入!$B$101)),MAX(0,AF133-MAX(0,AG88-SUMIFS($AF$110:$AF$132,$B$110:$B$132,"&gt;="&amp;IF(核心参数输入!$B$101=0,0,29-核心参数输入!$B$101)))),0),0)</f>
        <v>0</v>
      </c>
      <c r="AH133" s="9">
        <f>IF(30&lt;=核心参数输入!$B$9,IF(AND(核心参数输入!$B$100=1,OR(核心参数输入!$B$101=0,30-23&lt;=核心参数输入!$B$101)),MAX(0,AG133-MAX(0,AH88-SUMIFS($AG$110:$AG$132,$B$110:$B$132,"&gt;="&amp;IF(核心参数输入!$B$101=0,0,30-核心参数输入!$B$101)))),0),0)</f>
        <v>0</v>
      </c>
    </row>
    <row r="134" spans="1:34" ht="21" customHeight="1">
      <c r="A134" s="8" t="s">
        <v>610</v>
      </c>
      <c r="B134" s="8">
        <v>24</v>
      </c>
      <c r="C134" s="8"/>
      <c r="D134" s="9">
        <f>IF(0&lt;=核心参数输入!$B$9,0,0)</f>
        <v>0</v>
      </c>
      <c r="E134" s="9">
        <f>IF(1&lt;=核心参数输入!$B$9,0,0)</f>
        <v>0</v>
      </c>
      <c r="F134" s="9">
        <f>IF(2&lt;=核心参数输入!$B$9,0,0)</f>
        <v>0</v>
      </c>
      <c r="G134" s="9">
        <f>IF(3&lt;=核心参数输入!$B$9,0,0)</f>
        <v>0</v>
      </c>
      <c r="H134" s="9">
        <f>IF(4&lt;=核心参数输入!$B$9,0,0)</f>
        <v>0</v>
      </c>
      <c r="I134" s="9">
        <f>IF(5&lt;=核心参数输入!$B$9,0,0)</f>
        <v>0</v>
      </c>
      <c r="J134" s="9">
        <f>IF(6&lt;=核心参数输入!$B$9,0,0)</f>
        <v>0</v>
      </c>
      <c r="K134" s="9">
        <f>IF(7&lt;=核心参数输入!$B$9,0,0)</f>
        <v>0</v>
      </c>
      <c r="L134" s="9">
        <f>IF(8&lt;=核心参数输入!$B$9,0,0)</f>
        <v>0</v>
      </c>
      <c r="M134" s="9">
        <f>IF(9&lt;=核心参数输入!$B$9,0,0)</f>
        <v>0</v>
      </c>
      <c r="N134" s="9">
        <f>IF(10&lt;=核心参数输入!$B$9,0,0)</f>
        <v>0</v>
      </c>
      <c r="O134" s="9">
        <f>IF(11&lt;=核心参数输入!$B$9,0,0)</f>
        <v>0</v>
      </c>
      <c r="P134" s="9">
        <f>IF(12&lt;=核心参数输入!$B$9,0,0)</f>
        <v>0</v>
      </c>
      <c r="Q134" s="9">
        <f>IF(13&lt;=核心参数输入!$B$9,0,0)</f>
        <v>0</v>
      </c>
      <c r="R134" s="9">
        <f>IF(14&lt;=核心参数输入!$B$9,0,0)</f>
        <v>0</v>
      </c>
      <c r="S134" s="9">
        <f>IF(15&lt;=核心参数输入!$B$9,0,0)</f>
        <v>0</v>
      </c>
      <c r="T134" s="9">
        <f>IF(16&lt;=核心参数输入!$B$9,0,0)</f>
        <v>0</v>
      </c>
      <c r="U134" s="9">
        <f>IF(17&lt;=核心参数输入!$B$9,0,0)</f>
        <v>0</v>
      </c>
      <c r="V134" s="9">
        <f>IF(18&lt;=核心参数输入!$B$9,0,0)</f>
        <v>0</v>
      </c>
      <c r="W134" s="9">
        <f>IF(19&lt;=核心参数输入!$B$9,0,0)</f>
        <v>0</v>
      </c>
      <c r="X134" s="9">
        <f>IF(20&lt;=核心参数输入!$B$9,0,0)</f>
        <v>0</v>
      </c>
      <c r="Y134" s="9">
        <f>IF(21&lt;=核心参数输入!$B$9,0,0)</f>
        <v>0</v>
      </c>
      <c r="Z134" s="9">
        <f>IF(22&lt;=核心参数输入!$B$9,0,0)</f>
        <v>0</v>
      </c>
      <c r="AA134" s="9">
        <f>IF(23&lt;=核心参数输入!$B$9,0,0)</f>
        <v>0</v>
      </c>
      <c r="AB134" s="9">
        <f>IF(24&lt;=核心参数输入!$B$9,AB91,0)</f>
        <v>0</v>
      </c>
      <c r="AC134" s="9">
        <f>IF(25&lt;=核心参数输入!$B$9,IF(AND(核心参数输入!$B$100=1,OR(核心参数输入!$B$101=0,25-24&lt;=核心参数输入!$B$101)),MAX(0,AB134-MAX(0,AC88-SUMIFS($AB$110:$AB$133,$B$110:$B$133,"&gt;="&amp;IF(核心参数输入!$B$101=0,0,25-核心参数输入!$B$101)))),0),0)</f>
        <v>0</v>
      </c>
      <c r="AD134" s="9">
        <f>IF(26&lt;=核心参数输入!$B$9,IF(AND(核心参数输入!$B$100=1,OR(核心参数输入!$B$101=0,26-24&lt;=核心参数输入!$B$101)),MAX(0,AC134-MAX(0,AD88-SUMIFS($AC$110:$AC$133,$B$110:$B$133,"&gt;="&amp;IF(核心参数输入!$B$101=0,0,26-核心参数输入!$B$101)))),0),0)</f>
        <v>0</v>
      </c>
      <c r="AE134" s="9">
        <f>IF(27&lt;=核心参数输入!$B$9,IF(AND(核心参数输入!$B$100=1,OR(核心参数输入!$B$101=0,27-24&lt;=核心参数输入!$B$101)),MAX(0,AD134-MAX(0,AE88-SUMIFS($AD$110:$AD$133,$B$110:$B$133,"&gt;="&amp;IF(核心参数输入!$B$101=0,0,27-核心参数输入!$B$101)))),0),0)</f>
        <v>0</v>
      </c>
      <c r="AF134" s="9">
        <f>IF(28&lt;=核心参数输入!$B$9,IF(AND(核心参数输入!$B$100=1,OR(核心参数输入!$B$101=0,28-24&lt;=核心参数输入!$B$101)),MAX(0,AE134-MAX(0,AF88-SUMIFS($AE$110:$AE$133,$B$110:$B$133,"&gt;="&amp;IF(核心参数输入!$B$101=0,0,28-核心参数输入!$B$101)))),0),0)</f>
        <v>0</v>
      </c>
      <c r="AG134" s="9">
        <f>IF(29&lt;=核心参数输入!$B$9,IF(AND(核心参数输入!$B$100=1,OR(核心参数输入!$B$101=0,29-24&lt;=核心参数输入!$B$101)),MAX(0,AF134-MAX(0,AG88-SUMIFS($AF$110:$AF$133,$B$110:$B$133,"&gt;="&amp;IF(核心参数输入!$B$101=0,0,29-核心参数输入!$B$101)))),0),0)</f>
        <v>0</v>
      </c>
      <c r="AH134" s="9">
        <f>IF(30&lt;=核心参数输入!$B$9,IF(AND(核心参数输入!$B$100=1,OR(核心参数输入!$B$101=0,30-24&lt;=核心参数输入!$B$101)),MAX(0,AG134-MAX(0,AH88-SUMIFS($AG$110:$AG$133,$B$110:$B$133,"&gt;="&amp;IF(核心参数输入!$B$101=0,0,30-核心参数输入!$B$101)))),0),0)</f>
        <v>0</v>
      </c>
    </row>
    <row r="135" spans="1:34" ht="21" customHeight="1">
      <c r="A135" s="8" t="s">
        <v>611</v>
      </c>
      <c r="B135" s="8">
        <v>25</v>
      </c>
      <c r="C135" s="8"/>
      <c r="D135" s="9">
        <f>IF(0&lt;=核心参数输入!$B$9,0,0)</f>
        <v>0</v>
      </c>
      <c r="E135" s="9">
        <f>IF(1&lt;=核心参数输入!$B$9,0,0)</f>
        <v>0</v>
      </c>
      <c r="F135" s="9">
        <f>IF(2&lt;=核心参数输入!$B$9,0,0)</f>
        <v>0</v>
      </c>
      <c r="G135" s="9">
        <f>IF(3&lt;=核心参数输入!$B$9,0,0)</f>
        <v>0</v>
      </c>
      <c r="H135" s="9">
        <f>IF(4&lt;=核心参数输入!$B$9,0,0)</f>
        <v>0</v>
      </c>
      <c r="I135" s="9">
        <f>IF(5&lt;=核心参数输入!$B$9,0,0)</f>
        <v>0</v>
      </c>
      <c r="J135" s="9">
        <f>IF(6&lt;=核心参数输入!$B$9,0,0)</f>
        <v>0</v>
      </c>
      <c r="K135" s="9">
        <f>IF(7&lt;=核心参数输入!$B$9,0,0)</f>
        <v>0</v>
      </c>
      <c r="L135" s="9">
        <f>IF(8&lt;=核心参数输入!$B$9,0,0)</f>
        <v>0</v>
      </c>
      <c r="M135" s="9">
        <f>IF(9&lt;=核心参数输入!$B$9,0,0)</f>
        <v>0</v>
      </c>
      <c r="N135" s="9">
        <f>IF(10&lt;=核心参数输入!$B$9,0,0)</f>
        <v>0</v>
      </c>
      <c r="O135" s="9">
        <f>IF(11&lt;=核心参数输入!$B$9,0,0)</f>
        <v>0</v>
      </c>
      <c r="P135" s="9">
        <f>IF(12&lt;=核心参数输入!$B$9,0,0)</f>
        <v>0</v>
      </c>
      <c r="Q135" s="9">
        <f>IF(13&lt;=核心参数输入!$B$9,0,0)</f>
        <v>0</v>
      </c>
      <c r="R135" s="9">
        <f>IF(14&lt;=核心参数输入!$B$9,0,0)</f>
        <v>0</v>
      </c>
      <c r="S135" s="9">
        <f>IF(15&lt;=核心参数输入!$B$9,0,0)</f>
        <v>0</v>
      </c>
      <c r="T135" s="9">
        <f>IF(16&lt;=核心参数输入!$B$9,0,0)</f>
        <v>0</v>
      </c>
      <c r="U135" s="9">
        <f>IF(17&lt;=核心参数输入!$B$9,0,0)</f>
        <v>0</v>
      </c>
      <c r="V135" s="9">
        <f>IF(18&lt;=核心参数输入!$B$9,0,0)</f>
        <v>0</v>
      </c>
      <c r="W135" s="9">
        <f>IF(19&lt;=核心参数输入!$B$9,0,0)</f>
        <v>0</v>
      </c>
      <c r="X135" s="9">
        <f>IF(20&lt;=核心参数输入!$B$9,0,0)</f>
        <v>0</v>
      </c>
      <c r="Y135" s="9">
        <f>IF(21&lt;=核心参数输入!$B$9,0,0)</f>
        <v>0</v>
      </c>
      <c r="Z135" s="9">
        <f>IF(22&lt;=核心参数输入!$B$9,0,0)</f>
        <v>0</v>
      </c>
      <c r="AA135" s="9">
        <f>IF(23&lt;=核心参数输入!$B$9,0,0)</f>
        <v>0</v>
      </c>
      <c r="AB135" s="9">
        <f>IF(24&lt;=核心参数输入!$B$9,0,0)</f>
        <v>0</v>
      </c>
      <c r="AC135" s="9">
        <f>IF(25&lt;=核心参数输入!$B$9,AC91,0)</f>
        <v>0</v>
      </c>
      <c r="AD135" s="9">
        <f>IF(26&lt;=核心参数输入!$B$9,IF(AND(核心参数输入!$B$100=1,OR(核心参数输入!$B$101=0,26-25&lt;=核心参数输入!$B$101)),MAX(0,AC135-MAX(0,AD88-SUMIFS($AC$110:$AC$134,$B$110:$B$134,"&gt;="&amp;IF(核心参数输入!$B$101=0,0,26-核心参数输入!$B$101)))),0),0)</f>
        <v>0</v>
      </c>
      <c r="AE135" s="9">
        <f>IF(27&lt;=核心参数输入!$B$9,IF(AND(核心参数输入!$B$100=1,OR(核心参数输入!$B$101=0,27-25&lt;=核心参数输入!$B$101)),MAX(0,AD135-MAX(0,AE88-SUMIFS($AD$110:$AD$134,$B$110:$B$134,"&gt;="&amp;IF(核心参数输入!$B$101=0,0,27-核心参数输入!$B$101)))),0),0)</f>
        <v>0</v>
      </c>
      <c r="AF135" s="9">
        <f>IF(28&lt;=核心参数输入!$B$9,IF(AND(核心参数输入!$B$100=1,OR(核心参数输入!$B$101=0,28-25&lt;=核心参数输入!$B$101)),MAX(0,AE135-MAX(0,AF88-SUMIFS($AE$110:$AE$134,$B$110:$B$134,"&gt;="&amp;IF(核心参数输入!$B$101=0,0,28-核心参数输入!$B$101)))),0),0)</f>
        <v>0</v>
      </c>
      <c r="AG135" s="9">
        <f>IF(29&lt;=核心参数输入!$B$9,IF(AND(核心参数输入!$B$100=1,OR(核心参数输入!$B$101=0,29-25&lt;=核心参数输入!$B$101)),MAX(0,AF135-MAX(0,AG88-SUMIFS($AF$110:$AF$134,$B$110:$B$134,"&gt;="&amp;IF(核心参数输入!$B$101=0,0,29-核心参数输入!$B$101)))),0),0)</f>
        <v>0</v>
      </c>
      <c r="AH135" s="9">
        <f>IF(30&lt;=核心参数输入!$B$9,IF(AND(核心参数输入!$B$100=1,OR(核心参数输入!$B$101=0,30-25&lt;=核心参数输入!$B$101)),MAX(0,AG135-MAX(0,AH88-SUMIFS($AG$110:$AG$134,$B$110:$B$134,"&gt;="&amp;IF(核心参数输入!$B$101=0,0,30-核心参数输入!$B$101)))),0),0)</f>
        <v>0</v>
      </c>
    </row>
    <row r="136" spans="1:34" ht="21" customHeight="1">
      <c r="A136" s="8" t="s">
        <v>612</v>
      </c>
      <c r="B136" s="8">
        <v>26</v>
      </c>
      <c r="C136" s="8"/>
      <c r="D136" s="9">
        <f>IF(0&lt;=核心参数输入!$B$9,0,0)</f>
        <v>0</v>
      </c>
      <c r="E136" s="9">
        <f>IF(1&lt;=核心参数输入!$B$9,0,0)</f>
        <v>0</v>
      </c>
      <c r="F136" s="9">
        <f>IF(2&lt;=核心参数输入!$B$9,0,0)</f>
        <v>0</v>
      </c>
      <c r="G136" s="9">
        <f>IF(3&lt;=核心参数输入!$B$9,0,0)</f>
        <v>0</v>
      </c>
      <c r="H136" s="9">
        <f>IF(4&lt;=核心参数输入!$B$9,0,0)</f>
        <v>0</v>
      </c>
      <c r="I136" s="9">
        <f>IF(5&lt;=核心参数输入!$B$9,0,0)</f>
        <v>0</v>
      </c>
      <c r="J136" s="9">
        <f>IF(6&lt;=核心参数输入!$B$9,0,0)</f>
        <v>0</v>
      </c>
      <c r="K136" s="9">
        <f>IF(7&lt;=核心参数输入!$B$9,0,0)</f>
        <v>0</v>
      </c>
      <c r="L136" s="9">
        <f>IF(8&lt;=核心参数输入!$B$9,0,0)</f>
        <v>0</v>
      </c>
      <c r="M136" s="9">
        <f>IF(9&lt;=核心参数输入!$B$9,0,0)</f>
        <v>0</v>
      </c>
      <c r="N136" s="9">
        <f>IF(10&lt;=核心参数输入!$B$9,0,0)</f>
        <v>0</v>
      </c>
      <c r="O136" s="9">
        <f>IF(11&lt;=核心参数输入!$B$9,0,0)</f>
        <v>0</v>
      </c>
      <c r="P136" s="9">
        <f>IF(12&lt;=核心参数输入!$B$9,0,0)</f>
        <v>0</v>
      </c>
      <c r="Q136" s="9">
        <f>IF(13&lt;=核心参数输入!$B$9,0,0)</f>
        <v>0</v>
      </c>
      <c r="R136" s="9">
        <f>IF(14&lt;=核心参数输入!$B$9,0,0)</f>
        <v>0</v>
      </c>
      <c r="S136" s="9">
        <f>IF(15&lt;=核心参数输入!$B$9,0,0)</f>
        <v>0</v>
      </c>
      <c r="T136" s="9">
        <f>IF(16&lt;=核心参数输入!$B$9,0,0)</f>
        <v>0</v>
      </c>
      <c r="U136" s="9">
        <f>IF(17&lt;=核心参数输入!$B$9,0,0)</f>
        <v>0</v>
      </c>
      <c r="V136" s="9">
        <f>IF(18&lt;=核心参数输入!$B$9,0,0)</f>
        <v>0</v>
      </c>
      <c r="W136" s="9">
        <f>IF(19&lt;=核心参数输入!$B$9,0,0)</f>
        <v>0</v>
      </c>
      <c r="X136" s="9">
        <f>IF(20&lt;=核心参数输入!$B$9,0,0)</f>
        <v>0</v>
      </c>
      <c r="Y136" s="9">
        <f>IF(21&lt;=核心参数输入!$B$9,0,0)</f>
        <v>0</v>
      </c>
      <c r="Z136" s="9">
        <f>IF(22&lt;=核心参数输入!$B$9,0,0)</f>
        <v>0</v>
      </c>
      <c r="AA136" s="9">
        <f>IF(23&lt;=核心参数输入!$B$9,0,0)</f>
        <v>0</v>
      </c>
      <c r="AB136" s="9">
        <f>IF(24&lt;=核心参数输入!$B$9,0,0)</f>
        <v>0</v>
      </c>
      <c r="AC136" s="9">
        <f>IF(25&lt;=核心参数输入!$B$9,0,0)</f>
        <v>0</v>
      </c>
      <c r="AD136" s="9">
        <f>IF(26&lt;=核心参数输入!$B$9,AD91,0)</f>
        <v>0</v>
      </c>
      <c r="AE136" s="9">
        <f>IF(27&lt;=核心参数输入!$B$9,IF(AND(核心参数输入!$B$100=1,OR(核心参数输入!$B$101=0,27-26&lt;=核心参数输入!$B$101)),MAX(0,AD136-MAX(0,AE88-SUMIFS($AD$110:$AD$135,$B$110:$B$135,"&gt;="&amp;IF(核心参数输入!$B$101=0,0,27-核心参数输入!$B$101)))),0),0)</f>
        <v>0</v>
      </c>
      <c r="AF136" s="9">
        <f>IF(28&lt;=核心参数输入!$B$9,IF(AND(核心参数输入!$B$100=1,OR(核心参数输入!$B$101=0,28-26&lt;=核心参数输入!$B$101)),MAX(0,AE136-MAX(0,AF88-SUMIFS($AE$110:$AE$135,$B$110:$B$135,"&gt;="&amp;IF(核心参数输入!$B$101=0,0,28-核心参数输入!$B$101)))),0),0)</f>
        <v>0</v>
      </c>
      <c r="AG136" s="9">
        <f>IF(29&lt;=核心参数输入!$B$9,IF(AND(核心参数输入!$B$100=1,OR(核心参数输入!$B$101=0,29-26&lt;=核心参数输入!$B$101)),MAX(0,AF136-MAX(0,AG88-SUMIFS($AF$110:$AF$135,$B$110:$B$135,"&gt;="&amp;IF(核心参数输入!$B$101=0,0,29-核心参数输入!$B$101)))),0),0)</f>
        <v>0</v>
      </c>
      <c r="AH136" s="9">
        <f>IF(30&lt;=核心参数输入!$B$9,IF(AND(核心参数输入!$B$100=1,OR(核心参数输入!$B$101=0,30-26&lt;=核心参数输入!$B$101)),MAX(0,AG136-MAX(0,AH88-SUMIFS($AG$110:$AG$135,$B$110:$B$135,"&gt;="&amp;IF(核心参数输入!$B$101=0,0,30-核心参数输入!$B$101)))),0),0)</f>
        <v>0</v>
      </c>
    </row>
    <row r="137" spans="1:34" ht="21" customHeight="1">
      <c r="A137" s="8" t="s">
        <v>613</v>
      </c>
      <c r="B137" s="8">
        <v>27</v>
      </c>
      <c r="C137" s="8"/>
      <c r="D137" s="9">
        <f>IF(0&lt;=核心参数输入!$B$9,0,0)</f>
        <v>0</v>
      </c>
      <c r="E137" s="9">
        <f>IF(1&lt;=核心参数输入!$B$9,0,0)</f>
        <v>0</v>
      </c>
      <c r="F137" s="9">
        <f>IF(2&lt;=核心参数输入!$B$9,0,0)</f>
        <v>0</v>
      </c>
      <c r="G137" s="9">
        <f>IF(3&lt;=核心参数输入!$B$9,0,0)</f>
        <v>0</v>
      </c>
      <c r="H137" s="9">
        <f>IF(4&lt;=核心参数输入!$B$9,0,0)</f>
        <v>0</v>
      </c>
      <c r="I137" s="9">
        <f>IF(5&lt;=核心参数输入!$B$9,0,0)</f>
        <v>0</v>
      </c>
      <c r="J137" s="9">
        <f>IF(6&lt;=核心参数输入!$B$9,0,0)</f>
        <v>0</v>
      </c>
      <c r="K137" s="9">
        <f>IF(7&lt;=核心参数输入!$B$9,0,0)</f>
        <v>0</v>
      </c>
      <c r="L137" s="9">
        <f>IF(8&lt;=核心参数输入!$B$9,0,0)</f>
        <v>0</v>
      </c>
      <c r="M137" s="9">
        <f>IF(9&lt;=核心参数输入!$B$9,0,0)</f>
        <v>0</v>
      </c>
      <c r="N137" s="9">
        <f>IF(10&lt;=核心参数输入!$B$9,0,0)</f>
        <v>0</v>
      </c>
      <c r="O137" s="9">
        <f>IF(11&lt;=核心参数输入!$B$9,0,0)</f>
        <v>0</v>
      </c>
      <c r="P137" s="9">
        <f>IF(12&lt;=核心参数输入!$B$9,0,0)</f>
        <v>0</v>
      </c>
      <c r="Q137" s="9">
        <f>IF(13&lt;=核心参数输入!$B$9,0,0)</f>
        <v>0</v>
      </c>
      <c r="R137" s="9">
        <f>IF(14&lt;=核心参数输入!$B$9,0,0)</f>
        <v>0</v>
      </c>
      <c r="S137" s="9">
        <f>IF(15&lt;=核心参数输入!$B$9,0,0)</f>
        <v>0</v>
      </c>
      <c r="T137" s="9">
        <f>IF(16&lt;=核心参数输入!$B$9,0,0)</f>
        <v>0</v>
      </c>
      <c r="U137" s="9">
        <f>IF(17&lt;=核心参数输入!$B$9,0,0)</f>
        <v>0</v>
      </c>
      <c r="V137" s="9">
        <f>IF(18&lt;=核心参数输入!$B$9,0,0)</f>
        <v>0</v>
      </c>
      <c r="W137" s="9">
        <f>IF(19&lt;=核心参数输入!$B$9,0,0)</f>
        <v>0</v>
      </c>
      <c r="X137" s="9">
        <f>IF(20&lt;=核心参数输入!$B$9,0,0)</f>
        <v>0</v>
      </c>
      <c r="Y137" s="9">
        <f>IF(21&lt;=核心参数输入!$B$9,0,0)</f>
        <v>0</v>
      </c>
      <c r="Z137" s="9">
        <f>IF(22&lt;=核心参数输入!$B$9,0,0)</f>
        <v>0</v>
      </c>
      <c r="AA137" s="9">
        <f>IF(23&lt;=核心参数输入!$B$9,0,0)</f>
        <v>0</v>
      </c>
      <c r="AB137" s="9">
        <f>IF(24&lt;=核心参数输入!$B$9,0,0)</f>
        <v>0</v>
      </c>
      <c r="AC137" s="9">
        <f>IF(25&lt;=核心参数输入!$B$9,0,0)</f>
        <v>0</v>
      </c>
      <c r="AD137" s="9">
        <f>IF(26&lt;=核心参数输入!$B$9,0,0)</f>
        <v>0</v>
      </c>
      <c r="AE137" s="9">
        <f>IF(27&lt;=核心参数输入!$B$9,AE91,0)</f>
        <v>0</v>
      </c>
      <c r="AF137" s="9">
        <f>IF(28&lt;=核心参数输入!$B$9,IF(AND(核心参数输入!$B$100=1,OR(核心参数输入!$B$101=0,28-27&lt;=核心参数输入!$B$101)),MAX(0,AE137-MAX(0,AF88-SUMIFS($AE$110:$AE$136,$B$110:$B$136,"&gt;="&amp;IF(核心参数输入!$B$101=0,0,28-核心参数输入!$B$101)))),0),0)</f>
        <v>0</v>
      </c>
      <c r="AG137" s="9">
        <f>IF(29&lt;=核心参数输入!$B$9,IF(AND(核心参数输入!$B$100=1,OR(核心参数输入!$B$101=0,29-27&lt;=核心参数输入!$B$101)),MAX(0,AF137-MAX(0,AG88-SUMIFS($AF$110:$AF$136,$B$110:$B$136,"&gt;="&amp;IF(核心参数输入!$B$101=0,0,29-核心参数输入!$B$101)))),0),0)</f>
        <v>0</v>
      </c>
      <c r="AH137" s="9">
        <f>IF(30&lt;=核心参数输入!$B$9,IF(AND(核心参数输入!$B$100=1,OR(核心参数输入!$B$101=0,30-27&lt;=核心参数输入!$B$101)),MAX(0,AG137-MAX(0,AH88-SUMIFS($AG$110:$AG$136,$B$110:$B$136,"&gt;="&amp;IF(核心参数输入!$B$101=0,0,30-核心参数输入!$B$101)))),0),0)</f>
        <v>0</v>
      </c>
    </row>
    <row r="138" spans="1:34" ht="21" customHeight="1">
      <c r="A138" s="8" t="s">
        <v>614</v>
      </c>
      <c r="B138" s="8">
        <v>28</v>
      </c>
      <c r="C138" s="8"/>
      <c r="D138" s="9">
        <f>IF(0&lt;=核心参数输入!$B$9,0,0)</f>
        <v>0</v>
      </c>
      <c r="E138" s="9">
        <f>IF(1&lt;=核心参数输入!$B$9,0,0)</f>
        <v>0</v>
      </c>
      <c r="F138" s="9">
        <f>IF(2&lt;=核心参数输入!$B$9,0,0)</f>
        <v>0</v>
      </c>
      <c r="G138" s="9">
        <f>IF(3&lt;=核心参数输入!$B$9,0,0)</f>
        <v>0</v>
      </c>
      <c r="H138" s="9">
        <f>IF(4&lt;=核心参数输入!$B$9,0,0)</f>
        <v>0</v>
      </c>
      <c r="I138" s="9">
        <f>IF(5&lt;=核心参数输入!$B$9,0,0)</f>
        <v>0</v>
      </c>
      <c r="J138" s="9">
        <f>IF(6&lt;=核心参数输入!$B$9,0,0)</f>
        <v>0</v>
      </c>
      <c r="K138" s="9">
        <f>IF(7&lt;=核心参数输入!$B$9,0,0)</f>
        <v>0</v>
      </c>
      <c r="L138" s="9">
        <f>IF(8&lt;=核心参数输入!$B$9,0,0)</f>
        <v>0</v>
      </c>
      <c r="M138" s="9">
        <f>IF(9&lt;=核心参数输入!$B$9,0,0)</f>
        <v>0</v>
      </c>
      <c r="N138" s="9">
        <f>IF(10&lt;=核心参数输入!$B$9,0,0)</f>
        <v>0</v>
      </c>
      <c r="O138" s="9">
        <f>IF(11&lt;=核心参数输入!$B$9,0,0)</f>
        <v>0</v>
      </c>
      <c r="P138" s="9">
        <f>IF(12&lt;=核心参数输入!$B$9,0,0)</f>
        <v>0</v>
      </c>
      <c r="Q138" s="9">
        <f>IF(13&lt;=核心参数输入!$B$9,0,0)</f>
        <v>0</v>
      </c>
      <c r="R138" s="9">
        <f>IF(14&lt;=核心参数输入!$B$9,0,0)</f>
        <v>0</v>
      </c>
      <c r="S138" s="9">
        <f>IF(15&lt;=核心参数输入!$B$9,0,0)</f>
        <v>0</v>
      </c>
      <c r="T138" s="9">
        <f>IF(16&lt;=核心参数输入!$B$9,0,0)</f>
        <v>0</v>
      </c>
      <c r="U138" s="9">
        <f>IF(17&lt;=核心参数输入!$B$9,0,0)</f>
        <v>0</v>
      </c>
      <c r="V138" s="9">
        <f>IF(18&lt;=核心参数输入!$B$9,0,0)</f>
        <v>0</v>
      </c>
      <c r="W138" s="9">
        <f>IF(19&lt;=核心参数输入!$B$9,0,0)</f>
        <v>0</v>
      </c>
      <c r="X138" s="9">
        <f>IF(20&lt;=核心参数输入!$B$9,0,0)</f>
        <v>0</v>
      </c>
      <c r="Y138" s="9">
        <f>IF(21&lt;=核心参数输入!$B$9,0,0)</f>
        <v>0</v>
      </c>
      <c r="Z138" s="9">
        <f>IF(22&lt;=核心参数输入!$B$9,0,0)</f>
        <v>0</v>
      </c>
      <c r="AA138" s="9">
        <f>IF(23&lt;=核心参数输入!$B$9,0,0)</f>
        <v>0</v>
      </c>
      <c r="AB138" s="9">
        <f>IF(24&lt;=核心参数输入!$B$9,0,0)</f>
        <v>0</v>
      </c>
      <c r="AC138" s="9">
        <f>IF(25&lt;=核心参数输入!$B$9,0,0)</f>
        <v>0</v>
      </c>
      <c r="AD138" s="9">
        <f>IF(26&lt;=核心参数输入!$B$9,0,0)</f>
        <v>0</v>
      </c>
      <c r="AE138" s="9">
        <f>IF(27&lt;=核心参数输入!$B$9,0,0)</f>
        <v>0</v>
      </c>
      <c r="AF138" s="9">
        <f>IF(28&lt;=核心参数输入!$B$9,AF91,0)</f>
        <v>0</v>
      </c>
      <c r="AG138" s="9">
        <f>IF(29&lt;=核心参数输入!$B$9,IF(AND(核心参数输入!$B$100=1,OR(核心参数输入!$B$101=0,29-28&lt;=核心参数输入!$B$101)),MAX(0,AF138-MAX(0,AG88-SUMIFS($AF$110:$AF$137,$B$110:$B$137,"&gt;="&amp;IF(核心参数输入!$B$101=0,0,29-核心参数输入!$B$101)))),0),0)</f>
        <v>0</v>
      </c>
      <c r="AH138" s="9">
        <f>IF(30&lt;=核心参数输入!$B$9,IF(AND(核心参数输入!$B$100=1,OR(核心参数输入!$B$101=0,30-28&lt;=核心参数输入!$B$101)),MAX(0,AG138-MAX(0,AH88-SUMIFS($AG$110:$AG$137,$B$110:$B$137,"&gt;="&amp;IF(核心参数输入!$B$101=0,0,30-核心参数输入!$B$101)))),0),0)</f>
        <v>0</v>
      </c>
    </row>
    <row r="139" spans="1:34" ht="21" customHeight="1">
      <c r="A139" s="8" t="s">
        <v>615</v>
      </c>
      <c r="B139" s="8">
        <v>29</v>
      </c>
      <c r="C139" s="8"/>
      <c r="D139" s="9">
        <f>IF(0&lt;=核心参数输入!$B$9,0,0)</f>
        <v>0</v>
      </c>
      <c r="E139" s="9">
        <f>IF(1&lt;=核心参数输入!$B$9,0,0)</f>
        <v>0</v>
      </c>
      <c r="F139" s="9">
        <f>IF(2&lt;=核心参数输入!$B$9,0,0)</f>
        <v>0</v>
      </c>
      <c r="G139" s="9">
        <f>IF(3&lt;=核心参数输入!$B$9,0,0)</f>
        <v>0</v>
      </c>
      <c r="H139" s="9">
        <f>IF(4&lt;=核心参数输入!$B$9,0,0)</f>
        <v>0</v>
      </c>
      <c r="I139" s="9">
        <f>IF(5&lt;=核心参数输入!$B$9,0,0)</f>
        <v>0</v>
      </c>
      <c r="J139" s="9">
        <f>IF(6&lt;=核心参数输入!$B$9,0,0)</f>
        <v>0</v>
      </c>
      <c r="K139" s="9">
        <f>IF(7&lt;=核心参数输入!$B$9,0,0)</f>
        <v>0</v>
      </c>
      <c r="L139" s="9">
        <f>IF(8&lt;=核心参数输入!$B$9,0,0)</f>
        <v>0</v>
      </c>
      <c r="M139" s="9">
        <f>IF(9&lt;=核心参数输入!$B$9,0,0)</f>
        <v>0</v>
      </c>
      <c r="N139" s="9">
        <f>IF(10&lt;=核心参数输入!$B$9,0,0)</f>
        <v>0</v>
      </c>
      <c r="O139" s="9">
        <f>IF(11&lt;=核心参数输入!$B$9,0,0)</f>
        <v>0</v>
      </c>
      <c r="P139" s="9">
        <f>IF(12&lt;=核心参数输入!$B$9,0,0)</f>
        <v>0</v>
      </c>
      <c r="Q139" s="9">
        <f>IF(13&lt;=核心参数输入!$B$9,0,0)</f>
        <v>0</v>
      </c>
      <c r="R139" s="9">
        <f>IF(14&lt;=核心参数输入!$B$9,0,0)</f>
        <v>0</v>
      </c>
      <c r="S139" s="9">
        <f>IF(15&lt;=核心参数输入!$B$9,0,0)</f>
        <v>0</v>
      </c>
      <c r="T139" s="9">
        <f>IF(16&lt;=核心参数输入!$B$9,0,0)</f>
        <v>0</v>
      </c>
      <c r="U139" s="9">
        <f>IF(17&lt;=核心参数输入!$B$9,0,0)</f>
        <v>0</v>
      </c>
      <c r="V139" s="9">
        <f>IF(18&lt;=核心参数输入!$B$9,0,0)</f>
        <v>0</v>
      </c>
      <c r="W139" s="9">
        <f>IF(19&lt;=核心参数输入!$B$9,0,0)</f>
        <v>0</v>
      </c>
      <c r="X139" s="9">
        <f>IF(20&lt;=核心参数输入!$B$9,0,0)</f>
        <v>0</v>
      </c>
      <c r="Y139" s="9">
        <f>IF(21&lt;=核心参数输入!$B$9,0,0)</f>
        <v>0</v>
      </c>
      <c r="Z139" s="9">
        <f>IF(22&lt;=核心参数输入!$B$9,0,0)</f>
        <v>0</v>
      </c>
      <c r="AA139" s="9">
        <f>IF(23&lt;=核心参数输入!$B$9,0,0)</f>
        <v>0</v>
      </c>
      <c r="AB139" s="9">
        <f>IF(24&lt;=核心参数输入!$B$9,0,0)</f>
        <v>0</v>
      </c>
      <c r="AC139" s="9">
        <f>IF(25&lt;=核心参数输入!$B$9,0,0)</f>
        <v>0</v>
      </c>
      <c r="AD139" s="9">
        <f>IF(26&lt;=核心参数输入!$B$9,0,0)</f>
        <v>0</v>
      </c>
      <c r="AE139" s="9">
        <f>IF(27&lt;=核心参数输入!$B$9,0,0)</f>
        <v>0</v>
      </c>
      <c r="AF139" s="9">
        <f>IF(28&lt;=核心参数输入!$B$9,0,0)</f>
        <v>0</v>
      </c>
      <c r="AG139" s="9">
        <f>IF(29&lt;=核心参数输入!$B$9,AG91,0)</f>
        <v>0</v>
      </c>
      <c r="AH139" s="9">
        <f>IF(30&lt;=核心参数输入!$B$9,IF(AND(核心参数输入!$B$100=1,OR(核心参数输入!$B$101=0,30-29&lt;=核心参数输入!$B$101)),MAX(0,AG139-MAX(0,AH88-SUMIFS($AG$110:$AG$138,$B$110:$B$138,"&gt;="&amp;IF(核心参数输入!$B$101=0,0,30-核心参数输入!$B$101)))),0),0)</f>
        <v>0</v>
      </c>
    </row>
    <row r="140" spans="1:34" ht="21" customHeight="1">
      <c r="A140" s="8" t="s">
        <v>616</v>
      </c>
      <c r="B140" s="8">
        <v>30</v>
      </c>
      <c r="C140" s="8"/>
      <c r="D140" s="9">
        <f>IF(0&lt;=核心参数输入!$B$9,0,0)</f>
        <v>0</v>
      </c>
      <c r="E140" s="9">
        <f>IF(1&lt;=核心参数输入!$B$9,0,0)</f>
        <v>0</v>
      </c>
      <c r="F140" s="9">
        <f>IF(2&lt;=核心参数输入!$B$9,0,0)</f>
        <v>0</v>
      </c>
      <c r="G140" s="9">
        <f>IF(3&lt;=核心参数输入!$B$9,0,0)</f>
        <v>0</v>
      </c>
      <c r="H140" s="9">
        <f>IF(4&lt;=核心参数输入!$B$9,0,0)</f>
        <v>0</v>
      </c>
      <c r="I140" s="9">
        <f>IF(5&lt;=核心参数输入!$B$9,0,0)</f>
        <v>0</v>
      </c>
      <c r="J140" s="9">
        <f>IF(6&lt;=核心参数输入!$B$9,0,0)</f>
        <v>0</v>
      </c>
      <c r="K140" s="9">
        <f>IF(7&lt;=核心参数输入!$B$9,0,0)</f>
        <v>0</v>
      </c>
      <c r="L140" s="9">
        <f>IF(8&lt;=核心参数输入!$B$9,0,0)</f>
        <v>0</v>
      </c>
      <c r="M140" s="9">
        <f>IF(9&lt;=核心参数输入!$B$9,0,0)</f>
        <v>0</v>
      </c>
      <c r="N140" s="9">
        <f>IF(10&lt;=核心参数输入!$B$9,0,0)</f>
        <v>0</v>
      </c>
      <c r="O140" s="9">
        <f>IF(11&lt;=核心参数输入!$B$9,0,0)</f>
        <v>0</v>
      </c>
      <c r="P140" s="9">
        <f>IF(12&lt;=核心参数输入!$B$9,0,0)</f>
        <v>0</v>
      </c>
      <c r="Q140" s="9">
        <f>IF(13&lt;=核心参数输入!$B$9,0,0)</f>
        <v>0</v>
      </c>
      <c r="R140" s="9">
        <f>IF(14&lt;=核心参数输入!$B$9,0,0)</f>
        <v>0</v>
      </c>
      <c r="S140" s="9">
        <f>IF(15&lt;=核心参数输入!$B$9,0,0)</f>
        <v>0</v>
      </c>
      <c r="T140" s="9">
        <f>IF(16&lt;=核心参数输入!$B$9,0,0)</f>
        <v>0</v>
      </c>
      <c r="U140" s="9">
        <f>IF(17&lt;=核心参数输入!$B$9,0,0)</f>
        <v>0</v>
      </c>
      <c r="V140" s="9">
        <f>IF(18&lt;=核心参数输入!$B$9,0,0)</f>
        <v>0</v>
      </c>
      <c r="W140" s="9">
        <f>IF(19&lt;=核心参数输入!$B$9,0,0)</f>
        <v>0</v>
      </c>
      <c r="X140" s="9">
        <f>IF(20&lt;=核心参数输入!$B$9,0,0)</f>
        <v>0</v>
      </c>
      <c r="Y140" s="9">
        <f>IF(21&lt;=核心参数输入!$B$9,0,0)</f>
        <v>0</v>
      </c>
      <c r="Z140" s="9">
        <f>IF(22&lt;=核心参数输入!$B$9,0,0)</f>
        <v>0</v>
      </c>
      <c r="AA140" s="9">
        <f>IF(23&lt;=核心参数输入!$B$9,0,0)</f>
        <v>0</v>
      </c>
      <c r="AB140" s="9">
        <f>IF(24&lt;=核心参数输入!$B$9,0,0)</f>
        <v>0</v>
      </c>
      <c r="AC140" s="9">
        <f>IF(25&lt;=核心参数输入!$B$9,0,0)</f>
        <v>0</v>
      </c>
      <c r="AD140" s="9">
        <f>IF(26&lt;=核心参数输入!$B$9,0,0)</f>
        <v>0</v>
      </c>
      <c r="AE140" s="9">
        <f>IF(27&lt;=核心参数输入!$B$9,0,0)</f>
        <v>0</v>
      </c>
      <c r="AF140" s="9">
        <f>IF(28&lt;=核心参数输入!$B$9,0,0)</f>
        <v>0</v>
      </c>
      <c r="AG140" s="9">
        <f>IF(29&lt;=核心参数输入!$B$9,0,0)</f>
        <v>0</v>
      </c>
      <c r="AH140" s="9">
        <f>IF(30&lt;=核心参数输入!$B$9,AH91,0)</f>
        <v>0</v>
      </c>
    </row>
    <row r="141" spans="1:34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 spans="1:34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 spans="1:34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 spans="1:34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 spans="1:34" ht="21" customHeight="1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 spans="1:34" ht="21" customHeight="1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 spans="1:34" ht="21" customHeight="1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 spans="1:34" ht="21" customHeight="1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 spans="1:34" ht="21" customHeight="1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 spans="1:34" ht="21" customHeight="1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 spans="1:34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 spans="1:34" ht="21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 spans="1:34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 spans="1:34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 spans="1:34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 spans="1:34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 spans="1:34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 spans="1:34" ht="24" customHeight="1">
      <c r="A158" s="23" t="s">
        <v>618</v>
      </c>
      <c r="B158" s="23"/>
      <c r="C158" s="23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</row>
    <row r="159" spans="1:34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 spans="1:34" ht="21" customHeight="1">
      <c r="A160" s="8" t="s">
        <v>574</v>
      </c>
      <c r="B160" s="8" t="s">
        <v>39</v>
      </c>
      <c r="C160" s="8"/>
      <c r="D160" s="9">
        <f>IF(0&lt;=核心参数输入!$B$9,SUMIFS(季度经营税费!$D$156:$DT$156,季度经营税费!$D$6:$DT$6,0),0)</f>
        <v>0</v>
      </c>
      <c r="E160" s="9">
        <f>IF(1&lt;=核心参数输入!$B$9,SUMIFS(季度经营税费!$D$156:$DT$156,季度经营税费!$D$6:$DT$6,1),0)</f>
        <v>0</v>
      </c>
      <c r="F160" s="9">
        <f>IF(2&lt;=核心参数输入!$B$9,SUMIFS(季度经营税费!$D$156:$DT$156,季度经营税费!$D$6:$DT$6,2),0)</f>
        <v>0</v>
      </c>
      <c r="G160" s="9">
        <f>IF(3&lt;=核心参数输入!$B$9,SUMIFS(季度经营税费!$D$156:$DT$156,季度经营税费!$D$6:$DT$6,3),0)</f>
        <v>0</v>
      </c>
      <c r="H160" s="9">
        <f>IF(4&lt;=核心参数输入!$B$9,SUMIFS(季度经营税费!$D$156:$DT$156,季度经营税费!$D$6:$DT$6,4),0)</f>
        <v>-482.16897913500134</v>
      </c>
      <c r="I160" s="9">
        <f>IF(5&lt;=核心参数输入!$B$9,SUMIFS(季度经营税费!$D$156:$DT$156,季度经营税费!$D$6:$DT$6,5),0)</f>
        <v>243.395996139511</v>
      </c>
      <c r="J160" s="9">
        <f>IF(6&lt;=核心参数输入!$B$9,SUMIFS(季度经营税费!$D$156:$DT$156,季度经营税费!$D$6:$DT$6,6),0)</f>
        <v>285.68714877715746</v>
      </c>
      <c r="K160" s="9">
        <f>IF(7&lt;=核心参数输入!$B$9,SUMIFS(季度经营税费!$D$156:$DT$156,季度经营税费!$D$6:$DT$6,7),0)</f>
        <v>-258.5593889950004</v>
      </c>
      <c r="L160" s="9">
        <f>IF(8&lt;=核心参数输入!$B$9,SUMIFS(季度经营税费!$D$156:$DT$156,季度经营税费!$D$6:$DT$6,8),0)</f>
        <v>-188.21604271623838</v>
      </c>
      <c r="M160" s="9">
        <f>IF(9&lt;=核心参数输入!$B$9,SUMIFS(季度经营税费!$D$156:$DT$156,季度经营税费!$D$6:$DT$6,9),0)</f>
        <v>-174.02073279196614</v>
      </c>
      <c r="N160" s="9">
        <f>IF(10&lt;=核心参数输入!$B$9,SUMIFS(季度经营税费!$D$156:$DT$156,季度经营税费!$D$6:$DT$6,10),0)</f>
        <v>-162.06434998864609</v>
      </c>
      <c r="O160" s="9">
        <f>IF(11&lt;=核心参数输入!$B$9,SUMIFS(季度经营税费!$D$156:$DT$156,季度经营税费!$D$6:$DT$6,11),0)</f>
        <v>-149.96174386737195</v>
      </c>
      <c r="P160" s="9">
        <f>IF(12&lt;=核心参数输入!$B$9,SUMIFS(季度经营税费!$D$156:$DT$156,季度经营税费!$D$6:$DT$6,12),0)</f>
        <v>-137.71138352685693</v>
      </c>
      <c r="Q160" s="9">
        <f>IF(13&lt;=核心参数输入!$B$9,SUMIFS(季度经营税费!$D$156:$DT$156,季度经营税费!$D$6:$DT$6,13),0)</f>
        <v>-125.3117283512631</v>
      </c>
      <c r="R160" s="9">
        <f>IF(14&lt;=核心参数输入!$B$9,SUMIFS(季度经营税费!$D$156:$DT$156,季度经营税费!$D$6:$DT$6,14),0)</f>
        <v>-112.76122812946572</v>
      </c>
      <c r="S160" s="9">
        <f>IF(15&lt;=核心参数输入!$B$9,SUMIFS(季度经营税费!$D$156:$DT$156,季度经营税费!$D$6:$DT$6,15),0)</f>
        <v>-100.05832318140014</v>
      </c>
      <c r="T160" s="9">
        <f>IF(16&lt;=核心参数输入!$B$9,SUMIFS(季度经营税费!$D$156:$DT$156,季度经营税费!$D$6:$DT$6,16),0)</f>
        <v>-87.201444491713545</v>
      </c>
      <c r="U160" s="9">
        <f>IF(17&lt;=核心参数输入!$B$9,SUMIFS(季度经营税费!$D$156:$DT$156,季度经营税费!$D$6:$DT$6,17),0)</f>
        <v>-74.189013850932866</v>
      </c>
      <c r="V160" s="9">
        <f>IF(18&lt;=核心参数输入!$B$9,SUMIFS(季度经营税费!$D$156:$DT$156,季度经营税费!$D$6:$DT$6,18),0)</f>
        <v>-61.019444004378137</v>
      </c>
      <c r="W160" s="9">
        <f>IF(19&lt;=核心参数输入!$B$9,SUMIFS(季度经营税费!$D$156:$DT$156,季度经营税费!$D$6:$DT$6,19),0)</f>
        <v>-47.69113880903793</v>
      </c>
      <c r="X160" s="9">
        <f>IF(20&lt;=核心参数输入!$B$9,SUMIFS(季度经营税费!$D$156:$DT$156,季度经营税费!$D$6:$DT$6,20),0)</f>
        <v>-34.20249339865989</v>
      </c>
      <c r="Y160" s="9">
        <f>IF(21&lt;=核心参数输入!$B$9,SUMIFS(季度经营税费!$D$156:$DT$156,季度经营税费!$D$6:$DT$6,21),0)</f>
        <v>0</v>
      </c>
      <c r="Z160" s="9">
        <f>IF(22&lt;=核心参数输入!$B$9,SUMIFS(季度经营税费!$D$156:$DT$156,季度经营税费!$D$6:$DT$6,22),0)</f>
        <v>0</v>
      </c>
      <c r="AA160" s="9">
        <f>IF(23&lt;=核心参数输入!$B$9,SUMIFS(季度经营税费!$D$156:$DT$156,季度经营税费!$D$6:$DT$6,23),0)</f>
        <v>0</v>
      </c>
      <c r="AB160" s="9">
        <f>IF(24&lt;=核心参数输入!$B$9,SUMIFS(季度经营税费!$D$156:$DT$156,季度经营税费!$D$6:$DT$6,24),0)</f>
        <v>0</v>
      </c>
      <c r="AC160" s="9">
        <f>IF(25&lt;=核心参数输入!$B$9,SUMIFS(季度经营税费!$D$156:$DT$156,季度经营税费!$D$6:$DT$6,25),0)</f>
        <v>0</v>
      </c>
      <c r="AD160" s="9">
        <f>IF(26&lt;=核心参数输入!$B$9,SUMIFS(季度经营税费!$D$156:$DT$156,季度经营税费!$D$6:$DT$6,26),0)</f>
        <v>0</v>
      </c>
      <c r="AE160" s="9">
        <f>IF(27&lt;=核心参数输入!$B$9,SUMIFS(季度经营税费!$D$156:$DT$156,季度经营税费!$D$6:$DT$6,27),0)</f>
        <v>0</v>
      </c>
      <c r="AF160" s="9">
        <f>IF(28&lt;=核心参数输入!$B$9,SUMIFS(季度经营税费!$D$156:$DT$156,季度经营税费!$D$6:$DT$6,28),0)</f>
        <v>0</v>
      </c>
      <c r="AG160" s="9">
        <f>IF(29&lt;=核心参数输入!$B$9,SUMIFS(季度经营税费!$D$156:$DT$156,季度经营税费!$D$6:$DT$6,29),0)</f>
        <v>0</v>
      </c>
      <c r="AH160" s="9">
        <f>IF(30&lt;=核心参数输入!$B$9,SUMIFS(季度经营税费!$D$156:$DT$156,季度经营税费!$D$6:$DT$6,30),0)</f>
        <v>0</v>
      </c>
    </row>
    <row r="161" spans="1:34" ht="21" customHeight="1">
      <c r="A161" s="8" t="s">
        <v>575</v>
      </c>
      <c r="B161" s="8" t="s">
        <v>39</v>
      </c>
      <c r="C161" s="8"/>
      <c r="D161" s="9">
        <f>IF(0&lt;=核心参数输入!$B$9,SUMIFS(季度经营税费!$D$170:$DT$170,季度经营税费!$D$6:$DT$6,0),0)</f>
        <v>0</v>
      </c>
      <c r="E161" s="9">
        <f>IF(1&lt;=核心参数输入!$B$9,SUMIFS(季度经营税费!$D$170:$DT$170,季度经营税费!$D$6:$DT$6,1),0)</f>
        <v>0</v>
      </c>
      <c r="F161" s="9">
        <f>IF(2&lt;=核心参数输入!$B$9,SUMIFS(季度经营税费!$D$170:$DT$170,季度经营税费!$D$6:$DT$6,2),0)</f>
        <v>0</v>
      </c>
      <c r="G161" s="9">
        <f>IF(3&lt;=核心参数输入!$B$9,SUMIFS(季度经营税费!$D$170:$DT$170,季度经营税费!$D$6:$DT$6,3),0)</f>
        <v>0</v>
      </c>
      <c r="H161" s="9">
        <f>IF(4&lt;=核心参数输入!$B$9,SUMIFS(季度经营税费!$D$170:$DT$170,季度经营税费!$D$6:$DT$6,4),0)</f>
        <v>0</v>
      </c>
      <c r="I161" s="9">
        <f>IF(5&lt;=核心参数输入!$B$9,SUMIFS(季度经营税费!$D$170:$DT$170,季度经营税费!$D$6:$DT$6,5),0)</f>
        <v>0</v>
      </c>
      <c r="J161" s="9">
        <f>IF(6&lt;=核心参数输入!$B$9,SUMIFS(季度经营税费!$D$170:$DT$170,季度经营税费!$D$6:$DT$6,6),0)</f>
        <v>0</v>
      </c>
      <c r="K161" s="9">
        <f>IF(7&lt;=核心参数输入!$B$9,SUMIFS(季度经营税费!$D$170:$DT$170,季度经营税费!$D$6:$DT$6,7),0)</f>
        <v>0</v>
      </c>
      <c r="L161" s="9">
        <f>IF(8&lt;=核心参数输入!$B$9,SUMIFS(季度经营税费!$D$170:$DT$170,季度经营税费!$D$6:$DT$6,8),0)</f>
        <v>0</v>
      </c>
      <c r="M161" s="9">
        <f>IF(9&lt;=核心参数输入!$B$9,SUMIFS(季度经营税费!$D$170:$DT$170,季度经营税费!$D$6:$DT$6,9),0)</f>
        <v>0</v>
      </c>
      <c r="N161" s="9">
        <f>IF(10&lt;=核心参数输入!$B$9,SUMIFS(季度经营税费!$D$170:$DT$170,季度经营税费!$D$6:$DT$6,10),0)</f>
        <v>0</v>
      </c>
      <c r="O161" s="9">
        <f>IF(11&lt;=核心参数输入!$B$9,SUMIFS(季度经营税费!$D$170:$DT$170,季度经营税费!$D$6:$DT$6,11),0)</f>
        <v>0</v>
      </c>
      <c r="P161" s="9">
        <f>IF(12&lt;=核心参数输入!$B$9,SUMIFS(季度经营税费!$D$170:$DT$170,季度经营税费!$D$6:$DT$6,12),0)</f>
        <v>0</v>
      </c>
      <c r="Q161" s="9">
        <f>IF(13&lt;=核心参数输入!$B$9,SUMIFS(季度经营税费!$D$170:$DT$170,季度经营税费!$D$6:$DT$6,13),0)</f>
        <v>0</v>
      </c>
      <c r="R161" s="9">
        <f>IF(14&lt;=核心参数输入!$B$9,SUMIFS(季度经营税费!$D$170:$DT$170,季度经营税费!$D$6:$DT$6,14),0)</f>
        <v>0</v>
      </c>
      <c r="S161" s="9">
        <f>IF(15&lt;=核心参数输入!$B$9,SUMIFS(季度经营税费!$D$170:$DT$170,季度经营税费!$D$6:$DT$6,15),0)</f>
        <v>0</v>
      </c>
      <c r="T161" s="9">
        <f>IF(16&lt;=核心参数输入!$B$9,SUMIFS(季度经营税费!$D$170:$DT$170,季度经营税费!$D$6:$DT$6,16),0)</f>
        <v>0</v>
      </c>
      <c r="U161" s="9">
        <f>IF(17&lt;=核心参数输入!$B$9,SUMIFS(季度经营税费!$D$170:$DT$170,季度经营税费!$D$6:$DT$6,17),0)</f>
        <v>0</v>
      </c>
      <c r="V161" s="9">
        <f>IF(18&lt;=核心参数输入!$B$9,SUMIFS(季度经营税费!$D$170:$DT$170,季度经营税费!$D$6:$DT$6,18),0)</f>
        <v>0</v>
      </c>
      <c r="W161" s="9">
        <f>IF(19&lt;=核心参数输入!$B$9,SUMIFS(季度经营税费!$D$170:$DT$170,季度经营税费!$D$6:$DT$6,19),0)</f>
        <v>0</v>
      </c>
      <c r="X161" s="9">
        <f>IF(20&lt;=核心参数输入!$B$9,SUMIFS(季度经营税费!$D$170:$DT$170,季度经营税费!$D$6:$DT$6,20),0)</f>
        <v>14630.457000000019</v>
      </c>
      <c r="Y161" s="9">
        <f>IF(21&lt;=核心参数输入!$B$9,SUMIFS(季度经营税费!$D$170:$DT$170,季度经营税费!$D$6:$DT$6,21),0)</f>
        <v>0</v>
      </c>
      <c r="Z161" s="9">
        <f>IF(22&lt;=核心参数输入!$B$9,SUMIFS(季度经营税费!$D$170:$DT$170,季度经营税费!$D$6:$DT$6,22),0)</f>
        <v>0</v>
      </c>
      <c r="AA161" s="9">
        <f>IF(23&lt;=核心参数输入!$B$9,SUMIFS(季度经营税费!$D$170:$DT$170,季度经营税费!$D$6:$DT$6,23),0)</f>
        <v>0</v>
      </c>
      <c r="AB161" s="9">
        <f>IF(24&lt;=核心参数输入!$B$9,SUMIFS(季度经营税费!$D$170:$DT$170,季度经营税费!$D$6:$DT$6,24),0)</f>
        <v>0</v>
      </c>
      <c r="AC161" s="9">
        <f>IF(25&lt;=核心参数输入!$B$9,SUMIFS(季度经营税费!$D$170:$DT$170,季度经营税费!$D$6:$DT$6,25),0)</f>
        <v>0</v>
      </c>
      <c r="AD161" s="9">
        <f>IF(26&lt;=核心参数输入!$B$9,SUMIFS(季度经营税费!$D$170:$DT$170,季度经营税费!$D$6:$DT$6,26),0)</f>
        <v>0</v>
      </c>
      <c r="AE161" s="9">
        <f>IF(27&lt;=核心参数输入!$B$9,SUMIFS(季度经营税费!$D$170:$DT$170,季度经营税费!$D$6:$DT$6,27),0)</f>
        <v>0</v>
      </c>
      <c r="AF161" s="9">
        <f>IF(28&lt;=核心参数输入!$B$9,SUMIFS(季度经营税费!$D$170:$DT$170,季度经营税费!$D$6:$DT$6,28),0)</f>
        <v>0</v>
      </c>
      <c r="AG161" s="9">
        <f>IF(29&lt;=核心参数输入!$B$9,SUMIFS(季度经营税费!$D$170:$DT$170,季度经营税费!$D$6:$DT$6,29),0)</f>
        <v>0</v>
      </c>
      <c r="AH161" s="9">
        <f>IF(30&lt;=核心参数输入!$B$9,SUMIFS(季度经营税费!$D$170:$DT$170,季度经营税费!$D$6:$DT$6,30),0)</f>
        <v>0</v>
      </c>
    </row>
    <row r="162" spans="1:34" ht="21" customHeight="1">
      <c r="A162" s="8" t="s">
        <v>576</v>
      </c>
      <c r="B162" s="8" t="s">
        <v>39</v>
      </c>
      <c r="C162" s="8"/>
      <c r="D162" s="9">
        <f>IF(0&lt;=核心参数输入!$B$9,IF(核心参数输入!$B$100=1,0,0),0)</f>
        <v>0</v>
      </c>
      <c r="E162" s="9">
        <f>IF(1&lt;=核心参数输入!$B$9,IF(核心参数输入!$B$100=1,SUMIFS(年度所得税!$D$185:$D$215,$B$185:$B$215,"&gt;="&amp;IF(核心参数输入!$B$101=0,0,1-核心参数输入!$B$101)),0),0)</f>
        <v>0</v>
      </c>
      <c r="F162" s="9">
        <f>IF(2&lt;=核心参数输入!$B$9,IF(核心参数输入!$B$100=1,SUMIFS(年度所得税!$E$185:$E$215,$B$185:$B$215,"&gt;="&amp;IF(核心参数输入!$B$101=0,0,2-核心参数输入!$B$101)),0),0)</f>
        <v>0</v>
      </c>
      <c r="G162" s="9">
        <f>IF(3&lt;=核心参数输入!$B$9,IF(核心参数输入!$B$100=1,SUMIFS(年度所得税!$F$185:$F$215,$B$185:$B$215,"&gt;="&amp;IF(核心参数输入!$B$101=0,0,3-核心参数输入!$B$101)),0),0)</f>
        <v>0</v>
      </c>
      <c r="H162" s="9">
        <f>IF(4&lt;=核心参数输入!$B$9,IF(核心参数输入!$B$100=1,SUMIFS(年度所得税!$G$185:$G$215,$B$185:$B$215,"&gt;="&amp;IF(核心参数输入!$B$101=0,0,4-核心参数输入!$B$101)),0),0)</f>
        <v>0</v>
      </c>
      <c r="I162" s="9">
        <f>IF(5&lt;=核心参数输入!$B$9,IF(核心参数输入!$B$100=1,SUMIFS(年度所得税!$H$185:$H$215,$B$185:$B$215,"&gt;="&amp;IF(核心参数输入!$B$101=0,0,5-核心参数输入!$B$101)),0),0)</f>
        <v>482.16897913500134</v>
      </c>
      <c r="J162" s="9">
        <f>IF(6&lt;=核心参数输入!$B$9,IF(核心参数输入!$B$100=1,SUMIFS(年度所得税!$I$185:$I$215,$B$185:$B$215,"&gt;="&amp;IF(核心参数输入!$B$101=0,0,6-核心参数输入!$B$101)),0),0)</f>
        <v>238.77298299549034</v>
      </c>
      <c r="K162" s="9">
        <f>IF(7&lt;=核心参数输入!$B$9,IF(核心参数输入!$B$100=1,SUMIFS(年度所得税!$J$185:$J$215,$B$185:$B$215,"&gt;="&amp;IF(核心参数输入!$B$101=0,0,7-核心参数输入!$B$101)),0),0)</f>
        <v>0</v>
      </c>
      <c r="L162" s="9">
        <f>IF(8&lt;=核心参数输入!$B$9,IF(核心参数输入!$B$100=1,SUMIFS(年度所得税!$K$185:$K$215,$B$185:$B$215,"&gt;="&amp;IF(核心参数输入!$B$101=0,0,8-核心参数输入!$B$101)),0),0)</f>
        <v>258.5593889950004</v>
      </c>
      <c r="M162" s="9">
        <f>IF(9&lt;=核心参数输入!$B$9,IF(核心参数输入!$B$100=1,SUMIFS(年度所得税!$L$185:$L$215,$B$185:$B$215,"&gt;="&amp;IF(核心参数输入!$B$101=0,0,9-核心参数输入!$B$101)),0),0)</f>
        <v>446.77543171123875</v>
      </c>
      <c r="N162" s="9">
        <f>IF(10&lt;=核心参数输入!$B$9,IF(核心参数输入!$B$100=1,SUMIFS(年度所得税!$M$185:$M$215,$B$185:$B$215,"&gt;="&amp;IF(核心参数输入!$B$101=0,0,10-核心参数输入!$B$101)),0),0)</f>
        <v>620.79616450320486</v>
      </c>
      <c r="O162" s="9">
        <f>IF(11&lt;=核心参数输入!$B$9,IF(核心参数输入!$B$100=1,SUMIFS(年度所得税!$N$185:$N$215,$B$185:$B$215,"&gt;="&amp;IF(核心参数输入!$B$101=0,0,11-核心参数输入!$B$101)),0),0)</f>
        <v>782.86051449185095</v>
      </c>
      <c r="P162" s="9">
        <f>IF(12&lt;=核心参数输入!$B$9,IF(核心参数输入!$B$100=1,SUMIFS(年度所得税!$O$185:$O$215,$B$185:$B$215,"&gt;="&amp;IF(核心参数输入!$B$101=0,0,12-核心参数输入!$B$101)),0),0)</f>
        <v>932.82225835922293</v>
      </c>
      <c r="Q162" s="9">
        <f>IF(13&lt;=核心参数输入!$B$9,IF(核心参数输入!$B$100=1,SUMIFS(年度所得税!$P$185:$P$215,$B$185:$B$215,"&gt;="&amp;IF(核心参数输入!$B$101=0,0,13-核心参数输入!$B$101)),0),0)</f>
        <v>811.97425289107946</v>
      </c>
      <c r="R162" s="9">
        <f>IF(14&lt;=核心参数输入!$B$9,IF(核心参数输入!$B$100=1,SUMIFS(年度所得税!$Q$185:$Q$215,$B$185:$B$215,"&gt;="&amp;IF(核心参数输入!$B$101=0,0,14-核心参数输入!$B$101)),0),0)</f>
        <v>749.06993852610424</v>
      </c>
      <c r="S162" s="9">
        <f>IF(15&lt;=核心参数输入!$B$9,IF(核心参数输入!$B$100=1,SUMIFS(年度所得税!$R$185:$R$215,$B$185:$B$215,"&gt;="&amp;IF(核心参数输入!$B$101=0,0,15-核心参数输入!$B$101)),0),0)</f>
        <v>687.81043386360386</v>
      </c>
      <c r="T162" s="9">
        <f>IF(16&lt;=核心参数输入!$B$9,IF(核心参数输入!$B$100=1,SUMIFS(年度所得税!$S$185:$S$215,$B$185:$B$215,"&gt;="&amp;IF(核心参数输入!$B$101=0,0,16-核心参数输入!$B$101)),0),0)</f>
        <v>625.80440705635795</v>
      </c>
      <c r="U162" s="9">
        <f>IF(17&lt;=核心参数输入!$B$9,IF(核心参数输入!$B$100=1,SUMIFS(年度所得税!$T$185:$T$215,$B$185:$B$215,"&gt;="&amp;IF(核心参数输入!$B$101=0,0,17-核心参数输入!$B$101)),0),0)</f>
        <v>563.04410768069954</v>
      </c>
      <c r="V162" s="9">
        <f>IF(18&lt;=核心参数输入!$B$9,IF(核心参数输入!$B$100=1,SUMIFS(年度所得税!$U$185:$U$215,$B$185:$B$215,"&gt;="&amp;IF(核心参数输入!$B$101=0,0,18-核心参数输入!$B$101)),0),0)</f>
        <v>499.52173800477533</v>
      </c>
      <c r="W162" s="9">
        <f>IF(19&lt;=核心参数输入!$B$9,IF(核心参数输入!$B$100=1,SUMIFS(年度所得税!$V$185:$V$215,$B$185:$B$215,"&gt;="&amp;IF(核心参数输入!$B$101=0,0,19-核心参数输入!$B$101)),0),0)</f>
        <v>435.22945365789036</v>
      </c>
      <c r="X162" s="9">
        <f>IF(20&lt;=核心参数输入!$B$9,IF(核心参数输入!$B$100=1,SUMIFS(年度所得税!$W$185:$W$215,$B$185:$B$215,"&gt;="&amp;IF(核心参数输入!$B$101=0,0,20-核心参数输入!$B$101)),0),0)</f>
        <v>370.15936433746265</v>
      </c>
      <c r="Y162" s="9">
        <f>IF(21&lt;=核心参数输入!$B$9,IF(核心参数输入!$B$100=1,SUMIFS(年度所得税!$X$185:$X$215,$B$185:$B$215,"&gt;="&amp;IF(核心参数输入!$B$101=0,0,21-核心参数输入!$B$101)),0),0)</f>
        <v>0</v>
      </c>
      <c r="Z162" s="9">
        <f>IF(22&lt;=核心参数输入!$B$9,IF(核心参数输入!$B$100=1,SUMIFS(年度所得税!$Y$185:$Y$215,$B$185:$B$215,"&gt;="&amp;IF(核心参数输入!$B$101=0,0,22-核心参数输入!$B$101)),0),0)</f>
        <v>0</v>
      </c>
      <c r="AA162" s="9">
        <f>IF(23&lt;=核心参数输入!$B$9,IF(核心参数输入!$B$100=1,SUMIFS(年度所得税!$Z$185:$Z$215,$B$185:$B$215,"&gt;="&amp;IF(核心参数输入!$B$101=0,0,23-核心参数输入!$B$101)),0),0)</f>
        <v>0</v>
      </c>
      <c r="AB162" s="9">
        <f>IF(24&lt;=核心参数输入!$B$9,IF(核心参数输入!$B$100=1,SUMIFS(年度所得税!$AA$185:$AA$215,$B$185:$B$215,"&gt;="&amp;IF(核心参数输入!$B$101=0,0,24-核心参数输入!$B$101)),0),0)</f>
        <v>0</v>
      </c>
      <c r="AC162" s="9">
        <f>IF(25&lt;=核心参数输入!$B$9,IF(核心参数输入!$B$100=1,SUMIFS(年度所得税!$AB$185:$AB$215,$B$185:$B$215,"&gt;="&amp;IF(核心参数输入!$B$101=0,0,25-核心参数输入!$B$101)),0),0)</f>
        <v>0</v>
      </c>
      <c r="AD162" s="9">
        <f>IF(26&lt;=核心参数输入!$B$9,IF(核心参数输入!$B$100=1,SUMIFS(年度所得税!$AC$185:$AC$215,$B$185:$B$215,"&gt;="&amp;IF(核心参数输入!$B$101=0,0,26-核心参数输入!$B$101)),0),0)</f>
        <v>0</v>
      </c>
      <c r="AE162" s="9">
        <f>IF(27&lt;=核心参数输入!$B$9,IF(核心参数输入!$B$100=1,SUMIFS(年度所得税!$AD$185:$AD$215,$B$185:$B$215,"&gt;="&amp;IF(核心参数输入!$B$101=0,0,27-核心参数输入!$B$101)),0),0)</f>
        <v>0</v>
      </c>
      <c r="AF162" s="9">
        <f>IF(28&lt;=核心参数输入!$B$9,IF(核心参数输入!$B$100=1,SUMIFS(年度所得税!$AE$185:$AE$215,$B$185:$B$215,"&gt;="&amp;IF(核心参数输入!$B$101=0,0,28-核心参数输入!$B$101)),0),0)</f>
        <v>0</v>
      </c>
      <c r="AG162" s="9">
        <f>IF(29&lt;=核心参数输入!$B$9,IF(核心参数输入!$B$100=1,SUMIFS(年度所得税!$AF$185:$AF$215,$B$185:$B$215,"&gt;="&amp;IF(核心参数输入!$B$101=0,0,29-核心参数输入!$B$101)),0),0)</f>
        <v>0</v>
      </c>
      <c r="AH162" s="9">
        <f>IF(30&lt;=核心参数输入!$B$9,IF(核心参数输入!$B$100=1,SUMIFS(年度所得税!$AG$185:$AG$215,$B$185:$B$215,"&gt;="&amp;IF(核心参数输入!$B$101=0,0,30-核心参数输入!$B$101)),0),0)</f>
        <v>0</v>
      </c>
    </row>
    <row r="163" spans="1:34" ht="21" customHeight="1">
      <c r="A163" s="8" t="s">
        <v>577</v>
      </c>
      <c r="B163" s="8" t="s">
        <v>39</v>
      </c>
      <c r="C163" s="8"/>
      <c r="D163" s="9">
        <f>IF(0&lt;=核心参数输入!$B$9,MIN(MAX(0,D160),D162),0)</f>
        <v>0</v>
      </c>
      <c r="E163" s="9">
        <f>IF(1&lt;=核心参数输入!$B$9,MIN(MAX(0,E160),E162),0)</f>
        <v>0</v>
      </c>
      <c r="F163" s="9">
        <f>IF(2&lt;=核心参数输入!$B$9,MIN(MAX(0,F160),F162),0)</f>
        <v>0</v>
      </c>
      <c r="G163" s="9">
        <f>IF(3&lt;=核心参数输入!$B$9,MIN(MAX(0,G160),G162),0)</f>
        <v>0</v>
      </c>
      <c r="H163" s="9">
        <f>IF(4&lt;=核心参数输入!$B$9,MIN(MAX(0,H160),H162),0)</f>
        <v>0</v>
      </c>
      <c r="I163" s="9">
        <f>IF(5&lt;=核心参数输入!$B$9,MIN(MAX(0,I160),I162),0)</f>
        <v>243.395996139511</v>
      </c>
      <c r="J163" s="9">
        <f>IF(6&lt;=核心参数输入!$B$9,MIN(MAX(0,J160),J162),0)</f>
        <v>238.77298299549034</v>
      </c>
      <c r="K163" s="9">
        <f>IF(7&lt;=核心参数输入!$B$9,MIN(MAX(0,K160),K162),0)</f>
        <v>0</v>
      </c>
      <c r="L163" s="9">
        <f>IF(8&lt;=核心参数输入!$B$9,MIN(MAX(0,L160),L162),0)</f>
        <v>0</v>
      </c>
      <c r="M163" s="9">
        <f>IF(9&lt;=核心参数输入!$B$9,MIN(MAX(0,M160),M162),0)</f>
        <v>0</v>
      </c>
      <c r="N163" s="9">
        <f>IF(10&lt;=核心参数输入!$B$9,MIN(MAX(0,N160),N162),0)</f>
        <v>0</v>
      </c>
      <c r="O163" s="9">
        <f>IF(11&lt;=核心参数输入!$B$9,MIN(MAX(0,O160),O162),0)</f>
        <v>0</v>
      </c>
      <c r="P163" s="9">
        <f>IF(12&lt;=核心参数输入!$B$9,MIN(MAX(0,P160),P162),0)</f>
        <v>0</v>
      </c>
      <c r="Q163" s="9">
        <f>IF(13&lt;=核心参数输入!$B$9,MIN(MAX(0,Q160),Q162),0)</f>
        <v>0</v>
      </c>
      <c r="R163" s="9">
        <f>IF(14&lt;=核心参数输入!$B$9,MIN(MAX(0,R160),R162),0)</f>
        <v>0</v>
      </c>
      <c r="S163" s="9">
        <f>IF(15&lt;=核心参数输入!$B$9,MIN(MAX(0,S160),S162),0)</f>
        <v>0</v>
      </c>
      <c r="T163" s="9">
        <f>IF(16&lt;=核心参数输入!$B$9,MIN(MAX(0,T160),T162),0)</f>
        <v>0</v>
      </c>
      <c r="U163" s="9">
        <f>IF(17&lt;=核心参数输入!$B$9,MIN(MAX(0,U160),U162),0)</f>
        <v>0</v>
      </c>
      <c r="V163" s="9">
        <f>IF(18&lt;=核心参数输入!$B$9,MIN(MAX(0,V160),V162),0)</f>
        <v>0</v>
      </c>
      <c r="W163" s="9">
        <f>IF(19&lt;=核心参数输入!$B$9,MIN(MAX(0,W160),W162),0)</f>
        <v>0</v>
      </c>
      <c r="X163" s="9">
        <f>IF(20&lt;=核心参数输入!$B$9,MIN(MAX(0,X160),X162),0)</f>
        <v>0</v>
      </c>
      <c r="Y163" s="9">
        <f>IF(21&lt;=核心参数输入!$B$9,MIN(MAX(0,Y160),Y162),0)</f>
        <v>0</v>
      </c>
      <c r="Z163" s="9">
        <f>IF(22&lt;=核心参数输入!$B$9,MIN(MAX(0,Z160),Z162),0)</f>
        <v>0</v>
      </c>
      <c r="AA163" s="9">
        <f>IF(23&lt;=核心参数输入!$B$9,MIN(MAX(0,AA160),AA162),0)</f>
        <v>0</v>
      </c>
      <c r="AB163" s="9">
        <f>IF(24&lt;=核心参数输入!$B$9,MIN(MAX(0,AB160),AB162),0)</f>
        <v>0</v>
      </c>
      <c r="AC163" s="9">
        <f>IF(25&lt;=核心参数输入!$B$9,MIN(MAX(0,AC160),AC162),0)</f>
        <v>0</v>
      </c>
      <c r="AD163" s="9">
        <f>IF(26&lt;=核心参数输入!$B$9,MIN(MAX(0,AD160),AD162),0)</f>
        <v>0</v>
      </c>
      <c r="AE163" s="9">
        <f>IF(27&lt;=核心参数输入!$B$9,MIN(MAX(0,AE160),AE162),0)</f>
        <v>0</v>
      </c>
      <c r="AF163" s="9">
        <f>IF(28&lt;=核心参数输入!$B$9,MIN(MAX(0,AF160),AF162),0)</f>
        <v>0</v>
      </c>
      <c r="AG163" s="9">
        <f>IF(29&lt;=核心参数输入!$B$9,MIN(MAX(0,AG160),AG162),0)</f>
        <v>0</v>
      </c>
      <c r="AH163" s="9">
        <f>IF(30&lt;=核心参数输入!$B$9,MIN(MAX(0,AH160),AH162),0)</f>
        <v>0</v>
      </c>
    </row>
    <row r="164" spans="1:34" ht="21" customHeight="1">
      <c r="A164" s="8" t="s">
        <v>578</v>
      </c>
      <c r="B164" s="8" t="s">
        <v>39</v>
      </c>
      <c r="C164" s="8"/>
      <c r="D164" s="9">
        <f>IF(0&lt;=核心参数输入!$B$9,MAX(0,D160-D163),0)</f>
        <v>0</v>
      </c>
      <c r="E164" s="9">
        <f>IF(1&lt;=核心参数输入!$B$9,MAX(0,E160-E163),0)</f>
        <v>0</v>
      </c>
      <c r="F164" s="9">
        <f>IF(2&lt;=核心参数输入!$B$9,MAX(0,F160-F163),0)</f>
        <v>0</v>
      </c>
      <c r="G164" s="9">
        <f>IF(3&lt;=核心参数输入!$B$9,MAX(0,G160-G163),0)</f>
        <v>0</v>
      </c>
      <c r="H164" s="9">
        <f>IF(4&lt;=核心参数输入!$B$9,MAX(0,H160-H163),0)</f>
        <v>0</v>
      </c>
      <c r="I164" s="9">
        <f>IF(5&lt;=核心参数输入!$B$9,MAX(0,I160-I163),0)</f>
        <v>0</v>
      </c>
      <c r="J164" s="9">
        <f>IF(6&lt;=核心参数输入!$B$9,MAX(0,J160-J163),0)</f>
        <v>46.914165781667123</v>
      </c>
      <c r="K164" s="9">
        <f>IF(7&lt;=核心参数输入!$B$9,MAX(0,K160-K163),0)</f>
        <v>0</v>
      </c>
      <c r="L164" s="9">
        <f>IF(8&lt;=核心参数输入!$B$9,MAX(0,L160-L163),0)</f>
        <v>0</v>
      </c>
      <c r="M164" s="9">
        <f>IF(9&lt;=核心参数输入!$B$9,MAX(0,M160-M163),0)</f>
        <v>0</v>
      </c>
      <c r="N164" s="9">
        <f>IF(10&lt;=核心参数输入!$B$9,MAX(0,N160-N163),0)</f>
        <v>0</v>
      </c>
      <c r="O164" s="9">
        <f>IF(11&lt;=核心参数输入!$B$9,MAX(0,O160-O163),0)</f>
        <v>0</v>
      </c>
      <c r="P164" s="9">
        <f>IF(12&lt;=核心参数输入!$B$9,MAX(0,P160-P163),0)</f>
        <v>0</v>
      </c>
      <c r="Q164" s="9">
        <f>IF(13&lt;=核心参数输入!$B$9,MAX(0,Q160-Q163),0)</f>
        <v>0</v>
      </c>
      <c r="R164" s="9">
        <f>IF(14&lt;=核心参数输入!$B$9,MAX(0,R160-R163),0)</f>
        <v>0</v>
      </c>
      <c r="S164" s="9">
        <f>IF(15&lt;=核心参数输入!$B$9,MAX(0,S160-S163),0)</f>
        <v>0</v>
      </c>
      <c r="T164" s="9">
        <f>IF(16&lt;=核心参数输入!$B$9,MAX(0,T160-T163),0)</f>
        <v>0</v>
      </c>
      <c r="U164" s="9">
        <f>IF(17&lt;=核心参数输入!$B$9,MAX(0,U160-U163),0)</f>
        <v>0</v>
      </c>
      <c r="V164" s="9">
        <f>IF(18&lt;=核心参数输入!$B$9,MAX(0,V160-V163),0)</f>
        <v>0</v>
      </c>
      <c r="W164" s="9">
        <f>IF(19&lt;=核心参数输入!$B$9,MAX(0,W160-W163),0)</f>
        <v>0</v>
      </c>
      <c r="X164" s="9">
        <f>IF(20&lt;=核心参数输入!$B$9,MAX(0,X160-X163),0)</f>
        <v>0</v>
      </c>
      <c r="Y164" s="9">
        <f>IF(21&lt;=核心参数输入!$B$9,MAX(0,Y160-Y163),0)</f>
        <v>0</v>
      </c>
      <c r="Z164" s="9">
        <f>IF(22&lt;=核心参数输入!$B$9,MAX(0,Z160-Z163),0)</f>
        <v>0</v>
      </c>
      <c r="AA164" s="9">
        <f>IF(23&lt;=核心参数输入!$B$9,MAX(0,AA160-AA163),0)</f>
        <v>0</v>
      </c>
      <c r="AB164" s="9">
        <f>IF(24&lt;=核心参数输入!$B$9,MAX(0,AB160-AB163),0)</f>
        <v>0</v>
      </c>
      <c r="AC164" s="9">
        <f>IF(25&lt;=核心参数输入!$B$9,MAX(0,AC160-AC163),0)</f>
        <v>0</v>
      </c>
      <c r="AD164" s="9">
        <f>IF(26&lt;=核心参数输入!$B$9,MAX(0,AD160-AD163),0)</f>
        <v>0</v>
      </c>
      <c r="AE164" s="9">
        <f>IF(27&lt;=核心参数输入!$B$9,MAX(0,AE160-AE163),0)</f>
        <v>0</v>
      </c>
      <c r="AF164" s="9">
        <f>IF(28&lt;=核心参数输入!$B$9,MAX(0,AF160-AF163),0)</f>
        <v>0</v>
      </c>
      <c r="AG164" s="9">
        <f>IF(29&lt;=核心参数输入!$B$9,MAX(0,AG160-AG163),0)</f>
        <v>0</v>
      </c>
      <c r="AH164" s="9">
        <f>IF(30&lt;=核心参数输入!$B$9,MAX(0,AH160-AH163),0)</f>
        <v>0</v>
      </c>
    </row>
    <row r="165" spans="1:34" ht="21" customHeight="1">
      <c r="A165" s="8" t="s">
        <v>579</v>
      </c>
      <c r="B165" s="8" t="s">
        <v>39</v>
      </c>
      <c r="C165" s="8"/>
      <c r="D165" s="9">
        <f>IF(0&lt;=核心参数输入!$B$9,D164*核心参数输入!$B$52,0)</f>
        <v>0</v>
      </c>
      <c r="E165" s="9">
        <f>IF(1&lt;=核心参数输入!$B$9,E164*核心参数输入!$B$52,0)</f>
        <v>0</v>
      </c>
      <c r="F165" s="9">
        <f>IF(2&lt;=核心参数输入!$B$9,F164*核心参数输入!$B$52,0)</f>
        <v>0</v>
      </c>
      <c r="G165" s="9">
        <f>IF(3&lt;=核心参数输入!$B$9,G164*核心参数输入!$B$52,0)</f>
        <v>0</v>
      </c>
      <c r="H165" s="9">
        <f>IF(4&lt;=核心参数输入!$B$9,H164*核心参数输入!$B$52,0)</f>
        <v>0</v>
      </c>
      <c r="I165" s="9">
        <f>IF(5&lt;=核心参数输入!$B$9,I164*核心参数输入!$B$52,0)</f>
        <v>0</v>
      </c>
      <c r="J165" s="9">
        <f>IF(6&lt;=核心参数输入!$B$9,J164*核心参数输入!$B$52,0)</f>
        <v>11.728541445416781</v>
      </c>
      <c r="K165" s="9">
        <f>IF(7&lt;=核心参数输入!$B$9,K164*核心参数输入!$B$52,0)</f>
        <v>0</v>
      </c>
      <c r="L165" s="9">
        <f>IF(8&lt;=核心参数输入!$B$9,L164*核心参数输入!$B$52,0)</f>
        <v>0</v>
      </c>
      <c r="M165" s="9">
        <f>IF(9&lt;=核心参数输入!$B$9,M164*核心参数输入!$B$52,0)</f>
        <v>0</v>
      </c>
      <c r="N165" s="9">
        <f>IF(10&lt;=核心参数输入!$B$9,N164*核心参数输入!$B$52,0)</f>
        <v>0</v>
      </c>
      <c r="O165" s="9">
        <f>IF(11&lt;=核心参数输入!$B$9,O164*核心参数输入!$B$52,0)</f>
        <v>0</v>
      </c>
      <c r="P165" s="9">
        <f>IF(12&lt;=核心参数输入!$B$9,P164*核心参数输入!$B$52,0)</f>
        <v>0</v>
      </c>
      <c r="Q165" s="9">
        <f>IF(13&lt;=核心参数输入!$B$9,Q164*核心参数输入!$B$52,0)</f>
        <v>0</v>
      </c>
      <c r="R165" s="9">
        <f>IF(14&lt;=核心参数输入!$B$9,R164*核心参数输入!$B$52,0)</f>
        <v>0</v>
      </c>
      <c r="S165" s="9">
        <f>IF(15&lt;=核心参数输入!$B$9,S164*核心参数输入!$B$52,0)</f>
        <v>0</v>
      </c>
      <c r="T165" s="9">
        <f>IF(16&lt;=核心参数输入!$B$9,T164*核心参数输入!$B$52,0)</f>
        <v>0</v>
      </c>
      <c r="U165" s="9">
        <f>IF(17&lt;=核心参数输入!$B$9,U164*核心参数输入!$B$52,0)</f>
        <v>0</v>
      </c>
      <c r="V165" s="9">
        <f>IF(18&lt;=核心参数输入!$B$9,V164*核心参数输入!$B$52,0)</f>
        <v>0</v>
      </c>
      <c r="W165" s="9">
        <f>IF(19&lt;=核心参数输入!$B$9,W164*核心参数输入!$B$52,0)</f>
        <v>0</v>
      </c>
      <c r="X165" s="9">
        <f>IF(20&lt;=核心参数输入!$B$9,X164*核心参数输入!$B$52,0)</f>
        <v>0</v>
      </c>
      <c r="Y165" s="9">
        <f>IF(21&lt;=核心参数输入!$B$9,Y164*核心参数输入!$B$52,0)</f>
        <v>0</v>
      </c>
      <c r="Z165" s="9">
        <f>IF(22&lt;=核心参数输入!$B$9,Z164*核心参数输入!$B$52,0)</f>
        <v>0</v>
      </c>
      <c r="AA165" s="9">
        <f>IF(23&lt;=核心参数输入!$B$9,AA164*核心参数输入!$B$52,0)</f>
        <v>0</v>
      </c>
      <c r="AB165" s="9">
        <f>IF(24&lt;=核心参数输入!$B$9,AB164*核心参数输入!$B$52,0)</f>
        <v>0</v>
      </c>
      <c r="AC165" s="9">
        <f>IF(25&lt;=核心参数输入!$B$9,AC164*核心参数输入!$B$52,0)</f>
        <v>0</v>
      </c>
      <c r="AD165" s="9">
        <f>IF(26&lt;=核心参数输入!$B$9,AD164*核心参数输入!$B$52,0)</f>
        <v>0</v>
      </c>
      <c r="AE165" s="9">
        <f>IF(27&lt;=核心参数输入!$B$9,AE164*核心参数输入!$B$52,0)</f>
        <v>0</v>
      </c>
      <c r="AF165" s="9">
        <f>IF(28&lt;=核心参数输入!$B$9,AF164*核心参数输入!$B$52,0)</f>
        <v>0</v>
      </c>
      <c r="AG165" s="9">
        <f>IF(29&lt;=核心参数输入!$B$9,AG164*核心参数输入!$B$52,0)</f>
        <v>0</v>
      </c>
      <c r="AH165" s="9">
        <f>IF(30&lt;=核心参数输入!$B$9,AH164*核心参数输入!$B$52,0)</f>
        <v>0</v>
      </c>
    </row>
    <row r="166" spans="1:34" ht="21" customHeight="1">
      <c r="A166" s="8" t="s">
        <v>580</v>
      </c>
      <c r="B166" s="8" t="s">
        <v>39</v>
      </c>
      <c r="C166" s="8"/>
      <c r="D166" s="9">
        <f>IF(0&lt;=核心参数输入!$B$9,IF(核心参数输入!$B$100=1,MAX(0,-D160),0),0)</f>
        <v>0</v>
      </c>
      <c r="E166" s="9">
        <f>IF(1&lt;=核心参数输入!$B$9,IF(核心参数输入!$B$100=1,MAX(0,-E160),0),0)</f>
        <v>0</v>
      </c>
      <c r="F166" s="9">
        <f>IF(2&lt;=核心参数输入!$B$9,IF(核心参数输入!$B$100=1,MAX(0,-F160),0),0)</f>
        <v>0</v>
      </c>
      <c r="G166" s="9">
        <f>IF(3&lt;=核心参数输入!$B$9,IF(核心参数输入!$B$100=1,MAX(0,-G160),0),0)</f>
        <v>0</v>
      </c>
      <c r="H166" s="9">
        <f>IF(4&lt;=核心参数输入!$B$9,IF(核心参数输入!$B$100=1,MAX(0,-H160),0),0)</f>
        <v>482.16897913500134</v>
      </c>
      <c r="I166" s="9">
        <f>IF(5&lt;=核心参数输入!$B$9,IF(核心参数输入!$B$100=1,MAX(0,-I160),0),0)</f>
        <v>0</v>
      </c>
      <c r="J166" s="9">
        <f>IF(6&lt;=核心参数输入!$B$9,IF(核心参数输入!$B$100=1,MAX(0,-J160),0),0)</f>
        <v>0</v>
      </c>
      <c r="K166" s="9">
        <f>IF(7&lt;=核心参数输入!$B$9,IF(核心参数输入!$B$100=1,MAX(0,-K160),0),0)</f>
        <v>258.5593889950004</v>
      </c>
      <c r="L166" s="9">
        <f>IF(8&lt;=核心参数输入!$B$9,IF(核心参数输入!$B$100=1,MAX(0,-L160),0),0)</f>
        <v>188.21604271623838</v>
      </c>
      <c r="M166" s="9">
        <f>IF(9&lt;=核心参数输入!$B$9,IF(核心参数输入!$B$100=1,MAX(0,-M160),0),0)</f>
        <v>174.02073279196614</v>
      </c>
      <c r="N166" s="9">
        <f>IF(10&lt;=核心参数输入!$B$9,IF(核心参数输入!$B$100=1,MAX(0,-N160),0),0)</f>
        <v>162.06434998864609</v>
      </c>
      <c r="O166" s="9">
        <f>IF(11&lt;=核心参数输入!$B$9,IF(核心参数输入!$B$100=1,MAX(0,-O160),0),0)</f>
        <v>149.96174386737195</v>
      </c>
      <c r="P166" s="9">
        <f>IF(12&lt;=核心参数输入!$B$9,IF(核心参数输入!$B$100=1,MAX(0,-P160),0),0)</f>
        <v>137.71138352685693</v>
      </c>
      <c r="Q166" s="9">
        <f>IF(13&lt;=核心参数输入!$B$9,IF(核心参数输入!$B$100=1,MAX(0,-Q160),0),0)</f>
        <v>125.3117283512631</v>
      </c>
      <c r="R166" s="9">
        <f>IF(14&lt;=核心参数输入!$B$9,IF(核心参数输入!$B$100=1,MAX(0,-R160),0),0)</f>
        <v>112.76122812946572</v>
      </c>
      <c r="S166" s="9">
        <f>IF(15&lt;=核心参数输入!$B$9,IF(核心参数输入!$B$100=1,MAX(0,-S160),0),0)</f>
        <v>100.05832318140014</v>
      </c>
      <c r="T166" s="9">
        <f>IF(16&lt;=核心参数输入!$B$9,IF(核心参数输入!$B$100=1,MAX(0,-T160),0),0)</f>
        <v>87.201444491713545</v>
      </c>
      <c r="U166" s="9">
        <f>IF(17&lt;=核心参数输入!$B$9,IF(核心参数输入!$B$100=1,MAX(0,-U160),0),0)</f>
        <v>74.189013850932866</v>
      </c>
      <c r="V166" s="9">
        <f>IF(18&lt;=核心参数输入!$B$9,IF(核心参数输入!$B$100=1,MAX(0,-V160),0),0)</f>
        <v>61.019444004378137</v>
      </c>
      <c r="W166" s="9">
        <f>IF(19&lt;=核心参数输入!$B$9,IF(核心参数输入!$B$100=1,MAX(0,-W160),0),0)</f>
        <v>47.69113880903793</v>
      </c>
      <c r="X166" s="9">
        <f>IF(20&lt;=核心参数输入!$B$9,IF(核心参数输入!$B$100=1,MAX(0,-X160),0),0)</f>
        <v>34.20249339865989</v>
      </c>
      <c r="Y166" s="9">
        <f>IF(21&lt;=核心参数输入!$B$9,IF(核心参数输入!$B$100=1,MAX(0,-Y160),0),0)</f>
        <v>0</v>
      </c>
      <c r="Z166" s="9">
        <f>IF(22&lt;=核心参数输入!$B$9,IF(核心参数输入!$B$100=1,MAX(0,-Z160),0),0)</f>
        <v>0</v>
      </c>
      <c r="AA166" s="9">
        <f>IF(23&lt;=核心参数输入!$B$9,IF(核心参数输入!$B$100=1,MAX(0,-AA160),0),0)</f>
        <v>0</v>
      </c>
      <c r="AB166" s="9">
        <f>IF(24&lt;=核心参数输入!$B$9,IF(核心参数输入!$B$100=1,MAX(0,-AB160),0),0)</f>
        <v>0</v>
      </c>
      <c r="AC166" s="9">
        <f>IF(25&lt;=核心参数输入!$B$9,IF(核心参数输入!$B$100=1,MAX(0,-AC160),0),0)</f>
        <v>0</v>
      </c>
      <c r="AD166" s="9">
        <f>IF(26&lt;=核心参数输入!$B$9,IF(核心参数输入!$B$100=1,MAX(0,-AD160),0),0)</f>
        <v>0</v>
      </c>
      <c r="AE166" s="9">
        <f>IF(27&lt;=核心参数输入!$B$9,IF(核心参数输入!$B$100=1,MAX(0,-AE160),0),0)</f>
        <v>0</v>
      </c>
      <c r="AF166" s="9">
        <f>IF(28&lt;=核心参数输入!$B$9,IF(核心参数输入!$B$100=1,MAX(0,-AF160),0),0)</f>
        <v>0</v>
      </c>
      <c r="AG166" s="9">
        <f>IF(29&lt;=核心参数输入!$B$9,IF(核心参数输入!$B$100=1,MAX(0,-AG160),0),0)</f>
        <v>0</v>
      </c>
      <c r="AH166" s="9">
        <f>IF(30&lt;=核心参数输入!$B$9,IF(核心参数输入!$B$100=1,MAX(0,-AH160),0),0)</f>
        <v>0</v>
      </c>
    </row>
    <row r="167" spans="1:34" ht="21" customHeight="1">
      <c r="A167" s="8" t="s">
        <v>581</v>
      </c>
      <c r="B167" s="8" t="s">
        <v>39</v>
      </c>
      <c r="C167" s="8"/>
      <c r="D167" s="9">
        <f>IF(0&lt;=核心参数输入!$B$9,SUM(D185:D215),0)</f>
        <v>0</v>
      </c>
      <c r="E167" s="9">
        <f>IF(1&lt;=核心参数输入!$B$9,SUM(E185:E215),0)</f>
        <v>0</v>
      </c>
      <c r="F167" s="9">
        <f>IF(2&lt;=核心参数输入!$B$9,SUM(F185:F215),0)</f>
        <v>0</v>
      </c>
      <c r="G167" s="9">
        <f>IF(3&lt;=核心参数输入!$B$9,SUM(G185:G215),0)</f>
        <v>0</v>
      </c>
      <c r="H167" s="9">
        <f>IF(4&lt;=核心参数输入!$B$9,SUM(H185:H215),0)</f>
        <v>482.16897913500134</v>
      </c>
      <c r="I167" s="9">
        <f>IF(5&lt;=核心参数输入!$B$9,SUM(I185:I215),0)</f>
        <v>238.77298299549034</v>
      </c>
      <c r="J167" s="9">
        <f>IF(6&lt;=核心参数输入!$B$9,SUM(J185:J215),0)</f>
        <v>0</v>
      </c>
      <c r="K167" s="9">
        <f>IF(7&lt;=核心参数输入!$B$9,SUM(K185:K215),0)</f>
        <v>258.5593889950004</v>
      </c>
      <c r="L167" s="9">
        <f>IF(8&lt;=核心参数输入!$B$9,SUM(L185:L215),0)</f>
        <v>446.77543171123875</v>
      </c>
      <c r="M167" s="9">
        <f>IF(9&lt;=核心参数输入!$B$9,SUM(M185:M215),0)</f>
        <v>620.79616450320486</v>
      </c>
      <c r="N167" s="9">
        <f>IF(10&lt;=核心参数输入!$B$9,SUM(N185:N215),0)</f>
        <v>782.86051449185095</v>
      </c>
      <c r="O167" s="9">
        <f>IF(11&lt;=核心参数输入!$B$9,SUM(O185:O215),0)</f>
        <v>932.82225835922293</v>
      </c>
      <c r="P167" s="9">
        <f>IF(12&lt;=核心参数输入!$B$9,SUM(P185:P215),0)</f>
        <v>1070.5336418860797</v>
      </c>
      <c r="Q167" s="9">
        <f>IF(13&lt;=核心参数输入!$B$9,SUM(Q185:Q215),0)</f>
        <v>937.28598124234259</v>
      </c>
      <c r="R167" s="9">
        <f>IF(14&lt;=核心参数输入!$B$9,SUM(R185:R215),0)</f>
        <v>861.83116665556997</v>
      </c>
      <c r="S167" s="9">
        <f>IF(15&lt;=核心参数输入!$B$9,SUM(S185:S215),0)</f>
        <v>787.86875704500403</v>
      </c>
      <c r="T167" s="9">
        <f>IF(16&lt;=核心参数输入!$B$9,SUM(T185:T215),0)</f>
        <v>713.00585154807152</v>
      </c>
      <c r="U167" s="9">
        <f>IF(17&lt;=核心参数输入!$B$9,SUM(U185:U215),0)</f>
        <v>637.23312153163238</v>
      </c>
      <c r="V167" s="9">
        <f>IF(18&lt;=核心参数输入!$B$9,SUM(V185:V215),0)</f>
        <v>560.54118200915343</v>
      </c>
      <c r="W167" s="9">
        <f>IF(19&lt;=核心参数输入!$B$9,SUM(W185:W215),0)</f>
        <v>482.92059246692827</v>
      </c>
      <c r="X167" s="9">
        <f>IF(20&lt;=核心参数输入!$B$9,SUM(X185:X215),0)</f>
        <v>404.36185773612254</v>
      </c>
      <c r="Y167" s="9">
        <f>IF(21&lt;=核心参数输入!$B$9,SUM(Y185:Y215),0)</f>
        <v>0</v>
      </c>
      <c r="Z167" s="9">
        <f>IF(22&lt;=核心参数输入!$B$9,SUM(Z185:Z215),0)</f>
        <v>0</v>
      </c>
      <c r="AA167" s="9">
        <f>IF(23&lt;=核心参数输入!$B$9,SUM(AA185:AA215),0)</f>
        <v>0</v>
      </c>
      <c r="AB167" s="9">
        <f>IF(24&lt;=核心参数输入!$B$9,SUM(AB185:AB215),0)</f>
        <v>0</v>
      </c>
      <c r="AC167" s="9">
        <f>IF(25&lt;=核心参数输入!$B$9,SUM(AC185:AC215),0)</f>
        <v>0</v>
      </c>
      <c r="AD167" s="9">
        <f>IF(26&lt;=核心参数输入!$B$9,SUM(AD185:AD215),0)</f>
        <v>0</v>
      </c>
      <c r="AE167" s="9">
        <f>IF(27&lt;=核心参数输入!$B$9,SUM(AE185:AE215),0)</f>
        <v>0</v>
      </c>
      <c r="AF167" s="9">
        <f>IF(28&lt;=核心参数输入!$B$9,SUM(AF185:AF215),0)</f>
        <v>0</v>
      </c>
      <c r="AG167" s="9">
        <f>IF(29&lt;=核心参数输入!$B$9,SUM(AG185:AG215),0)</f>
        <v>0</v>
      </c>
      <c r="AH167" s="9">
        <f>IF(30&lt;=核心参数输入!$B$9,SUM(AH185:AH215),0)</f>
        <v>0</v>
      </c>
    </row>
    <row r="168" spans="1:34" ht="21" customHeight="1">
      <c r="A168" s="8" t="s">
        <v>582</v>
      </c>
      <c r="B168" s="8" t="s">
        <v>39</v>
      </c>
      <c r="C168" s="8"/>
      <c r="D168" s="9">
        <f>IF(0&lt;=核心参数输入!$B$9,0,0)</f>
        <v>0</v>
      </c>
      <c r="E168" s="9">
        <f>IF(1&lt;=核心参数输入!$B$9,MAX(0,D167-E162),0)</f>
        <v>0</v>
      </c>
      <c r="F168" s="9">
        <f>IF(2&lt;=核心参数输入!$B$9,MAX(0,E167-F162),0)</f>
        <v>0</v>
      </c>
      <c r="G168" s="9">
        <f>IF(3&lt;=核心参数输入!$B$9,MAX(0,F167-G162),0)</f>
        <v>0</v>
      </c>
      <c r="H168" s="9">
        <f>IF(4&lt;=核心参数输入!$B$9,MAX(0,G167-H162),0)</f>
        <v>0</v>
      </c>
      <c r="I168" s="9">
        <f>IF(5&lt;=核心参数输入!$B$9,MAX(0,H167-I162),0)</f>
        <v>0</v>
      </c>
      <c r="J168" s="9">
        <f>IF(6&lt;=核心参数输入!$B$9,MAX(0,I167-J162),0)</f>
        <v>0</v>
      </c>
      <c r="K168" s="9">
        <f>IF(7&lt;=核心参数输入!$B$9,MAX(0,J167-K162),0)</f>
        <v>0</v>
      </c>
      <c r="L168" s="9">
        <f>IF(8&lt;=核心参数输入!$B$9,MAX(0,K167-L162),0)</f>
        <v>0</v>
      </c>
      <c r="M168" s="9">
        <f>IF(9&lt;=核心参数输入!$B$9,MAX(0,L167-M162),0)</f>
        <v>0</v>
      </c>
      <c r="N168" s="9">
        <f>IF(10&lt;=核心参数输入!$B$9,MAX(0,M167-N162),0)</f>
        <v>0</v>
      </c>
      <c r="O168" s="9">
        <f>IF(11&lt;=核心参数输入!$B$9,MAX(0,N167-O162),0)</f>
        <v>0</v>
      </c>
      <c r="P168" s="9">
        <f>IF(12&lt;=核心参数输入!$B$9,MAX(0,O167-P162),0)</f>
        <v>0</v>
      </c>
      <c r="Q168" s="9">
        <f>IF(13&lt;=核心参数输入!$B$9,MAX(0,P167-Q162),0)</f>
        <v>258.55938899500029</v>
      </c>
      <c r="R168" s="9">
        <f>IF(14&lt;=核心参数输入!$B$9,MAX(0,Q167-R162),0)</f>
        <v>188.21604271623835</v>
      </c>
      <c r="S168" s="9">
        <f>IF(15&lt;=核心参数输入!$B$9,MAX(0,R167-S162),0)</f>
        <v>174.02073279196611</v>
      </c>
      <c r="T168" s="9">
        <f>IF(16&lt;=核心参数输入!$B$9,MAX(0,S167-T162),0)</f>
        <v>162.06434998864609</v>
      </c>
      <c r="U168" s="9">
        <f>IF(17&lt;=核心参数输入!$B$9,MAX(0,T167-U162),0)</f>
        <v>149.96174386737198</v>
      </c>
      <c r="V168" s="9">
        <f>IF(18&lt;=核心参数输入!$B$9,MAX(0,U167-V162),0)</f>
        <v>137.71138352685705</v>
      </c>
      <c r="W168" s="9">
        <f>IF(19&lt;=核心参数输入!$B$9,MAX(0,V167-W162),0)</f>
        <v>125.31172835126307</v>
      </c>
      <c r="X168" s="9">
        <f>IF(20&lt;=核心参数输入!$B$9,MAX(0,W167-X162),0)</f>
        <v>112.76122812946562</v>
      </c>
      <c r="Y168" s="9">
        <f>IF(21&lt;=核心参数输入!$B$9,MAX(0,X167-Y162),0)</f>
        <v>0</v>
      </c>
      <c r="Z168" s="9">
        <f>IF(22&lt;=核心参数输入!$B$9,MAX(0,Y167-Z162),0)</f>
        <v>0</v>
      </c>
      <c r="AA168" s="9">
        <f>IF(23&lt;=核心参数输入!$B$9,MAX(0,Z167-AA162),0)</f>
        <v>0</v>
      </c>
      <c r="AB168" s="9">
        <f>IF(24&lt;=核心参数输入!$B$9,MAX(0,AA167-AB162),0)</f>
        <v>0</v>
      </c>
      <c r="AC168" s="9">
        <f>IF(25&lt;=核心参数输入!$B$9,MAX(0,AB167-AC162),0)</f>
        <v>0</v>
      </c>
      <c r="AD168" s="9">
        <f>IF(26&lt;=核心参数输入!$B$9,MAX(0,AC167-AD162),0)</f>
        <v>0</v>
      </c>
      <c r="AE168" s="9">
        <f>IF(27&lt;=核心参数输入!$B$9,MAX(0,AD167-AE162),0)</f>
        <v>0</v>
      </c>
      <c r="AF168" s="9">
        <f>IF(28&lt;=核心参数输入!$B$9,MAX(0,AE167-AF162),0)</f>
        <v>0</v>
      </c>
      <c r="AG168" s="9">
        <f>IF(29&lt;=核心参数输入!$B$9,MAX(0,AF167-AG162),0)</f>
        <v>0</v>
      </c>
      <c r="AH168" s="9">
        <f>IF(30&lt;=核心参数输入!$B$9,MAX(0,AG167-AH162),0)</f>
        <v>0</v>
      </c>
    </row>
    <row r="169" spans="1:34" ht="21" customHeight="1">
      <c r="A169" s="8" t="s">
        <v>583</v>
      </c>
      <c r="B169" s="8" t="s">
        <v>39</v>
      </c>
      <c r="C169" s="8"/>
      <c r="D169" s="9">
        <f>IF(0&lt;=核心参数输入!$B$9,MAX(0,D160+D161-MIN(MAX(0,D160+D161),D162))*核心参数输入!$B$52,0)</f>
        <v>0</v>
      </c>
      <c r="E169" s="9">
        <f>IF(1&lt;=核心参数输入!$B$9,MAX(0,E160+E161-MIN(MAX(0,E160+E161),E162))*核心参数输入!$B$52,0)</f>
        <v>0</v>
      </c>
      <c r="F169" s="9">
        <f>IF(2&lt;=核心参数输入!$B$9,MAX(0,F160+F161-MIN(MAX(0,F160+F161),F162))*核心参数输入!$B$52,0)</f>
        <v>0</v>
      </c>
      <c r="G169" s="9">
        <f>IF(3&lt;=核心参数输入!$B$9,MAX(0,G160+G161-MIN(MAX(0,G160+G161),G162))*核心参数输入!$B$52,0)</f>
        <v>0</v>
      </c>
      <c r="H169" s="9">
        <f>IF(4&lt;=核心参数输入!$B$9,MAX(0,H160+H161-MIN(MAX(0,H160+H161),H162))*核心参数输入!$B$52,0)</f>
        <v>0</v>
      </c>
      <c r="I169" s="9">
        <f>IF(5&lt;=核心参数输入!$B$9,MAX(0,I160+I161-MIN(MAX(0,I160+I161),I162))*核心参数输入!$B$52,0)</f>
        <v>0</v>
      </c>
      <c r="J169" s="9">
        <f>IF(6&lt;=核心参数输入!$B$9,MAX(0,J160+J161-MIN(MAX(0,J160+J161),J162))*核心参数输入!$B$52,0)</f>
        <v>11.728541445416781</v>
      </c>
      <c r="K169" s="9">
        <f>IF(7&lt;=核心参数输入!$B$9,MAX(0,K160+K161-MIN(MAX(0,K160+K161),K162))*核心参数输入!$B$52,0)</f>
        <v>0</v>
      </c>
      <c r="L169" s="9">
        <f>IF(8&lt;=核心参数输入!$B$9,MAX(0,L160+L161-MIN(MAX(0,L160+L161),L162))*核心参数输入!$B$52,0)</f>
        <v>0</v>
      </c>
      <c r="M169" s="9">
        <f>IF(9&lt;=核心参数输入!$B$9,MAX(0,M160+M161-MIN(MAX(0,M160+M161),M162))*核心参数输入!$B$52,0)</f>
        <v>0</v>
      </c>
      <c r="N169" s="9">
        <f>IF(10&lt;=核心参数输入!$B$9,MAX(0,N160+N161-MIN(MAX(0,N160+N161),N162))*核心参数输入!$B$52,0)</f>
        <v>0</v>
      </c>
      <c r="O169" s="9">
        <f>IF(11&lt;=核心参数输入!$B$9,MAX(0,O160+O161-MIN(MAX(0,O160+O161),O162))*核心参数输入!$B$52,0)</f>
        <v>0</v>
      </c>
      <c r="P169" s="9">
        <f>IF(12&lt;=核心参数输入!$B$9,MAX(0,P160+P161-MIN(MAX(0,P160+P161),P162))*核心参数输入!$B$52,0)</f>
        <v>0</v>
      </c>
      <c r="Q169" s="9">
        <f>IF(13&lt;=核心参数输入!$B$9,MAX(0,Q160+Q161-MIN(MAX(0,Q160+Q161),Q162))*核心参数输入!$B$52,0)</f>
        <v>0</v>
      </c>
      <c r="R169" s="9">
        <f>IF(14&lt;=核心参数输入!$B$9,MAX(0,R160+R161-MIN(MAX(0,R160+R161),R162))*核心参数输入!$B$52,0)</f>
        <v>0</v>
      </c>
      <c r="S169" s="9">
        <f>IF(15&lt;=核心参数输入!$B$9,MAX(0,S160+S161-MIN(MAX(0,S160+S161),S162))*核心参数输入!$B$52,0)</f>
        <v>0</v>
      </c>
      <c r="T169" s="9">
        <f>IF(16&lt;=核心参数输入!$B$9,MAX(0,T160+T161-MIN(MAX(0,T160+T161),T162))*核心参数输入!$B$52,0)</f>
        <v>0</v>
      </c>
      <c r="U169" s="9">
        <f>IF(17&lt;=核心参数输入!$B$9,MAX(0,U160+U161-MIN(MAX(0,U160+U161),U162))*核心参数输入!$B$52,0)</f>
        <v>0</v>
      </c>
      <c r="V169" s="9">
        <f>IF(18&lt;=核心参数输入!$B$9,MAX(0,V160+V161-MIN(MAX(0,V160+V161),V162))*核心参数输入!$B$52,0)</f>
        <v>0</v>
      </c>
      <c r="W169" s="9">
        <f>IF(19&lt;=核心参数输入!$B$9,MAX(0,W160+W161-MIN(MAX(0,W160+W161),W162))*核心参数输入!$B$52,0)</f>
        <v>0</v>
      </c>
      <c r="X169" s="9">
        <f>IF(20&lt;=核心参数输入!$B$9,MAX(0,X160+X161-MIN(MAX(0,X160+X161),X162))*核心参数输入!$B$52,0)</f>
        <v>3556.5237855659743</v>
      </c>
      <c r="Y169" s="9">
        <f>IF(21&lt;=核心参数输入!$B$9,MAX(0,Y160+Y161-MIN(MAX(0,Y160+Y161),Y162))*核心参数输入!$B$52,0)</f>
        <v>0</v>
      </c>
      <c r="Z169" s="9">
        <f>IF(22&lt;=核心参数输入!$B$9,MAX(0,Z160+Z161-MIN(MAX(0,Z160+Z161),Z162))*核心参数输入!$B$52,0)</f>
        <v>0</v>
      </c>
      <c r="AA169" s="9">
        <f>IF(23&lt;=核心参数输入!$B$9,MAX(0,AA160+AA161-MIN(MAX(0,AA160+AA161),AA162))*核心参数输入!$B$52,0)</f>
        <v>0</v>
      </c>
      <c r="AB169" s="9">
        <f>IF(24&lt;=核心参数输入!$B$9,MAX(0,AB160+AB161-MIN(MAX(0,AB160+AB161),AB162))*核心参数输入!$B$52,0)</f>
        <v>0</v>
      </c>
      <c r="AC169" s="9">
        <f>IF(25&lt;=核心参数输入!$B$9,MAX(0,AC160+AC161-MIN(MAX(0,AC160+AC161),AC162))*核心参数输入!$B$52,0)</f>
        <v>0</v>
      </c>
      <c r="AD169" s="9">
        <f>IF(26&lt;=核心参数输入!$B$9,MAX(0,AD160+AD161-MIN(MAX(0,AD160+AD161),AD162))*核心参数输入!$B$52,0)</f>
        <v>0</v>
      </c>
      <c r="AE169" s="9">
        <f>IF(27&lt;=核心参数输入!$B$9,MAX(0,AE160+AE161-MIN(MAX(0,AE160+AE161),AE162))*核心参数输入!$B$52,0)</f>
        <v>0</v>
      </c>
      <c r="AF169" s="9">
        <f>IF(28&lt;=核心参数输入!$B$9,MAX(0,AF160+AF161-MIN(MAX(0,AF160+AF161),AF162))*核心参数输入!$B$52,0)</f>
        <v>0</v>
      </c>
      <c r="AG169" s="9">
        <f>IF(29&lt;=核心参数输入!$B$9,MAX(0,AG160+AG161-MIN(MAX(0,AG160+AG161),AG162))*核心参数输入!$B$52,0)</f>
        <v>0</v>
      </c>
      <c r="AH169" s="9">
        <f>IF(30&lt;=核心参数输入!$B$9,MAX(0,AH160+AH161-MIN(MAX(0,AH160+AH161),AH162))*核心参数输入!$B$52,0)</f>
        <v>0</v>
      </c>
    </row>
    <row r="170" spans="1:34" ht="21" customHeight="1">
      <c r="A170" s="8" t="s">
        <v>584</v>
      </c>
      <c r="B170" s="8" t="s">
        <v>39</v>
      </c>
      <c r="C170" s="8"/>
      <c r="D170" s="9">
        <f>IF(0&lt;=核心参数输入!$B$9,D160+D161,0)</f>
        <v>0</v>
      </c>
      <c r="E170" s="9">
        <f>IF(1&lt;=核心参数输入!$B$9,E160+E161,0)</f>
        <v>0</v>
      </c>
      <c r="F170" s="9">
        <f>IF(2&lt;=核心参数输入!$B$9,F160+F161,0)</f>
        <v>0</v>
      </c>
      <c r="G170" s="9">
        <f>IF(3&lt;=核心参数输入!$B$9,G160+G161,0)</f>
        <v>0</v>
      </c>
      <c r="H170" s="9">
        <f>IF(4&lt;=核心参数输入!$B$9,H160+H161,0)</f>
        <v>-482.16897913500134</v>
      </c>
      <c r="I170" s="9">
        <f>IF(5&lt;=核心参数输入!$B$9,I160+I161,0)</f>
        <v>243.395996139511</v>
      </c>
      <c r="J170" s="9">
        <f>IF(6&lt;=核心参数输入!$B$9,J160+J161,0)</f>
        <v>285.68714877715746</v>
      </c>
      <c r="K170" s="9">
        <f>IF(7&lt;=核心参数输入!$B$9,K160+K161,0)</f>
        <v>-258.5593889950004</v>
      </c>
      <c r="L170" s="9">
        <f>IF(8&lt;=核心参数输入!$B$9,L160+L161,0)</f>
        <v>-188.21604271623838</v>
      </c>
      <c r="M170" s="9">
        <f>IF(9&lt;=核心参数输入!$B$9,M160+M161,0)</f>
        <v>-174.02073279196614</v>
      </c>
      <c r="N170" s="9">
        <f>IF(10&lt;=核心参数输入!$B$9,N160+N161,0)</f>
        <v>-162.06434998864609</v>
      </c>
      <c r="O170" s="9">
        <f>IF(11&lt;=核心参数输入!$B$9,O160+O161,0)</f>
        <v>-149.96174386737195</v>
      </c>
      <c r="P170" s="9">
        <f>IF(12&lt;=核心参数输入!$B$9,P160+P161,0)</f>
        <v>-137.71138352685693</v>
      </c>
      <c r="Q170" s="9">
        <f>IF(13&lt;=核心参数输入!$B$9,Q160+Q161,0)</f>
        <v>-125.3117283512631</v>
      </c>
      <c r="R170" s="9">
        <f>IF(14&lt;=核心参数输入!$B$9,R160+R161,0)</f>
        <v>-112.76122812946572</v>
      </c>
      <c r="S170" s="9">
        <f>IF(15&lt;=核心参数输入!$B$9,S160+S161,0)</f>
        <v>-100.05832318140014</v>
      </c>
      <c r="T170" s="9">
        <f>IF(16&lt;=核心参数输入!$B$9,T160+T161,0)</f>
        <v>-87.201444491713545</v>
      </c>
      <c r="U170" s="9">
        <f>IF(17&lt;=核心参数输入!$B$9,U160+U161,0)</f>
        <v>-74.189013850932866</v>
      </c>
      <c r="V170" s="9">
        <f>IF(18&lt;=核心参数输入!$B$9,V160+V161,0)</f>
        <v>-61.019444004378137</v>
      </c>
      <c r="W170" s="9">
        <f>IF(19&lt;=核心参数输入!$B$9,W160+W161,0)</f>
        <v>-47.69113880903793</v>
      </c>
      <c r="X170" s="9">
        <f>IF(20&lt;=核心参数输入!$B$9,X160+X161,0)</f>
        <v>14596.254506601359</v>
      </c>
      <c r="Y170" s="9">
        <f>IF(21&lt;=核心参数输入!$B$9,Y160+Y161,0)</f>
        <v>0</v>
      </c>
      <c r="Z170" s="9">
        <f>IF(22&lt;=核心参数输入!$B$9,Z160+Z161,0)</f>
        <v>0</v>
      </c>
      <c r="AA170" s="9">
        <f>IF(23&lt;=核心参数输入!$B$9,AA160+AA161,0)</f>
        <v>0</v>
      </c>
      <c r="AB170" s="9">
        <f>IF(24&lt;=核心参数输入!$B$9,AB160+AB161,0)</f>
        <v>0</v>
      </c>
      <c r="AC170" s="9">
        <f>IF(25&lt;=核心参数输入!$B$9,AC160+AC161,0)</f>
        <v>0</v>
      </c>
      <c r="AD170" s="9">
        <f>IF(26&lt;=核心参数输入!$B$9,AD160+AD161,0)</f>
        <v>0</v>
      </c>
      <c r="AE170" s="9">
        <f>IF(27&lt;=核心参数输入!$B$9,AE160+AE161,0)</f>
        <v>0</v>
      </c>
      <c r="AF170" s="9">
        <f>IF(28&lt;=核心参数输入!$B$9,AF160+AF161,0)</f>
        <v>0</v>
      </c>
      <c r="AG170" s="9">
        <f>IF(29&lt;=核心参数输入!$B$9,AG160+AG161,0)</f>
        <v>0</v>
      </c>
      <c r="AH170" s="9">
        <f>IF(30&lt;=核心参数输入!$B$9,AH160+AH161,0)</f>
        <v>0</v>
      </c>
    </row>
    <row r="171" spans="1:34" ht="21" customHeight="1">
      <c r="A171" s="8" t="s">
        <v>585</v>
      </c>
      <c r="B171" s="8" t="s">
        <v>39</v>
      </c>
      <c r="C171" s="8"/>
      <c r="D171" s="9">
        <f>IF(0&lt;=核心参数输入!$B$9,IF(核心参数输入!$B$64=1,D169,D165),0)</f>
        <v>0</v>
      </c>
      <c r="E171" s="9">
        <f>IF(1&lt;=核心参数输入!$B$9,IF(核心参数输入!$B$64=1,E169,E165),0)</f>
        <v>0</v>
      </c>
      <c r="F171" s="9">
        <f>IF(2&lt;=核心参数输入!$B$9,IF(核心参数输入!$B$64=1,F169,F165),0)</f>
        <v>0</v>
      </c>
      <c r="G171" s="9">
        <f>IF(3&lt;=核心参数输入!$B$9,IF(核心参数输入!$B$64=1,G169,G165),0)</f>
        <v>0</v>
      </c>
      <c r="H171" s="9">
        <f>IF(4&lt;=核心参数输入!$B$9,IF(核心参数输入!$B$64=1,H169,H165),0)</f>
        <v>0</v>
      </c>
      <c r="I171" s="9">
        <f>IF(5&lt;=核心参数输入!$B$9,IF(核心参数输入!$B$64=1,I169,I165),0)</f>
        <v>0</v>
      </c>
      <c r="J171" s="9">
        <f>IF(6&lt;=核心参数输入!$B$9,IF(核心参数输入!$B$64=1,J169,J165),0)</f>
        <v>11.728541445416781</v>
      </c>
      <c r="K171" s="9">
        <f>IF(7&lt;=核心参数输入!$B$9,IF(核心参数输入!$B$64=1,K169,K165),0)</f>
        <v>0</v>
      </c>
      <c r="L171" s="9">
        <f>IF(8&lt;=核心参数输入!$B$9,IF(核心参数输入!$B$64=1,L169,L165),0)</f>
        <v>0</v>
      </c>
      <c r="M171" s="9">
        <f>IF(9&lt;=核心参数输入!$B$9,IF(核心参数输入!$B$64=1,M169,M165),0)</f>
        <v>0</v>
      </c>
      <c r="N171" s="9">
        <f>IF(10&lt;=核心参数输入!$B$9,IF(核心参数输入!$B$64=1,N169,N165),0)</f>
        <v>0</v>
      </c>
      <c r="O171" s="9">
        <f>IF(11&lt;=核心参数输入!$B$9,IF(核心参数输入!$B$64=1,O169,O165),0)</f>
        <v>0</v>
      </c>
      <c r="P171" s="9">
        <f>IF(12&lt;=核心参数输入!$B$9,IF(核心参数输入!$B$64=1,P169,P165),0)</f>
        <v>0</v>
      </c>
      <c r="Q171" s="9">
        <f>IF(13&lt;=核心参数输入!$B$9,IF(核心参数输入!$B$64=1,Q169,Q165),0)</f>
        <v>0</v>
      </c>
      <c r="R171" s="9">
        <f>IF(14&lt;=核心参数输入!$B$9,IF(核心参数输入!$B$64=1,R169,R165),0)</f>
        <v>0</v>
      </c>
      <c r="S171" s="9">
        <f>IF(15&lt;=核心参数输入!$B$9,IF(核心参数输入!$B$64=1,S169,S165),0)</f>
        <v>0</v>
      </c>
      <c r="T171" s="9">
        <f>IF(16&lt;=核心参数输入!$B$9,IF(核心参数输入!$B$64=1,T169,T165),0)</f>
        <v>0</v>
      </c>
      <c r="U171" s="9">
        <f>IF(17&lt;=核心参数输入!$B$9,IF(核心参数输入!$B$64=1,U169,U165),0)</f>
        <v>0</v>
      </c>
      <c r="V171" s="9">
        <f>IF(18&lt;=核心参数输入!$B$9,IF(核心参数输入!$B$64=1,V169,V165),0)</f>
        <v>0</v>
      </c>
      <c r="W171" s="9">
        <f>IF(19&lt;=核心参数输入!$B$9,IF(核心参数输入!$B$64=1,W169,W165),0)</f>
        <v>0</v>
      </c>
      <c r="X171" s="9">
        <f>IF(20&lt;=核心参数输入!$B$9,IF(核心参数输入!$B$64=1,X169,X165),0)</f>
        <v>0</v>
      </c>
      <c r="Y171" s="9">
        <f>IF(21&lt;=核心参数输入!$B$9,IF(核心参数输入!$B$64=1,Y169,Y165),0)</f>
        <v>0</v>
      </c>
      <c r="Z171" s="9">
        <f>IF(22&lt;=核心参数输入!$B$9,IF(核心参数输入!$B$64=1,Z169,Z165),0)</f>
        <v>0</v>
      </c>
      <c r="AA171" s="9">
        <f>IF(23&lt;=核心参数输入!$B$9,IF(核心参数输入!$B$64=1,AA169,AA165),0)</f>
        <v>0</v>
      </c>
      <c r="AB171" s="9">
        <f>IF(24&lt;=核心参数输入!$B$9,IF(核心参数输入!$B$64=1,AB169,AB165),0)</f>
        <v>0</v>
      </c>
      <c r="AC171" s="9">
        <f>IF(25&lt;=核心参数输入!$B$9,IF(核心参数输入!$B$64=1,AC169,AC165),0)</f>
        <v>0</v>
      </c>
      <c r="AD171" s="9">
        <f>IF(26&lt;=核心参数输入!$B$9,IF(核心参数输入!$B$64=1,AD169,AD165),0)</f>
        <v>0</v>
      </c>
      <c r="AE171" s="9">
        <f>IF(27&lt;=核心参数输入!$B$9,IF(核心参数输入!$B$64=1,AE169,AE165),0)</f>
        <v>0</v>
      </c>
      <c r="AF171" s="9">
        <f>IF(28&lt;=核心参数输入!$B$9,IF(核心参数输入!$B$64=1,AF169,AF165),0)</f>
        <v>0</v>
      </c>
      <c r="AG171" s="9">
        <f>IF(29&lt;=核心参数输入!$B$9,IF(核心参数输入!$B$64=1,AG169,AG165),0)</f>
        <v>0</v>
      </c>
      <c r="AH171" s="9">
        <f>IF(30&lt;=核心参数输入!$B$9,IF(核心参数输入!$B$64=1,AH169,AH165),0)</f>
        <v>0</v>
      </c>
    </row>
    <row r="172" spans="1:34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 spans="1:34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 spans="1:34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 spans="1:34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 spans="1:34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 spans="1:34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 spans="1:34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 spans="1:34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 spans="1:34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 spans="1:34" ht="21" customHeight="1">
      <c r="A181" s="8"/>
      <c r="B181" s="8"/>
      <c r="C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 spans="1:34" ht="21" customHeight="1">
      <c r="A182" s="8"/>
      <c r="B182" s="8"/>
      <c r="C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 spans="1:34" ht="21" customHeight="1">
      <c r="A183" s="8"/>
      <c r="B183" s="8"/>
      <c r="C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 spans="1:34" ht="21" customHeight="1">
      <c r="A184" s="8"/>
      <c r="B184" s="8"/>
      <c r="C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 spans="1:34" ht="21" customHeight="1">
      <c r="A185" s="8" t="s">
        <v>586</v>
      </c>
      <c r="B185" s="8">
        <v>0</v>
      </c>
      <c r="C185" s="8"/>
      <c r="D185" s="9">
        <f>IF(0&lt;=核心参数输入!$B$9,D166,0)</f>
        <v>0</v>
      </c>
      <c r="E185" s="9">
        <f>IF(1&lt;=核心参数输入!$B$9,IF(AND(核心参数输入!$B$100=1,OR(核心参数输入!$B$101=0,1-0&lt;=核心参数输入!$B$101)),MAX(0,D185-MAX(0,E163-0)),0),0)</f>
        <v>0</v>
      </c>
      <c r="F185" s="9">
        <f>IF(2&lt;=核心参数输入!$B$9,IF(AND(核心参数输入!$B$100=1,OR(核心参数输入!$B$101=0,2-0&lt;=核心参数输入!$B$101)),MAX(0,E185-MAX(0,F163-0)),0),0)</f>
        <v>0</v>
      </c>
      <c r="G185" s="9">
        <f>IF(3&lt;=核心参数输入!$B$9,IF(AND(核心参数输入!$B$100=1,OR(核心参数输入!$B$101=0,3-0&lt;=核心参数输入!$B$101)),MAX(0,F185-MAX(0,G163-0)),0),0)</f>
        <v>0</v>
      </c>
      <c r="H185" s="9">
        <f>IF(4&lt;=核心参数输入!$B$9,IF(AND(核心参数输入!$B$100=1,OR(核心参数输入!$B$101=0,4-0&lt;=核心参数输入!$B$101)),MAX(0,G185-MAX(0,H163-0)),0),0)</f>
        <v>0</v>
      </c>
      <c r="I185" s="9">
        <f>IF(5&lt;=核心参数输入!$B$9,IF(AND(核心参数输入!$B$100=1,OR(核心参数输入!$B$101=0,5-0&lt;=核心参数输入!$B$101)),MAX(0,H185-MAX(0,I163-0)),0),0)</f>
        <v>0</v>
      </c>
      <c r="J185" s="9">
        <f>IF(6&lt;=核心参数输入!$B$9,IF(AND(核心参数输入!$B$100=1,OR(核心参数输入!$B$101=0,6-0&lt;=核心参数输入!$B$101)),MAX(0,I185-MAX(0,J163-0)),0),0)</f>
        <v>0</v>
      </c>
      <c r="K185" s="9">
        <f>IF(7&lt;=核心参数输入!$B$9,IF(AND(核心参数输入!$B$100=1,OR(核心参数输入!$B$101=0,7-0&lt;=核心参数输入!$B$101)),MAX(0,J185-MAX(0,K163-0)),0),0)</f>
        <v>0</v>
      </c>
      <c r="L185" s="9">
        <f>IF(8&lt;=核心参数输入!$B$9,IF(AND(核心参数输入!$B$100=1,OR(核心参数输入!$B$101=0,8-0&lt;=核心参数输入!$B$101)),MAX(0,K185-MAX(0,L163-0)),0),0)</f>
        <v>0</v>
      </c>
      <c r="M185" s="9">
        <f>IF(9&lt;=核心参数输入!$B$9,IF(AND(核心参数输入!$B$100=1,OR(核心参数输入!$B$101=0,9-0&lt;=核心参数输入!$B$101)),MAX(0,L185-MAX(0,M163-0)),0),0)</f>
        <v>0</v>
      </c>
      <c r="N185" s="9">
        <f>IF(10&lt;=核心参数输入!$B$9,IF(AND(核心参数输入!$B$100=1,OR(核心参数输入!$B$101=0,10-0&lt;=核心参数输入!$B$101)),MAX(0,M185-MAX(0,N163-0)),0),0)</f>
        <v>0</v>
      </c>
      <c r="O185" s="9">
        <f>IF(11&lt;=核心参数输入!$B$9,IF(AND(核心参数输入!$B$100=1,OR(核心参数输入!$B$101=0,11-0&lt;=核心参数输入!$B$101)),MAX(0,N185-MAX(0,O163-0)),0),0)</f>
        <v>0</v>
      </c>
      <c r="P185" s="9">
        <f>IF(12&lt;=核心参数输入!$B$9,IF(AND(核心参数输入!$B$100=1,OR(核心参数输入!$B$101=0,12-0&lt;=核心参数输入!$B$101)),MAX(0,O185-MAX(0,P163-0)),0),0)</f>
        <v>0</v>
      </c>
      <c r="Q185" s="9">
        <f>IF(13&lt;=核心参数输入!$B$9,IF(AND(核心参数输入!$B$100=1,OR(核心参数输入!$B$101=0,13-0&lt;=核心参数输入!$B$101)),MAX(0,P185-MAX(0,Q163-0)),0),0)</f>
        <v>0</v>
      </c>
      <c r="R185" s="9">
        <f>IF(14&lt;=核心参数输入!$B$9,IF(AND(核心参数输入!$B$100=1,OR(核心参数输入!$B$101=0,14-0&lt;=核心参数输入!$B$101)),MAX(0,Q185-MAX(0,R163-0)),0),0)</f>
        <v>0</v>
      </c>
      <c r="S185" s="9">
        <f>IF(15&lt;=核心参数输入!$B$9,IF(AND(核心参数输入!$B$100=1,OR(核心参数输入!$B$101=0,15-0&lt;=核心参数输入!$B$101)),MAX(0,R185-MAX(0,S163-0)),0),0)</f>
        <v>0</v>
      </c>
      <c r="T185" s="9">
        <f>IF(16&lt;=核心参数输入!$B$9,IF(AND(核心参数输入!$B$100=1,OR(核心参数输入!$B$101=0,16-0&lt;=核心参数输入!$B$101)),MAX(0,S185-MAX(0,T163-0)),0),0)</f>
        <v>0</v>
      </c>
      <c r="U185" s="9">
        <f>IF(17&lt;=核心参数输入!$B$9,IF(AND(核心参数输入!$B$100=1,OR(核心参数输入!$B$101=0,17-0&lt;=核心参数输入!$B$101)),MAX(0,T185-MAX(0,U163-0)),0),0)</f>
        <v>0</v>
      </c>
      <c r="V185" s="9">
        <f>IF(18&lt;=核心参数输入!$B$9,IF(AND(核心参数输入!$B$100=1,OR(核心参数输入!$B$101=0,18-0&lt;=核心参数输入!$B$101)),MAX(0,U185-MAX(0,V163-0)),0),0)</f>
        <v>0</v>
      </c>
      <c r="W185" s="9">
        <f>IF(19&lt;=核心参数输入!$B$9,IF(AND(核心参数输入!$B$100=1,OR(核心参数输入!$B$101=0,19-0&lt;=核心参数输入!$B$101)),MAX(0,V185-MAX(0,W163-0)),0),0)</f>
        <v>0</v>
      </c>
      <c r="X185" s="9">
        <f>IF(20&lt;=核心参数输入!$B$9,IF(AND(核心参数输入!$B$100=1,OR(核心参数输入!$B$101=0,20-0&lt;=核心参数输入!$B$101)),MAX(0,W185-MAX(0,X163-0)),0),0)</f>
        <v>0</v>
      </c>
      <c r="Y185" s="9">
        <f>IF(21&lt;=核心参数输入!$B$9,IF(AND(核心参数输入!$B$100=1,OR(核心参数输入!$B$101=0,21-0&lt;=核心参数输入!$B$101)),MAX(0,X185-MAX(0,Y163-0)),0),0)</f>
        <v>0</v>
      </c>
      <c r="Z185" s="9">
        <f>IF(22&lt;=核心参数输入!$B$9,IF(AND(核心参数输入!$B$100=1,OR(核心参数输入!$B$101=0,22-0&lt;=核心参数输入!$B$101)),MAX(0,Y185-MAX(0,Z163-0)),0),0)</f>
        <v>0</v>
      </c>
      <c r="AA185" s="9">
        <f>IF(23&lt;=核心参数输入!$B$9,IF(AND(核心参数输入!$B$100=1,OR(核心参数输入!$B$101=0,23-0&lt;=核心参数输入!$B$101)),MAX(0,Z185-MAX(0,AA163-0)),0),0)</f>
        <v>0</v>
      </c>
      <c r="AB185" s="9">
        <f>IF(24&lt;=核心参数输入!$B$9,IF(AND(核心参数输入!$B$100=1,OR(核心参数输入!$B$101=0,24-0&lt;=核心参数输入!$B$101)),MAX(0,AA185-MAX(0,AB163-0)),0),0)</f>
        <v>0</v>
      </c>
      <c r="AC185" s="9">
        <f>IF(25&lt;=核心参数输入!$B$9,IF(AND(核心参数输入!$B$100=1,OR(核心参数输入!$B$101=0,25-0&lt;=核心参数输入!$B$101)),MAX(0,AB185-MAX(0,AC163-0)),0),0)</f>
        <v>0</v>
      </c>
      <c r="AD185" s="9">
        <f>IF(26&lt;=核心参数输入!$B$9,IF(AND(核心参数输入!$B$100=1,OR(核心参数输入!$B$101=0,26-0&lt;=核心参数输入!$B$101)),MAX(0,AC185-MAX(0,AD163-0)),0),0)</f>
        <v>0</v>
      </c>
      <c r="AE185" s="9">
        <f>IF(27&lt;=核心参数输入!$B$9,IF(AND(核心参数输入!$B$100=1,OR(核心参数输入!$B$101=0,27-0&lt;=核心参数输入!$B$101)),MAX(0,AD185-MAX(0,AE163-0)),0),0)</f>
        <v>0</v>
      </c>
      <c r="AF185" s="9">
        <f>IF(28&lt;=核心参数输入!$B$9,IF(AND(核心参数输入!$B$100=1,OR(核心参数输入!$B$101=0,28-0&lt;=核心参数输入!$B$101)),MAX(0,AE185-MAX(0,AF163-0)),0),0)</f>
        <v>0</v>
      </c>
      <c r="AG185" s="9">
        <f>IF(29&lt;=核心参数输入!$B$9,IF(AND(核心参数输入!$B$100=1,OR(核心参数输入!$B$101=0,29-0&lt;=核心参数输入!$B$101)),MAX(0,AF185-MAX(0,AG163-0)),0),0)</f>
        <v>0</v>
      </c>
      <c r="AH185" s="9">
        <f>IF(30&lt;=核心参数输入!$B$9,IF(AND(核心参数输入!$B$100=1,OR(核心参数输入!$B$101=0,30-0&lt;=核心参数输入!$B$101)),MAX(0,AG185-MAX(0,AH163-0)),0),0)</f>
        <v>0</v>
      </c>
    </row>
    <row r="186" spans="1:34" ht="21" customHeight="1">
      <c r="A186" s="8" t="s">
        <v>587</v>
      </c>
      <c r="B186" s="8">
        <v>1</v>
      </c>
      <c r="C186" s="8"/>
      <c r="D186" s="9">
        <f>IF(0&lt;=核心参数输入!$B$9,0,0)</f>
        <v>0</v>
      </c>
      <c r="E186" s="9">
        <f>IF(1&lt;=核心参数输入!$B$9,E166,0)</f>
        <v>0</v>
      </c>
      <c r="F186" s="9">
        <f>IF(2&lt;=核心参数输入!$B$9,IF(AND(核心参数输入!$B$100=1,OR(核心参数输入!$B$101=0,2-1&lt;=核心参数输入!$B$101)),MAX(0,E186-MAX(0,F163-SUMIFS($E$185:$E$185,$B$185:$B$185,"&gt;="&amp;IF(核心参数输入!$B$101=0,0,2-核心参数输入!$B$101)))),0),0)</f>
        <v>0</v>
      </c>
      <c r="G186" s="9">
        <f>IF(3&lt;=核心参数输入!$B$9,IF(AND(核心参数输入!$B$100=1,OR(核心参数输入!$B$101=0,3-1&lt;=核心参数输入!$B$101)),MAX(0,F186-MAX(0,G163-SUMIFS($F$185:$F$185,$B$185:$B$185,"&gt;="&amp;IF(核心参数输入!$B$101=0,0,3-核心参数输入!$B$101)))),0),0)</f>
        <v>0</v>
      </c>
      <c r="H186" s="9">
        <f>IF(4&lt;=核心参数输入!$B$9,IF(AND(核心参数输入!$B$100=1,OR(核心参数输入!$B$101=0,4-1&lt;=核心参数输入!$B$101)),MAX(0,G186-MAX(0,H163-SUMIFS($G$185:$G$185,$B$185:$B$185,"&gt;="&amp;IF(核心参数输入!$B$101=0,0,4-核心参数输入!$B$101)))),0),0)</f>
        <v>0</v>
      </c>
      <c r="I186" s="9">
        <f>IF(5&lt;=核心参数输入!$B$9,IF(AND(核心参数输入!$B$100=1,OR(核心参数输入!$B$101=0,5-1&lt;=核心参数输入!$B$101)),MAX(0,H186-MAX(0,I163-SUMIFS($H$185:$H$185,$B$185:$B$185,"&gt;="&amp;IF(核心参数输入!$B$101=0,0,5-核心参数输入!$B$101)))),0),0)</f>
        <v>0</v>
      </c>
      <c r="J186" s="9">
        <f>IF(6&lt;=核心参数输入!$B$9,IF(AND(核心参数输入!$B$100=1,OR(核心参数输入!$B$101=0,6-1&lt;=核心参数输入!$B$101)),MAX(0,I186-MAX(0,J163-SUMIFS($I$185:$I$185,$B$185:$B$185,"&gt;="&amp;IF(核心参数输入!$B$101=0,0,6-核心参数输入!$B$101)))),0),0)</f>
        <v>0</v>
      </c>
      <c r="K186" s="9">
        <f>IF(7&lt;=核心参数输入!$B$9,IF(AND(核心参数输入!$B$100=1,OR(核心参数输入!$B$101=0,7-1&lt;=核心参数输入!$B$101)),MAX(0,J186-MAX(0,K163-SUMIFS($J$185:$J$185,$B$185:$B$185,"&gt;="&amp;IF(核心参数输入!$B$101=0,0,7-核心参数输入!$B$101)))),0),0)</f>
        <v>0</v>
      </c>
      <c r="L186" s="9">
        <f>IF(8&lt;=核心参数输入!$B$9,IF(AND(核心参数输入!$B$100=1,OR(核心参数输入!$B$101=0,8-1&lt;=核心参数输入!$B$101)),MAX(0,K186-MAX(0,L163-SUMIFS($K$185:$K$185,$B$185:$B$185,"&gt;="&amp;IF(核心参数输入!$B$101=0,0,8-核心参数输入!$B$101)))),0),0)</f>
        <v>0</v>
      </c>
      <c r="M186" s="9">
        <f>IF(9&lt;=核心参数输入!$B$9,IF(AND(核心参数输入!$B$100=1,OR(核心参数输入!$B$101=0,9-1&lt;=核心参数输入!$B$101)),MAX(0,L186-MAX(0,M163-SUMIFS($L$185:$L$185,$B$185:$B$185,"&gt;="&amp;IF(核心参数输入!$B$101=0,0,9-核心参数输入!$B$101)))),0),0)</f>
        <v>0</v>
      </c>
      <c r="N186" s="9">
        <f>IF(10&lt;=核心参数输入!$B$9,IF(AND(核心参数输入!$B$100=1,OR(核心参数输入!$B$101=0,10-1&lt;=核心参数输入!$B$101)),MAX(0,M186-MAX(0,N163-SUMIFS($M$185:$M$185,$B$185:$B$185,"&gt;="&amp;IF(核心参数输入!$B$101=0,0,10-核心参数输入!$B$101)))),0),0)</f>
        <v>0</v>
      </c>
      <c r="O186" s="9">
        <f>IF(11&lt;=核心参数输入!$B$9,IF(AND(核心参数输入!$B$100=1,OR(核心参数输入!$B$101=0,11-1&lt;=核心参数输入!$B$101)),MAX(0,N186-MAX(0,O163-SUMIFS($N$185:$N$185,$B$185:$B$185,"&gt;="&amp;IF(核心参数输入!$B$101=0,0,11-核心参数输入!$B$101)))),0),0)</f>
        <v>0</v>
      </c>
      <c r="P186" s="9">
        <f>IF(12&lt;=核心参数输入!$B$9,IF(AND(核心参数输入!$B$100=1,OR(核心参数输入!$B$101=0,12-1&lt;=核心参数输入!$B$101)),MAX(0,O186-MAX(0,P163-SUMIFS($O$185:$O$185,$B$185:$B$185,"&gt;="&amp;IF(核心参数输入!$B$101=0,0,12-核心参数输入!$B$101)))),0),0)</f>
        <v>0</v>
      </c>
      <c r="Q186" s="9">
        <f>IF(13&lt;=核心参数输入!$B$9,IF(AND(核心参数输入!$B$100=1,OR(核心参数输入!$B$101=0,13-1&lt;=核心参数输入!$B$101)),MAX(0,P186-MAX(0,Q163-SUMIFS($P$185:$P$185,$B$185:$B$185,"&gt;="&amp;IF(核心参数输入!$B$101=0,0,13-核心参数输入!$B$101)))),0),0)</f>
        <v>0</v>
      </c>
      <c r="R186" s="9">
        <f>IF(14&lt;=核心参数输入!$B$9,IF(AND(核心参数输入!$B$100=1,OR(核心参数输入!$B$101=0,14-1&lt;=核心参数输入!$B$101)),MAX(0,Q186-MAX(0,R163-SUMIFS($Q$185:$Q$185,$B$185:$B$185,"&gt;="&amp;IF(核心参数输入!$B$101=0,0,14-核心参数输入!$B$101)))),0),0)</f>
        <v>0</v>
      </c>
      <c r="S186" s="9">
        <f>IF(15&lt;=核心参数输入!$B$9,IF(AND(核心参数输入!$B$100=1,OR(核心参数输入!$B$101=0,15-1&lt;=核心参数输入!$B$101)),MAX(0,R186-MAX(0,S163-SUMIFS($R$185:$R$185,$B$185:$B$185,"&gt;="&amp;IF(核心参数输入!$B$101=0,0,15-核心参数输入!$B$101)))),0),0)</f>
        <v>0</v>
      </c>
      <c r="T186" s="9">
        <f>IF(16&lt;=核心参数输入!$B$9,IF(AND(核心参数输入!$B$100=1,OR(核心参数输入!$B$101=0,16-1&lt;=核心参数输入!$B$101)),MAX(0,S186-MAX(0,T163-SUMIFS($S$185:$S$185,$B$185:$B$185,"&gt;="&amp;IF(核心参数输入!$B$101=0,0,16-核心参数输入!$B$101)))),0),0)</f>
        <v>0</v>
      </c>
      <c r="U186" s="9">
        <f>IF(17&lt;=核心参数输入!$B$9,IF(AND(核心参数输入!$B$100=1,OR(核心参数输入!$B$101=0,17-1&lt;=核心参数输入!$B$101)),MAX(0,T186-MAX(0,U163-SUMIFS($T$185:$T$185,$B$185:$B$185,"&gt;="&amp;IF(核心参数输入!$B$101=0,0,17-核心参数输入!$B$101)))),0),0)</f>
        <v>0</v>
      </c>
      <c r="V186" s="9">
        <f>IF(18&lt;=核心参数输入!$B$9,IF(AND(核心参数输入!$B$100=1,OR(核心参数输入!$B$101=0,18-1&lt;=核心参数输入!$B$101)),MAX(0,U186-MAX(0,V163-SUMIFS($U$185:$U$185,$B$185:$B$185,"&gt;="&amp;IF(核心参数输入!$B$101=0,0,18-核心参数输入!$B$101)))),0),0)</f>
        <v>0</v>
      </c>
      <c r="W186" s="9">
        <f>IF(19&lt;=核心参数输入!$B$9,IF(AND(核心参数输入!$B$100=1,OR(核心参数输入!$B$101=0,19-1&lt;=核心参数输入!$B$101)),MAX(0,V186-MAX(0,W163-SUMIFS($V$185:$V$185,$B$185:$B$185,"&gt;="&amp;IF(核心参数输入!$B$101=0,0,19-核心参数输入!$B$101)))),0),0)</f>
        <v>0</v>
      </c>
      <c r="X186" s="9">
        <f>IF(20&lt;=核心参数输入!$B$9,IF(AND(核心参数输入!$B$100=1,OR(核心参数输入!$B$101=0,20-1&lt;=核心参数输入!$B$101)),MAX(0,W186-MAX(0,X163-SUMIFS($W$185:$W$185,$B$185:$B$185,"&gt;="&amp;IF(核心参数输入!$B$101=0,0,20-核心参数输入!$B$101)))),0),0)</f>
        <v>0</v>
      </c>
      <c r="Y186" s="9">
        <f>IF(21&lt;=核心参数输入!$B$9,IF(AND(核心参数输入!$B$100=1,OR(核心参数输入!$B$101=0,21-1&lt;=核心参数输入!$B$101)),MAX(0,X186-MAX(0,Y163-SUMIFS($X$185:$X$185,$B$185:$B$185,"&gt;="&amp;IF(核心参数输入!$B$101=0,0,21-核心参数输入!$B$101)))),0),0)</f>
        <v>0</v>
      </c>
      <c r="Z186" s="9">
        <f>IF(22&lt;=核心参数输入!$B$9,IF(AND(核心参数输入!$B$100=1,OR(核心参数输入!$B$101=0,22-1&lt;=核心参数输入!$B$101)),MAX(0,Y186-MAX(0,Z163-SUMIFS($Y$185:$Y$185,$B$185:$B$185,"&gt;="&amp;IF(核心参数输入!$B$101=0,0,22-核心参数输入!$B$101)))),0),0)</f>
        <v>0</v>
      </c>
      <c r="AA186" s="9">
        <f>IF(23&lt;=核心参数输入!$B$9,IF(AND(核心参数输入!$B$100=1,OR(核心参数输入!$B$101=0,23-1&lt;=核心参数输入!$B$101)),MAX(0,Z186-MAX(0,AA163-SUMIFS($Z$185:$Z$185,$B$185:$B$185,"&gt;="&amp;IF(核心参数输入!$B$101=0,0,23-核心参数输入!$B$101)))),0),0)</f>
        <v>0</v>
      </c>
      <c r="AB186" s="9">
        <f>IF(24&lt;=核心参数输入!$B$9,IF(AND(核心参数输入!$B$100=1,OR(核心参数输入!$B$101=0,24-1&lt;=核心参数输入!$B$101)),MAX(0,AA186-MAX(0,AB163-SUMIFS($AA$185:$AA$185,$B$185:$B$185,"&gt;="&amp;IF(核心参数输入!$B$101=0,0,24-核心参数输入!$B$101)))),0),0)</f>
        <v>0</v>
      </c>
      <c r="AC186" s="9">
        <f>IF(25&lt;=核心参数输入!$B$9,IF(AND(核心参数输入!$B$100=1,OR(核心参数输入!$B$101=0,25-1&lt;=核心参数输入!$B$101)),MAX(0,AB186-MAX(0,AC163-SUMIFS($AB$185:$AB$185,$B$185:$B$185,"&gt;="&amp;IF(核心参数输入!$B$101=0,0,25-核心参数输入!$B$101)))),0),0)</f>
        <v>0</v>
      </c>
      <c r="AD186" s="9">
        <f>IF(26&lt;=核心参数输入!$B$9,IF(AND(核心参数输入!$B$100=1,OR(核心参数输入!$B$101=0,26-1&lt;=核心参数输入!$B$101)),MAX(0,AC186-MAX(0,AD163-SUMIFS($AC$185:$AC$185,$B$185:$B$185,"&gt;="&amp;IF(核心参数输入!$B$101=0,0,26-核心参数输入!$B$101)))),0),0)</f>
        <v>0</v>
      </c>
      <c r="AE186" s="9">
        <f>IF(27&lt;=核心参数输入!$B$9,IF(AND(核心参数输入!$B$100=1,OR(核心参数输入!$B$101=0,27-1&lt;=核心参数输入!$B$101)),MAX(0,AD186-MAX(0,AE163-SUMIFS($AD$185:$AD$185,$B$185:$B$185,"&gt;="&amp;IF(核心参数输入!$B$101=0,0,27-核心参数输入!$B$101)))),0),0)</f>
        <v>0</v>
      </c>
      <c r="AF186" s="9">
        <f>IF(28&lt;=核心参数输入!$B$9,IF(AND(核心参数输入!$B$100=1,OR(核心参数输入!$B$101=0,28-1&lt;=核心参数输入!$B$101)),MAX(0,AE186-MAX(0,AF163-SUMIFS($AE$185:$AE$185,$B$185:$B$185,"&gt;="&amp;IF(核心参数输入!$B$101=0,0,28-核心参数输入!$B$101)))),0),0)</f>
        <v>0</v>
      </c>
      <c r="AG186" s="9">
        <f>IF(29&lt;=核心参数输入!$B$9,IF(AND(核心参数输入!$B$100=1,OR(核心参数输入!$B$101=0,29-1&lt;=核心参数输入!$B$101)),MAX(0,AF186-MAX(0,AG163-SUMIFS($AF$185:$AF$185,$B$185:$B$185,"&gt;="&amp;IF(核心参数输入!$B$101=0,0,29-核心参数输入!$B$101)))),0),0)</f>
        <v>0</v>
      </c>
      <c r="AH186" s="9">
        <f>IF(30&lt;=核心参数输入!$B$9,IF(AND(核心参数输入!$B$100=1,OR(核心参数输入!$B$101=0,30-1&lt;=核心参数输入!$B$101)),MAX(0,AG186-MAX(0,AH163-SUMIFS($AG$185:$AG$185,$B$185:$B$185,"&gt;="&amp;IF(核心参数输入!$B$101=0,0,30-核心参数输入!$B$101)))),0),0)</f>
        <v>0</v>
      </c>
    </row>
    <row r="187" spans="1:34" ht="21" customHeight="1">
      <c r="A187" s="8" t="s">
        <v>588</v>
      </c>
      <c r="B187" s="8">
        <v>2</v>
      </c>
      <c r="C187" s="8"/>
      <c r="D187" s="9">
        <f>IF(0&lt;=核心参数输入!$B$9,0,0)</f>
        <v>0</v>
      </c>
      <c r="E187" s="9">
        <f>IF(1&lt;=核心参数输入!$B$9,0,0)</f>
        <v>0</v>
      </c>
      <c r="F187" s="9">
        <f>IF(2&lt;=核心参数输入!$B$9,F166,0)</f>
        <v>0</v>
      </c>
      <c r="G187" s="9">
        <f>IF(3&lt;=核心参数输入!$B$9,IF(AND(核心参数输入!$B$100=1,OR(核心参数输入!$B$101=0,3-2&lt;=核心参数输入!$B$101)),MAX(0,F187-MAX(0,G163-SUMIFS($F$185:$F$186,$B$185:$B$186,"&gt;="&amp;IF(核心参数输入!$B$101=0,0,3-核心参数输入!$B$101)))),0),0)</f>
        <v>0</v>
      </c>
      <c r="H187" s="9">
        <f>IF(4&lt;=核心参数输入!$B$9,IF(AND(核心参数输入!$B$100=1,OR(核心参数输入!$B$101=0,4-2&lt;=核心参数输入!$B$101)),MAX(0,G187-MAX(0,H163-SUMIFS($G$185:$G$186,$B$185:$B$186,"&gt;="&amp;IF(核心参数输入!$B$101=0,0,4-核心参数输入!$B$101)))),0),0)</f>
        <v>0</v>
      </c>
      <c r="I187" s="9">
        <f>IF(5&lt;=核心参数输入!$B$9,IF(AND(核心参数输入!$B$100=1,OR(核心参数输入!$B$101=0,5-2&lt;=核心参数输入!$B$101)),MAX(0,H187-MAX(0,I163-SUMIFS($H$185:$H$186,$B$185:$B$186,"&gt;="&amp;IF(核心参数输入!$B$101=0,0,5-核心参数输入!$B$101)))),0),0)</f>
        <v>0</v>
      </c>
      <c r="J187" s="9">
        <f>IF(6&lt;=核心参数输入!$B$9,IF(AND(核心参数输入!$B$100=1,OR(核心参数输入!$B$101=0,6-2&lt;=核心参数输入!$B$101)),MAX(0,I187-MAX(0,J163-SUMIFS($I$185:$I$186,$B$185:$B$186,"&gt;="&amp;IF(核心参数输入!$B$101=0,0,6-核心参数输入!$B$101)))),0),0)</f>
        <v>0</v>
      </c>
      <c r="K187" s="9">
        <f>IF(7&lt;=核心参数输入!$B$9,IF(AND(核心参数输入!$B$100=1,OR(核心参数输入!$B$101=0,7-2&lt;=核心参数输入!$B$101)),MAX(0,J187-MAX(0,K163-SUMIFS($J$185:$J$186,$B$185:$B$186,"&gt;="&amp;IF(核心参数输入!$B$101=0,0,7-核心参数输入!$B$101)))),0),0)</f>
        <v>0</v>
      </c>
      <c r="L187" s="9">
        <f>IF(8&lt;=核心参数输入!$B$9,IF(AND(核心参数输入!$B$100=1,OR(核心参数输入!$B$101=0,8-2&lt;=核心参数输入!$B$101)),MAX(0,K187-MAX(0,L163-SUMIFS($K$185:$K$186,$B$185:$B$186,"&gt;="&amp;IF(核心参数输入!$B$101=0,0,8-核心参数输入!$B$101)))),0),0)</f>
        <v>0</v>
      </c>
      <c r="M187" s="9">
        <f>IF(9&lt;=核心参数输入!$B$9,IF(AND(核心参数输入!$B$100=1,OR(核心参数输入!$B$101=0,9-2&lt;=核心参数输入!$B$101)),MAX(0,L187-MAX(0,M163-SUMIFS($L$185:$L$186,$B$185:$B$186,"&gt;="&amp;IF(核心参数输入!$B$101=0,0,9-核心参数输入!$B$101)))),0),0)</f>
        <v>0</v>
      </c>
      <c r="N187" s="9">
        <f>IF(10&lt;=核心参数输入!$B$9,IF(AND(核心参数输入!$B$100=1,OR(核心参数输入!$B$101=0,10-2&lt;=核心参数输入!$B$101)),MAX(0,M187-MAX(0,N163-SUMIFS($M$185:$M$186,$B$185:$B$186,"&gt;="&amp;IF(核心参数输入!$B$101=0,0,10-核心参数输入!$B$101)))),0),0)</f>
        <v>0</v>
      </c>
      <c r="O187" s="9">
        <f>IF(11&lt;=核心参数输入!$B$9,IF(AND(核心参数输入!$B$100=1,OR(核心参数输入!$B$101=0,11-2&lt;=核心参数输入!$B$101)),MAX(0,N187-MAX(0,O163-SUMIFS($N$185:$N$186,$B$185:$B$186,"&gt;="&amp;IF(核心参数输入!$B$101=0,0,11-核心参数输入!$B$101)))),0),0)</f>
        <v>0</v>
      </c>
      <c r="P187" s="9">
        <f>IF(12&lt;=核心参数输入!$B$9,IF(AND(核心参数输入!$B$100=1,OR(核心参数输入!$B$101=0,12-2&lt;=核心参数输入!$B$101)),MAX(0,O187-MAX(0,P163-SUMIFS($O$185:$O$186,$B$185:$B$186,"&gt;="&amp;IF(核心参数输入!$B$101=0,0,12-核心参数输入!$B$101)))),0),0)</f>
        <v>0</v>
      </c>
      <c r="Q187" s="9">
        <f>IF(13&lt;=核心参数输入!$B$9,IF(AND(核心参数输入!$B$100=1,OR(核心参数输入!$B$101=0,13-2&lt;=核心参数输入!$B$101)),MAX(0,P187-MAX(0,Q163-SUMIFS($P$185:$P$186,$B$185:$B$186,"&gt;="&amp;IF(核心参数输入!$B$101=0,0,13-核心参数输入!$B$101)))),0),0)</f>
        <v>0</v>
      </c>
      <c r="R187" s="9">
        <f>IF(14&lt;=核心参数输入!$B$9,IF(AND(核心参数输入!$B$100=1,OR(核心参数输入!$B$101=0,14-2&lt;=核心参数输入!$B$101)),MAX(0,Q187-MAX(0,R163-SUMIFS($Q$185:$Q$186,$B$185:$B$186,"&gt;="&amp;IF(核心参数输入!$B$101=0,0,14-核心参数输入!$B$101)))),0),0)</f>
        <v>0</v>
      </c>
      <c r="S187" s="9">
        <f>IF(15&lt;=核心参数输入!$B$9,IF(AND(核心参数输入!$B$100=1,OR(核心参数输入!$B$101=0,15-2&lt;=核心参数输入!$B$101)),MAX(0,R187-MAX(0,S163-SUMIFS($R$185:$R$186,$B$185:$B$186,"&gt;="&amp;IF(核心参数输入!$B$101=0,0,15-核心参数输入!$B$101)))),0),0)</f>
        <v>0</v>
      </c>
      <c r="T187" s="9">
        <f>IF(16&lt;=核心参数输入!$B$9,IF(AND(核心参数输入!$B$100=1,OR(核心参数输入!$B$101=0,16-2&lt;=核心参数输入!$B$101)),MAX(0,S187-MAX(0,T163-SUMIFS($S$185:$S$186,$B$185:$B$186,"&gt;="&amp;IF(核心参数输入!$B$101=0,0,16-核心参数输入!$B$101)))),0),0)</f>
        <v>0</v>
      </c>
      <c r="U187" s="9">
        <f>IF(17&lt;=核心参数输入!$B$9,IF(AND(核心参数输入!$B$100=1,OR(核心参数输入!$B$101=0,17-2&lt;=核心参数输入!$B$101)),MAX(0,T187-MAX(0,U163-SUMIFS($T$185:$T$186,$B$185:$B$186,"&gt;="&amp;IF(核心参数输入!$B$101=0,0,17-核心参数输入!$B$101)))),0),0)</f>
        <v>0</v>
      </c>
      <c r="V187" s="9">
        <f>IF(18&lt;=核心参数输入!$B$9,IF(AND(核心参数输入!$B$100=1,OR(核心参数输入!$B$101=0,18-2&lt;=核心参数输入!$B$101)),MAX(0,U187-MAX(0,V163-SUMIFS($U$185:$U$186,$B$185:$B$186,"&gt;="&amp;IF(核心参数输入!$B$101=0,0,18-核心参数输入!$B$101)))),0),0)</f>
        <v>0</v>
      </c>
      <c r="W187" s="9">
        <f>IF(19&lt;=核心参数输入!$B$9,IF(AND(核心参数输入!$B$100=1,OR(核心参数输入!$B$101=0,19-2&lt;=核心参数输入!$B$101)),MAX(0,V187-MAX(0,W163-SUMIFS($V$185:$V$186,$B$185:$B$186,"&gt;="&amp;IF(核心参数输入!$B$101=0,0,19-核心参数输入!$B$101)))),0),0)</f>
        <v>0</v>
      </c>
      <c r="X187" s="9">
        <f>IF(20&lt;=核心参数输入!$B$9,IF(AND(核心参数输入!$B$100=1,OR(核心参数输入!$B$101=0,20-2&lt;=核心参数输入!$B$101)),MAX(0,W187-MAX(0,X163-SUMIFS($W$185:$W$186,$B$185:$B$186,"&gt;="&amp;IF(核心参数输入!$B$101=0,0,20-核心参数输入!$B$101)))),0),0)</f>
        <v>0</v>
      </c>
      <c r="Y187" s="9">
        <f>IF(21&lt;=核心参数输入!$B$9,IF(AND(核心参数输入!$B$100=1,OR(核心参数输入!$B$101=0,21-2&lt;=核心参数输入!$B$101)),MAX(0,X187-MAX(0,Y163-SUMIFS($X$185:$X$186,$B$185:$B$186,"&gt;="&amp;IF(核心参数输入!$B$101=0,0,21-核心参数输入!$B$101)))),0),0)</f>
        <v>0</v>
      </c>
      <c r="Z187" s="9">
        <f>IF(22&lt;=核心参数输入!$B$9,IF(AND(核心参数输入!$B$100=1,OR(核心参数输入!$B$101=0,22-2&lt;=核心参数输入!$B$101)),MAX(0,Y187-MAX(0,Z163-SUMIFS($Y$185:$Y$186,$B$185:$B$186,"&gt;="&amp;IF(核心参数输入!$B$101=0,0,22-核心参数输入!$B$101)))),0),0)</f>
        <v>0</v>
      </c>
      <c r="AA187" s="9">
        <f>IF(23&lt;=核心参数输入!$B$9,IF(AND(核心参数输入!$B$100=1,OR(核心参数输入!$B$101=0,23-2&lt;=核心参数输入!$B$101)),MAX(0,Z187-MAX(0,AA163-SUMIFS($Z$185:$Z$186,$B$185:$B$186,"&gt;="&amp;IF(核心参数输入!$B$101=0,0,23-核心参数输入!$B$101)))),0),0)</f>
        <v>0</v>
      </c>
      <c r="AB187" s="9">
        <f>IF(24&lt;=核心参数输入!$B$9,IF(AND(核心参数输入!$B$100=1,OR(核心参数输入!$B$101=0,24-2&lt;=核心参数输入!$B$101)),MAX(0,AA187-MAX(0,AB163-SUMIFS($AA$185:$AA$186,$B$185:$B$186,"&gt;="&amp;IF(核心参数输入!$B$101=0,0,24-核心参数输入!$B$101)))),0),0)</f>
        <v>0</v>
      </c>
      <c r="AC187" s="9">
        <f>IF(25&lt;=核心参数输入!$B$9,IF(AND(核心参数输入!$B$100=1,OR(核心参数输入!$B$101=0,25-2&lt;=核心参数输入!$B$101)),MAX(0,AB187-MAX(0,AC163-SUMIFS($AB$185:$AB$186,$B$185:$B$186,"&gt;="&amp;IF(核心参数输入!$B$101=0,0,25-核心参数输入!$B$101)))),0),0)</f>
        <v>0</v>
      </c>
      <c r="AD187" s="9">
        <f>IF(26&lt;=核心参数输入!$B$9,IF(AND(核心参数输入!$B$100=1,OR(核心参数输入!$B$101=0,26-2&lt;=核心参数输入!$B$101)),MAX(0,AC187-MAX(0,AD163-SUMIFS($AC$185:$AC$186,$B$185:$B$186,"&gt;="&amp;IF(核心参数输入!$B$101=0,0,26-核心参数输入!$B$101)))),0),0)</f>
        <v>0</v>
      </c>
      <c r="AE187" s="9">
        <f>IF(27&lt;=核心参数输入!$B$9,IF(AND(核心参数输入!$B$100=1,OR(核心参数输入!$B$101=0,27-2&lt;=核心参数输入!$B$101)),MAX(0,AD187-MAX(0,AE163-SUMIFS($AD$185:$AD$186,$B$185:$B$186,"&gt;="&amp;IF(核心参数输入!$B$101=0,0,27-核心参数输入!$B$101)))),0),0)</f>
        <v>0</v>
      </c>
      <c r="AF187" s="9">
        <f>IF(28&lt;=核心参数输入!$B$9,IF(AND(核心参数输入!$B$100=1,OR(核心参数输入!$B$101=0,28-2&lt;=核心参数输入!$B$101)),MAX(0,AE187-MAX(0,AF163-SUMIFS($AE$185:$AE$186,$B$185:$B$186,"&gt;="&amp;IF(核心参数输入!$B$101=0,0,28-核心参数输入!$B$101)))),0),0)</f>
        <v>0</v>
      </c>
      <c r="AG187" s="9">
        <f>IF(29&lt;=核心参数输入!$B$9,IF(AND(核心参数输入!$B$100=1,OR(核心参数输入!$B$101=0,29-2&lt;=核心参数输入!$B$101)),MAX(0,AF187-MAX(0,AG163-SUMIFS($AF$185:$AF$186,$B$185:$B$186,"&gt;="&amp;IF(核心参数输入!$B$101=0,0,29-核心参数输入!$B$101)))),0),0)</f>
        <v>0</v>
      </c>
      <c r="AH187" s="9">
        <f>IF(30&lt;=核心参数输入!$B$9,IF(AND(核心参数输入!$B$100=1,OR(核心参数输入!$B$101=0,30-2&lt;=核心参数输入!$B$101)),MAX(0,AG187-MAX(0,AH163-SUMIFS($AG$185:$AG$186,$B$185:$B$186,"&gt;="&amp;IF(核心参数输入!$B$101=0,0,30-核心参数输入!$B$101)))),0),0)</f>
        <v>0</v>
      </c>
    </row>
    <row r="188" spans="1:34" ht="21" customHeight="1">
      <c r="A188" s="8" t="s">
        <v>589</v>
      </c>
      <c r="B188" s="8">
        <v>3</v>
      </c>
      <c r="C188" s="8"/>
      <c r="D188" s="9">
        <f>IF(0&lt;=核心参数输入!$B$9,0,0)</f>
        <v>0</v>
      </c>
      <c r="E188" s="9">
        <f>IF(1&lt;=核心参数输入!$B$9,0,0)</f>
        <v>0</v>
      </c>
      <c r="F188" s="9">
        <f>IF(2&lt;=核心参数输入!$B$9,0,0)</f>
        <v>0</v>
      </c>
      <c r="G188" s="9">
        <f>IF(3&lt;=核心参数输入!$B$9,G166,0)</f>
        <v>0</v>
      </c>
      <c r="H188" s="9">
        <f>IF(4&lt;=核心参数输入!$B$9,IF(AND(核心参数输入!$B$100=1,OR(核心参数输入!$B$101=0,4-3&lt;=核心参数输入!$B$101)),MAX(0,G188-MAX(0,H163-SUMIFS($G$185:$G$187,$B$185:$B$187,"&gt;="&amp;IF(核心参数输入!$B$101=0,0,4-核心参数输入!$B$101)))),0),0)</f>
        <v>0</v>
      </c>
      <c r="I188" s="9">
        <f>IF(5&lt;=核心参数输入!$B$9,IF(AND(核心参数输入!$B$100=1,OR(核心参数输入!$B$101=0,5-3&lt;=核心参数输入!$B$101)),MAX(0,H188-MAX(0,I163-SUMIFS($H$185:$H$187,$B$185:$B$187,"&gt;="&amp;IF(核心参数输入!$B$101=0,0,5-核心参数输入!$B$101)))),0),0)</f>
        <v>0</v>
      </c>
      <c r="J188" s="9">
        <f>IF(6&lt;=核心参数输入!$B$9,IF(AND(核心参数输入!$B$100=1,OR(核心参数输入!$B$101=0,6-3&lt;=核心参数输入!$B$101)),MAX(0,I188-MAX(0,J163-SUMIFS($I$185:$I$187,$B$185:$B$187,"&gt;="&amp;IF(核心参数输入!$B$101=0,0,6-核心参数输入!$B$101)))),0),0)</f>
        <v>0</v>
      </c>
      <c r="K188" s="9">
        <f>IF(7&lt;=核心参数输入!$B$9,IF(AND(核心参数输入!$B$100=1,OR(核心参数输入!$B$101=0,7-3&lt;=核心参数输入!$B$101)),MAX(0,J188-MAX(0,K163-SUMIFS($J$185:$J$187,$B$185:$B$187,"&gt;="&amp;IF(核心参数输入!$B$101=0,0,7-核心参数输入!$B$101)))),0),0)</f>
        <v>0</v>
      </c>
      <c r="L188" s="9">
        <f>IF(8&lt;=核心参数输入!$B$9,IF(AND(核心参数输入!$B$100=1,OR(核心参数输入!$B$101=0,8-3&lt;=核心参数输入!$B$101)),MAX(0,K188-MAX(0,L163-SUMIFS($K$185:$K$187,$B$185:$B$187,"&gt;="&amp;IF(核心参数输入!$B$101=0,0,8-核心参数输入!$B$101)))),0),0)</f>
        <v>0</v>
      </c>
      <c r="M188" s="9">
        <f>IF(9&lt;=核心参数输入!$B$9,IF(AND(核心参数输入!$B$100=1,OR(核心参数输入!$B$101=0,9-3&lt;=核心参数输入!$B$101)),MAX(0,L188-MAX(0,M163-SUMIFS($L$185:$L$187,$B$185:$B$187,"&gt;="&amp;IF(核心参数输入!$B$101=0,0,9-核心参数输入!$B$101)))),0),0)</f>
        <v>0</v>
      </c>
      <c r="N188" s="9">
        <f>IF(10&lt;=核心参数输入!$B$9,IF(AND(核心参数输入!$B$100=1,OR(核心参数输入!$B$101=0,10-3&lt;=核心参数输入!$B$101)),MAX(0,M188-MAX(0,N163-SUMIFS($M$185:$M$187,$B$185:$B$187,"&gt;="&amp;IF(核心参数输入!$B$101=0,0,10-核心参数输入!$B$101)))),0),0)</f>
        <v>0</v>
      </c>
      <c r="O188" s="9">
        <f>IF(11&lt;=核心参数输入!$B$9,IF(AND(核心参数输入!$B$100=1,OR(核心参数输入!$B$101=0,11-3&lt;=核心参数输入!$B$101)),MAX(0,N188-MAX(0,O163-SUMIFS($N$185:$N$187,$B$185:$B$187,"&gt;="&amp;IF(核心参数输入!$B$101=0,0,11-核心参数输入!$B$101)))),0),0)</f>
        <v>0</v>
      </c>
      <c r="P188" s="9">
        <f>IF(12&lt;=核心参数输入!$B$9,IF(AND(核心参数输入!$B$100=1,OR(核心参数输入!$B$101=0,12-3&lt;=核心参数输入!$B$101)),MAX(0,O188-MAX(0,P163-SUMIFS($O$185:$O$187,$B$185:$B$187,"&gt;="&amp;IF(核心参数输入!$B$101=0,0,12-核心参数输入!$B$101)))),0),0)</f>
        <v>0</v>
      </c>
      <c r="Q188" s="9">
        <f>IF(13&lt;=核心参数输入!$B$9,IF(AND(核心参数输入!$B$100=1,OR(核心参数输入!$B$101=0,13-3&lt;=核心参数输入!$B$101)),MAX(0,P188-MAX(0,Q163-SUMIFS($P$185:$P$187,$B$185:$B$187,"&gt;="&amp;IF(核心参数输入!$B$101=0,0,13-核心参数输入!$B$101)))),0),0)</f>
        <v>0</v>
      </c>
      <c r="R188" s="9">
        <f>IF(14&lt;=核心参数输入!$B$9,IF(AND(核心参数输入!$B$100=1,OR(核心参数输入!$B$101=0,14-3&lt;=核心参数输入!$B$101)),MAX(0,Q188-MAX(0,R163-SUMIFS($Q$185:$Q$187,$B$185:$B$187,"&gt;="&amp;IF(核心参数输入!$B$101=0,0,14-核心参数输入!$B$101)))),0),0)</f>
        <v>0</v>
      </c>
      <c r="S188" s="9">
        <f>IF(15&lt;=核心参数输入!$B$9,IF(AND(核心参数输入!$B$100=1,OR(核心参数输入!$B$101=0,15-3&lt;=核心参数输入!$B$101)),MAX(0,R188-MAX(0,S163-SUMIFS($R$185:$R$187,$B$185:$B$187,"&gt;="&amp;IF(核心参数输入!$B$101=0,0,15-核心参数输入!$B$101)))),0),0)</f>
        <v>0</v>
      </c>
      <c r="T188" s="9">
        <f>IF(16&lt;=核心参数输入!$B$9,IF(AND(核心参数输入!$B$100=1,OR(核心参数输入!$B$101=0,16-3&lt;=核心参数输入!$B$101)),MAX(0,S188-MAX(0,T163-SUMIFS($S$185:$S$187,$B$185:$B$187,"&gt;="&amp;IF(核心参数输入!$B$101=0,0,16-核心参数输入!$B$101)))),0),0)</f>
        <v>0</v>
      </c>
      <c r="U188" s="9">
        <f>IF(17&lt;=核心参数输入!$B$9,IF(AND(核心参数输入!$B$100=1,OR(核心参数输入!$B$101=0,17-3&lt;=核心参数输入!$B$101)),MAX(0,T188-MAX(0,U163-SUMIFS($T$185:$T$187,$B$185:$B$187,"&gt;="&amp;IF(核心参数输入!$B$101=0,0,17-核心参数输入!$B$101)))),0),0)</f>
        <v>0</v>
      </c>
      <c r="V188" s="9">
        <f>IF(18&lt;=核心参数输入!$B$9,IF(AND(核心参数输入!$B$100=1,OR(核心参数输入!$B$101=0,18-3&lt;=核心参数输入!$B$101)),MAX(0,U188-MAX(0,V163-SUMIFS($U$185:$U$187,$B$185:$B$187,"&gt;="&amp;IF(核心参数输入!$B$101=0,0,18-核心参数输入!$B$101)))),0),0)</f>
        <v>0</v>
      </c>
      <c r="W188" s="9">
        <f>IF(19&lt;=核心参数输入!$B$9,IF(AND(核心参数输入!$B$100=1,OR(核心参数输入!$B$101=0,19-3&lt;=核心参数输入!$B$101)),MAX(0,V188-MAX(0,W163-SUMIFS($V$185:$V$187,$B$185:$B$187,"&gt;="&amp;IF(核心参数输入!$B$101=0,0,19-核心参数输入!$B$101)))),0),0)</f>
        <v>0</v>
      </c>
      <c r="X188" s="9">
        <f>IF(20&lt;=核心参数输入!$B$9,IF(AND(核心参数输入!$B$100=1,OR(核心参数输入!$B$101=0,20-3&lt;=核心参数输入!$B$101)),MAX(0,W188-MAX(0,X163-SUMIFS($W$185:$W$187,$B$185:$B$187,"&gt;="&amp;IF(核心参数输入!$B$101=0,0,20-核心参数输入!$B$101)))),0),0)</f>
        <v>0</v>
      </c>
      <c r="Y188" s="9">
        <f>IF(21&lt;=核心参数输入!$B$9,IF(AND(核心参数输入!$B$100=1,OR(核心参数输入!$B$101=0,21-3&lt;=核心参数输入!$B$101)),MAX(0,X188-MAX(0,Y163-SUMIFS($X$185:$X$187,$B$185:$B$187,"&gt;="&amp;IF(核心参数输入!$B$101=0,0,21-核心参数输入!$B$101)))),0),0)</f>
        <v>0</v>
      </c>
      <c r="Z188" s="9">
        <f>IF(22&lt;=核心参数输入!$B$9,IF(AND(核心参数输入!$B$100=1,OR(核心参数输入!$B$101=0,22-3&lt;=核心参数输入!$B$101)),MAX(0,Y188-MAX(0,Z163-SUMIFS($Y$185:$Y$187,$B$185:$B$187,"&gt;="&amp;IF(核心参数输入!$B$101=0,0,22-核心参数输入!$B$101)))),0),0)</f>
        <v>0</v>
      </c>
      <c r="AA188" s="9">
        <f>IF(23&lt;=核心参数输入!$B$9,IF(AND(核心参数输入!$B$100=1,OR(核心参数输入!$B$101=0,23-3&lt;=核心参数输入!$B$101)),MAX(0,Z188-MAX(0,AA163-SUMIFS($Z$185:$Z$187,$B$185:$B$187,"&gt;="&amp;IF(核心参数输入!$B$101=0,0,23-核心参数输入!$B$101)))),0),0)</f>
        <v>0</v>
      </c>
      <c r="AB188" s="9">
        <f>IF(24&lt;=核心参数输入!$B$9,IF(AND(核心参数输入!$B$100=1,OR(核心参数输入!$B$101=0,24-3&lt;=核心参数输入!$B$101)),MAX(0,AA188-MAX(0,AB163-SUMIFS($AA$185:$AA$187,$B$185:$B$187,"&gt;="&amp;IF(核心参数输入!$B$101=0,0,24-核心参数输入!$B$101)))),0),0)</f>
        <v>0</v>
      </c>
      <c r="AC188" s="9">
        <f>IF(25&lt;=核心参数输入!$B$9,IF(AND(核心参数输入!$B$100=1,OR(核心参数输入!$B$101=0,25-3&lt;=核心参数输入!$B$101)),MAX(0,AB188-MAX(0,AC163-SUMIFS($AB$185:$AB$187,$B$185:$B$187,"&gt;="&amp;IF(核心参数输入!$B$101=0,0,25-核心参数输入!$B$101)))),0),0)</f>
        <v>0</v>
      </c>
      <c r="AD188" s="9">
        <f>IF(26&lt;=核心参数输入!$B$9,IF(AND(核心参数输入!$B$100=1,OR(核心参数输入!$B$101=0,26-3&lt;=核心参数输入!$B$101)),MAX(0,AC188-MAX(0,AD163-SUMIFS($AC$185:$AC$187,$B$185:$B$187,"&gt;="&amp;IF(核心参数输入!$B$101=0,0,26-核心参数输入!$B$101)))),0),0)</f>
        <v>0</v>
      </c>
      <c r="AE188" s="9">
        <f>IF(27&lt;=核心参数输入!$B$9,IF(AND(核心参数输入!$B$100=1,OR(核心参数输入!$B$101=0,27-3&lt;=核心参数输入!$B$101)),MAX(0,AD188-MAX(0,AE163-SUMIFS($AD$185:$AD$187,$B$185:$B$187,"&gt;="&amp;IF(核心参数输入!$B$101=0,0,27-核心参数输入!$B$101)))),0),0)</f>
        <v>0</v>
      </c>
      <c r="AF188" s="9">
        <f>IF(28&lt;=核心参数输入!$B$9,IF(AND(核心参数输入!$B$100=1,OR(核心参数输入!$B$101=0,28-3&lt;=核心参数输入!$B$101)),MAX(0,AE188-MAX(0,AF163-SUMIFS($AE$185:$AE$187,$B$185:$B$187,"&gt;="&amp;IF(核心参数输入!$B$101=0,0,28-核心参数输入!$B$101)))),0),0)</f>
        <v>0</v>
      </c>
      <c r="AG188" s="9">
        <f>IF(29&lt;=核心参数输入!$B$9,IF(AND(核心参数输入!$B$100=1,OR(核心参数输入!$B$101=0,29-3&lt;=核心参数输入!$B$101)),MAX(0,AF188-MAX(0,AG163-SUMIFS($AF$185:$AF$187,$B$185:$B$187,"&gt;="&amp;IF(核心参数输入!$B$101=0,0,29-核心参数输入!$B$101)))),0),0)</f>
        <v>0</v>
      </c>
      <c r="AH188" s="9">
        <f>IF(30&lt;=核心参数输入!$B$9,IF(AND(核心参数输入!$B$100=1,OR(核心参数输入!$B$101=0,30-3&lt;=核心参数输入!$B$101)),MAX(0,AG188-MAX(0,AH163-SUMIFS($AG$185:$AG$187,$B$185:$B$187,"&gt;="&amp;IF(核心参数输入!$B$101=0,0,30-核心参数输入!$B$101)))),0),0)</f>
        <v>0</v>
      </c>
    </row>
    <row r="189" spans="1:34" ht="21" customHeight="1">
      <c r="A189" s="8" t="s">
        <v>590</v>
      </c>
      <c r="B189" s="8">
        <v>4</v>
      </c>
      <c r="C189" s="8"/>
      <c r="D189" s="9">
        <f>IF(0&lt;=核心参数输入!$B$9,0,0)</f>
        <v>0</v>
      </c>
      <c r="E189" s="9">
        <f>IF(1&lt;=核心参数输入!$B$9,0,0)</f>
        <v>0</v>
      </c>
      <c r="F189" s="9">
        <f>IF(2&lt;=核心参数输入!$B$9,0,0)</f>
        <v>0</v>
      </c>
      <c r="G189" s="9">
        <f>IF(3&lt;=核心参数输入!$B$9,0,0)</f>
        <v>0</v>
      </c>
      <c r="H189" s="9">
        <f>IF(4&lt;=核心参数输入!$B$9,H166,0)</f>
        <v>482.16897913500134</v>
      </c>
      <c r="I189" s="9">
        <f>IF(5&lt;=核心参数输入!$B$9,IF(AND(核心参数输入!$B$100=1,OR(核心参数输入!$B$101=0,5-4&lt;=核心参数输入!$B$101)),MAX(0,H189-MAX(0,I163-SUMIFS($H$185:$H$188,$B$185:$B$188,"&gt;="&amp;IF(核心参数输入!$B$101=0,0,5-核心参数输入!$B$101)))),0),0)</f>
        <v>238.77298299549034</v>
      </c>
      <c r="J189" s="9">
        <f>IF(6&lt;=核心参数输入!$B$9,IF(AND(核心参数输入!$B$100=1,OR(核心参数输入!$B$101=0,6-4&lt;=核心参数输入!$B$101)),MAX(0,I189-MAX(0,J163-SUMIFS($I$185:$I$188,$B$185:$B$188,"&gt;="&amp;IF(核心参数输入!$B$101=0,0,6-核心参数输入!$B$101)))),0),0)</f>
        <v>0</v>
      </c>
      <c r="K189" s="9">
        <f>IF(7&lt;=核心参数输入!$B$9,IF(AND(核心参数输入!$B$100=1,OR(核心参数输入!$B$101=0,7-4&lt;=核心参数输入!$B$101)),MAX(0,J189-MAX(0,K163-SUMIFS($J$185:$J$188,$B$185:$B$188,"&gt;="&amp;IF(核心参数输入!$B$101=0,0,7-核心参数输入!$B$101)))),0),0)</f>
        <v>0</v>
      </c>
      <c r="L189" s="9">
        <f>IF(8&lt;=核心参数输入!$B$9,IF(AND(核心参数输入!$B$100=1,OR(核心参数输入!$B$101=0,8-4&lt;=核心参数输入!$B$101)),MAX(0,K189-MAX(0,L163-SUMIFS($K$185:$K$188,$B$185:$B$188,"&gt;="&amp;IF(核心参数输入!$B$101=0,0,8-核心参数输入!$B$101)))),0),0)</f>
        <v>0</v>
      </c>
      <c r="M189" s="9">
        <f>IF(9&lt;=核心参数输入!$B$9,IF(AND(核心参数输入!$B$100=1,OR(核心参数输入!$B$101=0,9-4&lt;=核心参数输入!$B$101)),MAX(0,L189-MAX(0,M163-SUMIFS($L$185:$L$188,$B$185:$B$188,"&gt;="&amp;IF(核心参数输入!$B$101=0,0,9-核心参数输入!$B$101)))),0),0)</f>
        <v>0</v>
      </c>
      <c r="N189" s="9">
        <f>IF(10&lt;=核心参数输入!$B$9,IF(AND(核心参数输入!$B$100=1,OR(核心参数输入!$B$101=0,10-4&lt;=核心参数输入!$B$101)),MAX(0,M189-MAX(0,N163-SUMIFS($M$185:$M$188,$B$185:$B$188,"&gt;="&amp;IF(核心参数输入!$B$101=0,0,10-核心参数输入!$B$101)))),0),0)</f>
        <v>0</v>
      </c>
      <c r="O189" s="9">
        <f>IF(11&lt;=核心参数输入!$B$9,IF(AND(核心参数输入!$B$100=1,OR(核心参数输入!$B$101=0,11-4&lt;=核心参数输入!$B$101)),MAX(0,N189-MAX(0,O163-SUMIFS($N$185:$N$188,$B$185:$B$188,"&gt;="&amp;IF(核心参数输入!$B$101=0,0,11-核心参数输入!$B$101)))),0),0)</f>
        <v>0</v>
      </c>
      <c r="P189" s="9">
        <f>IF(12&lt;=核心参数输入!$B$9,IF(AND(核心参数输入!$B$100=1,OR(核心参数输入!$B$101=0,12-4&lt;=核心参数输入!$B$101)),MAX(0,O189-MAX(0,P163-SUMIFS($O$185:$O$188,$B$185:$B$188,"&gt;="&amp;IF(核心参数输入!$B$101=0,0,12-核心参数输入!$B$101)))),0),0)</f>
        <v>0</v>
      </c>
      <c r="Q189" s="9">
        <f>IF(13&lt;=核心参数输入!$B$9,IF(AND(核心参数输入!$B$100=1,OR(核心参数输入!$B$101=0,13-4&lt;=核心参数输入!$B$101)),MAX(0,P189-MAX(0,Q163-SUMIFS($P$185:$P$188,$B$185:$B$188,"&gt;="&amp;IF(核心参数输入!$B$101=0,0,13-核心参数输入!$B$101)))),0),0)</f>
        <v>0</v>
      </c>
      <c r="R189" s="9">
        <f>IF(14&lt;=核心参数输入!$B$9,IF(AND(核心参数输入!$B$100=1,OR(核心参数输入!$B$101=0,14-4&lt;=核心参数输入!$B$101)),MAX(0,Q189-MAX(0,R163-SUMIFS($Q$185:$Q$188,$B$185:$B$188,"&gt;="&amp;IF(核心参数输入!$B$101=0,0,14-核心参数输入!$B$101)))),0),0)</f>
        <v>0</v>
      </c>
      <c r="S189" s="9">
        <f>IF(15&lt;=核心参数输入!$B$9,IF(AND(核心参数输入!$B$100=1,OR(核心参数输入!$B$101=0,15-4&lt;=核心参数输入!$B$101)),MAX(0,R189-MAX(0,S163-SUMIFS($R$185:$R$188,$B$185:$B$188,"&gt;="&amp;IF(核心参数输入!$B$101=0,0,15-核心参数输入!$B$101)))),0),0)</f>
        <v>0</v>
      </c>
      <c r="T189" s="9">
        <f>IF(16&lt;=核心参数输入!$B$9,IF(AND(核心参数输入!$B$100=1,OR(核心参数输入!$B$101=0,16-4&lt;=核心参数输入!$B$101)),MAX(0,S189-MAX(0,T163-SUMIFS($S$185:$S$188,$B$185:$B$188,"&gt;="&amp;IF(核心参数输入!$B$101=0,0,16-核心参数输入!$B$101)))),0),0)</f>
        <v>0</v>
      </c>
      <c r="U189" s="9">
        <f>IF(17&lt;=核心参数输入!$B$9,IF(AND(核心参数输入!$B$100=1,OR(核心参数输入!$B$101=0,17-4&lt;=核心参数输入!$B$101)),MAX(0,T189-MAX(0,U163-SUMIFS($T$185:$T$188,$B$185:$B$188,"&gt;="&amp;IF(核心参数输入!$B$101=0,0,17-核心参数输入!$B$101)))),0),0)</f>
        <v>0</v>
      </c>
      <c r="V189" s="9">
        <f>IF(18&lt;=核心参数输入!$B$9,IF(AND(核心参数输入!$B$100=1,OR(核心参数输入!$B$101=0,18-4&lt;=核心参数输入!$B$101)),MAX(0,U189-MAX(0,V163-SUMIFS($U$185:$U$188,$B$185:$B$188,"&gt;="&amp;IF(核心参数输入!$B$101=0,0,18-核心参数输入!$B$101)))),0),0)</f>
        <v>0</v>
      </c>
      <c r="W189" s="9">
        <f>IF(19&lt;=核心参数输入!$B$9,IF(AND(核心参数输入!$B$100=1,OR(核心参数输入!$B$101=0,19-4&lt;=核心参数输入!$B$101)),MAX(0,V189-MAX(0,W163-SUMIFS($V$185:$V$188,$B$185:$B$188,"&gt;="&amp;IF(核心参数输入!$B$101=0,0,19-核心参数输入!$B$101)))),0),0)</f>
        <v>0</v>
      </c>
      <c r="X189" s="9">
        <f>IF(20&lt;=核心参数输入!$B$9,IF(AND(核心参数输入!$B$100=1,OR(核心参数输入!$B$101=0,20-4&lt;=核心参数输入!$B$101)),MAX(0,W189-MAX(0,X163-SUMIFS($W$185:$W$188,$B$185:$B$188,"&gt;="&amp;IF(核心参数输入!$B$101=0,0,20-核心参数输入!$B$101)))),0),0)</f>
        <v>0</v>
      </c>
      <c r="Y189" s="9">
        <f>IF(21&lt;=核心参数输入!$B$9,IF(AND(核心参数输入!$B$100=1,OR(核心参数输入!$B$101=0,21-4&lt;=核心参数输入!$B$101)),MAX(0,X189-MAX(0,Y163-SUMIFS($X$185:$X$188,$B$185:$B$188,"&gt;="&amp;IF(核心参数输入!$B$101=0,0,21-核心参数输入!$B$101)))),0),0)</f>
        <v>0</v>
      </c>
      <c r="Z189" s="9">
        <f>IF(22&lt;=核心参数输入!$B$9,IF(AND(核心参数输入!$B$100=1,OR(核心参数输入!$B$101=0,22-4&lt;=核心参数输入!$B$101)),MAX(0,Y189-MAX(0,Z163-SUMIFS($Y$185:$Y$188,$B$185:$B$188,"&gt;="&amp;IF(核心参数输入!$B$101=0,0,22-核心参数输入!$B$101)))),0),0)</f>
        <v>0</v>
      </c>
      <c r="AA189" s="9">
        <f>IF(23&lt;=核心参数输入!$B$9,IF(AND(核心参数输入!$B$100=1,OR(核心参数输入!$B$101=0,23-4&lt;=核心参数输入!$B$101)),MAX(0,Z189-MAX(0,AA163-SUMIFS($Z$185:$Z$188,$B$185:$B$188,"&gt;="&amp;IF(核心参数输入!$B$101=0,0,23-核心参数输入!$B$101)))),0),0)</f>
        <v>0</v>
      </c>
      <c r="AB189" s="9">
        <f>IF(24&lt;=核心参数输入!$B$9,IF(AND(核心参数输入!$B$100=1,OR(核心参数输入!$B$101=0,24-4&lt;=核心参数输入!$B$101)),MAX(0,AA189-MAX(0,AB163-SUMIFS($AA$185:$AA$188,$B$185:$B$188,"&gt;="&amp;IF(核心参数输入!$B$101=0,0,24-核心参数输入!$B$101)))),0),0)</f>
        <v>0</v>
      </c>
      <c r="AC189" s="9">
        <f>IF(25&lt;=核心参数输入!$B$9,IF(AND(核心参数输入!$B$100=1,OR(核心参数输入!$B$101=0,25-4&lt;=核心参数输入!$B$101)),MAX(0,AB189-MAX(0,AC163-SUMIFS($AB$185:$AB$188,$B$185:$B$188,"&gt;="&amp;IF(核心参数输入!$B$101=0,0,25-核心参数输入!$B$101)))),0),0)</f>
        <v>0</v>
      </c>
      <c r="AD189" s="9">
        <f>IF(26&lt;=核心参数输入!$B$9,IF(AND(核心参数输入!$B$100=1,OR(核心参数输入!$B$101=0,26-4&lt;=核心参数输入!$B$101)),MAX(0,AC189-MAX(0,AD163-SUMIFS($AC$185:$AC$188,$B$185:$B$188,"&gt;="&amp;IF(核心参数输入!$B$101=0,0,26-核心参数输入!$B$101)))),0),0)</f>
        <v>0</v>
      </c>
      <c r="AE189" s="9">
        <f>IF(27&lt;=核心参数输入!$B$9,IF(AND(核心参数输入!$B$100=1,OR(核心参数输入!$B$101=0,27-4&lt;=核心参数输入!$B$101)),MAX(0,AD189-MAX(0,AE163-SUMIFS($AD$185:$AD$188,$B$185:$B$188,"&gt;="&amp;IF(核心参数输入!$B$101=0,0,27-核心参数输入!$B$101)))),0),0)</f>
        <v>0</v>
      </c>
      <c r="AF189" s="9">
        <f>IF(28&lt;=核心参数输入!$B$9,IF(AND(核心参数输入!$B$100=1,OR(核心参数输入!$B$101=0,28-4&lt;=核心参数输入!$B$101)),MAX(0,AE189-MAX(0,AF163-SUMIFS($AE$185:$AE$188,$B$185:$B$188,"&gt;="&amp;IF(核心参数输入!$B$101=0,0,28-核心参数输入!$B$101)))),0),0)</f>
        <v>0</v>
      </c>
      <c r="AG189" s="9">
        <f>IF(29&lt;=核心参数输入!$B$9,IF(AND(核心参数输入!$B$100=1,OR(核心参数输入!$B$101=0,29-4&lt;=核心参数输入!$B$101)),MAX(0,AF189-MAX(0,AG163-SUMIFS($AF$185:$AF$188,$B$185:$B$188,"&gt;="&amp;IF(核心参数输入!$B$101=0,0,29-核心参数输入!$B$101)))),0),0)</f>
        <v>0</v>
      </c>
      <c r="AH189" s="9">
        <f>IF(30&lt;=核心参数输入!$B$9,IF(AND(核心参数输入!$B$100=1,OR(核心参数输入!$B$101=0,30-4&lt;=核心参数输入!$B$101)),MAX(0,AG189-MAX(0,AH163-SUMIFS($AG$185:$AG$188,$B$185:$B$188,"&gt;="&amp;IF(核心参数输入!$B$101=0,0,30-核心参数输入!$B$101)))),0),0)</f>
        <v>0</v>
      </c>
    </row>
    <row r="190" spans="1:34" ht="21" customHeight="1">
      <c r="A190" s="8" t="s">
        <v>591</v>
      </c>
      <c r="B190" s="8">
        <v>5</v>
      </c>
      <c r="C190" s="8"/>
      <c r="D190" s="9">
        <f>IF(0&lt;=核心参数输入!$B$9,0,0)</f>
        <v>0</v>
      </c>
      <c r="E190" s="9">
        <f>IF(1&lt;=核心参数输入!$B$9,0,0)</f>
        <v>0</v>
      </c>
      <c r="F190" s="9">
        <f>IF(2&lt;=核心参数输入!$B$9,0,0)</f>
        <v>0</v>
      </c>
      <c r="G190" s="9">
        <f>IF(3&lt;=核心参数输入!$B$9,0,0)</f>
        <v>0</v>
      </c>
      <c r="H190" s="9">
        <f>IF(4&lt;=核心参数输入!$B$9,0,0)</f>
        <v>0</v>
      </c>
      <c r="I190" s="9">
        <f>IF(5&lt;=核心参数输入!$B$9,I166,0)</f>
        <v>0</v>
      </c>
      <c r="J190" s="9">
        <f>IF(6&lt;=核心参数输入!$B$9,IF(AND(核心参数输入!$B$100=1,OR(核心参数输入!$B$101=0,6-5&lt;=核心参数输入!$B$101)),MAX(0,I190-MAX(0,J163-SUMIFS($I$185:$I$189,$B$185:$B$189,"&gt;="&amp;IF(核心参数输入!$B$101=0,0,6-核心参数输入!$B$101)))),0),0)</f>
        <v>0</v>
      </c>
      <c r="K190" s="9">
        <f>IF(7&lt;=核心参数输入!$B$9,IF(AND(核心参数输入!$B$100=1,OR(核心参数输入!$B$101=0,7-5&lt;=核心参数输入!$B$101)),MAX(0,J190-MAX(0,K163-SUMIFS($J$185:$J$189,$B$185:$B$189,"&gt;="&amp;IF(核心参数输入!$B$101=0,0,7-核心参数输入!$B$101)))),0),0)</f>
        <v>0</v>
      </c>
      <c r="L190" s="9">
        <f>IF(8&lt;=核心参数输入!$B$9,IF(AND(核心参数输入!$B$100=1,OR(核心参数输入!$B$101=0,8-5&lt;=核心参数输入!$B$101)),MAX(0,K190-MAX(0,L163-SUMIFS($K$185:$K$189,$B$185:$B$189,"&gt;="&amp;IF(核心参数输入!$B$101=0,0,8-核心参数输入!$B$101)))),0),0)</f>
        <v>0</v>
      </c>
      <c r="M190" s="9">
        <f>IF(9&lt;=核心参数输入!$B$9,IF(AND(核心参数输入!$B$100=1,OR(核心参数输入!$B$101=0,9-5&lt;=核心参数输入!$B$101)),MAX(0,L190-MAX(0,M163-SUMIFS($L$185:$L$189,$B$185:$B$189,"&gt;="&amp;IF(核心参数输入!$B$101=0,0,9-核心参数输入!$B$101)))),0),0)</f>
        <v>0</v>
      </c>
      <c r="N190" s="9">
        <f>IF(10&lt;=核心参数输入!$B$9,IF(AND(核心参数输入!$B$100=1,OR(核心参数输入!$B$101=0,10-5&lt;=核心参数输入!$B$101)),MAX(0,M190-MAX(0,N163-SUMIFS($M$185:$M$189,$B$185:$B$189,"&gt;="&amp;IF(核心参数输入!$B$101=0,0,10-核心参数输入!$B$101)))),0),0)</f>
        <v>0</v>
      </c>
      <c r="O190" s="9">
        <f>IF(11&lt;=核心参数输入!$B$9,IF(AND(核心参数输入!$B$100=1,OR(核心参数输入!$B$101=0,11-5&lt;=核心参数输入!$B$101)),MAX(0,N190-MAX(0,O163-SUMIFS($N$185:$N$189,$B$185:$B$189,"&gt;="&amp;IF(核心参数输入!$B$101=0,0,11-核心参数输入!$B$101)))),0),0)</f>
        <v>0</v>
      </c>
      <c r="P190" s="9">
        <f>IF(12&lt;=核心参数输入!$B$9,IF(AND(核心参数输入!$B$100=1,OR(核心参数输入!$B$101=0,12-5&lt;=核心参数输入!$B$101)),MAX(0,O190-MAX(0,P163-SUMIFS($O$185:$O$189,$B$185:$B$189,"&gt;="&amp;IF(核心参数输入!$B$101=0,0,12-核心参数输入!$B$101)))),0),0)</f>
        <v>0</v>
      </c>
      <c r="Q190" s="9">
        <f>IF(13&lt;=核心参数输入!$B$9,IF(AND(核心参数输入!$B$100=1,OR(核心参数输入!$B$101=0,13-5&lt;=核心参数输入!$B$101)),MAX(0,P190-MAX(0,Q163-SUMIFS($P$185:$P$189,$B$185:$B$189,"&gt;="&amp;IF(核心参数输入!$B$101=0,0,13-核心参数输入!$B$101)))),0),0)</f>
        <v>0</v>
      </c>
      <c r="R190" s="9">
        <f>IF(14&lt;=核心参数输入!$B$9,IF(AND(核心参数输入!$B$100=1,OR(核心参数输入!$B$101=0,14-5&lt;=核心参数输入!$B$101)),MAX(0,Q190-MAX(0,R163-SUMIFS($Q$185:$Q$189,$B$185:$B$189,"&gt;="&amp;IF(核心参数输入!$B$101=0,0,14-核心参数输入!$B$101)))),0),0)</f>
        <v>0</v>
      </c>
      <c r="S190" s="9">
        <f>IF(15&lt;=核心参数输入!$B$9,IF(AND(核心参数输入!$B$100=1,OR(核心参数输入!$B$101=0,15-5&lt;=核心参数输入!$B$101)),MAX(0,R190-MAX(0,S163-SUMIFS($R$185:$R$189,$B$185:$B$189,"&gt;="&amp;IF(核心参数输入!$B$101=0,0,15-核心参数输入!$B$101)))),0),0)</f>
        <v>0</v>
      </c>
      <c r="T190" s="9">
        <f>IF(16&lt;=核心参数输入!$B$9,IF(AND(核心参数输入!$B$100=1,OR(核心参数输入!$B$101=0,16-5&lt;=核心参数输入!$B$101)),MAX(0,S190-MAX(0,T163-SUMIFS($S$185:$S$189,$B$185:$B$189,"&gt;="&amp;IF(核心参数输入!$B$101=0,0,16-核心参数输入!$B$101)))),0),0)</f>
        <v>0</v>
      </c>
      <c r="U190" s="9">
        <f>IF(17&lt;=核心参数输入!$B$9,IF(AND(核心参数输入!$B$100=1,OR(核心参数输入!$B$101=0,17-5&lt;=核心参数输入!$B$101)),MAX(0,T190-MAX(0,U163-SUMIFS($T$185:$T$189,$B$185:$B$189,"&gt;="&amp;IF(核心参数输入!$B$101=0,0,17-核心参数输入!$B$101)))),0),0)</f>
        <v>0</v>
      </c>
      <c r="V190" s="9">
        <f>IF(18&lt;=核心参数输入!$B$9,IF(AND(核心参数输入!$B$100=1,OR(核心参数输入!$B$101=0,18-5&lt;=核心参数输入!$B$101)),MAX(0,U190-MAX(0,V163-SUMIFS($U$185:$U$189,$B$185:$B$189,"&gt;="&amp;IF(核心参数输入!$B$101=0,0,18-核心参数输入!$B$101)))),0),0)</f>
        <v>0</v>
      </c>
      <c r="W190" s="9">
        <f>IF(19&lt;=核心参数输入!$B$9,IF(AND(核心参数输入!$B$100=1,OR(核心参数输入!$B$101=0,19-5&lt;=核心参数输入!$B$101)),MAX(0,V190-MAX(0,W163-SUMIFS($V$185:$V$189,$B$185:$B$189,"&gt;="&amp;IF(核心参数输入!$B$101=0,0,19-核心参数输入!$B$101)))),0),0)</f>
        <v>0</v>
      </c>
      <c r="X190" s="9">
        <f>IF(20&lt;=核心参数输入!$B$9,IF(AND(核心参数输入!$B$100=1,OR(核心参数输入!$B$101=0,20-5&lt;=核心参数输入!$B$101)),MAX(0,W190-MAX(0,X163-SUMIFS($W$185:$W$189,$B$185:$B$189,"&gt;="&amp;IF(核心参数输入!$B$101=0,0,20-核心参数输入!$B$101)))),0),0)</f>
        <v>0</v>
      </c>
      <c r="Y190" s="9">
        <f>IF(21&lt;=核心参数输入!$B$9,IF(AND(核心参数输入!$B$100=1,OR(核心参数输入!$B$101=0,21-5&lt;=核心参数输入!$B$101)),MAX(0,X190-MAX(0,Y163-SUMIFS($X$185:$X$189,$B$185:$B$189,"&gt;="&amp;IF(核心参数输入!$B$101=0,0,21-核心参数输入!$B$101)))),0),0)</f>
        <v>0</v>
      </c>
      <c r="Z190" s="9">
        <f>IF(22&lt;=核心参数输入!$B$9,IF(AND(核心参数输入!$B$100=1,OR(核心参数输入!$B$101=0,22-5&lt;=核心参数输入!$B$101)),MAX(0,Y190-MAX(0,Z163-SUMIFS($Y$185:$Y$189,$B$185:$B$189,"&gt;="&amp;IF(核心参数输入!$B$101=0,0,22-核心参数输入!$B$101)))),0),0)</f>
        <v>0</v>
      </c>
      <c r="AA190" s="9">
        <f>IF(23&lt;=核心参数输入!$B$9,IF(AND(核心参数输入!$B$100=1,OR(核心参数输入!$B$101=0,23-5&lt;=核心参数输入!$B$101)),MAX(0,Z190-MAX(0,AA163-SUMIFS($Z$185:$Z$189,$B$185:$B$189,"&gt;="&amp;IF(核心参数输入!$B$101=0,0,23-核心参数输入!$B$101)))),0),0)</f>
        <v>0</v>
      </c>
      <c r="AB190" s="9">
        <f>IF(24&lt;=核心参数输入!$B$9,IF(AND(核心参数输入!$B$100=1,OR(核心参数输入!$B$101=0,24-5&lt;=核心参数输入!$B$101)),MAX(0,AA190-MAX(0,AB163-SUMIFS($AA$185:$AA$189,$B$185:$B$189,"&gt;="&amp;IF(核心参数输入!$B$101=0,0,24-核心参数输入!$B$101)))),0),0)</f>
        <v>0</v>
      </c>
      <c r="AC190" s="9">
        <f>IF(25&lt;=核心参数输入!$B$9,IF(AND(核心参数输入!$B$100=1,OR(核心参数输入!$B$101=0,25-5&lt;=核心参数输入!$B$101)),MAX(0,AB190-MAX(0,AC163-SUMIFS($AB$185:$AB$189,$B$185:$B$189,"&gt;="&amp;IF(核心参数输入!$B$101=0,0,25-核心参数输入!$B$101)))),0),0)</f>
        <v>0</v>
      </c>
      <c r="AD190" s="9">
        <f>IF(26&lt;=核心参数输入!$B$9,IF(AND(核心参数输入!$B$100=1,OR(核心参数输入!$B$101=0,26-5&lt;=核心参数输入!$B$101)),MAX(0,AC190-MAX(0,AD163-SUMIFS($AC$185:$AC$189,$B$185:$B$189,"&gt;="&amp;IF(核心参数输入!$B$101=0,0,26-核心参数输入!$B$101)))),0),0)</f>
        <v>0</v>
      </c>
      <c r="AE190" s="9">
        <f>IF(27&lt;=核心参数输入!$B$9,IF(AND(核心参数输入!$B$100=1,OR(核心参数输入!$B$101=0,27-5&lt;=核心参数输入!$B$101)),MAX(0,AD190-MAX(0,AE163-SUMIFS($AD$185:$AD$189,$B$185:$B$189,"&gt;="&amp;IF(核心参数输入!$B$101=0,0,27-核心参数输入!$B$101)))),0),0)</f>
        <v>0</v>
      </c>
      <c r="AF190" s="9">
        <f>IF(28&lt;=核心参数输入!$B$9,IF(AND(核心参数输入!$B$100=1,OR(核心参数输入!$B$101=0,28-5&lt;=核心参数输入!$B$101)),MAX(0,AE190-MAX(0,AF163-SUMIFS($AE$185:$AE$189,$B$185:$B$189,"&gt;="&amp;IF(核心参数输入!$B$101=0,0,28-核心参数输入!$B$101)))),0),0)</f>
        <v>0</v>
      </c>
      <c r="AG190" s="9">
        <f>IF(29&lt;=核心参数输入!$B$9,IF(AND(核心参数输入!$B$100=1,OR(核心参数输入!$B$101=0,29-5&lt;=核心参数输入!$B$101)),MAX(0,AF190-MAX(0,AG163-SUMIFS($AF$185:$AF$189,$B$185:$B$189,"&gt;="&amp;IF(核心参数输入!$B$101=0,0,29-核心参数输入!$B$101)))),0),0)</f>
        <v>0</v>
      </c>
      <c r="AH190" s="9">
        <f>IF(30&lt;=核心参数输入!$B$9,IF(AND(核心参数输入!$B$100=1,OR(核心参数输入!$B$101=0,30-5&lt;=核心参数输入!$B$101)),MAX(0,AG190-MAX(0,AH163-SUMIFS($AG$185:$AG$189,$B$185:$B$189,"&gt;="&amp;IF(核心参数输入!$B$101=0,0,30-核心参数输入!$B$101)))),0),0)</f>
        <v>0</v>
      </c>
    </row>
    <row r="191" spans="1:34" ht="21" customHeight="1">
      <c r="A191" s="8" t="s">
        <v>592</v>
      </c>
      <c r="B191" s="8">
        <v>6</v>
      </c>
      <c r="C191" s="8"/>
      <c r="D191" s="9">
        <f>IF(0&lt;=核心参数输入!$B$9,0,0)</f>
        <v>0</v>
      </c>
      <c r="E191" s="9">
        <f>IF(1&lt;=核心参数输入!$B$9,0,0)</f>
        <v>0</v>
      </c>
      <c r="F191" s="9">
        <f>IF(2&lt;=核心参数输入!$B$9,0,0)</f>
        <v>0</v>
      </c>
      <c r="G191" s="9">
        <f>IF(3&lt;=核心参数输入!$B$9,0,0)</f>
        <v>0</v>
      </c>
      <c r="H191" s="9">
        <f>IF(4&lt;=核心参数输入!$B$9,0,0)</f>
        <v>0</v>
      </c>
      <c r="I191" s="9">
        <f>IF(5&lt;=核心参数输入!$B$9,0,0)</f>
        <v>0</v>
      </c>
      <c r="J191" s="9">
        <f>IF(6&lt;=核心参数输入!$B$9,J166,0)</f>
        <v>0</v>
      </c>
      <c r="K191" s="9">
        <f>IF(7&lt;=核心参数输入!$B$9,IF(AND(核心参数输入!$B$100=1,OR(核心参数输入!$B$101=0,7-6&lt;=核心参数输入!$B$101)),MAX(0,J191-MAX(0,K163-SUMIFS($J$185:$J$190,$B$185:$B$190,"&gt;="&amp;IF(核心参数输入!$B$101=0,0,7-核心参数输入!$B$101)))),0),0)</f>
        <v>0</v>
      </c>
      <c r="L191" s="9">
        <f>IF(8&lt;=核心参数输入!$B$9,IF(AND(核心参数输入!$B$100=1,OR(核心参数输入!$B$101=0,8-6&lt;=核心参数输入!$B$101)),MAX(0,K191-MAX(0,L163-SUMIFS($K$185:$K$190,$B$185:$B$190,"&gt;="&amp;IF(核心参数输入!$B$101=0,0,8-核心参数输入!$B$101)))),0),0)</f>
        <v>0</v>
      </c>
      <c r="M191" s="9">
        <f>IF(9&lt;=核心参数输入!$B$9,IF(AND(核心参数输入!$B$100=1,OR(核心参数输入!$B$101=0,9-6&lt;=核心参数输入!$B$101)),MAX(0,L191-MAX(0,M163-SUMIFS($L$185:$L$190,$B$185:$B$190,"&gt;="&amp;IF(核心参数输入!$B$101=0,0,9-核心参数输入!$B$101)))),0),0)</f>
        <v>0</v>
      </c>
      <c r="N191" s="9">
        <f>IF(10&lt;=核心参数输入!$B$9,IF(AND(核心参数输入!$B$100=1,OR(核心参数输入!$B$101=0,10-6&lt;=核心参数输入!$B$101)),MAX(0,M191-MAX(0,N163-SUMIFS($M$185:$M$190,$B$185:$B$190,"&gt;="&amp;IF(核心参数输入!$B$101=0,0,10-核心参数输入!$B$101)))),0),0)</f>
        <v>0</v>
      </c>
      <c r="O191" s="9">
        <f>IF(11&lt;=核心参数输入!$B$9,IF(AND(核心参数输入!$B$100=1,OR(核心参数输入!$B$101=0,11-6&lt;=核心参数输入!$B$101)),MAX(0,N191-MAX(0,O163-SUMIFS($N$185:$N$190,$B$185:$B$190,"&gt;="&amp;IF(核心参数输入!$B$101=0,0,11-核心参数输入!$B$101)))),0),0)</f>
        <v>0</v>
      </c>
      <c r="P191" s="9">
        <f>IF(12&lt;=核心参数输入!$B$9,IF(AND(核心参数输入!$B$100=1,OR(核心参数输入!$B$101=0,12-6&lt;=核心参数输入!$B$101)),MAX(0,O191-MAX(0,P163-SUMIFS($O$185:$O$190,$B$185:$B$190,"&gt;="&amp;IF(核心参数输入!$B$101=0,0,12-核心参数输入!$B$101)))),0),0)</f>
        <v>0</v>
      </c>
      <c r="Q191" s="9">
        <f>IF(13&lt;=核心参数输入!$B$9,IF(AND(核心参数输入!$B$100=1,OR(核心参数输入!$B$101=0,13-6&lt;=核心参数输入!$B$101)),MAX(0,P191-MAX(0,Q163-SUMIFS($P$185:$P$190,$B$185:$B$190,"&gt;="&amp;IF(核心参数输入!$B$101=0,0,13-核心参数输入!$B$101)))),0),0)</f>
        <v>0</v>
      </c>
      <c r="R191" s="9">
        <f>IF(14&lt;=核心参数输入!$B$9,IF(AND(核心参数输入!$B$100=1,OR(核心参数输入!$B$101=0,14-6&lt;=核心参数输入!$B$101)),MAX(0,Q191-MAX(0,R163-SUMIFS($Q$185:$Q$190,$B$185:$B$190,"&gt;="&amp;IF(核心参数输入!$B$101=0,0,14-核心参数输入!$B$101)))),0),0)</f>
        <v>0</v>
      </c>
      <c r="S191" s="9">
        <f>IF(15&lt;=核心参数输入!$B$9,IF(AND(核心参数输入!$B$100=1,OR(核心参数输入!$B$101=0,15-6&lt;=核心参数输入!$B$101)),MAX(0,R191-MAX(0,S163-SUMIFS($R$185:$R$190,$B$185:$B$190,"&gt;="&amp;IF(核心参数输入!$B$101=0,0,15-核心参数输入!$B$101)))),0),0)</f>
        <v>0</v>
      </c>
      <c r="T191" s="9">
        <f>IF(16&lt;=核心参数输入!$B$9,IF(AND(核心参数输入!$B$100=1,OR(核心参数输入!$B$101=0,16-6&lt;=核心参数输入!$B$101)),MAX(0,S191-MAX(0,T163-SUMIFS($S$185:$S$190,$B$185:$B$190,"&gt;="&amp;IF(核心参数输入!$B$101=0,0,16-核心参数输入!$B$101)))),0),0)</f>
        <v>0</v>
      </c>
      <c r="U191" s="9">
        <f>IF(17&lt;=核心参数输入!$B$9,IF(AND(核心参数输入!$B$100=1,OR(核心参数输入!$B$101=0,17-6&lt;=核心参数输入!$B$101)),MAX(0,T191-MAX(0,U163-SUMIFS($T$185:$T$190,$B$185:$B$190,"&gt;="&amp;IF(核心参数输入!$B$101=0,0,17-核心参数输入!$B$101)))),0),0)</f>
        <v>0</v>
      </c>
      <c r="V191" s="9">
        <f>IF(18&lt;=核心参数输入!$B$9,IF(AND(核心参数输入!$B$100=1,OR(核心参数输入!$B$101=0,18-6&lt;=核心参数输入!$B$101)),MAX(0,U191-MAX(0,V163-SUMIFS($U$185:$U$190,$B$185:$B$190,"&gt;="&amp;IF(核心参数输入!$B$101=0,0,18-核心参数输入!$B$101)))),0),0)</f>
        <v>0</v>
      </c>
      <c r="W191" s="9">
        <f>IF(19&lt;=核心参数输入!$B$9,IF(AND(核心参数输入!$B$100=1,OR(核心参数输入!$B$101=0,19-6&lt;=核心参数输入!$B$101)),MAX(0,V191-MAX(0,W163-SUMIFS($V$185:$V$190,$B$185:$B$190,"&gt;="&amp;IF(核心参数输入!$B$101=0,0,19-核心参数输入!$B$101)))),0),0)</f>
        <v>0</v>
      </c>
      <c r="X191" s="9">
        <f>IF(20&lt;=核心参数输入!$B$9,IF(AND(核心参数输入!$B$100=1,OR(核心参数输入!$B$101=0,20-6&lt;=核心参数输入!$B$101)),MAX(0,W191-MAX(0,X163-SUMIFS($W$185:$W$190,$B$185:$B$190,"&gt;="&amp;IF(核心参数输入!$B$101=0,0,20-核心参数输入!$B$101)))),0),0)</f>
        <v>0</v>
      </c>
      <c r="Y191" s="9">
        <f>IF(21&lt;=核心参数输入!$B$9,IF(AND(核心参数输入!$B$100=1,OR(核心参数输入!$B$101=0,21-6&lt;=核心参数输入!$B$101)),MAX(0,X191-MAX(0,Y163-SUMIFS($X$185:$X$190,$B$185:$B$190,"&gt;="&amp;IF(核心参数输入!$B$101=0,0,21-核心参数输入!$B$101)))),0),0)</f>
        <v>0</v>
      </c>
      <c r="Z191" s="9">
        <f>IF(22&lt;=核心参数输入!$B$9,IF(AND(核心参数输入!$B$100=1,OR(核心参数输入!$B$101=0,22-6&lt;=核心参数输入!$B$101)),MAX(0,Y191-MAX(0,Z163-SUMIFS($Y$185:$Y$190,$B$185:$B$190,"&gt;="&amp;IF(核心参数输入!$B$101=0,0,22-核心参数输入!$B$101)))),0),0)</f>
        <v>0</v>
      </c>
      <c r="AA191" s="9">
        <f>IF(23&lt;=核心参数输入!$B$9,IF(AND(核心参数输入!$B$100=1,OR(核心参数输入!$B$101=0,23-6&lt;=核心参数输入!$B$101)),MAX(0,Z191-MAX(0,AA163-SUMIFS($Z$185:$Z$190,$B$185:$B$190,"&gt;="&amp;IF(核心参数输入!$B$101=0,0,23-核心参数输入!$B$101)))),0),0)</f>
        <v>0</v>
      </c>
      <c r="AB191" s="9">
        <f>IF(24&lt;=核心参数输入!$B$9,IF(AND(核心参数输入!$B$100=1,OR(核心参数输入!$B$101=0,24-6&lt;=核心参数输入!$B$101)),MAX(0,AA191-MAX(0,AB163-SUMIFS($AA$185:$AA$190,$B$185:$B$190,"&gt;="&amp;IF(核心参数输入!$B$101=0,0,24-核心参数输入!$B$101)))),0),0)</f>
        <v>0</v>
      </c>
      <c r="AC191" s="9">
        <f>IF(25&lt;=核心参数输入!$B$9,IF(AND(核心参数输入!$B$100=1,OR(核心参数输入!$B$101=0,25-6&lt;=核心参数输入!$B$101)),MAX(0,AB191-MAX(0,AC163-SUMIFS($AB$185:$AB$190,$B$185:$B$190,"&gt;="&amp;IF(核心参数输入!$B$101=0,0,25-核心参数输入!$B$101)))),0),0)</f>
        <v>0</v>
      </c>
      <c r="AD191" s="9">
        <f>IF(26&lt;=核心参数输入!$B$9,IF(AND(核心参数输入!$B$100=1,OR(核心参数输入!$B$101=0,26-6&lt;=核心参数输入!$B$101)),MAX(0,AC191-MAX(0,AD163-SUMIFS($AC$185:$AC$190,$B$185:$B$190,"&gt;="&amp;IF(核心参数输入!$B$101=0,0,26-核心参数输入!$B$101)))),0),0)</f>
        <v>0</v>
      </c>
      <c r="AE191" s="9">
        <f>IF(27&lt;=核心参数输入!$B$9,IF(AND(核心参数输入!$B$100=1,OR(核心参数输入!$B$101=0,27-6&lt;=核心参数输入!$B$101)),MAX(0,AD191-MAX(0,AE163-SUMIFS($AD$185:$AD$190,$B$185:$B$190,"&gt;="&amp;IF(核心参数输入!$B$101=0,0,27-核心参数输入!$B$101)))),0),0)</f>
        <v>0</v>
      </c>
      <c r="AF191" s="9">
        <f>IF(28&lt;=核心参数输入!$B$9,IF(AND(核心参数输入!$B$100=1,OR(核心参数输入!$B$101=0,28-6&lt;=核心参数输入!$B$101)),MAX(0,AE191-MAX(0,AF163-SUMIFS($AE$185:$AE$190,$B$185:$B$190,"&gt;="&amp;IF(核心参数输入!$B$101=0,0,28-核心参数输入!$B$101)))),0),0)</f>
        <v>0</v>
      </c>
      <c r="AG191" s="9">
        <f>IF(29&lt;=核心参数输入!$B$9,IF(AND(核心参数输入!$B$100=1,OR(核心参数输入!$B$101=0,29-6&lt;=核心参数输入!$B$101)),MAX(0,AF191-MAX(0,AG163-SUMIFS($AF$185:$AF$190,$B$185:$B$190,"&gt;="&amp;IF(核心参数输入!$B$101=0,0,29-核心参数输入!$B$101)))),0),0)</f>
        <v>0</v>
      </c>
      <c r="AH191" s="9">
        <f>IF(30&lt;=核心参数输入!$B$9,IF(AND(核心参数输入!$B$100=1,OR(核心参数输入!$B$101=0,30-6&lt;=核心参数输入!$B$101)),MAX(0,AG191-MAX(0,AH163-SUMIFS($AG$185:$AG$190,$B$185:$B$190,"&gt;="&amp;IF(核心参数输入!$B$101=0,0,30-核心参数输入!$B$101)))),0),0)</f>
        <v>0</v>
      </c>
    </row>
    <row r="192" spans="1:34" ht="21" customHeight="1">
      <c r="A192" s="8" t="s">
        <v>593</v>
      </c>
      <c r="B192" s="8">
        <v>7</v>
      </c>
      <c r="C192" s="8"/>
      <c r="D192" s="9">
        <f>IF(0&lt;=核心参数输入!$B$9,0,0)</f>
        <v>0</v>
      </c>
      <c r="E192" s="9">
        <f>IF(1&lt;=核心参数输入!$B$9,0,0)</f>
        <v>0</v>
      </c>
      <c r="F192" s="9">
        <f>IF(2&lt;=核心参数输入!$B$9,0,0)</f>
        <v>0</v>
      </c>
      <c r="G192" s="9">
        <f>IF(3&lt;=核心参数输入!$B$9,0,0)</f>
        <v>0</v>
      </c>
      <c r="H192" s="9">
        <f>IF(4&lt;=核心参数输入!$B$9,0,0)</f>
        <v>0</v>
      </c>
      <c r="I192" s="9">
        <f>IF(5&lt;=核心参数输入!$B$9,0,0)</f>
        <v>0</v>
      </c>
      <c r="J192" s="9">
        <f>IF(6&lt;=核心参数输入!$B$9,0,0)</f>
        <v>0</v>
      </c>
      <c r="K192" s="9">
        <f>IF(7&lt;=核心参数输入!$B$9,K166,0)</f>
        <v>258.5593889950004</v>
      </c>
      <c r="L192" s="9">
        <f>IF(8&lt;=核心参数输入!$B$9,IF(AND(核心参数输入!$B$100=1,OR(核心参数输入!$B$101=0,8-7&lt;=核心参数输入!$B$101)),MAX(0,K192-MAX(0,L163-SUMIFS($K$185:$K$191,$B$185:$B$191,"&gt;="&amp;IF(核心参数输入!$B$101=0,0,8-核心参数输入!$B$101)))),0),0)</f>
        <v>258.5593889950004</v>
      </c>
      <c r="M192" s="9">
        <f>IF(9&lt;=核心参数输入!$B$9,IF(AND(核心参数输入!$B$100=1,OR(核心参数输入!$B$101=0,9-7&lt;=核心参数输入!$B$101)),MAX(0,L192-MAX(0,M163-SUMIFS($L$185:$L$191,$B$185:$B$191,"&gt;="&amp;IF(核心参数输入!$B$101=0,0,9-核心参数输入!$B$101)))),0),0)</f>
        <v>258.5593889950004</v>
      </c>
      <c r="N192" s="9">
        <f>IF(10&lt;=核心参数输入!$B$9,IF(AND(核心参数输入!$B$100=1,OR(核心参数输入!$B$101=0,10-7&lt;=核心参数输入!$B$101)),MAX(0,M192-MAX(0,N163-SUMIFS($M$185:$M$191,$B$185:$B$191,"&gt;="&amp;IF(核心参数输入!$B$101=0,0,10-核心参数输入!$B$101)))),0),0)</f>
        <v>258.5593889950004</v>
      </c>
      <c r="O192" s="9">
        <f>IF(11&lt;=核心参数输入!$B$9,IF(AND(核心参数输入!$B$100=1,OR(核心参数输入!$B$101=0,11-7&lt;=核心参数输入!$B$101)),MAX(0,N192-MAX(0,O163-SUMIFS($N$185:$N$191,$B$185:$B$191,"&gt;="&amp;IF(核心参数输入!$B$101=0,0,11-核心参数输入!$B$101)))),0),0)</f>
        <v>258.5593889950004</v>
      </c>
      <c r="P192" s="9">
        <f>IF(12&lt;=核心参数输入!$B$9,IF(AND(核心参数输入!$B$100=1,OR(核心参数输入!$B$101=0,12-7&lt;=核心参数输入!$B$101)),MAX(0,O192-MAX(0,P163-SUMIFS($O$185:$O$191,$B$185:$B$191,"&gt;="&amp;IF(核心参数输入!$B$101=0,0,12-核心参数输入!$B$101)))),0),0)</f>
        <v>258.5593889950004</v>
      </c>
      <c r="Q192" s="9">
        <f>IF(13&lt;=核心参数输入!$B$9,IF(AND(核心参数输入!$B$100=1,OR(核心参数输入!$B$101=0,13-7&lt;=核心参数输入!$B$101)),MAX(0,P192-MAX(0,Q163-SUMIFS($P$185:$P$191,$B$185:$B$191,"&gt;="&amp;IF(核心参数输入!$B$101=0,0,13-核心参数输入!$B$101)))),0),0)</f>
        <v>0</v>
      </c>
      <c r="R192" s="9">
        <f>IF(14&lt;=核心参数输入!$B$9,IF(AND(核心参数输入!$B$100=1,OR(核心参数输入!$B$101=0,14-7&lt;=核心参数输入!$B$101)),MAX(0,Q192-MAX(0,R163-SUMIFS($Q$185:$Q$191,$B$185:$B$191,"&gt;="&amp;IF(核心参数输入!$B$101=0,0,14-核心参数输入!$B$101)))),0),0)</f>
        <v>0</v>
      </c>
      <c r="S192" s="9">
        <f>IF(15&lt;=核心参数输入!$B$9,IF(AND(核心参数输入!$B$100=1,OR(核心参数输入!$B$101=0,15-7&lt;=核心参数输入!$B$101)),MAX(0,R192-MAX(0,S163-SUMIFS($R$185:$R$191,$B$185:$B$191,"&gt;="&amp;IF(核心参数输入!$B$101=0,0,15-核心参数输入!$B$101)))),0),0)</f>
        <v>0</v>
      </c>
      <c r="T192" s="9">
        <f>IF(16&lt;=核心参数输入!$B$9,IF(AND(核心参数输入!$B$100=1,OR(核心参数输入!$B$101=0,16-7&lt;=核心参数输入!$B$101)),MAX(0,S192-MAX(0,T163-SUMIFS($S$185:$S$191,$B$185:$B$191,"&gt;="&amp;IF(核心参数输入!$B$101=0,0,16-核心参数输入!$B$101)))),0),0)</f>
        <v>0</v>
      </c>
      <c r="U192" s="9">
        <f>IF(17&lt;=核心参数输入!$B$9,IF(AND(核心参数输入!$B$100=1,OR(核心参数输入!$B$101=0,17-7&lt;=核心参数输入!$B$101)),MAX(0,T192-MAX(0,U163-SUMIFS($T$185:$T$191,$B$185:$B$191,"&gt;="&amp;IF(核心参数输入!$B$101=0,0,17-核心参数输入!$B$101)))),0),0)</f>
        <v>0</v>
      </c>
      <c r="V192" s="9">
        <f>IF(18&lt;=核心参数输入!$B$9,IF(AND(核心参数输入!$B$100=1,OR(核心参数输入!$B$101=0,18-7&lt;=核心参数输入!$B$101)),MAX(0,U192-MAX(0,V163-SUMIFS($U$185:$U$191,$B$185:$B$191,"&gt;="&amp;IF(核心参数输入!$B$101=0,0,18-核心参数输入!$B$101)))),0),0)</f>
        <v>0</v>
      </c>
      <c r="W192" s="9">
        <f>IF(19&lt;=核心参数输入!$B$9,IF(AND(核心参数输入!$B$100=1,OR(核心参数输入!$B$101=0,19-7&lt;=核心参数输入!$B$101)),MAX(0,V192-MAX(0,W163-SUMIFS($V$185:$V$191,$B$185:$B$191,"&gt;="&amp;IF(核心参数输入!$B$101=0,0,19-核心参数输入!$B$101)))),0),0)</f>
        <v>0</v>
      </c>
      <c r="X192" s="9">
        <f>IF(20&lt;=核心参数输入!$B$9,IF(AND(核心参数输入!$B$100=1,OR(核心参数输入!$B$101=0,20-7&lt;=核心参数输入!$B$101)),MAX(0,W192-MAX(0,X163-SUMIFS($W$185:$W$191,$B$185:$B$191,"&gt;="&amp;IF(核心参数输入!$B$101=0,0,20-核心参数输入!$B$101)))),0),0)</f>
        <v>0</v>
      </c>
      <c r="Y192" s="9">
        <f>IF(21&lt;=核心参数输入!$B$9,IF(AND(核心参数输入!$B$100=1,OR(核心参数输入!$B$101=0,21-7&lt;=核心参数输入!$B$101)),MAX(0,X192-MAX(0,Y163-SUMIFS($X$185:$X$191,$B$185:$B$191,"&gt;="&amp;IF(核心参数输入!$B$101=0,0,21-核心参数输入!$B$101)))),0),0)</f>
        <v>0</v>
      </c>
      <c r="Z192" s="9">
        <f>IF(22&lt;=核心参数输入!$B$9,IF(AND(核心参数输入!$B$100=1,OR(核心参数输入!$B$101=0,22-7&lt;=核心参数输入!$B$101)),MAX(0,Y192-MAX(0,Z163-SUMIFS($Y$185:$Y$191,$B$185:$B$191,"&gt;="&amp;IF(核心参数输入!$B$101=0,0,22-核心参数输入!$B$101)))),0),0)</f>
        <v>0</v>
      </c>
      <c r="AA192" s="9">
        <f>IF(23&lt;=核心参数输入!$B$9,IF(AND(核心参数输入!$B$100=1,OR(核心参数输入!$B$101=0,23-7&lt;=核心参数输入!$B$101)),MAX(0,Z192-MAX(0,AA163-SUMIFS($Z$185:$Z$191,$B$185:$B$191,"&gt;="&amp;IF(核心参数输入!$B$101=0,0,23-核心参数输入!$B$101)))),0),0)</f>
        <v>0</v>
      </c>
      <c r="AB192" s="9">
        <f>IF(24&lt;=核心参数输入!$B$9,IF(AND(核心参数输入!$B$100=1,OR(核心参数输入!$B$101=0,24-7&lt;=核心参数输入!$B$101)),MAX(0,AA192-MAX(0,AB163-SUMIFS($AA$185:$AA$191,$B$185:$B$191,"&gt;="&amp;IF(核心参数输入!$B$101=0,0,24-核心参数输入!$B$101)))),0),0)</f>
        <v>0</v>
      </c>
      <c r="AC192" s="9">
        <f>IF(25&lt;=核心参数输入!$B$9,IF(AND(核心参数输入!$B$100=1,OR(核心参数输入!$B$101=0,25-7&lt;=核心参数输入!$B$101)),MAX(0,AB192-MAX(0,AC163-SUMIFS($AB$185:$AB$191,$B$185:$B$191,"&gt;="&amp;IF(核心参数输入!$B$101=0,0,25-核心参数输入!$B$101)))),0),0)</f>
        <v>0</v>
      </c>
      <c r="AD192" s="9">
        <f>IF(26&lt;=核心参数输入!$B$9,IF(AND(核心参数输入!$B$100=1,OR(核心参数输入!$B$101=0,26-7&lt;=核心参数输入!$B$101)),MAX(0,AC192-MAX(0,AD163-SUMIFS($AC$185:$AC$191,$B$185:$B$191,"&gt;="&amp;IF(核心参数输入!$B$101=0,0,26-核心参数输入!$B$101)))),0),0)</f>
        <v>0</v>
      </c>
      <c r="AE192" s="9">
        <f>IF(27&lt;=核心参数输入!$B$9,IF(AND(核心参数输入!$B$100=1,OR(核心参数输入!$B$101=0,27-7&lt;=核心参数输入!$B$101)),MAX(0,AD192-MAX(0,AE163-SUMIFS($AD$185:$AD$191,$B$185:$B$191,"&gt;="&amp;IF(核心参数输入!$B$101=0,0,27-核心参数输入!$B$101)))),0),0)</f>
        <v>0</v>
      </c>
      <c r="AF192" s="9">
        <f>IF(28&lt;=核心参数输入!$B$9,IF(AND(核心参数输入!$B$100=1,OR(核心参数输入!$B$101=0,28-7&lt;=核心参数输入!$B$101)),MAX(0,AE192-MAX(0,AF163-SUMIFS($AE$185:$AE$191,$B$185:$B$191,"&gt;="&amp;IF(核心参数输入!$B$101=0,0,28-核心参数输入!$B$101)))),0),0)</f>
        <v>0</v>
      </c>
      <c r="AG192" s="9">
        <f>IF(29&lt;=核心参数输入!$B$9,IF(AND(核心参数输入!$B$100=1,OR(核心参数输入!$B$101=0,29-7&lt;=核心参数输入!$B$101)),MAX(0,AF192-MAX(0,AG163-SUMIFS($AF$185:$AF$191,$B$185:$B$191,"&gt;="&amp;IF(核心参数输入!$B$101=0,0,29-核心参数输入!$B$101)))),0),0)</f>
        <v>0</v>
      </c>
      <c r="AH192" s="9">
        <f>IF(30&lt;=核心参数输入!$B$9,IF(AND(核心参数输入!$B$100=1,OR(核心参数输入!$B$101=0,30-7&lt;=核心参数输入!$B$101)),MAX(0,AG192-MAX(0,AH163-SUMIFS($AG$185:$AG$191,$B$185:$B$191,"&gt;="&amp;IF(核心参数输入!$B$101=0,0,30-核心参数输入!$B$101)))),0),0)</f>
        <v>0</v>
      </c>
    </row>
    <row r="193" spans="1:34" ht="21" customHeight="1">
      <c r="A193" s="8" t="s">
        <v>594</v>
      </c>
      <c r="B193" s="8">
        <v>8</v>
      </c>
      <c r="C193" s="8"/>
      <c r="D193" s="9">
        <f>IF(0&lt;=核心参数输入!$B$9,0,0)</f>
        <v>0</v>
      </c>
      <c r="E193" s="9">
        <f>IF(1&lt;=核心参数输入!$B$9,0,0)</f>
        <v>0</v>
      </c>
      <c r="F193" s="9">
        <f>IF(2&lt;=核心参数输入!$B$9,0,0)</f>
        <v>0</v>
      </c>
      <c r="G193" s="9">
        <f>IF(3&lt;=核心参数输入!$B$9,0,0)</f>
        <v>0</v>
      </c>
      <c r="H193" s="9">
        <f>IF(4&lt;=核心参数输入!$B$9,0,0)</f>
        <v>0</v>
      </c>
      <c r="I193" s="9">
        <f>IF(5&lt;=核心参数输入!$B$9,0,0)</f>
        <v>0</v>
      </c>
      <c r="J193" s="9">
        <f>IF(6&lt;=核心参数输入!$B$9,0,0)</f>
        <v>0</v>
      </c>
      <c r="K193" s="9">
        <f>IF(7&lt;=核心参数输入!$B$9,0,0)</f>
        <v>0</v>
      </c>
      <c r="L193" s="9">
        <f>IF(8&lt;=核心参数输入!$B$9,L166,0)</f>
        <v>188.21604271623838</v>
      </c>
      <c r="M193" s="9">
        <f>IF(9&lt;=核心参数输入!$B$9,IF(AND(核心参数输入!$B$100=1,OR(核心参数输入!$B$101=0,9-8&lt;=核心参数输入!$B$101)),MAX(0,L193-MAX(0,M163-SUMIFS($L$185:$L$192,$B$185:$B$192,"&gt;="&amp;IF(核心参数输入!$B$101=0,0,9-核心参数输入!$B$101)))),0),0)</f>
        <v>188.21604271623838</v>
      </c>
      <c r="N193" s="9">
        <f>IF(10&lt;=核心参数输入!$B$9,IF(AND(核心参数输入!$B$100=1,OR(核心参数输入!$B$101=0,10-8&lt;=核心参数输入!$B$101)),MAX(0,M193-MAX(0,N163-SUMIFS($M$185:$M$192,$B$185:$B$192,"&gt;="&amp;IF(核心参数输入!$B$101=0,0,10-核心参数输入!$B$101)))),0),0)</f>
        <v>188.21604271623838</v>
      </c>
      <c r="O193" s="9">
        <f>IF(11&lt;=核心参数输入!$B$9,IF(AND(核心参数输入!$B$100=1,OR(核心参数输入!$B$101=0,11-8&lt;=核心参数输入!$B$101)),MAX(0,N193-MAX(0,O163-SUMIFS($N$185:$N$192,$B$185:$B$192,"&gt;="&amp;IF(核心参数输入!$B$101=0,0,11-核心参数输入!$B$101)))),0),0)</f>
        <v>188.21604271623838</v>
      </c>
      <c r="P193" s="9">
        <f>IF(12&lt;=核心参数输入!$B$9,IF(AND(核心参数输入!$B$100=1,OR(核心参数输入!$B$101=0,12-8&lt;=核心参数输入!$B$101)),MAX(0,O193-MAX(0,P163-SUMIFS($O$185:$O$192,$B$185:$B$192,"&gt;="&amp;IF(核心参数输入!$B$101=0,0,12-核心参数输入!$B$101)))),0),0)</f>
        <v>188.21604271623838</v>
      </c>
      <c r="Q193" s="9">
        <f>IF(13&lt;=核心参数输入!$B$9,IF(AND(核心参数输入!$B$100=1,OR(核心参数输入!$B$101=0,13-8&lt;=核心参数输入!$B$101)),MAX(0,P193-MAX(0,Q163-SUMIFS($P$185:$P$192,$B$185:$B$192,"&gt;="&amp;IF(核心参数输入!$B$101=0,0,13-核心参数输入!$B$101)))),0),0)</f>
        <v>188.21604271623838</v>
      </c>
      <c r="R193" s="9">
        <f>IF(14&lt;=核心参数输入!$B$9,IF(AND(核心参数输入!$B$100=1,OR(核心参数输入!$B$101=0,14-8&lt;=核心参数输入!$B$101)),MAX(0,Q193-MAX(0,R163-SUMIFS($Q$185:$Q$192,$B$185:$B$192,"&gt;="&amp;IF(核心参数输入!$B$101=0,0,14-核心参数输入!$B$101)))),0),0)</f>
        <v>0</v>
      </c>
      <c r="S193" s="9">
        <f>IF(15&lt;=核心参数输入!$B$9,IF(AND(核心参数输入!$B$100=1,OR(核心参数输入!$B$101=0,15-8&lt;=核心参数输入!$B$101)),MAX(0,R193-MAX(0,S163-SUMIFS($R$185:$R$192,$B$185:$B$192,"&gt;="&amp;IF(核心参数输入!$B$101=0,0,15-核心参数输入!$B$101)))),0),0)</f>
        <v>0</v>
      </c>
      <c r="T193" s="9">
        <f>IF(16&lt;=核心参数输入!$B$9,IF(AND(核心参数输入!$B$100=1,OR(核心参数输入!$B$101=0,16-8&lt;=核心参数输入!$B$101)),MAX(0,S193-MAX(0,T163-SUMIFS($S$185:$S$192,$B$185:$B$192,"&gt;="&amp;IF(核心参数输入!$B$101=0,0,16-核心参数输入!$B$101)))),0),0)</f>
        <v>0</v>
      </c>
      <c r="U193" s="9">
        <f>IF(17&lt;=核心参数输入!$B$9,IF(AND(核心参数输入!$B$100=1,OR(核心参数输入!$B$101=0,17-8&lt;=核心参数输入!$B$101)),MAX(0,T193-MAX(0,U163-SUMIFS($T$185:$T$192,$B$185:$B$192,"&gt;="&amp;IF(核心参数输入!$B$101=0,0,17-核心参数输入!$B$101)))),0),0)</f>
        <v>0</v>
      </c>
      <c r="V193" s="9">
        <f>IF(18&lt;=核心参数输入!$B$9,IF(AND(核心参数输入!$B$100=1,OR(核心参数输入!$B$101=0,18-8&lt;=核心参数输入!$B$101)),MAX(0,U193-MAX(0,V163-SUMIFS($U$185:$U$192,$B$185:$B$192,"&gt;="&amp;IF(核心参数输入!$B$101=0,0,18-核心参数输入!$B$101)))),0),0)</f>
        <v>0</v>
      </c>
      <c r="W193" s="9">
        <f>IF(19&lt;=核心参数输入!$B$9,IF(AND(核心参数输入!$B$100=1,OR(核心参数输入!$B$101=0,19-8&lt;=核心参数输入!$B$101)),MAX(0,V193-MAX(0,W163-SUMIFS($V$185:$V$192,$B$185:$B$192,"&gt;="&amp;IF(核心参数输入!$B$101=0,0,19-核心参数输入!$B$101)))),0),0)</f>
        <v>0</v>
      </c>
      <c r="X193" s="9">
        <f>IF(20&lt;=核心参数输入!$B$9,IF(AND(核心参数输入!$B$100=1,OR(核心参数输入!$B$101=0,20-8&lt;=核心参数输入!$B$101)),MAX(0,W193-MAX(0,X163-SUMIFS($W$185:$W$192,$B$185:$B$192,"&gt;="&amp;IF(核心参数输入!$B$101=0,0,20-核心参数输入!$B$101)))),0),0)</f>
        <v>0</v>
      </c>
      <c r="Y193" s="9">
        <f>IF(21&lt;=核心参数输入!$B$9,IF(AND(核心参数输入!$B$100=1,OR(核心参数输入!$B$101=0,21-8&lt;=核心参数输入!$B$101)),MAX(0,X193-MAX(0,Y163-SUMIFS($X$185:$X$192,$B$185:$B$192,"&gt;="&amp;IF(核心参数输入!$B$101=0,0,21-核心参数输入!$B$101)))),0),0)</f>
        <v>0</v>
      </c>
      <c r="Z193" s="9">
        <f>IF(22&lt;=核心参数输入!$B$9,IF(AND(核心参数输入!$B$100=1,OR(核心参数输入!$B$101=0,22-8&lt;=核心参数输入!$B$101)),MAX(0,Y193-MAX(0,Z163-SUMIFS($Y$185:$Y$192,$B$185:$B$192,"&gt;="&amp;IF(核心参数输入!$B$101=0,0,22-核心参数输入!$B$101)))),0),0)</f>
        <v>0</v>
      </c>
      <c r="AA193" s="9">
        <f>IF(23&lt;=核心参数输入!$B$9,IF(AND(核心参数输入!$B$100=1,OR(核心参数输入!$B$101=0,23-8&lt;=核心参数输入!$B$101)),MAX(0,Z193-MAX(0,AA163-SUMIFS($Z$185:$Z$192,$B$185:$B$192,"&gt;="&amp;IF(核心参数输入!$B$101=0,0,23-核心参数输入!$B$101)))),0),0)</f>
        <v>0</v>
      </c>
      <c r="AB193" s="9">
        <f>IF(24&lt;=核心参数输入!$B$9,IF(AND(核心参数输入!$B$100=1,OR(核心参数输入!$B$101=0,24-8&lt;=核心参数输入!$B$101)),MAX(0,AA193-MAX(0,AB163-SUMIFS($AA$185:$AA$192,$B$185:$B$192,"&gt;="&amp;IF(核心参数输入!$B$101=0,0,24-核心参数输入!$B$101)))),0),0)</f>
        <v>0</v>
      </c>
      <c r="AC193" s="9">
        <f>IF(25&lt;=核心参数输入!$B$9,IF(AND(核心参数输入!$B$100=1,OR(核心参数输入!$B$101=0,25-8&lt;=核心参数输入!$B$101)),MAX(0,AB193-MAX(0,AC163-SUMIFS($AB$185:$AB$192,$B$185:$B$192,"&gt;="&amp;IF(核心参数输入!$B$101=0,0,25-核心参数输入!$B$101)))),0),0)</f>
        <v>0</v>
      </c>
      <c r="AD193" s="9">
        <f>IF(26&lt;=核心参数输入!$B$9,IF(AND(核心参数输入!$B$100=1,OR(核心参数输入!$B$101=0,26-8&lt;=核心参数输入!$B$101)),MAX(0,AC193-MAX(0,AD163-SUMIFS($AC$185:$AC$192,$B$185:$B$192,"&gt;="&amp;IF(核心参数输入!$B$101=0,0,26-核心参数输入!$B$101)))),0),0)</f>
        <v>0</v>
      </c>
      <c r="AE193" s="9">
        <f>IF(27&lt;=核心参数输入!$B$9,IF(AND(核心参数输入!$B$100=1,OR(核心参数输入!$B$101=0,27-8&lt;=核心参数输入!$B$101)),MAX(0,AD193-MAX(0,AE163-SUMIFS($AD$185:$AD$192,$B$185:$B$192,"&gt;="&amp;IF(核心参数输入!$B$101=0,0,27-核心参数输入!$B$101)))),0),0)</f>
        <v>0</v>
      </c>
      <c r="AF193" s="9">
        <f>IF(28&lt;=核心参数输入!$B$9,IF(AND(核心参数输入!$B$100=1,OR(核心参数输入!$B$101=0,28-8&lt;=核心参数输入!$B$101)),MAX(0,AE193-MAX(0,AF163-SUMIFS($AE$185:$AE$192,$B$185:$B$192,"&gt;="&amp;IF(核心参数输入!$B$101=0,0,28-核心参数输入!$B$101)))),0),0)</f>
        <v>0</v>
      </c>
      <c r="AG193" s="9">
        <f>IF(29&lt;=核心参数输入!$B$9,IF(AND(核心参数输入!$B$100=1,OR(核心参数输入!$B$101=0,29-8&lt;=核心参数输入!$B$101)),MAX(0,AF193-MAX(0,AG163-SUMIFS($AF$185:$AF$192,$B$185:$B$192,"&gt;="&amp;IF(核心参数输入!$B$101=0,0,29-核心参数输入!$B$101)))),0),0)</f>
        <v>0</v>
      </c>
      <c r="AH193" s="9">
        <f>IF(30&lt;=核心参数输入!$B$9,IF(AND(核心参数输入!$B$100=1,OR(核心参数输入!$B$101=0,30-8&lt;=核心参数输入!$B$101)),MAX(0,AG193-MAX(0,AH163-SUMIFS($AG$185:$AG$192,$B$185:$B$192,"&gt;="&amp;IF(核心参数输入!$B$101=0,0,30-核心参数输入!$B$101)))),0),0)</f>
        <v>0</v>
      </c>
    </row>
    <row r="194" spans="1:34" ht="21" customHeight="1">
      <c r="A194" s="8" t="s">
        <v>595</v>
      </c>
      <c r="B194" s="8">
        <v>9</v>
      </c>
      <c r="C194" s="8"/>
      <c r="D194" s="9">
        <f>IF(0&lt;=核心参数输入!$B$9,0,0)</f>
        <v>0</v>
      </c>
      <c r="E194" s="9">
        <f>IF(1&lt;=核心参数输入!$B$9,0,0)</f>
        <v>0</v>
      </c>
      <c r="F194" s="9">
        <f>IF(2&lt;=核心参数输入!$B$9,0,0)</f>
        <v>0</v>
      </c>
      <c r="G194" s="9">
        <f>IF(3&lt;=核心参数输入!$B$9,0,0)</f>
        <v>0</v>
      </c>
      <c r="H194" s="9">
        <f>IF(4&lt;=核心参数输入!$B$9,0,0)</f>
        <v>0</v>
      </c>
      <c r="I194" s="9">
        <f>IF(5&lt;=核心参数输入!$B$9,0,0)</f>
        <v>0</v>
      </c>
      <c r="J194" s="9">
        <f>IF(6&lt;=核心参数输入!$B$9,0,0)</f>
        <v>0</v>
      </c>
      <c r="K194" s="9">
        <f>IF(7&lt;=核心参数输入!$B$9,0,0)</f>
        <v>0</v>
      </c>
      <c r="L194" s="9">
        <f>IF(8&lt;=核心参数输入!$B$9,0,0)</f>
        <v>0</v>
      </c>
      <c r="M194" s="9">
        <f>IF(9&lt;=核心参数输入!$B$9,M166,0)</f>
        <v>174.02073279196614</v>
      </c>
      <c r="N194" s="9">
        <f>IF(10&lt;=核心参数输入!$B$9,IF(AND(核心参数输入!$B$100=1,OR(核心参数输入!$B$101=0,10-9&lt;=核心参数输入!$B$101)),MAX(0,M194-MAX(0,N163-SUMIFS($M$185:$M$193,$B$185:$B$193,"&gt;="&amp;IF(核心参数输入!$B$101=0,0,10-核心参数输入!$B$101)))),0),0)</f>
        <v>174.02073279196614</v>
      </c>
      <c r="O194" s="9">
        <f>IF(11&lt;=核心参数输入!$B$9,IF(AND(核心参数输入!$B$100=1,OR(核心参数输入!$B$101=0,11-9&lt;=核心参数输入!$B$101)),MAX(0,N194-MAX(0,O163-SUMIFS($N$185:$N$193,$B$185:$B$193,"&gt;="&amp;IF(核心参数输入!$B$101=0,0,11-核心参数输入!$B$101)))),0),0)</f>
        <v>174.02073279196614</v>
      </c>
      <c r="P194" s="9">
        <f>IF(12&lt;=核心参数输入!$B$9,IF(AND(核心参数输入!$B$100=1,OR(核心参数输入!$B$101=0,12-9&lt;=核心参数输入!$B$101)),MAX(0,O194-MAX(0,P163-SUMIFS($O$185:$O$193,$B$185:$B$193,"&gt;="&amp;IF(核心参数输入!$B$101=0,0,12-核心参数输入!$B$101)))),0),0)</f>
        <v>174.02073279196614</v>
      </c>
      <c r="Q194" s="9">
        <f>IF(13&lt;=核心参数输入!$B$9,IF(AND(核心参数输入!$B$100=1,OR(核心参数输入!$B$101=0,13-9&lt;=核心参数输入!$B$101)),MAX(0,P194-MAX(0,Q163-SUMIFS($P$185:$P$193,$B$185:$B$193,"&gt;="&amp;IF(核心参数输入!$B$101=0,0,13-核心参数输入!$B$101)))),0),0)</f>
        <v>174.02073279196614</v>
      </c>
      <c r="R194" s="9">
        <f>IF(14&lt;=核心参数输入!$B$9,IF(AND(核心参数输入!$B$100=1,OR(核心参数输入!$B$101=0,14-9&lt;=核心参数输入!$B$101)),MAX(0,Q194-MAX(0,R163-SUMIFS($Q$185:$Q$193,$B$185:$B$193,"&gt;="&amp;IF(核心参数输入!$B$101=0,0,14-核心参数输入!$B$101)))),0),0)</f>
        <v>174.02073279196614</v>
      </c>
      <c r="S194" s="9">
        <f>IF(15&lt;=核心参数输入!$B$9,IF(AND(核心参数输入!$B$100=1,OR(核心参数输入!$B$101=0,15-9&lt;=核心参数输入!$B$101)),MAX(0,R194-MAX(0,S163-SUMIFS($R$185:$R$193,$B$185:$B$193,"&gt;="&amp;IF(核心参数输入!$B$101=0,0,15-核心参数输入!$B$101)))),0),0)</f>
        <v>0</v>
      </c>
      <c r="T194" s="9">
        <f>IF(16&lt;=核心参数输入!$B$9,IF(AND(核心参数输入!$B$100=1,OR(核心参数输入!$B$101=0,16-9&lt;=核心参数输入!$B$101)),MAX(0,S194-MAX(0,T163-SUMIFS($S$185:$S$193,$B$185:$B$193,"&gt;="&amp;IF(核心参数输入!$B$101=0,0,16-核心参数输入!$B$101)))),0),0)</f>
        <v>0</v>
      </c>
      <c r="U194" s="9">
        <f>IF(17&lt;=核心参数输入!$B$9,IF(AND(核心参数输入!$B$100=1,OR(核心参数输入!$B$101=0,17-9&lt;=核心参数输入!$B$101)),MAX(0,T194-MAX(0,U163-SUMIFS($T$185:$T$193,$B$185:$B$193,"&gt;="&amp;IF(核心参数输入!$B$101=0,0,17-核心参数输入!$B$101)))),0),0)</f>
        <v>0</v>
      </c>
      <c r="V194" s="9">
        <f>IF(18&lt;=核心参数输入!$B$9,IF(AND(核心参数输入!$B$100=1,OR(核心参数输入!$B$101=0,18-9&lt;=核心参数输入!$B$101)),MAX(0,U194-MAX(0,V163-SUMIFS($U$185:$U$193,$B$185:$B$193,"&gt;="&amp;IF(核心参数输入!$B$101=0,0,18-核心参数输入!$B$101)))),0),0)</f>
        <v>0</v>
      </c>
      <c r="W194" s="9">
        <f>IF(19&lt;=核心参数输入!$B$9,IF(AND(核心参数输入!$B$100=1,OR(核心参数输入!$B$101=0,19-9&lt;=核心参数输入!$B$101)),MAX(0,V194-MAX(0,W163-SUMIFS($V$185:$V$193,$B$185:$B$193,"&gt;="&amp;IF(核心参数输入!$B$101=0,0,19-核心参数输入!$B$101)))),0),0)</f>
        <v>0</v>
      </c>
      <c r="X194" s="9">
        <f>IF(20&lt;=核心参数输入!$B$9,IF(AND(核心参数输入!$B$100=1,OR(核心参数输入!$B$101=0,20-9&lt;=核心参数输入!$B$101)),MAX(0,W194-MAX(0,X163-SUMIFS($W$185:$W$193,$B$185:$B$193,"&gt;="&amp;IF(核心参数输入!$B$101=0,0,20-核心参数输入!$B$101)))),0),0)</f>
        <v>0</v>
      </c>
      <c r="Y194" s="9">
        <f>IF(21&lt;=核心参数输入!$B$9,IF(AND(核心参数输入!$B$100=1,OR(核心参数输入!$B$101=0,21-9&lt;=核心参数输入!$B$101)),MAX(0,X194-MAX(0,Y163-SUMIFS($X$185:$X$193,$B$185:$B$193,"&gt;="&amp;IF(核心参数输入!$B$101=0,0,21-核心参数输入!$B$101)))),0),0)</f>
        <v>0</v>
      </c>
      <c r="Z194" s="9">
        <f>IF(22&lt;=核心参数输入!$B$9,IF(AND(核心参数输入!$B$100=1,OR(核心参数输入!$B$101=0,22-9&lt;=核心参数输入!$B$101)),MAX(0,Y194-MAX(0,Z163-SUMIFS($Y$185:$Y$193,$B$185:$B$193,"&gt;="&amp;IF(核心参数输入!$B$101=0,0,22-核心参数输入!$B$101)))),0),0)</f>
        <v>0</v>
      </c>
      <c r="AA194" s="9">
        <f>IF(23&lt;=核心参数输入!$B$9,IF(AND(核心参数输入!$B$100=1,OR(核心参数输入!$B$101=0,23-9&lt;=核心参数输入!$B$101)),MAX(0,Z194-MAX(0,AA163-SUMIFS($Z$185:$Z$193,$B$185:$B$193,"&gt;="&amp;IF(核心参数输入!$B$101=0,0,23-核心参数输入!$B$101)))),0),0)</f>
        <v>0</v>
      </c>
      <c r="AB194" s="9">
        <f>IF(24&lt;=核心参数输入!$B$9,IF(AND(核心参数输入!$B$100=1,OR(核心参数输入!$B$101=0,24-9&lt;=核心参数输入!$B$101)),MAX(0,AA194-MAX(0,AB163-SUMIFS($AA$185:$AA$193,$B$185:$B$193,"&gt;="&amp;IF(核心参数输入!$B$101=0,0,24-核心参数输入!$B$101)))),0),0)</f>
        <v>0</v>
      </c>
      <c r="AC194" s="9">
        <f>IF(25&lt;=核心参数输入!$B$9,IF(AND(核心参数输入!$B$100=1,OR(核心参数输入!$B$101=0,25-9&lt;=核心参数输入!$B$101)),MAX(0,AB194-MAX(0,AC163-SUMIFS($AB$185:$AB$193,$B$185:$B$193,"&gt;="&amp;IF(核心参数输入!$B$101=0,0,25-核心参数输入!$B$101)))),0),0)</f>
        <v>0</v>
      </c>
      <c r="AD194" s="9">
        <f>IF(26&lt;=核心参数输入!$B$9,IF(AND(核心参数输入!$B$100=1,OR(核心参数输入!$B$101=0,26-9&lt;=核心参数输入!$B$101)),MAX(0,AC194-MAX(0,AD163-SUMIFS($AC$185:$AC$193,$B$185:$B$193,"&gt;="&amp;IF(核心参数输入!$B$101=0,0,26-核心参数输入!$B$101)))),0),0)</f>
        <v>0</v>
      </c>
      <c r="AE194" s="9">
        <f>IF(27&lt;=核心参数输入!$B$9,IF(AND(核心参数输入!$B$100=1,OR(核心参数输入!$B$101=0,27-9&lt;=核心参数输入!$B$101)),MAX(0,AD194-MAX(0,AE163-SUMIFS($AD$185:$AD$193,$B$185:$B$193,"&gt;="&amp;IF(核心参数输入!$B$101=0,0,27-核心参数输入!$B$101)))),0),0)</f>
        <v>0</v>
      </c>
      <c r="AF194" s="9">
        <f>IF(28&lt;=核心参数输入!$B$9,IF(AND(核心参数输入!$B$100=1,OR(核心参数输入!$B$101=0,28-9&lt;=核心参数输入!$B$101)),MAX(0,AE194-MAX(0,AF163-SUMIFS($AE$185:$AE$193,$B$185:$B$193,"&gt;="&amp;IF(核心参数输入!$B$101=0,0,28-核心参数输入!$B$101)))),0),0)</f>
        <v>0</v>
      </c>
      <c r="AG194" s="9">
        <f>IF(29&lt;=核心参数输入!$B$9,IF(AND(核心参数输入!$B$100=1,OR(核心参数输入!$B$101=0,29-9&lt;=核心参数输入!$B$101)),MAX(0,AF194-MAX(0,AG163-SUMIFS($AF$185:$AF$193,$B$185:$B$193,"&gt;="&amp;IF(核心参数输入!$B$101=0,0,29-核心参数输入!$B$101)))),0),0)</f>
        <v>0</v>
      </c>
      <c r="AH194" s="9">
        <f>IF(30&lt;=核心参数输入!$B$9,IF(AND(核心参数输入!$B$100=1,OR(核心参数输入!$B$101=0,30-9&lt;=核心参数输入!$B$101)),MAX(0,AG194-MAX(0,AH163-SUMIFS($AG$185:$AG$193,$B$185:$B$193,"&gt;="&amp;IF(核心参数输入!$B$101=0,0,30-核心参数输入!$B$101)))),0),0)</f>
        <v>0</v>
      </c>
    </row>
    <row r="195" spans="1:34" ht="21" customHeight="1">
      <c r="A195" s="8" t="s">
        <v>596</v>
      </c>
      <c r="B195" s="8">
        <v>10</v>
      </c>
      <c r="C195" s="8"/>
      <c r="D195" s="9">
        <f>IF(0&lt;=核心参数输入!$B$9,0,0)</f>
        <v>0</v>
      </c>
      <c r="E195" s="9">
        <f>IF(1&lt;=核心参数输入!$B$9,0,0)</f>
        <v>0</v>
      </c>
      <c r="F195" s="9">
        <f>IF(2&lt;=核心参数输入!$B$9,0,0)</f>
        <v>0</v>
      </c>
      <c r="G195" s="9">
        <f>IF(3&lt;=核心参数输入!$B$9,0,0)</f>
        <v>0</v>
      </c>
      <c r="H195" s="9">
        <f>IF(4&lt;=核心参数输入!$B$9,0,0)</f>
        <v>0</v>
      </c>
      <c r="I195" s="9">
        <f>IF(5&lt;=核心参数输入!$B$9,0,0)</f>
        <v>0</v>
      </c>
      <c r="J195" s="9">
        <f>IF(6&lt;=核心参数输入!$B$9,0,0)</f>
        <v>0</v>
      </c>
      <c r="K195" s="9">
        <f>IF(7&lt;=核心参数输入!$B$9,0,0)</f>
        <v>0</v>
      </c>
      <c r="L195" s="9">
        <f>IF(8&lt;=核心参数输入!$B$9,0,0)</f>
        <v>0</v>
      </c>
      <c r="M195" s="9">
        <f>IF(9&lt;=核心参数输入!$B$9,0,0)</f>
        <v>0</v>
      </c>
      <c r="N195" s="9">
        <f>IF(10&lt;=核心参数输入!$B$9,N166,0)</f>
        <v>162.06434998864609</v>
      </c>
      <c r="O195" s="9">
        <f>IF(11&lt;=核心参数输入!$B$9,IF(AND(核心参数输入!$B$100=1,OR(核心参数输入!$B$101=0,11-10&lt;=核心参数输入!$B$101)),MAX(0,N195-MAX(0,O163-SUMIFS($N$185:$N$194,$B$185:$B$194,"&gt;="&amp;IF(核心参数输入!$B$101=0,0,11-核心参数输入!$B$101)))),0),0)</f>
        <v>162.06434998864609</v>
      </c>
      <c r="P195" s="9">
        <f>IF(12&lt;=核心参数输入!$B$9,IF(AND(核心参数输入!$B$100=1,OR(核心参数输入!$B$101=0,12-10&lt;=核心参数输入!$B$101)),MAX(0,O195-MAX(0,P163-SUMIFS($O$185:$O$194,$B$185:$B$194,"&gt;="&amp;IF(核心参数输入!$B$101=0,0,12-核心参数输入!$B$101)))),0),0)</f>
        <v>162.06434998864609</v>
      </c>
      <c r="Q195" s="9">
        <f>IF(13&lt;=核心参数输入!$B$9,IF(AND(核心参数输入!$B$100=1,OR(核心参数输入!$B$101=0,13-10&lt;=核心参数输入!$B$101)),MAX(0,P195-MAX(0,Q163-SUMIFS($P$185:$P$194,$B$185:$B$194,"&gt;="&amp;IF(核心参数输入!$B$101=0,0,13-核心参数输入!$B$101)))),0),0)</f>
        <v>162.06434998864609</v>
      </c>
      <c r="R195" s="9">
        <f>IF(14&lt;=核心参数输入!$B$9,IF(AND(核心参数输入!$B$100=1,OR(核心参数输入!$B$101=0,14-10&lt;=核心参数输入!$B$101)),MAX(0,Q195-MAX(0,R163-SUMIFS($Q$185:$Q$194,$B$185:$B$194,"&gt;="&amp;IF(核心参数输入!$B$101=0,0,14-核心参数输入!$B$101)))),0),0)</f>
        <v>162.06434998864609</v>
      </c>
      <c r="S195" s="9">
        <f>IF(15&lt;=核心参数输入!$B$9,IF(AND(核心参数输入!$B$100=1,OR(核心参数输入!$B$101=0,15-10&lt;=核心参数输入!$B$101)),MAX(0,R195-MAX(0,S163-SUMIFS($R$185:$R$194,$B$185:$B$194,"&gt;="&amp;IF(核心参数输入!$B$101=0,0,15-核心参数输入!$B$101)))),0),0)</f>
        <v>162.06434998864609</v>
      </c>
      <c r="T195" s="9">
        <f>IF(16&lt;=核心参数输入!$B$9,IF(AND(核心参数输入!$B$100=1,OR(核心参数输入!$B$101=0,16-10&lt;=核心参数输入!$B$101)),MAX(0,S195-MAX(0,T163-SUMIFS($S$185:$S$194,$B$185:$B$194,"&gt;="&amp;IF(核心参数输入!$B$101=0,0,16-核心参数输入!$B$101)))),0),0)</f>
        <v>0</v>
      </c>
      <c r="U195" s="9">
        <f>IF(17&lt;=核心参数输入!$B$9,IF(AND(核心参数输入!$B$100=1,OR(核心参数输入!$B$101=0,17-10&lt;=核心参数输入!$B$101)),MAX(0,T195-MAX(0,U163-SUMIFS($T$185:$T$194,$B$185:$B$194,"&gt;="&amp;IF(核心参数输入!$B$101=0,0,17-核心参数输入!$B$101)))),0),0)</f>
        <v>0</v>
      </c>
      <c r="V195" s="9">
        <f>IF(18&lt;=核心参数输入!$B$9,IF(AND(核心参数输入!$B$100=1,OR(核心参数输入!$B$101=0,18-10&lt;=核心参数输入!$B$101)),MAX(0,U195-MAX(0,V163-SUMIFS($U$185:$U$194,$B$185:$B$194,"&gt;="&amp;IF(核心参数输入!$B$101=0,0,18-核心参数输入!$B$101)))),0),0)</f>
        <v>0</v>
      </c>
      <c r="W195" s="9">
        <f>IF(19&lt;=核心参数输入!$B$9,IF(AND(核心参数输入!$B$100=1,OR(核心参数输入!$B$101=0,19-10&lt;=核心参数输入!$B$101)),MAX(0,V195-MAX(0,W163-SUMIFS($V$185:$V$194,$B$185:$B$194,"&gt;="&amp;IF(核心参数输入!$B$101=0,0,19-核心参数输入!$B$101)))),0),0)</f>
        <v>0</v>
      </c>
      <c r="X195" s="9">
        <f>IF(20&lt;=核心参数输入!$B$9,IF(AND(核心参数输入!$B$100=1,OR(核心参数输入!$B$101=0,20-10&lt;=核心参数输入!$B$101)),MAX(0,W195-MAX(0,X163-SUMIFS($W$185:$W$194,$B$185:$B$194,"&gt;="&amp;IF(核心参数输入!$B$101=0,0,20-核心参数输入!$B$101)))),0),0)</f>
        <v>0</v>
      </c>
      <c r="Y195" s="9">
        <f>IF(21&lt;=核心参数输入!$B$9,IF(AND(核心参数输入!$B$100=1,OR(核心参数输入!$B$101=0,21-10&lt;=核心参数输入!$B$101)),MAX(0,X195-MAX(0,Y163-SUMIFS($X$185:$X$194,$B$185:$B$194,"&gt;="&amp;IF(核心参数输入!$B$101=0,0,21-核心参数输入!$B$101)))),0),0)</f>
        <v>0</v>
      </c>
      <c r="Z195" s="9">
        <f>IF(22&lt;=核心参数输入!$B$9,IF(AND(核心参数输入!$B$100=1,OR(核心参数输入!$B$101=0,22-10&lt;=核心参数输入!$B$101)),MAX(0,Y195-MAX(0,Z163-SUMIFS($Y$185:$Y$194,$B$185:$B$194,"&gt;="&amp;IF(核心参数输入!$B$101=0,0,22-核心参数输入!$B$101)))),0),0)</f>
        <v>0</v>
      </c>
      <c r="AA195" s="9">
        <f>IF(23&lt;=核心参数输入!$B$9,IF(AND(核心参数输入!$B$100=1,OR(核心参数输入!$B$101=0,23-10&lt;=核心参数输入!$B$101)),MAX(0,Z195-MAX(0,AA163-SUMIFS($Z$185:$Z$194,$B$185:$B$194,"&gt;="&amp;IF(核心参数输入!$B$101=0,0,23-核心参数输入!$B$101)))),0),0)</f>
        <v>0</v>
      </c>
      <c r="AB195" s="9">
        <f>IF(24&lt;=核心参数输入!$B$9,IF(AND(核心参数输入!$B$100=1,OR(核心参数输入!$B$101=0,24-10&lt;=核心参数输入!$B$101)),MAX(0,AA195-MAX(0,AB163-SUMIFS($AA$185:$AA$194,$B$185:$B$194,"&gt;="&amp;IF(核心参数输入!$B$101=0,0,24-核心参数输入!$B$101)))),0),0)</f>
        <v>0</v>
      </c>
      <c r="AC195" s="9">
        <f>IF(25&lt;=核心参数输入!$B$9,IF(AND(核心参数输入!$B$100=1,OR(核心参数输入!$B$101=0,25-10&lt;=核心参数输入!$B$101)),MAX(0,AB195-MAX(0,AC163-SUMIFS($AB$185:$AB$194,$B$185:$B$194,"&gt;="&amp;IF(核心参数输入!$B$101=0,0,25-核心参数输入!$B$101)))),0),0)</f>
        <v>0</v>
      </c>
      <c r="AD195" s="9">
        <f>IF(26&lt;=核心参数输入!$B$9,IF(AND(核心参数输入!$B$100=1,OR(核心参数输入!$B$101=0,26-10&lt;=核心参数输入!$B$101)),MAX(0,AC195-MAX(0,AD163-SUMIFS($AC$185:$AC$194,$B$185:$B$194,"&gt;="&amp;IF(核心参数输入!$B$101=0,0,26-核心参数输入!$B$101)))),0),0)</f>
        <v>0</v>
      </c>
      <c r="AE195" s="9">
        <f>IF(27&lt;=核心参数输入!$B$9,IF(AND(核心参数输入!$B$100=1,OR(核心参数输入!$B$101=0,27-10&lt;=核心参数输入!$B$101)),MAX(0,AD195-MAX(0,AE163-SUMIFS($AD$185:$AD$194,$B$185:$B$194,"&gt;="&amp;IF(核心参数输入!$B$101=0,0,27-核心参数输入!$B$101)))),0),0)</f>
        <v>0</v>
      </c>
      <c r="AF195" s="9">
        <f>IF(28&lt;=核心参数输入!$B$9,IF(AND(核心参数输入!$B$100=1,OR(核心参数输入!$B$101=0,28-10&lt;=核心参数输入!$B$101)),MAX(0,AE195-MAX(0,AF163-SUMIFS($AE$185:$AE$194,$B$185:$B$194,"&gt;="&amp;IF(核心参数输入!$B$101=0,0,28-核心参数输入!$B$101)))),0),0)</f>
        <v>0</v>
      </c>
      <c r="AG195" s="9">
        <f>IF(29&lt;=核心参数输入!$B$9,IF(AND(核心参数输入!$B$100=1,OR(核心参数输入!$B$101=0,29-10&lt;=核心参数输入!$B$101)),MAX(0,AF195-MAX(0,AG163-SUMIFS($AF$185:$AF$194,$B$185:$B$194,"&gt;="&amp;IF(核心参数输入!$B$101=0,0,29-核心参数输入!$B$101)))),0),0)</f>
        <v>0</v>
      </c>
      <c r="AH195" s="9">
        <f>IF(30&lt;=核心参数输入!$B$9,IF(AND(核心参数输入!$B$100=1,OR(核心参数输入!$B$101=0,30-10&lt;=核心参数输入!$B$101)),MAX(0,AG195-MAX(0,AH163-SUMIFS($AG$185:$AG$194,$B$185:$B$194,"&gt;="&amp;IF(核心参数输入!$B$101=0,0,30-核心参数输入!$B$101)))),0),0)</f>
        <v>0</v>
      </c>
    </row>
    <row r="196" spans="1:34" ht="21" customHeight="1">
      <c r="A196" s="8" t="s">
        <v>597</v>
      </c>
      <c r="B196" s="8">
        <v>11</v>
      </c>
      <c r="C196" s="8"/>
      <c r="D196" s="9">
        <f>IF(0&lt;=核心参数输入!$B$9,0,0)</f>
        <v>0</v>
      </c>
      <c r="E196" s="9">
        <f>IF(1&lt;=核心参数输入!$B$9,0,0)</f>
        <v>0</v>
      </c>
      <c r="F196" s="9">
        <f>IF(2&lt;=核心参数输入!$B$9,0,0)</f>
        <v>0</v>
      </c>
      <c r="G196" s="9">
        <f>IF(3&lt;=核心参数输入!$B$9,0,0)</f>
        <v>0</v>
      </c>
      <c r="H196" s="9">
        <f>IF(4&lt;=核心参数输入!$B$9,0,0)</f>
        <v>0</v>
      </c>
      <c r="I196" s="9">
        <f>IF(5&lt;=核心参数输入!$B$9,0,0)</f>
        <v>0</v>
      </c>
      <c r="J196" s="9">
        <f>IF(6&lt;=核心参数输入!$B$9,0,0)</f>
        <v>0</v>
      </c>
      <c r="K196" s="9">
        <f>IF(7&lt;=核心参数输入!$B$9,0,0)</f>
        <v>0</v>
      </c>
      <c r="L196" s="9">
        <f>IF(8&lt;=核心参数输入!$B$9,0,0)</f>
        <v>0</v>
      </c>
      <c r="M196" s="9">
        <f>IF(9&lt;=核心参数输入!$B$9,0,0)</f>
        <v>0</v>
      </c>
      <c r="N196" s="9">
        <f>IF(10&lt;=核心参数输入!$B$9,0,0)</f>
        <v>0</v>
      </c>
      <c r="O196" s="9">
        <f>IF(11&lt;=核心参数输入!$B$9,O166,0)</f>
        <v>149.96174386737195</v>
      </c>
      <c r="P196" s="9">
        <f>IF(12&lt;=核心参数输入!$B$9,IF(AND(核心参数输入!$B$100=1,OR(核心参数输入!$B$101=0,12-11&lt;=核心参数输入!$B$101)),MAX(0,O196-MAX(0,P163-SUMIFS($O$185:$O$195,$B$185:$B$195,"&gt;="&amp;IF(核心参数输入!$B$101=0,0,12-核心参数输入!$B$101)))),0),0)</f>
        <v>149.96174386737195</v>
      </c>
      <c r="Q196" s="9">
        <f>IF(13&lt;=核心参数输入!$B$9,IF(AND(核心参数输入!$B$100=1,OR(核心参数输入!$B$101=0,13-11&lt;=核心参数输入!$B$101)),MAX(0,P196-MAX(0,Q163-SUMIFS($P$185:$P$195,$B$185:$B$195,"&gt;="&amp;IF(核心参数输入!$B$101=0,0,13-核心参数输入!$B$101)))),0),0)</f>
        <v>149.96174386737195</v>
      </c>
      <c r="R196" s="9">
        <f>IF(14&lt;=核心参数输入!$B$9,IF(AND(核心参数输入!$B$100=1,OR(核心参数输入!$B$101=0,14-11&lt;=核心参数输入!$B$101)),MAX(0,Q196-MAX(0,R163-SUMIFS($Q$185:$Q$195,$B$185:$B$195,"&gt;="&amp;IF(核心参数输入!$B$101=0,0,14-核心参数输入!$B$101)))),0),0)</f>
        <v>149.96174386737195</v>
      </c>
      <c r="S196" s="9">
        <f>IF(15&lt;=核心参数输入!$B$9,IF(AND(核心参数输入!$B$100=1,OR(核心参数输入!$B$101=0,15-11&lt;=核心参数输入!$B$101)),MAX(0,R196-MAX(0,S163-SUMIFS($R$185:$R$195,$B$185:$B$195,"&gt;="&amp;IF(核心参数输入!$B$101=0,0,15-核心参数输入!$B$101)))),0),0)</f>
        <v>149.96174386737195</v>
      </c>
      <c r="T196" s="9">
        <f>IF(16&lt;=核心参数输入!$B$9,IF(AND(核心参数输入!$B$100=1,OR(核心参数输入!$B$101=0,16-11&lt;=核心参数输入!$B$101)),MAX(0,S196-MAX(0,T163-SUMIFS($S$185:$S$195,$B$185:$B$195,"&gt;="&amp;IF(核心参数输入!$B$101=0,0,16-核心参数输入!$B$101)))),0),0)</f>
        <v>149.96174386737195</v>
      </c>
      <c r="U196" s="9">
        <f>IF(17&lt;=核心参数输入!$B$9,IF(AND(核心参数输入!$B$100=1,OR(核心参数输入!$B$101=0,17-11&lt;=核心参数输入!$B$101)),MAX(0,T196-MAX(0,U163-SUMIFS($T$185:$T$195,$B$185:$B$195,"&gt;="&amp;IF(核心参数输入!$B$101=0,0,17-核心参数输入!$B$101)))),0),0)</f>
        <v>0</v>
      </c>
      <c r="V196" s="9">
        <f>IF(18&lt;=核心参数输入!$B$9,IF(AND(核心参数输入!$B$100=1,OR(核心参数输入!$B$101=0,18-11&lt;=核心参数输入!$B$101)),MAX(0,U196-MAX(0,V163-SUMIFS($U$185:$U$195,$B$185:$B$195,"&gt;="&amp;IF(核心参数输入!$B$101=0,0,18-核心参数输入!$B$101)))),0),0)</f>
        <v>0</v>
      </c>
      <c r="W196" s="9">
        <f>IF(19&lt;=核心参数输入!$B$9,IF(AND(核心参数输入!$B$100=1,OR(核心参数输入!$B$101=0,19-11&lt;=核心参数输入!$B$101)),MAX(0,V196-MAX(0,W163-SUMIFS($V$185:$V$195,$B$185:$B$195,"&gt;="&amp;IF(核心参数输入!$B$101=0,0,19-核心参数输入!$B$101)))),0),0)</f>
        <v>0</v>
      </c>
      <c r="X196" s="9">
        <f>IF(20&lt;=核心参数输入!$B$9,IF(AND(核心参数输入!$B$100=1,OR(核心参数输入!$B$101=0,20-11&lt;=核心参数输入!$B$101)),MAX(0,W196-MAX(0,X163-SUMIFS($W$185:$W$195,$B$185:$B$195,"&gt;="&amp;IF(核心参数输入!$B$101=0,0,20-核心参数输入!$B$101)))),0),0)</f>
        <v>0</v>
      </c>
      <c r="Y196" s="9">
        <f>IF(21&lt;=核心参数输入!$B$9,IF(AND(核心参数输入!$B$100=1,OR(核心参数输入!$B$101=0,21-11&lt;=核心参数输入!$B$101)),MAX(0,X196-MAX(0,Y163-SUMIFS($X$185:$X$195,$B$185:$B$195,"&gt;="&amp;IF(核心参数输入!$B$101=0,0,21-核心参数输入!$B$101)))),0),0)</f>
        <v>0</v>
      </c>
      <c r="Z196" s="9">
        <f>IF(22&lt;=核心参数输入!$B$9,IF(AND(核心参数输入!$B$100=1,OR(核心参数输入!$B$101=0,22-11&lt;=核心参数输入!$B$101)),MAX(0,Y196-MAX(0,Z163-SUMIFS($Y$185:$Y$195,$B$185:$B$195,"&gt;="&amp;IF(核心参数输入!$B$101=0,0,22-核心参数输入!$B$101)))),0),0)</f>
        <v>0</v>
      </c>
      <c r="AA196" s="9">
        <f>IF(23&lt;=核心参数输入!$B$9,IF(AND(核心参数输入!$B$100=1,OR(核心参数输入!$B$101=0,23-11&lt;=核心参数输入!$B$101)),MAX(0,Z196-MAX(0,AA163-SUMIFS($Z$185:$Z$195,$B$185:$B$195,"&gt;="&amp;IF(核心参数输入!$B$101=0,0,23-核心参数输入!$B$101)))),0),0)</f>
        <v>0</v>
      </c>
      <c r="AB196" s="9">
        <f>IF(24&lt;=核心参数输入!$B$9,IF(AND(核心参数输入!$B$100=1,OR(核心参数输入!$B$101=0,24-11&lt;=核心参数输入!$B$101)),MAX(0,AA196-MAX(0,AB163-SUMIFS($AA$185:$AA$195,$B$185:$B$195,"&gt;="&amp;IF(核心参数输入!$B$101=0,0,24-核心参数输入!$B$101)))),0),0)</f>
        <v>0</v>
      </c>
      <c r="AC196" s="9">
        <f>IF(25&lt;=核心参数输入!$B$9,IF(AND(核心参数输入!$B$100=1,OR(核心参数输入!$B$101=0,25-11&lt;=核心参数输入!$B$101)),MAX(0,AB196-MAX(0,AC163-SUMIFS($AB$185:$AB$195,$B$185:$B$195,"&gt;="&amp;IF(核心参数输入!$B$101=0,0,25-核心参数输入!$B$101)))),0),0)</f>
        <v>0</v>
      </c>
      <c r="AD196" s="9">
        <f>IF(26&lt;=核心参数输入!$B$9,IF(AND(核心参数输入!$B$100=1,OR(核心参数输入!$B$101=0,26-11&lt;=核心参数输入!$B$101)),MAX(0,AC196-MAX(0,AD163-SUMIFS($AC$185:$AC$195,$B$185:$B$195,"&gt;="&amp;IF(核心参数输入!$B$101=0,0,26-核心参数输入!$B$101)))),0),0)</f>
        <v>0</v>
      </c>
      <c r="AE196" s="9">
        <f>IF(27&lt;=核心参数输入!$B$9,IF(AND(核心参数输入!$B$100=1,OR(核心参数输入!$B$101=0,27-11&lt;=核心参数输入!$B$101)),MAX(0,AD196-MAX(0,AE163-SUMIFS($AD$185:$AD$195,$B$185:$B$195,"&gt;="&amp;IF(核心参数输入!$B$101=0,0,27-核心参数输入!$B$101)))),0),0)</f>
        <v>0</v>
      </c>
      <c r="AF196" s="9">
        <f>IF(28&lt;=核心参数输入!$B$9,IF(AND(核心参数输入!$B$100=1,OR(核心参数输入!$B$101=0,28-11&lt;=核心参数输入!$B$101)),MAX(0,AE196-MAX(0,AF163-SUMIFS($AE$185:$AE$195,$B$185:$B$195,"&gt;="&amp;IF(核心参数输入!$B$101=0,0,28-核心参数输入!$B$101)))),0),0)</f>
        <v>0</v>
      </c>
      <c r="AG196" s="9">
        <f>IF(29&lt;=核心参数输入!$B$9,IF(AND(核心参数输入!$B$100=1,OR(核心参数输入!$B$101=0,29-11&lt;=核心参数输入!$B$101)),MAX(0,AF196-MAX(0,AG163-SUMIFS($AF$185:$AF$195,$B$185:$B$195,"&gt;="&amp;IF(核心参数输入!$B$101=0,0,29-核心参数输入!$B$101)))),0),0)</f>
        <v>0</v>
      </c>
      <c r="AH196" s="9">
        <f>IF(30&lt;=核心参数输入!$B$9,IF(AND(核心参数输入!$B$100=1,OR(核心参数输入!$B$101=0,30-11&lt;=核心参数输入!$B$101)),MAX(0,AG196-MAX(0,AH163-SUMIFS($AG$185:$AG$195,$B$185:$B$195,"&gt;="&amp;IF(核心参数输入!$B$101=0,0,30-核心参数输入!$B$101)))),0),0)</f>
        <v>0</v>
      </c>
    </row>
    <row r="197" spans="1:34" ht="21" customHeight="1">
      <c r="A197" s="8" t="s">
        <v>598</v>
      </c>
      <c r="B197" s="8">
        <v>12</v>
      </c>
      <c r="C197" s="8"/>
      <c r="D197" s="9">
        <f>IF(0&lt;=核心参数输入!$B$9,0,0)</f>
        <v>0</v>
      </c>
      <c r="E197" s="9">
        <f>IF(1&lt;=核心参数输入!$B$9,0,0)</f>
        <v>0</v>
      </c>
      <c r="F197" s="9">
        <f>IF(2&lt;=核心参数输入!$B$9,0,0)</f>
        <v>0</v>
      </c>
      <c r="G197" s="9">
        <f>IF(3&lt;=核心参数输入!$B$9,0,0)</f>
        <v>0</v>
      </c>
      <c r="H197" s="9">
        <f>IF(4&lt;=核心参数输入!$B$9,0,0)</f>
        <v>0</v>
      </c>
      <c r="I197" s="9">
        <f>IF(5&lt;=核心参数输入!$B$9,0,0)</f>
        <v>0</v>
      </c>
      <c r="J197" s="9">
        <f>IF(6&lt;=核心参数输入!$B$9,0,0)</f>
        <v>0</v>
      </c>
      <c r="K197" s="9">
        <f>IF(7&lt;=核心参数输入!$B$9,0,0)</f>
        <v>0</v>
      </c>
      <c r="L197" s="9">
        <f>IF(8&lt;=核心参数输入!$B$9,0,0)</f>
        <v>0</v>
      </c>
      <c r="M197" s="9">
        <f>IF(9&lt;=核心参数输入!$B$9,0,0)</f>
        <v>0</v>
      </c>
      <c r="N197" s="9">
        <f>IF(10&lt;=核心参数输入!$B$9,0,0)</f>
        <v>0</v>
      </c>
      <c r="O197" s="9">
        <f>IF(11&lt;=核心参数输入!$B$9,0,0)</f>
        <v>0</v>
      </c>
      <c r="P197" s="9">
        <f>IF(12&lt;=核心参数输入!$B$9,P166,0)</f>
        <v>137.71138352685693</v>
      </c>
      <c r="Q197" s="9">
        <f>IF(13&lt;=核心参数输入!$B$9,IF(AND(核心参数输入!$B$100=1,OR(核心参数输入!$B$101=0,13-12&lt;=核心参数输入!$B$101)),MAX(0,P197-MAX(0,Q163-SUMIFS($P$185:$P$196,$B$185:$B$196,"&gt;="&amp;IF(核心参数输入!$B$101=0,0,13-核心参数输入!$B$101)))),0),0)</f>
        <v>137.71138352685693</v>
      </c>
      <c r="R197" s="9">
        <f>IF(14&lt;=核心参数输入!$B$9,IF(AND(核心参数输入!$B$100=1,OR(核心参数输入!$B$101=0,14-12&lt;=核心参数输入!$B$101)),MAX(0,Q197-MAX(0,R163-SUMIFS($Q$185:$Q$196,$B$185:$B$196,"&gt;="&amp;IF(核心参数输入!$B$101=0,0,14-核心参数输入!$B$101)))),0),0)</f>
        <v>137.71138352685693</v>
      </c>
      <c r="S197" s="9">
        <f>IF(15&lt;=核心参数输入!$B$9,IF(AND(核心参数输入!$B$100=1,OR(核心参数输入!$B$101=0,15-12&lt;=核心参数输入!$B$101)),MAX(0,R197-MAX(0,S163-SUMIFS($R$185:$R$196,$B$185:$B$196,"&gt;="&amp;IF(核心参数输入!$B$101=0,0,15-核心参数输入!$B$101)))),0),0)</f>
        <v>137.71138352685693</v>
      </c>
      <c r="T197" s="9">
        <f>IF(16&lt;=核心参数输入!$B$9,IF(AND(核心参数输入!$B$100=1,OR(核心参数输入!$B$101=0,16-12&lt;=核心参数输入!$B$101)),MAX(0,S197-MAX(0,T163-SUMIFS($S$185:$S$196,$B$185:$B$196,"&gt;="&amp;IF(核心参数输入!$B$101=0,0,16-核心参数输入!$B$101)))),0),0)</f>
        <v>137.71138352685693</v>
      </c>
      <c r="U197" s="9">
        <f>IF(17&lt;=核心参数输入!$B$9,IF(AND(核心参数输入!$B$100=1,OR(核心参数输入!$B$101=0,17-12&lt;=核心参数输入!$B$101)),MAX(0,T197-MAX(0,U163-SUMIFS($T$185:$T$196,$B$185:$B$196,"&gt;="&amp;IF(核心参数输入!$B$101=0,0,17-核心参数输入!$B$101)))),0),0)</f>
        <v>137.71138352685693</v>
      </c>
      <c r="V197" s="9">
        <f>IF(18&lt;=核心参数输入!$B$9,IF(AND(核心参数输入!$B$100=1,OR(核心参数输入!$B$101=0,18-12&lt;=核心参数输入!$B$101)),MAX(0,U197-MAX(0,V163-SUMIFS($U$185:$U$196,$B$185:$B$196,"&gt;="&amp;IF(核心参数输入!$B$101=0,0,18-核心参数输入!$B$101)))),0),0)</f>
        <v>0</v>
      </c>
      <c r="W197" s="9">
        <f>IF(19&lt;=核心参数输入!$B$9,IF(AND(核心参数输入!$B$100=1,OR(核心参数输入!$B$101=0,19-12&lt;=核心参数输入!$B$101)),MAX(0,V197-MAX(0,W163-SUMIFS($V$185:$V$196,$B$185:$B$196,"&gt;="&amp;IF(核心参数输入!$B$101=0,0,19-核心参数输入!$B$101)))),0),0)</f>
        <v>0</v>
      </c>
      <c r="X197" s="9">
        <f>IF(20&lt;=核心参数输入!$B$9,IF(AND(核心参数输入!$B$100=1,OR(核心参数输入!$B$101=0,20-12&lt;=核心参数输入!$B$101)),MAX(0,W197-MAX(0,X163-SUMIFS($W$185:$W$196,$B$185:$B$196,"&gt;="&amp;IF(核心参数输入!$B$101=0,0,20-核心参数输入!$B$101)))),0),0)</f>
        <v>0</v>
      </c>
      <c r="Y197" s="9">
        <f>IF(21&lt;=核心参数输入!$B$9,IF(AND(核心参数输入!$B$100=1,OR(核心参数输入!$B$101=0,21-12&lt;=核心参数输入!$B$101)),MAX(0,X197-MAX(0,Y163-SUMIFS($X$185:$X$196,$B$185:$B$196,"&gt;="&amp;IF(核心参数输入!$B$101=0,0,21-核心参数输入!$B$101)))),0),0)</f>
        <v>0</v>
      </c>
      <c r="Z197" s="9">
        <f>IF(22&lt;=核心参数输入!$B$9,IF(AND(核心参数输入!$B$100=1,OR(核心参数输入!$B$101=0,22-12&lt;=核心参数输入!$B$101)),MAX(0,Y197-MAX(0,Z163-SUMIFS($Y$185:$Y$196,$B$185:$B$196,"&gt;="&amp;IF(核心参数输入!$B$101=0,0,22-核心参数输入!$B$101)))),0),0)</f>
        <v>0</v>
      </c>
      <c r="AA197" s="9">
        <f>IF(23&lt;=核心参数输入!$B$9,IF(AND(核心参数输入!$B$100=1,OR(核心参数输入!$B$101=0,23-12&lt;=核心参数输入!$B$101)),MAX(0,Z197-MAX(0,AA163-SUMIFS($Z$185:$Z$196,$B$185:$B$196,"&gt;="&amp;IF(核心参数输入!$B$101=0,0,23-核心参数输入!$B$101)))),0),0)</f>
        <v>0</v>
      </c>
      <c r="AB197" s="9">
        <f>IF(24&lt;=核心参数输入!$B$9,IF(AND(核心参数输入!$B$100=1,OR(核心参数输入!$B$101=0,24-12&lt;=核心参数输入!$B$101)),MAX(0,AA197-MAX(0,AB163-SUMIFS($AA$185:$AA$196,$B$185:$B$196,"&gt;="&amp;IF(核心参数输入!$B$101=0,0,24-核心参数输入!$B$101)))),0),0)</f>
        <v>0</v>
      </c>
      <c r="AC197" s="9">
        <f>IF(25&lt;=核心参数输入!$B$9,IF(AND(核心参数输入!$B$100=1,OR(核心参数输入!$B$101=0,25-12&lt;=核心参数输入!$B$101)),MAX(0,AB197-MAX(0,AC163-SUMIFS($AB$185:$AB$196,$B$185:$B$196,"&gt;="&amp;IF(核心参数输入!$B$101=0,0,25-核心参数输入!$B$101)))),0),0)</f>
        <v>0</v>
      </c>
      <c r="AD197" s="9">
        <f>IF(26&lt;=核心参数输入!$B$9,IF(AND(核心参数输入!$B$100=1,OR(核心参数输入!$B$101=0,26-12&lt;=核心参数输入!$B$101)),MAX(0,AC197-MAX(0,AD163-SUMIFS($AC$185:$AC$196,$B$185:$B$196,"&gt;="&amp;IF(核心参数输入!$B$101=0,0,26-核心参数输入!$B$101)))),0),0)</f>
        <v>0</v>
      </c>
      <c r="AE197" s="9">
        <f>IF(27&lt;=核心参数输入!$B$9,IF(AND(核心参数输入!$B$100=1,OR(核心参数输入!$B$101=0,27-12&lt;=核心参数输入!$B$101)),MAX(0,AD197-MAX(0,AE163-SUMIFS($AD$185:$AD$196,$B$185:$B$196,"&gt;="&amp;IF(核心参数输入!$B$101=0,0,27-核心参数输入!$B$101)))),0),0)</f>
        <v>0</v>
      </c>
      <c r="AF197" s="9">
        <f>IF(28&lt;=核心参数输入!$B$9,IF(AND(核心参数输入!$B$100=1,OR(核心参数输入!$B$101=0,28-12&lt;=核心参数输入!$B$101)),MAX(0,AE197-MAX(0,AF163-SUMIFS($AE$185:$AE$196,$B$185:$B$196,"&gt;="&amp;IF(核心参数输入!$B$101=0,0,28-核心参数输入!$B$101)))),0),0)</f>
        <v>0</v>
      </c>
      <c r="AG197" s="9">
        <f>IF(29&lt;=核心参数输入!$B$9,IF(AND(核心参数输入!$B$100=1,OR(核心参数输入!$B$101=0,29-12&lt;=核心参数输入!$B$101)),MAX(0,AF197-MAX(0,AG163-SUMIFS($AF$185:$AF$196,$B$185:$B$196,"&gt;="&amp;IF(核心参数输入!$B$101=0,0,29-核心参数输入!$B$101)))),0),0)</f>
        <v>0</v>
      </c>
      <c r="AH197" s="9">
        <f>IF(30&lt;=核心参数输入!$B$9,IF(AND(核心参数输入!$B$100=1,OR(核心参数输入!$B$101=0,30-12&lt;=核心参数输入!$B$101)),MAX(0,AG197-MAX(0,AH163-SUMIFS($AG$185:$AG$196,$B$185:$B$196,"&gt;="&amp;IF(核心参数输入!$B$101=0,0,30-核心参数输入!$B$101)))),0),0)</f>
        <v>0</v>
      </c>
    </row>
    <row r="198" spans="1:34" ht="21" customHeight="1">
      <c r="A198" s="8" t="s">
        <v>599</v>
      </c>
      <c r="B198" s="8">
        <v>13</v>
      </c>
      <c r="C198" s="8"/>
      <c r="D198" s="9">
        <f>IF(0&lt;=核心参数输入!$B$9,0,0)</f>
        <v>0</v>
      </c>
      <c r="E198" s="9">
        <f>IF(1&lt;=核心参数输入!$B$9,0,0)</f>
        <v>0</v>
      </c>
      <c r="F198" s="9">
        <f>IF(2&lt;=核心参数输入!$B$9,0,0)</f>
        <v>0</v>
      </c>
      <c r="G198" s="9">
        <f>IF(3&lt;=核心参数输入!$B$9,0,0)</f>
        <v>0</v>
      </c>
      <c r="H198" s="9">
        <f>IF(4&lt;=核心参数输入!$B$9,0,0)</f>
        <v>0</v>
      </c>
      <c r="I198" s="9">
        <f>IF(5&lt;=核心参数输入!$B$9,0,0)</f>
        <v>0</v>
      </c>
      <c r="J198" s="9">
        <f>IF(6&lt;=核心参数输入!$B$9,0,0)</f>
        <v>0</v>
      </c>
      <c r="K198" s="9">
        <f>IF(7&lt;=核心参数输入!$B$9,0,0)</f>
        <v>0</v>
      </c>
      <c r="L198" s="9">
        <f>IF(8&lt;=核心参数输入!$B$9,0,0)</f>
        <v>0</v>
      </c>
      <c r="M198" s="9">
        <f>IF(9&lt;=核心参数输入!$B$9,0,0)</f>
        <v>0</v>
      </c>
      <c r="N198" s="9">
        <f>IF(10&lt;=核心参数输入!$B$9,0,0)</f>
        <v>0</v>
      </c>
      <c r="O198" s="9">
        <f>IF(11&lt;=核心参数输入!$B$9,0,0)</f>
        <v>0</v>
      </c>
      <c r="P198" s="9">
        <f>IF(12&lt;=核心参数输入!$B$9,0,0)</f>
        <v>0</v>
      </c>
      <c r="Q198" s="9">
        <f>IF(13&lt;=核心参数输入!$B$9,Q166,0)</f>
        <v>125.3117283512631</v>
      </c>
      <c r="R198" s="9">
        <f>IF(14&lt;=核心参数输入!$B$9,IF(AND(核心参数输入!$B$100=1,OR(核心参数输入!$B$101=0,14-13&lt;=核心参数输入!$B$101)),MAX(0,Q198-MAX(0,R163-SUMIFS($Q$185:$Q$197,$B$185:$B$197,"&gt;="&amp;IF(核心参数输入!$B$101=0,0,14-核心参数输入!$B$101)))),0),0)</f>
        <v>125.3117283512631</v>
      </c>
      <c r="S198" s="9">
        <f>IF(15&lt;=核心参数输入!$B$9,IF(AND(核心参数输入!$B$100=1,OR(核心参数输入!$B$101=0,15-13&lt;=核心参数输入!$B$101)),MAX(0,R198-MAX(0,S163-SUMIFS($R$185:$R$197,$B$185:$B$197,"&gt;="&amp;IF(核心参数输入!$B$101=0,0,15-核心参数输入!$B$101)))),0),0)</f>
        <v>125.3117283512631</v>
      </c>
      <c r="T198" s="9">
        <f>IF(16&lt;=核心参数输入!$B$9,IF(AND(核心参数输入!$B$100=1,OR(核心参数输入!$B$101=0,16-13&lt;=核心参数输入!$B$101)),MAX(0,S198-MAX(0,T163-SUMIFS($S$185:$S$197,$B$185:$B$197,"&gt;="&amp;IF(核心参数输入!$B$101=0,0,16-核心参数输入!$B$101)))),0),0)</f>
        <v>125.3117283512631</v>
      </c>
      <c r="U198" s="9">
        <f>IF(17&lt;=核心参数输入!$B$9,IF(AND(核心参数输入!$B$100=1,OR(核心参数输入!$B$101=0,17-13&lt;=核心参数输入!$B$101)),MAX(0,T198-MAX(0,U163-SUMIFS($T$185:$T$197,$B$185:$B$197,"&gt;="&amp;IF(核心参数输入!$B$101=0,0,17-核心参数输入!$B$101)))),0),0)</f>
        <v>125.3117283512631</v>
      </c>
      <c r="V198" s="9">
        <f>IF(18&lt;=核心参数输入!$B$9,IF(AND(核心参数输入!$B$100=1,OR(核心参数输入!$B$101=0,18-13&lt;=核心参数输入!$B$101)),MAX(0,U198-MAX(0,V163-SUMIFS($U$185:$U$197,$B$185:$B$197,"&gt;="&amp;IF(核心参数输入!$B$101=0,0,18-核心参数输入!$B$101)))),0),0)</f>
        <v>125.3117283512631</v>
      </c>
      <c r="W198" s="9">
        <f>IF(19&lt;=核心参数输入!$B$9,IF(AND(核心参数输入!$B$100=1,OR(核心参数输入!$B$101=0,19-13&lt;=核心参数输入!$B$101)),MAX(0,V198-MAX(0,W163-SUMIFS($V$185:$V$197,$B$185:$B$197,"&gt;="&amp;IF(核心参数输入!$B$101=0,0,19-核心参数输入!$B$101)))),0),0)</f>
        <v>0</v>
      </c>
      <c r="X198" s="9">
        <f>IF(20&lt;=核心参数输入!$B$9,IF(AND(核心参数输入!$B$100=1,OR(核心参数输入!$B$101=0,20-13&lt;=核心参数输入!$B$101)),MAX(0,W198-MAX(0,X163-SUMIFS($W$185:$W$197,$B$185:$B$197,"&gt;="&amp;IF(核心参数输入!$B$101=0,0,20-核心参数输入!$B$101)))),0),0)</f>
        <v>0</v>
      </c>
      <c r="Y198" s="9">
        <f>IF(21&lt;=核心参数输入!$B$9,IF(AND(核心参数输入!$B$100=1,OR(核心参数输入!$B$101=0,21-13&lt;=核心参数输入!$B$101)),MAX(0,X198-MAX(0,Y163-SUMIFS($X$185:$X$197,$B$185:$B$197,"&gt;="&amp;IF(核心参数输入!$B$101=0,0,21-核心参数输入!$B$101)))),0),0)</f>
        <v>0</v>
      </c>
      <c r="Z198" s="9">
        <f>IF(22&lt;=核心参数输入!$B$9,IF(AND(核心参数输入!$B$100=1,OR(核心参数输入!$B$101=0,22-13&lt;=核心参数输入!$B$101)),MAX(0,Y198-MAX(0,Z163-SUMIFS($Y$185:$Y$197,$B$185:$B$197,"&gt;="&amp;IF(核心参数输入!$B$101=0,0,22-核心参数输入!$B$101)))),0),0)</f>
        <v>0</v>
      </c>
      <c r="AA198" s="9">
        <f>IF(23&lt;=核心参数输入!$B$9,IF(AND(核心参数输入!$B$100=1,OR(核心参数输入!$B$101=0,23-13&lt;=核心参数输入!$B$101)),MAX(0,Z198-MAX(0,AA163-SUMIFS($Z$185:$Z$197,$B$185:$B$197,"&gt;="&amp;IF(核心参数输入!$B$101=0,0,23-核心参数输入!$B$101)))),0),0)</f>
        <v>0</v>
      </c>
      <c r="AB198" s="9">
        <f>IF(24&lt;=核心参数输入!$B$9,IF(AND(核心参数输入!$B$100=1,OR(核心参数输入!$B$101=0,24-13&lt;=核心参数输入!$B$101)),MAX(0,AA198-MAX(0,AB163-SUMIFS($AA$185:$AA$197,$B$185:$B$197,"&gt;="&amp;IF(核心参数输入!$B$101=0,0,24-核心参数输入!$B$101)))),0),0)</f>
        <v>0</v>
      </c>
      <c r="AC198" s="9">
        <f>IF(25&lt;=核心参数输入!$B$9,IF(AND(核心参数输入!$B$100=1,OR(核心参数输入!$B$101=0,25-13&lt;=核心参数输入!$B$101)),MAX(0,AB198-MAX(0,AC163-SUMIFS($AB$185:$AB$197,$B$185:$B$197,"&gt;="&amp;IF(核心参数输入!$B$101=0,0,25-核心参数输入!$B$101)))),0),0)</f>
        <v>0</v>
      </c>
      <c r="AD198" s="9">
        <f>IF(26&lt;=核心参数输入!$B$9,IF(AND(核心参数输入!$B$100=1,OR(核心参数输入!$B$101=0,26-13&lt;=核心参数输入!$B$101)),MAX(0,AC198-MAX(0,AD163-SUMIFS($AC$185:$AC$197,$B$185:$B$197,"&gt;="&amp;IF(核心参数输入!$B$101=0,0,26-核心参数输入!$B$101)))),0),0)</f>
        <v>0</v>
      </c>
      <c r="AE198" s="9">
        <f>IF(27&lt;=核心参数输入!$B$9,IF(AND(核心参数输入!$B$100=1,OR(核心参数输入!$B$101=0,27-13&lt;=核心参数输入!$B$101)),MAX(0,AD198-MAX(0,AE163-SUMIFS($AD$185:$AD$197,$B$185:$B$197,"&gt;="&amp;IF(核心参数输入!$B$101=0,0,27-核心参数输入!$B$101)))),0),0)</f>
        <v>0</v>
      </c>
      <c r="AF198" s="9">
        <f>IF(28&lt;=核心参数输入!$B$9,IF(AND(核心参数输入!$B$100=1,OR(核心参数输入!$B$101=0,28-13&lt;=核心参数输入!$B$101)),MAX(0,AE198-MAX(0,AF163-SUMIFS($AE$185:$AE$197,$B$185:$B$197,"&gt;="&amp;IF(核心参数输入!$B$101=0,0,28-核心参数输入!$B$101)))),0),0)</f>
        <v>0</v>
      </c>
      <c r="AG198" s="9">
        <f>IF(29&lt;=核心参数输入!$B$9,IF(AND(核心参数输入!$B$100=1,OR(核心参数输入!$B$101=0,29-13&lt;=核心参数输入!$B$101)),MAX(0,AF198-MAX(0,AG163-SUMIFS($AF$185:$AF$197,$B$185:$B$197,"&gt;="&amp;IF(核心参数输入!$B$101=0,0,29-核心参数输入!$B$101)))),0),0)</f>
        <v>0</v>
      </c>
      <c r="AH198" s="9">
        <f>IF(30&lt;=核心参数输入!$B$9,IF(AND(核心参数输入!$B$100=1,OR(核心参数输入!$B$101=0,30-13&lt;=核心参数输入!$B$101)),MAX(0,AG198-MAX(0,AH163-SUMIFS($AG$185:$AG$197,$B$185:$B$197,"&gt;="&amp;IF(核心参数输入!$B$101=0,0,30-核心参数输入!$B$101)))),0),0)</f>
        <v>0</v>
      </c>
    </row>
    <row r="199" spans="1:34" ht="21" customHeight="1">
      <c r="A199" s="8" t="s">
        <v>600</v>
      </c>
      <c r="B199" s="8">
        <v>14</v>
      </c>
      <c r="C199" s="8"/>
      <c r="D199" s="9">
        <f>IF(0&lt;=核心参数输入!$B$9,0,0)</f>
        <v>0</v>
      </c>
      <c r="E199" s="9">
        <f>IF(1&lt;=核心参数输入!$B$9,0,0)</f>
        <v>0</v>
      </c>
      <c r="F199" s="9">
        <f>IF(2&lt;=核心参数输入!$B$9,0,0)</f>
        <v>0</v>
      </c>
      <c r="G199" s="9">
        <f>IF(3&lt;=核心参数输入!$B$9,0,0)</f>
        <v>0</v>
      </c>
      <c r="H199" s="9">
        <f>IF(4&lt;=核心参数输入!$B$9,0,0)</f>
        <v>0</v>
      </c>
      <c r="I199" s="9">
        <f>IF(5&lt;=核心参数输入!$B$9,0,0)</f>
        <v>0</v>
      </c>
      <c r="J199" s="9">
        <f>IF(6&lt;=核心参数输入!$B$9,0,0)</f>
        <v>0</v>
      </c>
      <c r="K199" s="9">
        <f>IF(7&lt;=核心参数输入!$B$9,0,0)</f>
        <v>0</v>
      </c>
      <c r="L199" s="9">
        <f>IF(8&lt;=核心参数输入!$B$9,0,0)</f>
        <v>0</v>
      </c>
      <c r="M199" s="9">
        <f>IF(9&lt;=核心参数输入!$B$9,0,0)</f>
        <v>0</v>
      </c>
      <c r="N199" s="9">
        <f>IF(10&lt;=核心参数输入!$B$9,0,0)</f>
        <v>0</v>
      </c>
      <c r="O199" s="9">
        <f>IF(11&lt;=核心参数输入!$B$9,0,0)</f>
        <v>0</v>
      </c>
      <c r="P199" s="9">
        <f>IF(12&lt;=核心参数输入!$B$9,0,0)</f>
        <v>0</v>
      </c>
      <c r="Q199" s="9">
        <f>IF(13&lt;=核心参数输入!$B$9,0,0)</f>
        <v>0</v>
      </c>
      <c r="R199" s="9">
        <f>IF(14&lt;=核心参数输入!$B$9,R166,0)</f>
        <v>112.76122812946572</v>
      </c>
      <c r="S199" s="9">
        <f>IF(15&lt;=核心参数输入!$B$9,IF(AND(核心参数输入!$B$100=1,OR(核心参数输入!$B$101=0,15-14&lt;=核心参数输入!$B$101)),MAX(0,R199-MAX(0,S163-SUMIFS($R$185:$R$198,$B$185:$B$198,"&gt;="&amp;IF(核心参数输入!$B$101=0,0,15-核心参数输入!$B$101)))),0),0)</f>
        <v>112.76122812946572</v>
      </c>
      <c r="T199" s="9">
        <f>IF(16&lt;=核心参数输入!$B$9,IF(AND(核心参数输入!$B$100=1,OR(核心参数输入!$B$101=0,16-14&lt;=核心参数输入!$B$101)),MAX(0,S199-MAX(0,T163-SUMIFS($S$185:$S$198,$B$185:$B$198,"&gt;="&amp;IF(核心参数输入!$B$101=0,0,16-核心参数输入!$B$101)))),0),0)</f>
        <v>112.76122812946572</v>
      </c>
      <c r="U199" s="9">
        <f>IF(17&lt;=核心参数输入!$B$9,IF(AND(核心参数输入!$B$100=1,OR(核心参数输入!$B$101=0,17-14&lt;=核心参数输入!$B$101)),MAX(0,T199-MAX(0,U163-SUMIFS($T$185:$T$198,$B$185:$B$198,"&gt;="&amp;IF(核心参数输入!$B$101=0,0,17-核心参数输入!$B$101)))),0),0)</f>
        <v>112.76122812946572</v>
      </c>
      <c r="V199" s="9">
        <f>IF(18&lt;=核心参数输入!$B$9,IF(AND(核心参数输入!$B$100=1,OR(核心参数输入!$B$101=0,18-14&lt;=核心参数输入!$B$101)),MAX(0,U199-MAX(0,V163-SUMIFS($U$185:$U$198,$B$185:$B$198,"&gt;="&amp;IF(核心参数输入!$B$101=0,0,18-核心参数输入!$B$101)))),0),0)</f>
        <v>112.76122812946572</v>
      </c>
      <c r="W199" s="9">
        <f>IF(19&lt;=核心参数输入!$B$9,IF(AND(核心参数输入!$B$100=1,OR(核心参数输入!$B$101=0,19-14&lt;=核心参数输入!$B$101)),MAX(0,V199-MAX(0,W163-SUMIFS($V$185:$V$198,$B$185:$B$198,"&gt;="&amp;IF(核心参数输入!$B$101=0,0,19-核心参数输入!$B$101)))),0),0)</f>
        <v>112.76122812946572</v>
      </c>
      <c r="X199" s="9">
        <f>IF(20&lt;=核心参数输入!$B$9,IF(AND(核心参数输入!$B$100=1,OR(核心参数输入!$B$101=0,20-14&lt;=核心参数输入!$B$101)),MAX(0,W199-MAX(0,X163-SUMIFS($W$185:$W$198,$B$185:$B$198,"&gt;="&amp;IF(核心参数输入!$B$101=0,0,20-核心参数输入!$B$101)))),0),0)</f>
        <v>0</v>
      </c>
      <c r="Y199" s="9">
        <f>IF(21&lt;=核心参数输入!$B$9,IF(AND(核心参数输入!$B$100=1,OR(核心参数输入!$B$101=0,21-14&lt;=核心参数输入!$B$101)),MAX(0,X199-MAX(0,Y163-SUMIFS($X$185:$X$198,$B$185:$B$198,"&gt;="&amp;IF(核心参数输入!$B$101=0,0,21-核心参数输入!$B$101)))),0),0)</f>
        <v>0</v>
      </c>
      <c r="Z199" s="9">
        <f>IF(22&lt;=核心参数输入!$B$9,IF(AND(核心参数输入!$B$100=1,OR(核心参数输入!$B$101=0,22-14&lt;=核心参数输入!$B$101)),MAX(0,Y199-MAX(0,Z163-SUMIFS($Y$185:$Y$198,$B$185:$B$198,"&gt;="&amp;IF(核心参数输入!$B$101=0,0,22-核心参数输入!$B$101)))),0),0)</f>
        <v>0</v>
      </c>
      <c r="AA199" s="9">
        <f>IF(23&lt;=核心参数输入!$B$9,IF(AND(核心参数输入!$B$100=1,OR(核心参数输入!$B$101=0,23-14&lt;=核心参数输入!$B$101)),MAX(0,Z199-MAX(0,AA163-SUMIFS($Z$185:$Z$198,$B$185:$B$198,"&gt;="&amp;IF(核心参数输入!$B$101=0,0,23-核心参数输入!$B$101)))),0),0)</f>
        <v>0</v>
      </c>
      <c r="AB199" s="9">
        <f>IF(24&lt;=核心参数输入!$B$9,IF(AND(核心参数输入!$B$100=1,OR(核心参数输入!$B$101=0,24-14&lt;=核心参数输入!$B$101)),MAX(0,AA199-MAX(0,AB163-SUMIFS($AA$185:$AA$198,$B$185:$B$198,"&gt;="&amp;IF(核心参数输入!$B$101=0,0,24-核心参数输入!$B$101)))),0),0)</f>
        <v>0</v>
      </c>
      <c r="AC199" s="9">
        <f>IF(25&lt;=核心参数输入!$B$9,IF(AND(核心参数输入!$B$100=1,OR(核心参数输入!$B$101=0,25-14&lt;=核心参数输入!$B$101)),MAX(0,AB199-MAX(0,AC163-SUMIFS($AB$185:$AB$198,$B$185:$B$198,"&gt;="&amp;IF(核心参数输入!$B$101=0,0,25-核心参数输入!$B$101)))),0),0)</f>
        <v>0</v>
      </c>
      <c r="AD199" s="9">
        <f>IF(26&lt;=核心参数输入!$B$9,IF(AND(核心参数输入!$B$100=1,OR(核心参数输入!$B$101=0,26-14&lt;=核心参数输入!$B$101)),MAX(0,AC199-MAX(0,AD163-SUMIFS($AC$185:$AC$198,$B$185:$B$198,"&gt;="&amp;IF(核心参数输入!$B$101=0,0,26-核心参数输入!$B$101)))),0),0)</f>
        <v>0</v>
      </c>
      <c r="AE199" s="9">
        <f>IF(27&lt;=核心参数输入!$B$9,IF(AND(核心参数输入!$B$100=1,OR(核心参数输入!$B$101=0,27-14&lt;=核心参数输入!$B$101)),MAX(0,AD199-MAX(0,AE163-SUMIFS($AD$185:$AD$198,$B$185:$B$198,"&gt;="&amp;IF(核心参数输入!$B$101=0,0,27-核心参数输入!$B$101)))),0),0)</f>
        <v>0</v>
      </c>
      <c r="AF199" s="9">
        <f>IF(28&lt;=核心参数输入!$B$9,IF(AND(核心参数输入!$B$100=1,OR(核心参数输入!$B$101=0,28-14&lt;=核心参数输入!$B$101)),MAX(0,AE199-MAX(0,AF163-SUMIFS($AE$185:$AE$198,$B$185:$B$198,"&gt;="&amp;IF(核心参数输入!$B$101=0,0,28-核心参数输入!$B$101)))),0),0)</f>
        <v>0</v>
      </c>
      <c r="AG199" s="9">
        <f>IF(29&lt;=核心参数输入!$B$9,IF(AND(核心参数输入!$B$100=1,OR(核心参数输入!$B$101=0,29-14&lt;=核心参数输入!$B$101)),MAX(0,AF199-MAX(0,AG163-SUMIFS($AF$185:$AF$198,$B$185:$B$198,"&gt;="&amp;IF(核心参数输入!$B$101=0,0,29-核心参数输入!$B$101)))),0),0)</f>
        <v>0</v>
      </c>
      <c r="AH199" s="9">
        <f>IF(30&lt;=核心参数输入!$B$9,IF(AND(核心参数输入!$B$100=1,OR(核心参数输入!$B$101=0,30-14&lt;=核心参数输入!$B$101)),MAX(0,AG199-MAX(0,AH163-SUMIFS($AG$185:$AG$198,$B$185:$B$198,"&gt;="&amp;IF(核心参数输入!$B$101=0,0,30-核心参数输入!$B$101)))),0),0)</f>
        <v>0</v>
      </c>
    </row>
    <row r="200" spans="1:34" ht="21" customHeight="1">
      <c r="A200" s="8" t="s">
        <v>601</v>
      </c>
      <c r="B200" s="8">
        <v>15</v>
      </c>
      <c r="C200" s="8"/>
      <c r="D200" s="9">
        <f>IF(0&lt;=核心参数输入!$B$9,0,0)</f>
        <v>0</v>
      </c>
      <c r="E200" s="9">
        <f>IF(1&lt;=核心参数输入!$B$9,0,0)</f>
        <v>0</v>
      </c>
      <c r="F200" s="9">
        <f>IF(2&lt;=核心参数输入!$B$9,0,0)</f>
        <v>0</v>
      </c>
      <c r="G200" s="9">
        <f>IF(3&lt;=核心参数输入!$B$9,0,0)</f>
        <v>0</v>
      </c>
      <c r="H200" s="9">
        <f>IF(4&lt;=核心参数输入!$B$9,0,0)</f>
        <v>0</v>
      </c>
      <c r="I200" s="9">
        <f>IF(5&lt;=核心参数输入!$B$9,0,0)</f>
        <v>0</v>
      </c>
      <c r="J200" s="9">
        <f>IF(6&lt;=核心参数输入!$B$9,0,0)</f>
        <v>0</v>
      </c>
      <c r="K200" s="9">
        <f>IF(7&lt;=核心参数输入!$B$9,0,0)</f>
        <v>0</v>
      </c>
      <c r="L200" s="9">
        <f>IF(8&lt;=核心参数输入!$B$9,0,0)</f>
        <v>0</v>
      </c>
      <c r="M200" s="9">
        <f>IF(9&lt;=核心参数输入!$B$9,0,0)</f>
        <v>0</v>
      </c>
      <c r="N200" s="9">
        <f>IF(10&lt;=核心参数输入!$B$9,0,0)</f>
        <v>0</v>
      </c>
      <c r="O200" s="9">
        <f>IF(11&lt;=核心参数输入!$B$9,0,0)</f>
        <v>0</v>
      </c>
      <c r="P200" s="9">
        <f>IF(12&lt;=核心参数输入!$B$9,0,0)</f>
        <v>0</v>
      </c>
      <c r="Q200" s="9">
        <f>IF(13&lt;=核心参数输入!$B$9,0,0)</f>
        <v>0</v>
      </c>
      <c r="R200" s="9">
        <f>IF(14&lt;=核心参数输入!$B$9,0,0)</f>
        <v>0</v>
      </c>
      <c r="S200" s="9">
        <f>IF(15&lt;=核心参数输入!$B$9,S166,0)</f>
        <v>100.05832318140014</v>
      </c>
      <c r="T200" s="9">
        <f>IF(16&lt;=核心参数输入!$B$9,IF(AND(核心参数输入!$B$100=1,OR(核心参数输入!$B$101=0,16-15&lt;=核心参数输入!$B$101)),MAX(0,S200-MAX(0,T163-SUMIFS($S$185:$S$199,$B$185:$B$199,"&gt;="&amp;IF(核心参数输入!$B$101=0,0,16-核心参数输入!$B$101)))),0),0)</f>
        <v>100.05832318140014</v>
      </c>
      <c r="U200" s="9">
        <f>IF(17&lt;=核心参数输入!$B$9,IF(AND(核心参数输入!$B$100=1,OR(核心参数输入!$B$101=0,17-15&lt;=核心参数输入!$B$101)),MAX(0,T200-MAX(0,U163-SUMIFS($T$185:$T$199,$B$185:$B$199,"&gt;="&amp;IF(核心参数输入!$B$101=0,0,17-核心参数输入!$B$101)))),0),0)</f>
        <v>100.05832318140014</v>
      </c>
      <c r="V200" s="9">
        <f>IF(18&lt;=核心参数输入!$B$9,IF(AND(核心参数输入!$B$100=1,OR(核心参数输入!$B$101=0,18-15&lt;=核心参数输入!$B$101)),MAX(0,U200-MAX(0,V163-SUMIFS($U$185:$U$199,$B$185:$B$199,"&gt;="&amp;IF(核心参数输入!$B$101=0,0,18-核心参数输入!$B$101)))),0),0)</f>
        <v>100.05832318140014</v>
      </c>
      <c r="W200" s="9">
        <f>IF(19&lt;=核心参数输入!$B$9,IF(AND(核心参数输入!$B$100=1,OR(核心参数输入!$B$101=0,19-15&lt;=核心参数输入!$B$101)),MAX(0,V200-MAX(0,W163-SUMIFS($V$185:$V$199,$B$185:$B$199,"&gt;="&amp;IF(核心参数输入!$B$101=0,0,19-核心参数输入!$B$101)))),0),0)</f>
        <v>100.05832318140014</v>
      </c>
      <c r="X200" s="9">
        <f>IF(20&lt;=核心参数输入!$B$9,IF(AND(核心参数输入!$B$100=1,OR(核心参数输入!$B$101=0,20-15&lt;=核心参数输入!$B$101)),MAX(0,W200-MAX(0,X163-SUMIFS($W$185:$W$199,$B$185:$B$199,"&gt;="&amp;IF(核心参数输入!$B$101=0,0,20-核心参数输入!$B$101)))),0),0)</f>
        <v>100.05832318140014</v>
      </c>
      <c r="Y200" s="9">
        <f>IF(21&lt;=核心参数输入!$B$9,IF(AND(核心参数输入!$B$100=1,OR(核心参数输入!$B$101=0,21-15&lt;=核心参数输入!$B$101)),MAX(0,X200-MAX(0,Y163-SUMIFS($X$185:$X$199,$B$185:$B$199,"&gt;="&amp;IF(核心参数输入!$B$101=0,0,21-核心参数输入!$B$101)))),0),0)</f>
        <v>0</v>
      </c>
      <c r="Z200" s="9">
        <f>IF(22&lt;=核心参数输入!$B$9,IF(AND(核心参数输入!$B$100=1,OR(核心参数输入!$B$101=0,22-15&lt;=核心参数输入!$B$101)),MAX(0,Y200-MAX(0,Z163-SUMIFS($Y$185:$Y$199,$B$185:$B$199,"&gt;="&amp;IF(核心参数输入!$B$101=0,0,22-核心参数输入!$B$101)))),0),0)</f>
        <v>0</v>
      </c>
      <c r="AA200" s="9">
        <f>IF(23&lt;=核心参数输入!$B$9,IF(AND(核心参数输入!$B$100=1,OR(核心参数输入!$B$101=0,23-15&lt;=核心参数输入!$B$101)),MAX(0,Z200-MAX(0,AA163-SUMIFS($Z$185:$Z$199,$B$185:$B$199,"&gt;="&amp;IF(核心参数输入!$B$101=0,0,23-核心参数输入!$B$101)))),0),0)</f>
        <v>0</v>
      </c>
      <c r="AB200" s="9">
        <f>IF(24&lt;=核心参数输入!$B$9,IF(AND(核心参数输入!$B$100=1,OR(核心参数输入!$B$101=0,24-15&lt;=核心参数输入!$B$101)),MAX(0,AA200-MAX(0,AB163-SUMIFS($AA$185:$AA$199,$B$185:$B$199,"&gt;="&amp;IF(核心参数输入!$B$101=0,0,24-核心参数输入!$B$101)))),0),0)</f>
        <v>0</v>
      </c>
      <c r="AC200" s="9">
        <f>IF(25&lt;=核心参数输入!$B$9,IF(AND(核心参数输入!$B$100=1,OR(核心参数输入!$B$101=0,25-15&lt;=核心参数输入!$B$101)),MAX(0,AB200-MAX(0,AC163-SUMIFS($AB$185:$AB$199,$B$185:$B$199,"&gt;="&amp;IF(核心参数输入!$B$101=0,0,25-核心参数输入!$B$101)))),0),0)</f>
        <v>0</v>
      </c>
      <c r="AD200" s="9">
        <f>IF(26&lt;=核心参数输入!$B$9,IF(AND(核心参数输入!$B$100=1,OR(核心参数输入!$B$101=0,26-15&lt;=核心参数输入!$B$101)),MAX(0,AC200-MAX(0,AD163-SUMIFS($AC$185:$AC$199,$B$185:$B$199,"&gt;="&amp;IF(核心参数输入!$B$101=0,0,26-核心参数输入!$B$101)))),0),0)</f>
        <v>0</v>
      </c>
      <c r="AE200" s="9">
        <f>IF(27&lt;=核心参数输入!$B$9,IF(AND(核心参数输入!$B$100=1,OR(核心参数输入!$B$101=0,27-15&lt;=核心参数输入!$B$101)),MAX(0,AD200-MAX(0,AE163-SUMIFS($AD$185:$AD$199,$B$185:$B$199,"&gt;="&amp;IF(核心参数输入!$B$101=0,0,27-核心参数输入!$B$101)))),0),0)</f>
        <v>0</v>
      </c>
      <c r="AF200" s="9">
        <f>IF(28&lt;=核心参数输入!$B$9,IF(AND(核心参数输入!$B$100=1,OR(核心参数输入!$B$101=0,28-15&lt;=核心参数输入!$B$101)),MAX(0,AE200-MAX(0,AF163-SUMIFS($AE$185:$AE$199,$B$185:$B$199,"&gt;="&amp;IF(核心参数输入!$B$101=0,0,28-核心参数输入!$B$101)))),0),0)</f>
        <v>0</v>
      </c>
      <c r="AG200" s="9">
        <f>IF(29&lt;=核心参数输入!$B$9,IF(AND(核心参数输入!$B$100=1,OR(核心参数输入!$B$101=0,29-15&lt;=核心参数输入!$B$101)),MAX(0,AF200-MAX(0,AG163-SUMIFS($AF$185:$AF$199,$B$185:$B$199,"&gt;="&amp;IF(核心参数输入!$B$101=0,0,29-核心参数输入!$B$101)))),0),0)</f>
        <v>0</v>
      </c>
      <c r="AH200" s="9">
        <f>IF(30&lt;=核心参数输入!$B$9,IF(AND(核心参数输入!$B$100=1,OR(核心参数输入!$B$101=0,30-15&lt;=核心参数输入!$B$101)),MAX(0,AG200-MAX(0,AH163-SUMIFS($AG$185:$AG$199,$B$185:$B$199,"&gt;="&amp;IF(核心参数输入!$B$101=0,0,30-核心参数输入!$B$101)))),0),0)</f>
        <v>0</v>
      </c>
    </row>
    <row r="201" spans="1:34" ht="21" customHeight="1">
      <c r="A201" s="8" t="s">
        <v>602</v>
      </c>
      <c r="B201" s="8">
        <v>16</v>
      </c>
      <c r="C201" s="8"/>
      <c r="D201" s="9">
        <f>IF(0&lt;=核心参数输入!$B$9,0,0)</f>
        <v>0</v>
      </c>
      <c r="E201" s="9">
        <f>IF(1&lt;=核心参数输入!$B$9,0,0)</f>
        <v>0</v>
      </c>
      <c r="F201" s="9">
        <f>IF(2&lt;=核心参数输入!$B$9,0,0)</f>
        <v>0</v>
      </c>
      <c r="G201" s="9">
        <f>IF(3&lt;=核心参数输入!$B$9,0,0)</f>
        <v>0</v>
      </c>
      <c r="H201" s="9">
        <f>IF(4&lt;=核心参数输入!$B$9,0,0)</f>
        <v>0</v>
      </c>
      <c r="I201" s="9">
        <f>IF(5&lt;=核心参数输入!$B$9,0,0)</f>
        <v>0</v>
      </c>
      <c r="J201" s="9">
        <f>IF(6&lt;=核心参数输入!$B$9,0,0)</f>
        <v>0</v>
      </c>
      <c r="K201" s="9">
        <f>IF(7&lt;=核心参数输入!$B$9,0,0)</f>
        <v>0</v>
      </c>
      <c r="L201" s="9">
        <f>IF(8&lt;=核心参数输入!$B$9,0,0)</f>
        <v>0</v>
      </c>
      <c r="M201" s="9">
        <f>IF(9&lt;=核心参数输入!$B$9,0,0)</f>
        <v>0</v>
      </c>
      <c r="N201" s="9">
        <f>IF(10&lt;=核心参数输入!$B$9,0,0)</f>
        <v>0</v>
      </c>
      <c r="O201" s="9">
        <f>IF(11&lt;=核心参数输入!$B$9,0,0)</f>
        <v>0</v>
      </c>
      <c r="P201" s="9">
        <f>IF(12&lt;=核心参数输入!$B$9,0,0)</f>
        <v>0</v>
      </c>
      <c r="Q201" s="9">
        <f>IF(13&lt;=核心参数输入!$B$9,0,0)</f>
        <v>0</v>
      </c>
      <c r="R201" s="9">
        <f>IF(14&lt;=核心参数输入!$B$9,0,0)</f>
        <v>0</v>
      </c>
      <c r="S201" s="9">
        <f>IF(15&lt;=核心参数输入!$B$9,0,0)</f>
        <v>0</v>
      </c>
      <c r="T201" s="9">
        <f>IF(16&lt;=核心参数输入!$B$9,T166,0)</f>
        <v>87.201444491713545</v>
      </c>
      <c r="U201" s="9">
        <f>IF(17&lt;=核心参数输入!$B$9,IF(AND(核心参数输入!$B$100=1,OR(核心参数输入!$B$101=0,17-16&lt;=核心参数输入!$B$101)),MAX(0,T201-MAX(0,U163-SUMIFS($T$185:$T$200,$B$185:$B$200,"&gt;="&amp;IF(核心参数输入!$B$101=0,0,17-核心参数输入!$B$101)))),0),0)</f>
        <v>87.201444491713545</v>
      </c>
      <c r="V201" s="9">
        <f>IF(18&lt;=核心参数输入!$B$9,IF(AND(核心参数输入!$B$100=1,OR(核心参数输入!$B$101=0,18-16&lt;=核心参数输入!$B$101)),MAX(0,U201-MAX(0,V163-SUMIFS($U$185:$U$200,$B$185:$B$200,"&gt;="&amp;IF(核心参数输入!$B$101=0,0,18-核心参数输入!$B$101)))),0),0)</f>
        <v>87.201444491713545</v>
      </c>
      <c r="W201" s="9">
        <f>IF(19&lt;=核心参数输入!$B$9,IF(AND(核心参数输入!$B$100=1,OR(核心参数输入!$B$101=0,19-16&lt;=核心参数输入!$B$101)),MAX(0,V201-MAX(0,W163-SUMIFS($V$185:$V$200,$B$185:$B$200,"&gt;="&amp;IF(核心参数输入!$B$101=0,0,19-核心参数输入!$B$101)))),0),0)</f>
        <v>87.201444491713545</v>
      </c>
      <c r="X201" s="9">
        <f>IF(20&lt;=核心参数输入!$B$9,IF(AND(核心参数输入!$B$100=1,OR(核心参数输入!$B$101=0,20-16&lt;=核心参数输入!$B$101)),MAX(0,W201-MAX(0,X163-SUMIFS($W$185:$W$200,$B$185:$B$200,"&gt;="&amp;IF(核心参数输入!$B$101=0,0,20-核心参数输入!$B$101)))),0),0)</f>
        <v>87.201444491713545</v>
      </c>
      <c r="Y201" s="9">
        <f>IF(21&lt;=核心参数输入!$B$9,IF(AND(核心参数输入!$B$100=1,OR(核心参数输入!$B$101=0,21-16&lt;=核心参数输入!$B$101)),MAX(0,X201-MAX(0,Y163-SUMIFS($X$185:$X$200,$B$185:$B$200,"&gt;="&amp;IF(核心参数输入!$B$101=0,0,21-核心参数输入!$B$101)))),0),0)</f>
        <v>0</v>
      </c>
      <c r="Z201" s="9">
        <f>IF(22&lt;=核心参数输入!$B$9,IF(AND(核心参数输入!$B$100=1,OR(核心参数输入!$B$101=0,22-16&lt;=核心参数输入!$B$101)),MAX(0,Y201-MAX(0,Z163-SUMIFS($Y$185:$Y$200,$B$185:$B$200,"&gt;="&amp;IF(核心参数输入!$B$101=0,0,22-核心参数输入!$B$101)))),0),0)</f>
        <v>0</v>
      </c>
      <c r="AA201" s="9">
        <f>IF(23&lt;=核心参数输入!$B$9,IF(AND(核心参数输入!$B$100=1,OR(核心参数输入!$B$101=0,23-16&lt;=核心参数输入!$B$101)),MAX(0,Z201-MAX(0,AA163-SUMIFS($Z$185:$Z$200,$B$185:$B$200,"&gt;="&amp;IF(核心参数输入!$B$101=0,0,23-核心参数输入!$B$101)))),0),0)</f>
        <v>0</v>
      </c>
      <c r="AB201" s="9">
        <f>IF(24&lt;=核心参数输入!$B$9,IF(AND(核心参数输入!$B$100=1,OR(核心参数输入!$B$101=0,24-16&lt;=核心参数输入!$B$101)),MAX(0,AA201-MAX(0,AB163-SUMIFS($AA$185:$AA$200,$B$185:$B$200,"&gt;="&amp;IF(核心参数输入!$B$101=0,0,24-核心参数输入!$B$101)))),0),0)</f>
        <v>0</v>
      </c>
      <c r="AC201" s="9">
        <f>IF(25&lt;=核心参数输入!$B$9,IF(AND(核心参数输入!$B$100=1,OR(核心参数输入!$B$101=0,25-16&lt;=核心参数输入!$B$101)),MAX(0,AB201-MAX(0,AC163-SUMIFS($AB$185:$AB$200,$B$185:$B$200,"&gt;="&amp;IF(核心参数输入!$B$101=0,0,25-核心参数输入!$B$101)))),0),0)</f>
        <v>0</v>
      </c>
      <c r="AD201" s="9">
        <f>IF(26&lt;=核心参数输入!$B$9,IF(AND(核心参数输入!$B$100=1,OR(核心参数输入!$B$101=0,26-16&lt;=核心参数输入!$B$101)),MAX(0,AC201-MAX(0,AD163-SUMIFS($AC$185:$AC$200,$B$185:$B$200,"&gt;="&amp;IF(核心参数输入!$B$101=0,0,26-核心参数输入!$B$101)))),0),0)</f>
        <v>0</v>
      </c>
      <c r="AE201" s="9">
        <f>IF(27&lt;=核心参数输入!$B$9,IF(AND(核心参数输入!$B$100=1,OR(核心参数输入!$B$101=0,27-16&lt;=核心参数输入!$B$101)),MAX(0,AD201-MAX(0,AE163-SUMIFS($AD$185:$AD$200,$B$185:$B$200,"&gt;="&amp;IF(核心参数输入!$B$101=0,0,27-核心参数输入!$B$101)))),0),0)</f>
        <v>0</v>
      </c>
      <c r="AF201" s="9">
        <f>IF(28&lt;=核心参数输入!$B$9,IF(AND(核心参数输入!$B$100=1,OR(核心参数输入!$B$101=0,28-16&lt;=核心参数输入!$B$101)),MAX(0,AE201-MAX(0,AF163-SUMIFS($AE$185:$AE$200,$B$185:$B$200,"&gt;="&amp;IF(核心参数输入!$B$101=0,0,28-核心参数输入!$B$101)))),0),0)</f>
        <v>0</v>
      </c>
      <c r="AG201" s="9">
        <f>IF(29&lt;=核心参数输入!$B$9,IF(AND(核心参数输入!$B$100=1,OR(核心参数输入!$B$101=0,29-16&lt;=核心参数输入!$B$101)),MAX(0,AF201-MAX(0,AG163-SUMIFS($AF$185:$AF$200,$B$185:$B$200,"&gt;="&amp;IF(核心参数输入!$B$101=0,0,29-核心参数输入!$B$101)))),0),0)</f>
        <v>0</v>
      </c>
      <c r="AH201" s="9">
        <f>IF(30&lt;=核心参数输入!$B$9,IF(AND(核心参数输入!$B$100=1,OR(核心参数输入!$B$101=0,30-16&lt;=核心参数输入!$B$101)),MAX(0,AG201-MAX(0,AH163-SUMIFS($AG$185:$AG$200,$B$185:$B$200,"&gt;="&amp;IF(核心参数输入!$B$101=0,0,30-核心参数输入!$B$101)))),0),0)</f>
        <v>0</v>
      </c>
    </row>
    <row r="202" spans="1:34" ht="21" customHeight="1">
      <c r="A202" s="8" t="s">
        <v>603</v>
      </c>
      <c r="B202" s="8">
        <v>17</v>
      </c>
      <c r="C202" s="8"/>
      <c r="D202" s="9">
        <f>IF(0&lt;=核心参数输入!$B$9,0,0)</f>
        <v>0</v>
      </c>
      <c r="E202" s="9">
        <f>IF(1&lt;=核心参数输入!$B$9,0,0)</f>
        <v>0</v>
      </c>
      <c r="F202" s="9">
        <f>IF(2&lt;=核心参数输入!$B$9,0,0)</f>
        <v>0</v>
      </c>
      <c r="G202" s="9">
        <f>IF(3&lt;=核心参数输入!$B$9,0,0)</f>
        <v>0</v>
      </c>
      <c r="H202" s="9">
        <f>IF(4&lt;=核心参数输入!$B$9,0,0)</f>
        <v>0</v>
      </c>
      <c r="I202" s="9">
        <f>IF(5&lt;=核心参数输入!$B$9,0,0)</f>
        <v>0</v>
      </c>
      <c r="J202" s="9">
        <f>IF(6&lt;=核心参数输入!$B$9,0,0)</f>
        <v>0</v>
      </c>
      <c r="K202" s="9">
        <f>IF(7&lt;=核心参数输入!$B$9,0,0)</f>
        <v>0</v>
      </c>
      <c r="L202" s="9">
        <f>IF(8&lt;=核心参数输入!$B$9,0,0)</f>
        <v>0</v>
      </c>
      <c r="M202" s="9">
        <f>IF(9&lt;=核心参数输入!$B$9,0,0)</f>
        <v>0</v>
      </c>
      <c r="N202" s="9">
        <f>IF(10&lt;=核心参数输入!$B$9,0,0)</f>
        <v>0</v>
      </c>
      <c r="O202" s="9">
        <f>IF(11&lt;=核心参数输入!$B$9,0,0)</f>
        <v>0</v>
      </c>
      <c r="P202" s="9">
        <f>IF(12&lt;=核心参数输入!$B$9,0,0)</f>
        <v>0</v>
      </c>
      <c r="Q202" s="9">
        <f>IF(13&lt;=核心参数输入!$B$9,0,0)</f>
        <v>0</v>
      </c>
      <c r="R202" s="9">
        <f>IF(14&lt;=核心参数输入!$B$9,0,0)</f>
        <v>0</v>
      </c>
      <c r="S202" s="9">
        <f>IF(15&lt;=核心参数输入!$B$9,0,0)</f>
        <v>0</v>
      </c>
      <c r="T202" s="9">
        <f>IF(16&lt;=核心参数输入!$B$9,0,0)</f>
        <v>0</v>
      </c>
      <c r="U202" s="9">
        <f>IF(17&lt;=核心参数输入!$B$9,U166,0)</f>
        <v>74.189013850932866</v>
      </c>
      <c r="V202" s="9">
        <f>IF(18&lt;=核心参数输入!$B$9,IF(AND(核心参数输入!$B$100=1,OR(核心参数输入!$B$101=0,18-17&lt;=核心参数输入!$B$101)),MAX(0,U202-MAX(0,V163-SUMIFS($U$185:$U$201,$B$185:$B$201,"&gt;="&amp;IF(核心参数输入!$B$101=0,0,18-核心参数输入!$B$101)))),0),0)</f>
        <v>74.189013850932866</v>
      </c>
      <c r="W202" s="9">
        <f>IF(19&lt;=核心参数输入!$B$9,IF(AND(核心参数输入!$B$100=1,OR(核心参数输入!$B$101=0,19-17&lt;=核心参数输入!$B$101)),MAX(0,V202-MAX(0,W163-SUMIFS($V$185:$V$201,$B$185:$B$201,"&gt;="&amp;IF(核心参数输入!$B$101=0,0,19-核心参数输入!$B$101)))),0),0)</f>
        <v>74.189013850932866</v>
      </c>
      <c r="X202" s="9">
        <f>IF(20&lt;=核心参数输入!$B$9,IF(AND(核心参数输入!$B$100=1,OR(核心参数输入!$B$101=0,20-17&lt;=核心参数输入!$B$101)),MAX(0,W202-MAX(0,X163-SUMIFS($W$185:$W$201,$B$185:$B$201,"&gt;="&amp;IF(核心参数输入!$B$101=0,0,20-核心参数输入!$B$101)))),0),0)</f>
        <v>74.189013850932866</v>
      </c>
      <c r="Y202" s="9">
        <f>IF(21&lt;=核心参数输入!$B$9,IF(AND(核心参数输入!$B$100=1,OR(核心参数输入!$B$101=0,21-17&lt;=核心参数输入!$B$101)),MAX(0,X202-MAX(0,Y163-SUMIFS($X$185:$X$201,$B$185:$B$201,"&gt;="&amp;IF(核心参数输入!$B$101=0,0,21-核心参数输入!$B$101)))),0),0)</f>
        <v>0</v>
      </c>
      <c r="Z202" s="9">
        <f>IF(22&lt;=核心参数输入!$B$9,IF(AND(核心参数输入!$B$100=1,OR(核心参数输入!$B$101=0,22-17&lt;=核心参数输入!$B$101)),MAX(0,Y202-MAX(0,Z163-SUMIFS($Y$185:$Y$201,$B$185:$B$201,"&gt;="&amp;IF(核心参数输入!$B$101=0,0,22-核心参数输入!$B$101)))),0),0)</f>
        <v>0</v>
      </c>
      <c r="AA202" s="9">
        <f>IF(23&lt;=核心参数输入!$B$9,IF(AND(核心参数输入!$B$100=1,OR(核心参数输入!$B$101=0,23-17&lt;=核心参数输入!$B$101)),MAX(0,Z202-MAX(0,AA163-SUMIFS($Z$185:$Z$201,$B$185:$B$201,"&gt;="&amp;IF(核心参数输入!$B$101=0,0,23-核心参数输入!$B$101)))),0),0)</f>
        <v>0</v>
      </c>
      <c r="AB202" s="9">
        <f>IF(24&lt;=核心参数输入!$B$9,IF(AND(核心参数输入!$B$100=1,OR(核心参数输入!$B$101=0,24-17&lt;=核心参数输入!$B$101)),MAX(0,AA202-MAX(0,AB163-SUMIFS($AA$185:$AA$201,$B$185:$B$201,"&gt;="&amp;IF(核心参数输入!$B$101=0,0,24-核心参数输入!$B$101)))),0),0)</f>
        <v>0</v>
      </c>
      <c r="AC202" s="9">
        <f>IF(25&lt;=核心参数输入!$B$9,IF(AND(核心参数输入!$B$100=1,OR(核心参数输入!$B$101=0,25-17&lt;=核心参数输入!$B$101)),MAX(0,AB202-MAX(0,AC163-SUMIFS($AB$185:$AB$201,$B$185:$B$201,"&gt;="&amp;IF(核心参数输入!$B$101=0,0,25-核心参数输入!$B$101)))),0),0)</f>
        <v>0</v>
      </c>
      <c r="AD202" s="9">
        <f>IF(26&lt;=核心参数输入!$B$9,IF(AND(核心参数输入!$B$100=1,OR(核心参数输入!$B$101=0,26-17&lt;=核心参数输入!$B$101)),MAX(0,AC202-MAX(0,AD163-SUMIFS($AC$185:$AC$201,$B$185:$B$201,"&gt;="&amp;IF(核心参数输入!$B$101=0,0,26-核心参数输入!$B$101)))),0),0)</f>
        <v>0</v>
      </c>
      <c r="AE202" s="9">
        <f>IF(27&lt;=核心参数输入!$B$9,IF(AND(核心参数输入!$B$100=1,OR(核心参数输入!$B$101=0,27-17&lt;=核心参数输入!$B$101)),MAX(0,AD202-MAX(0,AE163-SUMIFS($AD$185:$AD$201,$B$185:$B$201,"&gt;="&amp;IF(核心参数输入!$B$101=0,0,27-核心参数输入!$B$101)))),0),0)</f>
        <v>0</v>
      </c>
      <c r="AF202" s="9">
        <f>IF(28&lt;=核心参数输入!$B$9,IF(AND(核心参数输入!$B$100=1,OR(核心参数输入!$B$101=0,28-17&lt;=核心参数输入!$B$101)),MAX(0,AE202-MAX(0,AF163-SUMIFS($AE$185:$AE$201,$B$185:$B$201,"&gt;="&amp;IF(核心参数输入!$B$101=0,0,28-核心参数输入!$B$101)))),0),0)</f>
        <v>0</v>
      </c>
      <c r="AG202" s="9">
        <f>IF(29&lt;=核心参数输入!$B$9,IF(AND(核心参数输入!$B$100=1,OR(核心参数输入!$B$101=0,29-17&lt;=核心参数输入!$B$101)),MAX(0,AF202-MAX(0,AG163-SUMIFS($AF$185:$AF$201,$B$185:$B$201,"&gt;="&amp;IF(核心参数输入!$B$101=0,0,29-核心参数输入!$B$101)))),0),0)</f>
        <v>0</v>
      </c>
      <c r="AH202" s="9">
        <f>IF(30&lt;=核心参数输入!$B$9,IF(AND(核心参数输入!$B$100=1,OR(核心参数输入!$B$101=0,30-17&lt;=核心参数输入!$B$101)),MAX(0,AG202-MAX(0,AH163-SUMIFS($AG$185:$AG$201,$B$185:$B$201,"&gt;="&amp;IF(核心参数输入!$B$101=0,0,30-核心参数输入!$B$101)))),0),0)</f>
        <v>0</v>
      </c>
    </row>
    <row r="203" spans="1:34" ht="21" customHeight="1">
      <c r="A203" s="8" t="s">
        <v>604</v>
      </c>
      <c r="B203" s="8">
        <v>18</v>
      </c>
      <c r="C203" s="8"/>
      <c r="D203" s="9">
        <f>IF(0&lt;=核心参数输入!$B$9,0,0)</f>
        <v>0</v>
      </c>
      <c r="E203" s="9">
        <f>IF(1&lt;=核心参数输入!$B$9,0,0)</f>
        <v>0</v>
      </c>
      <c r="F203" s="9">
        <f>IF(2&lt;=核心参数输入!$B$9,0,0)</f>
        <v>0</v>
      </c>
      <c r="G203" s="9">
        <f>IF(3&lt;=核心参数输入!$B$9,0,0)</f>
        <v>0</v>
      </c>
      <c r="H203" s="9">
        <f>IF(4&lt;=核心参数输入!$B$9,0,0)</f>
        <v>0</v>
      </c>
      <c r="I203" s="9">
        <f>IF(5&lt;=核心参数输入!$B$9,0,0)</f>
        <v>0</v>
      </c>
      <c r="J203" s="9">
        <f>IF(6&lt;=核心参数输入!$B$9,0,0)</f>
        <v>0</v>
      </c>
      <c r="K203" s="9">
        <f>IF(7&lt;=核心参数输入!$B$9,0,0)</f>
        <v>0</v>
      </c>
      <c r="L203" s="9">
        <f>IF(8&lt;=核心参数输入!$B$9,0,0)</f>
        <v>0</v>
      </c>
      <c r="M203" s="9">
        <f>IF(9&lt;=核心参数输入!$B$9,0,0)</f>
        <v>0</v>
      </c>
      <c r="N203" s="9">
        <f>IF(10&lt;=核心参数输入!$B$9,0,0)</f>
        <v>0</v>
      </c>
      <c r="O203" s="9">
        <f>IF(11&lt;=核心参数输入!$B$9,0,0)</f>
        <v>0</v>
      </c>
      <c r="P203" s="9">
        <f>IF(12&lt;=核心参数输入!$B$9,0,0)</f>
        <v>0</v>
      </c>
      <c r="Q203" s="9">
        <f>IF(13&lt;=核心参数输入!$B$9,0,0)</f>
        <v>0</v>
      </c>
      <c r="R203" s="9">
        <f>IF(14&lt;=核心参数输入!$B$9,0,0)</f>
        <v>0</v>
      </c>
      <c r="S203" s="9">
        <f>IF(15&lt;=核心参数输入!$B$9,0,0)</f>
        <v>0</v>
      </c>
      <c r="T203" s="9">
        <f>IF(16&lt;=核心参数输入!$B$9,0,0)</f>
        <v>0</v>
      </c>
      <c r="U203" s="9">
        <f>IF(17&lt;=核心参数输入!$B$9,0,0)</f>
        <v>0</v>
      </c>
      <c r="V203" s="9">
        <f>IF(18&lt;=核心参数输入!$B$9,V166,0)</f>
        <v>61.019444004378137</v>
      </c>
      <c r="W203" s="9">
        <f>IF(19&lt;=核心参数输入!$B$9,IF(AND(核心参数输入!$B$100=1,OR(核心参数输入!$B$101=0,19-18&lt;=核心参数输入!$B$101)),MAX(0,V203-MAX(0,W163-SUMIFS($V$185:$V$202,$B$185:$B$202,"&gt;="&amp;IF(核心参数输入!$B$101=0,0,19-核心参数输入!$B$101)))),0),0)</f>
        <v>61.019444004378137</v>
      </c>
      <c r="X203" s="9">
        <f>IF(20&lt;=核心参数输入!$B$9,IF(AND(核心参数输入!$B$100=1,OR(核心参数输入!$B$101=0,20-18&lt;=核心参数输入!$B$101)),MAX(0,W203-MAX(0,X163-SUMIFS($W$185:$W$202,$B$185:$B$202,"&gt;="&amp;IF(核心参数输入!$B$101=0,0,20-核心参数输入!$B$101)))),0),0)</f>
        <v>61.019444004378137</v>
      </c>
      <c r="Y203" s="9">
        <f>IF(21&lt;=核心参数输入!$B$9,IF(AND(核心参数输入!$B$100=1,OR(核心参数输入!$B$101=0,21-18&lt;=核心参数输入!$B$101)),MAX(0,X203-MAX(0,Y163-SUMIFS($X$185:$X$202,$B$185:$B$202,"&gt;="&amp;IF(核心参数输入!$B$101=0,0,21-核心参数输入!$B$101)))),0),0)</f>
        <v>0</v>
      </c>
      <c r="Z203" s="9">
        <f>IF(22&lt;=核心参数输入!$B$9,IF(AND(核心参数输入!$B$100=1,OR(核心参数输入!$B$101=0,22-18&lt;=核心参数输入!$B$101)),MAX(0,Y203-MAX(0,Z163-SUMIFS($Y$185:$Y$202,$B$185:$B$202,"&gt;="&amp;IF(核心参数输入!$B$101=0,0,22-核心参数输入!$B$101)))),0),0)</f>
        <v>0</v>
      </c>
      <c r="AA203" s="9">
        <f>IF(23&lt;=核心参数输入!$B$9,IF(AND(核心参数输入!$B$100=1,OR(核心参数输入!$B$101=0,23-18&lt;=核心参数输入!$B$101)),MAX(0,Z203-MAX(0,AA163-SUMIFS($Z$185:$Z$202,$B$185:$B$202,"&gt;="&amp;IF(核心参数输入!$B$101=0,0,23-核心参数输入!$B$101)))),0),0)</f>
        <v>0</v>
      </c>
      <c r="AB203" s="9">
        <f>IF(24&lt;=核心参数输入!$B$9,IF(AND(核心参数输入!$B$100=1,OR(核心参数输入!$B$101=0,24-18&lt;=核心参数输入!$B$101)),MAX(0,AA203-MAX(0,AB163-SUMIFS($AA$185:$AA$202,$B$185:$B$202,"&gt;="&amp;IF(核心参数输入!$B$101=0,0,24-核心参数输入!$B$101)))),0),0)</f>
        <v>0</v>
      </c>
      <c r="AC203" s="9">
        <f>IF(25&lt;=核心参数输入!$B$9,IF(AND(核心参数输入!$B$100=1,OR(核心参数输入!$B$101=0,25-18&lt;=核心参数输入!$B$101)),MAX(0,AB203-MAX(0,AC163-SUMIFS($AB$185:$AB$202,$B$185:$B$202,"&gt;="&amp;IF(核心参数输入!$B$101=0,0,25-核心参数输入!$B$101)))),0),0)</f>
        <v>0</v>
      </c>
      <c r="AD203" s="9">
        <f>IF(26&lt;=核心参数输入!$B$9,IF(AND(核心参数输入!$B$100=1,OR(核心参数输入!$B$101=0,26-18&lt;=核心参数输入!$B$101)),MAX(0,AC203-MAX(0,AD163-SUMIFS($AC$185:$AC$202,$B$185:$B$202,"&gt;="&amp;IF(核心参数输入!$B$101=0,0,26-核心参数输入!$B$101)))),0),0)</f>
        <v>0</v>
      </c>
      <c r="AE203" s="9">
        <f>IF(27&lt;=核心参数输入!$B$9,IF(AND(核心参数输入!$B$100=1,OR(核心参数输入!$B$101=0,27-18&lt;=核心参数输入!$B$101)),MAX(0,AD203-MAX(0,AE163-SUMIFS($AD$185:$AD$202,$B$185:$B$202,"&gt;="&amp;IF(核心参数输入!$B$101=0,0,27-核心参数输入!$B$101)))),0),0)</f>
        <v>0</v>
      </c>
      <c r="AF203" s="9">
        <f>IF(28&lt;=核心参数输入!$B$9,IF(AND(核心参数输入!$B$100=1,OR(核心参数输入!$B$101=0,28-18&lt;=核心参数输入!$B$101)),MAX(0,AE203-MAX(0,AF163-SUMIFS($AE$185:$AE$202,$B$185:$B$202,"&gt;="&amp;IF(核心参数输入!$B$101=0,0,28-核心参数输入!$B$101)))),0),0)</f>
        <v>0</v>
      </c>
      <c r="AG203" s="9">
        <f>IF(29&lt;=核心参数输入!$B$9,IF(AND(核心参数输入!$B$100=1,OR(核心参数输入!$B$101=0,29-18&lt;=核心参数输入!$B$101)),MAX(0,AF203-MAX(0,AG163-SUMIFS($AF$185:$AF$202,$B$185:$B$202,"&gt;="&amp;IF(核心参数输入!$B$101=0,0,29-核心参数输入!$B$101)))),0),0)</f>
        <v>0</v>
      </c>
      <c r="AH203" s="9">
        <f>IF(30&lt;=核心参数输入!$B$9,IF(AND(核心参数输入!$B$100=1,OR(核心参数输入!$B$101=0,30-18&lt;=核心参数输入!$B$101)),MAX(0,AG203-MAX(0,AH163-SUMIFS($AG$185:$AG$202,$B$185:$B$202,"&gt;="&amp;IF(核心参数输入!$B$101=0,0,30-核心参数输入!$B$101)))),0),0)</f>
        <v>0</v>
      </c>
    </row>
    <row r="204" spans="1:34" ht="21" customHeight="1">
      <c r="A204" s="8" t="s">
        <v>605</v>
      </c>
      <c r="B204" s="8">
        <v>19</v>
      </c>
      <c r="C204" s="8"/>
      <c r="D204" s="9">
        <f>IF(0&lt;=核心参数输入!$B$9,0,0)</f>
        <v>0</v>
      </c>
      <c r="E204" s="9">
        <f>IF(1&lt;=核心参数输入!$B$9,0,0)</f>
        <v>0</v>
      </c>
      <c r="F204" s="9">
        <f>IF(2&lt;=核心参数输入!$B$9,0,0)</f>
        <v>0</v>
      </c>
      <c r="G204" s="9">
        <f>IF(3&lt;=核心参数输入!$B$9,0,0)</f>
        <v>0</v>
      </c>
      <c r="H204" s="9">
        <f>IF(4&lt;=核心参数输入!$B$9,0,0)</f>
        <v>0</v>
      </c>
      <c r="I204" s="9">
        <f>IF(5&lt;=核心参数输入!$B$9,0,0)</f>
        <v>0</v>
      </c>
      <c r="J204" s="9">
        <f>IF(6&lt;=核心参数输入!$B$9,0,0)</f>
        <v>0</v>
      </c>
      <c r="K204" s="9">
        <f>IF(7&lt;=核心参数输入!$B$9,0,0)</f>
        <v>0</v>
      </c>
      <c r="L204" s="9">
        <f>IF(8&lt;=核心参数输入!$B$9,0,0)</f>
        <v>0</v>
      </c>
      <c r="M204" s="9">
        <f>IF(9&lt;=核心参数输入!$B$9,0,0)</f>
        <v>0</v>
      </c>
      <c r="N204" s="9">
        <f>IF(10&lt;=核心参数输入!$B$9,0,0)</f>
        <v>0</v>
      </c>
      <c r="O204" s="9">
        <f>IF(11&lt;=核心参数输入!$B$9,0,0)</f>
        <v>0</v>
      </c>
      <c r="P204" s="9">
        <f>IF(12&lt;=核心参数输入!$B$9,0,0)</f>
        <v>0</v>
      </c>
      <c r="Q204" s="9">
        <f>IF(13&lt;=核心参数输入!$B$9,0,0)</f>
        <v>0</v>
      </c>
      <c r="R204" s="9">
        <f>IF(14&lt;=核心参数输入!$B$9,0,0)</f>
        <v>0</v>
      </c>
      <c r="S204" s="9">
        <f>IF(15&lt;=核心参数输入!$B$9,0,0)</f>
        <v>0</v>
      </c>
      <c r="T204" s="9">
        <f>IF(16&lt;=核心参数输入!$B$9,0,0)</f>
        <v>0</v>
      </c>
      <c r="U204" s="9">
        <f>IF(17&lt;=核心参数输入!$B$9,0,0)</f>
        <v>0</v>
      </c>
      <c r="V204" s="9">
        <f>IF(18&lt;=核心参数输入!$B$9,0,0)</f>
        <v>0</v>
      </c>
      <c r="W204" s="9">
        <f>IF(19&lt;=核心参数输入!$B$9,W166,0)</f>
        <v>47.69113880903793</v>
      </c>
      <c r="X204" s="9">
        <f>IF(20&lt;=核心参数输入!$B$9,IF(AND(核心参数输入!$B$100=1,OR(核心参数输入!$B$101=0,20-19&lt;=核心参数输入!$B$101)),MAX(0,W204-MAX(0,X163-SUMIFS($W$185:$W$203,$B$185:$B$203,"&gt;="&amp;IF(核心参数输入!$B$101=0,0,20-核心参数输入!$B$101)))),0),0)</f>
        <v>47.69113880903793</v>
      </c>
      <c r="Y204" s="9">
        <f>IF(21&lt;=核心参数输入!$B$9,IF(AND(核心参数输入!$B$100=1,OR(核心参数输入!$B$101=0,21-19&lt;=核心参数输入!$B$101)),MAX(0,X204-MAX(0,Y163-SUMIFS($X$185:$X$203,$B$185:$B$203,"&gt;="&amp;IF(核心参数输入!$B$101=0,0,21-核心参数输入!$B$101)))),0),0)</f>
        <v>0</v>
      </c>
      <c r="Z204" s="9">
        <f>IF(22&lt;=核心参数输入!$B$9,IF(AND(核心参数输入!$B$100=1,OR(核心参数输入!$B$101=0,22-19&lt;=核心参数输入!$B$101)),MAX(0,Y204-MAX(0,Z163-SUMIFS($Y$185:$Y$203,$B$185:$B$203,"&gt;="&amp;IF(核心参数输入!$B$101=0,0,22-核心参数输入!$B$101)))),0),0)</f>
        <v>0</v>
      </c>
      <c r="AA204" s="9">
        <f>IF(23&lt;=核心参数输入!$B$9,IF(AND(核心参数输入!$B$100=1,OR(核心参数输入!$B$101=0,23-19&lt;=核心参数输入!$B$101)),MAX(0,Z204-MAX(0,AA163-SUMIFS($Z$185:$Z$203,$B$185:$B$203,"&gt;="&amp;IF(核心参数输入!$B$101=0,0,23-核心参数输入!$B$101)))),0),0)</f>
        <v>0</v>
      </c>
      <c r="AB204" s="9">
        <f>IF(24&lt;=核心参数输入!$B$9,IF(AND(核心参数输入!$B$100=1,OR(核心参数输入!$B$101=0,24-19&lt;=核心参数输入!$B$101)),MAX(0,AA204-MAX(0,AB163-SUMIFS($AA$185:$AA$203,$B$185:$B$203,"&gt;="&amp;IF(核心参数输入!$B$101=0,0,24-核心参数输入!$B$101)))),0),0)</f>
        <v>0</v>
      </c>
      <c r="AC204" s="9">
        <f>IF(25&lt;=核心参数输入!$B$9,IF(AND(核心参数输入!$B$100=1,OR(核心参数输入!$B$101=0,25-19&lt;=核心参数输入!$B$101)),MAX(0,AB204-MAX(0,AC163-SUMIFS($AB$185:$AB$203,$B$185:$B$203,"&gt;="&amp;IF(核心参数输入!$B$101=0,0,25-核心参数输入!$B$101)))),0),0)</f>
        <v>0</v>
      </c>
      <c r="AD204" s="9">
        <f>IF(26&lt;=核心参数输入!$B$9,IF(AND(核心参数输入!$B$100=1,OR(核心参数输入!$B$101=0,26-19&lt;=核心参数输入!$B$101)),MAX(0,AC204-MAX(0,AD163-SUMIFS($AC$185:$AC$203,$B$185:$B$203,"&gt;="&amp;IF(核心参数输入!$B$101=0,0,26-核心参数输入!$B$101)))),0),0)</f>
        <v>0</v>
      </c>
      <c r="AE204" s="9">
        <f>IF(27&lt;=核心参数输入!$B$9,IF(AND(核心参数输入!$B$100=1,OR(核心参数输入!$B$101=0,27-19&lt;=核心参数输入!$B$101)),MAX(0,AD204-MAX(0,AE163-SUMIFS($AD$185:$AD$203,$B$185:$B$203,"&gt;="&amp;IF(核心参数输入!$B$101=0,0,27-核心参数输入!$B$101)))),0),0)</f>
        <v>0</v>
      </c>
      <c r="AF204" s="9">
        <f>IF(28&lt;=核心参数输入!$B$9,IF(AND(核心参数输入!$B$100=1,OR(核心参数输入!$B$101=0,28-19&lt;=核心参数输入!$B$101)),MAX(0,AE204-MAX(0,AF163-SUMIFS($AE$185:$AE$203,$B$185:$B$203,"&gt;="&amp;IF(核心参数输入!$B$101=0,0,28-核心参数输入!$B$101)))),0),0)</f>
        <v>0</v>
      </c>
      <c r="AG204" s="9">
        <f>IF(29&lt;=核心参数输入!$B$9,IF(AND(核心参数输入!$B$100=1,OR(核心参数输入!$B$101=0,29-19&lt;=核心参数输入!$B$101)),MAX(0,AF204-MAX(0,AG163-SUMIFS($AF$185:$AF$203,$B$185:$B$203,"&gt;="&amp;IF(核心参数输入!$B$101=0,0,29-核心参数输入!$B$101)))),0),0)</f>
        <v>0</v>
      </c>
      <c r="AH204" s="9">
        <f>IF(30&lt;=核心参数输入!$B$9,IF(AND(核心参数输入!$B$100=1,OR(核心参数输入!$B$101=0,30-19&lt;=核心参数输入!$B$101)),MAX(0,AG204-MAX(0,AH163-SUMIFS($AG$185:$AG$203,$B$185:$B$203,"&gt;="&amp;IF(核心参数输入!$B$101=0,0,30-核心参数输入!$B$101)))),0),0)</f>
        <v>0</v>
      </c>
    </row>
    <row r="205" spans="1:34" ht="21" customHeight="1">
      <c r="A205" s="8" t="s">
        <v>606</v>
      </c>
      <c r="B205" s="8">
        <v>20</v>
      </c>
      <c r="C205" s="8"/>
      <c r="D205" s="9">
        <f>IF(0&lt;=核心参数输入!$B$9,0,0)</f>
        <v>0</v>
      </c>
      <c r="E205" s="9">
        <f>IF(1&lt;=核心参数输入!$B$9,0,0)</f>
        <v>0</v>
      </c>
      <c r="F205" s="9">
        <f>IF(2&lt;=核心参数输入!$B$9,0,0)</f>
        <v>0</v>
      </c>
      <c r="G205" s="9">
        <f>IF(3&lt;=核心参数输入!$B$9,0,0)</f>
        <v>0</v>
      </c>
      <c r="H205" s="9">
        <f>IF(4&lt;=核心参数输入!$B$9,0,0)</f>
        <v>0</v>
      </c>
      <c r="I205" s="9">
        <f>IF(5&lt;=核心参数输入!$B$9,0,0)</f>
        <v>0</v>
      </c>
      <c r="J205" s="9">
        <f>IF(6&lt;=核心参数输入!$B$9,0,0)</f>
        <v>0</v>
      </c>
      <c r="K205" s="9">
        <f>IF(7&lt;=核心参数输入!$B$9,0,0)</f>
        <v>0</v>
      </c>
      <c r="L205" s="9">
        <f>IF(8&lt;=核心参数输入!$B$9,0,0)</f>
        <v>0</v>
      </c>
      <c r="M205" s="9">
        <f>IF(9&lt;=核心参数输入!$B$9,0,0)</f>
        <v>0</v>
      </c>
      <c r="N205" s="9">
        <f>IF(10&lt;=核心参数输入!$B$9,0,0)</f>
        <v>0</v>
      </c>
      <c r="O205" s="9">
        <f>IF(11&lt;=核心参数输入!$B$9,0,0)</f>
        <v>0</v>
      </c>
      <c r="P205" s="9">
        <f>IF(12&lt;=核心参数输入!$B$9,0,0)</f>
        <v>0</v>
      </c>
      <c r="Q205" s="9">
        <f>IF(13&lt;=核心参数输入!$B$9,0,0)</f>
        <v>0</v>
      </c>
      <c r="R205" s="9">
        <f>IF(14&lt;=核心参数输入!$B$9,0,0)</f>
        <v>0</v>
      </c>
      <c r="S205" s="9">
        <f>IF(15&lt;=核心参数输入!$B$9,0,0)</f>
        <v>0</v>
      </c>
      <c r="T205" s="9">
        <f>IF(16&lt;=核心参数输入!$B$9,0,0)</f>
        <v>0</v>
      </c>
      <c r="U205" s="9">
        <f>IF(17&lt;=核心参数输入!$B$9,0,0)</f>
        <v>0</v>
      </c>
      <c r="V205" s="9">
        <f>IF(18&lt;=核心参数输入!$B$9,0,0)</f>
        <v>0</v>
      </c>
      <c r="W205" s="9">
        <f>IF(19&lt;=核心参数输入!$B$9,0,0)</f>
        <v>0</v>
      </c>
      <c r="X205" s="9">
        <f>IF(20&lt;=核心参数输入!$B$9,X166,0)</f>
        <v>34.20249339865989</v>
      </c>
      <c r="Y205" s="9">
        <f>IF(21&lt;=核心参数输入!$B$9,IF(AND(核心参数输入!$B$100=1,OR(核心参数输入!$B$101=0,21-20&lt;=核心参数输入!$B$101)),MAX(0,X205-MAX(0,Y163-SUMIFS($X$185:$X$204,$B$185:$B$204,"&gt;="&amp;IF(核心参数输入!$B$101=0,0,21-核心参数输入!$B$101)))),0),0)</f>
        <v>0</v>
      </c>
      <c r="Z205" s="9">
        <f>IF(22&lt;=核心参数输入!$B$9,IF(AND(核心参数输入!$B$100=1,OR(核心参数输入!$B$101=0,22-20&lt;=核心参数输入!$B$101)),MAX(0,Y205-MAX(0,Z163-SUMIFS($Y$185:$Y$204,$B$185:$B$204,"&gt;="&amp;IF(核心参数输入!$B$101=0,0,22-核心参数输入!$B$101)))),0),0)</f>
        <v>0</v>
      </c>
      <c r="AA205" s="9">
        <f>IF(23&lt;=核心参数输入!$B$9,IF(AND(核心参数输入!$B$100=1,OR(核心参数输入!$B$101=0,23-20&lt;=核心参数输入!$B$101)),MAX(0,Z205-MAX(0,AA163-SUMIFS($Z$185:$Z$204,$B$185:$B$204,"&gt;="&amp;IF(核心参数输入!$B$101=0,0,23-核心参数输入!$B$101)))),0),0)</f>
        <v>0</v>
      </c>
      <c r="AB205" s="9">
        <f>IF(24&lt;=核心参数输入!$B$9,IF(AND(核心参数输入!$B$100=1,OR(核心参数输入!$B$101=0,24-20&lt;=核心参数输入!$B$101)),MAX(0,AA205-MAX(0,AB163-SUMIFS($AA$185:$AA$204,$B$185:$B$204,"&gt;="&amp;IF(核心参数输入!$B$101=0,0,24-核心参数输入!$B$101)))),0),0)</f>
        <v>0</v>
      </c>
      <c r="AC205" s="9">
        <f>IF(25&lt;=核心参数输入!$B$9,IF(AND(核心参数输入!$B$100=1,OR(核心参数输入!$B$101=0,25-20&lt;=核心参数输入!$B$101)),MAX(0,AB205-MAX(0,AC163-SUMIFS($AB$185:$AB$204,$B$185:$B$204,"&gt;="&amp;IF(核心参数输入!$B$101=0,0,25-核心参数输入!$B$101)))),0),0)</f>
        <v>0</v>
      </c>
      <c r="AD205" s="9">
        <f>IF(26&lt;=核心参数输入!$B$9,IF(AND(核心参数输入!$B$100=1,OR(核心参数输入!$B$101=0,26-20&lt;=核心参数输入!$B$101)),MAX(0,AC205-MAX(0,AD163-SUMIFS($AC$185:$AC$204,$B$185:$B$204,"&gt;="&amp;IF(核心参数输入!$B$101=0,0,26-核心参数输入!$B$101)))),0),0)</f>
        <v>0</v>
      </c>
      <c r="AE205" s="9">
        <f>IF(27&lt;=核心参数输入!$B$9,IF(AND(核心参数输入!$B$100=1,OR(核心参数输入!$B$101=0,27-20&lt;=核心参数输入!$B$101)),MAX(0,AD205-MAX(0,AE163-SUMIFS($AD$185:$AD$204,$B$185:$B$204,"&gt;="&amp;IF(核心参数输入!$B$101=0,0,27-核心参数输入!$B$101)))),0),0)</f>
        <v>0</v>
      </c>
      <c r="AF205" s="9">
        <f>IF(28&lt;=核心参数输入!$B$9,IF(AND(核心参数输入!$B$100=1,OR(核心参数输入!$B$101=0,28-20&lt;=核心参数输入!$B$101)),MAX(0,AE205-MAX(0,AF163-SUMIFS($AE$185:$AE$204,$B$185:$B$204,"&gt;="&amp;IF(核心参数输入!$B$101=0,0,28-核心参数输入!$B$101)))),0),0)</f>
        <v>0</v>
      </c>
      <c r="AG205" s="9">
        <f>IF(29&lt;=核心参数输入!$B$9,IF(AND(核心参数输入!$B$100=1,OR(核心参数输入!$B$101=0,29-20&lt;=核心参数输入!$B$101)),MAX(0,AF205-MAX(0,AG163-SUMIFS($AF$185:$AF$204,$B$185:$B$204,"&gt;="&amp;IF(核心参数输入!$B$101=0,0,29-核心参数输入!$B$101)))),0),0)</f>
        <v>0</v>
      </c>
      <c r="AH205" s="9">
        <f>IF(30&lt;=核心参数输入!$B$9,IF(AND(核心参数输入!$B$100=1,OR(核心参数输入!$B$101=0,30-20&lt;=核心参数输入!$B$101)),MAX(0,AG205-MAX(0,AH163-SUMIFS($AG$185:$AG$204,$B$185:$B$204,"&gt;="&amp;IF(核心参数输入!$B$101=0,0,30-核心参数输入!$B$101)))),0),0)</f>
        <v>0</v>
      </c>
    </row>
    <row r="206" spans="1:34" ht="21" customHeight="1">
      <c r="A206" s="8" t="s">
        <v>607</v>
      </c>
      <c r="B206" s="8">
        <v>21</v>
      </c>
      <c r="C206" s="8"/>
      <c r="D206" s="9">
        <f>IF(0&lt;=核心参数输入!$B$9,0,0)</f>
        <v>0</v>
      </c>
      <c r="E206" s="9">
        <f>IF(1&lt;=核心参数输入!$B$9,0,0)</f>
        <v>0</v>
      </c>
      <c r="F206" s="9">
        <f>IF(2&lt;=核心参数输入!$B$9,0,0)</f>
        <v>0</v>
      </c>
      <c r="G206" s="9">
        <f>IF(3&lt;=核心参数输入!$B$9,0,0)</f>
        <v>0</v>
      </c>
      <c r="H206" s="9">
        <f>IF(4&lt;=核心参数输入!$B$9,0,0)</f>
        <v>0</v>
      </c>
      <c r="I206" s="9">
        <f>IF(5&lt;=核心参数输入!$B$9,0,0)</f>
        <v>0</v>
      </c>
      <c r="J206" s="9">
        <f>IF(6&lt;=核心参数输入!$B$9,0,0)</f>
        <v>0</v>
      </c>
      <c r="K206" s="9">
        <f>IF(7&lt;=核心参数输入!$B$9,0,0)</f>
        <v>0</v>
      </c>
      <c r="L206" s="9">
        <f>IF(8&lt;=核心参数输入!$B$9,0,0)</f>
        <v>0</v>
      </c>
      <c r="M206" s="9">
        <f>IF(9&lt;=核心参数输入!$B$9,0,0)</f>
        <v>0</v>
      </c>
      <c r="N206" s="9">
        <f>IF(10&lt;=核心参数输入!$B$9,0,0)</f>
        <v>0</v>
      </c>
      <c r="O206" s="9">
        <f>IF(11&lt;=核心参数输入!$B$9,0,0)</f>
        <v>0</v>
      </c>
      <c r="P206" s="9">
        <f>IF(12&lt;=核心参数输入!$B$9,0,0)</f>
        <v>0</v>
      </c>
      <c r="Q206" s="9">
        <f>IF(13&lt;=核心参数输入!$B$9,0,0)</f>
        <v>0</v>
      </c>
      <c r="R206" s="9">
        <f>IF(14&lt;=核心参数输入!$B$9,0,0)</f>
        <v>0</v>
      </c>
      <c r="S206" s="9">
        <f>IF(15&lt;=核心参数输入!$B$9,0,0)</f>
        <v>0</v>
      </c>
      <c r="T206" s="9">
        <f>IF(16&lt;=核心参数输入!$B$9,0,0)</f>
        <v>0</v>
      </c>
      <c r="U206" s="9">
        <f>IF(17&lt;=核心参数输入!$B$9,0,0)</f>
        <v>0</v>
      </c>
      <c r="V206" s="9">
        <f>IF(18&lt;=核心参数输入!$B$9,0,0)</f>
        <v>0</v>
      </c>
      <c r="W206" s="9">
        <f>IF(19&lt;=核心参数输入!$B$9,0,0)</f>
        <v>0</v>
      </c>
      <c r="X206" s="9">
        <f>IF(20&lt;=核心参数输入!$B$9,0,0)</f>
        <v>0</v>
      </c>
      <c r="Y206" s="9">
        <f>IF(21&lt;=核心参数输入!$B$9,Y166,0)</f>
        <v>0</v>
      </c>
      <c r="Z206" s="9">
        <f>IF(22&lt;=核心参数输入!$B$9,IF(AND(核心参数输入!$B$100=1,OR(核心参数输入!$B$101=0,22-21&lt;=核心参数输入!$B$101)),MAX(0,Y206-MAX(0,Z163-SUMIFS($Y$185:$Y$205,$B$185:$B$205,"&gt;="&amp;IF(核心参数输入!$B$101=0,0,22-核心参数输入!$B$101)))),0),0)</f>
        <v>0</v>
      </c>
      <c r="AA206" s="9">
        <f>IF(23&lt;=核心参数输入!$B$9,IF(AND(核心参数输入!$B$100=1,OR(核心参数输入!$B$101=0,23-21&lt;=核心参数输入!$B$101)),MAX(0,Z206-MAX(0,AA163-SUMIFS($Z$185:$Z$205,$B$185:$B$205,"&gt;="&amp;IF(核心参数输入!$B$101=0,0,23-核心参数输入!$B$101)))),0),0)</f>
        <v>0</v>
      </c>
      <c r="AB206" s="9">
        <f>IF(24&lt;=核心参数输入!$B$9,IF(AND(核心参数输入!$B$100=1,OR(核心参数输入!$B$101=0,24-21&lt;=核心参数输入!$B$101)),MAX(0,AA206-MAX(0,AB163-SUMIFS($AA$185:$AA$205,$B$185:$B$205,"&gt;="&amp;IF(核心参数输入!$B$101=0,0,24-核心参数输入!$B$101)))),0),0)</f>
        <v>0</v>
      </c>
      <c r="AC206" s="9">
        <f>IF(25&lt;=核心参数输入!$B$9,IF(AND(核心参数输入!$B$100=1,OR(核心参数输入!$B$101=0,25-21&lt;=核心参数输入!$B$101)),MAX(0,AB206-MAX(0,AC163-SUMIFS($AB$185:$AB$205,$B$185:$B$205,"&gt;="&amp;IF(核心参数输入!$B$101=0,0,25-核心参数输入!$B$101)))),0),0)</f>
        <v>0</v>
      </c>
      <c r="AD206" s="9">
        <f>IF(26&lt;=核心参数输入!$B$9,IF(AND(核心参数输入!$B$100=1,OR(核心参数输入!$B$101=0,26-21&lt;=核心参数输入!$B$101)),MAX(0,AC206-MAX(0,AD163-SUMIFS($AC$185:$AC$205,$B$185:$B$205,"&gt;="&amp;IF(核心参数输入!$B$101=0,0,26-核心参数输入!$B$101)))),0),0)</f>
        <v>0</v>
      </c>
      <c r="AE206" s="9">
        <f>IF(27&lt;=核心参数输入!$B$9,IF(AND(核心参数输入!$B$100=1,OR(核心参数输入!$B$101=0,27-21&lt;=核心参数输入!$B$101)),MAX(0,AD206-MAX(0,AE163-SUMIFS($AD$185:$AD$205,$B$185:$B$205,"&gt;="&amp;IF(核心参数输入!$B$101=0,0,27-核心参数输入!$B$101)))),0),0)</f>
        <v>0</v>
      </c>
      <c r="AF206" s="9">
        <f>IF(28&lt;=核心参数输入!$B$9,IF(AND(核心参数输入!$B$100=1,OR(核心参数输入!$B$101=0,28-21&lt;=核心参数输入!$B$101)),MAX(0,AE206-MAX(0,AF163-SUMIFS($AE$185:$AE$205,$B$185:$B$205,"&gt;="&amp;IF(核心参数输入!$B$101=0,0,28-核心参数输入!$B$101)))),0),0)</f>
        <v>0</v>
      </c>
      <c r="AG206" s="9">
        <f>IF(29&lt;=核心参数输入!$B$9,IF(AND(核心参数输入!$B$100=1,OR(核心参数输入!$B$101=0,29-21&lt;=核心参数输入!$B$101)),MAX(0,AF206-MAX(0,AG163-SUMIFS($AF$185:$AF$205,$B$185:$B$205,"&gt;="&amp;IF(核心参数输入!$B$101=0,0,29-核心参数输入!$B$101)))),0),0)</f>
        <v>0</v>
      </c>
      <c r="AH206" s="9">
        <f>IF(30&lt;=核心参数输入!$B$9,IF(AND(核心参数输入!$B$100=1,OR(核心参数输入!$B$101=0,30-21&lt;=核心参数输入!$B$101)),MAX(0,AG206-MAX(0,AH163-SUMIFS($AG$185:$AG$205,$B$185:$B$205,"&gt;="&amp;IF(核心参数输入!$B$101=0,0,30-核心参数输入!$B$101)))),0),0)</f>
        <v>0</v>
      </c>
    </row>
    <row r="207" spans="1:34" ht="21" customHeight="1">
      <c r="A207" s="8" t="s">
        <v>608</v>
      </c>
      <c r="B207" s="8">
        <v>22</v>
      </c>
      <c r="C207" s="8"/>
      <c r="D207" s="9">
        <f>IF(0&lt;=核心参数输入!$B$9,0,0)</f>
        <v>0</v>
      </c>
      <c r="E207" s="9">
        <f>IF(1&lt;=核心参数输入!$B$9,0,0)</f>
        <v>0</v>
      </c>
      <c r="F207" s="9">
        <f>IF(2&lt;=核心参数输入!$B$9,0,0)</f>
        <v>0</v>
      </c>
      <c r="G207" s="9">
        <f>IF(3&lt;=核心参数输入!$B$9,0,0)</f>
        <v>0</v>
      </c>
      <c r="H207" s="9">
        <f>IF(4&lt;=核心参数输入!$B$9,0,0)</f>
        <v>0</v>
      </c>
      <c r="I207" s="9">
        <f>IF(5&lt;=核心参数输入!$B$9,0,0)</f>
        <v>0</v>
      </c>
      <c r="J207" s="9">
        <f>IF(6&lt;=核心参数输入!$B$9,0,0)</f>
        <v>0</v>
      </c>
      <c r="K207" s="9">
        <f>IF(7&lt;=核心参数输入!$B$9,0,0)</f>
        <v>0</v>
      </c>
      <c r="L207" s="9">
        <f>IF(8&lt;=核心参数输入!$B$9,0,0)</f>
        <v>0</v>
      </c>
      <c r="M207" s="9">
        <f>IF(9&lt;=核心参数输入!$B$9,0,0)</f>
        <v>0</v>
      </c>
      <c r="N207" s="9">
        <f>IF(10&lt;=核心参数输入!$B$9,0,0)</f>
        <v>0</v>
      </c>
      <c r="O207" s="9">
        <f>IF(11&lt;=核心参数输入!$B$9,0,0)</f>
        <v>0</v>
      </c>
      <c r="P207" s="9">
        <f>IF(12&lt;=核心参数输入!$B$9,0,0)</f>
        <v>0</v>
      </c>
      <c r="Q207" s="9">
        <f>IF(13&lt;=核心参数输入!$B$9,0,0)</f>
        <v>0</v>
      </c>
      <c r="R207" s="9">
        <f>IF(14&lt;=核心参数输入!$B$9,0,0)</f>
        <v>0</v>
      </c>
      <c r="S207" s="9">
        <f>IF(15&lt;=核心参数输入!$B$9,0,0)</f>
        <v>0</v>
      </c>
      <c r="T207" s="9">
        <f>IF(16&lt;=核心参数输入!$B$9,0,0)</f>
        <v>0</v>
      </c>
      <c r="U207" s="9">
        <f>IF(17&lt;=核心参数输入!$B$9,0,0)</f>
        <v>0</v>
      </c>
      <c r="V207" s="9">
        <f>IF(18&lt;=核心参数输入!$B$9,0,0)</f>
        <v>0</v>
      </c>
      <c r="W207" s="9">
        <f>IF(19&lt;=核心参数输入!$B$9,0,0)</f>
        <v>0</v>
      </c>
      <c r="X207" s="9">
        <f>IF(20&lt;=核心参数输入!$B$9,0,0)</f>
        <v>0</v>
      </c>
      <c r="Y207" s="9">
        <f>IF(21&lt;=核心参数输入!$B$9,0,0)</f>
        <v>0</v>
      </c>
      <c r="Z207" s="9">
        <f>IF(22&lt;=核心参数输入!$B$9,Z166,0)</f>
        <v>0</v>
      </c>
      <c r="AA207" s="9">
        <f>IF(23&lt;=核心参数输入!$B$9,IF(AND(核心参数输入!$B$100=1,OR(核心参数输入!$B$101=0,23-22&lt;=核心参数输入!$B$101)),MAX(0,Z207-MAX(0,AA163-SUMIFS($Z$185:$Z$206,$B$185:$B$206,"&gt;="&amp;IF(核心参数输入!$B$101=0,0,23-核心参数输入!$B$101)))),0),0)</f>
        <v>0</v>
      </c>
      <c r="AB207" s="9">
        <f>IF(24&lt;=核心参数输入!$B$9,IF(AND(核心参数输入!$B$100=1,OR(核心参数输入!$B$101=0,24-22&lt;=核心参数输入!$B$101)),MAX(0,AA207-MAX(0,AB163-SUMIFS($AA$185:$AA$206,$B$185:$B$206,"&gt;="&amp;IF(核心参数输入!$B$101=0,0,24-核心参数输入!$B$101)))),0),0)</f>
        <v>0</v>
      </c>
      <c r="AC207" s="9">
        <f>IF(25&lt;=核心参数输入!$B$9,IF(AND(核心参数输入!$B$100=1,OR(核心参数输入!$B$101=0,25-22&lt;=核心参数输入!$B$101)),MAX(0,AB207-MAX(0,AC163-SUMIFS($AB$185:$AB$206,$B$185:$B$206,"&gt;="&amp;IF(核心参数输入!$B$101=0,0,25-核心参数输入!$B$101)))),0),0)</f>
        <v>0</v>
      </c>
      <c r="AD207" s="9">
        <f>IF(26&lt;=核心参数输入!$B$9,IF(AND(核心参数输入!$B$100=1,OR(核心参数输入!$B$101=0,26-22&lt;=核心参数输入!$B$101)),MAX(0,AC207-MAX(0,AD163-SUMIFS($AC$185:$AC$206,$B$185:$B$206,"&gt;="&amp;IF(核心参数输入!$B$101=0,0,26-核心参数输入!$B$101)))),0),0)</f>
        <v>0</v>
      </c>
      <c r="AE207" s="9">
        <f>IF(27&lt;=核心参数输入!$B$9,IF(AND(核心参数输入!$B$100=1,OR(核心参数输入!$B$101=0,27-22&lt;=核心参数输入!$B$101)),MAX(0,AD207-MAX(0,AE163-SUMIFS($AD$185:$AD$206,$B$185:$B$206,"&gt;="&amp;IF(核心参数输入!$B$101=0,0,27-核心参数输入!$B$101)))),0),0)</f>
        <v>0</v>
      </c>
      <c r="AF207" s="9">
        <f>IF(28&lt;=核心参数输入!$B$9,IF(AND(核心参数输入!$B$100=1,OR(核心参数输入!$B$101=0,28-22&lt;=核心参数输入!$B$101)),MAX(0,AE207-MAX(0,AF163-SUMIFS($AE$185:$AE$206,$B$185:$B$206,"&gt;="&amp;IF(核心参数输入!$B$101=0,0,28-核心参数输入!$B$101)))),0),0)</f>
        <v>0</v>
      </c>
      <c r="AG207" s="9">
        <f>IF(29&lt;=核心参数输入!$B$9,IF(AND(核心参数输入!$B$100=1,OR(核心参数输入!$B$101=0,29-22&lt;=核心参数输入!$B$101)),MAX(0,AF207-MAX(0,AG163-SUMIFS($AF$185:$AF$206,$B$185:$B$206,"&gt;="&amp;IF(核心参数输入!$B$101=0,0,29-核心参数输入!$B$101)))),0),0)</f>
        <v>0</v>
      </c>
      <c r="AH207" s="9">
        <f>IF(30&lt;=核心参数输入!$B$9,IF(AND(核心参数输入!$B$100=1,OR(核心参数输入!$B$101=0,30-22&lt;=核心参数输入!$B$101)),MAX(0,AG207-MAX(0,AH163-SUMIFS($AG$185:$AG$206,$B$185:$B$206,"&gt;="&amp;IF(核心参数输入!$B$101=0,0,30-核心参数输入!$B$101)))),0),0)</f>
        <v>0</v>
      </c>
    </row>
    <row r="208" spans="1:34" ht="21" customHeight="1">
      <c r="A208" s="8" t="s">
        <v>609</v>
      </c>
      <c r="B208" s="8">
        <v>23</v>
      </c>
      <c r="C208" s="8"/>
      <c r="D208" s="9">
        <f>IF(0&lt;=核心参数输入!$B$9,0,0)</f>
        <v>0</v>
      </c>
      <c r="E208" s="9">
        <f>IF(1&lt;=核心参数输入!$B$9,0,0)</f>
        <v>0</v>
      </c>
      <c r="F208" s="9">
        <f>IF(2&lt;=核心参数输入!$B$9,0,0)</f>
        <v>0</v>
      </c>
      <c r="G208" s="9">
        <f>IF(3&lt;=核心参数输入!$B$9,0,0)</f>
        <v>0</v>
      </c>
      <c r="H208" s="9">
        <f>IF(4&lt;=核心参数输入!$B$9,0,0)</f>
        <v>0</v>
      </c>
      <c r="I208" s="9">
        <f>IF(5&lt;=核心参数输入!$B$9,0,0)</f>
        <v>0</v>
      </c>
      <c r="J208" s="9">
        <f>IF(6&lt;=核心参数输入!$B$9,0,0)</f>
        <v>0</v>
      </c>
      <c r="K208" s="9">
        <f>IF(7&lt;=核心参数输入!$B$9,0,0)</f>
        <v>0</v>
      </c>
      <c r="L208" s="9">
        <f>IF(8&lt;=核心参数输入!$B$9,0,0)</f>
        <v>0</v>
      </c>
      <c r="M208" s="9">
        <f>IF(9&lt;=核心参数输入!$B$9,0,0)</f>
        <v>0</v>
      </c>
      <c r="N208" s="9">
        <f>IF(10&lt;=核心参数输入!$B$9,0,0)</f>
        <v>0</v>
      </c>
      <c r="O208" s="9">
        <f>IF(11&lt;=核心参数输入!$B$9,0,0)</f>
        <v>0</v>
      </c>
      <c r="P208" s="9">
        <f>IF(12&lt;=核心参数输入!$B$9,0,0)</f>
        <v>0</v>
      </c>
      <c r="Q208" s="9">
        <f>IF(13&lt;=核心参数输入!$B$9,0,0)</f>
        <v>0</v>
      </c>
      <c r="R208" s="9">
        <f>IF(14&lt;=核心参数输入!$B$9,0,0)</f>
        <v>0</v>
      </c>
      <c r="S208" s="9">
        <f>IF(15&lt;=核心参数输入!$B$9,0,0)</f>
        <v>0</v>
      </c>
      <c r="T208" s="9">
        <f>IF(16&lt;=核心参数输入!$B$9,0,0)</f>
        <v>0</v>
      </c>
      <c r="U208" s="9">
        <f>IF(17&lt;=核心参数输入!$B$9,0,0)</f>
        <v>0</v>
      </c>
      <c r="V208" s="9">
        <f>IF(18&lt;=核心参数输入!$B$9,0,0)</f>
        <v>0</v>
      </c>
      <c r="W208" s="9">
        <f>IF(19&lt;=核心参数输入!$B$9,0,0)</f>
        <v>0</v>
      </c>
      <c r="X208" s="9">
        <f>IF(20&lt;=核心参数输入!$B$9,0,0)</f>
        <v>0</v>
      </c>
      <c r="Y208" s="9">
        <f>IF(21&lt;=核心参数输入!$B$9,0,0)</f>
        <v>0</v>
      </c>
      <c r="Z208" s="9">
        <f>IF(22&lt;=核心参数输入!$B$9,0,0)</f>
        <v>0</v>
      </c>
      <c r="AA208" s="9">
        <f>IF(23&lt;=核心参数输入!$B$9,AA166,0)</f>
        <v>0</v>
      </c>
      <c r="AB208" s="9">
        <f>IF(24&lt;=核心参数输入!$B$9,IF(AND(核心参数输入!$B$100=1,OR(核心参数输入!$B$101=0,24-23&lt;=核心参数输入!$B$101)),MAX(0,AA208-MAX(0,AB163-SUMIFS($AA$185:$AA$207,$B$185:$B$207,"&gt;="&amp;IF(核心参数输入!$B$101=0,0,24-核心参数输入!$B$101)))),0),0)</f>
        <v>0</v>
      </c>
      <c r="AC208" s="9">
        <f>IF(25&lt;=核心参数输入!$B$9,IF(AND(核心参数输入!$B$100=1,OR(核心参数输入!$B$101=0,25-23&lt;=核心参数输入!$B$101)),MAX(0,AB208-MAX(0,AC163-SUMIFS($AB$185:$AB$207,$B$185:$B$207,"&gt;="&amp;IF(核心参数输入!$B$101=0,0,25-核心参数输入!$B$101)))),0),0)</f>
        <v>0</v>
      </c>
      <c r="AD208" s="9">
        <f>IF(26&lt;=核心参数输入!$B$9,IF(AND(核心参数输入!$B$100=1,OR(核心参数输入!$B$101=0,26-23&lt;=核心参数输入!$B$101)),MAX(0,AC208-MAX(0,AD163-SUMIFS($AC$185:$AC$207,$B$185:$B$207,"&gt;="&amp;IF(核心参数输入!$B$101=0,0,26-核心参数输入!$B$101)))),0),0)</f>
        <v>0</v>
      </c>
      <c r="AE208" s="9">
        <f>IF(27&lt;=核心参数输入!$B$9,IF(AND(核心参数输入!$B$100=1,OR(核心参数输入!$B$101=0,27-23&lt;=核心参数输入!$B$101)),MAX(0,AD208-MAX(0,AE163-SUMIFS($AD$185:$AD$207,$B$185:$B$207,"&gt;="&amp;IF(核心参数输入!$B$101=0,0,27-核心参数输入!$B$101)))),0),0)</f>
        <v>0</v>
      </c>
      <c r="AF208" s="9">
        <f>IF(28&lt;=核心参数输入!$B$9,IF(AND(核心参数输入!$B$100=1,OR(核心参数输入!$B$101=0,28-23&lt;=核心参数输入!$B$101)),MAX(0,AE208-MAX(0,AF163-SUMIFS($AE$185:$AE$207,$B$185:$B$207,"&gt;="&amp;IF(核心参数输入!$B$101=0,0,28-核心参数输入!$B$101)))),0),0)</f>
        <v>0</v>
      </c>
      <c r="AG208" s="9">
        <f>IF(29&lt;=核心参数输入!$B$9,IF(AND(核心参数输入!$B$100=1,OR(核心参数输入!$B$101=0,29-23&lt;=核心参数输入!$B$101)),MAX(0,AF208-MAX(0,AG163-SUMIFS($AF$185:$AF$207,$B$185:$B$207,"&gt;="&amp;IF(核心参数输入!$B$101=0,0,29-核心参数输入!$B$101)))),0),0)</f>
        <v>0</v>
      </c>
      <c r="AH208" s="9">
        <f>IF(30&lt;=核心参数输入!$B$9,IF(AND(核心参数输入!$B$100=1,OR(核心参数输入!$B$101=0,30-23&lt;=核心参数输入!$B$101)),MAX(0,AG208-MAX(0,AH163-SUMIFS($AG$185:$AG$207,$B$185:$B$207,"&gt;="&amp;IF(核心参数输入!$B$101=0,0,30-核心参数输入!$B$101)))),0),0)</f>
        <v>0</v>
      </c>
    </row>
    <row r="209" spans="1:34" ht="21" customHeight="1">
      <c r="A209" s="8" t="s">
        <v>610</v>
      </c>
      <c r="B209" s="8">
        <v>24</v>
      </c>
      <c r="C209" s="8"/>
      <c r="D209" s="9">
        <f>IF(0&lt;=核心参数输入!$B$9,0,0)</f>
        <v>0</v>
      </c>
      <c r="E209" s="9">
        <f>IF(1&lt;=核心参数输入!$B$9,0,0)</f>
        <v>0</v>
      </c>
      <c r="F209" s="9">
        <f>IF(2&lt;=核心参数输入!$B$9,0,0)</f>
        <v>0</v>
      </c>
      <c r="G209" s="9">
        <f>IF(3&lt;=核心参数输入!$B$9,0,0)</f>
        <v>0</v>
      </c>
      <c r="H209" s="9">
        <f>IF(4&lt;=核心参数输入!$B$9,0,0)</f>
        <v>0</v>
      </c>
      <c r="I209" s="9">
        <f>IF(5&lt;=核心参数输入!$B$9,0,0)</f>
        <v>0</v>
      </c>
      <c r="J209" s="9">
        <f>IF(6&lt;=核心参数输入!$B$9,0,0)</f>
        <v>0</v>
      </c>
      <c r="K209" s="9">
        <f>IF(7&lt;=核心参数输入!$B$9,0,0)</f>
        <v>0</v>
      </c>
      <c r="L209" s="9">
        <f>IF(8&lt;=核心参数输入!$B$9,0,0)</f>
        <v>0</v>
      </c>
      <c r="M209" s="9">
        <f>IF(9&lt;=核心参数输入!$B$9,0,0)</f>
        <v>0</v>
      </c>
      <c r="N209" s="9">
        <f>IF(10&lt;=核心参数输入!$B$9,0,0)</f>
        <v>0</v>
      </c>
      <c r="O209" s="9">
        <f>IF(11&lt;=核心参数输入!$B$9,0,0)</f>
        <v>0</v>
      </c>
      <c r="P209" s="9">
        <f>IF(12&lt;=核心参数输入!$B$9,0,0)</f>
        <v>0</v>
      </c>
      <c r="Q209" s="9">
        <f>IF(13&lt;=核心参数输入!$B$9,0,0)</f>
        <v>0</v>
      </c>
      <c r="R209" s="9">
        <f>IF(14&lt;=核心参数输入!$B$9,0,0)</f>
        <v>0</v>
      </c>
      <c r="S209" s="9">
        <f>IF(15&lt;=核心参数输入!$B$9,0,0)</f>
        <v>0</v>
      </c>
      <c r="T209" s="9">
        <f>IF(16&lt;=核心参数输入!$B$9,0,0)</f>
        <v>0</v>
      </c>
      <c r="U209" s="9">
        <f>IF(17&lt;=核心参数输入!$B$9,0,0)</f>
        <v>0</v>
      </c>
      <c r="V209" s="9">
        <f>IF(18&lt;=核心参数输入!$B$9,0,0)</f>
        <v>0</v>
      </c>
      <c r="W209" s="9">
        <f>IF(19&lt;=核心参数输入!$B$9,0,0)</f>
        <v>0</v>
      </c>
      <c r="X209" s="9">
        <f>IF(20&lt;=核心参数输入!$B$9,0,0)</f>
        <v>0</v>
      </c>
      <c r="Y209" s="9">
        <f>IF(21&lt;=核心参数输入!$B$9,0,0)</f>
        <v>0</v>
      </c>
      <c r="Z209" s="9">
        <f>IF(22&lt;=核心参数输入!$B$9,0,0)</f>
        <v>0</v>
      </c>
      <c r="AA209" s="9">
        <f>IF(23&lt;=核心参数输入!$B$9,0,0)</f>
        <v>0</v>
      </c>
      <c r="AB209" s="9">
        <f>IF(24&lt;=核心参数输入!$B$9,AB166,0)</f>
        <v>0</v>
      </c>
      <c r="AC209" s="9">
        <f>IF(25&lt;=核心参数输入!$B$9,IF(AND(核心参数输入!$B$100=1,OR(核心参数输入!$B$101=0,25-24&lt;=核心参数输入!$B$101)),MAX(0,AB209-MAX(0,AC163-SUMIFS($AB$185:$AB$208,$B$185:$B$208,"&gt;="&amp;IF(核心参数输入!$B$101=0,0,25-核心参数输入!$B$101)))),0),0)</f>
        <v>0</v>
      </c>
      <c r="AD209" s="9">
        <f>IF(26&lt;=核心参数输入!$B$9,IF(AND(核心参数输入!$B$100=1,OR(核心参数输入!$B$101=0,26-24&lt;=核心参数输入!$B$101)),MAX(0,AC209-MAX(0,AD163-SUMIFS($AC$185:$AC$208,$B$185:$B$208,"&gt;="&amp;IF(核心参数输入!$B$101=0,0,26-核心参数输入!$B$101)))),0),0)</f>
        <v>0</v>
      </c>
      <c r="AE209" s="9">
        <f>IF(27&lt;=核心参数输入!$B$9,IF(AND(核心参数输入!$B$100=1,OR(核心参数输入!$B$101=0,27-24&lt;=核心参数输入!$B$101)),MAX(0,AD209-MAX(0,AE163-SUMIFS($AD$185:$AD$208,$B$185:$B$208,"&gt;="&amp;IF(核心参数输入!$B$101=0,0,27-核心参数输入!$B$101)))),0),0)</f>
        <v>0</v>
      </c>
      <c r="AF209" s="9">
        <f>IF(28&lt;=核心参数输入!$B$9,IF(AND(核心参数输入!$B$100=1,OR(核心参数输入!$B$101=0,28-24&lt;=核心参数输入!$B$101)),MAX(0,AE209-MAX(0,AF163-SUMIFS($AE$185:$AE$208,$B$185:$B$208,"&gt;="&amp;IF(核心参数输入!$B$101=0,0,28-核心参数输入!$B$101)))),0),0)</f>
        <v>0</v>
      </c>
      <c r="AG209" s="9">
        <f>IF(29&lt;=核心参数输入!$B$9,IF(AND(核心参数输入!$B$100=1,OR(核心参数输入!$B$101=0,29-24&lt;=核心参数输入!$B$101)),MAX(0,AF209-MAX(0,AG163-SUMIFS($AF$185:$AF$208,$B$185:$B$208,"&gt;="&amp;IF(核心参数输入!$B$101=0,0,29-核心参数输入!$B$101)))),0),0)</f>
        <v>0</v>
      </c>
      <c r="AH209" s="9">
        <f>IF(30&lt;=核心参数输入!$B$9,IF(AND(核心参数输入!$B$100=1,OR(核心参数输入!$B$101=0,30-24&lt;=核心参数输入!$B$101)),MAX(0,AG209-MAX(0,AH163-SUMIFS($AG$185:$AG$208,$B$185:$B$208,"&gt;="&amp;IF(核心参数输入!$B$101=0,0,30-核心参数输入!$B$101)))),0),0)</f>
        <v>0</v>
      </c>
    </row>
    <row r="210" spans="1:34" ht="21" customHeight="1">
      <c r="A210" s="8" t="s">
        <v>611</v>
      </c>
      <c r="B210" s="8">
        <v>25</v>
      </c>
      <c r="C210" s="8"/>
      <c r="D210" s="9">
        <f>IF(0&lt;=核心参数输入!$B$9,0,0)</f>
        <v>0</v>
      </c>
      <c r="E210" s="9">
        <f>IF(1&lt;=核心参数输入!$B$9,0,0)</f>
        <v>0</v>
      </c>
      <c r="F210" s="9">
        <f>IF(2&lt;=核心参数输入!$B$9,0,0)</f>
        <v>0</v>
      </c>
      <c r="G210" s="9">
        <f>IF(3&lt;=核心参数输入!$B$9,0,0)</f>
        <v>0</v>
      </c>
      <c r="H210" s="9">
        <f>IF(4&lt;=核心参数输入!$B$9,0,0)</f>
        <v>0</v>
      </c>
      <c r="I210" s="9">
        <f>IF(5&lt;=核心参数输入!$B$9,0,0)</f>
        <v>0</v>
      </c>
      <c r="J210" s="9">
        <f>IF(6&lt;=核心参数输入!$B$9,0,0)</f>
        <v>0</v>
      </c>
      <c r="K210" s="9">
        <f>IF(7&lt;=核心参数输入!$B$9,0,0)</f>
        <v>0</v>
      </c>
      <c r="L210" s="9">
        <f>IF(8&lt;=核心参数输入!$B$9,0,0)</f>
        <v>0</v>
      </c>
      <c r="M210" s="9">
        <f>IF(9&lt;=核心参数输入!$B$9,0,0)</f>
        <v>0</v>
      </c>
      <c r="N210" s="9">
        <f>IF(10&lt;=核心参数输入!$B$9,0,0)</f>
        <v>0</v>
      </c>
      <c r="O210" s="9">
        <f>IF(11&lt;=核心参数输入!$B$9,0,0)</f>
        <v>0</v>
      </c>
      <c r="P210" s="9">
        <f>IF(12&lt;=核心参数输入!$B$9,0,0)</f>
        <v>0</v>
      </c>
      <c r="Q210" s="9">
        <f>IF(13&lt;=核心参数输入!$B$9,0,0)</f>
        <v>0</v>
      </c>
      <c r="R210" s="9">
        <f>IF(14&lt;=核心参数输入!$B$9,0,0)</f>
        <v>0</v>
      </c>
      <c r="S210" s="9">
        <f>IF(15&lt;=核心参数输入!$B$9,0,0)</f>
        <v>0</v>
      </c>
      <c r="T210" s="9">
        <f>IF(16&lt;=核心参数输入!$B$9,0,0)</f>
        <v>0</v>
      </c>
      <c r="U210" s="9">
        <f>IF(17&lt;=核心参数输入!$B$9,0,0)</f>
        <v>0</v>
      </c>
      <c r="V210" s="9">
        <f>IF(18&lt;=核心参数输入!$B$9,0,0)</f>
        <v>0</v>
      </c>
      <c r="W210" s="9">
        <f>IF(19&lt;=核心参数输入!$B$9,0,0)</f>
        <v>0</v>
      </c>
      <c r="X210" s="9">
        <f>IF(20&lt;=核心参数输入!$B$9,0,0)</f>
        <v>0</v>
      </c>
      <c r="Y210" s="9">
        <f>IF(21&lt;=核心参数输入!$B$9,0,0)</f>
        <v>0</v>
      </c>
      <c r="Z210" s="9">
        <f>IF(22&lt;=核心参数输入!$B$9,0,0)</f>
        <v>0</v>
      </c>
      <c r="AA210" s="9">
        <f>IF(23&lt;=核心参数输入!$B$9,0,0)</f>
        <v>0</v>
      </c>
      <c r="AB210" s="9">
        <f>IF(24&lt;=核心参数输入!$B$9,0,0)</f>
        <v>0</v>
      </c>
      <c r="AC210" s="9">
        <f>IF(25&lt;=核心参数输入!$B$9,AC166,0)</f>
        <v>0</v>
      </c>
      <c r="AD210" s="9">
        <f>IF(26&lt;=核心参数输入!$B$9,IF(AND(核心参数输入!$B$100=1,OR(核心参数输入!$B$101=0,26-25&lt;=核心参数输入!$B$101)),MAX(0,AC210-MAX(0,AD163-SUMIFS($AC$185:$AC$209,$B$185:$B$209,"&gt;="&amp;IF(核心参数输入!$B$101=0,0,26-核心参数输入!$B$101)))),0),0)</f>
        <v>0</v>
      </c>
      <c r="AE210" s="9">
        <f>IF(27&lt;=核心参数输入!$B$9,IF(AND(核心参数输入!$B$100=1,OR(核心参数输入!$B$101=0,27-25&lt;=核心参数输入!$B$101)),MAX(0,AD210-MAX(0,AE163-SUMIFS($AD$185:$AD$209,$B$185:$B$209,"&gt;="&amp;IF(核心参数输入!$B$101=0,0,27-核心参数输入!$B$101)))),0),0)</f>
        <v>0</v>
      </c>
      <c r="AF210" s="9">
        <f>IF(28&lt;=核心参数输入!$B$9,IF(AND(核心参数输入!$B$100=1,OR(核心参数输入!$B$101=0,28-25&lt;=核心参数输入!$B$101)),MAX(0,AE210-MAX(0,AF163-SUMIFS($AE$185:$AE$209,$B$185:$B$209,"&gt;="&amp;IF(核心参数输入!$B$101=0,0,28-核心参数输入!$B$101)))),0),0)</f>
        <v>0</v>
      </c>
      <c r="AG210" s="9">
        <f>IF(29&lt;=核心参数输入!$B$9,IF(AND(核心参数输入!$B$100=1,OR(核心参数输入!$B$101=0,29-25&lt;=核心参数输入!$B$101)),MAX(0,AF210-MAX(0,AG163-SUMIFS($AF$185:$AF$209,$B$185:$B$209,"&gt;="&amp;IF(核心参数输入!$B$101=0,0,29-核心参数输入!$B$101)))),0),0)</f>
        <v>0</v>
      </c>
      <c r="AH210" s="9">
        <f>IF(30&lt;=核心参数输入!$B$9,IF(AND(核心参数输入!$B$100=1,OR(核心参数输入!$B$101=0,30-25&lt;=核心参数输入!$B$101)),MAX(0,AG210-MAX(0,AH163-SUMIFS($AG$185:$AG$209,$B$185:$B$209,"&gt;="&amp;IF(核心参数输入!$B$101=0,0,30-核心参数输入!$B$101)))),0),0)</f>
        <v>0</v>
      </c>
    </row>
    <row r="211" spans="1:34" ht="21" customHeight="1">
      <c r="A211" s="8" t="s">
        <v>612</v>
      </c>
      <c r="B211" s="8">
        <v>26</v>
      </c>
      <c r="C211" s="8"/>
      <c r="D211" s="9">
        <f>IF(0&lt;=核心参数输入!$B$9,0,0)</f>
        <v>0</v>
      </c>
      <c r="E211" s="9">
        <f>IF(1&lt;=核心参数输入!$B$9,0,0)</f>
        <v>0</v>
      </c>
      <c r="F211" s="9">
        <f>IF(2&lt;=核心参数输入!$B$9,0,0)</f>
        <v>0</v>
      </c>
      <c r="G211" s="9">
        <f>IF(3&lt;=核心参数输入!$B$9,0,0)</f>
        <v>0</v>
      </c>
      <c r="H211" s="9">
        <f>IF(4&lt;=核心参数输入!$B$9,0,0)</f>
        <v>0</v>
      </c>
      <c r="I211" s="9">
        <f>IF(5&lt;=核心参数输入!$B$9,0,0)</f>
        <v>0</v>
      </c>
      <c r="J211" s="9">
        <f>IF(6&lt;=核心参数输入!$B$9,0,0)</f>
        <v>0</v>
      </c>
      <c r="K211" s="9">
        <f>IF(7&lt;=核心参数输入!$B$9,0,0)</f>
        <v>0</v>
      </c>
      <c r="L211" s="9">
        <f>IF(8&lt;=核心参数输入!$B$9,0,0)</f>
        <v>0</v>
      </c>
      <c r="M211" s="9">
        <f>IF(9&lt;=核心参数输入!$B$9,0,0)</f>
        <v>0</v>
      </c>
      <c r="N211" s="9">
        <f>IF(10&lt;=核心参数输入!$B$9,0,0)</f>
        <v>0</v>
      </c>
      <c r="O211" s="9">
        <f>IF(11&lt;=核心参数输入!$B$9,0,0)</f>
        <v>0</v>
      </c>
      <c r="P211" s="9">
        <f>IF(12&lt;=核心参数输入!$B$9,0,0)</f>
        <v>0</v>
      </c>
      <c r="Q211" s="9">
        <f>IF(13&lt;=核心参数输入!$B$9,0,0)</f>
        <v>0</v>
      </c>
      <c r="R211" s="9">
        <f>IF(14&lt;=核心参数输入!$B$9,0,0)</f>
        <v>0</v>
      </c>
      <c r="S211" s="9">
        <f>IF(15&lt;=核心参数输入!$B$9,0,0)</f>
        <v>0</v>
      </c>
      <c r="T211" s="9">
        <f>IF(16&lt;=核心参数输入!$B$9,0,0)</f>
        <v>0</v>
      </c>
      <c r="U211" s="9">
        <f>IF(17&lt;=核心参数输入!$B$9,0,0)</f>
        <v>0</v>
      </c>
      <c r="V211" s="9">
        <f>IF(18&lt;=核心参数输入!$B$9,0,0)</f>
        <v>0</v>
      </c>
      <c r="W211" s="9">
        <f>IF(19&lt;=核心参数输入!$B$9,0,0)</f>
        <v>0</v>
      </c>
      <c r="X211" s="9">
        <f>IF(20&lt;=核心参数输入!$B$9,0,0)</f>
        <v>0</v>
      </c>
      <c r="Y211" s="9">
        <f>IF(21&lt;=核心参数输入!$B$9,0,0)</f>
        <v>0</v>
      </c>
      <c r="Z211" s="9">
        <f>IF(22&lt;=核心参数输入!$B$9,0,0)</f>
        <v>0</v>
      </c>
      <c r="AA211" s="9">
        <f>IF(23&lt;=核心参数输入!$B$9,0,0)</f>
        <v>0</v>
      </c>
      <c r="AB211" s="9">
        <f>IF(24&lt;=核心参数输入!$B$9,0,0)</f>
        <v>0</v>
      </c>
      <c r="AC211" s="9">
        <f>IF(25&lt;=核心参数输入!$B$9,0,0)</f>
        <v>0</v>
      </c>
      <c r="AD211" s="9">
        <f>IF(26&lt;=核心参数输入!$B$9,AD166,0)</f>
        <v>0</v>
      </c>
      <c r="AE211" s="9">
        <f>IF(27&lt;=核心参数输入!$B$9,IF(AND(核心参数输入!$B$100=1,OR(核心参数输入!$B$101=0,27-26&lt;=核心参数输入!$B$101)),MAX(0,AD211-MAX(0,AE163-SUMIFS($AD$185:$AD$210,$B$185:$B$210,"&gt;="&amp;IF(核心参数输入!$B$101=0,0,27-核心参数输入!$B$101)))),0),0)</f>
        <v>0</v>
      </c>
      <c r="AF211" s="9">
        <f>IF(28&lt;=核心参数输入!$B$9,IF(AND(核心参数输入!$B$100=1,OR(核心参数输入!$B$101=0,28-26&lt;=核心参数输入!$B$101)),MAX(0,AE211-MAX(0,AF163-SUMIFS($AE$185:$AE$210,$B$185:$B$210,"&gt;="&amp;IF(核心参数输入!$B$101=0,0,28-核心参数输入!$B$101)))),0),0)</f>
        <v>0</v>
      </c>
      <c r="AG211" s="9">
        <f>IF(29&lt;=核心参数输入!$B$9,IF(AND(核心参数输入!$B$100=1,OR(核心参数输入!$B$101=0,29-26&lt;=核心参数输入!$B$101)),MAX(0,AF211-MAX(0,AG163-SUMIFS($AF$185:$AF$210,$B$185:$B$210,"&gt;="&amp;IF(核心参数输入!$B$101=0,0,29-核心参数输入!$B$101)))),0),0)</f>
        <v>0</v>
      </c>
      <c r="AH211" s="9">
        <f>IF(30&lt;=核心参数输入!$B$9,IF(AND(核心参数输入!$B$100=1,OR(核心参数输入!$B$101=0,30-26&lt;=核心参数输入!$B$101)),MAX(0,AG211-MAX(0,AH163-SUMIFS($AG$185:$AG$210,$B$185:$B$210,"&gt;="&amp;IF(核心参数输入!$B$101=0,0,30-核心参数输入!$B$101)))),0),0)</f>
        <v>0</v>
      </c>
    </row>
    <row r="212" spans="1:34" ht="21" customHeight="1">
      <c r="A212" s="8" t="s">
        <v>613</v>
      </c>
      <c r="B212" s="8">
        <v>27</v>
      </c>
      <c r="C212" s="8"/>
      <c r="D212" s="9">
        <f>IF(0&lt;=核心参数输入!$B$9,0,0)</f>
        <v>0</v>
      </c>
      <c r="E212" s="9">
        <f>IF(1&lt;=核心参数输入!$B$9,0,0)</f>
        <v>0</v>
      </c>
      <c r="F212" s="9">
        <f>IF(2&lt;=核心参数输入!$B$9,0,0)</f>
        <v>0</v>
      </c>
      <c r="G212" s="9">
        <f>IF(3&lt;=核心参数输入!$B$9,0,0)</f>
        <v>0</v>
      </c>
      <c r="H212" s="9">
        <f>IF(4&lt;=核心参数输入!$B$9,0,0)</f>
        <v>0</v>
      </c>
      <c r="I212" s="9">
        <f>IF(5&lt;=核心参数输入!$B$9,0,0)</f>
        <v>0</v>
      </c>
      <c r="J212" s="9">
        <f>IF(6&lt;=核心参数输入!$B$9,0,0)</f>
        <v>0</v>
      </c>
      <c r="K212" s="9">
        <f>IF(7&lt;=核心参数输入!$B$9,0,0)</f>
        <v>0</v>
      </c>
      <c r="L212" s="9">
        <f>IF(8&lt;=核心参数输入!$B$9,0,0)</f>
        <v>0</v>
      </c>
      <c r="M212" s="9">
        <f>IF(9&lt;=核心参数输入!$B$9,0,0)</f>
        <v>0</v>
      </c>
      <c r="N212" s="9">
        <f>IF(10&lt;=核心参数输入!$B$9,0,0)</f>
        <v>0</v>
      </c>
      <c r="O212" s="9">
        <f>IF(11&lt;=核心参数输入!$B$9,0,0)</f>
        <v>0</v>
      </c>
      <c r="P212" s="9">
        <f>IF(12&lt;=核心参数输入!$B$9,0,0)</f>
        <v>0</v>
      </c>
      <c r="Q212" s="9">
        <f>IF(13&lt;=核心参数输入!$B$9,0,0)</f>
        <v>0</v>
      </c>
      <c r="R212" s="9">
        <f>IF(14&lt;=核心参数输入!$B$9,0,0)</f>
        <v>0</v>
      </c>
      <c r="S212" s="9">
        <f>IF(15&lt;=核心参数输入!$B$9,0,0)</f>
        <v>0</v>
      </c>
      <c r="T212" s="9">
        <f>IF(16&lt;=核心参数输入!$B$9,0,0)</f>
        <v>0</v>
      </c>
      <c r="U212" s="9">
        <f>IF(17&lt;=核心参数输入!$B$9,0,0)</f>
        <v>0</v>
      </c>
      <c r="V212" s="9">
        <f>IF(18&lt;=核心参数输入!$B$9,0,0)</f>
        <v>0</v>
      </c>
      <c r="W212" s="9">
        <f>IF(19&lt;=核心参数输入!$B$9,0,0)</f>
        <v>0</v>
      </c>
      <c r="X212" s="9">
        <f>IF(20&lt;=核心参数输入!$B$9,0,0)</f>
        <v>0</v>
      </c>
      <c r="Y212" s="9">
        <f>IF(21&lt;=核心参数输入!$B$9,0,0)</f>
        <v>0</v>
      </c>
      <c r="Z212" s="9">
        <f>IF(22&lt;=核心参数输入!$B$9,0,0)</f>
        <v>0</v>
      </c>
      <c r="AA212" s="9">
        <f>IF(23&lt;=核心参数输入!$B$9,0,0)</f>
        <v>0</v>
      </c>
      <c r="AB212" s="9">
        <f>IF(24&lt;=核心参数输入!$B$9,0,0)</f>
        <v>0</v>
      </c>
      <c r="AC212" s="9">
        <f>IF(25&lt;=核心参数输入!$B$9,0,0)</f>
        <v>0</v>
      </c>
      <c r="AD212" s="9">
        <f>IF(26&lt;=核心参数输入!$B$9,0,0)</f>
        <v>0</v>
      </c>
      <c r="AE212" s="9">
        <f>IF(27&lt;=核心参数输入!$B$9,AE166,0)</f>
        <v>0</v>
      </c>
      <c r="AF212" s="9">
        <f>IF(28&lt;=核心参数输入!$B$9,IF(AND(核心参数输入!$B$100=1,OR(核心参数输入!$B$101=0,28-27&lt;=核心参数输入!$B$101)),MAX(0,AE212-MAX(0,AF163-SUMIFS($AE$185:$AE$211,$B$185:$B$211,"&gt;="&amp;IF(核心参数输入!$B$101=0,0,28-核心参数输入!$B$101)))),0),0)</f>
        <v>0</v>
      </c>
      <c r="AG212" s="9">
        <f>IF(29&lt;=核心参数输入!$B$9,IF(AND(核心参数输入!$B$100=1,OR(核心参数输入!$B$101=0,29-27&lt;=核心参数输入!$B$101)),MAX(0,AF212-MAX(0,AG163-SUMIFS($AF$185:$AF$211,$B$185:$B$211,"&gt;="&amp;IF(核心参数输入!$B$101=0,0,29-核心参数输入!$B$101)))),0),0)</f>
        <v>0</v>
      </c>
      <c r="AH212" s="9">
        <f>IF(30&lt;=核心参数输入!$B$9,IF(AND(核心参数输入!$B$100=1,OR(核心参数输入!$B$101=0,30-27&lt;=核心参数输入!$B$101)),MAX(0,AG212-MAX(0,AH163-SUMIFS($AG$185:$AG$211,$B$185:$B$211,"&gt;="&amp;IF(核心参数输入!$B$101=0,0,30-核心参数输入!$B$101)))),0),0)</f>
        <v>0</v>
      </c>
    </row>
    <row r="213" spans="1:34" ht="21" customHeight="1">
      <c r="A213" s="8" t="s">
        <v>614</v>
      </c>
      <c r="B213" s="8">
        <v>28</v>
      </c>
      <c r="C213" s="8"/>
      <c r="D213" s="9">
        <f>IF(0&lt;=核心参数输入!$B$9,0,0)</f>
        <v>0</v>
      </c>
      <c r="E213" s="9">
        <f>IF(1&lt;=核心参数输入!$B$9,0,0)</f>
        <v>0</v>
      </c>
      <c r="F213" s="9">
        <f>IF(2&lt;=核心参数输入!$B$9,0,0)</f>
        <v>0</v>
      </c>
      <c r="G213" s="9">
        <f>IF(3&lt;=核心参数输入!$B$9,0,0)</f>
        <v>0</v>
      </c>
      <c r="H213" s="9">
        <f>IF(4&lt;=核心参数输入!$B$9,0,0)</f>
        <v>0</v>
      </c>
      <c r="I213" s="9">
        <f>IF(5&lt;=核心参数输入!$B$9,0,0)</f>
        <v>0</v>
      </c>
      <c r="J213" s="9">
        <f>IF(6&lt;=核心参数输入!$B$9,0,0)</f>
        <v>0</v>
      </c>
      <c r="K213" s="9">
        <f>IF(7&lt;=核心参数输入!$B$9,0,0)</f>
        <v>0</v>
      </c>
      <c r="L213" s="9">
        <f>IF(8&lt;=核心参数输入!$B$9,0,0)</f>
        <v>0</v>
      </c>
      <c r="M213" s="9">
        <f>IF(9&lt;=核心参数输入!$B$9,0,0)</f>
        <v>0</v>
      </c>
      <c r="N213" s="9">
        <f>IF(10&lt;=核心参数输入!$B$9,0,0)</f>
        <v>0</v>
      </c>
      <c r="O213" s="9">
        <f>IF(11&lt;=核心参数输入!$B$9,0,0)</f>
        <v>0</v>
      </c>
      <c r="P213" s="9">
        <f>IF(12&lt;=核心参数输入!$B$9,0,0)</f>
        <v>0</v>
      </c>
      <c r="Q213" s="9">
        <f>IF(13&lt;=核心参数输入!$B$9,0,0)</f>
        <v>0</v>
      </c>
      <c r="R213" s="9">
        <f>IF(14&lt;=核心参数输入!$B$9,0,0)</f>
        <v>0</v>
      </c>
      <c r="S213" s="9">
        <f>IF(15&lt;=核心参数输入!$B$9,0,0)</f>
        <v>0</v>
      </c>
      <c r="T213" s="9">
        <f>IF(16&lt;=核心参数输入!$B$9,0,0)</f>
        <v>0</v>
      </c>
      <c r="U213" s="9">
        <f>IF(17&lt;=核心参数输入!$B$9,0,0)</f>
        <v>0</v>
      </c>
      <c r="V213" s="9">
        <f>IF(18&lt;=核心参数输入!$B$9,0,0)</f>
        <v>0</v>
      </c>
      <c r="W213" s="9">
        <f>IF(19&lt;=核心参数输入!$B$9,0,0)</f>
        <v>0</v>
      </c>
      <c r="X213" s="9">
        <f>IF(20&lt;=核心参数输入!$B$9,0,0)</f>
        <v>0</v>
      </c>
      <c r="Y213" s="9">
        <f>IF(21&lt;=核心参数输入!$B$9,0,0)</f>
        <v>0</v>
      </c>
      <c r="Z213" s="9">
        <f>IF(22&lt;=核心参数输入!$B$9,0,0)</f>
        <v>0</v>
      </c>
      <c r="AA213" s="9">
        <f>IF(23&lt;=核心参数输入!$B$9,0,0)</f>
        <v>0</v>
      </c>
      <c r="AB213" s="9">
        <f>IF(24&lt;=核心参数输入!$B$9,0,0)</f>
        <v>0</v>
      </c>
      <c r="AC213" s="9">
        <f>IF(25&lt;=核心参数输入!$B$9,0,0)</f>
        <v>0</v>
      </c>
      <c r="AD213" s="9">
        <f>IF(26&lt;=核心参数输入!$B$9,0,0)</f>
        <v>0</v>
      </c>
      <c r="AE213" s="9">
        <f>IF(27&lt;=核心参数输入!$B$9,0,0)</f>
        <v>0</v>
      </c>
      <c r="AF213" s="9">
        <f>IF(28&lt;=核心参数输入!$B$9,AF166,0)</f>
        <v>0</v>
      </c>
      <c r="AG213" s="9">
        <f>IF(29&lt;=核心参数输入!$B$9,IF(AND(核心参数输入!$B$100=1,OR(核心参数输入!$B$101=0,29-28&lt;=核心参数输入!$B$101)),MAX(0,AF213-MAX(0,AG163-SUMIFS($AF$185:$AF$212,$B$185:$B$212,"&gt;="&amp;IF(核心参数输入!$B$101=0,0,29-核心参数输入!$B$101)))),0),0)</f>
        <v>0</v>
      </c>
      <c r="AH213" s="9">
        <f>IF(30&lt;=核心参数输入!$B$9,IF(AND(核心参数输入!$B$100=1,OR(核心参数输入!$B$101=0,30-28&lt;=核心参数输入!$B$101)),MAX(0,AG213-MAX(0,AH163-SUMIFS($AG$185:$AG$212,$B$185:$B$212,"&gt;="&amp;IF(核心参数输入!$B$101=0,0,30-核心参数输入!$B$101)))),0),0)</f>
        <v>0</v>
      </c>
    </row>
    <row r="214" spans="1:34" ht="21" customHeight="1">
      <c r="A214" s="8" t="s">
        <v>615</v>
      </c>
      <c r="B214" s="8">
        <v>29</v>
      </c>
      <c r="C214" s="8"/>
      <c r="D214" s="9">
        <f>IF(0&lt;=核心参数输入!$B$9,0,0)</f>
        <v>0</v>
      </c>
      <c r="E214" s="9">
        <f>IF(1&lt;=核心参数输入!$B$9,0,0)</f>
        <v>0</v>
      </c>
      <c r="F214" s="9">
        <f>IF(2&lt;=核心参数输入!$B$9,0,0)</f>
        <v>0</v>
      </c>
      <c r="G214" s="9">
        <f>IF(3&lt;=核心参数输入!$B$9,0,0)</f>
        <v>0</v>
      </c>
      <c r="H214" s="9">
        <f>IF(4&lt;=核心参数输入!$B$9,0,0)</f>
        <v>0</v>
      </c>
      <c r="I214" s="9">
        <f>IF(5&lt;=核心参数输入!$B$9,0,0)</f>
        <v>0</v>
      </c>
      <c r="J214" s="9">
        <f>IF(6&lt;=核心参数输入!$B$9,0,0)</f>
        <v>0</v>
      </c>
      <c r="K214" s="9">
        <f>IF(7&lt;=核心参数输入!$B$9,0,0)</f>
        <v>0</v>
      </c>
      <c r="L214" s="9">
        <f>IF(8&lt;=核心参数输入!$B$9,0,0)</f>
        <v>0</v>
      </c>
      <c r="M214" s="9">
        <f>IF(9&lt;=核心参数输入!$B$9,0,0)</f>
        <v>0</v>
      </c>
      <c r="N214" s="9">
        <f>IF(10&lt;=核心参数输入!$B$9,0,0)</f>
        <v>0</v>
      </c>
      <c r="O214" s="9">
        <f>IF(11&lt;=核心参数输入!$B$9,0,0)</f>
        <v>0</v>
      </c>
      <c r="P214" s="9">
        <f>IF(12&lt;=核心参数输入!$B$9,0,0)</f>
        <v>0</v>
      </c>
      <c r="Q214" s="9">
        <f>IF(13&lt;=核心参数输入!$B$9,0,0)</f>
        <v>0</v>
      </c>
      <c r="R214" s="9">
        <f>IF(14&lt;=核心参数输入!$B$9,0,0)</f>
        <v>0</v>
      </c>
      <c r="S214" s="9">
        <f>IF(15&lt;=核心参数输入!$B$9,0,0)</f>
        <v>0</v>
      </c>
      <c r="T214" s="9">
        <f>IF(16&lt;=核心参数输入!$B$9,0,0)</f>
        <v>0</v>
      </c>
      <c r="U214" s="9">
        <f>IF(17&lt;=核心参数输入!$B$9,0,0)</f>
        <v>0</v>
      </c>
      <c r="V214" s="9">
        <f>IF(18&lt;=核心参数输入!$B$9,0,0)</f>
        <v>0</v>
      </c>
      <c r="W214" s="9">
        <f>IF(19&lt;=核心参数输入!$B$9,0,0)</f>
        <v>0</v>
      </c>
      <c r="X214" s="9">
        <f>IF(20&lt;=核心参数输入!$B$9,0,0)</f>
        <v>0</v>
      </c>
      <c r="Y214" s="9">
        <f>IF(21&lt;=核心参数输入!$B$9,0,0)</f>
        <v>0</v>
      </c>
      <c r="Z214" s="9">
        <f>IF(22&lt;=核心参数输入!$B$9,0,0)</f>
        <v>0</v>
      </c>
      <c r="AA214" s="9">
        <f>IF(23&lt;=核心参数输入!$B$9,0,0)</f>
        <v>0</v>
      </c>
      <c r="AB214" s="9">
        <f>IF(24&lt;=核心参数输入!$B$9,0,0)</f>
        <v>0</v>
      </c>
      <c r="AC214" s="9">
        <f>IF(25&lt;=核心参数输入!$B$9,0,0)</f>
        <v>0</v>
      </c>
      <c r="AD214" s="9">
        <f>IF(26&lt;=核心参数输入!$B$9,0,0)</f>
        <v>0</v>
      </c>
      <c r="AE214" s="9">
        <f>IF(27&lt;=核心参数输入!$B$9,0,0)</f>
        <v>0</v>
      </c>
      <c r="AF214" s="9">
        <f>IF(28&lt;=核心参数输入!$B$9,0,0)</f>
        <v>0</v>
      </c>
      <c r="AG214" s="9">
        <f>IF(29&lt;=核心参数输入!$B$9,AG166,0)</f>
        <v>0</v>
      </c>
      <c r="AH214" s="9">
        <f>IF(30&lt;=核心参数输入!$B$9,IF(AND(核心参数输入!$B$100=1,OR(核心参数输入!$B$101=0,30-29&lt;=核心参数输入!$B$101)),MAX(0,AG214-MAX(0,AH163-SUMIFS($AG$185:$AG$213,$B$185:$B$213,"&gt;="&amp;IF(核心参数输入!$B$101=0,0,30-核心参数输入!$B$101)))),0),0)</f>
        <v>0</v>
      </c>
    </row>
    <row r="215" spans="1:34" ht="21" customHeight="1">
      <c r="A215" s="8" t="s">
        <v>616</v>
      </c>
      <c r="B215" s="8">
        <v>30</v>
      </c>
      <c r="C215" s="8"/>
      <c r="D215" s="9">
        <f>IF(0&lt;=核心参数输入!$B$9,0,0)</f>
        <v>0</v>
      </c>
      <c r="E215" s="9">
        <f>IF(1&lt;=核心参数输入!$B$9,0,0)</f>
        <v>0</v>
      </c>
      <c r="F215" s="9">
        <f>IF(2&lt;=核心参数输入!$B$9,0,0)</f>
        <v>0</v>
      </c>
      <c r="G215" s="9">
        <f>IF(3&lt;=核心参数输入!$B$9,0,0)</f>
        <v>0</v>
      </c>
      <c r="H215" s="9">
        <f>IF(4&lt;=核心参数输入!$B$9,0,0)</f>
        <v>0</v>
      </c>
      <c r="I215" s="9">
        <f>IF(5&lt;=核心参数输入!$B$9,0,0)</f>
        <v>0</v>
      </c>
      <c r="J215" s="9">
        <f>IF(6&lt;=核心参数输入!$B$9,0,0)</f>
        <v>0</v>
      </c>
      <c r="K215" s="9">
        <f>IF(7&lt;=核心参数输入!$B$9,0,0)</f>
        <v>0</v>
      </c>
      <c r="L215" s="9">
        <f>IF(8&lt;=核心参数输入!$B$9,0,0)</f>
        <v>0</v>
      </c>
      <c r="M215" s="9">
        <f>IF(9&lt;=核心参数输入!$B$9,0,0)</f>
        <v>0</v>
      </c>
      <c r="N215" s="9">
        <f>IF(10&lt;=核心参数输入!$B$9,0,0)</f>
        <v>0</v>
      </c>
      <c r="O215" s="9">
        <f>IF(11&lt;=核心参数输入!$B$9,0,0)</f>
        <v>0</v>
      </c>
      <c r="P215" s="9">
        <f>IF(12&lt;=核心参数输入!$B$9,0,0)</f>
        <v>0</v>
      </c>
      <c r="Q215" s="9">
        <f>IF(13&lt;=核心参数输入!$B$9,0,0)</f>
        <v>0</v>
      </c>
      <c r="R215" s="9">
        <f>IF(14&lt;=核心参数输入!$B$9,0,0)</f>
        <v>0</v>
      </c>
      <c r="S215" s="9">
        <f>IF(15&lt;=核心参数输入!$B$9,0,0)</f>
        <v>0</v>
      </c>
      <c r="T215" s="9">
        <f>IF(16&lt;=核心参数输入!$B$9,0,0)</f>
        <v>0</v>
      </c>
      <c r="U215" s="9">
        <f>IF(17&lt;=核心参数输入!$B$9,0,0)</f>
        <v>0</v>
      </c>
      <c r="V215" s="9">
        <f>IF(18&lt;=核心参数输入!$B$9,0,0)</f>
        <v>0</v>
      </c>
      <c r="W215" s="9">
        <f>IF(19&lt;=核心参数输入!$B$9,0,0)</f>
        <v>0</v>
      </c>
      <c r="X215" s="9">
        <f>IF(20&lt;=核心参数输入!$B$9,0,0)</f>
        <v>0</v>
      </c>
      <c r="Y215" s="9">
        <f>IF(21&lt;=核心参数输入!$B$9,0,0)</f>
        <v>0</v>
      </c>
      <c r="Z215" s="9">
        <f>IF(22&lt;=核心参数输入!$B$9,0,0)</f>
        <v>0</v>
      </c>
      <c r="AA215" s="9">
        <f>IF(23&lt;=核心参数输入!$B$9,0,0)</f>
        <v>0</v>
      </c>
      <c r="AB215" s="9">
        <f>IF(24&lt;=核心参数输入!$B$9,0,0)</f>
        <v>0</v>
      </c>
      <c r="AC215" s="9">
        <f>IF(25&lt;=核心参数输入!$B$9,0,0)</f>
        <v>0</v>
      </c>
      <c r="AD215" s="9">
        <f>IF(26&lt;=核心参数输入!$B$9,0,0)</f>
        <v>0</v>
      </c>
      <c r="AE215" s="9">
        <f>IF(27&lt;=核心参数输入!$B$9,0,0)</f>
        <v>0</v>
      </c>
      <c r="AF215" s="9">
        <f>IF(28&lt;=核心参数输入!$B$9,0,0)</f>
        <v>0</v>
      </c>
      <c r="AG215" s="9">
        <f>IF(29&lt;=核心参数输入!$B$9,0,0)</f>
        <v>0</v>
      </c>
      <c r="AH215" s="9">
        <f>IF(30&lt;=核心参数输入!$B$9,AH166,0)</f>
        <v>0</v>
      </c>
    </row>
    <row r="216" spans="1:34" ht="21" customHeight="1">
      <c r="A216" s="8"/>
      <c r="B216" s="8"/>
      <c r="C216" s="8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 spans="1:34" ht="21" customHeight="1">
      <c r="A217" s="8"/>
      <c r="B217" s="8"/>
      <c r="C217" s="8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 spans="1:34" ht="21" customHeight="1">
      <c r="A218" s="8"/>
      <c r="B218" s="8"/>
      <c r="C218" s="8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 spans="1:34" ht="21" customHeight="1">
      <c r="A219" s="8"/>
      <c r="B219" s="8"/>
      <c r="C219" s="8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 spans="1:34" ht="21" customHeight="1">
      <c r="A220" s="8"/>
      <c r="B220" s="8"/>
      <c r="C220" s="8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 spans="1:34" ht="21" customHeight="1">
      <c r="A221" s="8"/>
      <c r="B221" s="8"/>
      <c r="C221" s="8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 spans="1:34" ht="21" customHeight="1">
      <c r="A222" s="8"/>
      <c r="B222" s="8"/>
      <c r="C222" s="8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 spans="1:34" ht="21" customHeight="1">
      <c r="A223" s="8"/>
      <c r="B223" s="8"/>
      <c r="C223" s="8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 spans="1:34" ht="21" customHeight="1">
      <c r="A224" s="8"/>
      <c r="B224" s="8"/>
      <c r="C224" s="8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 spans="1:34" ht="21" customHeight="1">
      <c r="A225" s="8"/>
      <c r="B225" s="8"/>
      <c r="C225" s="8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 spans="1:34" ht="21" customHeight="1">
      <c r="A226" s="8"/>
      <c r="B226" s="8"/>
      <c r="C226" s="8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 spans="1:34" ht="21" customHeight="1">
      <c r="A227" s="8"/>
      <c r="B227" s="8"/>
      <c r="C227" s="8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 spans="1:34" ht="21" customHeight="1">
      <c r="A228" s="8"/>
      <c r="B228" s="8"/>
      <c r="C228" s="8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 spans="1:34" ht="21" customHeight="1">
      <c r="A229" s="8"/>
      <c r="B229" s="8"/>
      <c r="C229" s="8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 spans="1:34" ht="21" customHeight="1">
      <c r="A230" s="8"/>
      <c r="B230" s="8"/>
      <c r="C230" s="8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 spans="1:34" ht="21" customHeight="1">
      <c r="A231" s="8"/>
      <c r="B231" s="8"/>
      <c r="C231" s="8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 spans="1:34" ht="21" customHeight="1">
      <c r="A232" s="8"/>
      <c r="B232" s="8"/>
      <c r="C232" s="8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 spans="1:34" ht="24" customHeight="1">
      <c r="A233" s="23" t="s">
        <v>619</v>
      </c>
      <c r="B233" s="23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</row>
    <row r="234" spans="1:34" ht="21" customHeight="1">
      <c r="A234" s="8"/>
      <c r="B234" s="8"/>
      <c r="C234" s="8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 spans="1:34" ht="21" customHeight="1">
      <c r="A235" s="8" t="s">
        <v>574</v>
      </c>
      <c r="B235" s="8" t="s">
        <v>39</v>
      </c>
      <c r="C235" s="8"/>
      <c r="D235" s="9">
        <f>IF(0&lt;=核心参数输入!$B$9,SUMIFS(季度经营税费!$D$157:$DT$157,季度经营税费!$D$6:$DT$6,0),0)</f>
        <v>0</v>
      </c>
      <c r="E235" s="9">
        <f>IF(1&lt;=核心参数输入!$B$9,SUMIFS(季度经营税费!$D$157:$DT$157,季度经营税费!$D$6:$DT$6,1),0)</f>
        <v>0</v>
      </c>
      <c r="F235" s="9">
        <f>IF(2&lt;=核心参数输入!$B$9,SUMIFS(季度经营税费!$D$157:$DT$157,季度经营税费!$D$6:$DT$6,2),0)</f>
        <v>0</v>
      </c>
      <c r="G235" s="9">
        <f>IF(3&lt;=核心参数输入!$B$9,SUMIFS(季度经营税费!$D$157:$DT$157,季度经营税费!$D$6:$DT$6,3),0)</f>
        <v>0</v>
      </c>
      <c r="H235" s="9">
        <f>IF(4&lt;=核心参数输入!$B$9,SUMIFS(季度经营税费!$D$157:$DT$157,季度经营税费!$D$6:$DT$6,4),0)</f>
        <v>-2058.4514791350011</v>
      </c>
      <c r="I235" s="9">
        <f>IF(5&lt;=核心参数输入!$B$9,SUMIFS(季度经营税费!$D$157:$DT$157,季度经营税费!$D$6:$DT$6,5),0)</f>
        <v>-1256.8365038604893</v>
      </c>
      <c r="J235" s="9">
        <f>IF(6&lt;=核心参数输入!$B$9,SUMIFS(季度经营税费!$D$157:$DT$157,季度经营税费!$D$6:$DT$6,6),0)</f>
        <v>-930.59535122284274</v>
      </c>
      <c r="K235" s="9">
        <f>IF(7&lt;=核心参数输入!$B$9,SUMIFS(季度经营税费!$D$157:$DT$157,季度经营税费!$D$6:$DT$6,7),0)</f>
        <v>-982.99188899500029</v>
      </c>
      <c r="L235" s="9">
        <f>IF(8&lt;=核心参数输入!$B$9,SUMIFS(季度经营税费!$D$157:$DT$157,季度经营税费!$D$6:$DT$6,8),0)</f>
        <v>-732.64854271623824</v>
      </c>
      <c r="M235" s="9">
        <f>IF(9&lt;=核心参数输入!$B$9,SUMIFS(季度经营税费!$D$157:$DT$157,季度经营税费!$D$6:$DT$6,9),0)</f>
        <v>-538.453232791966</v>
      </c>
      <c r="N235" s="9">
        <f>IF(10&lt;=核心参数输入!$B$9,SUMIFS(季度经营税费!$D$157:$DT$157,季度经营税费!$D$6:$DT$6,10),0)</f>
        <v>-346.49684998864586</v>
      </c>
      <c r="O235" s="9">
        <f>IF(11&lt;=核心参数输入!$B$9,SUMIFS(季度经营税费!$D$157:$DT$157,季度经营税费!$D$6:$DT$6,11),0)</f>
        <v>-176.89424386737187</v>
      </c>
      <c r="P235" s="9">
        <f>IF(12&lt;=核心参数输入!$B$9,SUMIFS(季度经营税费!$D$157:$DT$157,季度经营税费!$D$6:$DT$6,12),0)</f>
        <v>-164.64388352685683</v>
      </c>
      <c r="Q235" s="9">
        <f>IF(13&lt;=核心参数输入!$B$9,SUMIFS(季度经营税费!$D$157:$DT$157,季度经营税费!$D$6:$DT$6,13),0)</f>
        <v>-152.24422835126299</v>
      </c>
      <c r="R235" s="9">
        <f>IF(14&lt;=核心参数输入!$B$9,SUMIFS(季度经营税费!$D$157:$DT$157,季度经营税费!$D$6:$DT$6,14),0)</f>
        <v>-139.69372812946563</v>
      </c>
      <c r="S235" s="9">
        <f>IF(15&lt;=核心参数输入!$B$9,SUMIFS(季度经营税费!$D$157:$DT$157,季度经营税费!$D$6:$DT$6,15),0)</f>
        <v>-126.99082318140015</v>
      </c>
      <c r="T235" s="9">
        <f>IF(16&lt;=核心参数输入!$B$9,SUMIFS(季度经营税费!$D$157:$DT$157,季度经营税费!$D$6:$DT$6,16),0)</f>
        <v>-114.13394449171332</v>
      </c>
      <c r="U235" s="9">
        <f>IF(17&lt;=核心参数输入!$B$9,SUMIFS(季度经营税费!$D$157:$DT$157,季度经营税费!$D$6:$DT$6,17),0)</f>
        <v>-101.12151385093264</v>
      </c>
      <c r="V235" s="9">
        <f>IF(18&lt;=核心参数输入!$B$9,SUMIFS(季度经营税费!$D$157:$DT$157,季度经营税费!$D$6:$DT$6,18),0)</f>
        <v>-87.951944004377907</v>
      </c>
      <c r="W235" s="9">
        <f>IF(19&lt;=核心参数输入!$B$9,SUMIFS(季度经营税费!$D$157:$DT$157,季度经营税费!$D$6:$DT$6,19),0)</f>
        <v>-74.623638809037942</v>
      </c>
      <c r="X235" s="9">
        <f>IF(20&lt;=核心参数输入!$B$9,SUMIFS(季度经营税费!$D$157:$DT$157,季度经营税费!$D$6:$DT$6,20),0)</f>
        <v>-61.13499339865978</v>
      </c>
      <c r="Y235" s="9">
        <f>IF(21&lt;=核心参数输入!$B$9,SUMIFS(季度经营税费!$D$157:$DT$157,季度经营税费!$D$6:$DT$6,21),0)</f>
        <v>0</v>
      </c>
      <c r="Z235" s="9">
        <f>IF(22&lt;=核心参数输入!$B$9,SUMIFS(季度经营税费!$D$157:$DT$157,季度经营税费!$D$6:$DT$6,22),0)</f>
        <v>0</v>
      </c>
      <c r="AA235" s="9">
        <f>IF(23&lt;=核心参数输入!$B$9,SUMIFS(季度经营税费!$D$157:$DT$157,季度经营税费!$D$6:$DT$6,23),0)</f>
        <v>0</v>
      </c>
      <c r="AB235" s="9">
        <f>IF(24&lt;=核心参数输入!$B$9,SUMIFS(季度经营税费!$D$157:$DT$157,季度经营税费!$D$6:$DT$6,24),0)</f>
        <v>0</v>
      </c>
      <c r="AC235" s="9">
        <f>IF(25&lt;=核心参数输入!$B$9,SUMIFS(季度经营税费!$D$157:$DT$157,季度经营税费!$D$6:$DT$6,25),0)</f>
        <v>0</v>
      </c>
      <c r="AD235" s="9">
        <f>IF(26&lt;=核心参数输入!$B$9,SUMIFS(季度经营税费!$D$157:$DT$157,季度经营税费!$D$6:$DT$6,26),0)</f>
        <v>0</v>
      </c>
      <c r="AE235" s="9">
        <f>IF(27&lt;=核心参数输入!$B$9,SUMIFS(季度经营税费!$D$157:$DT$157,季度经营税费!$D$6:$DT$6,27),0)</f>
        <v>0</v>
      </c>
      <c r="AF235" s="9">
        <f>IF(28&lt;=核心参数输入!$B$9,SUMIFS(季度经营税费!$D$157:$DT$157,季度经营税费!$D$6:$DT$6,28),0)</f>
        <v>0</v>
      </c>
      <c r="AG235" s="9">
        <f>IF(29&lt;=核心参数输入!$B$9,SUMIFS(季度经营税费!$D$157:$DT$157,季度经营税费!$D$6:$DT$6,29),0)</f>
        <v>0</v>
      </c>
      <c r="AH235" s="9">
        <f>IF(30&lt;=核心参数输入!$B$9,SUMIFS(季度经营税费!$D$157:$DT$157,季度经营税费!$D$6:$DT$6,30),0)</f>
        <v>0</v>
      </c>
    </row>
    <row r="236" spans="1:34" ht="21" customHeight="1">
      <c r="A236" s="8" t="s">
        <v>575</v>
      </c>
      <c r="B236" s="8" t="s">
        <v>39</v>
      </c>
      <c r="C236" s="8"/>
      <c r="D236" s="9">
        <f>IF(0&lt;=核心参数输入!$B$9,SUMIFS(季度经营税费!$D$171:$DT$171,季度经营税费!$D$6:$DT$6,0),0)</f>
        <v>0</v>
      </c>
      <c r="E236" s="9">
        <f>IF(1&lt;=核心参数输入!$B$9,SUMIFS(季度经营税费!$D$171:$DT$171,季度经营税费!$D$6:$DT$6,1),0)</f>
        <v>0</v>
      </c>
      <c r="F236" s="9">
        <f>IF(2&lt;=核心参数输入!$B$9,SUMIFS(季度经营税费!$D$171:$DT$171,季度经营税费!$D$6:$DT$6,2),0)</f>
        <v>0</v>
      </c>
      <c r="G236" s="9">
        <f>IF(3&lt;=核心参数输入!$B$9,SUMIFS(季度经营税费!$D$171:$DT$171,季度经营税费!$D$6:$DT$6,3),0)</f>
        <v>0</v>
      </c>
      <c r="H236" s="9">
        <f>IF(4&lt;=核心参数输入!$B$9,SUMIFS(季度经营税费!$D$171:$DT$171,季度经营税费!$D$6:$DT$6,4),0)</f>
        <v>0</v>
      </c>
      <c r="I236" s="9">
        <f>IF(5&lt;=核心参数输入!$B$9,SUMIFS(季度经营税费!$D$171:$DT$171,季度经营税费!$D$6:$DT$6,5),0)</f>
        <v>0</v>
      </c>
      <c r="J236" s="9">
        <f>IF(6&lt;=核心参数输入!$B$9,SUMIFS(季度经营税费!$D$171:$DT$171,季度经营税费!$D$6:$DT$6,6),0)</f>
        <v>0</v>
      </c>
      <c r="K236" s="9">
        <f>IF(7&lt;=核心参数输入!$B$9,SUMIFS(季度经营税费!$D$171:$DT$171,季度经营税费!$D$6:$DT$6,7),0)</f>
        <v>0</v>
      </c>
      <c r="L236" s="9">
        <f>IF(8&lt;=核心参数输入!$B$9,SUMIFS(季度经营税费!$D$171:$DT$171,季度经营税费!$D$6:$DT$6,8),0)</f>
        <v>0</v>
      </c>
      <c r="M236" s="9">
        <f>IF(9&lt;=核心参数输入!$B$9,SUMIFS(季度经营税费!$D$171:$DT$171,季度经营税费!$D$6:$DT$6,9),0)</f>
        <v>0</v>
      </c>
      <c r="N236" s="9">
        <f>IF(10&lt;=核心参数输入!$B$9,SUMIFS(季度经营税费!$D$171:$DT$171,季度经营税费!$D$6:$DT$6,10),0)</f>
        <v>0</v>
      </c>
      <c r="O236" s="9">
        <f>IF(11&lt;=核心参数输入!$B$9,SUMIFS(季度经营税费!$D$171:$DT$171,季度经营税费!$D$6:$DT$6,11),0)</f>
        <v>0</v>
      </c>
      <c r="P236" s="9">
        <f>IF(12&lt;=核心参数输入!$B$9,SUMIFS(季度经营税费!$D$171:$DT$171,季度经营税费!$D$6:$DT$6,12),0)</f>
        <v>0</v>
      </c>
      <c r="Q236" s="9">
        <f>IF(13&lt;=核心参数输入!$B$9,SUMIFS(季度经营税费!$D$171:$DT$171,季度经营税费!$D$6:$DT$6,13),0)</f>
        <v>0</v>
      </c>
      <c r="R236" s="9">
        <f>IF(14&lt;=核心参数输入!$B$9,SUMIFS(季度经营税费!$D$171:$DT$171,季度经营税费!$D$6:$DT$6,14),0)</f>
        <v>0</v>
      </c>
      <c r="S236" s="9">
        <f>IF(15&lt;=核心参数输入!$B$9,SUMIFS(季度经营税费!$D$171:$DT$171,季度经营税费!$D$6:$DT$6,15),0)</f>
        <v>0</v>
      </c>
      <c r="T236" s="9">
        <f>IF(16&lt;=核心参数输入!$B$9,SUMIFS(季度经营税费!$D$171:$DT$171,季度经营税费!$D$6:$DT$6,16),0)</f>
        <v>0</v>
      </c>
      <c r="U236" s="9">
        <f>IF(17&lt;=核心参数输入!$B$9,SUMIFS(季度经营税费!$D$171:$DT$171,季度经营税费!$D$6:$DT$6,17),0)</f>
        <v>0</v>
      </c>
      <c r="V236" s="9">
        <f>IF(18&lt;=核心参数输入!$B$9,SUMIFS(季度经营税费!$D$171:$DT$171,季度经营税费!$D$6:$DT$6,18),0)</f>
        <v>0</v>
      </c>
      <c r="W236" s="9">
        <f>IF(19&lt;=核心参数输入!$B$9,SUMIFS(季度经营税费!$D$171:$DT$171,季度经营税费!$D$6:$DT$6,19),0)</f>
        <v>0</v>
      </c>
      <c r="X236" s="9">
        <f>IF(20&lt;=核心参数输入!$B$9,SUMIFS(季度经营税费!$D$171:$DT$171,季度经营税费!$D$6:$DT$6,20),0)</f>
        <v>14237.80950000003</v>
      </c>
      <c r="Y236" s="9">
        <f>IF(21&lt;=核心参数输入!$B$9,SUMIFS(季度经营税费!$D$171:$DT$171,季度经营税费!$D$6:$DT$6,21),0)</f>
        <v>0</v>
      </c>
      <c r="Z236" s="9">
        <f>IF(22&lt;=核心参数输入!$B$9,SUMIFS(季度经营税费!$D$171:$DT$171,季度经营税费!$D$6:$DT$6,22),0)</f>
        <v>0</v>
      </c>
      <c r="AA236" s="9">
        <f>IF(23&lt;=核心参数输入!$B$9,SUMIFS(季度经营税费!$D$171:$DT$171,季度经营税费!$D$6:$DT$6,23),0)</f>
        <v>0</v>
      </c>
      <c r="AB236" s="9">
        <f>IF(24&lt;=核心参数输入!$B$9,SUMIFS(季度经营税费!$D$171:$DT$171,季度经营税费!$D$6:$DT$6,24),0)</f>
        <v>0</v>
      </c>
      <c r="AC236" s="9">
        <f>IF(25&lt;=核心参数输入!$B$9,SUMIFS(季度经营税费!$D$171:$DT$171,季度经营税费!$D$6:$DT$6,25),0)</f>
        <v>0</v>
      </c>
      <c r="AD236" s="9">
        <f>IF(26&lt;=核心参数输入!$B$9,SUMIFS(季度经营税费!$D$171:$DT$171,季度经营税费!$D$6:$DT$6,26),0)</f>
        <v>0</v>
      </c>
      <c r="AE236" s="9">
        <f>IF(27&lt;=核心参数输入!$B$9,SUMIFS(季度经营税费!$D$171:$DT$171,季度经营税费!$D$6:$DT$6,27),0)</f>
        <v>0</v>
      </c>
      <c r="AF236" s="9">
        <f>IF(28&lt;=核心参数输入!$B$9,SUMIFS(季度经营税费!$D$171:$DT$171,季度经营税费!$D$6:$DT$6,28),0)</f>
        <v>0</v>
      </c>
      <c r="AG236" s="9">
        <f>IF(29&lt;=核心参数输入!$B$9,SUMIFS(季度经营税费!$D$171:$DT$171,季度经营税费!$D$6:$DT$6,29),0)</f>
        <v>0</v>
      </c>
      <c r="AH236" s="9">
        <f>IF(30&lt;=核心参数输入!$B$9,SUMIFS(季度经营税费!$D$171:$DT$171,季度经营税费!$D$6:$DT$6,30),0)</f>
        <v>0</v>
      </c>
    </row>
    <row r="237" spans="1:34" ht="21" customHeight="1">
      <c r="A237" s="8" t="s">
        <v>576</v>
      </c>
      <c r="B237" s="8" t="s">
        <v>39</v>
      </c>
      <c r="C237" s="8"/>
      <c r="D237" s="9">
        <f>IF(0&lt;=核心参数输入!$B$9,IF(核心参数输入!$B$100=1,0,0),0)</f>
        <v>0</v>
      </c>
      <c r="E237" s="9">
        <f>IF(1&lt;=核心参数输入!$B$9,IF(核心参数输入!$B$100=1,SUMIFS(年度所得税!$D$260:$D$290,$B$260:$B$290,"&gt;="&amp;IF(核心参数输入!$B$101=0,0,1-核心参数输入!$B$101)),0),0)</f>
        <v>0</v>
      </c>
      <c r="F237" s="9">
        <f>IF(2&lt;=核心参数输入!$B$9,IF(核心参数输入!$B$100=1,SUMIFS(年度所得税!$E$260:$E$290,$B$260:$B$290,"&gt;="&amp;IF(核心参数输入!$B$101=0,0,2-核心参数输入!$B$101)),0),0)</f>
        <v>0</v>
      </c>
      <c r="G237" s="9">
        <f>IF(3&lt;=核心参数输入!$B$9,IF(核心参数输入!$B$100=1,SUMIFS(年度所得税!$F$260:$F$290,$B$260:$B$290,"&gt;="&amp;IF(核心参数输入!$B$101=0,0,3-核心参数输入!$B$101)),0),0)</f>
        <v>0</v>
      </c>
      <c r="H237" s="9">
        <f>IF(4&lt;=核心参数输入!$B$9,IF(核心参数输入!$B$100=1,SUMIFS(年度所得税!$G$260:$G$290,$B$260:$B$290,"&gt;="&amp;IF(核心参数输入!$B$101=0,0,4-核心参数输入!$B$101)),0),0)</f>
        <v>0</v>
      </c>
      <c r="I237" s="9">
        <f>IF(5&lt;=核心参数输入!$B$9,IF(核心参数输入!$B$100=1,SUMIFS(年度所得税!$H$260:$H$290,$B$260:$B$290,"&gt;="&amp;IF(核心参数输入!$B$101=0,0,5-核心参数输入!$B$101)),0),0)</f>
        <v>2058.4514791350011</v>
      </c>
      <c r="J237" s="9">
        <f>IF(6&lt;=核心参数输入!$B$9,IF(核心参数输入!$B$100=1,SUMIFS(年度所得税!$I$260:$I$290,$B$260:$B$290,"&gt;="&amp;IF(核心参数输入!$B$101=0,0,6-核心参数输入!$B$101)),0),0)</f>
        <v>3315.2879829954904</v>
      </c>
      <c r="K237" s="9">
        <f>IF(7&lt;=核心参数输入!$B$9,IF(核心参数输入!$B$100=1,SUMIFS(年度所得税!$J$260:$J$290,$B$260:$B$290,"&gt;="&amp;IF(核心参数输入!$B$101=0,0,7-核心参数输入!$B$101)),0),0)</f>
        <v>4245.8833342183334</v>
      </c>
      <c r="L237" s="9">
        <f>IF(8&lt;=核心参数输入!$B$9,IF(核心参数输入!$B$100=1,SUMIFS(年度所得税!$K$260:$K$290,$B$260:$B$290,"&gt;="&amp;IF(核心参数输入!$B$101=0,0,8-核心参数输入!$B$101)),0),0)</f>
        <v>5228.8752232133338</v>
      </c>
      <c r="M237" s="9">
        <f>IF(9&lt;=核心参数输入!$B$9,IF(核心参数输入!$B$100=1,SUMIFS(年度所得税!$L$260:$L$290,$B$260:$B$290,"&gt;="&amp;IF(核心参数输入!$B$101=0,0,9-核心参数输入!$B$101)),0),0)</f>
        <v>5961.5237659295717</v>
      </c>
      <c r="N237" s="9">
        <f>IF(10&lt;=核心参数输入!$B$9,IF(核心参数输入!$B$100=1,SUMIFS(年度所得税!$M$260:$M$290,$B$260:$B$290,"&gt;="&amp;IF(核心参数输入!$B$101=0,0,10-核心参数输入!$B$101)),0),0)</f>
        <v>4441.5255195865375</v>
      </c>
      <c r="O237" s="9">
        <f>IF(11&lt;=核心参数输入!$B$9,IF(核心参数输入!$B$100=1,SUMIFS(年度所得税!$N$260:$N$290,$B$260:$B$290,"&gt;="&amp;IF(核心参数输入!$B$101=0,0,11-核心参数输入!$B$101)),0),0)</f>
        <v>3531.1858657146931</v>
      </c>
      <c r="P237" s="9">
        <f>IF(12&lt;=核心参数输入!$B$9,IF(核心参数输入!$B$100=1,SUMIFS(年度所得税!$O$260:$O$290,$B$260:$B$290,"&gt;="&amp;IF(核心参数输入!$B$101=0,0,12-核心参数输入!$B$101)),0),0)</f>
        <v>2777.4847583592218</v>
      </c>
      <c r="Q237" s="9">
        <f>IF(13&lt;=核心参数输入!$B$9,IF(核心参数输入!$B$100=1,SUMIFS(年度所得税!$P$260:$P$290,$B$260:$B$290,"&gt;="&amp;IF(核心参数输入!$B$101=0,0,13-核心参数输入!$B$101)),0),0)</f>
        <v>1959.1367528910789</v>
      </c>
      <c r="R237" s="9">
        <f>IF(14&lt;=核心参数输入!$B$9,IF(核心参数输入!$B$100=1,SUMIFS(年度所得税!$Q$260:$Q$290,$B$260:$B$290,"&gt;="&amp;IF(核心参数输入!$B$101=0,0,14-核心参数输入!$B$101)),0),0)</f>
        <v>1378.7324385261036</v>
      </c>
      <c r="S237" s="9">
        <f>IF(15&lt;=核心参数输入!$B$9,IF(核心参数输入!$B$100=1,SUMIFS(年度所得税!$R$260:$R$290,$B$260:$B$290,"&gt;="&amp;IF(核心参数输入!$B$101=0,0,15-核心参数输入!$B$101)),0),0)</f>
        <v>979.9729338636032</v>
      </c>
      <c r="T237" s="9">
        <f>IF(16&lt;=核心参数输入!$B$9,IF(核心参数输入!$B$100=1,SUMIFS(年度所得税!$S$260:$S$290,$B$260:$B$290,"&gt;="&amp;IF(核心参数输入!$B$101=0,0,16-核心参数输入!$B$101)),0),0)</f>
        <v>760.46690705635751</v>
      </c>
      <c r="U237" s="9">
        <f>IF(17&lt;=核心参数输入!$B$9,IF(核心参数输入!$B$100=1,SUMIFS(年度所得税!$T$260:$T$290,$B$260:$B$290,"&gt;="&amp;IF(核心参数输入!$B$101=0,0,17-核心参数输入!$B$101)),0),0)</f>
        <v>697.70660768069899</v>
      </c>
      <c r="V237" s="9">
        <f>IF(18&lt;=核心参数输入!$B$9,IF(核心参数输入!$B$100=1,SUMIFS(年度所得税!$U$260:$U$290,$B$260:$B$290,"&gt;="&amp;IF(核心参数输入!$B$101=0,0,18-核心参数输入!$B$101)),0),0)</f>
        <v>634.18423800477478</v>
      </c>
      <c r="W237" s="9">
        <f>IF(19&lt;=核心参数输入!$B$9,IF(核心参数输入!$B$100=1,SUMIFS(年度所得税!$V$260:$V$290,$B$260:$B$290,"&gt;="&amp;IF(核心参数输入!$B$101=0,0,19-核心参数输入!$B$101)),0),0)</f>
        <v>569.89195365788964</v>
      </c>
      <c r="X237" s="9">
        <f>IF(20&lt;=核心参数输入!$B$9,IF(核心参数输入!$B$100=1,SUMIFS(年度所得税!$W$260:$W$290,$B$260:$B$290,"&gt;="&amp;IF(核心参数输入!$B$101=0,0,20-核心参数输入!$B$101)),0),0)</f>
        <v>504.82186433746199</v>
      </c>
      <c r="Y237" s="9">
        <f>IF(21&lt;=核心参数输入!$B$9,IF(核心参数输入!$B$100=1,SUMIFS(年度所得税!$X$260:$X$290,$B$260:$B$290,"&gt;="&amp;IF(核心参数输入!$B$101=0,0,21-核心参数输入!$B$101)),0),0)</f>
        <v>0</v>
      </c>
      <c r="Z237" s="9">
        <f>IF(22&lt;=核心参数输入!$B$9,IF(核心参数输入!$B$100=1,SUMIFS(年度所得税!$Y$260:$Y$290,$B$260:$B$290,"&gt;="&amp;IF(核心参数输入!$B$101=0,0,22-核心参数输入!$B$101)),0),0)</f>
        <v>0</v>
      </c>
      <c r="AA237" s="9">
        <f>IF(23&lt;=核心参数输入!$B$9,IF(核心参数输入!$B$100=1,SUMIFS(年度所得税!$Z$260:$Z$290,$B$260:$B$290,"&gt;="&amp;IF(核心参数输入!$B$101=0,0,23-核心参数输入!$B$101)),0),0)</f>
        <v>0</v>
      </c>
      <c r="AB237" s="9">
        <f>IF(24&lt;=核心参数输入!$B$9,IF(核心参数输入!$B$100=1,SUMIFS(年度所得税!$AA$260:$AA$290,$B$260:$B$290,"&gt;="&amp;IF(核心参数输入!$B$101=0,0,24-核心参数输入!$B$101)),0),0)</f>
        <v>0</v>
      </c>
      <c r="AC237" s="9">
        <f>IF(25&lt;=核心参数输入!$B$9,IF(核心参数输入!$B$100=1,SUMIFS(年度所得税!$AB$260:$AB$290,$B$260:$B$290,"&gt;="&amp;IF(核心参数输入!$B$101=0,0,25-核心参数输入!$B$101)),0),0)</f>
        <v>0</v>
      </c>
      <c r="AD237" s="9">
        <f>IF(26&lt;=核心参数输入!$B$9,IF(核心参数输入!$B$100=1,SUMIFS(年度所得税!$AC$260:$AC$290,$B$260:$B$290,"&gt;="&amp;IF(核心参数输入!$B$101=0,0,26-核心参数输入!$B$101)),0),0)</f>
        <v>0</v>
      </c>
      <c r="AE237" s="9">
        <f>IF(27&lt;=核心参数输入!$B$9,IF(核心参数输入!$B$100=1,SUMIFS(年度所得税!$AD$260:$AD$290,$B$260:$B$290,"&gt;="&amp;IF(核心参数输入!$B$101=0,0,27-核心参数输入!$B$101)),0),0)</f>
        <v>0</v>
      </c>
      <c r="AF237" s="9">
        <f>IF(28&lt;=核心参数输入!$B$9,IF(核心参数输入!$B$100=1,SUMIFS(年度所得税!$AE$260:$AE$290,$B$260:$B$290,"&gt;="&amp;IF(核心参数输入!$B$101=0,0,28-核心参数输入!$B$101)),0),0)</f>
        <v>0</v>
      </c>
      <c r="AG237" s="9">
        <f>IF(29&lt;=核心参数输入!$B$9,IF(核心参数输入!$B$100=1,SUMIFS(年度所得税!$AF$260:$AF$290,$B$260:$B$290,"&gt;="&amp;IF(核心参数输入!$B$101=0,0,29-核心参数输入!$B$101)),0),0)</f>
        <v>0</v>
      </c>
      <c r="AH237" s="9">
        <f>IF(30&lt;=核心参数输入!$B$9,IF(核心参数输入!$B$100=1,SUMIFS(年度所得税!$AG$260:$AG$290,$B$260:$B$290,"&gt;="&amp;IF(核心参数输入!$B$101=0,0,30-核心参数输入!$B$101)),0),0)</f>
        <v>0</v>
      </c>
    </row>
    <row r="238" spans="1:34" ht="21" customHeight="1">
      <c r="A238" s="8" t="s">
        <v>577</v>
      </c>
      <c r="B238" s="8" t="s">
        <v>39</v>
      </c>
      <c r="C238" s="8"/>
      <c r="D238" s="9">
        <f>IF(0&lt;=核心参数输入!$B$9,MIN(MAX(0,D235),D237),0)</f>
        <v>0</v>
      </c>
      <c r="E238" s="9">
        <f>IF(1&lt;=核心参数输入!$B$9,MIN(MAX(0,E235),E237),0)</f>
        <v>0</v>
      </c>
      <c r="F238" s="9">
        <f>IF(2&lt;=核心参数输入!$B$9,MIN(MAX(0,F235),F237),0)</f>
        <v>0</v>
      </c>
      <c r="G238" s="9">
        <f>IF(3&lt;=核心参数输入!$B$9,MIN(MAX(0,G235),G237),0)</f>
        <v>0</v>
      </c>
      <c r="H238" s="9">
        <f>IF(4&lt;=核心参数输入!$B$9,MIN(MAX(0,H235),H237),0)</f>
        <v>0</v>
      </c>
      <c r="I238" s="9">
        <f>IF(5&lt;=核心参数输入!$B$9,MIN(MAX(0,I235),I237),0)</f>
        <v>0</v>
      </c>
      <c r="J238" s="9">
        <f>IF(6&lt;=核心参数输入!$B$9,MIN(MAX(0,J235),J237),0)</f>
        <v>0</v>
      </c>
      <c r="K238" s="9">
        <f>IF(7&lt;=核心参数输入!$B$9,MIN(MAX(0,K235),K237),0)</f>
        <v>0</v>
      </c>
      <c r="L238" s="9">
        <f>IF(8&lt;=核心参数输入!$B$9,MIN(MAX(0,L235),L237),0)</f>
        <v>0</v>
      </c>
      <c r="M238" s="9">
        <f>IF(9&lt;=核心参数输入!$B$9,MIN(MAX(0,M235),M237),0)</f>
        <v>0</v>
      </c>
      <c r="N238" s="9">
        <f>IF(10&lt;=核心参数输入!$B$9,MIN(MAX(0,N235),N237),0)</f>
        <v>0</v>
      </c>
      <c r="O238" s="9">
        <f>IF(11&lt;=核心参数输入!$B$9,MIN(MAX(0,O235),O237),0)</f>
        <v>0</v>
      </c>
      <c r="P238" s="9">
        <f>IF(12&lt;=核心参数输入!$B$9,MIN(MAX(0,P235),P237),0)</f>
        <v>0</v>
      </c>
      <c r="Q238" s="9">
        <f>IF(13&lt;=核心参数输入!$B$9,MIN(MAX(0,Q235),Q237),0)</f>
        <v>0</v>
      </c>
      <c r="R238" s="9">
        <f>IF(14&lt;=核心参数输入!$B$9,MIN(MAX(0,R235),R237),0)</f>
        <v>0</v>
      </c>
      <c r="S238" s="9">
        <f>IF(15&lt;=核心参数输入!$B$9,MIN(MAX(0,S235),S237),0)</f>
        <v>0</v>
      </c>
      <c r="T238" s="9">
        <f>IF(16&lt;=核心参数输入!$B$9,MIN(MAX(0,T235),T237),0)</f>
        <v>0</v>
      </c>
      <c r="U238" s="9">
        <f>IF(17&lt;=核心参数输入!$B$9,MIN(MAX(0,U235),U237),0)</f>
        <v>0</v>
      </c>
      <c r="V238" s="9">
        <f>IF(18&lt;=核心参数输入!$B$9,MIN(MAX(0,V235),V237),0)</f>
        <v>0</v>
      </c>
      <c r="W238" s="9">
        <f>IF(19&lt;=核心参数输入!$B$9,MIN(MAX(0,W235),W237),0)</f>
        <v>0</v>
      </c>
      <c r="X238" s="9">
        <f>IF(20&lt;=核心参数输入!$B$9,MIN(MAX(0,X235),X237),0)</f>
        <v>0</v>
      </c>
      <c r="Y238" s="9">
        <f>IF(21&lt;=核心参数输入!$B$9,MIN(MAX(0,Y235),Y237),0)</f>
        <v>0</v>
      </c>
      <c r="Z238" s="9">
        <f>IF(22&lt;=核心参数输入!$B$9,MIN(MAX(0,Z235),Z237),0)</f>
        <v>0</v>
      </c>
      <c r="AA238" s="9">
        <f>IF(23&lt;=核心参数输入!$B$9,MIN(MAX(0,AA235),AA237),0)</f>
        <v>0</v>
      </c>
      <c r="AB238" s="9">
        <f>IF(24&lt;=核心参数输入!$B$9,MIN(MAX(0,AB235),AB237),0)</f>
        <v>0</v>
      </c>
      <c r="AC238" s="9">
        <f>IF(25&lt;=核心参数输入!$B$9,MIN(MAX(0,AC235),AC237),0)</f>
        <v>0</v>
      </c>
      <c r="AD238" s="9">
        <f>IF(26&lt;=核心参数输入!$B$9,MIN(MAX(0,AD235),AD237),0)</f>
        <v>0</v>
      </c>
      <c r="AE238" s="9">
        <f>IF(27&lt;=核心参数输入!$B$9,MIN(MAX(0,AE235),AE237),0)</f>
        <v>0</v>
      </c>
      <c r="AF238" s="9">
        <f>IF(28&lt;=核心参数输入!$B$9,MIN(MAX(0,AF235),AF237),0)</f>
        <v>0</v>
      </c>
      <c r="AG238" s="9">
        <f>IF(29&lt;=核心参数输入!$B$9,MIN(MAX(0,AG235),AG237),0)</f>
        <v>0</v>
      </c>
      <c r="AH238" s="9">
        <f>IF(30&lt;=核心参数输入!$B$9,MIN(MAX(0,AH235),AH237),0)</f>
        <v>0</v>
      </c>
    </row>
    <row r="239" spans="1:34" ht="21" customHeight="1">
      <c r="A239" s="8" t="s">
        <v>578</v>
      </c>
      <c r="B239" s="8" t="s">
        <v>39</v>
      </c>
      <c r="C239" s="8"/>
      <c r="D239" s="9">
        <f>IF(0&lt;=核心参数输入!$B$9,MAX(0,D235-D238),0)</f>
        <v>0</v>
      </c>
      <c r="E239" s="9">
        <f>IF(1&lt;=核心参数输入!$B$9,MAX(0,E235-E238),0)</f>
        <v>0</v>
      </c>
      <c r="F239" s="9">
        <f>IF(2&lt;=核心参数输入!$B$9,MAX(0,F235-F238),0)</f>
        <v>0</v>
      </c>
      <c r="G239" s="9">
        <f>IF(3&lt;=核心参数输入!$B$9,MAX(0,G235-G238),0)</f>
        <v>0</v>
      </c>
      <c r="H239" s="9">
        <f>IF(4&lt;=核心参数输入!$B$9,MAX(0,H235-H238),0)</f>
        <v>0</v>
      </c>
      <c r="I239" s="9">
        <f>IF(5&lt;=核心参数输入!$B$9,MAX(0,I235-I238),0)</f>
        <v>0</v>
      </c>
      <c r="J239" s="9">
        <f>IF(6&lt;=核心参数输入!$B$9,MAX(0,J235-J238),0)</f>
        <v>0</v>
      </c>
      <c r="K239" s="9">
        <f>IF(7&lt;=核心参数输入!$B$9,MAX(0,K235-K238),0)</f>
        <v>0</v>
      </c>
      <c r="L239" s="9">
        <f>IF(8&lt;=核心参数输入!$B$9,MAX(0,L235-L238),0)</f>
        <v>0</v>
      </c>
      <c r="M239" s="9">
        <f>IF(9&lt;=核心参数输入!$B$9,MAX(0,M235-M238),0)</f>
        <v>0</v>
      </c>
      <c r="N239" s="9">
        <f>IF(10&lt;=核心参数输入!$B$9,MAX(0,N235-N238),0)</f>
        <v>0</v>
      </c>
      <c r="O239" s="9">
        <f>IF(11&lt;=核心参数输入!$B$9,MAX(0,O235-O238),0)</f>
        <v>0</v>
      </c>
      <c r="P239" s="9">
        <f>IF(12&lt;=核心参数输入!$B$9,MAX(0,P235-P238),0)</f>
        <v>0</v>
      </c>
      <c r="Q239" s="9">
        <f>IF(13&lt;=核心参数输入!$B$9,MAX(0,Q235-Q238),0)</f>
        <v>0</v>
      </c>
      <c r="R239" s="9">
        <f>IF(14&lt;=核心参数输入!$B$9,MAX(0,R235-R238),0)</f>
        <v>0</v>
      </c>
      <c r="S239" s="9">
        <f>IF(15&lt;=核心参数输入!$B$9,MAX(0,S235-S238),0)</f>
        <v>0</v>
      </c>
      <c r="T239" s="9">
        <f>IF(16&lt;=核心参数输入!$B$9,MAX(0,T235-T238),0)</f>
        <v>0</v>
      </c>
      <c r="U239" s="9">
        <f>IF(17&lt;=核心参数输入!$B$9,MAX(0,U235-U238),0)</f>
        <v>0</v>
      </c>
      <c r="V239" s="9">
        <f>IF(18&lt;=核心参数输入!$B$9,MAX(0,V235-V238),0)</f>
        <v>0</v>
      </c>
      <c r="W239" s="9">
        <f>IF(19&lt;=核心参数输入!$B$9,MAX(0,W235-W238),0)</f>
        <v>0</v>
      </c>
      <c r="X239" s="9">
        <f>IF(20&lt;=核心参数输入!$B$9,MAX(0,X235-X238),0)</f>
        <v>0</v>
      </c>
      <c r="Y239" s="9">
        <f>IF(21&lt;=核心参数输入!$B$9,MAX(0,Y235-Y238),0)</f>
        <v>0</v>
      </c>
      <c r="Z239" s="9">
        <f>IF(22&lt;=核心参数输入!$B$9,MAX(0,Z235-Z238),0)</f>
        <v>0</v>
      </c>
      <c r="AA239" s="9">
        <f>IF(23&lt;=核心参数输入!$B$9,MAX(0,AA235-AA238),0)</f>
        <v>0</v>
      </c>
      <c r="AB239" s="9">
        <f>IF(24&lt;=核心参数输入!$B$9,MAX(0,AB235-AB238),0)</f>
        <v>0</v>
      </c>
      <c r="AC239" s="9">
        <f>IF(25&lt;=核心参数输入!$B$9,MAX(0,AC235-AC238),0)</f>
        <v>0</v>
      </c>
      <c r="AD239" s="9">
        <f>IF(26&lt;=核心参数输入!$B$9,MAX(0,AD235-AD238),0)</f>
        <v>0</v>
      </c>
      <c r="AE239" s="9">
        <f>IF(27&lt;=核心参数输入!$B$9,MAX(0,AE235-AE238),0)</f>
        <v>0</v>
      </c>
      <c r="AF239" s="9">
        <f>IF(28&lt;=核心参数输入!$B$9,MAX(0,AF235-AF238),0)</f>
        <v>0</v>
      </c>
      <c r="AG239" s="9">
        <f>IF(29&lt;=核心参数输入!$B$9,MAX(0,AG235-AG238),0)</f>
        <v>0</v>
      </c>
      <c r="AH239" s="9">
        <f>IF(30&lt;=核心参数输入!$B$9,MAX(0,AH235-AH238),0)</f>
        <v>0</v>
      </c>
    </row>
    <row r="240" spans="1:34" ht="21" customHeight="1">
      <c r="A240" s="8" t="s">
        <v>579</v>
      </c>
      <c r="B240" s="8" t="s">
        <v>39</v>
      </c>
      <c r="C240" s="8"/>
      <c r="D240" s="9">
        <f>IF(0&lt;=核心参数输入!$B$9,D239*核心参数输入!$B$52,0)</f>
        <v>0</v>
      </c>
      <c r="E240" s="9">
        <f>IF(1&lt;=核心参数输入!$B$9,E239*核心参数输入!$B$52,0)</f>
        <v>0</v>
      </c>
      <c r="F240" s="9">
        <f>IF(2&lt;=核心参数输入!$B$9,F239*核心参数输入!$B$52,0)</f>
        <v>0</v>
      </c>
      <c r="G240" s="9">
        <f>IF(3&lt;=核心参数输入!$B$9,G239*核心参数输入!$B$52,0)</f>
        <v>0</v>
      </c>
      <c r="H240" s="9">
        <f>IF(4&lt;=核心参数输入!$B$9,H239*核心参数输入!$B$52,0)</f>
        <v>0</v>
      </c>
      <c r="I240" s="9">
        <f>IF(5&lt;=核心参数输入!$B$9,I239*核心参数输入!$B$52,0)</f>
        <v>0</v>
      </c>
      <c r="J240" s="9">
        <f>IF(6&lt;=核心参数输入!$B$9,J239*核心参数输入!$B$52,0)</f>
        <v>0</v>
      </c>
      <c r="K240" s="9">
        <f>IF(7&lt;=核心参数输入!$B$9,K239*核心参数输入!$B$52,0)</f>
        <v>0</v>
      </c>
      <c r="L240" s="9">
        <f>IF(8&lt;=核心参数输入!$B$9,L239*核心参数输入!$B$52,0)</f>
        <v>0</v>
      </c>
      <c r="M240" s="9">
        <f>IF(9&lt;=核心参数输入!$B$9,M239*核心参数输入!$B$52,0)</f>
        <v>0</v>
      </c>
      <c r="N240" s="9">
        <f>IF(10&lt;=核心参数输入!$B$9,N239*核心参数输入!$B$52,0)</f>
        <v>0</v>
      </c>
      <c r="O240" s="9">
        <f>IF(11&lt;=核心参数输入!$B$9,O239*核心参数输入!$B$52,0)</f>
        <v>0</v>
      </c>
      <c r="P240" s="9">
        <f>IF(12&lt;=核心参数输入!$B$9,P239*核心参数输入!$B$52,0)</f>
        <v>0</v>
      </c>
      <c r="Q240" s="9">
        <f>IF(13&lt;=核心参数输入!$B$9,Q239*核心参数输入!$B$52,0)</f>
        <v>0</v>
      </c>
      <c r="R240" s="9">
        <f>IF(14&lt;=核心参数输入!$B$9,R239*核心参数输入!$B$52,0)</f>
        <v>0</v>
      </c>
      <c r="S240" s="9">
        <f>IF(15&lt;=核心参数输入!$B$9,S239*核心参数输入!$B$52,0)</f>
        <v>0</v>
      </c>
      <c r="T240" s="9">
        <f>IF(16&lt;=核心参数输入!$B$9,T239*核心参数输入!$B$52,0)</f>
        <v>0</v>
      </c>
      <c r="U240" s="9">
        <f>IF(17&lt;=核心参数输入!$B$9,U239*核心参数输入!$B$52,0)</f>
        <v>0</v>
      </c>
      <c r="V240" s="9">
        <f>IF(18&lt;=核心参数输入!$B$9,V239*核心参数输入!$B$52,0)</f>
        <v>0</v>
      </c>
      <c r="W240" s="9">
        <f>IF(19&lt;=核心参数输入!$B$9,W239*核心参数输入!$B$52,0)</f>
        <v>0</v>
      </c>
      <c r="X240" s="9">
        <f>IF(20&lt;=核心参数输入!$B$9,X239*核心参数输入!$B$52,0)</f>
        <v>0</v>
      </c>
      <c r="Y240" s="9">
        <f>IF(21&lt;=核心参数输入!$B$9,Y239*核心参数输入!$B$52,0)</f>
        <v>0</v>
      </c>
      <c r="Z240" s="9">
        <f>IF(22&lt;=核心参数输入!$B$9,Z239*核心参数输入!$B$52,0)</f>
        <v>0</v>
      </c>
      <c r="AA240" s="9">
        <f>IF(23&lt;=核心参数输入!$B$9,AA239*核心参数输入!$B$52,0)</f>
        <v>0</v>
      </c>
      <c r="AB240" s="9">
        <f>IF(24&lt;=核心参数输入!$B$9,AB239*核心参数输入!$B$52,0)</f>
        <v>0</v>
      </c>
      <c r="AC240" s="9">
        <f>IF(25&lt;=核心参数输入!$B$9,AC239*核心参数输入!$B$52,0)</f>
        <v>0</v>
      </c>
      <c r="AD240" s="9">
        <f>IF(26&lt;=核心参数输入!$B$9,AD239*核心参数输入!$B$52,0)</f>
        <v>0</v>
      </c>
      <c r="AE240" s="9">
        <f>IF(27&lt;=核心参数输入!$B$9,AE239*核心参数输入!$B$52,0)</f>
        <v>0</v>
      </c>
      <c r="AF240" s="9">
        <f>IF(28&lt;=核心参数输入!$B$9,AF239*核心参数输入!$B$52,0)</f>
        <v>0</v>
      </c>
      <c r="AG240" s="9">
        <f>IF(29&lt;=核心参数输入!$B$9,AG239*核心参数输入!$B$52,0)</f>
        <v>0</v>
      </c>
      <c r="AH240" s="9">
        <f>IF(30&lt;=核心参数输入!$B$9,AH239*核心参数输入!$B$52,0)</f>
        <v>0</v>
      </c>
    </row>
    <row r="241" spans="1:34" ht="21" customHeight="1">
      <c r="A241" s="8" t="s">
        <v>580</v>
      </c>
      <c r="B241" s="8" t="s">
        <v>39</v>
      </c>
      <c r="C241" s="8"/>
      <c r="D241" s="9">
        <f>IF(0&lt;=核心参数输入!$B$9,IF(核心参数输入!$B$100=1,MAX(0,-D235),0),0)</f>
        <v>0</v>
      </c>
      <c r="E241" s="9">
        <f>IF(1&lt;=核心参数输入!$B$9,IF(核心参数输入!$B$100=1,MAX(0,-E235),0),0)</f>
        <v>0</v>
      </c>
      <c r="F241" s="9">
        <f>IF(2&lt;=核心参数输入!$B$9,IF(核心参数输入!$B$100=1,MAX(0,-F235),0),0)</f>
        <v>0</v>
      </c>
      <c r="G241" s="9">
        <f>IF(3&lt;=核心参数输入!$B$9,IF(核心参数输入!$B$100=1,MAX(0,-G235),0),0)</f>
        <v>0</v>
      </c>
      <c r="H241" s="9">
        <f>IF(4&lt;=核心参数输入!$B$9,IF(核心参数输入!$B$100=1,MAX(0,-H235),0),0)</f>
        <v>2058.4514791350011</v>
      </c>
      <c r="I241" s="9">
        <f>IF(5&lt;=核心参数输入!$B$9,IF(核心参数输入!$B$100=1,MAX(0,-I235),0),0)</f>
        <v>1256.8365038604893</v>
      </c>
      <c r="J241" s="9">
        <f>IF(6&lt;=核心参数输入!$B$9,IF(核心参数输入!$B$100=1,MAX(0,-J235),0),0)</f>
        <v>930.59535122284274</v>
      </c>
      <c r="K241" s="9">
        <f>IF(7&lt;=核心参数输入!$B$9,IF(核心参数输入!$B$100=1,MAX(0,-K235),0),0)</f>
        <v>982.99188899500029</v>
      </c>
      <c r="L241" s="9">
        <f>IF(8&lt;=核心参数输入!$B$9,IF(核心参数输入!$B$100=1,MAX(0,-L235),0),0)</f>
        <v>732.64854271623824</v>
      </c>
      <c r="M241" s="9">
        <f>IF(9&lt;=核心参数输入!$B$9,IF(核心参数输入!$B$100=1,MAX(0,-M235),0),0)</f>
        <v>538.453232791966</v>
      </c>
      <c r="N241" s="9">
        <f>IF(10&lt;=核心参数输入!$B$9,IF(核心参数输入!$B$100=1,MAX(0,-N235),0),0)</f>
        <v>346.49684998864586</v>
      </c>
      <c r="O241" s="9">
        <f>IF(11&lt;=核心参数输入!$B$9,IF(核心参数输入!$B$100=1,MAX(0,-O235),0),0)</f>
        <v>176.89424386737187</v>
      </c>
      <c r="P241" s="9">
        <f>IF(12&lt;=核心参数输入!$B$9,IF(核心参数输入!$B$100=1,MAX(0,-P235),0),0)</f>
        <v>164.64388352685683</v>
      </c>
      <c r="Q241" s="9">
        <f>IF(13&lt;=核心参数输入!$B$9,IF(核心参数输入!$B$100=1,MAX(0,-Q235),0),0)</f>
        <v>152.24422835126299</v>
      </c>
      <c r="R241" s="9">
        <f>IF(14&lt;=核心参数输入!$B$9,IF(核心参数输入!$B$100=1,MAX(0,-R235),0),0)</f>
        <v>139.69372812946563</v>
      </c>
      <c r="S241" s="9">
        <f>IF(15&lt;=核心参数输入!$B$9,IF(核心参数输入!$B$100=1,MAX(0,-S235),0),0)</f>
        <v>126.99082318140015</v>
      </c>
      <c r="T241" s="9">
        <f>IF(16&lt;=核心参数输入!$B$9,IF(核心参数输入!$B$100=1,MAX(0,-T235),0),0)</f>
        <v>114.13394449171332</v>
      </c>
      <c r="U241" s="9">
        <f>IF(17&lt;=核心参数输入!$B$9,IF(核心参数输入!$B$100=1,MAX(0,-U235),0),0)</f>
        <v>101.12151385093264</v>
      </c>
      <c r="V241" s="9">
        <f>IF(18&lt;=核心参数输入!$B$9,IF(核心参数输入!$B$100=1,MAX(0,-V235),0),0)</f>
        <v>87.951944004377907</v>
      </c>
      <c r="W241" s="9">
        <f>IF(19&lt;=核心参数输入!$B$9,IF(核心参数输入!$B$100=1,MAX(0,-W235),0),0)</f>
        <v>74.623638809037942</v>
      </c>
      <c r="X241" s="9">
        <f>IF(20&lt;=核心参数输入!$B$9,IF(核心参数输入!$B$100=1,MAX(0,-X235),0),0)</f>
        <v>61.13499339865978</v>
      </c>
      <c r="Y241" s="9">
        <f>IF(21&lt;=核心参数输入!$B$9,IF(核心参数输入!$B$100=1,MAX(0,-Y235),0),0)</f>
        <v>0</v>
      </c>
      <c r="Z241" s="9">
        <f>IF(22&lt;=核心参数输入!$B$9,IF(核心参数输入!$B$100=1,MAX(0,-Z235),0),0)</f>
        <v>0</v>
      </c>
      <c r="AA241" s="9">
        <f>IF(23&lt;=核心参数输入!$B$9,IF(核心参数输入!$B$100=1,MAX(0,-AA235),0),0)</f>
        <v>0</v>
      </c>
      <c r="AB241" s="9">
        <f>IF(24&lt;=核心参数输入!$B$9,IF(核心参数输入!$B$100=1,MAX(0,-AB235),0),0)</f>
        <v>0</v>
      </c>
      <c r="AC241" s="9">
        <f>IF(25&lt;=核心参数输入!$B$9,IF(核心参数输入!$B$100=1,MAX(0,-AC235),0),0)</f>
        <v>0</v>
      </c>
      <c r="AD241" s="9">
        <f>IF(26&lt;=核心参数输入!$B$9,IF(核心参数输入!$B$100=1,MAX(0,-AD235),0),0)</f>
        <v>0</v>
      </c>
      <c r="AE241" s="9">
        <f>IF(27&lt;=核心参数输入!$B$9,IF(核心参数输入!$B$100=1,MAX(0,-AE235),0),0)</f>
        <v>0</v>
      </c>
      <c r="AF241" s="9">
        <f>IF(28&lt;=核心参数输入!$B$9,IF(核心参数输入!$B$100=1,MAX(0,-AF235),0),0)</f>
        <v>0</v>
      </c>
      <c r="AG241" s="9">
        <f>IF(29&lt;=核心参数输入!$B$9,IF(核心参数输入!$B$100=1,MAX(0,-AG235),0),0)</f>
        <v>0</v>
      </c>
      <c r="AH241" s="9">
        <f>IF(30&lt;=核心参数输入!$B$9,IF(核心参数输入!$B$100=1,MAX(0,-AH235),0),0)</f>
        <v>0</v>
      </c>
    </row>
    <row r="242" spans="1:34" ht="21" customHeight="1">
      <c r="A242" s="8" t="s">
        <v>581</v>
      </c>
      <c r="B242" s="8" t="s">
        <v>39</v>
      </c>
      <c r="C242" s="8"/>
      <c r="D242" s="9">
        <f>IF(0&lt;=核心参数输入!$B$9,SUM(D260:D290),0)</f>
        <v>0</v>
      </c>
      <c r="E242" s="9">
        <f>IF(1&lt;=核心参数输入!$B$9,SUM(E260:E290),0)</f>
        <v>0</v>
      </c>
      <c r="F242" s="9">
        <f>IF(2&lt;=核心参数输入!$B$9,SUM(F260:F290),0)</f>
        <v>0</v>
      </c>
      <c r="G242" s="9">
        <f>IF(3&lt;=核心参数输入!$B$9,SUM(G260:G290),0)</f>
        <v>0</v>
      </c>
      <c r="H242" s="9">
        <f>IF(4&lt;=核心参数输入!$B$9,SUM(H260:H290),0)</f>
        <v>2058.4514791350011</v>
      </c>
      <c r="I242" s="9">
        <f>IF(5&lt;=核心参数输入!$B$9,SUM(I260:I290),0)</f>
        <v>3315.2879829954904</v>
      </c>
      <c r="J242" s="9">
        <f>IF(6&lt;=核心参数输入!$B$9,SUM(J260:J290),0)</f>
        <v>4245.8833342183334</v>
      </c>
      <c r="K242" s="9">
        <f>IF(7&lt;=核心参数输入!$B$9,SUM(K260:K290),0)</f>
        <v>5228.8752232133338</v>
      </c>
      <c r="L242" s="9">
        <f>IF(8&lt;=核心参数输入!$B$9,SUM(L260:L290),0)</f>
        <v>5961.5237659295717</v>
      </c>
      <c r="M242" s="9">
        <f>IF(9&lt;=核心参数输入!$B$9,SUM(M260:M290),0)</f>
        <v>6499.9769987215377</v>
      </c>
      <c r="N242" s="9">
        <f>IF(10&lt;=核心参数输入!$B$9,SUM(N260:N290),0)</f>
        <v>4788.0223695751829</v>
      </c>
      <c r="O242" s="9">
        <f>IF(11&lt;=核心参数输入!$B$9,SUM(O260:O290),0)</f>
        <v>3708.0801095820652</v>
      </c>
      <c r="P242" s="9">
        <f>IF(12&lt;=核心参数输入!$B$9,SUM(P260:P290),0)</f>
        <v>2942.1286418860786</v>
      </c>
      <c r="Q242" s="9">
        <f>IF(13&lt;=核心参数输入!$B$9,SUM(Q260:Q290),0)</f>
        <v>2111.3809812423419</v>
      </c>
      <c r="R242" s="9">
        <f>IF(14&lt;=核心参数输入!$B$9,SUM(R260:R290),0)</f>
        <v>1518.4261666555692</v>
      </c>
      <c r="S242" s="9">
        <f>IF(15&lt;=核心参数输入!$B$9,SUM(S260:S290),0)</f>
        <v>1106.9637570450034</v>
      </c>
      <c r="T242" s="9">
        <f>IF(16&lt;=核心参数输入!$B$9,SUM(T260:T290),0)</f>
        <v>874.60085154807086</v>
      </c>
      <c r="U242" s="9">
        <f>IF(17&lt;=核心参数输入!$B$9,SUM(U260:U290),0)</f>
        <v>798.82812153163161</v>
      </c>
      <c r="V242" s="9">
        <f>IF(18&lt;=核心参数输入!$B$9,SUM(V260:V290),0)</f>
        <v>722.13618200915266</v>
      </c>
      <c r="W242" s="9">
        <f>IF(19&lt;=核心参数输入!$B$9,SUM(W260:W290),0)</f>
        <v>644.51559246692761</v>
      </c>
      <c r="X242" s="9">
        <f>IF(20&lt;=核心参数输入!$B$9,SUM(X260:X290),0)</f>
        <v>565.95685773612172</v>
      </c>
      <c r="Y242" s="9">
        <f>IF(21&lt;=核心参数输入!$B$9,SUM(Y260:Y290),0)</f>
        <v>0</v>
      </c>
      <c r="Z242" s="9">
        <f>IF(22&lt;=核心参数输入!$B$9,SUM(Z260:Z290),0)</f>
        <v>0</v>
      </c>
      <c r="AA242" s="9">
        <f>IF(23&lt;=核心参数输入!$B$9,SUM(AA260:AA290),0)</f>
        <v>0</v>
      </c>
      <c r="AB242" s="9">
        <f>IF(24&lt;=核心参数输入!$B$9,SUM(AB260:AB290),0)</f>
        <v>0</v>
      </c>
      <c r="AC242" s="9">
        <f>IF(25&lt;=核心参数输入!$B$9,SUM(AC260:AC290),0)</f>
        <v>0</v>
      </c>
      <c r="AD242" s="9">
        <f>IF(26&lt;=核心参数输入!$B$9,SUM(AD260:AD290),0)</f>
        <v>0</v>
      </c>
      <c r="AE242" s="9">
        <f>IF(27&lt;=核心参数输入!$B$9,SUM(AE260:AE290),0)</f>
        <v>0</v>
      </c>
      <c r="AF242" s="9">
        <f>IF(28&lt;=核心参数输入!$B$9,SUM(AF260:AF290),0)</f>
        <v>0</v>
      </c>
      <c r="AG242" s="9">
        <f>IF(29&lt;=核心参数输入!$B$9,SUM(AG260:AG290),0)</f>
        <v>0</v>
      </c>
      <c r="AH242" s="9">
        <f>IF(30&lt;=核心参数输入!$B$9,SUM(AH260:AH290),0)</f>
        <v>0</v>
      </c>
    </row>
    <row r="243" spans="1:34" ht="21" customHeight="1">
      <c r="A243" s="8" t="s">
        <v>582</v>
      </c>
      <c r="B243" s="8" t="s">
        <v>39</v>
      </c>
      <c r="C243" s="8"/>
      <c r="D243" s="9">
        <f>IF(0&lt;=核心参数输入!$B$9,0,0)</f>
        <v>0</v>
      </c>
      <c r="E243" s="9">
        <f>IF(1&lt;=核心参数输入!$B$9,MAX(0,D242-E237),0)</f>
        <v>0</v>
      </c>
      <c r="F243" s="9">
        <f>IF(2&lt;=核心参数输入!$B$9,MAX(0,E242-F237),0)</f>
        <v>0</v>
      </c>
      <c r="G243" s="9">
        <f>IF(3&lt;=核心参数输入!$B$9,MAX(0,F242-G237),0)</f>
        <v>0</v>
      </c>
      <c r="H243" s="9">
        <f>IF(4&lt;=核心参数输入!$B$9,MAX(0,G242-H237),0)</f>
        <v>0</v>
      </c>
      <c r="I243" s="9">
        <f>IF(5&lt;=核心参数输入!$B$9,MAX(0,H242-I237),0)</f>
        <v>0</v>
      </c>
      <c r="J243" s="9">
        <f>IF(6&lt;=核心参数输入!$B$9,MAX(0,I242-J237),0)</f>
        <v>0</v>
      </c>
      <c r="K243" s="9">
        <f>IF(7&lt;=核心参数输入!$B$9,MAX(0,J242-K237),0)</f>
        <v>0</v>
      </c>
      <c r="L243" s="9">
        <f>IF(8&lt;=核心参数输入!$B$9,MAX(0,K242-L237),0)</f>
        <v>0</v>
      </c>
      <c r="M243" s="9">
        <f>IF(9&lt;=核心参数输入!$B$9,MAX(0,L242-M237),0)</f>
        <v>0</v>
      </c>
      <c r="N243" s="9">
        <f>IF(10&lt;=核心参数输入!$B$9,MAX(0,M242-N237),0)</f>
        <v>2058.4514791350002</v>
      </c>
      <c r="O243" s="9">
        <f>IF(11&lt;=核心参数输入!$B$9,MAX(0,N242-O237),0)</f>
        <v>1256.8365038604898</v>
      </c>
      <c r="P243" s="9">
        <f>IF(12&lt;=核心参数输入!$B$9,MAX(0,O242-P237),0)</f>
        <v>930.59535122284342</v>
      </c>
      <c r="Q243" s="9">
        <f>IF(13&lt;=核心参数输入!$B$9,MAX(0,P242-Q237),0)</f>
        <v>982.99188899499973</v>
      </c>
      <c r="R243" s="9">
        <f>IF(14&lt;=核心参数输入!$B$9,MAX(0,Q242-R237),0)</f>
        <v>732.64854271623835</v>
      </c>
      <c r="S243" s="9">
        <f>IF(15&lt;=核心参数输入!$B$9,MAX(0,R242-S237),0)</f>
        <v>538.453232791966</v>
      </c>
      <c r="T243" s="9">
        <f>IF(16&lt;=核心参数输入!$B$9,MAX(0,S242-T237),0)</f>
        <v>346.49684998864586</v>
      </c>
      <c r="U243" s="9">
        <f>IF(17&lt;=核心参数输入!$B$9,MAX(0,T242-U237),0)</f>
        <v>176.89424386737187</v>
      </c>
      <c r="V243" s="9">
        <f>IF(18&lt;=核心参数输入!$B$9,MAX(0,U242-V237),0)</f>
        <v>164.64388352685683</v>
      </c>
      <c r="W243" s="9">
        <f>IF(19&lt;=核心参数输入!$B$9,MAX(0,V242-W237),0)</f>
        <v>152.24422835126302</v>
      </c>
      <c r="X243" s="9">
        <f>IF(20&lt;=核心参数输入!$B$9,MAX(0,W242-X237),0)</f>
        <v>139.69372812946563</v>
      </c>
      <c r="Y243" s="9">
        <f>IF(21&lt;=核心参数输入!$B$9,MAX(0,X242-Y237),0)</f>
        <v>0</v>
      </c>
      <c r="Z243" s="9">
        <f>IF(22&lt;=核心参数输入!$B$9,MAX(0,Y242-Z237),0)</f>
        <v>0</v>
      </c>
      <c r="AA243" s="9">
        <f>IF(23&lt;=核心参数输入!$B$9,MAX(0,Z242-AA237),0)</f>
        <v>0</v>
      </c>
      <c r="AB243" s="9">
        <f>IF(24&lt;=核心参数输入!$B$9,MAX(0,AA242-AB237),0)</f>
        <v>0</v>
      </c>
      <c r="AC243" s="9">
        <f>IF(25&lt;=核心参数输入!$B$9,MAX(0,AB242-AC237),0)</f>
        <v>0</v>
      </c>
      <c r="AD243" s="9">
        <f>IF(26&lt;=核心参数输入!$B$9,MAX(0,AC242-AD237),0)</f>
        <v>0</v>
      </c>
      <c r="AE243" s="9">
        <f>IF(27&lt;=核心参数输入!$B$9,MAX(0,AD242-AE237),0)</f>
        <v>0</v>
      </c>
      <c r="AF243" s="9">
        <f>IF(28&lt;=核心参数输入!$B$9,MAX(0,AE242-AF237),0)</f>
        <v>0</v>
      </c>
      <c r="AG243" s="9">
        <f>IF(29&lt;=核心参数输入!$B$9,MAX(0,AF242-AG237),0)</f>
        <v>0</v>
      </c>
      <c r="AH243" s="9">
        <f>IF(30&lt;=核心参数输入!$B$9,MAX(0,AG242-AH237),0)</f>
        <v>0</v>
      </c>
    </row>
    <row r="244" spans="1:34" ht="21" customHeight="1">
      <c r="A244" s="8" t="s">
        <v>583</v>
      </c>
      <c r="B244" s="8" t="s">
        <v>39</v>
      </c>
      <c r="C244" s="8"/>
      <c r="D244" s="9">
        <f>IF(0&lt;=核心参数输入!$B$9,MAX(0,D235+D236-MIN(MAX(0,D235+D236),D237))*核心参数输入!$B$52,0)</f>
        <v>0</v>
      </c>
      <c r="E244" s="9">
        <f>IF(1&lt;=核心参数输入!$B$9,MAX(0,E235+E236-MIN(MAX(0,E235+E236),E237))*核心参数输入!$B$52,0)</f>
        <v>0</v>
      </c>
      <c r="F244" s="9">
        <f>IF(2&lt;=核心参数输入!$B$9,MAX(0,F235+F236-MIN(MAX(0,F235+F236),F237))*核心参数输入!$B$52,0)</f>
        <v>0</v>
      </c>
      <c r="G244" s="9">
        <f>IF(3&lt;=核心参数输入!$B$9,MAX(0,G235+G236-MIN(MAX(0,G235+G236),G237))*核心参数输入!$B$52,0)</f>
        <v>0</v>
      </c>
      <c r="H244" s="9">
        <f>IF(4&lt;=核心参数输入!$B$9,MAX(0,H235+H236-MIN(MAX(0,H235+H236),H237))*核心参数输入!$B$52,0)</f>
        <v>0</v>
      </c>
      <c r="I244" s="9">
        <f>IF(5&lt;=核心参数输入!$B$9,MAX(0,I235+I236-MIN(MAX(0,I235+I236),I237))*核心参数输入!$B$52,0)</f>
        <v>0</v>
      </c>
      <c r="J244" s="9">
        <f>IF(6&lt;=核心参数输入!$B$9,MAX(0,J235+J236-MIN(MAX(0,J235+J236),J237))*核心参数输入!$B$52,0)</f>
        <v>0</v>
      </c>
      <c r="K244" s="9">
        <f>IF(7&lt;=核心参数输入!$B$9,MAX(0,K235+K236-MIN(MAX(0,K235+K236),K237))*核心参数输入!$B$52,0)</f>
        <v>0</v>
      </c>
      <c r="L244" s="9">
        <f>IF(8&lt;=核心参数输入!$B$9,MAX(0,L235+L236-MIN(MAX(0,L235+L236),L237))*核心参数输入!$B$52,0)</f>
        <v>0</v>
      </c>
      <c r="M244" s="9">
        <f>IF(9&lt;=核心参数输入!$B$9,MAX(0,M235+M236-MIN(MAX(0,M235+M236),M237))*核心参数输入!$B$52,0)</f>
        <v>0</v>
      </c>
      <c r="N244" s="9">
        <f>IF(10&lt;=核心参数输入!$B$9,MAX(0,N235+N236-MIN(MAX(0,N235+N236),N237))*核心参数输入!$B$52,0)</f>
        <v>0</v>
      </c>
      <c r="O244" s="9">
        <f>IF(11&lt;=核心参数输入!$B$9,MAX(0,O235+O236-MIN(MAX(0,O235+O236),O237))*核心参数输入!$B$52,0)</f>
        <v>0</v>
      </c>
      <c r="P244" s="9">
        <f>IF(12&lt;=核心参数输入!$B$9,MAX(0,P235+P236-MIN(MAX(0,P235+P236),P237))*核心参数输入!$B$52,0)</f>
        <v>0</v>
      </c>
      <c r="Q244" s="9">
        <f>IF(13&lt;=核心参数输入!$B$9,MAX(0,Q235+Q236-MIN(MAX(0,Q235+Q236),Q237))*核心参数输入!$B$52,0)</f>
        <v>0</v>
      </c>
      <c r="R244" s="9">
        <f>IF(14&lt;=核心参数输入!$B$9,MAX(0,R235+R236-MIN(MAX(0,R235+R236),R237))*核心参数输入!$B$52,0)</f>
        <v>0</v>
      </c>
      <c r="S244" s="9">
        <f>IF(15&lt;=核心参数输入!$B$9,MAX(0,S235+S236-MIN(MAX(0,S235+S236),S237))*核心参数输入!$B$52,0)</f>
        <v>0</v>
      </c>
      <c r="T244" s="9">
        <f>IF(16&lt;=核心参数输入!$B$9,MAX(0,T235+T236-MIN(MAX(0,T235+T236),T237))*核心参数输入!$B$52,0)</f>
        <v>0</v>
      </c>
      <c r="U244" s="9">
        <f>IF(17&lt;=核心参数输入!$B$9,MAX(0,U235+U236-MIN(MAX(0,U235+U236),U237))*核心参数输入!$B$52,0)</f>
        <v>0</v>
      </c>
      <c r="V244" s="9">
        <f>IF(18&lt;=核心参数输入!$B$9,MAX(0,V235+V236-MIN(MAX(0,V235+V236),V237))*核心参数输入!$B$52,0)</f>
        <v>0</v>
      </c>
      <c r="W244" s="9">
        <f>IF(19&lt;=核心参数输入!$B$9,MAX(0,W235+W236-MIN(MAX(0,W235+W236),W237))*核心参数输入!$B$52,0)</f>
        <v>0</v>
      </c>
      <c r="X244" s="9">
        <f>IF(20&lt;=核心参数输入!$B$9,MAX(0,X235+X236-MIN(MAX(0,X235+X236),X237))*核心参数输入!$B$52,0)</f>
        <v>3417.963160565977</v>
      </c>
      <c r="Y244" s="9">
        <f>IF(21&lt;=核心参数输入!$B$9,MAX(0,Y235+Y236-MIN(MAX(0,Y235+Y236),Y237))*核心参数输入!$B$52,0)</f>
        <v>0</v>
      </c>
      <c r="Z244" s="9">
        <f>IF(22&lt;=核心参数输入!$B$9,MAX(0,Z235+Z236-MIN(MAX(0,Z235+Z236),Z237))*核心参数输入!$B$52,0)</f>
        <v>0</v>
      </c>
      <c r="AA244" s="9">
        <f>IF(23&lt;=核心参数输入!$B$9,MAX(0,AA235+AA236-MIN(MAX(0,AA235+AA236),AA237))*核心参数输入!$B$52,0)</f>
        <v>0</v>
      </c>
      <c r="AB244" s="9">
        <f>IF(24&lt;=核心参数输入!$B$9,MAX(0,AB235+AB236-MIN(MAX(0,AB235+AB236),AB237))*核心参数输入!$B$52,0)</f>
        <v>0</v>
      </c>
      <c r="AC244" s="9">
        <f>IF(25&lt;=核心参数输入!$B$9,MAX(0,AC235+AC236-MIN(MAX(0,AC235+AC236),AC237))*核心参数输入!$B$52,0)</f>
        <v>0</v>
      </c>
      <c r="AD244" s="9">
        <f>IF(26&lt;=核心参数输入!$B$9,MAX(0,AD235+AD236-MIN(MAX(0,AD235+AD236),AD237))*核心参数输入!$B$52,0)</f>
        <v>0</v>
      </c>
      <c r="AE244" s="9">
        <f>IF(27&lt;=核心参数输入!$B$9,MAX(0,AE235+AE236-MIN(MAX(0,AE235+AE236),AE237))*核心参数输入!$B$52,0)</f>
        <v>0</v>
      </c>
      <c r="AF244" s="9">
        <f>IF(28&lt;=核心参数输入!$B$9,MAX(0,AF235+AF236-MIN(MAX(0,AF235+AF236),AF237))*核心参数输入!$B$52,0)</f>
        <v>0</v>
      </c>
      <c r="AG244" s="9">
        <f>IF(29&lt;=核心参数输入!$B$9,MAX(0,AG235+AG236-MIN(MAX(0,AG235+AG236),AG237))*核心参数输入!$B$52,0)</f>
        <v>0</v>
      </c>
      <c r="AH244" s="9">
        <f>IF(30&lt;=核心参数输入!$B$9,MAX(0,AH235+AH236-MIN(MAX(0,AH235+AH236),AH237))*核心参数输入!$B$52,0)</f>
        <v>0</v>
      </c>
    </row>
    <row r="245" spans="1:34" ht="21" customHeight="1">
      <c r="A245" s="8" t="s">
        <v>584</v>
      </c>
      <c r="B245" s="8" t="s">
        <v>39</v>
      </c>
      <c r="C245" s="8"/>
      <c r="D245" s="9">
        <f>IF(0&lt;=核心参数输入!$B$9,D235+D236,0)</f>
        <v>0</v>
      </c>
      <c r="E245" s="9">
        <f>IF(1&lt;=核心参数输入!$B$9,E235+E236,0)</f>
        <v>0</v>
      </c>
      <c r="F245" s="9">
        <f>IF(2&lt;=核心参数输入!$B$9,F235+F236,0)</f>
        <v>0</v>
      </c>
      <c r="G245" s="9">
        <f>IF(3&lt;=核心参数输入!$B$9,G235+G236,0)</f>
        <v>0</v>
      </c>
      <c r="H245" s="9">
        <f>IF(4&lt;=核心参数输入!$B$9,H235+H236,0)</f>
        <v>-2058.4514791350011</v>
      </c>
      <c r="I245" s="9">
        <f>IF(5&lt;=核心参数输入!$B$9,I235+I236,0)</f>
        <v>-1256.8365038604893</v>
      </c>
      <c r="J245" s="9">
        <f>IF(6&lt;=核心参数输入!$B$9,J235+J236,0)</f>
        <v>-930.59535122284274</v>
      </c>
      <c r="K245" s="9">
        <f>IF(7&lt;=核心参数输入!$B$9,K235+K236,0)</f>
        <v>-982.99188899500029</v>
      </c>
      <c r="L245" s="9">
        <f>IF(8&lt;=核心参数输入!$B$9,L235+L236,0)</f>
        <v>-732.64854271623824</v>
      </c>
      <c r="M245" s="9">
        <f>IF(9&lt;=核心参数输入!$B$9,M235+M236,0)</f>
        <v>-538.453232791966</v>
      </c>
      <c r="N245" s="9">
        <f>IF(10&lt;=核心参数输入!$B$9,N235+N236,0)</f>
        <v>-346.49684998864586</v>
      </c>
      <c r="O245" s="9">
        <f>IF(11&lt;=核心参数输入!$B$9,O235+O236,0)</f>
        <v>-176.89424386737187</v>
      </c>
      <c r="P245" s="9">
        <f>IF(12&lt;=核心参数输入!$B$9,P235+P236,0)</f>
        <v>-164.64388352685683</v>
      </c>
      <c r="Q245" s="9">
        <f>IF(13&lt;=核心参数输入!$B$9,Q235+Q236,0)</f>
        <v>-152.24422835126299</v>
      </c>
      <c r="R245" s="9">
        <f>IF(14&lt;=核心参数输入!$B$9,R235+R236,0)</f>
        <v>-139.69372812946563</v>
      </c>
      <c r="S245" s="9">
        <f>IF(15&lt;=核心参数输入!$B$9,S235+S236,0)</f>
        <v>-126.99082318140015</v>
      </c>
      <c r="T245" s="9">
        <f>IF(16&lt;=核心参数输入!$B$9,T235+T236,0)</f>
        <v>-114.13394449171332</v>
      </c>
      <c r="U245" s="9">
        <f>IF(17&lt;=核心参数输入!$B$9,U235+U236,0)</f>
        <v>-101.12151385093264</v>
      </c>
      <c r="V245" s="9">
        <f>IF(18&lt;=核心参数输入!$B$9,V235+V236,0)</f>
        <v>-87.951944004377907</v>
      </c>
      <c r="W245" s="9">
        <f>IF(19&lt;=核心参数输入!$B$9,W235+W236,0)</f>
        <v>-74.623638809037942</v>
      </c>
      <c r="X245" s="9">
        <f>IF(20&lt;=核心参数输入!$B$9,X235+X236,0)</f>
        <v>14176.67450660137</v>
      </c>
      <c r="Y245" s="9">
        <f>IF(21&lt;=核心参数输入!$B$9,Y235+Y236,0)</f>
        <v>0</v>
      </c>
      <c r="Z245" s="9">
        <f>IF(22&lt;=核心参数输入!$B$9,Z235+Z236,0)</f>
        <v>0</v>
      </c>
      <c r="AA245" s="9">
        <f>IF(23&lt;=核心参数输入!$B$9,AA235+AA236,0)</f>
        <v>0</v>
      </c>
      <c r="AB245" s="9">
        <f>IF(24&lt;=核心参数输入!$B$9,AB235+AB236,0)</f>
        <v>0</v>
      </c>
      <c r="AC245" s="9">
        <f>IF(25&lt;=核心参数输入!$B$9,AC235+AC236,0)</f>
        <v>0</v>
      </c>
      <c r="AD245" s="9">
        <f>IF(26&lt;=核心参数输入!$B$9,AD235+AD236,0)</f>
        <v>0</v>
      </c>
      <c r="AE245" s="9">
        <f>IF(27&lt;=核心参数输入!$B$9,AE235+AE236,0)</f>
        <v>0</v>
      </c>
      <c r="AF245" s="9">
        <f>IF(28&lt;=核心参数输入!$B$9,AF235+AF236,0)</f>
        <v>0</v>
      </c>
      <c r="AG245" s="9">
        <f>IF(29&lt;=核心参数输入!$B$9,AG235+AG236,0)</f>
        <v>0</v>
      </c>
      <c r="AH245" s="9">
        <f>IF(30&lt;=核心参数输入!$B$9,AH235+AH236,0)</f>
        <v>0</v>
      </c>
    </row>
    <row r="246" spans="1:34" ht="21" customHeight="1">
      <c r="A246" s="8" t="s">
        <v>585</v>
      </c>
      <c r="B246" s="8" t="s">
        <v>39</v>
      </c>
      <c r="C246" s="8"/>
      <c r="D246" s="9">
        <f>IF(0&lt;=核心参数输入!$B$9,IF(核心参数输入!$B$64=1,D244,D240),0)</f>
        <v>0</v>
      </c>
      <c r="E246" s="9">
        <f>IF(1&lt;=核心参数输入!$B$9,IF(核心参数输入!$B$64=1,E244,E240),0)</f>
        <v>0</v>
      </c>
      <c r="F246" s="9">
        <f>IF(2&lt;=核心参数输入!$B$9,IF(核心参数输入!$B$64=1,F244,F240),0)</f>
        <v>0</v>
      </c>
      <c r="G246" s="9">
        <f>IF(3&lt;=核心参数输入!$B$9,IF(核心参数输入!$B$64=1,G244,G240),0)</f>
        <v>0</v>
      </c>
      <c r="H246" s="9">
        <f>IF(4&lt;=核心参数输入!$B$9,IF(核心参数输入!$B$64=1,H244,H240),0)</f>
        <v>0</v>
      </c>
      <c r="I246" s="9">
        <f>IF(5&lt;=核心参数输入!$B$9,IF(核心参数输入!$B$64=1,I244,I240),0)</f>
        <v>0</v>
      </c>
      <c r="J246" s="9">
        <f>IF(6&lt;=核心参数输入!$B$9,IF(核心参数输入!$B$64=1,J244,J240),0)</f>
        <v>0</v>
      </c>
      <c r="K246" s="9">
        <f>IF(7&lt;=核心参数输入!$B$9,IF(核心参数输入!$B$64=1,K244,K240),0)</f>
        <v>0</v>
      </c>
      <c r="L246" s="9">
        <f>IF(8&lt;=核心参数输入!$B$9,IF(核心参数输入!$B$64=1,L244,L240),0)</f>
        <v>0</v>
      </c>
      <c r="M246" s="9">
        <f>IF(9&lt;=核心参数输入!$B$9,IF(核心参数输入!$B$64=1,M244,M240),0)</f>
        <v>0</v>
      </c>
      <c r="N246" s="9">
        <f>IF(10&lt;=核心参数输入!$B$9,IF(核心参数输入!$B$64=1,N244,N240),0)</f>
        <v>0</v>
      </c>
      <c r="O246" s="9">
        <f>IF(11&lt;=核心参数输入!$B$9,IF(核心参数输入!$B$64=1,O244,O240),0)</f>
        <v>0</v>
      </c>
      <c r="P246" s="9">
        <f>IF(12&lt;=核心参数输入!$B$9,IF(核心参数输入!$B$64=1,P244,P240),0)</f>
        <v>0</v>
      </c>
      <c r="Q246" s="9">
        <f>IF(13&lt;=核心参数输入!$B$9,IF(核心参数输入!$B$64=1,Q244,Q240),0)</f>
        <v>0</v>
      </c>
      <c r="R246" s="9">
        <f>IF(14&lt;=核心参数输入!$B$9,IF(核心参数输入!$B$64=1,R244,R240),0)</f>
        <v>0</v>
      </c>
      <c r="S246" s="9">
        <f>IF(15&lt;=核心参数输入!$B$9,IF(核心参数输入!$B$64=1,S244,S240),0)</f>
        <v>0</v>
      </c>
      <c r="T246" s="9">
        <f>IF(16&lt;=核心参数输入!$B$9,IF(核心参数输入!$B$64=1,T244,T240),0)</f>
        <v>0</v>
      </c>
      <c r="U246" s="9">
        <f>IF(17&lt;=核心参数输入!$B$9,IF(核心参数输入!$B$64=1,U244,U240),0)</f>
        <v>0</v>
      </c>
      <c r="V246" s="9">
        <f>IF(18&lt;=核心参数输入!$B$9,IF(核心参数输入!$B$64=1,V244,V240),0)</f>
        <v>0</v>
      </c>
      <c r="W246" s="9">
        <f>IF(19&lt;=核心参数输入!$B$9,IF(核心参数输入!$B$64=1,W244,W240),0)</f>
        <v>0</v>
      </c>
      <c r="X246" s="9">
        <f>IF(20&lt;=核心参数输入!$B$9,IF(核心参数输入!$B$64=1,X244,X240),0)</f>
        <v>0</v>
      </c>
      <c r="Y246" s="9">
        <f>IF(21&lt;=核心参数输入!$B$9,IF(核心参数输入!$B$64=1,Y244,Y240),0)</f>
        <v>0</v>
      </c>
      <c r="Z246" s="9">
        <f>IF(22&lt;=核心参数输入!$B$9,IF(核心参数输入!$B$64=1,Z244,Z240),0)</f>
        <v>0</v>
      </c>
      <c r="AA246" s="9">
        <f>IF(23&lt;=核心参数输入!$B$9,IF(核心参数输入!$B$64=1,AA244,AA240),0)</f>
        <v>0</v>
      </c>
      <c r="AB246" s="9">
        <f>IF(24&lt;=核心参数输入!$B$9,IF(核心参数输入!$B$64=1,AB244,AB240),0)</f>
        <v>0</v>
      </c>
      <c r="AC246" s="9">
        <f>IF(25&lt;=核心参数输入!$B$9,IF(核心参数输入!$B$64=1,AC244,AC240),0)</f>
        <v>0</v>
      </c>
      <c r="AD246" s="9">
        <f>IF(26&lt;=核心参数输入!$B$9,IF(核心参数输入!$B$64=1,AD244,AD240),0)</f>
        <v>0</v>
      </c>
      <c r="AE246" s="9">
        <f>IF(27&lt;=核心参数输入!$B$9,IF(核心参数输入!$B$64=1,AE244,AE240),0)</f>
        <v>0</v>
      </c>
      <c r="AF246" s="9">
        <f>IF(28&lt;=核心参数输入!$B$9,IF(核心参数输入!$B$64=1,AF244,AF240),0)</f>
        <v>0</v>
      </c>
      <c r="AG246" s="9">
        <f>IF(29&lt;=核心参数输入!$B$9,IF(核心参数输入!$B$64=1,AG244,AG240),0)</f>
        <v>0</v>
      </c>
      <c r="AH246" s="9">
        <f>IF(30&lt;=核心参数输入!$B$9,IF(核心参数输入!$B$64=1,AH244,AH240),0)</f>
        <v>0</v>
      </c>
    </row>
    <row r="247" spans="1:34" ht="21" customHeight="1">
      <c r="A247" s="8"/>
      <c r="B247" s="8"/>
      <c r="C247" s="8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 spans="1:34" ht="21" customHeight="1">
      <c r="A248" s="8"/>
      <c r="B248" s="8"/>
      <c r="C248" s="8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 spans="1:34" ht="21" customHeight="1">
      <c r="A249" s="8"/>
      <c r="B249" s="8"/>
      <c r="C249" s="8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 spans="1:34" ht="21" customHeight="1">
      <c r="A250" s="8"/>
      <c r="B250" s="8"/>
      <c r="C250" s="8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 spans="1:34" ht="21" customHeight="1">
      <c r="A251" s="8"/>
      <c r="B251" s="8"/>
      <c r="C251" s="8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 spans="1:34" ht="21" customHeight="1">
      <c r="A252" s="8"/>
      <c r="B252" s="8"/>
      <c r="C252" s="8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 spans="1:34" ht="21" customHeight="1">
      <c r="A253" s="8"/>
      <c r="B253" s="8"/>
      <c r="C253" s="8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 spans="1:34" ht="21" customHeight="1">
      <c r="A254" s="8"/>
      <c r="B254" s="8"/>
      <c r="C254" s="8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 spans="1:34" ht="21" customHeight="1">
      <c r="A255" s="8"/>
      <c r="B255" s="8"/>
      <c r="C255" s="8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 spans="1:34" ht="21" customHeight="1">
      <c r="A256" s="8"/>
      <c r="B256" s="8"/>
      <c r="C256" s="8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 spans="1:34" ht="21" customHeight="1">
      <c r="A257" s="8"/>
      <c r="B257" s="8"/>
      <c r="C257" s="8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 spans="1:34" ht="21" customHeight="1">
      <c r="A258" s="8"/>
      <c r="B258" s="8"/>
      <c r="C258" s="8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 spans="1:34" ht="21" customHeight="1">
      <c r="A259" s="8"/>
      <c r="B259" s="8"/>
      <c r="C259" s="8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 spans="1:34" ht="21" customHeight="1">
      <c r="A260" s="8" t="s">
        <v>586</v>
      </c>
      <c r="B260" s="8">
        <v>0</v>
      </c>
      <c r="C260" s="8"/>
      <c r="D260" s="9">
        <f>IF(0&lt;=核心参数输入!$B$9,D241,0)</f>
        <v>0</v>
      </c>
      <c r="E260" s="9">
        <f>IF(1&lt;=核心参数输入!$B$9,IF(AND(核心参数输入!$B$100=1,OR(核心参数输入!$B$101=0,1-0&lt;=核心参数输入!$B$101)),MAX(0,D260-MAX(0,E238-0)),0),0)</f>
        <v>0</v>
      </c>
      <c r="F260" s="9">
        <f>IF(2&lt;=核心参数输入!$B$9,IF(AND(核心参数输入!$B$100=1,OR(核心参数输入!$B$101=0,2-0&lt;=核心参数输入!$B$101)),MAX(0,E260-MAX(0,F238-0)),0),0)</f>
        <v>0</v>
      </c>
      <c r="G260" s="9">
        <f>IF(3&lt;=核心参数输入!$B$9,IF(AND(核心参数输入!$B$100=1,OR(核心参数输入!$B$101=0,3-0&lt;=核心参数输入!$B$101)),MAX(0,F260-MAX(0,G238-0)),0),0)</f>
        <v>0</v>
      </c>
      <c r="H260" s="9">
        <f>IF(4&lt;=核心参数输入!$B$9,IF(AND(核心参数输入!$B$100=1,OR(核心参数输入!$B$101=0,4-0&lt;=核心参数输入!$B$101)),MAX(0,G260-MAX(0,H238-0)),0),0)</f>
        <v>0</v>
      </c>
      <c r="I260" s="9">
        <f>IF(5&lt;=核心参数输入!$B$9,IF(AND(核心参数输入!$B$100=1,OR(核心参数输入!$B$101=0,5-0&lt;=核心参数输入!$B$101)),MAX(0,H260-MAX(0,I238-0)),0),0)</f>
        <v>0</v>
      </c>
      <c r="J260" s="9">
        <f>IF(6&lt;=核心参数输入!$B$9,IF(AND(核心参数输入!$B$100=1,OR(核心参数输入!$B$101=0,6-0&lt;=核心参数输入!$B$101)),MAX(0,I260-MAX(0,J238-0)),0),0)</f>
        <v>0</v>
      </c>
      <c r="K260" s="9">
        <f>IF(7&lt;=核心参数输入!$B$9,IF(AND(核心参数输入!$B$100=1,OR(核心参数输入!$B$101=0,7-0&lt;=核心参数输入!$B$101)),MAX(0,J260-MAX(0,K238-0)),0),0)</f>
        <v>0</v>
      </c>
      <c r="L260" s="9">
        <f>IF(8&lt;=核心参数输入!$B$9,IF(AND(核心参数输入!$B$100=1,OR(核心参数输入!$B$101=0,8-0&lt;=核心参数输入!$B$101)),MAX(0,K260-MAX(0,L238-0)),0),0)</f>
        <v>0</v>
      </c>
      <c r="M260" s="9">
        <f>IF(9&lt;=核心参数输入!$B$9,IF(AND(核心参数输入!$B$100=1,OR(核心参数输入!$B$101=0,9-0&lt;=核心参数输入!$B$101)),MAX(0,L260-MAX(0,M238-0)),0),0)</f>
        <v>0</v>
      </c>
      <c r="N260" s="9">
        <f>IF(10&lt;=核心参数输入!$B$9,IF(AND(核心参数输入!$B$100=1,OR(核心参数输入!$B$101=0,10-0&lt;=核心参数输入!$B$101)),MAX(0,M260-MAX(0,N238-0)),0),0)</f>
        <v>0</v>
      </c>
      <c r="O260" s="9">
        <f>IF(11&lt;=核心参数输入!$B$9,IF(AND(核心参数输入!$B$100=1,OR(核心参数输入!$B$101=0,11-0&lt;=核心参数输入!$B$101)),MAX(0,N260-MAX(0,O238-0)),0),0)</f>
        <v>0</v>
      </c>
      <c r="P260" s="9">
        <f>IF(12&lt;=核心参数输入!$B$9,IF(AND(核心参数输入!$B$100=1,OR(核心参数输入!$B$101=0,12-0&lt;=核心参数输入!$B$101)),MAX(0,O260-MAX(0,P238-0)),0),0)</f>
        <v>0</v>
      </c>
      <c r="Q260" s="9">
        <f>IF(13&lt;=核心参数输入!$B$9,IF(AND(核心参数输入!$B$100=1,OR(核心参数输入!$B$101=0,13-0&lt;=核心参数输入!$B$101)),MAX(0,P260-MAX(0,Q238-0)),0),0)</f>
        <v>0</v>
      </c>
      <c r="R260" s="9">
        <f>IF(14&lt;=核心参数输入!$B$9,IF(AND(核心参数输入!$B$100=1,OR(核心参数输入!$B$101=0,14-0&lt;=核心参数输入!$B$101)),MAX(0,Q260-MAX(0,R238-0)),0),0)</f>
        <v>0</v>
      </c>
      <c r="S260" s="9">
        <f>IF(15&lt;=核心参数输入!$B$9,IF(AND(核心参数输入!$B$100=1,OR(核心参数输入!$B$101=0,15-0&lt;=核心参数输入!$B$101)),MAX(0,R260-MAX(0,S238-0)),0),0)</f>
        <v>0</v>
      </c>
      <c r="T260" s="9">
        <f>IF(16&lt;=核心参数输入!$B$9,IF(AND(核心参数输入!$B$100=1,OR(核心参数输入!$B$101=0,16-0&lt;=核心参数输入!$B$101)),MAX(0,S260-MAX(0,T238-0)),0),0)</f>
        <v>0</v>
      </c>
      <c r="U260" s="9">
        <f>IF(17&lt;=核心参数输入!$B$9,IF(AND(核心参数输入!$B$100=1,OR(核心参数输入!$B$101=0,17-0&lt;=核心参数输入!$B$101)),MAX(0,T260-MAX(0,U238-0)),0),0)</f>
        <v>0</v>
      </c>
      <c r="V260" s="9">
        <f>IF(18&lt;=核心参数输入!$B$9,IF(AND(核心参数输入!$B$100=1,OR(核心参数输入!$B$101=0,18-0&lt;=核心参数输入!$B$101)),MAX(0,U260-MAX(0,V238-0)),0),0)</f>
        <v>0</v>
      </c>
      <c r="W260" s="9">
        <f>IF(19&lt;=核心参数输入!$B$9,IF(AND(核心参数输入!$B$100=1,OR(核心参数输入!$B$101=0,19-0&lt;=核心参数输入!$B$101)),MAX(0,V260-MAX(0,W238-0)),0),0)</f>
        <v>0</v>
      </c>
      <c r="X260" s="9">
        <f>IF(20&lt;=核心参数输入!$B$9,IF(AND(核心参数输入!$B$100=1,OR(核心参数输入!$B$101=0,20-0&lt;=核心参数输入!$B$101)),MAX(0,W260-MAX(0,X238-0)),0),0)</f>
        <v>0</v>
      </c>
      <c r="Y260" s="9">
        <f>IF(21&lt;=核心参数输入!$B$9,IF(AND(核心参数输入!$B$100=1,OR(核心参数输入!$B$101=0,21-0&lt;=核心参数输入!$B$101)),MAX(0,X260-MAX(0,Y238-0)),0),0)</f>
        <v>0</v>
      </c>
      <c r="Z260" s="9">
        <f>IF(22&lt;=核心参数输入!$B$9,IF(AND(核心参数输入!$B$100=1,OR(核心参数输入!$B$101=0,22-0&lt;=核心参数输入!$B$101)),MAX(0,Y260-MAX(0,Z238-0)),0),0)</f>
        <v>0</v>
      </c>
      <c r="AA260" s="9">
        <f>IF(23&lt;=核心参数输入!$B$9,IF(AND(核心参数输入!$B$100=1,OR(核心参数输入!$B$101=0,23-0&lt;=核心参数输入!$B$101)),MAX(0,Z260-MAX(0,AA238-0)),0),0)</f>
        <v>0</v>
      </c>
      <c r="AB260" s="9">
        <f>IF(24&lt;=核心参数输入!$B$9,IF(AND(核心参数输入!$B$100=1,OR(核心参数输入!$B$101=0,24-0&lt;=核心参数输入!$B$101)),MAX(0,AA260-MAX(0,AB238-0)),0),0)</f>
        <v>0</v>
      </c>
      <c r="AC260" s="9">
        <f>IF(25&lt;=核心参数输入!$B$9,IF(AND(核心参数输入!$B$100=1,OR(核心参数输入!$B$101=0,25-0&lt;=核心参数输入!$B$101)),MAX(0,AB260-MAX(0,AC238-0)),0),0)</f>
        <v>0</v>
      </c>
      <c r="AD260" s="9">
        <f>IF(26&lt;=核心参数输入!$B$9,IF(AND(核心参数输入!$B$100=1,OR(核心参数输入!$B$101=0,26-0&lt;=核心参数输入!$B$101)),MAX(0,AC260-MAX(0,AD238-0)),0),0)</f>
        <v>0</v>
      </c>
      <c r="AE260" s="9">
        <f>IF(27&lt;=核心参数输入!$B$9,IF(AND(核心参数输入!$B$100=1,OR(核心参数输入!$B$101=0,27-0&lt;=核心参数输入!$B$101)),MAX(0,AD260-MAX(0,AE238-0)),0),0)</f>
        <v>0</v>
      </c>
      <c r="AF260" s="9">
        <f>IF(28&lt;=核心参数输入!$B$9,IF(AND(核心参数输入!$B$100=1,OR(核心参数输入!$B$101=0,28-0&lt;=核心参数输入!$B$101)),MAX(0,AE260-MAX(0,AF238-0)),0),0)</f>
        <v>0</v>
      </c>
      <c r="AG260" s="9">
        <f>IF(29&lt;=核心参数输入!$B$9,IF(AND(核心参数输入!$B$100=1,OR(核心参数输入!$B$101=0,29-0&lt;=核心参数输入!$B$101)),MAX(0,AF260-MAX(0,AG238-0)),0),0)</f>
        <v>0</v>
      </c>
      <c r="AH260" s="9">
        <f>IF(30&lt;=核心参数输入!$B$9,IF(AND(核心参数输入!$B$100=1,OR(核心参数输入!$B$101=0,30-0&lt;=核心参数输入!$B$101)),MAX(0,AG260-MAX(0,AH238-0)),0),0)</f>
        <v>0</v>
      </c>
    </row>
    <row r="261" spans="1:34" ht="21" customHeight="1">
      <c r="A261" s="8" t="s">
        <v>587</v>
      </c>
      <c r="B261" s="8">
        <v>1</v>
      </c>
      <c r="C261" s="8"/>
      <c r="D261" s="9">
        <f>IF(0&lt;=核心参数输入!$B$9,0,0)</f>
        <v>0</v>
      </c>
      <c r="E261" s="9">
        <f>IF(1&lt;=核心参数输入!$B$9,E241,0)</f>
        <v>0</v>
      </c>
      <c r="F261" s="9">
        <f>IF(2&lt;=核心参数输入!$B$9,IF(AND(核心参数输入!$B$100=1,OR(核心参数输入!$B$101=0,2-1&lt;=核心参数输入!$B$101)),MAX(0,E261-MAX(0,F238-SUMIFS($E$260:$E$260,$B$260:$B$260,"&gt;="&amp;IF(核心参数输入!$B$101=0,0,2-核心参数输入!$B$101)))),0),0)</f>
        <v>0</v>
      </c>
      <c r="G261" s="9">
        <f>IF(3&lt;=核心参数输入!$B$9,IF(AND(核心参数输入!$B$100=1,OR(核心参数输入!$B$101=0,3-1&lt;=核心参数输入!$B$101)),MAX(0,F261-MAX(0,G238-SUMIFS($F$260:$F$260,$B$260:$B$260,"&gt;="&amp;IF(核心参数输入!$B$101=0,0,3-核心参数输入!$B$101)))),0),0)</f>
        <v>0</v>
      </c>
      <c r="H261" s="9">
        <f>IF(4&lt;=核心参数输入!$B$9,IF(AND(核心参数输入!$B$100=1,OR(核心参数输入!$B$101=0,4-1&lt;=核心参数输入!$B$101)),MAX(0,G261-MAX(0,H238-SUMIFS($G$260:$G$260,$B$260:$B$260,"&gt;="&amp;IF(核心参数输入!$B$101=0,0,4-核心参数输入!$B$101)))),0),0)</f>
        <v>0</v>
      </c>
      <c r="I261" s="9">
        <f>IF(5&lt;=核心参数输入!$B$9,IF(AND(核心参数输入!$B$100=1,OR(核心参数输入!$B$101=0,5-1&lt;=核心参数输入!$B$101)),MAX(0,H261-MAX(0,I238-SUMIFS($H$260:$H$260,$B$260:$B$260,"&gt;="&amp;IF(核心参数输入!$B$101=0,0,5-核心参数输入!$B$101)))),0),0)</f>
        <v>0</v>
      </c>
      <c r="J261" s="9">
        <f>IF(6&lt;=核心参数输入!$B$9,IF(AND(核心参数输入!$B$100=1,OR(核心参数输入!$B$101=0,6-1&lt;=核心参数输入!$B$101)),MAX(0,I261-MAX(0,J238-SUMIFS($I$260:$I$260,$B$260:$B$260,"&gt;="&amp;IF(核心参数输入!$B$101=0,0,6-核心参数输入!$B$101)))),0),0)</f>
        <v>0</v>
      </c>
      <c r="K261" s="9">
        <f>IF(7&lt;=核心参数输入!$B$9,IF(AND(核心参数输入!$B$100=1,OR(核心参数输入!$B$101=0,7-1&lt;=核心参数输入!$B$101)),MAX(0,J261-MAX(0,K238-SUMIFS($J$260:$J$260,$B$260:$B$260,"&gt;="&amp;IF(核心参数输入!$B$101=0,0,7-核心参数输入!$B$101)))),0),0)</f>
        <v>0</v>
      </c>
      <c r="L261" s="9">
        <f>IF(8&lt;=核心参数输入!$B$9,IF(AND(核心参数输入!$B$100=1,OR(核心参数输入!$B$101=0,8-1&lt;=核心参数输入!$B$101)),MAX(0,K261-MAX(0,L238-SUMIFS($K$260:$K$260,$B$260:$B$260,"&gt;="&amp;IF(核心参数输入!$B$101=0,0,8-核心参数输入!$B$101)))),0),0)</f>
        <v>0</v>
      </c>
      <c r="M261" s="9">
        <f>IF(9&lt;=核心参数输入!$B$9,IF(AND(核心参数输入!$B$100=1,OR(核心参数输入!$B$101=0,9-1&lt;=核心参数输入!$B$101)),MAX(0,L261-MAX(0,M238-SUMIFS($L$260:$L$260,$B$260:$B$260,"&gt;="&amp;IF(核心参数输入!$B$101=0,0,9-核心参数输入!$B$101)))),0),0)</f>
        <v>0</v>
      </c>
      <c r="N261" s="9">
        <f>IF(10&lt;=核心参数输入!$B$9,IF(AND(核心参数输入!$B$100=1,OR(核心参数输入!$B$101=0,10-1&lt;=核心参数输入!$B$101)),MAX(0,M261-MAX(0,N238-SUMIFS($M$260:$M$260,$B$260:$B$260,"&gt;="&amp;IF(核心参数输入!$B$101=0,0,10-核心参数输入!$B$101)))),0),0)</f>
        <v>0</v>
      </c>
      <c r="O261" s="9">
        <f>IF(11&lt;=核心参数输入!$B$9,IF(AND(核心参数输入!$B$100=1,OR(核心参数输入!$B$101=0,11-1&lt;=核心参数输入!$B$101)),MAX(0,N261-MAX(0,O238-SUMIFS($N$260:$N$260,$B$260:$B$260,"&gt;="&amp;IF(核心参数输入!$B$101=0,0,11-核心参数输入!$B$101)))),0),0)</f>
        <v>0</v>
      </c>
      <c r="P261" s="9">
        <f>IF(12&lt;=核心参数输入!$B$9,IF(AND(核心参数输入!$B$100=1,OR(核心参数输入!$B$101=0,12-1&lt;=核心参数输入!$B$101)),MAX(0,O261-MAX(0,P238-SUMIFS($O$260:$O$260,$B$260:$B$260,"&gt;="&amp;IF(核心参数输入!$B$101=0,0,12-核心参数输入!$B$101)))),0),0)</f>
        <v>0</v>
      </c>
      <c r="Q261" s="9">
        <f>IF(13&lt;=核心参数输入!$B$9,IF(AND(核心参数输入!$B$100=1,OR(核心参数输入!$B$101=0,13-1&lt;=核心参数输入!$B$101)),MAX(0,P261-MAX(0,Q238-SUMIFS($P$260:$P$260,$B$260:$B$260,"&gt;="&amp;IF(核心参数输入!$B$101=0,0,13-核心参数输入!$B$101)))),0),0)</f>
        <v>0</v>
      </c>
      <c r="R261" s="9">
        <f>IF(14&lt;=核心参数输入!$B$9,IF(AND(核心参数输入!$B$100=1,OR(核心参数输入!$B$101=0,14-1&lt;=核心参数输入!$B$101)),MAX(0,Q261-MAX(0,R238-SUMIFS($Q$260:$Q$260,$B$260:$B$260,"&gt;="&amp;IF(核心参数输入!$B$101=0,0,14-核心参数输入!$B$101)))),0),0)</f>
        <v>0</v>
      </c>
      <c r="S261" s="9">
        <f>IF(15&lt;=核心参数输入!$B$9,IF(AND(核心参数输入!$B$100=1,OR(核心参数输入!$B$101=0,15-1&lt;=核心参数输入!$B$101)),MAX(0,R261-MAX(0,S238-SUMIFS($R$260:$R$260,$B$260:$B$260,"&gt;="&amp;IF(核心参数输入!$B$101=0,0,15-核心参数输入!$B$101)))),0),0)</f>
        <v>0</v>
      </c>
      <c r="T261" s="9">
        <f>IF(16&lt;=核心参数输入!$B$9,IF(AND(核心参数输入!$B$100=1,OR(核心参数输入!$B$101=0,16-1&lt;=核心参数输入!$B$101)),MAX(0,S261-MAX(0,T238-SUMIFS($S$260:$S$260,$B$260:$B$260,"&gt;="&amp;IF(核心参数输入!$B$101=0,0,16-核心参数输入!$B$101)))),0),0)</f>
        <v>0</v>
      </c>
      <c r="U261" s="9">
        <f>IF(17&lt;=核心参数输入!$B$9,IF(AND(核心参数输入!$B$100=1,OR(核心参数输入!$B$101=0,17-1&lt;=核心参数输入!$B$101)),MAX(0,T261-MAX(0,U238-SUMIFS($T$260:$T$260,$B$260:$B$260,"&gt;="&amp;IF(核心参数输入!$B$101=0,0,17-核心参数输入!$B$101)))),0),0)</f>
        <v>0</v>
      </c>
      <c r="V261" s="9">
        <f>IF(18&lt;=核心参数输入!$B$9,IF(AND(核心参数输入!$B$100=1,OR(核心参数输入!$B$101=0,18-1&lt;=核心参数输入!$B$101)),MAX(0,U261-MAX(0,V238-SUMIFS($U$260:$U$260,$B$260:$B$260,"&gt;="&amp;IF(核心参数输入!$B$101=0,0,18-核心参数输入!$B$101)))),0),0)</f>
        <v>0</v>
      </c>
      <c r="W261" s="9">
        <f>IF(19&lt;=核心参数输入!$B$9,IF(AND(核心参数输入!$B$100=1,OR(核心参数输入!$B$101=0,19-1&lt;=核心参数输入!$B$101)),MAX(0,V261-MAX(0,W238-SUMIFS($V$260:$V$260,$B$260:$B$260,"&gt;="&amp;IF(核心参数输入!$B$101=0,0,19-核心参数输入!$B$101)))),0),0)</f>
        <v>0</v>
      </c>
      <c r="X261" s="9">
        <f>IF(20&lt;=核心参数输入!$B$9,IF(AND(核心参数输入!$B$100=1,OR(核心参数输入!$B$101=0,20-1&lt;=核心参数输入!$B$101)),MAX(0,W261-MAX(0,X238-SUMIFS($W$260:$W$260,$B$260:$B$260,"&gt;="&amp;IF(核心参数输入!$B$101=0,0,20-核心参数输入!$B$101)))),0),0)</f>
        <v>0</v>
      </c>
      <c r="Y261" s="9">
        <f>IF(21&lt;=核心参数输入!$B$9,IF(AND(核心参数输入!$B$100=1,OR(核心参数输入!$B$101=0,21-1&lt;=核心参数输入!$B$101)),MAX(0,X261-MAX(0,Y238-SUMIFS($X$260:$X$260,$B$260:$B$260,"&gt;="&amp;IF(核心参数输入!$B$101=0,0,21-核心参数输入!$B$101)))),0),0)</f>
        <v>0</v>
      </c>
      <c r="Z261" s="9">
        <f>IF(22&lt;=核心参数输入!$B$9,IF(AND(核心参数输入!$B$100=1,OR(核心参数输入!$B$101=0,22-1&lt;=核心参数输入!$B$101)),MAX(0,Y261-MAX(0,Z238-SUMIFS($Y$260:$Y$260,$B$260:$B$260,"&gt;="&amp;IF(核心参数输入!$B$101=0,0,22-核心参数输入!$B$101)))),0),0)</f>
        <v>0</v>
      </c>
      <c r="AA261" s="9">
        <f>IF(23&lt;=核心参数输入!$B$9,IF(AND(核心参数输入!$B$100=1,OR(核心参数输入!$B$101=0,23-1&lt;=核心参数输入!$B$101)),MAX(0,Z261-MAX(0,AA238-SUMIFS($Z$260:$Z$260,$B$260:$B$260,"&gt;="&amp;IF(核心参数输入!$B$101=0,0,23-核心参数输入!$B$101)))),0),0)</f>
        <v>0</v>
      </c>
      <c r="AB261" s="9">
        <f>IF(24&lt;=核心参数输入!$B$9,IF(AND(核心参数输入!$B$100=1,OR(核心参数输入!$B$101=0,24-1&lt;=核心参数输入!$B$101)),MAX(0,AA261-MAX(0,AB238-SUMIFS($AA$260:$AA$260,$B$260:$B$260,"&gt;="&amp;IF(核心参数输入!$B$101=0,0,24-核心参数输入!$B$101)))),0),0)</f>
        <v>0</v>
      </c>
      <c r="AC261" s="9">
        <f>IF(25&lt;=核心参数输入!$B$9,IF(AND(核心参数输入!$B$100=1,OR(核心参数输入!$B$101=0,25-1&lt;=核心参数输入!$B$101)),MAX(0,AB261-MAX(0,AC238-SUMIFS($AB$260:$AB$260,$B$260:$B$260,"&gt;="&amp;IF(核心参数输入!$B$101=0,0,25-核心参数输入!$B$101)))),0),0)</f>
        <v>0</v>
      </c>
      <c r="AD261" s="9">
        <f>IF(26&lt;=核心参数输入!$B$9,IF(AND(核心参数输入!$B$100=1,OR(核心参数输入!$B$101=0,26-1&lt;=核心参数输入!$B$101)),MAX(0,AC261-MAX(0,AD238-SUMIFS($AC$260:$AC$260,$B$260:$B$260,"&gt;="&amp;IF(核心参数输入!$B$101=0,0,26-核心参数输入!$B$101)))),0),0)</f>
        <v>0</v>
      </c>
      <c r="AE261" s="9">
        <f>IF(27&lt;=核心参数输入!$B$9,IF(AND(核心参数输入!$B$100=1,OR(核心参数输入!$B$101=0,27-1&lt;=核心参数输入!$B$101)),MAX(0,AD261-MAX(0,AE238-SUMIFS($AD$260:$AD$260,$B$260:$B$260,"&gt;="&amp;IF(核心参数输入!$B$101=0,0,27-核心参数输入!$B$101)))),0),0)</f>
        <v>0</v>
      </c>
      <c r="AF261" s="9">
        <f>IF(28&lt;=核心参数输入!$B$9,IF(AND(核心参数输入!$B$100=1,OR(核心参数输入!$B$101=0,28-1&lt;=核心参数输入!$B$101)),MAX(0,AE261-MAX(0,AF238-SUMIFS($AE$260:$AE$260,$B$260:$B$260,"&gt;="&amp;IF(核心参数输入!$B$101=0,0,28-核心参数输入!$B$101)))),0),0)</f>
        <v>0</v>
      </c>
      <c r="AG261" s="9">
        <f>IF(29&lt;=核心参数输入!$B$9,IF(AND(核心参数输入!$B$100=1,OR(核心参数输入!$B$101=0,29-1&lt;=核心参数输入!$B$101)),MAX(0,AF261-MAX(0,AG238-SUMIFS($AF$260:$AF$260,$B$260:$B$260,"&gt;="&amp;IF(核心参数输入!$B$101=0,0,29-核心参数输入!$B$101)))),0),0)</f>
        <v>0</v>
      </c>
      <c r="AH261" s="9">
        <f>IF(30&lt;=核心参数输入!$B$9,IF(AND(核心参数输入!$B$100=1,OR(核心参数输入!$B$101=0,30-1&lt;=核心参数输入!$B$101)),MAX(0,AG261-MAX(0,AH238-SUMIFS($AG$260:$AG$260,$B$260:$B$260,"&gt;="&amp;IF(核心参数输入!$B$101=0,0,30-核心参数输入!$B$101)))),0),0)</f>
        <v>0</v>
      </c>
    </row>
    <row r="262" spans="1:34" ht="21" customHeight="1">
      <c r="A262" s="8" t="s">
        <v>588</v>
      </c>
      <c r="B262" s="8">
        <v>2</v>
      </c>
      <c r="C262" s="8"/>
      <c r="D262" s="9">
        <f>IF(0&lt;=核心参数输入!$B$9,0,0)</f>
        <v>0</v>
      </c>
      <c r="E262" s="9">
        <f>IF(1&lt;=核心参数输入!$B$9,0,0)</f>
        <v>0</v>
      </c>
      <c r="F262" s="9">
        <f>IF(2&lt;=核心参数输入!$B$9,F241,0)</f>
        <v>0</v>
      </c>
      <c r="G262" s="9">
        <f>IF(3&lt;=核心参数输入!$B$9,IF(AND(核心参数输入!$B$100=1,OR(核心参数输入!$B$101=0,3-2&lt;=核心参数输入!$B$101)),MAX(0,F262-MAX(0,G238-SUMIFS($F$260:$F$261,$B$260:$B$261,"&gt;="&amp;IF(核心参数输入!$B$101=0,0,3-核心参数输入!$B$101)))),0),0)</f>
        <v>0</v>
      </c>
      <c r="H262" s="9">
        <f>IF(4&lt;=核心参数输入!$B$9,IF(AND(核心参数输入!$B$100=1,OR(核心参数输入!$B$101=0,4-2&lt;=核心参数输入!$B$101)),MAX(0,G262-MAX(0,H238-SUMIFS($G$260:$G$261,$B$260:$B$261,"&gt;="&amp;IF(核心参数输入!$B$101=0,0,4-核心参数输入!$B$101)))),0),0)</f>
        <v>0</v>
      </c>
      <c r="I262" s="9">
        <f>IF(5&lt;=核心参数输入!$B$9,IF(AND(核心参数输入!$B$100=1,OR(核心参数输入!$B$101=0,5-2&lt;=核心参数输入!$B$101)),MAX(0,H262-MAX(0,I238-SUMIFS($H$260:$H$261,$B$260:$B$261,"&gt;="&amp;IF(核心参数输入!$B$101=0,0,5-核心参数输入!$B$101)))),0),0)</f>
        <v>0</v>
      </c>
      <c r="J262" s="9">
        <f>IF(6&lt;=核心参数输入!$B$9,IF(AND(核心参数输入!$B$100=1,OR(核心参数输入!$B$101=0,6-2&lt;=核心参数输入!$B$101)),MAX(0,I262-MAX(0,J238-SUMIFS($I$260:$I$261,$B$260:$B$261,"&gt;="&amp;IF(核心参数输入!$B$101=0,0,6-核心参数输入!$B$101)))),0),0)</f>
        <v>0</v>
      </c>
      <c r="K262" s="9">
        <f>IF(7&lt;=核心参数输入!$B$9,IF(AND(核心参数输入!$B$100=1,OR(核心参数输入!$B$101=0,7-2&lt;=核心参数输入!$B$101)),MAX(0,J262-MAX(0,K238-SUMIFS($J$260:$J$261,$B$260:$B$261,"&gt;="&amp;IF(核心参数输入!$B$101=0,0,7-核心参数输入!$B$101)))),0),0)</f>
        <v>0</v>
      </c>
      <c r="L262" s="9">
        <f>IF(8&lt;=核心参数输入!$B$9,IF(AND(核心参数输入!$B$100=1,OR(核心参数输入!$B$101=0,8-2&lt;=核心参数输入!$B$101)),MAX(0,K262-MAX(0,L238-SUMIFS($K$260:$K$261,$B$260:$B$261,"&gt;="&amp;IF(核心参数输入!$B$101=0,0,8-核心参数输入!$B$101)))),0),0)</f>
        <v>0</v>
      </c>
      <c r="M262" s="9">
        <f>IF(9&lt;=核心参数输入!$B$9,IF(AND(核心参数输入!$B$100=1,OR(核心参数输入!$B$101=0,9-2&lt;=核心参数输入!$B$101)),MAX(0,L262-MAX(0,M238-SUMIFS($L$260:$L$261,$B$260:$B$261,"&gt;="&amp;IF(核心参数输入!$B$101=0,0,9-核心参数输入!$B$101)))),0),0)</f>
        <v>0</v>
      </c>
      <c r="N262" s="9">
        <f>IF(10&lt;=核心参数输入!$B$9,IF(AND(核心参数输入!$B$100=1,OR(核心参数输入!$B$101=0,10-2&lt;=核心参数输入!$B$101)),MAX(0,M262-MAX(0,N238-SUMIFS($M$260:$M$261,$B$260:$B$261,"&gt;="&amp;IF(核心参数输入!$B$101=0,0,10-核心参数输入!$B$101)))),0),0)</f>
        <v>0</v>
      </c>
      <c r="O262" s="9">
        <f>IF(11&lt;=核心参数输入!$B$9,IF(AND(核心参数输入!$B$100=1,OR(核心参数输入!$B$101=0,11-2&lt;=核心参数输入!$B$101)),MAX(0,N262-MAX(0,O238-SUMIFS($N$260:$N$261,$B$260:$B$261,"&gt;="&amp;IF(核心参数输入!$B$101=0,0,11-核心参数输入!$B$101)))),0),0)</f>
        <v>0</v>
      </c>
      <c r="P262" s="9">
        <f>IF(12&lt;=核心参数输入!$B$9,IF(AND(核心参数输入!$B$100=1,OR(核心参数输入!$B$101=0,12-2&lt;=核心参数输入!$B$101)),MAX(0,O262-MAX(0,P238-SUMIFS($O$260:$O$261,$B$260:$B$261,"&gt;="&amp;IF(核心参数输入!$B$101=0,0,12-核心参数输入!$B$101)))),0),0)</f>
        <v>0</v>
      </c>
      <c r="Q262" s="9">
        <f>IF(13&lt;=核心参数输入!$B$9,IF(AND(核心参数输入!$B$100=1,OR(核心参数输入!$B$101=0,13-2&lt;=核心参数输入!$B$101)),MAX(0,P262-MAX(0,Q238-SUMIFS($P$260:$P$261,$B$260:$B$261,"&gt;="&amp;IF(核心参数输入!$B$101=0,0,13-核心参数输入!$B$101)))),0),0)</f>
        <v>0</v>
      </c>
      <c r="R262" s="9">
        <f>IF(14&lt;=核心参数输入!$B$9,IF(AND(核心参数输入!$B$100=1,OR(核心参数输入!$B$101=0,14-2&lt;=核心参数输入!$B$101)),MAX(0,Q262-MAX(0,R238-SUMIFS($Q$260:$Q$261,$B$260:$B$261,"&gt;="&amp;IF(核心参数输入!$B$101=0,0,14-核心参数输入!$B$101)))),0),0)</f>
        <v>0</v>
      </c>
      <c r="S262" s="9">
        <f>IF(15&lt;=核心参数输入!$B$9,IF(AND(核心参数输入!$B$100=1,OR(核心参数输入!$B$101=0,15-2&lt;=核心参数输入!$B$101)),MAX(0,R262-MAX(0,S238-SUMIFS($R$260:$R$261,$B$260:$B$261,"&gt;="&amp;IF(核心参数输入!$B$101=0,0,15-核心参数输入!$B$101)))),0),0)</f>
        <v>0</v>
      </c>
      <c r="T262" s="9">
        <f>IF(16&lt;=核心参数输入!$B$9,IF(AND(核心参数输入!$B$100=1,OR(核心参数输入!$B$101=0,16-2&lt;=核心参数输入!$B$101)),MAX(0,S262-MAX(0,T238-SUMIFS($S$260:$S$261,$B$260:$B$261,"&gt;="&amp;IF(核心参数输入!$B$101=0,0,16-核心参数输入!$B$101)))),0),0)</f>
        <v>0</v>
      </c>
      <c r="U262" s="9">
        <f>IF(17&lt;=核心参数输入!$B$9,IF(AND(核心参数输入!$B$100=1,OR(核心参数输入!$B$101=0,17-2&lt;=核心参数输入!$B$101)),MAX(0,T262-MAX(0,U238-SUMIFS($T$260:$T$261,$B$260:$B$261,"&gt;="&amp;IF(核心参数输入!$B$101=0,0,17-核心参数输入!$B$101)))),0),0)</f>
        <v>0</v>
      </c>
      <c r="V262" s="9">
        <f>IF(18&lt;=核心参数输入!$B$9,IF(AND(核心参数输入!$B$100=1,OR(核心参数输入!$B$101=0,18-2&lt;=核心参数输入!$B$101)),MAX(0,U262-MAX(0,V238-SUMIFS($U$260:$U$261,$B$260:$B$261,"&gt;="&amp;IF(核心参数输入!$B$101=0,0,18-核心参数输入!$B$101)))),0),0)</f>
        <v>0</v>
      </c>
      <c r="W262" s="9">
        <f>IF(19&lt;=核心参数输入!$B$9,IF(AND(核心参数输入!$B$100=1,OR(核心参数输入!$B$101=0,19-2&lt;=核心参数输入!$B$101)),MAX(0,V262-MAX(0,W238-SUMIFS($V$260:$V$261,$B$260:$B$261,"&gt;="&amp;IF(核心参数输入!$B$101=0,0,19-核心参数输入!$B$101)))),0),0)</f>
        <v>0</v>
      </c>
      <c r="X262" s="9">
        <f>IF(20&lt;=核心参数输入!$B$9,IF(AND(核心参数输入!$B$100=1,OR(核心参数输入!$B$101=0,20-2&lt;=核心参数输入!$B$101)),MAX(0,W262-MAX(0,X238-SUMIFS($W$260:$W$261,$B$260:$B$261,"&gt;="&amp;IF(核心参数输入!$B$101=0,0,20-核心参数输入!$B$101)))),0),0)</f>
        <v>0</v>
      </c>
      <c r="Y262" s="9">
        <f>IF(21&lt;=核心参数输入!$B$9,IF(AND(核心参数输入!$B$100=1,OR(核心参数输入!$B$101=0,21-2&lt;=核心参数输入!$B$101)),MAX(0,X262-MAX(0,Y238-SUMIFS($X$260:$X$261,$B$260:$B$261,"&gt;="&amp;IF(核心参数输入!$B$101=0,0,21-核心参数输入!$B$101)))),0),0)</f>
        <v>0</v>
      </c>
      <c r="Z262" s="9">
        <f>IF(22&lt;=核心参数输入!$B$9,IF(AND(核心参数输入!$B$100=1,OR(核心参数输入!$B$101=0,22-2&lt;=核心参数输入!$B$101)),MAX(0,Y262-MAX(0,Z238-SUMIFS($Y$260:$Y$261,$B$260:$B$261,"&gt;="&amp;IF(核心参数输入!$B$101=0,0,22-核心参数输入!$B$101)))),0),0)</f>
        <v>0</v>
      </c>
      <c r="AA262" s="9">
        <f>IF(23&lt;=核心参数输入!$B$9,IF(AND(核心参数输入!$B$100=1,OR(核心参数输入!$B$101=0,23-2&lt;=核心参数输入!$B$101)),MAX(0,Z262-MAX(0,AA238-SUMIFS($Z$260:$Z$261,$B$260:$B$261,"&gt;="&amp;IF(核心参数输入!$B$101=0,0,23-核心参数输入!$B$101)))),0),0)</f>
        <v>0</v>
      </c>
      <c r="AB262" s="9">
        <f>IF(24&lt;=核心参数输入!$B$9,IF(AND(核心参数输入!$B$100=1,OR(核心参数输入!$B$101=0,24-2&lt;=核心参数输入!$B$101)),MAX(0,AA262-MAX(0,AB238-SUMIFS($AA$260:$AA$261,$B$260:$B$261,"&gt;="&amp;IF(核心参数输入!$B$101=0,0,24-核心参数输入!$B$101)))),0),0)</f>
        <v>0</v>
      </c>
      <c r="AC262" s="9">
        <f>IF(25&lt;=核心参数输入!$B$9,IF(AND(核心参数输入!$B$100=1,OR(核心参数输入!$B$101=0,25-2&lt;=核心参数输入!$B$101)),MAX(0,AB262-MAX(0,AC238-SUMIFS($AB$260:$AB$261,$B$260:$B$261,"&gt;="&amp;IF(核心参数输入!$B$101=0,0,25-核心参数输入!$B$101)))),0),0)</f>
        <v>0</v>
      </c>
      <c r="AD262" s="9">
        <f>IF(26&lt;=核心参数输入!$B$9,IF(AND(核心参数输入!$B$100=1,OR(核心参数输入!$B$101=0,26-2&lt;=核心参数输入!$B$101)),MAX(0,AC262-MAX(0,AD238-SUMIFS($AC$260:$AC$261,$B$260:$B$261,"&gt;="&amp;IF(核心参数输入!$B$101=0,0,26-核心参数输入!$B$101)))),0),0)</f>
        <v>0</v>
      </c>
      <c r="AE262" s="9">
        <f>IF(27&lt;=核心参数输入!$B$9,IF(AND(核心参数输入!$B$100=1,OR(核心参数输入!$B$101=0,27-2&lt;=核心参数输入!$B$101)),MAX(0,AD262-MAX(0,AE238-SUMIFS($AD$260:$AD$261,$B$260:$B$261,"&gt;="&amp;IF(核心参数输入!$B$101=0,0,27-核心参数输入!$B$101)))),0),0)</f>
        <v>0</v>
      </c>
      <c r="AF262" s="9">
        <f>IF(28&lt;=核心参数输入!$B$9,IF(AND(核心参数输入!$B$100=1,OR(核心参数输入!$B$101=0,28-2&lt;=核心参数输入!$B$101)),MAX(0,AE262-MAX(0,AF238-SUMIFS($AE$260:$AE$261,$B$260:$B$261,"&gt;="&amp;IF(核心参数输入!$B$101=0,0,28-核心参数输入!$B$101)))),0),0)</f>
        <v>0</v>
      </c>
      <c r="AG262" s="9">
        <f>IF(29&lt;=核心参数输入!$B$9,IF(AND(核心参数输入!$B$100=1,OR(核心参数输入!$B$101=0,29-2&lt;=核心参数输入!$B$101)),MAX(0,AF262-MAX(0,AG238-SUMIFS($AF$260:$AF$261,$B$260:$B$261,"&gt;="&amp;IF(核心参数输入!$B$101=0,0,29-核心参数输入!$B$101)))),0),0)</f>
        <v>0</v>
      </c>
      <c r="AH262" s="9">
        <f>IF(30&lt;=核心参数输入!$B$9,IF(AND(核心参数输入!$B$100=1,OR(核心参数输入!$B$101=0,30-2&lt;=核心参数输入!$B$101)),MAX(0,AG262-MAX(0,AH238-SUMIFS($AG$260:$AG$261,$B$260:$B$261,"&gt;="&amp;IF(核心参数输入!$B$101=0,0,30-核心参数输入!$B$101)))),0),0)</f>
        <v>0</v>
      </c>
    </row>
    <row r="263" spans="1:34" ht="21" customHeight="1">
      <c r="A263" s="8" t="s">
        <v>589</v>
      </c>
      <c r="B263" s="8">
        <v>3</v>
      </c>
      <c r="C263" s="8"/>
      <c r="D263" s="9">
        <f>IF(0&lt;=核心参数输入!$B$9,0,0)</f>
        <v>0</v>
      </c>
      <c r="E263" s="9">
        <f>IF(1&lt;=核心参数输入!$B$9,0,0)</f>
        <v>0</v>
      </c>
      <c r="F263" s="9">
        <f>IF(2&lt;=核心参数输入!$B$9,0,0)</f>
        <v>0</v>
      </c>
      <c r="G263" s="9">
        <f>IF(3&lt;=核心参数输入!$B$9,G241,0)</f>
        <v>0</v>
      </c>
      <c r="H263" s="9">
        <f>IF(4&lt;=核心参数输入!$B$9,IF(AND(核心参数输入!$B$100=1,OR(核心参数输入!$B$101=0,4-3&lt;=核心参数输入!$B$101)),MAX(0,G263-MAX(0,H238-SUMIFS($G$260:$G$262,$B$260:$B$262,"&gt;="&amp;IF(核心参数输入!$B$101=0,0,4-核心参数输入!$B$101)))),0),0)</f>
        <v>0</v>
      </c>
      <c r="I263" s="9">
        <f>IF(5&lt;=核心参数输入!$B$9,IF(AND(核心参数输入!$B$100=1,OR(核心参数输入!$B$101=0,5-3&lt;=核心参数输入!$B$101)),MAX(0,H263-MAX(0,I238-SUMIFS($H$260:$H$262,$B$260:$B$262,"&gt;="&amp;IF(核心参数输入!$B$101=0,0,5-核心参数输入!$B$101)))),0),0)</f>
        <v>0</v>
      </c>
      <c r="J263" s="9">
        <f>IF(6&lt;=核心参数输入!$B$9,IF(AND(核心参数输入!$B$100=1,OR(核心参数输入!$B$101=0,6-3&lt;=核心参数输入!$B$101)),MAX(0,I263-MAX(0,J238-SUMIFS($I$260:$I$262,$B$260:$B$262,"&gt;="&amp;IF(核心参数输入!$B$101=0,0,6-核心参数输入!$B$101)))),0),0)</f>
        <v>0</v>
      </c>
      <c r="K263" s="9">
        <f>IF(7&lt;=核心参数输入!$B$9,IF(AND(核心参数输入!$B$100=1,OR(核心参数输入!$B$101=0,7-3&lt;=核心参数输入!$B$101)),MAX(0,J263-MAX(0,K238-SUMIFS($J$260:$J$262,$B$260:$B$262,"&gt;="&amp;IF(核心参数输入!$B$101=0,0,7-核心参数输入!$B$101)))),0),0)</f>
        <v>0</v>
      </c>
      <c r="L263" s="9">
        <f>IF(8&lt;=核心参数输入!$B$9,IF(AND(核心参数输入!$B$100=1,OR(核心参数输入!$B$101=0,8-3&lt;=核心参数输入!$B$101)),MAX(0,K263-MAX(0,L238-SUMIFS($K$260:$K$262,$B$260:$B$262,"&gt;="&amp;IF(核心参数输入!$B$101=0,0,8-核心参数输入!$B$101)))),0),0)</f>
        <v>0</v>
      </c>
      <c r="M263" s="9">
        <f>IF(9&lt;=核心参数输入!$B$9,IF(AND(核心参数输入!$B$100=1,OR(核心参数输入!$B$101=0,9-3&lt;=核心参数输入!$B$101)),MAX(0,L263-MAX(0,M238-SUMIFS($L$260:$L$262,$B$260:$B$262,"&gt;="&amp;IF(核心参数输入!$B$101=0,0,9-核心参数输入!$B$101)))),0),0)</f>
        <v>0</v>
      </c>
      <c r="N263" s="9">
        <f>IF(10&lt;=核心参数输入!$B$9,IF(AND(核心参数输入!$B$100=1,OR(核心参数输入!$B$101=0,10-3&lt;=核心参数输入!$B$101)),MAX(0,M263-MAX(0,N238-SUMIFS($M$260:$M$262,$B$260:$B$262,"&gt;="&amp;IF(核心参数输入!$B$101=0,0,10-核心参数输入!$B$101)))),0),0)</f>
        <v>0</v>
      </c>
      <c r="O263" s="9">
        <f>IF(11&lt;=核心参数输入!$B$9,IF(AND(核心参数输入!$B$100=1,OR(核心参数输入!$B$101=0,11-3&lt;=核心参数输入!$B$101)),MAX(0,N263-MAX(0,O238-SUMIFS($N$260:$N$262,$B$260:$B$262,"&gt;="&amp;IF(核心参数输入!$B$101=0,0,11-核心参数输入!$B$101)))),0),0)</f>
        <v>0</v>
      </c>
      <c r="P263" s="9">
        <f>IF(12&lt;=核心参数输入!$B$9,IF(AND(核心参数输入!$B$100=1,OR(核心参数输入!$B$101=0,12-3&lt;=核心参数输入!$B$101)),MAX(0,O263-MAX(0,P238-SUMIFS($O$260:$O$262,$B$260:$B$262,"&gt;="&amp;IF(核心参数输入!$B$101=0,0,12-核心参数输入!$B$101)))),0),0)</f>
        <v>0</v>
      </c>
      <c r="Q263" s="9">
        <f>IF(13&lt;=核心参数输入!$B$9,IF(AND(核心参数输入!$B$100=1,OR(核心参数输入!$B$101=0,13-3&lt;=核心参数输入!$B$101)),MAX(0,P263-MAX(0,Q238-SUMIFS($P$260:$P$262,$B$260:$B$262,"&gt;="&amp;IF(核心参数输入!$B$101=0,0,13-核心参数输入!$B$101)))),0),0)</f>
        <v>0</v>
      </c>
      <c r="R263" s="9">
        <f>IF(14&lt;=核心参数输入!$B$9,IF(AND(核心参数输入!$B$100=1,OR(核心参数输入!$B$101=0,14-3&lt;=核心参数输入!$B$101)),MAX(0,Q263-MAX(0,R238-SUMIFS($Q$260:$Q$262,$B$260:$B$262,"&gt;="&amp;IF(核心参数输入!$B$101=0,0,14-核心参数输入!$B$101)))),0),0)</f>
        <v>0</v>
      </c>
      <c r="S263" s="9">
        <f>IF(15&lt;=核心参数输入!$B$9,IF(AND(核心参数输入!$B$100=1,OR(核心参数输入!$B$101=0,15-3&lt;=核心参数输入!$B$101)),MAX(0,R263-MAX(0,S238-SUMIFS($R$260:$R$262,$B$260:$B$262,"&gt;="&amp;IF(核心参数输入!$B$101=0,0,15-核心参数输入!$B$101)))),0),0)</f>
        <v>0</v>
      </c>
      <c r="T263" s="9">
        <f>IF(16&lt;=核心参数输入!$B$9,IF(AND(核心参数输入!$B$100=1,OR(核心参数输入!$B$101=0,16-3&lt;=核心参数输入!$B$101)),MAX(0,S263-MAX(0,T238-SUMIFS($S$260:$S$262,$B$260:$B$262,"&gt;="&amp;IF(核心参数输入!$B$101=0,0,16-核心参数输入!$B$101)))),0),0)</f>
        <v>0</v>
      </c>
      <c r="U263" s="9">
        <f>IF(17&lt;=核心参数输入!$B$9,IF(AND(核心参数输入!$B$100=1,OR(核心参数输入!$B$101=0,17-3&lt;=核心参数输入!$B$101)),MAX(0,T263-MAX(0,U238-SUMIFS($T$260:$T$262,$B$260:$B$262,"&gt;="&amp;IF(核心参数输入!$B$101=0,0,17-核心参数输入!$B$101)))),0),0)</f>
        <v>0</v>
      </c>
      <c r="V263" s="9">
        <f>IF(18&lt;=核心参数输入!$B$9,IF(AND(核心参数输入!$B$100=1,OR(核心参数输入!$B$101=0,18-3&lt;=核心参数输入!$B$101)),MAX(0,U263-MAX(0,V238-SUMIFS($U$260:$U$262,$B$260:$B$262,"&gt;="&amp;IF(核心参数输入!$B$101=0,0,18-核心参数输入!$B$101)))),0),0)</f>
        <v>0</v>
      </c>
      <c r="W263" s="9">
        <f>IF(19&lt;=核心参数输入!$B$9,IF(AND(核心参数输入!$B$100=1,OR(核心参数输入!$B$101=0,19-3&lt;=核心参数输入!$B$101)),MAX(0,V263-MAX(0,W238-SUMIFS($V$260:$V$262,$B$260:$B$262,"&gt;="&amp;IF(核心参数输入!$B$101=0,0,19-核心参数输入!$B$101)))),0),0)</f>
        <v>0</v>
      </c>
      <c r="X263" s="9">
        <f>IF(20&lt;=核心参数输入!$B$9,IF(AND(核心参数输入!$B$100=1,OR(核心参数输入!$B$101=0,20-3&lt;=核心参数输入!$B$101)),MAX(0,W263-MAX(0,X238-SUMIFS($W$260:$W$262,$B$260:$B$262,"&gt;="&amp;IF(核心参数输入!$B$101=0,0,20-核心参数输入!$B$101)))),0),0)</f>
        <v>0</v>
      </c>
      <c r="Y263" s="9">
        <f>IF(21&lt;=核心参数输入!$B$9,IF(AND(核心参数输入!$B$100=1,OR(核心参数输入!$B$101=0,21-3&lt;=核心参数输入!$B$101)),MAX(0,X263-MAX(0,Y238-SUMIFS($X$260:$X$262,$B$260:$B$262,"&gt;="&amp;IF(核心参数输入!$B$101=0,0,21-核心参数输入!$B$101)))),0),0)</f>
        <v>0</v>
      </c>
      <c r="Z263" s="9">
        <f>IF(22&lt;=核心参数输入!$B$9,IF(AND(核心参数输入!$B$100=1,OR(核心参数输入!$B$101=0,22-3&lt;=核心参数输入!$B$101)),MAX(0,Y263-MAX(0,Z238-SUMIFS($Y$260:$Y$262,$B$260:$B$262,"&gt;="&amp;IF(核心参数输入!$B$101=0,0,22-核心参数输入!$B$101)))),0),0)</f>
        <v>0</v>
      </c>
      <c r="AA263" s="9">
        <f>IF(23&lt;=核心参数输入!$B$9,IF(AND(核心参数输入!$B$100=1,OR(核心参数输入!$B$101=0,23-3&lt;=核心参数输入!$B$101)),MAX(0,Z263-MAX(0,AA238-SUMIFS($Z$260:$Z$262,$B$260:$B$262,"&gt;="&amp;IF(核心参数输入!$B$101=0,0,23-核心参数输入!$B$101)))),0),0)</f>
        <v>0</v>
      </c>
      <c r="AB263" s="9">
        <f>IF(24&lt;=核心参数输入!$B$9,IF(AND(核心参数输入!$B$100=1,OR(核心参数输入!$B$101=0,24-3&lt;=核心参数输入!$B$101)),MAX(0,AA263-MAX(0,AB238-SUMIFS($AA$260:$AA$262,$B$260:$B$262,"&gt;="&amp;IF(核心参数输入!$B$101=0,0,24-核心参数输入!$B$101)))),0),0)</f>
        <v>0</v>
      </c>
      <c r="AC263" s="9">
        <f>IF(25&lt;=核心参数输入!$B$9,IF(AND(核心参数输入!$B$100=1,OR(核心参数输入!$B$101=0,25-3&lt;=核心参数输入!$B$101)),MAX(0,AB263-MAX(0,AC238-SUMIFS($AB$260:$AB$262,$B$260:$B$262,"&gt;="&amp;IF(核心参数输入!$B$101=0,0,25-核心参数输入!$B$101)))),0),0)</f>
        <v>0</v>
      </c>
      <c r="AD263" s="9">
        <f>IF(26&lt;=核心参数输入!$B$9,IF(AND(核心参数输入!$B$100=1,OR(核心参数输入!$B$101=0,26-3&lt;=核心参数输入!$B$101)),MAX(0,AC263-MAX(0,AD238-SUMIFS($AC$260:$AC$262,$B$260:$B$262,"&gt;="&amp;IF(核心参数输入!$B$101=0,0,26-核心参数输入!$B$101)))),0),0)</f>
        <v>0</v>
      </c>
      <c r="AE263" s="9">
        <f>IF(27&lt;=核心参数输入!$B$9,IF(AND(核心参数输入!$B$100=1,OR(核心参数输入!$B$101=0,27-3&lt;=核心参数输入!$B$101)),MAX(0,AD263-MAX(0,AE238-SUMIFS($AD$260:$AD$262,$B$260:$B$262,"&gt;="&amp;IF(核心参数输入!$B$101=0,0,27-核心参数输入!$B$101)))),0),0)</f>
        <v>0</v>
      </c>
      <c r="AF263" s="9">
        <f>IF(28&lt;=核心参数输入!$B$9,IF(AND(核心参数输入!$B$100=1,OR(核心参数输入!$B$101=0,28-3&lt;=核心参数输入!$B$101)),MAX(0,AE263-MAX(0,AF238-SUMIFS($AE$260:$AE$262,$B$260:$B$262,"&gt;="&amp;IF(核心参数输入!$B$101=0,0,28-核心参数输入!$B$101)))),0),0)</f>
        <v>0</v>
      </c>
      <c r="AG263" s="9">
        <f>IF(29&lt;=核心参数输入!$B$9,IF(AND(核心参数输入!$B$100=1,OR(核心参数输入!$B$101=0,29-3&lt;=核心参数输入!$B$101)),MAX(0,AF263-MAX(0,AG238-SUMIFS($AF$260:$AF$262,$B$260:$B$262,"&gt;="&amp;IF(核心参数输入!$B$101=0,0,29-核心参数输入!$B$101)))),0),0)</f>
        <v>0</v>
      </c>
      <c r="AH263" s="9">
        <f>IF(30&lt;=核心参数输入!$B$9,IF(AND(核心参数输入!$B$100=1,OR(核心参数输入!$B$101=0,30-3&lt;=核心参数输入!$B$101)),MAX(0,AG263-MAX(0,AH238-SUMIFS($AG$260:$AG$262,$B$260:$B$262,"&gt;="&amp;IF(核心参数输入!$B$101=0,0,30-核心参数输入!$B$101)))),0),0)</f>
        <v>0</v>
      </c>
    </row>
    <row r="264" spans="1:34" ht="21" customHeight="1">
      <c r="A264" s="8" t="s">
        <v>590</v>
      </c>
      <c r="B264" s="8">
        <v>4</v>
      </c>
      <c r="C264" s="8"/>
      <c r="D264" s="9">
        <f>IF(0&lt;=核心参数输入!$B$9,0,0)</f>
        <v>0</v>
      </c>
      <c r="E264" s="9">
        <f>IF(1&lt;=核心参数输入!$B$9,0,0)</f>
        <v>0</v>
      </c>
      <c r="F264" s="9">
        <f>IF(2&lt;=核心参数输入!$B$9,0,0)</f>
        <v>0</v>
      </c>
      <c r="G264" s="9">
        <f>IF(3&lt;=核心参数输入!$B$9,0,0)</f>
        <v>0</v>
      </c>
      <c r="H264" s="9">
        <f>IF(4&lt;=核心参数输入!$B$9,H241,0)</f>
        <v>2058.4514791350011</v>
      </c>
      <c r="I264" s="9">
        <f>IF(5&lt;=核心参数输入!$B$9,IF(AND(核心参数输入!$B$100=1,OR(核心参数输入!$B$101=0,5-4&lt;=核心参数输入!$B$101)),MAX(0,H264-MAX(0,I238-SUMIFS($H$260:$H$263,$B$260:$B$263,"&gt;="&amp;IF(核心参数输入!$B$101=0,0,5-核心参数输入!$B$101)))),0),0)</f>
        <v>2058.4514791350011</v>
      </c>
      <c r="J264" s="9">
        <f>IF(6&lt;=核心参数输入!$B$9,IF(AND(核心参数输入!$B$100=1,OR(核心参数输入!$B$101=0,6-4&lt;=核心参数输入!$B$101)),MAX(0,I264-MAX(0,J238-SUMIFS($I$260:$I$263,$B$260:$B$263,"&gt;="&amp;IF(核心参数输入!$B$101=0,0,6-核心参数输入!$B$101)))),0),0)</f>
        <v>2058.4514791350011</v>
      </c>
      <c r="K264" s="9">
        <f>IF(7&lt;=核心参数输入!$B$9,IF(AND(核心参数输入!$B$100=1,OR(核心参数输入!$B$101=0,7-4&lt;=核心参数输入!$B$101)),MAX(0,J264-MAX(0,K238-SUMIFS($J$260:$J$263,$B$260:$B$263,"&gt;="&amp;IF(核心参数输入!$B$101=0,0,7-核心参数输入!$B$101)))),0),0)</f>
        <v>2058.4514791350011</v>
      </c>
      <c r="L264" s="9">
        <f>IF(8&lt;=核心参数输入!$B$9,IF(AND(核心参数输入!$B$100=1,OR(核心参数输入!$B$101=0,8-4&lt;=核心参数输入!$B$101)),MAX(0,K264-MAX(0,L238-SUMIFS($K$260:$K$263,$B$260:$B$263,"&gt;="&amp;IF(核心参数输入!$B$101=0,0,8-核心参数输入!$B$101)))),0),0)</f>
        <v>2058.4514791350011</v>
      </c>
      <c r="M264" s="9">
        <f>IF(9&lt;=核心参数输入!$B$9,IF(AND(核心参数输入!$B$100=1,OR(核心参数输入!$B$101=0,9-4&lt;=核心参数输入!$B$101)),MAX(0,L264-MAX(0,M238-SUMIFS($L$260:$L$263,$B$260:$B$263,"&gt;="&amp;IF(核心参数输入!$B$101=0,0,9-核心参数输入!$B$101)))),0),0)</f>
        <v>2058.4514791350011</v>
      </c>
      <c r="N264" s="9">
        <f>IF(10&lt;=核心参数输入!$B$9,IF(AND(核心参数输入!$B$100=1,OR(核心参数输入!$B$101=0,10-4&lt;=核心参数输入!$B$101)),MAX(0,M264-MAX(0,N238-SUMIFS($M$260:$M$263,$B$260:$B$263,"&gt;="&amp;IF(核心参数输入!$B$101=0,0,10-核心参数输入!$B$101)))),0),0)</f>
        <v>0</v>
      </c>
      <c r="O264" s="9">
        <f>IF(11&lt;=核心参数输入!$B$9,IF(AND(核心参数输入!$B$100=1,OR(核心参数输入!$B$101=0,11-4&lt;=核心参数输入!$B$101)),MAX(0,N264-MAX(0,O238-SUMIFS($N$260:$N$263,$B$260:$B$263,"&gt;="&amp;IF(核心参数输入!$B$101=0,0,11-核心参数输入!$B$101)))),0),0)</f>
        <v>0</v>
      </c>
      <c r="P264" s="9">
        <f>IF(12&lt;=核心参数输入!$B$9,IF(AND(核心参数输入!$B$100=1,OR(核心参数输入!$B$101=0,12-4&lt;=核心参数输入!$B$101)),MAX(0,O264-MAX(0,P238-SUMIFS($O$260:$O$263,$B$260:$B$263,"&gt;="&amp;IF(核心参数输入!$B$101=0,0,12-核心参数输入!$B$101)))),0),0)</f>
        <v>0</v>
      </c>
      <c r="Q264" s="9">
        <f>IF(13&lt;=核心参数输入!$B$9,IF(AND(核心参数输入!$B$100=1,OR(核心参数输入!$B$101=0,13-4&lt;=核心参数输入!$B$101)),MAX(0,P264-MAX(0,Q238-SUMIFS($P$260:$P$263,$B$260:$B$263,"&gt;="&amp;IF(核心参数输入!$B$101=0,0,13-核心参数输入!$B$101)))),0),0)</f>
        <v>0</v>
      </c>
      <c r="R264" s="9">
        <f>IF(14&lt;=核心参数输入!$B$9,IF(AND(核心参数输入!$B$100=1,OR(核心参数输入!$B$101=0,14-4&lt;=核心参数输入!$B$101)),MAX(0,Q264-MAX(0,R238-SUMIFS($Q$260:$Q$263,$B$260:$B$263,"&gt;="&amp;IF(核心参数输入!$B$101=0,0,14-核心参数输入!$B$101)))),0),0)</f>
        <v>0</v>
      </c>
      <c r="S264" s="9">
        <f>IF(15&lt;=核心参数输入!$B$9,IF(AND(核心参数输入!$B$100=1,OR(核心参数输入!$B$101=0,15-4&lt;=核心参数输入!$B$101)),MAX(0,R264-MAX(0,S238-SUMIFS($R$260:$R$263,$B$260:$B$263,"&gt;="&amp;IF(核心参数输入!$B$101=0,0,15-核心参数输入!$B$101)))),0),0)</f>
        <v>0</v>
      </c>
      <c r="T264" s="9">
        <f>IF(16&lt;=核心参数输入!$B$9,IF(AND(核心参数输入!$B$100=1,OR(核心参数输入!$B$101=0,16-4&lt;=核心参数输入!$B$101)),MAX(0,S264-MAX(0,T238-SUMIFS($S$260:$S$263,$B$260:$B$263,"&gt;="&amp;IF(核心参数输入!$B$101=0,0,16-核心参数输入!$B$101)))),0),0)</f>
        <v>0</v>
      </c>
      <c r="U264" s="9">
        <f>IF(17&lt;=核心参数输入!$B$9,IF(AND(核心参数输入!$B$100=1,OR(核心参数输入!$B$101=0,17-4&lt;=核心参数输入!$B$101)),MAX(0,T264-MAX(0,U238-SUMIFS($T$260:$T$263,$B$260:$B$263,"&gt;="&amp;IF(核心参数输入!$B$101=0,0,17-核心参数输入!$B$101)))),0),0)</f>
        <v>0</v>
      </c>
      <c r="V264" s="9">
        <f>IF(18&lt;=核心参数输入!$B$9,IF(AND(核心参数输入!$B$100=1,OR(核心参数输入!$B$101=0,18-4&lt;=核心参数输入!$B$101)),MAX(0,U264-MAX(0,V238-SUMIFS($U$260:$U$263,$B$260:$B$263,"&gt;="&amp;IF(核心参数输入!$B$101=0,0,18-核心参数输入!$B$101)))),0),0)</f>
        <v>0</v>
      </c>
      <c r="W264" s="9">
        <f>IF(19&lt;=核心参数输入!$B$9,IF(AND(核心参数输入!$B$100=1,OR(核心参数输入!$B$101=0,19-4&lt;=核心参数输入!$B$101)),MAX(0,V264-MAX(0,W238-SUMIFS($V$260:$V$263,$B$260:$B$263,"&gt;="&amp;IF(核心参数输入!$B$101=0,0,19-核心参数输入!$B$101)))),0),0)</f>
        <v>0</v>
      </c>
      <c r="X264" s="9">
        <f>IF(20&lt;=核心参数输入!$B$9,IF(AND(核心参数输入!$B$100=1,OR(核心参数输入!$B$101=0,20-4&lt;=核心参数输入!$B$101)),MAX(0,W264-MAX(0,X238-SUMIFS($W$260:$W$263,$B$260:$B$263,"&gt;="&amp;IF(核心参数输入!$B$101=0,0,20-核心参数输入!$B$101)))),0),0)</f>
        <v>0</v>
      </c>
      <c r="Y264" s="9">
        <f>IF(21&lt;=核心参数输入!$B$9,IF(AND(核心参数输入!$B$100=1,OR(核心参数输入!$B$101=0,21-4&lt;=核心参数输入!$B$101)),MAX(0,X264-MAX(0,Y238-SUMIFS($X$260:$X$263,$B$260:$B$263,"&gt;="&amp;IF(核心参数输入!$B$101=0,0,21-核心参数输入!$B$101)))),0),0)</f>
        <v>0</v>
      </c>
      <c r="Z264" s="9">
        <f>IF(22&lt;=核心参数输入!$B$9,IF(AND(核心参数输入!$B$100=1,OR(核心参数输入!$B$101=0,22-4&lt;=核心参数输入!$B$101)),MAX(0,Y264-MAX(0,Z238-SUMIFS($Y$260:$Y$263,$B$260:$B$263,"&gt;="&amp;IF(核心参数输入!$B$101=0,0,22-核心参数输入!$B$101)))),0),0)</f>
        <v>0</v>
      </c>
      <c r="AA264" s="9">
        <f>IF(23&lt;=核心参数输入!$B$9,IF(AND(核心参数输入!$B$100=1,OR(核心参数输入!$B$101=0,23-4&lt;=核心参数输入!$B$101)),MAX(0,Z264-MAX(0,AA238-SUMIFS($Z$260:$Z$263,$B$260:$B$263,"&gt;="&amp;IF(核心参数输入!$B$101=0,0,23-核心参数输入!$B$101)))),0),0)</f>
        <v>0</v>
      </c>
      <c r="AB264" s="9">
        <f>IF(24&lt;=核心参数输入!$B$9,IF(AND(核心参数输入!$B$100=1,OR(核心参数输入!$B$101=0,24-4&lt;=核心参数输入!$B$101)),MAX(0,AA264-MAX(0,AB238-SUMIFS($AA$260:$AA$263,$B$260:$B$263,"&gt;="&amp;IF(核心参数输入!$B$101=0,0,24-核心参数输入!$B$101)))),0),0)</f>
        <v>0</v>
      </c>
      <c r="AC264" s="9">
        <f>IF(25&lt;=核心参数输入!$B$9,IF(AND(核心参数输入!$B$100=1,OR(核心参数输入!$B$101=0,25-4&lt;=核心参数输入!$B$101)),MAX(0,AB264-MAX(0,AC238-SUMIFS($AB$260:$AB$263,$B$260:$B$263,"&gt;="&amp;IF(核心参数输入!$B$101=0,0,25-核心参数输入!$B$101)))),0),0)</f>
        <v>0</v>
      </c>
      <c r="AD264" s="9">
        <f>IF(26&lt;=核心参数输入!$B$9,IF(AND(核心参数输入!$B$100=1,OR(核心参数输入!$B$101=0,26-4&lt;=核心参数输入!$B$101)),MAX(0,AC264-MAX(0,AD238-SUMIFS($AC$260:$AC$263,$B$260:$B$263,"&gt;="&amp;IF(核心参数输入!$B$101=0,0,26-核心参数输入!$B$101)))),0),0)</f>
        <v>0</v>
      </c>
      <c r="AE264" s="9">
        <f>IF(27&lt;=核心参数输入!$B$9,IF(AND(核心参数输入!$B$100=1,OR(核心参数输入!$B$101=0,27-4&lt;=核心参数输入!$B$101)),MAX(0,AD264-MAX(0,AE238-SUMIFS($AD$260:$AD$263,$B$260:$B$263,"&gt;="&amp;IF(核心参数输入!$B$101=0,0,27-核心参数输入!$B$101)))),0),0)</f>
        <v>0</v>
      </c>
      <c r="AF264" s="9">
        <f>IF(28&lt;=核心参数输入!$B$9,IF(AND(核心参数输入!$B$100=1,OR(核心参数输入!$B$101=0,28-4&lt;=核心参数输入!$B$101)),MAX(0,AE264-MAX(0,AF238-SUMIFS($AE$260:$AE$263,$B$260:$B$263,"&gt;="&amp;IF(核心参数输入!$B$101=0,0,28-核心参数输入!$B$101)))),0),0)</f>
        <v>0</v>
      </c>
      <c r="AG264" s="9">
        <f>IF(29&lt;=核心参数输入!$B$9,IF(AND(核心参数输入!$B$100=1,OR(核心参数输入!$B$101=0,29-4&lt;=核心参数输入!$B$101)),MAX(0,AF264-MAX(0,AG238-SUMIFS($AF$260:$AF$263,$B$260:$B$263,"&gt;="&amp;IF(核心参数输入!$B$101=0,0,29-核心参数输入!$B$101)))),0),0)</f>
        <v>0</v>
      </c>
      <c r="AH264" s="9">
        <f>IF(30&lt;=核心参数输入!$B$9,IF(AND(核心参数输入!$B$100=1,OR(核心参数输入!$B$101=0,30-4&lt;=核心参数输入!$B$101)),MAX(0,AG264-MAX(0,AH238-SUMIFS($AG$260:$AG$263,$B$260:$B$263,"&gt;="&amp;IF(核心参数输入!$B$101=0,0,30-核心参数输入!$B$101)))),0),0)</f>
        <v>0</v>
      </c>
    </row>
    <row r="265" spans="1:34" ht="21" customHeight="1">
      <c r="A265" s="8" t="s">
        <v>591</v>
      </c>
      <c r="B265" s="8">
        <v>5</v>
      </c>
      <c r="C265" s="8"/>
      <c r="D265" s="9">
        <f>IF(0&lt;=核心参数输入!$B$9,0,0)</f>
        <v>0</v>
      </c>
      <c r="E265" s="9">
        <f>IF(1&lt;=核心参数输入!$B$9,0,0)</f>
        <v>0</v>
      </c>
      <c r="F265" s="9">
        <f>IF(2&lt;=核心参数输入!$B$9,0,0)</f>
        <v>0</v>
      </c>
      <c r="G265" s="9">
        <f>IF(3&lt;=核心参数输入!$B$9,0,0)</f>
        <v>0</v>
      </c>
      <c r="H265" s="9">
        <f>IF(4&lt;=核心参数输入!$B$9,0,0)</f>
        <v>0</v>
      </c>
      <c r="I265" s="9">
        <f>IF(5&lt;=核心参数输入!$B$9,I241,0)</f>
        <v>1256.8365038604893</v>
      </c>
      <c r="J265" s="9">
        <f>IF(6&lt;=核心参数输入!$B$9,IF(AND(核心参数输入!$B$100=1,OR(核心参数输入!$B$101=0,6-5&lt;=核心参数输入!$B$101)),MAX(0,I265-MAX(0,J238-SUMIFS($I$260:$I$264,$B$260:$B$264,"&gt;="&amp;IF(核心参数输入!$B$101=0,0,6-核心参数输入!$B$101)))),0),0)</f>
        <v>1256.8365038604893</v>
      </c>
      <c r="K265" s="9">
        <f>IF(7&lt;=核心参数输入!$B$9,IF(AND(核心参数输入!$B$100=1,OR(核心参数输入!$B$101=0,7-5&lt;=核心参数输入!$B$101)),MAX(0,J265-MAX(0,K238-SUMIFS($J$260:$J$264,$B$260:$B$264,"&gt;="&amp;IF(核心参数输入!$B$101=0,0,7-核心参数输入!$B$101)))),0),0)</f>
        <v>1256.8365038604893</v>
      </c>
      <c r="L265" s="9">
        <f>IF(8&lt;=核心参数输入!$B$9,IF(AND(核心参数输入!$B$100=1,OR(核心参数输入!$B$101=0,8-5&lt;=核心参数输入!$B$101)),MAX(0,K265-MAX(0,L238-SUMIFS($K$260:$K$264,$B$260:$B$264,"&gt;="&amp;IF(核心参数输入!$B$101=0,0,8-核心参数输入!$B$101)))),0),0)</f>
        <v>1256.8365038604893</v>
      </c>
      <c r="M265" s="9">
        <f>IF(9&lt;=核心参数输入!$B$9,IF(AND(核心参数输入!$B$100=1,OR(核心参数输入!$B$101=0,9-5&lt;=核心参数输入!$B$101)),MAX(0,L265-MAX(0,M238-SUMIFS($L$260:$L$264,$B$260:$B$264,"&gt;="&amp;IF(核心参数输入!$B$101=0,0,9-核心参数输入!$B$101)))),0),0)</f>
        <v>1256.8365038604893</v>
      </c>
      <c r="N265" s="9">
        <f>IF(10&lt;=核心参数输入!$B$9,IF(AND(核心参数输入!$B$100=1,OR(核心参数输入!$B$101=0,10-5&lt;=核心参数输入!$B$101)),MAX(0,M265-MAX(0,N238-SUMIFS($M$260:$M$264,$B$260:$B$264,"&gt;="&amp;IF(核心参数输入!$B$101=0,0,10-核心参数输入!$B$101)))),0),0)</f>
        <v>1256.8365038604893</v>
      </c>
      <c r="O265" s="9">
        <f>IF(11&lt;=核心参数输入!$B$9,IF(AND(核心参数输入!$B$100=1,OR(核心参数输入!$B$101=0,11-5&lt;=核心参数输入!$B$101)),MAX(0,N265-MAX(0,O238-SUMIFS($N$260:$N$264,$B$260:$B$264,"&gt;="&amp;IF(核心参数输入!$B$101=0,0,11-核心参数输入!$B$101)))),0),0)</f>
        <v>0</v>
      </c>
      <c r="P265" s="9">
        <f>IF(12&lt;=核心参数输入!$B$9,IF(AND(核心参数输入!$B$100=1,OR(核心参数输入!$B$101=0,12-5&lt;=核心参数输入!$B$101)),MAX(0,O265-MAX(0,P238-SUMIFS($O$260:$O$264,$B$260:$B$264,"&gt;="&amp;IF(核心参数输入!$B$101=0,0,12-核心参数输入!$B$101)))),0),0)</f>
        <v>0</v>
      </c>
      <c r="Q265" s="9">
        <f>IF(13&lt;=核心参数输入!$B$9,IF(AND(核心参数输入!$B$100=1,OR(核心参数输入!$B$101=0,13-5&lt;=核心参数输入!$B$101)),MAX(0,P265-MAX(0,Q238-SUMIFS($P$260:$P$264,$B$260:$B$264,"&gt;="&amp;IF(核心参数输入!$B$101=0,0,13-核心参数输入!$B$101)))),0),0)</f>
        <v>0</v>
      </c>
      <c r="R265" s="9">
        <f>IF(14&lt;=核心参数输入!$B$9,IF(AND(核心参数输入!$B$100=1,OR(核心参数输入!$B$101=0,14-5&lt;=核心参数输入!$B$101)),MAX(0,Q265-MAX(0,R238-SUMIFS($Q$260:$Q$264,$B$260:$B$264,"&gt;="&amp;IF(核心参数输入!$B$101=0,0,14-核心参数输入!$B$101)))),0),0)</f>
        <v>0</v>
      </c>
      <c r="S265" s="9">
        <f>IF(15&lt;=核心参数输入!$B$9,IF(AND(核心参数输入!$B$100=1,OR(核心参数输入!$B$101=0,15-5&lt;=核心参数输入!$B$101)),MAX(0,R265-MAX(0,S238-SUMIFS($R$260:$R$264,$B$260:$B$264,"&gt;="&amp;IF(核心参数输入!$B$101=0,0,15-核心参数输入!$B$101)))),0),0)</f>
        <v>0</v>
      </c>
      <c r="T265" s="9">
        <f>IF(16&lt;=核心参数输入!$B$9,IF(AND(核心参数输入!$B$100=1,OR(核心参数输入!$B$101=0,16-5&lt;=核心参数输入!$B$101)),MAX(0,S265-MAX(0,T238-SUMIFS($S$260:$S$264,$B$260:$B$264,"&gt;="&amp;IF(核心参数输入!$B$101=0,0,16-核心参数输入!$B$101)))),0),0)</f>
        <v>0</v>
      </c>
      <c r="U265" s="9">
        <f>IF(17&lt;=核心参数输入!$B$9,IF(AND(核心参数输入!$B$100=1,OR(核心参数输入!$B$101=0,17-5&lt;=核心参数输入!$B$101)),MAX(0,T265-MAX(0,U238-SUMIFS($T$260:$T$264,$B$260:$B$264,"&gt;="&amp;IF(核心参数输入!$B$101=0,0,17-核心参数输入!$B$101)))),0),0)</f>
        <v>0</v>
      </c>
      <c r="V265" s="9">
        <f>IF(18&lt;=核心参数输入!$B$9,IF(AND(核心参数输入!$B$100=1,OR(核心参数输入!$B$101=0,18-5&lt;=核心参数输入!$B$101)),MAX(0,U265-MAX(0,V238-SUMIFS($U$260:$U$264,$B$260:$B$264,"&gt;="&amp;IF(核心参数输入!$B$101=0,0,18-核心参数输入!$B$101)))),0),0)</f>
        <v>0</v>
      </c>
      <c r="W265" s="9">
        <f>IF(19&lt;=核心参数输入!$B$9,IF(AND(核心参数输入!$B$100=1,OR(核心参数输入!$B$101=0,19-5&lt;=核心参数输入!$B$101)),MAX(0,V265-MAX(0,W238-SUMIFS($V$260:$V$264,$B$260:$B$264,"&gt;="&amp;IF(核心参数输入!$B$101=0,0,19-核心参数输入!$B$101)))),0),0)</f>
        <v>0</v>
      </c>
      <c r="X265" s="9">
        <f>IF(20&lt;=核心参数输入!$B$9,IF(AND(核心参数输入!$B$100=1,OR(核心参数输入!$B$101=0,20-5&lt;=核心参数输入!$B$101)),MAX(0,W265-MAX(0,X238-SUMIFS($W$260:$W$264,$B$260:$B$264,"&gt;="&amp;IF(核心参数输入!$B$101=0,0,20-核心参数输入!$B$101)))),0),0)</f>
        <v>0</v>
      </c>
      <c r="Y265" s="9">
        <f>IF(21&lt;=核心参数输入!$B$9,IF(AND(核心参数输入!$B$100=1,OR(核心参数输入!$B$101=0,21-5&lt;=核心参数输入!$B$101)),MAX(0,X265-MAX(0,Y238-SUMIFS($X$260:$X$264,$B$260:$B$264,"&gt;="&amp;IF(核心参数输入!$B$101=0,0,21-核心参数输入!$B$101)))),0),0)</f>
        <v>0</v>
      </c>
      <c r="Z265" s="9">
        <f>IF(22&lt;=核心参数输入!$B$9,IF(AND(核心参数输入!$B$100=1,OR(核心参数输入!$B$101=0,22-5&lt;=核心参数输入!$B$101)),MAX(0,Y265-MAX(0,Z238-SUMIFS($Y$260:$Y$264,$B$260:$B$264,"&gt;="&amp;IF(核心参数输入!$B$101=0,0,22-核心参数输入!$B$101)))),0),0)</f>
        <v>0</v>
      </c>
      <c r="AA265" s="9">
        <f>IF(23&lt;=核心参数输入!$B$9,IF(AND(核心参数输入!$B$100=1,OR(核心参数输入!$B$101=0,23-5&lt;=核心参数输入!$B$101)),MAX(0,Z265-MAX(0,AA238-SUMIFS($Z$260:$Z$264,$B$260:$B$264,"&gt;="&amp;IF(核心参数输入!$B$101=0,0,23-核心参数输入!$B$101)))),0),0)</f>
        <v>0</v>
      </c>
      <c r="AB265" s="9">
        <f>IF(24&lt;=核心参数输入!$B$9,IF(AND(核心参数输入!$B$100=1,OR(核心参数输入!$B$101=0,24-5&lt;=核心参数输入!$B$101)),MAX(0,AA265-MAX(0,AB238-SUMIFS($AA$260:$AA$264,$B$260:$B$264,"&gt;="&amp;IF(核心参数输入!$B$101=0,0,24-核心参数输入!$B$101)))),0),0)</f>
        <v>0</v>
      </c>
      <c r="AC265" s="9">
        <f>IF(25&lt;=核心参数输入!$B$9,IF(AND(核心参数输入!$B$100=1,OR(核心参数输入!$B$101=0,25-5&lt;=核心参数输入!$B$101)),MAX(0,AB265-MAX(0,AC238-SUMIFS($AB$260:$AB$264,$B$260:$B$264,"&gt;="&amp;IF(核心参数输入!$B$101=0,0,25-核心参数输入!$B$101)))),0),0)</f>
        <v>0</v>
      </c>
      <c r="AD265" s="9">
        <f>IF(26&lt;=核心参数输入!$B$9,IF(AND(核心参数输入!$B$100=1,OR(核心参数输入!$B$101=0,26-5&lt;=核心参数输入!$B$101)),MAX(0,AC265-MAX(0,AD238-SUMIFS($AC$260:$AC$264,$B$260:$B$264,"&gt;="&amp;IF(核心参数输入!$B$101=0,0,26-核心参数输入!$B$101)))),0),0)</f>
        <v>0</v>
      </c>
      <c r="AE265" s="9">
        <f>IF(27&lt;=核心参数输入!$B$9,IF(AND(核心参数输入!$B$100=1,OR(核心参数输入!$B$101=0,27-5&lt;=核心参数输入!$B$101)),MAX(0,AD265-MAX(0,AE238-SUMIFS($AD$260:$AD$264,$B$260:$B$264,"&gt;="&amp;IF(核心参数输入!$B$101=0,0,27-核心参数输入!$B$101)))),0),0)</f>
        <v>0</v>
      </c>
      <c r="AF265" s="9">
        <f>IF(28&lt;=核心参数输入!$B$9,IF(AND(核心参数输入!$B$100=1,OR(核心参数输入!$B$101=0,28-5&lt;=核心参数输入!$B$101)),MAX(0,AE265-MAX(0,AF238-SUMIFS($AE$260:$AE$264,$B$260:$B$264,"&gt;="&amp;IF(核心参数输入!$B$101=0,0,28-核心参数输入!$B$101)))),0),0)</f>
        <v>0</v>
      </c>
      <c r="AG265" s="9">
        <f>IF(29&lt;=核心参数输入!$B$9,IF(AND(核心参数输入!$B$100=1,OR(核心参数输入!$B$101=0,29-5&lt;=核心参数输入!$B$101)),MAX(0,AF265-MAX(0,AG238-SUMIFS($AF$260:$AF$264,$B$260:$B$264,"&gt;="&amp;IF(核心参数输入!$B$101=0,0,29-核心参数输入!$B$101)))),0),0)</f>
        <v>0</v>
      </c>
      <c r="AH265" s="9">
        <f>IF(30&lt;=核心参数输入!$B$9,IF(AND(核心参数输入!$B$100=1,OR(核心参数输入!$B$101=0,30-5&lt;=核心参数输入!$B$101)),MAX(0,AG265-MAX(0,AH238-SUMIFS($AG$260:$AG$264,$B$260:$B$264,"&gt;="&amp;IF(核心参数输入!$B$101=0,0,30-核心参数输入!$B$101)))),0),0)</f>
        <v>0</v>
      </c>
    </row>
    <row r="266" spans="1:34" ht="21" customHeight="1">
      <c r="A266" s="8" t="s">
        <v>592</v>
      </c>
      <c r="B266" s="8">
        <v>6</v>
      </c>
      <c r="C266" s="8"/>
      <c r="D266" s="9">
        <f>IF(0&lt;=核心参数输入!$B$9,0,0)</f>
        <v>0</v>
      </c>
      <c r="E266" s="9">
        <f>IF(1&lt;=核心参数输入!$B$9,0,0)</f>
        <v>0</v>
      </c>
      <c r="F266" s="9">
        <f>IF(2&lt;=核心参数输入!$B$9,0,0)</f>
        <v>0</v>
      </c>
      <c r="G266" s="9">
        <f>IF(3&lt;=核心参数输入!$B$9,0,0)</f>
        <v>0</v>
      </c>
      <c r="H266" s="9">
        <f>IF(4&lt;=核心参数输入!$B$9,0,0)</f>
        <v>0</v>
      </c>
      <c r="I266" s="9">
        <f>IF(5&lt;=核心参数输入!$B$9,0,0)</f>
        <v>0</v>
      </c>
      <c r="J266" s="9">
        <f>IF(6&lt;=核心参数输入!$B$9,J241,0)</f>
        <v>930.59535122284274</v>
      </c>
      <c r="K266" s="9">
        <f>IF(7&lt;=核心参数输入!$B$9,IF(AND(核心参数输入!$B$100=1,OR(核心参数输入!$B$101=0,7-6&lt;=核心参数输入!$B$101)),MAX(0,J266-MAX(0,K238-SUMIFS($J$260:$J$265,$B$260:$B$265,"&gt;="&amp;IF(核心参数输入!$B$101=0,0,7-核心参数输入!$B$101)))),0),0)</f>
        <v>930.59535122284274</v>
      </c>
      <c r="L266" s="9">
        <f>IF(8&lt;=核心参数输入!$B$9,IF(AND(核心参数输入!$B$100=1,OR(核心参数输入!$B$101=0,8-6&lt;=核心参数输入!$B$101)),MAX(0,K266-MAX(0,L238-SUMIFS($K$260:$K$265,$B$260:$B$265,"&gt;="&amp;IF(核心参数输入!$B$101=0,0,8-核心参数输入!$B$101)))),0),0)</f>
        <v>930.59535122284274</v>
      </c>
      <c r="M266" s="9">
        <f>IF(9&lt;=核心参数输入!$B$9,IF(AND(核心参数输入!$B$100=1,OR(核心参数输入!$B$101=0,9-6&lt;=核心参数输入!$B$101)),MAX(0,L266-MAX(0,M238-SUMIFS($L$260:$L$265,$B$260:$B$265,"&gt;="&amp;IF(核心参数输入!$B$101=0,0,9-核心参数输入!$B$101)))),0),0)</f>
        <v>930.59535122284274</v>
      </c>
      <c r="N266" s="9">
        <f>IF(10&lt;=核心参数输入!$B$9,IF(AND(核心参数输入!$B$100=1,OR(核心参数输入!$B$101=0,10-6&lt;=核心参数输入!$B$101)),MAX(0,M266-MAX(0,N238-SUMIFS($M$260:$M$265,$B$260:$B$265,"&gt;="&amp;IF(核心参数输入!$B$101=0,0,10-核心参数输入!$B$101)))),0),0)</f>
        <v>930.59535122284274</v>
      </c>
      <c r="O266" s="9">
        <f>IF(11&lt;=核心参数输入!$B$9,IF(AND(核心参数输入!$B$100=1,OR(核心参数输入!$B$101=0,11-6&lt;=核心参数输入!$B$101)),MAX(0,N266-MAX(0,O238-SUMIFS($N$260:$N$265,$B$260:$B$265,"&gt;="&amp;IF(核心参数输入!$B$101=0,0,11-核心参数输入!$B$101)))),0),0)</f>
        <v>930.59535122284274</v>
      </c>
      <c r="P266" s="9">
        <f>IF(12&lt;=核心参数输入!$B$9,IF(AND(核心参数输入!$B$100=1,OR(核心参数输入!$B$101=0,12-6&lt;=核心参数输入!$B$101)),MAX(0,O266-MAX(0,P238-SUMIFS($O$260:$O$265,$B$260:$B$265,"&gt;="&amp;IF(核心参数输入!$B$101=0,0,12-核心参数输入!$B$101)))),0),0)</f>
        <v>0</v>
      </c>
      <c r="Q266" s="9">
        <f>IF(13&lt;=核心参数输入!$B$9,IF(AND(核心参数输入!$B$100=1,OR(核心参数输入!$B$101=0,13-6&lt;=核心参数输入!$B$101)),MAX(0,P266-MAX(0,Q238-SUMIFS($P$260:$P$265,$B$260:$B$265,"&gt;="&amp;IF(核心参数输入!$B$101=0,0,13-核心参数输入!$B$101)))),0),0)</f>
        <v>0</v>
      </c>
      <c r="R266" s="9">
        <f>IF(14&lt;=核心参数输入!$B$9,IF(AND(核心参数输入!$B$100=1,OR(核心参数输入!$B$101=0,14-6&lt;=核心参数输入!$B$101)),MAX(0,Q266-MAX(0,R238-SUMIFS($Q$260:$Q$265,$B$260:$B$265,"&gt;="&amp;IF(核心参数输入!$B$101=0,0,14-核心参数输入!$B$101)))),0),0)</f>
        <v>0</v>
      </c>
      <c r="S266" s="9">
        <f>IF(15&lt;=核心参数输入!$B$9,IF(AND(核心参数输入!$B$100=1,OR(核心参数输入!$B$101=0,15-6&lt;=核心参数输入!$B$101)),MAX(0,R266-MAX(0,S238-SUMIFS($R$260:$R$265,$B$260:$B$265,"&gt;="&amp;IF(核心参数输入!$B$101=0,0,15-核心参数输入!$B$101)))),0),0)</f>
        <v>0</v>
      </c>
      <c r="T266" s="9">
        <f>IF(16&lt;=核心参数输入!$B$9,IF(AND(核心参数输入!$B$100=1,OR(核心参数输入!$B$101=0,16-6&lt;=核心参数输入!$B$101)),MAX(0,S266-MAX(0,T238-SUMIFS($S$260:$S$265,$B$260:$B$265,"&gt;="&amp;IF(核心参数输入!$B$101=0,0,16-核心参数输入!$B$101)))),0),0)</f>
        <v>0</v>
      </c>
      <c r="U266" s="9">
        <f>IF(17&lt;=核心参数输入!$B$9,IF(AND(核心参数输入!$B$100=1,OR(核心参数输入!$B$101=0,17-6&lt;=核心参数输入!$B$101)),MAX(0,T266-MAX(0,U238-SUMIFS($T$260:$T$265,$B$260:$B$265,"&gt;="&amp;IF(核心参数输入!$B$101=0,0,17-核心参数输入!$B$101)))),0),0)</f>
        <v>0</v>
      </c>
      <c r="V266" s="9">
        <f>IF(18&lt;=核心参数输入!$B$9,IF(AND(核心参数输入!$B$100=1,OR(核心参数输入!$B$101=0,18-6&lt;=核心参数输入!$B$101)),MAX(0,U266-MAX(0,V238-SUMIFS($U$260:$U$265,$B$260:$B$265,"&gt;="&amp;IF(核心参数输入!$B$101=0,0,18-核心参数输入!$B$101)))),0),0)</f>
        <v>0</v>
      </c>
      <c r="W266" s="9">
        <f>IF(19&lt;=核心参数输入!$B$9,IF(AND(核心参数输入!$B$100=1,OR(核心参数输入!$B$101=0,19-6&lt;=核心参数输入!$B$101)),MAX(0,V266-MAX(0,W238-SUMIFS($V$260:$V$265,$B$260:$B$265,"&gt;="&amp;IF(核心参数输入!$B$101=0,0,19-核心参数输入!$B$101)))),0),0)</f>
        <v>0</v>
      </c>
      <c r="X266" s="9">
        <f>IF(20&lt;=核心参数输入!$B$9,IF(AND(核心参数输入!$B$100=1,OR(核心参数输入!$B$101=0,20-6&lt;=核心参数输入!$B$101)),MAX(0,W266-MAX(0,X238-SUMIFS($W$260:$W$265,$B$260:$B$265,"&gt;="&amp;IF(核心参数输入!$B$101=0,0,20-核心参数输入!$B$101)))),0),0)</f>
        <v>0</v>
      </c>
      <c r="Y266" s="9">
        <f>IF(21&lt;=核心参数输入!$B$9,IF(AND(核心参数输入!$B$100=1,OR(核心参数输入!$B$101=0,21-6&lt;=核心参数输入!$B$101)),MAX(0,X266-MAX(0,Y238-SUMIFS($X$260:$X$265,$B$260:$B$265,"&gt;="&amp;IF(核心参数输入!$B$101=0,0,21-核心参数输入!$B$101)))),0),0)</f>
        <v>0</v>
      </c>
      <c r="Z266" s="9">
        <f>IF(22&lt;=核心参数输入!$B$9,IF(AND(核心参数输入!$B$100=1,OR(核心参数输入!$B$101=0,22-6&lt;=核心参数输入!$B$101)),MAX(0,Y266-MAX(0,Z238-SUMIFS($Y$260:$Y$265,$B$260:$B$265,"&gt;="&amp;IF(核心参数输入!$B$101=0,0,22-核心参数输入!$B$101)))),0),0)</f>
        <v>0</v>
      </c>
      <c r="AA266" s="9">
        <f>IF(23&lt;=核心参数输入!$B$9,IF(AND(核心参数输入!$B$100=1,OR(核心参数输入!$B$101=0,23-6&lt;=核心参数输入!$B$101)),MAX(0,Z266-MAX(0,AA238-SUMIFS($Z$260:$Z$265,$B$260:$B$265,"&gt;="&amp;IF(核心参数输入!$B$101=0,0,23-核心参数输入!$B$101)))),0),0)</f>
        <v>0</v>
      </c>
      <c r="AB266" s="9">
        <f>IF(24&lt;=核心参数输入!$B$9,IF(AND(核心参数输入!$B$100=1,OR(核心参数输入!$B$101=0,24-6&lt;=核心参数输入!$B$101)),MAX(0,AA266-MAX(0,AB238-SUMIFS($AA$260:$AA$265,$B$260:$B$265,"&gt;="&amp;IF(核心参数输入!$B$101=0,0,24-核心参数输入!$B$101)))),0),0)</f>
        <v>0</v>
      </c>
      <c r="AC266" s="9">
        <f>IF(25&lt;=核心参数输入!$B$9,IF(AND(核心参数输入!$B$100=1,OR(核心参数输入!$B$101=0,25-6&lt;=核心参数输入!$B$101)),MAX(0,AB266-MAX(0,AC238-SUMIFS($AB$260:$AB$265,$B$260:$B$265,"&gt;="&amp;IF(核心参数输入!$B$101=0,0,25-核心参数输入!$B$101)))),0),0)</f>
        <v>0</v>
      </c>
      <c r="AD266" s="9">
        <f>IF(26&lt;=核心参数输入!$B$9,IF(AND(核心参数输入!$B$100=1,OR(核心参数输入!$B$101=0,26-6&lt;=核心参数输入!$B$101)),MAX(0,AC266-MAX(0,AD238-SUMIFS($AC$260:$AC$265,$B$260:$B$265,"&gt;="&amp;IF(核心参数输入!$B$101=0,0,26-核心参数输入!$B$101)))),0),0)</f>
        <v>0</v>
      </c>
      <c r="AE266" s="9">
        <f>IF(27&lt;=核心参数输入!$B$9,IF(AND(核心参数输入!$B$100=1,OR(核心参数输入!$B$101=0,27-6&lt;=核心参数输入!$B$101)),MAX(0,AD266-MAX(0,AE238-SUMIFS($AD$260:$AD$265,$B$260:$B$265,"&gt;="&amp;IF(核心参数输入!$B$101=0,0,27-核心参数输入!$B$101)))),0),0)</f>
        <v>0</v>
      </c>
      <c r="AF266" s="9">
        <f>IF(28&lt;=核心参数输入!$B$9,IF(AND(核心参数输入!$B$100=1,OR(核心参数输入!$B$101=0,28-6&lt;=核心参数输入!$B$101)),MAX(0,AE266-MAX(0,AF238-SUMIFS($AE$260:$AE$265,$B$260:$B$265,"&gt;="&amp;IF(核心参数输入!$B$101=0,0,28-核心参数输入!$B$101)))),0),0)</f>
        <v>0</v>
      </c>
      <c r="AG266" s="9">
        <f>IF(29&lt;=核心参数输入!$B$9,IF(AND(核心参数输入!$B$100=1,OR(核心参数输入!$B$101=0,29-6&lt;=核心参数输入!$B$101)),MAX(0,AF266-MAX(0,AG238-SUMIFS($AF$260:$AF$265,$B$260:$B$265,"&gt;="&amp;IF(核心参数输入!$B$101=0,0,29-核心参数输入!$B$101)))),0),0)</f>
        <v>0</v>
      </c>
      <c r="AH266" s="9">
        <f>IF(30&lt;=核心参数输入!$B$9,IF(AND(核心参数输入!$B$100=1,OR(核心参数输入!$B$101=0,30-6&lt;=核心参数输入!$B$101)),MAX(0,AG266-MAX(0,AH238-SUMIFS($AG$260:$AG$265,$B$260:$B$265,"&gt;="&amp;IF(核心参数输入!$B$101=0,0,30-核心参数输入!$B$101)))),0),0)</f>
        <v>0</v>
      </c>
    </row>
    <row r="267" spans="1:34" ht="21" customHeight="1">
      <c r="A267" s="8" t="s">
        <v>593</v>
      </c>
      <c r="B267" s="8">
        <v>7</v>
      </c>
      <c r="C267" s="8"/>
      <c r="D267" s="9">
        <f>IF(0&lt;=核心参数输入!$B$9,0,0)</f>
        <v>0</v>
      </c>
      <c r="E267" s="9">
        <f>IF(1&lt;=核心参数输入!$B$9,0,0)</f>
        <v>0</v>
      </c>
      <c r="F267" s="9">
        <f>IF(2&lt;=核心参数输入!$B$9,0,0)</f>
        <v>0</v>
      </c>
      <c r="G267" s="9">
        <f>IF(3&lt;=核心参数输入!$B$9,0,0)</f>
        <v>0</v>
      </c>
      <c r="H267" s="9">
        <f>IF(4&lt;=核心参数输入!$B$9,0,0)</f>
        <v>0</v>
      </c>
      <c r="I267" s="9">
        <f>IF(5&lt;=核心参数输入!$B$9,0,0)</f>
        <v>0</v>
      </c>
      <c r="J267" s="9">
        <f>IF(6&lt;=核心参数输入!$B$9,0,0)</f>
        <v>0</v>
      </c>
      <c r="K267" s="9">
        <f>IF(7&lt;=核心参数输入!$B$9,K241,0)</f>
        <v>982.99188899500029</v>
      </c>
      <c r="L267" s="9">
        <f>IF(8&lt;=核心参数输入!$B$9,IF(AND(核心参数输入!$B$100=1,OR(核心参数输入!$B$101=0,8-7&lt;=核心参数输入!$B$101)),MAX(0,K267-MAX(0,L238-SUMIFS($K$260:$K$266,$B$260:$B$266,"&gt;="&amp;IF(核心参数输入!$B$101=0,0,8-核心参数输入!$B$101)))),0),0)</f>
        <v>982.99188899500029</v>
      </c>
      <c r="M267" s="9">
        <f>IF(9&lt;=核心参数输入!$B$9,IF(AND(核心参数输入!$B$100=1,OR(核心参数输入!$B$101=0,9-7&lt;=核心参数输入!$B$101)),MAX(0,L267-MAX(0,M238-SUMIFS($L$260:$L$266,$B$260:$B$266,"&gt;="&amp;IF(核心参数输入!$B$101=0,0,9-核心参数输入!$B$101)))),0),0)</f>
        <v>982.99188899500029</v>
      </c>
      <c r="N267" s="9">
        <f>IF(10&lt;=核心参数输入!$B$9,IF(AND(核心参数输入!$B$100=1,OR(核心参数输入!$B$101=0,10-7&lt;=核心参数输入!$B$101)),MAX(0,M267-MAX(0,N238-SUMIFS($M$260:$M$266,$B$260:$B$266,"&gt;="&amp;IF(核心参数输入!$B$101=0,0,10-核心参数输入!$B$101)))),0),0)</f>
        <v>982.99188899500029</v>
      </c>
      <c r="O267" s="9">
        <f>IF(11&lt;=核心参数输入!$B$9,IF(AND(核心参数输入!$B$100=1,OR(核心参数输入!$B$101=0,11-7&lt;=核心参数输入!$B$101)),MAX(0,N267-MAX(0,O238-SUMIFS($N$260:$N$266,$B$260:$B$266,"&gt;="&amp;IF(核心参数输入!$B$101=0,0,11-核心参数输入!$B$101)))),0),0)</f>
        <v>982.99188899500029</v>
      </c>
      <c r="P267" s="9">
        <f>IF(12&lt;=核心参数输入!$B$9,IF(AND(核心参数输入!$B$100=1,OR(核心参数输入!$B$101=0,12-7&lt;=核心参数输入!$B$101)),MAX(0,O267-MAX(0,P238-SUMIFS($O$260:$O$266,$B$260:$B$266,"&gt;="&amp;IF(核心参数输入!$B$101=0,0,12-核心参数输入!$B$101)))),0),0)</f>
        <v>982.99188899500029</v>
      </c>
      <c r="Q267" s="9">
        <f>IF(13&lt;=核心参数输入!$B$9,IF(AND(核心参数输入!$B$100=1,OR(核心参数输入!$B$101=0,13-7&lt;=核心参数输入!$B$101)),MAX(0,P267-MAX(0,Q238-SUMIFS($P$260:$P$266,$B$260:$B$266,"&gt;="&amp;IF(核心参数输入!$B$101=0,0,13-核心参数输入!$B$101)))),0),0)</f>
        <v>0</v>
      </c>
      <c r="R267" s="9">
        <f>IF(14&lt;=核心参数输入!$B$9,IF(AND(核心参数输入!$B$100=1,OR(核心参数输入!$B$101=0,14-7&lt;=核心参数输入!$B$101)),MAX(0,Q267-MAX(0,R238-SUMIFS($Q$260:$Q$266,$B$260:$B$266,"&gt;="&amp;IF(核心参数输入!$B$101=0,0,14-核心参数输入!$B$101)))),0),0)</f>
        <v>0</v>
      </c>
      <c r="S267" s="9">
        <f>IF(15&lt;=核心参数输入!$B$9,IF(AND(核心参数输入!$B$100=1,OR(核心参数输入!$B$101=0,15-7&lt;=核心参数输入!$B$101)),MAX(0,R267-MAX(0,S238-SUMIFS($R$260:$R$266,$B$260:$B$266,"&gt;="&amp;IF(核心参数输入!$B$101=0,0,15-核心参数输入!$B$101)))),0),0)</f>
        <v>0</v>
      </c>
      <c r="T267" s="9">
        <f>IF(16&lt;=核心参数输入!$B$9,IF(AND(核心参数输入!$B$100=1,OR(核心参数输入!$B$101=0,16-7&lt;=核心参数输入!$B$101)),MAX(0,S267-MAX(0,T238-SUMIFS($S$260:$S$266,$B$260:$B$266,"&gt;="&amp;IF(核心参数输入!$B$101=0,0,16-核心参数输入!$B$101)))),0),0)</f>
        <v>0</v>
      </c>
      <c r="U267" s="9">
        <f>IF(17&lt;=核心参数输入!$B$9,IF(AND(核心参数输入!$B$100=1,OR(核心参数输入!$B$101=0,17-7&lt;=核心参数输入!$B$101)),MAX(0,T267-MAX(0,U238-SUMIFS($T$260:$T$266,$B$260:$B$266,"&gt;="&amp;IF(核心参数输入!$B$101=0,0,17-核心参数输入!$B$101)))),0),0)</f>
        <v>0</v>
      </c>
      <c r="V267" s="9">
        <f>IF(18&lt;=核心参数输入!$B$9,IF(AND(核心参数输入!$B$100=1,OR(核心参数输入!$B$101=0,18-7&lt;=核心参数输入!$B$101)),MAX(0,U267-MAX(0,V238-SUMIFS($U$260:$U$266,$B$260:$B$266,"&gt;="&amp;IF(核心参数输入!$B$101=0,0,18-核心参数输入!$B$101)))),0),0)</f>
        <v>0</v>
      </c>
      <c r="W267" s="9">
        <f>IF(19&lt;=核心参数输入!$B$9,IF(AND(核心参数输入!$B$100=1,OR(核心参数输入!$B$101=0,19-7&lt;=核心参数输入!$B$101)),MAX(0,V267-MAX(0,W238-SUMIFS($V$260:$V$266,$B$260:$B$266,"&gt;="&amp;IF(核心参数输入!$B$101=0,0,19-核心参数输入!$B$101)))),0),0)</f>
        <v>0</v>
      </c>
      <c r="X267" s="9">
        <f>IF(20&lt;=核心参数输入!$B$9,IF(AND(核心参数输入!$B$100=1,OR(核心参数输入!$B$101=0,20-7&lt;=核心参数输入!$B$101)),MAX(0,W267-MAX(0,X238-SUMIFS($W$260:$W$266,$B$260:$B$266,"&gt;="&amp;IF(核心参数输入!$B$101=0,0,20-核心参数输入!$B$101)))),0),0)</f>
        <v>0</v>
      </c>
      <c r="Y267" s="9">
        <f>IF(21&lt;=核心参数输入!$B$9,IF(AND(核心参数输入!$B$100=1,OR(核心参数输入!$B$101=0,21-7&lt;=核心参数输入!$B$101)),MAX(0,X267-MAX(0,Y238-SUMIFS($X$260:$X$266,$B$260:$B$266,"&gt;="&amp;IF(核心参数输入!$B$101=0,0,21-核心参数输入!$B$101)))),0),0)</f>
        <v>0</v>
      </c>
      <c r="Z267" s="9">
        <f>IF(22&lt;=核心参数输入!$B$9,IF(AND(核心参数输入!$B$100=1,OR(核心参数输入!$B$101=0,22-7&lt;=核心参数输入!$B$101)),MAX(0,Y267-MAX(0,Z238-SUMIFS($Y$260:$Y$266,$B$260:$B$266,"&gt;="&amp;IF(核心参数输入!$B$101=0,0,22-核心参数输入!$B$101)))),0),0)</f>
        <v>0</v>
      </c>
      <c r="AA267" s="9">
        <f>IF(23&lt;=核心参数输入!$B$9,IF(AND(核心参数输入!$B$100=1,OR(核心参数输入!$B$101=0,23-7&lt;=核心参数输入!$B$101)),MAX(0,Z267-MAX(0,AA238-SUMIFS($Z$260:$Z$266,$B$260:$B$266,"&gt;="&amp;IF(核心参数输入!$B$101=0,0,23-核心参数输入!$B$101)))),0),0)</f>
        <v>0</v>
      </c>
      <c r="AB267" s="9">
        <f>IF(24&lt;=核心参数输入!$B$9,IF(AND(核心参数输入!$B$100=1,OR(核心参数输入!$B$101=0,24-7&lt;=核心参数输入!$B$101)),MAX(0,AA267-MAX(0,AB238-SUMIFS($AA$260:$AA$266,$B$260:$B$266,"&gt;="&amp;IF(核心参数输入!$B$101=0,0,24-核心参数输入!$B$101)))),0),0)</f>
        <v>0</v>
      </c>
      <c r="AC267" s="9">
        <f>IF(25&lt;=核心参数输入!$B$9,IF(AND(核心参数输入!$B$100=1,OR(核心参数输入!$B$101=0,25-7&lt;=核心参数输入!$B$101)),MAX(0,AB267-MAX(0,AC238-SUMIFS($AB$260:$AB$266,$B$260:$B$266,"&gt;="&amp;IF(核心参数输入!$B$101=0,0,25-核心参数输入!$B$101)))),0),0)</f>
        <v>0</v>
      </c>
      <c r="AD267" s="9">
        <f>IF(26&lt;=核心参数输入!$B$9,IF(AND(核心参数输入!$B$100=1,OR(核心参数输入!$B$101=0,26-7&lt;=核心参数输入!$B$101)),MAX(0,AC267-MAX(0,AD238-SUMIFS($AC$260:$AC$266,$B$260:$B$266,"&gt;="&amp;IF(核心参数输入!$B$101=0,0,26-核心参数输入!$B$101)))),0),0)</f>
        <v>0</v>
      </c>
      <c r="AE267" s="9">
        <f>IF(27&lt;=核心参数输入!$B$9,IF(AND(核心参数输入!$B$100=1,OR(核心参数输入!$B$101=0,27-7&lt;=核心参数输入!$B$101)),MAX(0,AD267-MAX(0,AE238-SUMIFS($AD$260:$AD$266,$B$260:$B$266,"&gt;="&amp;IF(核心参数输入!$B$101=0,0,27-核心参数输入!$B$101)))),0),0)</f>
        <v>0</v>
      </c>
      <c r="AF267" s="9">
        <f>IF(28&lt;=核心参数输入!$B$9,IF(AND(核心参数输入!$B$100=1,OR(核心参数输入!$B$101=0,28-7&lt;=核心参数输入!$B$101)),MAX(0,AE267-MAX(0,AF238-SUMIFS($AE$260:$AE$266,$B$260:$B$266,"&gt;="&amp;IF(核心参数输入!$B$101=0,0,28-核心参数输入!$B$101)))),0),0)</f>
        <v>0</v>
      </c>
      <c r="AG267" s="9">
        <f>IF(29&lt;=核心参数输入!$B$9,IF(AND(核心参数输入!$B$100=1,OR(核心参数输入!$B$101=0,29-7&lt;=核心参数输入!$B$101)),MAX(0,AF267-MAX(0,AG238-SUMIFS($AF$260:$AF$266,$B$260:$B$266,"&gt;="&amp;IF(核心参数输入!$B$101=0,0,29-核心参数输入!$B$101)))),0),0)</f>
        <v>0</v>
      </c>
      <c r="AH267" s="9">
        <f>IF(30&lt;=核心参数输入!$B$9,IF(AND(核心参数输入!$B$100=1,OR(核心参数输入!$B$101=0,30-7&lt;=核心参数输入!$B$101)),MAX(0,AG267-MAX(0,AH238-SUMIFS($AG$260:$AG$266,$B$260:$B$266,"&gt;="&amp;IF(核心参数输入!$B$101=0,0,30-核心参数输入!$B$101)))),0),0)</f>
        <v>0</v>
      </c>
    </row>
    <row r="268" spans="1:34" ht="21" customHeight="1">
      <c r="A268" s="8" t="s">
        <v>594</v>
      </c>
      <c r="B268" s="8">
        <v>8</v>
      </c>
      <c r="C268" s="8"/>
      <c r="D268" s="9">
        <f>IF(0&lt;=核心参数输入!$B$9,0,0)</f>
        <v>0</v>
      </c>
      <c r="E268" s="9">
        <f>IF(1&lt;=核心参数输入!$B$9,0,0)</f>
        <v>0</v>
      </c>
      <c r="F268" s="9">
        <f>IF(2&lt;=核心参数输入!$B$9,0,0)</f>
        <v>0</v>
      </c>
      <c r="G268" s="9">
        <f>IF(3&lt;=核心参数输入!$B$9,0,0)</f>
        <v>0</v>
      </c>
      <c r="H268" s="9">
        <f>IF(4&lt;=核心参数输入!$B$9,0,0)</f>
        <v>0</v>
      </c>
      <c r="I268" s="9">
        <f>IF(5&lt;=核心参数输入!$B$9,0,0)</f>
        <v>0</v>
      </c>
      <c r="J268" s="9">
        <f>IF(6&lt;=核心参数输入!$B$9,0,0)</f>
        <v>0</v>
      </c>
      <c r="K268" s="9">
        <f>IF(7&lt;=核心参数输入!$B$9,0,0)</f>
        <v>0</v>
      </c>
      <c r="L268" s="9">
        <f>IF(8&lt;=核心参数输入!$B$9,L241,0)</f>
        <v>732.64854271623824</v>
      </c>
      <c r="M268" s="9">
        <f>IF(9&lt;=核心参数输入!$B$9,IF(AND(核心参数输入!$B$100=1,OR(核心参数输入!$B$101=0,9-8&lt;=核心参数输入!$B$101)),MAX(0,L268-MAX(0,M238-SUMIFS($L$260:$L$267,$B$260:$B$267,"&gt;="&amp;IF(核心参数输入!$B$101=0,0,9-核心参数输入!$B$101)))),0),0)</f>
        <v>732.64854271623824</v>
      </c>
      <c r="N268" s="9">
        <f>IF(10&lt;=核心参数输入!$B$9,IF(AND(核心参数输入!$B$100=1,OR(核心参数输入!$B$101=0,10-8&lt;=核心参数输入!$B$101)),MAX(0,M268-MAX(0,N238-SUMIFS($M$260:$M$267,$B$260:$B$267,"&gt;="&amp;IF(核心参数输入!$B$101=0,0,10-核心参数输入!$B$101)))),0),0)</f>
        <v>732.64854271623824</v>
      </c>
      <c r="O268" s="9">
        <f>IF(11&lt;=核心参数输入!$B$9,IF(AND(核心参数输入!$B$100=1,OR(核心参数输入!$B$101=0,11-8&lt;=核心参数输入!$B$101)),MAX(0,N268-MAX(0,O238-SUMIFS($N$260:$N$267,$B$260:$B$267,"&gt;="&amp;IF(核心参数输入!$B$101=0,0,11-核心参数输入!$B$101)))),0),0)</f>
        <v>732.64854271623824</v>
      </c>
      <c r="P268" s="9">
        <f>IF(12&lt;=核心参数输入!$B$9,IF(AND(核心参数输入!$B$100=1,OR(核心参数输入!$B$101=0,12-8&lt;=核心参数输入!$B$101)),MAX(0,O268-MAX(0,P238-SUMIFS($O$260:$O$267,$B$260:$B$267,"&gt;="&amp;IF(核心参数输入!$B$101=0,0,12-核心参数输入!$B$101)))),0),0)</f>
        <v>732.64854271623824</v>
      </c>
      <c r="Q268" s="9">
        <f>IF(13&lt;=核心参数输入!$B$9,IF(AND(核心参数输入!$B$100=1,OR(核心参数输入!$B$101=0,13-8&lt;=核心参数输入!$B$101)),MAX(0,P268-MAX(0,Q238-SUMIFS($P$260:$P$267,$B$260:$B$267,"&gt;="&amp;IF(核心参数输入!$B$101=0,0,13-核心参数输入!$B$101)))),0),0)</f>
        <v>732.64854271623824</v>
      </c>
      <c r="R268" s="9">
        <f>IF(14&lt;=核心参数输入!$B$9,IF(AND(核心参数输入!$B$100=1,OR(核心参数输入!$B$101=0,14-8&lt;=核心参数输入!$B$101)),MAX(0,Q268-MAX(0,R238-SUMIFS($Q$260:$Q$267,$B$260:$B$267,"&gt;="&amp;IF(核心参数输入!$B$101=0,0,14-核心参数输入!$B$101)))),0),0)</f>
        <v>0</v>
      </c>
      <c r="S268" s="9">
        <f>IF(15&lt;=核心参数输入!$B$9,IF(AND(核心参数输入!$B$100=1,OR(核心参数输入!$B$101=0,15-8&lt;=核心参数输入!$B$101)),MAX(0,R268-MAX(0,S238-SUMIFS($R$260:$R$267,$B$260:$B$267,"&gt;="&amp;IF(核心参数输入!$B$101=0,0,15-核心参数输入!$B$101)))),0),0)</f>
        <v>0</v>
      </c>
      <c r="T268" s="9">
        <f>IF(16&lt;=核心参数输入!$B$9,IF(AND(核心参数输入!$B$100=1,OR(核心参数输入!$B$101=0,16-8&lt;=核心参数输入!$B$101)),MAX(0,S268-MAX(0,T238-SUMIFS($S$260:$S$267,$B$260:$B$267,"&gt;="&amp;IF(核心参数输入!$B$101=0,0,16-核心参数输入!$B$101)))),0),0)</f>
        <v>0</v>
      </c>
      <c r="U268" s="9">
        <f>IF(17&lt;=核心参数输入!$B$9,IF(AND(核心参数输入!$B$100=1,OR(核心参数输入!$B$101=0,17-8&lt;=核心参数输入!$B$101)),MAX(0,T268-MAX(0,U238-SUMIFS($T$260:$T$267,$B$260:$B$267,"&gt;="&amp;IF(核心参数输入!$B$101=0,0,17-核心参数输入!$B$101)))),0),0)</f>
        <v>0</v>
      </c>
      <c r="V268" s="9">
        <f>IF(18&lt;=核心参数输入!$B$9,IF(AND(核心参数输入!$B$100=1,OR(核心参数输入!$B$101=0,18-8&lt;=核心参数输入!$B$101)),MAX(0,U268-MAX(0,V238-SUMIFS($U$260:$U$267,$B$260:$B$267,"&gt;="&amp;IF(核心参数输入!$B$101=0,0,18-核心参数输入!$B$101)))),0),0)</f>
        <v>0</v>
      </c>
      <c r="W268" s="9">
        <f>IF(19&lt;=核心参数输入!$B$9,IF(AND(核心参数输入!$B$100=1,OR(核心参数输入!$B$101=0,19-8&lt;=核心参数输入!$B$101)),MAX(0,V268-MAX(0,W238-SUMIFS($V$260:$V$267,$B$260:$B$267,"&gt;="&amp;IF(核心参数输入!$B$101=0,0,19-核心参数输入!$B$101)))),0),0)</f>
        <v>0</v>
      </c>
      <c r="X268" s="9">
        <f>IF(20&lt;=核心参数输入!$B$9,IF(AND(核心参数输入!$B$100=1,OR(核心参数输入!$B$101=0,20-8&lt;=核心参数输入!$B$101)),MAX(0,W268-MAX(0,X238-SUMIFS($W$260:$W$267,$B$260:$B$267,"&gt;="&amp;IF(核心参数输入!$B$101=0,0,20-核心参数输入!$B$101)))),0),0)</f>
        <v>0</v>
      </c>
      <c r="Y268" s="9">
        <f>IF(21&lt;=核心参数输入!$B$9,IF(AND(核心参数输入!$B$100=1,OR(核心参数输入!$B$101=0,21-8&lt;=核心参数输入!$B$101)),MAX(0,X268-MAX(0,Y238-SUMIFS($X$260:$X$267,$B$260:$B$267,"&gt;="&amp;IF(核心参数输入!$B$101=0,0,21-核心参数输入!$B$101)))),0),0)</f>
        <v>0</v>
      </c>
      <c r="Z268" s="9">
        <f>IF(22&lt;=核心参数输入!$B$9,IF(AND(核心参数输入!$B$100=1,OR(核心参数输入!$B$101=0,22-8&lt;=核心参数输入!$B$101)),MAX(0,Y268-MAX(0,Z238-SUMIFS($Y$260:$Y$267,$B$260:$B$267,"&gt;="&amp;IF(核心参数输入!$B$101=0,0,22-核心参数输入!$B$101)))),0),0)</f>
        <v>0</v>
      </c>
      <c r="AA268" s="9">
        <f>IF(23&lt;=核心参数输入!$B$9,IF(AND(核心参数输入!$B$100=1,OR(核心参数输入!$B$101=0,23-8&lt;=核心参数输入!$B$101)),MAX(0,Z268-MAX(0,AA238-SUMIFS($Z$260:$Z$267,$B$260:$B$267,"&gt;="&amp;IF(核心参数输入!$B$101=0,0,23-核心参数输入!$B$101)))),0),0)</f>
        <v>0</v>
      </c>
      <c r="AB268" s="9">
        <f>IF(24&lt;=核心参数输入!$B$9,IF(AND(核心参数输入!$B$100=1,OR(核心参数输入!$B$101=0,24-8&lt;=核心参数输入!$B$101)),MAX(0,AA268-MAX(0,AB238-SUMIFS($AA$260:$AA$267,$B$260:$B$267,"&gt;="&amp;IF(核心参数输入!$B$101=0,0,24-核心参数输入!$B$101)))),0),0)</f>
        <v>0</v>
      </c>
      <c r="AC268" s="9">
        <f>IF(25&lt;=核心参数输入!$B$9,IF(AND(核心参数输入!$B$100=1,OR(核心参数输入!$B$101=0,25-8&lt;=核心参数输入!$B$101)),MAX(0,AB268-MAX(0,AC238-SUMIFS($AB$260:$AB$267,$B$260:$B$267,"&gt;="&amp;IF(核心参数输入!$B$101=0,0,25-核心参数输入!$B$101)))),0),0)</f>
        <v>0</v>
      </c>
      <c r="AD268" s="9">
        <f>IF(26&lt;=核心参数输入!$B$9,IF(AND(核心参数输入!$B$100=1,OR(核心参数输入!$B$101=0,26-8&lt;=核心参数输入!$B$101)),MAX(0,AC268-MAX(0,AD238-SUMIFS($AC$260:$AC$267,$B$260:$B$267,"&gt;="&amp;IF(核心参数输入!$B$101=0,0,26-核心参数输入!$B$101)))),0),0)</f>
        <v>0</v>
      </c>
      <c r="AE268" s="9">
        <f>IF(27&lt;=核心参数输入!$B$9,IF(AND(核心参数输入!$B$100=1,OR(核心参数输入!$B$101=0,27-8&lt;=核心参数输入!$B$101)),MAX(0,AD268-MAX(0,AE238-SUMIFS($AD$260:$AD$267,$B$260:$B$267,"&gt;="&amp;IF(核心参数输入!$B$101=0,0,27-核心参数输入!$B$101)))),0),0)</f>
        <v>0</v>
      </c>
      <c r="AF268" s="9">
        <f>IF(28&lt;=核心参数输入!$B$9,IF(AND(核心参数输入!$B$100=1,OR(核心参数输入!$B$101=0,28-8&lt;=核心参数输入!$B$101)),MAX(0,AE268-MAX(0,AF238-SUMIFS($AE$260:$AE$267,$B$260:$B$267,"&gt;="&amp;IF(核心参数输入!$B$101=0,0,28-核心参数输入!$B$101)))),0),0)</f>
        <v>0</v>
      </c>
      <c r="AG268" s="9">
        <f>IF(29&lt;=核心参数输入!$B$9,IF(AND(核心参数输入!$B$100=1,OR(核心参数输入!$B$101=0,29-8&lt;=核心参数输入!$B$101)),MAX(0,AF268-MAX(0,AG238-SUMIFS($AF$260:$AF$267,$B$260:$B$267,"&gt;="&amp;IF(核心参数输入!$B$101=0,0,29-核心参数输入!$B$101)))),0),0)</f>
        <v>0</v>
      </c>
      <c r="AH268" s="9">
        <f>IF(30&lt;=核心参数输入!$B$9,IF(AND(核心参数输入!$B$100=1,OR(核心参数输入!$B$101=0,30-8&lt;=核心参数输入!$B$101)),MAX(0,AG268-MAX(0,AH238-SUMIFS($AG$260:$AG$267,$B$260:$B$267,"&gt;="&amp;IF(核心参数输入!$B$101=0,0,30-核心参数输入!$B$101)))),0),0)</f>
        <v>0</v>
      </c>
    </row>
    <row r="269" spans="1:34" ht="21" customHeight="1">
      <c r="A269" s="8" t="s">
        <v>595</v>
      </c>
      <c r="B269" s="8">
        <v>9</v>
      </c>
      <c r="C269" s="8"/>
      <c r="D269" s="9">
        <f>IF(0&lt;=核心参数输入!$B$9,0,0)</f>
        <v>0</v>
      </c>
      <c r="E269" s="9">
        <f>IF(1&lt;=核心参数输入!$B$9,0,0)</f>
        <v>0</v>
      </c>
      <c r="F269" s="9">
        <f>IF(2&lt;=核心参数输入!$B$9,0,0)</f>
        <v>0</v>
      </c>
      <c r="G269" s="9">
        <f>IF(3&lt;=核心参数输入!$B$9,0,0)</f>
        <v>0</v>
      </c>
      <c r="H269" s="9">
        <f>IF(4&lt;=核心参数输入!$B$9,0,0)</f>
        <v>0</v>
      </c>
      <c r="I269" s="9">
        <f>IF(5&lt;=核心参数输入!$B$9,0,0)</f>
        <v>0</v>
      </c>
      <c r="J269" s="9">
        <f>IF(6&lt;=核心参数输入!$B$9,0,0)</f>
        <v>0</v>
      </c>
      <c r="K269" s="9">
        <f>IF(7&lt;=核心参数输入!$B$9,0,0)</f>
        <v>0</v>
      </c>
      <c r="L269" s="9">
        <f>IF(8&lt;=核心参数输入!$B$9,0,0)</f>
        <v>0</v>
      </c>
      <c r="M269" s="9">
        <f>IF(9&lt;=核心参数输入!$B$9,M241,0)</f>
        <v>538.453232791966</v>
      </c>
      <c r="N269" s="9">
        <f>IF(10&lt;=核心参数输入!$B$9,IF(AND(核心参数输入!$B$100=1,OR(核心参数输入!$B$101=0,10-9&lt;=核心参数输入!$B$101)),MAX(0,M269-MAX(0,N238-SUMIFS($M$260:$M$268,$B$260:$B$268,"&gt;="&amp;IF(核心参数输入!$B$101=0,0,10-核心参数输入!$B$101)))),0),0)</f>
        <v>538.453232791966</v>
      </c>
      <c r="O269" s="9">
        <f>IF(11&lt;=核心参数输入!$B$9,IF(AND(核心参数输入!$B$100=1,OR(核心参数输入!$B$101=0,11-9&lt;=核心参数输入!$B$101)),MAX(0,N269-MAX(0,O238-SUMIFS($N$260:$N$268,$B$260:$B$268,"&gt;="&amp;IF(核心参数输入!$B$101=0,0,11-核心参数输入!$B$101)))),0),0)</f>
        <v>538.453232791966</v>
      </c>
      <c r="P269" s="9">
        <f>IF(12&lt;=核心参数输入!$B$9,IF(AND(核心参数输入!$B$100=1,OR(核心参数输入!$B$101=0,12-9&lt;=核心参数输入!$B$101)),MAX(0,O269-MAX(0,P238-SUMIFS($O$260:$O$268,$B$260:$B$268,"&gt;="&amp;IF(核心参数输入!$B$101=0,0,12-核心参数输入!$B$101)))),0),0)</f>
        <v>538.453232791966</v>
      </c>
      <c r="Q269" s="9">
        <f>IF(13&lt;=核心参数输入!$B$9,IF(AND(核心参数输入!$B$100=1,OR(核心参数输入!$B$101=0,13-9&lt;=核心参数输入!$B$101)),MAX(0,P269-MAX(0,Q238-SUMIFS($P$260:$P$268,$B$260:$B$268,"&gt;="&amp;IF(核心参数输入!$B$101=0,0,13-核心参数输入!$B$101)))),0),0)</f>
        <v>538.453232791966</v>
      </c>
      <c r="R269" s="9">
        <f>IF(14&lt;=核心参数输入!$B$9,IF(AND(核心参数输入!$B$100=1,OR(核心参数输入!$B$101=0,14-9&lt;=核心参数输入!$B$101)),MAX(0,Q269-MAX(0,R238-SUMIFS($Q$260:$Q$268,$B$260:$B$268,"&gt;="&amp;IF(核心参数输入!$B$101=0,0,14-核心参数输入!$B$101)))),0),0)</f>
        <v>538.453232791966</v>
      </c>
      <c r="S269" s="9">
        <f>IF(15&lt;=核心参数输入!$B$9,IF(AND(核心参数输入!$B$100=1,OR(核心参数输入!$B$101=0,15-9&lt;=核心参数输入!$B$101)),MAX(0,R269-MAX(0,S238-SUMIFS($R$260:$R$268,$B$260:$B$268,"&gt;="&amp;IF(核心参数输入!$B$101=0,0,15-核心参数输入!$B$101)))),0),0)</f>
        <v>0</v>
      </c>
      <c r="T269" s="9">
        <f>IF(16&lt;=核心参数输入!$B$9,IF(AND(核心参数输入!$B$100=1,OR(核心参数输入!$B$101=0,16-9&lt;=核心参数输入!$B$101)),MAX(0,S269-MAX(0,T238-SUMIFS($S$260:$S$268,$B$260:$B$268,"&gt;="&amp;IF(核心参数输入!$B$101=0,0,16-核心参数输入!$B$101)))),0),0)</f>
        <v>0</v>
      </c>
      <c r="U269" s="9">
        <f>IF(17&lt;=核心参数输入!$B$9,IF(AND(核心参数输入!$B$100=1,OR(核心参数输入!$B$101=0,17-9&lt;=核心参数输入!$B$101)),MAX(0,T269-MAX(0,U238-SUMIFS($T$260:$T$268,$B$260:$B$268,"&gt;="&amp;IF(核心参数输入!$B$101=0,0,17-核心参数输入!$B$101)))),0),0)</f>
        <v>0</v>
      </c>
      <c r="V269" s="9">
        <f>IF(18&lt;=核心参数输入!$B$9,IF(AND(核心参数输入!$B$100=1,OR(核心参数输入!$B$101=0,18-9&lt;=核心参数输入!$B$101)),MAX(0,U269-MAX(0,V238-SUMIFS($U$260:$U$268,$B$260:$B$268,"&gt;="&amp;IF(核心参数输入!$B$101=0,0,18-核心参数输入!$B$101)))),0),0)</f>
        <v>0</v>
      </c>
      <c r="W269" s="9">
        <f>IF(19&lt;=核心参数输入!$B$9,IF(AND(核心参数输入!$B$100=1,OR(核心参数输入!$B$101=0,19-9&lt;=核心参数输入!$B$101)),MAX(0,V269-MAX(0,W238-SUMIFS($V$260:$V$268,$B$260:$B$268,"&gt;="&amp;IF(核心参数输入!$B$101=0,0,19-核心参数输入!$B$101)))),0),0)</f>
        <v>0</v>
      </c>
      <c r="X269" s="9">
        <f>IF(20&lt;=核心参数输入!$B$9,IF(AND(核心参数输入!$B$100=1,OR(核心参数输入!$B$101=0,20-9&lt;=核心参数输入!$B$101)),MAX(0,W269-MAX(0,X238-SUMIFS($W$260:$W$268,$B$260:$B$268,"&gt;="&amp;IF(核心参数输入!$B$101=0,0,20-核心参数输入!$B$101)))),0),0)</f>
        <v>0</v>
      </c>
      <c r="Y269" s="9">
        <f>IF(21&lt;=核心参数输入!$B$9,IF(AND(核心参数输入!$B$100=1,OR(核心参数输入!$B$101=0,21-9&lt;=核心参数输入!$B$101)),MAX(0,X269-MAX(0,Y238-SUMIFS($X$260:$X$268,$B$260:$B$268,"&gt;="&amp;IF(核心参数输入!$B$101=0,0,21-核心参数输入!$B$101)))),0),0)</f>
        <v>0</v>
      </c>
      <c r="Z269" s="9">
        <f>IF(22&lt;=核心参数输入!$B$9,IF(AND(核心参数输入!$B$100=1,OR(核心参数输入!$B$101=0,22-9&lt;=核心参数输入!$B$101)),MAX(0,Y269-MAX(0,Z238-SUMIFS($Y$260:$Y$268,$B$260:$B$268,"&gt;="&amp;IF(核心参数输入!$B$101=0,0,22-核心参数输入!$B$101)))),0),0)</f>
        <v>0</v>
      </c>
      <c r="AA269" s="9">
        <f>IF(23&lt;=核心参数输入!$B$9,IF(AND(核心参数输入!$B$100=1,OR(核心参数输入!$B$101=0,23-9&lt;=核心参数输入!$B$101)),MAX(0,Z269-MAX(0,AA238-SUMIFS($Z$260:$Z$268,$B$260:$B$268,"&gt;="&amp;IF(核心参数输入!$B$101=0,0,23-核心参数输入!$B$101)))),0),0)</f>
        <v>0</v>
      </c>
      <c r="AB269" s="9">
        <f>IF(24&lt;=核心参数输入!$B$9,IF(AND(核心参数输入!$B$100=1,OR(核心参数输入!$B$101=0,24-9&lt;=核心参数输入!$B$101)),MAX(0,AA269-MAX(0,AB238-SUMIFS($AA$260:$AA$268,$B$260:$B$268,"&gt;="&amp;IF(核心参数输入!$B$101=0,0,24-核心参数输入!$B$101)))),0),0)</f>
        <v>0</v>
      </c>
      <c r="AC269" s="9">
        <f>IF(25&lt;=核心参数输入!$B$9,IF(AND(核心参数输入!$B$100=1,OR(核心参数输入!$B$101=0,25-9&lt;=核心参数输入!$B$101)),MAX(0,AB269-MAX(0,AC238-SUMIFS($AB$260:$AB$268,$B$260:$B$268,"&gt;="&amp;IF(核心参数输入!$B$101=0,0,25-核心参数输入!$B$101)))),0),0)</f>
        <v>0</v>
      </c>
      <c r="AD269" s="9">
        <f>IF(26&lt;=核心参数输入!$B$9,IF(AND(核心参数输入!$B$100=1,OR(核心参数输入!$B$101=0,26-9&lt;=核心参数输入!$B$101)),MAX(0,AC269-MAX(0,AD238-SUMIFS($AC$260:$AC$268,$B$260:$B$268,"&gt;="&amp;IF(核心参数输入!$B$101=0,0,26-核心参数输入!$B$101)))),0),0)</f>
        <v>0</v>
      </c>
      <c r="AE269" s="9">
        <f>IF(27&lt;=核心参数输入!$B$9,IF(AND(核心参数输入!$B$100=1,OR(核心参数输入!$B$101=0,27-9&lt;=核心参数输入!$B$101)),MAX(0,AD269-MAX(0,AE238-SUMIFS($AD$260:$AD$268,$B$260:$B$268,"&gt;="&amp;IF(核心参数输入!$B$101=0,0,27-核心参数输入!$B$101)))),0),0)</f>
        <v>0</v>
      </c>
      <c r="AF269" s="9">
        <f>IF(28&lt;=核心参数输入!$B$9,IF(AND(核心参数输入!$B$100=1,OR(核心参数输入!$B$101=0,28-9&lt;=核心参数输入!$B$101)),MAX(0,AE269-MAX(0,AF238-SUMIFS($AE$260:$AE$268,$B$260:$B$268,"&gt;="&amp;IF(核心参数输入!$B$101=0,0,28-核心参数输入!$B$101)))),0),0)</f>
        <v>0</v>
      </c>
      <c r="AG269" s="9">
        <f>IF(29&lt;=核心参数输入!$B$9,IF(AND(核心参数输入!$B$100=1,OR(核心参数输入!$B$101=0,29-9&lt;=核心参数输入!$B$101)),MAX(0,AF269-MAX(0,AG238-SUMIFS($AF$260:$AF$268,$B$260:$B$268,"&gt;="&amp;IF(核心参数输入!$B$101=0,0,29-核心参数输入!$B$101)))),0),0)</f>
        <v>0</v>
      </c>
      <c r="AH269" s="9">
        <f>IF(30&lt;=核心参数输入!$B$9,IF(AND(核心参数输入!$B$100=1,OR(核心参数输入!$B$101=0,30-9&lt;=核心参数输入!$B$101)),MAX(0,AG269-MAX(0,AH238-SUMIFS($AG$260:$AG$268,$B$260:$B$268,"&gt;="&amp;IF(核心参数输入!$B$101=0,0,30-核心参数输入!$B$101)))),0),0)</f>
        <v>0</v>
      </c>
    </row>
    <row r="270" spans="1:34" ht="21" customHeight="1">
      <c r="A270" s="8" t="s">
        <v>596</v>
      </c>
      <c r="B270" s="8">
        <v>10</v>
      </c>
      <c r="C270" s="8"/>
      <c r="D270" s="9">
        <f>IF(0&lt;=核心参数输入!$B$9,0,0)</f>
        <v>0</v>
      </c>
      <c r="E270" s="9">
        <f>IF(1&lt;=核心参数输入!$B$9,0,0)</f>
        <v>0</v>
      </c>
      <c r="F270" s="9">
        <f>IF(2&lt;=核心参数输入!$B$9,0,0)</f>
        <v>0</v>
      </c>
      <c r="G270" s="9">
        <f>IF(3&lt;=核心参数输入!$B$9,0,0)</f>
        <v>0</v>
      </c>
      <c r="H270" s="9">
        <f>IF(4&lt;=核心参数输入!$B$9,0,0)</f>
        <v>0</v>
      </c>
      <c r="I270" s="9">
        <f>IF(5&lt;=核心参数输入!$B$9,0,0)</f>
        <v>0</v>
      </c>
      <c r="J270" s="9">
        <f>IF(6&lt;=核心参数输入!$B$9,0,0)</f>
        <v>0</v>
      </c>
      <c r="K270" s="9">
        <f>IF(7&lt;=核心参数输入!$B$9,0,0)</f>
        <v>0</v>
      </c>
      <c r="L270" s="9">
        <f>IF(8&lt;=核心参数输入!$B$9,0,0)</f>
        <v>0</v>
      </c>
      <c r="M270" s="9">
        <f>IF(9&lt;=核心参数输入!$B$9,0,0)</f>
        <v>0</v>
      </c>
      <c r="N270" s="9">
        <f>IF(10&lt;=核心参数输入!$B$9,N241,0)</f>
        <v>346.49684998864586</v>
      </c>
      <c r="O270" s="9">
        <f>IF(11&lt;=核心参数输入!$B$9,IF(AND(核心参数输入!$B$100=1,OR(核心参数输入!$B$101=0,11-10&lt;=核心参数输入!$B$101)),MAX(0,N270-MAX(0,O238-SUMIFS($N$260:$N$269,$B$260:$B$269,"&gt;="&amp;IF(核心参数输入!$B$101=0,0,11-核心参数输入!$B$101)))),0),0)</f>
        <v>346.49684998864586</v>
      </c>
      <c r="P270" s="9">
        <f>IF(12&lt;=核心参数输入!$B$9,IF(AND(核心参数输入!$B$100=1,OR(核心参数输入!$B$101=0,12-10&lt;=核心参数输入!$B$101)),MAX(0,O270-MAX(0,P238-SUMIFS($O$260:$O$269,$B$260:$B$269,"&gt;="&amp;IF(核心参数输入!$B$101=0,0,12-核心参数输入!$B$101)))),0),0)</f>
        <v>346.49684998864586</v>
      </c>
      <c r="Q270" s="9">
        <f>IF(13&lt;=核心参数输入!$B$9,IF(AND(核心参数输入!$B$100=1,OR(核心参数输入!$B$101=0,13-10&lt;=核心参数输入!$B$101)),MAX(0,P270-MAX(0,Q238-SUMIFS($P$260:$P$269,$B$260:$B$269,"&gt;="&amp;IF(核心参数输入!$B$101=0,0,13-核心参数输入!$B$101)))),0),0)</f>
        <v>346.49684998864586</v>
      </c>
      <c r="R270" s="9">
        <f>IF(14&lt;=核心参数输入!$B$9,IF(AND(核心参数输入!$B$100=1,OR(核心参数输入!$B$101=0,14-10&lt;=核心参数输入!$B$101)),MAX(0,Q270-MAX(0,R238-SUMIFS($Q$260:$Q$269,$B$260:$B$269,"&gt;="&amp;IF(核心参数输入!$B$101=0,0,14-核心参数输入!$B$101)))),0),0)</f>
        <v>346.49684998864586</v>
      </c>
      <c r="S270" s="9">
        <f>IF(15&lt;=核心参数输入!$B$9,IF(AND(核心参数输入!$B$100=1,OR(核心参数输入!$B$101=0,15-10&lt;=核心参数输入!$B$101)),MAX(0,R270-MAX(0,S238-SUMIFS($R$260:$R$269,$B$260:$B$269,"&gt;="&amp;IF(核心参数输入!$B$101=0,0,15-核心参数输入!$B$101)))),0),0)</f>
        <v>346.49684998864586</v>
      </c>
      <c r="T270" s="9">
        <f>IF(16&lt;=核心参数输入!$B$9,IF(AND(核心参数输入!$B$100=1,OR(核心参数输入!$B$101=0,16-10&lt;=核心参数输入!$B$101)),MAX(0,S270-MAX(0,T238-SUMIFS($S$260:$S$269,$B$260:$B$269,"&gt;="&amp;IF(核心参数输入!$B$101=0,0,16-核心参数输入!$B$101)))),0),0)</f>
        <v>0</v>
      </c>
      <c r="U270" s="9">
        <f>IF(17&lt;=核心参数输入!$B$9,IF(AND(核心参数输入!$B$100=1,OR(核心参数输入!$B$101=0,17-10&lt;=核心参数输入!$B$101)),MAX(0,T270-MAX(0,U238-SUMIFS($T$260:$T$269,$B$260:$B$269,"&gt;="&amp;IF(核心参数输入!$B$101=0,0,17-核心参数输入!$B$101)))),0),0)</f>
        <v>0</v>
      </c>
      <c r="V270" s="9">
        <f>IF(18&lt;=核心参数输入!$B$9,IF(AND(核心参数输入!$B$100=1,OR(核心参数输入!$B$101=0,18-10&lt;=核心参数输入!$B$101)),MAX(0,U270-MAX(0,V238-SUMIFS($U$260:$U$269,$B$260:$B$269,"&gt;="&amp;IF(核心参数输入!$B$101=0,0,18-核心参数输入!$B$101)))),0),0)</f>
        <v>0</v>
      </c>
      <c r="W270" s="9">
        <f>IF(19&lt;=核心参数输入!$B$9,IF(AND(核心参数输入!$B$100=1,OR(核心参数输入!$B$101=0,19-10&lt;=核心参数输入!$B$101)),MAX(0,V270-MAX(0,W238-SUMIFS($V$260:$V$269,$B$260:$B$269,"&gt;="&amp;IF(核心参数输入!$B$101=0,0,19-核心参数输入!$B$101)))),0),0)</f>
        <v>0</v>
      </c>
      <c r="X270" s="9">
        <f>IF(20&lt;=核心参数输入!$B$9,IF(AND(核心参数输入!$B$100=1,OR(核心参数输入!$B$101=0,20-10&lt;=核心参数输入!$B$101)),MAX(0,W270-MAX(0,X238-SUMIFS($W$260:$W$269,$B$260:$B$269,"&gt;="&amp;IF(核心参数输入!$B$101=0,0,20-核心参数输入!$B$101)))),0),0)</f>
        <v>0</v>
      </c>
      <c r="Y270" s="9">
        <f>IF(21&lt;=核心参数输入!$B$9,IF(AND(核心参数输入!$B$100=1,OR(核心参数输入!$B$101=0,21-10&lt;=核心参数输入!$B$101)),MAX(0,X270-MAX(0,Y238-SUMIFS($X$260:$X$269,$B$260:$B$269,"&gt;="&amp;IF(核心参数输入!$B$101=0,0,21-核心参数输入!$B$101)))),0),0)</f>
        <v>0</v>
      </c>
      <c r="Z270" s="9">
        <f>IF(22&lt;=核心参数输入!$B$9,IF(AND(核心参数输入!$B$100=1,OR(核心参数输入!$B$101=0,22-10&lt;=核心参数输入!$B$101)),MAX(0,Y270-MAX(0,Z238-SUMIFS($Y$260:$Y$269,$B$260:$B$269,"&gt;="&amp;IF(核心参数输入!$B$101=0,0,22-核心参数输入!$B$101)))),0),0)</f>
        <v>0</v>
      </c>
      <c r="AA270" s="9">
        <f>IF(23&lt;=核心参数输入!$B$9,IF(AND(核心参数输入!$B$100=1,OR(核心参数输入!$B$101=0,23-10&lt;=核心参数输入!$B$101)),MAX(0,Z270-MAX(0,AA238-SUMIFS($Z$260:$Z$269,$B$260:$B$269,"&gt;="&amp;IF(核心参数输入!$B$101=0,0,23-核心参数输入!$B$101)))),0),0)</f>
        <v>0</v>
      </c>
      <c r="AB270" s="9">
        <f>IF(24&lt;=核心参数输入!$B$9,IF(AND(核心参数输入!$B$100=1,OR(核心参数输入!$B$101=0,24-10&lt;=核心参数输入!$B$101)),MAX(0,AA270-MAX(0,AB238-SUMIFS($AA$260:$AA$269,$B$260:$B$269,"&gt;="&amp;IF(核心参数输入!$B$101=0,0,24-核心参数输入!$B$101)))),0),0)</f>
        <v>0</v>
      </c>
      <c r="AC270" s="9">
        <f>IF(25&lt;=核心参数输入!$B$9,IF(AND(核心参数输入!$B$100=1,OR(核心参数输入!$B$101=0,25-10&lt;=核心参数输入!$B$101)),MAX(0,AB270-MAX(0,AC238-SUMIFS($AB$260:$AB$269,$B$260:$B$269,"&gt;="&amp;IF(核心参数输入!$B$101=0,0,25-核心参数输入!$B$101)))),0),0)</f>
        <v>0</v>
      </c>
      <c r="AD270" s="9">
        <f>IF(26&lt;=核心参数输入!$B$9,IF(AND(核心参数输入!$B$100=1,OR(核心参数输入!$B$101=0,26-10&lt;=核心参数输入!$B$101)),MAX(0,AC270-MAX(0,AD238-SUMIFS($AC$260:$AC$269,$B$260:$B$269,"&gt;="&amp;IF(核心参数输入!$B$101=0,0,26-核心参数输入!$B$101)))),0),0)</f>
        <v>0</v>
      </c>
      <c r="AE270" s="9">
        <f>IF(27&lt;=核心参数输入!$B$9,IF(AND(核心参数输入!$B$100=1,OR(核心参数输入!$B$101=0,27-10&lt;=核心参数输入!$B$101)),MAX(0,AD270-MAX(0,AE238-SUMIFS($AD$260:$AD$269,$B$260:$B$269,"&gt;="&amp;IF(核心参数输入!$B$101=0,0,27-核心参数输入!$B$101)))),0),0)</f>
        <v>0</v>
      </c>
      <c r="AF270" s="9">
        <f>IF(28&lt;=核心参数输入!$B$9,IF(AND(核心参数输入!$B$100=1,OR(核心参数输入!$B$101=0,28-10&lt;=核心参数输入!$B$101)),MAX(0,AE270-MAX(0,AF238-SUMIFS($AE$260:$AE$269,$B$260:$B$269,"&gt;="&amp;IF(核心参数输入!$B$101=0,0,28-核心参数输入!$B$101)))),0),0)</f>
        <v>0</v>
      </c>
      <c r="AG270" s="9">
        <f>IF(29&lt;=核心参数输入!$B$9,IF(AND(核心参数输入!$B$100=1,OR(核心参数输入!$B$101=0,29-10&lt;=核心参数输入!$B$101)),MAX(0,AF270-MAX(0,AG238-SUMIFS($AF$260:$AF$269,$B$260:$B$269,"&gt;="&amp;IF(核心参数输入!$B$101=0,0,29-核心参数输入!$B$101)))),0),0)</f>
        <v>0</v>
      </c>
      <c r="AH270" s="9">
        <f>IF(30&lt;=核心参数输入!$B$9,IF(AND(核心参数输入!$B$100=1,OR(核心参数输入!$B$101=0,30-10&lt;=核心参数输入!$B$101)),MAX(0,AG270-MAX(0,AH238-SUMIFS($AG$260:$AG$269,$B$260:$B$269,"&gt;="&amp;IF(核心参数输入!$B$101=0,0,30-核心参数输入!$B$101)))),0),0)</f>
        <v>0</v>
      </c>
    </row>
    <row r="271" spans="1:34" ht="21" customHeight="1">
      <c r="A271" s="8" t="s">
        <v>597</v>
      </c>
      <c r="B271" s="8">
        <v>11</v>
      </c>
      <c r="C271" s="8"/>
      <c r="D271" s="9">
        <f>IF(0&lt;=核心参数输入!$B$9,0,0)</f>
        <v>0</v>
      </c>
      <c r="E271" s="9">
        <f>IF(1&lt;=核心参数输入!$B$9,0,0)</f>
        <v>0</v>
      </c>
      <c r="F271" s="9">
        <f>IF(2&lt;=核心参数输入!$B$9,0,0)</f>
        <v>0</v>
      </c>
      <c r="G271" s="9">
        <f>IF(3&lt;=核心参数输入!$B$9,0,0)</f>
        <v>0</v>
      </c>
      <c r="H271" s="9">
        <f>IF(4&lt;=核心参数输入!$B$9,0,0)</f>
        <v>0</v>
      </c>
      <c r="I271" s="9">
        <f>IF(5&lt;=核心参数输入!$B$9,0,0)</f>
        <v>0</v>
      </c>
      <c r="J271" s="9">
        <f>IF(6&lt;=核心参数输入!$B$9,0,0)</f>
        <v>0</v>
      </c>
      <c r="K271" s="9">
        <f>IF(7&lt;=核心参数输入!$B$9,0,0)</f>
        <v>0</v>
      </c>
      <c r="L271" s="9">
        <f>IF(8&lt;=核心参数输入!$B$9,0,0)</f>
        <v>0</v>
      </c>
      <c r="M271" s="9">
        <f>IF(9&lt;=核心参数输入!$B$9,0,0)</f>
        <v>0</v>
      </c>
      <c r="N271" s="9">
        <f>IF(10&lt;=核心参数输入!$B$9,0,0)</f>
        <v>0</v>
      </c>
      <c r="O271" s="9">
        <f>IF(11&lt;=核心参数输入!$B$9,O241,0)</f>
        <v>176.89424386737187</v>
      </c>
      <c r="P271" s="9">
        <f>IF(12&lt;=核心参数输入!$B$9,IF(AND(核心参数输入!$B$100=1,OR(核心参数输入!$B$101=0,12-11&lt;=核心参数输入!$B$101)),MAX(0,O271-MAX(0,P238-SUMIFS($O$260:$O$270,$B$260:$B$270,"&gt;="&amp;IF(核心参数输入!$B$101=0,0,12-核心参数输入!$B$101)))),0),0)</f>
        <v>176.89424386737187</v>
      </c>
      <c r="Q271" s="9">
        <f>IF(13&lt;=核心参数输入!$B$9,IF(AND(核心参数输入!$B$100=1,OR(核心参数输入!$B$101=0,13-11&lt;=核心参数输入!$B$101)),MAX(0,P271-MAX(0,Q238-SUMIFS($P$260:$P$270,$B$260:$B$270,"&gt;="&amp;IF(核心参数输入!$B$101=0,0,13-核心参数输入!$B$101)))),0),0)</f>
        <v>176.89424386737187</v>
      </c>
      <c r="R271" s="9">
        <f>IF(14&lt;=核心参数输入!$B$9,IF(AND(核心参数输入!$B$100=1,OR(核心参数输入!$B$101=0,14-11&lt;=核心参数输入!$B$101)),MAX(0,Q271-MAX(0,R238-SUMIFS($Q$260:$Q$270,$B$260:$B$270,"&gt;="&amp;IF(核心参数输入!$B$101=0,0,14-核心参数输入!$B$101)))),0),0)</f>
        <v>176.89424386737187</v>
      </c>
      <c r="S271" s="9">
        <f>IF(15&lt;=核心参数输入!$B$9,IF(AND(核心参数输入!$B$100=1,OR(核心参数输入!$B$101=0,15-11&lt;=核心参数输入!$B$101)),MAX(0,R271-MAX(0,S238-SUMIFS($R$260:$R$270,$B$260:$B$270,"&gt;="&amp;IF(核心参数输入!$B$101=0,0,15-核心参数输入!$B$101)))),0),0)</f>
        <v>176.89424386737187</v>
      </c>
      <c r="T271" s="9">
        <f>IF(16&lt;=核心参数输入!$B$9,IF(AND(核心参数输入!$B$100=1,OR(核心参数输入!$B$101=0,16-11&lt;=核心参数输入!$B$101)),MAX(0,S271-MAX(0,T238-SUMIFS($S$260:$S$270,$B$260:$B$270,"&gt;="&amp;IF(核心参数输入!$B$101=0,0,16-核心参数输入!$B$101)))),0),0)</f>
        <v>176.89424386737187</v>
      </c>
      <c r="U271" s="9">
        <f>IF(17&lt;=核心参数输入!$B$9,IF(AND(核心参数输入!$B$100=1,OR(核心参数输入!$B$101=0,17-11&lt;=核心参数输入!$B$101)),MAX(0,T271-MAX(0,U238-SUMIFS($T$260:$T$270,$B$260:$B$270,"&gt;="&amp;IF(核心参数输入!$B$101=0,0,17-核心参数输入!$B$101)))),0),0)</f>
        <v>0</v>
      </c>
      <c r="V271" s="9">
        <f>IF(18&lt;=核心参数输入!$B$9,IF(AND(核心参数输入!$B$100=1,OR(核心参数输入!$B$101=0,18-11&lt;=核心参数输入!$B$101)),MAX(0,U271-MAX(0,V238-SUMIFS($U$260:$U$270,$B$260:$B$270,"&gt;="&amp;IF(核心参数输入!$B$101=0,0,18-核心参数输入!$B$101)))),0),0)</f>
        <v>0</v>
      </c>
      <c r="W271" s="9">
        <f>IF(19&lt;=核心参数输入!$B$9,IF(AND(核心参数输入!$B$100=1,OR(核心参数输入!$B$101=0,19-11&lt;=核心参数输入!$B$101)),MAX(0,V271-MAX(0,W238-SUMIFS($V$260:$V$270,$B$260:$B$270,"&gt;="&amp;IF(核心参数输入!$B$101=0,0,19-核心参数输入!$B$101)))),0),0)</f>
        <v>0</v>
      </c>
      <c r="X271" s="9">
        <f>IF(20&lt;=核心参数输入!$B$9,IF(AND(核心参数输入!$B$100=1,OR(核心参数输入!$B$101=0,20-11&lt;=核心参数输入!$B$101)),MAX(0,W271-MAX(0,X238-SUMIFS($W$260:$W$270,$B$260:$B$270,"&gt;="&amp;IF(核心参数输入!$B$101=0,0,20-核心参数输入!$B$101)))),0),0)</f>
        <v>0</v>
      </c>
      <c r="Y271" s="9">
        <f>IF(21&lt;=核心参数输入!$B$9,IF(AND(核心参数输入!$B$100=1,OR(核心参数输入!$B$101=0,21-11&lt;=核心参数输入!$B$101)),MAX(0,X271-MAX(0,Y238-SUMIFS($X$260:$X$270,$B$260:$B$270,"&gt;="&amp;IF(核心参数输入!$B$101=0,0,21-核心参数输入!$B$101)))),0),0)</f>
        <v>0</v>
      </c>
      <c r="Z271" s="9">
        <f>IF(22&lt;=核心参数输入!$B$9,IF(AND(核心参数输入!$B$100=1,OR(核心参数输入!$B$101=0,22-11&lt;=核心参数输入!$B$101)),MAX(0,Y271-MAX(0,Z238-SUMIFS($Y$260:$Y$270,$B$260:$B$270,"&gt;="&amp;IF(核心参数输入!$B$101=0,0,22-核心参数输入!$B$101)))),0),0)</f>
        <v>0</v>
      </c>
      <c r="AA271" s="9">
        <f>IF(23&lt;=核心参数输入!$B$9,IF(AND(核心参数输入!$B$100=1,OR(核心参数输入!$B$101=0,23-11&lt;=核心参数输入!$B$101)),MAX(0,Z271-MAX(0,AA238-SUMIFS($Z$260:$Z$270,$B$260:$B$270,"&gt;="&amp;IF(核心参数输入!$B$101=0,0,23-核心参数输入!$B$101)))),0),0)</f>
        <v>0</v>
      </c>
      <c r="AB271" s="9">
        <f>IF(24&lt;=核心参数输入!$B$9,IF(AND(核心参数输入!$B$100=1,OR(核心参数输入!$B$101=0,24-11&lt;=核心参数输入!$B$101)),MAX(0,AA271-MAX(0,AB238-SUMIFS($AA$260:$AA$270,$B$260:$B$270,"&gt;="&amp;IF(核心参数输入!$B$101=0,0,24-核心参数输入!$B$101)))),0),0)</f>
        <v>0</v>
      </c>
      <c r="AC271" s="9">
        <f>IF(25&lt;=核心参数输入!$B$9,IF(AND(核心参数输入!$B$100=1,OR(核心参数输入!$B$101=0,25-11&lt;=核心参数输入!$B$101)),MAX(0,AB271-MAX(0,AC238-SUMIFS($AB$260:$AB$270,$B$260:$B$270,"&gt;="&amp;IF(核心参数输入!$B$101=0,0,25-核心参数输入!$B$101)))),0),0)</f>
        <v>0</v>
      </c>
      <c r="AD271" s="9">
        <f>IF(26&lt;=核心参数输入!$B$9,IF(AND(核心参数输入!$B$100=1,OR(核心参数输入!$B$101=0,26-11&lt;=核心参数输入!$B$101)),MAX(0,AC271-MAX(0,AD238-SUMIFS($AC$260:$AC$270,$B$260:$B$270,"&gt;="&amp;IF(核心参数输入!$B$101=0,0,26-核心参数输入!$B$101)))),0),0)</f>
        <v>0</v>
      </c>
      <c r="AE271" s="9">
        <f>IF(27&lt;=核心参数输入!$B$9,IF(AND(核心参数输入!$B$100=1,OR(核心参数输入!$B$101=0,27-11&lt;=核心参数输入!$B$101)),MAX(0,AD271-MAX(0,AE238-SUMIFS($AD$260:$AD$270,$B$260:$B$270,"&gt;="&amp;IF(核心参数输入!$B$101=0,0,27-核心参数输入!$B$101)))),0),0)</f>
        <v>0</v>
      </c>
      <c r="AF271" s="9">
        <f>IF(28&lt;=核心参数输入!$B$9,IF(AND(核心参数输入!$B$100=1,OR(核心参数输入!$B$101=0,28-11&lt;=核心参数输入!$B$101)),MAX(0,AE271-MAX(0,AF238-SUMIFS($AE$260:$AE$270,$B$260:$B$270,"&gt;="&amp;IF(核心参数输入!$B$101=0,0,28-核心参数输入!$B$101)))),0),0)</f>
        <v>0</v>
      </c>
      <c r="AG271" s="9">
        <f>IF(29&lt;=核心参数输入!$B$9,IF(AND(核心参数输入!$B$100=1,OR(核心参数输入!$B$101=0,29-11&lt;=核心参数输入!$B$101)),MAX(0,AF271-MAX(0,AG238-SUMIFS($AF$260:$AF$270,$B$260:$B$270,"&gt;="&amp;IF(核心参数输入!$B$101=0,0,29-核心参数输入!$B$101)))),0),0)</f>
        <v>0</v>
      </c>
      <c r="AH271" s="9">
        <f>IF(30&lt;=核心参数输入!$B$9,IF(AND(核心参数输入!$B$100=1,OR(核心参数输入!$B$101=0,30-11&lt;=核心参数输入!$B$101)),MAX(0,AG271-MAX(0,AH238-SUMIFS($AG$260:$AG$270,$B$260:$B$270,"&gt;="&amp;IF(核心参数输入!$B$101=0,0,30-核心参数输入!$B$101)))),0),0)</f>
        <v>0</v>
      </c>
    </row>
    <row r="272" spans="1:34" ht="21" customHeight="1">
      <c r="A272" s="8" t="s">
        <v>598</v>
      </c>
      <c r="B272" s="8">
        <v>12</v>
      </c>
      <c r="C272" s="8"/>
      <c r="D272" s="9">
        <f>IF(0&lt;=核心参数输入!$B$9,0,0)</f>
        <v>0</v>
      </c>
      <c r="E272" s="9">
        <f>IF(1&lt;=核心参数输入!$B$9,0,0)</f>
        <v>0</v>
      </c>
      <c r="F272" s="9">
        <f>IF(2&lt;=核心参数输入!$B$9,0,0)</f>
        <v>0</v>
      </c>
      <c r="G272" s="9">
        <f>IF(3&lt;=核心参数输入!$B$9,0,0)</f>
        <v>0</v>
      </c>
      <c r="H272" s="9">
        <f>IF(4&lt;=核心参数输入!$B$9,0,0)</f>
        <v>0</v>
      </c>
      <c r="I272" s="9">
        <f>IF(5&lt;=核心参数输入!$B$9,0,0)</f>
        <v>0</v>
      </c>
      <c r="J272" s="9">
        <f>IF(6&lt;=核心参数输入!$B$9,0,0)</f>
        <v>0</v>
      </c>
      <c r="K272" s="9">
        <f>IF(7&lt;=核心参数输入!$B$9,0,0)</f>
        <v>0</v>
      </c>
      <c r="L272" s="9">
        <f>IF(8&lt;=核心参数输入!$B$9,0,0)</f>
        <v>0</v>
      </c>
      <c r="M272" s="9">
        <f>IF(9&lt;=核心参数输入!$B$9,0,0)</f>
        <v>0</v>
      </c>
      <c r="N272" s="9">
        <f>IF(10&lt;=核心参数输入!$B$9,0,0)</f>
        <v>0</v>
      </c>
      <c r="O272" s="9">
        <f>IF(11&lt;=核心参数输入!$B$9,0,0)</f>
        <v>0</v>
      </c>
      <c r="P272" s="9">
        <f>IF(12&lt;=核心参数输入!$B$9,P241,0)</f>
        <v>164.64388352685683</v>
      </c>
      <c r="Q272" s="9">
        <f>IF(13&lt;=核心参数输入!$B$9,IF(AND(核心参数输入!$B$100=1,OR(核心参数输入!$B$101=0,13-12&lt;=核心参数输入!$B$101)),MAX(0,P272-MAX(0,Q238-SUMIFS($P$260:$P$271,$B$260:$B$271,"&gt;="&amp;IF(核心参数输入!$B$101=0,0,13-核心参数输入!$B$101)))),0),0)</f>
        <v>164.64388352685683</v>
      </c>
      <c r="R272" s="9">
        <f>IF(14&lt;=核心参数输入!$B$9,IF(AND(核心参数输入!$B$100=1,OR(核心参数输入!$B$101=0,14-12&lt;=核心参数输入!$B$101)),MAX(0,Q272-MAX(0,R238-SUMIFS($Q$260:$Q$271,$B$260:$B$271,"&gt;="&amp;IF(核心参数输入!$B$101=0,0,14-核心参数输入!$B$101)))),0),0)</f>
        <v>164.64388352685683</v>
      </c>
      <c r="S272" s="9">
        <f>IF(15&lt;=核心参数输入!$B$9,IF(AND(核心参数输入!$B$100=1,OR(核心参数输入!$B$101=0,15-12&lt;=核心参数输入!$B$101)),MAX(0,R272-MAX(0,S238-SUMIFS($R$260:$R$271,$B$260:$B$271,"&gt;="&amp;IF(核心参数输入!$B$101=0,0,15-核心参数输入!$B$101)))),0),0)</f>
        <v>164.64388352685683</v>
      </c>
      <c r="T272" s="9">
        <f>IF(16&lt;=核心参数输入!$B$9,IF(AND(核心参数输入!$B$100=1,OR(核心参数输入!$B$101=0,16-12&lt;=核心参数输入!$B$101)),MAX(0,S272-MAX(0,T238-SUMIFS($S$260:$S$271,$B$260:$B$271,"&gt;="&amp;IF(核心参数输入!$B$101=0,0,16-核心参数输入!$B$101)))),0),0)</f>
        <v>164.64388352685683</v>
      </c>
      <c r="U272" s="9">
        <f>IF(17&lt;=核心参数输入!$B$9,IF(AND(核心参数输入!$B$100=1,OR(核心参数输入!$B$101=0,17-12&lt;=核心参数输入!$B$101)),MAX(0,T272-MAX(0,U238-SUMIFS($T$260:$T$271,$B$260:$B$271,"&gt;="&amp;IF(核心参数输入!$B$101=0,0,17-核心参数输入!$B$101)))),0),0)</f>
        <v>164.64388352685683</v>
      </c>
      <c r="V272" s="9">
        <f>IF(18&lt;=核心参数输入!$B$9,IF(AND(核心参数输入!$B$100=1,OR(核心参数输入!$B$101=0,18-12&lt;=核心参数输入!$B$101)),MAX(0,U272-MAX(0,V238-SUMIFS($U$260:$U$271,$B$260:$B$271,"&gt;="&amp;IF(核心参数输入!$B$101=0,0,18-核心参数输入!$B$101)))),0),0)</f>
        <v>0</v>
      </c>
      <c r="W272" s="9">
        <f>IF(19&lt;=核心参数输入!$B$9,IF(AND(核心参数输入!$B$100=1,OR(核心参数输入!$B$101=0,19-12&lt;=核心参数输入!$B$101)),MAX(0,V272-MAX(0,W238-SUMIFS($V$260:$V$271,$B$260:$B$271,"&gt;="&amp;IF(核心参数输入!$B$101=0,0,19-核心参数输入!$B$101)))),0),0)</f>
        <v>0</v>
      </c>
      <c r="X272" s="9">
        <f>IF(20&lt;=核心参数输入!$B$9,IF(AND(核心参数输入!$B$100=1,OR(核心参数输入!$B$101=0,20-12&lt;=核心参数输入!$B$101)),MAX(0,W272-MAX(0,X238-SUMIFS($W$260:$W$271,$B$260:$B$271,"&gt;="&amp;IF(核心参数输入!$B$101=0,0,20-核心参数输入!$B$101)))),0),0)</f>
        <v>0</v>
      </c>
      <c r="Y272" s="9">
        <f>IF(21&lt;=核心参数输入!$B$9,IF(AND(核心参数输入!$B$100=1,OR(核心参数输入!$B$101=0,21-12&lt;=核心参数输入!$B$101)),MAX(0,X272-MAX(0,Y238-SUMIFS($X$260:$X$271,$B$260:$B$271,"&gt;="&amp;IF(核心参数输入!$B$101=0,0,21-核心参数输入!$B$101)))),0),0)</f>
        <v>0</v>
      </c>
      <c r="Z272" s="9">
        <f>IF(22&lt;=核心参数输入!$B$9,IF(AND(核心参数输入!$B$100=1,OR(核心参数输入!$B$101=0,22-12&lt;=核心参数输入!$B$101)),MAX(0,Y272-MAX(0,Z238-SUMIFS($Y$260:$Y$271,$B$260:$B$271,"&gt;="&amp;IF(核心参数输入!$B$101=0,0,22-核心参数输入!$B$101)))),0),0)</f>
        <v>0</v>
      </c>
      <c r="AA272" s="9">
        <f>IF(23&lt;=核心参数输入!$B$9,IF(AND(核心参数输入!$B$100=1,OR(核心参数输入!$B$101=0,23-12&lt;=核心参数输入!$B$101)),MAX(0,Z272-MAX(0,AA238-SUMIFS($Z$260:$Z$271,$B$260:$B$271,"&gt;="&amp;IF(核心参数输入!$B$101=0,0,23-核心参数输入!$B$101)))),0),0)</f>
        <v>0</v>
      </c>
      <c r="AB272" s="9">
        <f>IF(24&lt;=核心参数输入!$B$9,IF(AND(核心参数输入!$B$100=1,OR(核心参数输入!$B$101=0,24-12&lt;=核心参数输入!$B$101)),MAX(0,AA272-MAX(0,AB238-SUMIFS($AA$260:$AA$271,$B$260:$B$271,"&gt;="&amp;IF(核心参数输入!$B$101=0,0,24-核心参数输入!$B$101)))),0),0)</f>
        <v>0</v>
      </c>
      <c r="AC272" s="9">
        <f>IF(25&lt;=核心参数输入!$B$9,IF(AND(核心参数输入!$B$100=1,OR(核心参数输入!$B$101=0,25-12&lt;=核心参数输入!$B$101)),MAX(0,AB272-MAX(0,AC238-SUMIFS($AB$260:$AB$271,$B$260:$B$271,"&gt;="&amp;IF(核心参数输入!$B$101=0,0,25-核心参数输入!$B$101)))),0),0)</f>
        <v>0</v>
      </c>
      <c r="AD272" s="9">
        <f>IF(26&lt;=核心参数输入!$B$9,IF(AND(核心参数输入!$B$100=1,OR(核心参数输入!$B$101=0,26-12&lt;=核心参数输入!$B$101)),MAX(0,AC272-MAX(0,AD238-SUMIFS($AC$260:$AC$271,$B$260:$B$271,"&gt;="&amp;IF(核心参数输入!$B$101=0,0,26-核心参数输入!$B$101)))),0),0)</f>
        <v>0</v>
      </c>
      <c r="AE272" s="9">
        <f>IF(27&lt;=核心参数输入!$B$9,IF(AND(核心参数输入!$B$100=1,OR(核心参数输入!$B$101=0,27-12&lt;=核心参数输入!$B$101)),MAX(0,AD272-MAX(0,AE238-SUMIFS($AD$260:$AD$271,$B$260:$B$271,"&gt;="&amp;IF(核心参数输入!$B$101=0,0,27-核心参数输入!$B$101)))),0),0)</f>
        <v>0</v>
      </c>
      <c r="AF272" s="9">
        <f>IF(28&lt;=核心参数输入!$B$9,IF(AND(核心参数输入!$B$100=1,OR(核心参数输入!$B$101=0,28-12&lt;=核心参数输入!$B$101)),MAX(0,AE272-MAX(0,AF238-SUMIFS($AE$260:$AE$271,$B$260:$B$271,"&gt;="&amp;IF(核心参数输入!$B$101=0,0,28-核心参数输入!$B$101)))),0),0)</f>
        <v>0</v>
      </c>
      <c r="AG272" s="9">
        <f>IF(29&lt;=核心参数输入!$B$9,IF(AND(核心参数输入!$B$100=1,OR(核心参数输入!$B$101=0,29-12&lt;=核心参数输入!$B$101)),MAX(0,AF272-MAX(0,AG238-SUMIFS($AF$260:$AF$271,$B$260:$B$271,"&gt;="&amp;IF(核心参数输入!$B$101=0,0,29-核心参数输入!$B$101)))),0),0)</f>
        <v>0</v>
      </c>
      <c r="AH272" s="9">
        <f>IF(30&lt;=核心参数输入!$B$9,IF(AND(核心参数输入!$B$100=1,OR(核心参数输入!$B$101=0,30-12&lt;=核心参数输入!$B$101)),MAX(0,AG272-MAX(0,AH238-SUMIFS($AG$260:$AG$271,$B$260:$B$271,"&gt;="&amp;IF(核心参数输入!$B$101=0,0,30-核心参数输入!$B$101)))),0),0)</f>
        <v>0</v>
      </c>
    </row>
    <row r="273" spans="1:34" ht="21" customHeight="1">
      <c r="A273" s="8" t="s">
        <v>599</v>
      </c>
      <c r="B273" s="8">
        <v>13</v>
      </c>
      <c r="C273" s="8"/>
      <c r="D273" s="9">
        <f>IF(0&lt;=核心参数输入!$B$9,0,0)</f>
        <v>0</v>
      </c>
      <c r="E273" s="9">
        <f>IF(1&lt;=核心参数输入!$B$9,0,0)</f>
        <v>0</v>
      </c>
      <c r="F273" s="9">
        <f>IF(2&lt;=核心参数输入!$B$9,0,0)</f>
        <v>0</v>
      </c>
      <c r="G273" s="9">
        <f>IF(3&lt;=核心参数输入!$B$9,0,0)</f>
        <v>0</v>
      </c>
      <c r="H273" s="9">
        <f>IF(4&lt;=核心参数输入!$B$9,0,0)</f>
        <v>0</v>
      </c>
      <c r="I273" s="9">
        <f>IF(5&lt;=核心参数输入!$B$9,0,0)</f>
        <v>0</v>
      </c>
      <c r="J273" s="9">
        <f>IF(6&lt;=核心参数输入!$B$9,0,0)</f>
        <v>0</v>
      </c>
      <c r="K273" s="9">
        <f>IF(7&lt;=核心参数输入!$B$9,0,0)</f>
        <v>0</v>
      </c>
      <c r="L273" s="9">
        <f>IF(8&lt;=核心参数输入!$B$9,0,0)</f>
        <v>0</v>
      </c>
      <c r="M273" s="9">
        <f>IF(9&lt;=核心参数输入!$B$9,0,0)</f>
        <v>0</v>
      </c>
      <c r="N273" s="9">
        <f>IF(10&lt;=核心参数输入!$B$9,0,0)</f>
        <v>0</v>
      </c>
      <c r="O273" s="9">
        <f>IF(11&lt;=核心参数输入!$B$9,0,0)</f>
        <v>0</v>
      </c>
      <c r="P273" s="9">
        <f>IF(12&lt;=核心参数输入!$B$9,0,0)</f>
        <v>0</v>
      </c>
      <c r="Q273" s="9">
        <f>IF(13&lt;=核心参数输入!$B$9,Q241,0)</f>
        <v>152.24422835126299</v>
      </c>
      <c r="R273" s="9">
        <f>IF(14&lt;=核心参数输入!$B$9,IF(AND(核心参数输入!$B$100=1,OR(核心参数输入!$B$101=0,14-13&lt;=核心参数输入!$B$101)),MAX(0,Q273-MAX(0,R238-SUMIFS($Q$260:$Q$272,$B$260:$B$272,"&gt;="&amp;IF(核心参数输入!$B$101=0,0,14-核心参数输入!$B$101)))),0),0)</f>
        <v>152.24422835126299</v>
      </c>
      <c r="S273" s="9">
        <f>IF(15&lt;=核心参数输入!$B$9,IF(AND(核心参数输入!$B$100=1,OR(核心参数输入!$B$101=0,15-13&lt;=核心参数输入!$B$101)),MAX(0,R273-MAX(0,S238-SUMIFS($R$260:$R$272,$B$260:$B$272,"&gt;="&amp;IF(核心参数输入!$B$101=0,0,15-核心参数输入!$B$101)))),0),0)</f>
        <v>152.24422835126299</v>
      </c>
      <c r="T273" s="9">
        <f>IF(16&lt;=核心参数输入!$B$9,IF(AND(核心参数输入!$B$100=1,OR(核心参数输入!$B$101=0,16-13&lt;=核心参数输入!$B$101)),MAX(0,S273-MAX(0,T238-SUMIFS($S$260:$S$272,$B$260:$B$272,"&gt;="&amp;IF(核心参数输入!$B$101=0,0,16-核心参数输入!$B$101)))),0),0)</f>
        <v>152.24422835126299</v>
      </c>
      <c r="U273" s="9">
        <f>IF(17&lt;=核心参数输入!$B$9,IF(AND(核心参数输入!$B$100=1,OR(核心参数输入!$B$101=0,17-13&lt;=核心参数输入!$B$101)),MAX(0,T273-MAX(0,U238-SUMIFS($T$260:$T$272,$B$260:$B$272,"&gt;="&amp;IF(核心参数输入!$B$101=0,0,17-核心参数输入!$B$101)))),0),0)</f>
        <v>152.24422835126299</v>
      </c>
      <c r="V273" s="9">
        <f>IF(18&lt;=核心参数输入!$B$9,IF(AND(核心参数输入!$B$100=1,OR(核心参数输入!$B$101=0,18-13&lt;=核心参数输入!$B$101)),MAX(0,U273-MAX(0,V238-SUMIFS($U$260:$U$272,$B$260:$B$272,"&gt;="&amp;IF(核心参数输入!$B$101=0,0,18-核心参数输入!$B$101)))),0),0)</f>
        <v>152.24422835126299</v>
      </c>
      <c r="W273" s="9">
        <f>IF(19&lt;=核心参数输入!$B$9,IF(AND(核心参数输入!$B$100=1,OR(核心参数输入!$B$101=0,19-13&lt;=核心参数输入!$B$101)),MAX(0,V273-MAX(0,W238-SUMIFS($V$260:$V$272,$B$260:$B$272,"&gt;="&amp;IF(核心参数输入!$B$101=0,0,19-核心参数输入!$B$101)))),0),0)</f>
        <v>0</v>
      </c>
      <c r="X273" s="9">
        <f>IF(20&lt;=核心参数输入!$B$9,IF(AND(核心参数输入!$B$100=1,OR(核心参数输入!$B$101=0,20-13&lt;=核心参数输入!$B$101)),MAX(0,W273-MAX(0,X238-SUMIFS($W$260:$W$272,$B$260:$B$272,"&gt;="&amp;IF(核心参数输入!$B$101=0,0,20-核心参数输入!$B$101)))),0),0)</f>
        <v>0</v>
      </c>
      <c r="Y273" s="9">
        <f>IF(21&lt;=核心参数输入!$B$9,IF(AND(核心参数输入!$B$100=1,OR(核心参数输入!$B$101=0,21-13&lt;=核心参数输入!$B$101)),MAX(0,X273-MAX(0,Y238-SUMIFS($X$260:$X$272,$B$260:$B$272,"&gt;="&amp;IF(核心参数输入!$B$101=0,0,21-核心参数输入!$B$101)))),0),0)</f>
        <v>0</v>
      </c>
      <c r="Z273" s="9">
        <f>IF(22&lt;=核心参数输入!$B$9,IF(AND(核心参数输入!$B$100=1,OR(核心参数输入!$B$101=0,22-13&lt;=核心参数输入!$B$101)),MAX(0,Y273-MAX(0,Z238-SUMIFS($Y$260:$Y$272,$B$260:$B$272,"&gt;="&amp;IF(核心参数输入!$B$101=0,0,22-核心参数输入!$B$101)))),0),0)</f>
        <v>0</v>
      </c>
      <c r="AA273" s="9">
        <f>IF(23&lt;=核心参数输入!$B$9,IF(AND(核心参数输入!$B$100=1,OR(核心参数输入!$B$101=0,23-13&lt;=核心参数输入!$B$101)),MAX(0,Z273-MAX(0,AA238-SUMIFS($Z$260:$Z$272,$B$260:$B$272,"&gt;="&amp;IF(核心参数输入!$B$101=0,0,23-核心参数输入!$B$101)))),0),0)</f>
        <v>0</v>
      </c>
      <c r="AB273" s="9">
        <f>IF(24&lt;=核心参数输入!$B$9,IF(AND(核心参数输入!$B$100=1,OR(核心参数输入!$B$101=0,24-13&lt;=核心参数输入!$B$101)),MAX(0,AA273-MAX(0,AB238-SUMIFS($AA$260:$AA$272,$B$260:$B$272,"&gt;="&amp;IF(核心参数输入!$B$101=0,0,24-核心参数输入!$B$101)))),0),0)</f>
        <v>0</v>
      </c>
      <c r="AC273" s="9">
        <f>IF(25&lt;=核心参数输入!$B$9,IF(AND(核心参数输入!$B$100=1,OR(核心参数输入!$B$101=0,25-13&lt;=核心参数输入!$B$101)),MAX(0,AB273-MAX(0,AC238-SUMIFS($AB$260:$AB$272,$B$260:$B$272,"&gt;="&amp;IF(核心参数输入!$B$101=0,0,25-核心参数输入!$B$101)))),0),0)</f>
        <v>0</v>
      </c>
      <c r="AD273" s="9">
        <f>IF(26&lt;=核心参数输入!$B$9,IF(AND(核心参数输入!$B$100=1,OR(核心参数输入!$B$101=0,26-13&lt;=核心参数输入!$B$101)),MAX(0,AC273-MAX(0,AD238-SUMIFS($AC$260:$AC$272,$B$260:$B$272,"&gt;="&amp;IF(核心参数输入!$B$101=0,0,26-核心参数输入!$B$101)))),0),0)</f>
        <v>0</v>
      </c>
      <c r="AE273" s="9">
        <f>IF(27&lt;=核心参数输入!$B$9,IF(AND(核心参数输入!$B$100=1,OR(核心参数输入!$B$101=0,27-13&lt;=核心参数输入!$B$101)),MAX(0,AD273-MAX(0,AE238-SUMIFS($AD$260:$AD$272,$B$260:$B$272,"&gt;="&amp;IF(核心参数输入!$B$101=0,0,27-核心参数输入!$B$101)))),0),0)</f>
        <v>0</v>
      </c>
      <c r="AF273" s="9">
        <f>IF(28&lt;=核心参数输入!$B$9,IF(AND(核心参数输入!$B$100=1,OR(核心参数输入!$B$101=0,28-13&lt;=核心参数输入!$B$101)),MAX(0,AE273-MAX(0,AF238-SUMIFS($AE$260:$AE$272,$B$260:$B$272,"&gt;="&amp;IF(核心参数输入!$B$101=0,0,28-核心参数输入!$B$101)))),0),0)</f>
        <v>0</v>
      </c>
      <c r="AG273" s="9">
        <f>IF(29&lt;=核心参数输入!$B$9,IF(AND(核心参数输入!$B$100=1,OR(核心参数输入!$B$101=0,29-13&lt;=核心参数输入!$B$101)),MAX(0,AF273-MAX(0,AG238-SUMIFS($AF$260:$AF$272,$B$260:$B$272,"&gt;="&amp;IF(核心参数输入!$B$101=0,0,29-核心参数输入!$B$101)))),0),0)</f>
        <v>0</v>
      </c>
      <c r="AH273" s="9">
        <f>IF(30&lt;=核心参数输入!$B$9,IF(AND(核心参数输入!$B$100=1,OR(核心参数输入!$B$101=0,30-13&lt;=核心参数输入!$B$101)),MAX(0,AG273-MAX(0,AH238-SUMIFS($AG$260:$AG$272,$B$260:$B$272,"&gt;="&amp;IF(核心参数输入!$B$101=0,0,30-核心参数输入!$B$101)))),0),0)</f>
        <v>0</v>
      </c>
    </row>
    <row r="274" spans="1:34" ht="21" customHeight="1">
      <c r="A274" s="8" t="s">
        <v>600</v>
      </c>
      <c r="B274" s="8">
        <v>14</v>
      </c>
      <c r="C274" s="8"/>
      <c r="D274" s="9">
        <f>IF(0&lt;=核心参数输入!$B$9,0,0)</f>
        <v>0</v>
      </c>
      <c r="E274" s="9">
        <f>IF(1&lt;=核心参数输入!$B$9,0,0)</f>
        <v>0</v>
      </c>
      <c r="F274" s="9">
        <f>IF(2&lt;=核心参数输入!$B$9,0,0)</f>
        <v>0</v>
      </c>
      <c r="G274" s="9">
        <f>IF(3&lt;=核心参数输入!$B$9,0,0)</f>
        <v>0</v>
      </c>
      <c r="H274" s="9">
        <f>IF(4&lt;=核心参数输入!$B$9,0,0)</f>
        <v>0</v>
      </c>
      <c r="I274" s="9">
        <f>IF(5&lt;=核心参数输入!$B$9,0,0)</f>
        <v>0</v>
      </c>
      <c r="J274" s="9">
        <f>IF(6&lt;=核心参数输入!$B$9,0,0)</f>
        <v>0</v>
      </c>
      <c r="K274" s="9">
        <f>IF(7&lt;=核心参数输入!$B$9,0,0)</f>
        <v>0</v>
      </c>
      <c r="L274" s="9">
        <f>IF(8&lt;=核心参数输入!$B$9,0,0)</f>
        <v>0</v>
      </c>
      <c r="M274" s="9">
        <f>IF(9&lt;=核心参数输入!$B$9,0,0)</f>
        <v>0</v>
      </c>
      <c r="N274" s="9">
        <f>IF(10&lt;=核心参数输入!$B$9,0,0)</f>
        <v>0</v>
      </c>
      <c r="O274" s="9">
        <f>IF(11&lt;=核心参数输入!$B$9,0,0)</f>
        <v>0</v>
      </c>
      <c r="P274" s="9">
        <f>IF(12&lt;=核心参数输入!$B$9,0,0)</f>
        <v>0</v>
      </c>
      <c r="Q274" s="9">
        <f>IF(13&lt;=核心参数输入!$B$9,0,0)</f>
        <v>0</v>
      </c>
      <c r="R274" s="9">
        <f>IF(14&lt;=核心参数输入!$B$9,R241,0)</f>
        <v>139.69372812946563</v>
      </c>
      <c r="S274" s="9">
        <f>IF(15&lt;=核心参数输入!$B$9,IF(AND(核心参数输入!$B$100=1,OR(核心参数输入!$B$101=0,15-14&lt;=核心参数输入!$B$101)),MAX(0,R274-MAX(0,S238-SUMIFS($R$260:$R$273,$B$260:$B$273,"&gt;="&amp;IF(核心参数输入!$B$101=0,0,15-核心参数输入!$B$101)))),0),0)</f>
        <v>139.69372812946563</v>
      </c>
      <c r="T274" s="9">
        <f>IF(16&lt;=核心参数输入!$B$9,IF(AND(核心参数输入!$B$100=1,OR(核心参数输入!$B$101=0,16-14&lt;=核心参数输入!$B$101)),MAX(0,S274-MAX(0,T238-SUMIFS($S$260:$S$273,$B$260:$B$273,"&gt;="&amp;IF(核心参数输入!$B$101=0,0,16-核心参数输入!$B$101)))),0),0)</f>
        <v>139.69372812946563</v>
      </c>
      <c r="U274" s="9">
        <f>IF(17&lt;=核心参数输入!$B$9,IF(AND(核心参数输入!$B$100=1,OR(核心参数输入!$B$101=0,17-14&lt;=核心参数输入!$B$101)),MAX(0,T274-MAX(0,U238-SUMIFS($T$260:$T$273,$B$260:$B$273,"&gt;="&amp;IF(核心参数输入!$B$101=0,0,17-核心参数输入!$B$101)))),0),0)</f>
        <v>139.69372812946563</v>
      </c>
      <c r="V274" s="9">
        <f>IF(18&lt;=核心参数输入!$B$9,IF(AND(核心参数输入!$B$100=1,OR(核心参数输入!$B$101=0,18-14&lt;=核心参数输入!$B$101)),MAX(0,U274-MAX(0,V238-SUMIFS($U$260:$U$273,$B$260:$B$273,"&gt;="&amp;IF(核心参数输入!$B$101=0,0,18-核心参数输入!$B$101)))),0),0)</f>
        <v>139.69372812946563</v>
      </c>
      <c r="W274" s="9">
        <f>IF(19&lt;=核心参数输入!$B$9,IF(AND(核心参数输入!$B$100=1,OR(核心参数输入!$B$101=0,19-14&lt;=核心参数输入!$B$101)),MAX(0,V274-MAX(0,W238-SUMIFS($V$260:$V$273,$B$260:$B$273,"&gt;="&amp;IF(核心参数输入!$B$101=0,0,19-核心参数输入!$B$101)))),0),0)</f>
        <v>139.69372812946563</v>
      </c>
      <c r="X274" s="9">
        <f>IF(20&lt;=核心参数输入!$B$9,IF(AND(核心参数输入!$B$100=1,OR(核心参数输入!$B$101=0,20-14&lt;=核心参数输入!$B$101)),MAX(0,W274-MAX(0,X238-SUMIFS($W$260:$W$273,$B$260:$B$273,"&gt;="&amp;IF(核心参数输入!$B$101=0,0,20-核心参数输入!$B$101)))),0),0)</f>
        <v>0</v>
      </c>
      <c r="Y274" s="9">
        <f>IF(21&lt;=核心参数输入!$B$9,IF(AND(核心参数输入!$B$100=1,OR(核心参数输入!$B$101=0,21-14&lt;=核心参数输入!$B$101)),MAX(0,X274-MAX(0,Y238-SUMIFS($X$260:$X$273,$B$260:$B$273,"&gt;="&amp;IF(核心参数输入!$B$101=0,0,21-核心参数输入!$B$101)))),0),0)</f>
        <v>0</v>
      </c>
      <c r="Z274" s="9">
        <f>IF(22&lt;=核心参数输入!$B$9,IF(AND(核心参数输入!$B$100=1,OR(核心参数输入!$B$101=0,22-14&lt;=核心参数输入!$B$101)),MAX(0,Y274-MAX(0,Z238-SUMIFS($Y$260:$Y$273,$B$260:$B$273,"&gt;="&amp;IF(核心参数输入!$B$101=0,0,22-核心参数输入!$B$101)))),0),0)</f>
        <v>0</v>
      </c>
      <c r="AA274" s="9">
        <f>IF(23&lt;=核心参数输入!$B$9,IF(AND(核心参数输入!$B$100=1,OR(核心参数输入!$B$101=0,23-14&lt;=核心参数输入!$B$101)),MAX(0,Z274-MAX(0,AA238-SUMIFS($Z$260:$Z$273,$B$260:$B$273,"&gt;="&amp;IF(核心参数输入!$B$101=0,0,23-核心参数输入!$B$101)))),0),0)</f>
        <v>0</v>
      </c>
      <c r="AB274" s="9">
        <f>IF(24&lt;=核心参数输入!$B$9,IF(AND(核心参数输入!$B$100=1,OR(核心参数输入!$B$101=0,24-14&lt;=核心参数输入!$B$101)),MAX(0,AA274-MAX(0,AB238-SUMIFS($AA$260:$AA$273,$B$260:$B$273,"&gt;="&amp;IF(核心参数输入!$B$101=0,0,24-核心参数输入!$B$101)))),0),0)</f>
        <v>0</v>
      </c>
      <c r="AC274" s="9">
        <f>IF(25&lt;=核心参数输入!$B$9,IF(AND(核心参数输入!$B$100=1,OR(核心参数输入!$B$101=0,25-14&lt;=核心参数输入!$B$101)),MAX(0,AB274-MAX(0,AC238-SUMIFS($AB$260:$AB$273,$B$260:$B$273,"&gt;="&amp;IF(核心参数输入!$B$101=0,0,25-核心参数输入!$B$101)))),0),0)</f>
        <v>0</v>
      </c>
      <c r="AD274" s="9">
        <f>IF(26&lt;=核心参数输入!$B$9,IF(AND(核心参数输入!$B$100=1,OR(核心参数输入!$B$101=0,26-14&lt;=核心参数输入!$B$101)),MAX(0,AC274-MAX(0,AD238-SUMIFS($AC$260:$AC$273,$B$260:$B$273,"&gt;="&amp;IF(核心参数输入!$B$101=0,0,26-核心参数输入!$B$101)))),0),0)</f>
        <v>0</v>
      </c>
      <c r="AE274" s="9">
        <f>IF(27&lt;=核心参数输入!$B$9,IF(AND(核心参数输入!$B$100=1,OR(核心参数输入!$B$101=0,27-14&lt;=核心参数输入!$B$101)),MAX(0,AD274-MAX(0,AE238-SUMIFS($AD$260:$AD$273,$B$260:$B$273,"&gt;="&amp;IF(核心参数输入!$B$101=0,0,27-核心参数输入!$B$101)))),0),0)</f>
        <v>0</v>
      </c>
      <c r="AF274" s="9">
        <f>IF(28&lt;=核心参数输入!$B$9,IF(AND(核心参数输入!$B$100=1,OR(核心参数输入!$B$101=0,28-14&lt;=核心参数输入!$B$101)),MAX(0,AE274-MAX(0,AF238-SUMIFS($AE$260:$AE$273,$B$260:$B$273,"&gt;="&amp;IF(核心参数输入!$B$101=0,0,28-核心参数输入!$B$101)))),0),0)</f>
        <v>0</v>
      </c>
      <c r="AG274" s="9">
        <f>IF(29&lt;=核心参数输入!$B$9,IF(AND(核心参数输入!$B$100=1,OR(核心参数输入!$B$101=0,29-14&lt;=核心参数输入!$B$101)),MAX(0,AF274-MAX(0,AG238-SUMIFS($AF$260:$AF$273,$B$260:$B$273,"&gt;="&amp;IF(核心参数输入!$B$101=0,0,29-核心参数输入!$B$101)))),0),0)</f>
        <v>0</v>
      </c>
      <c r="AH274" s="9">
        <f>IF(30&lt;=核心参数输入!$B$9,IF(AND(核心参数输入!$B$100=1,OR(核心参数输入!$B$101=0,30-14&lt;=核心参数输入!$B$101)),MAX(0,AG274-MAX(0,AH238-SUMIFS($AG$260:$AG$273,$B$260:$B$273,"&gt;="&amp;IF(核心参数输入!$B$101=0,0,30-核心参数输入!$B$101)))),0),0)</f>
        <v>0</v>
      </c>
    </row>
    <row r="275" spans="1:34" ht="21" customHeight="1">
      <c r="A275" s="8" t="s">
        <v>601</v>
      </c>
      <c r="B275" s="8">
        <v>15</v>
      </c>
      <c r="C275" s="8"/>
      <c r="D275" s="9">
        <f>IF(0&lt;=核心参数输入!$B$9,0,0)</f>
        <v>0</v>
      </c>
      <c r="E275" s="9">
        <f>IF(1&lt;=核心参数输入!$B$9,0,0)</f>
        <v>0</v>
      </c>
      <c r="F275" s="9">
        <f>IF(2&lt;=核心参数输入!$B$9,0,0)</f>
        <v>0</v>
      </c>
      <c r="G275" s="9">
        <f>IF(3&lt;=核心参数输入!$B$9,0,0)</f>
        <v>0</v>
      </c>
      <c r="H275" s="9">
        <f>IF(4&lt;=核心参数输入!$B$9,0,0)</f>
        <v>0</v>
      </c>
      <c r="I275" s="9">
        <f>IF(5&lt;=核心参数输入!$B$9,0,0)</f>
        <v>0</v>
      </c>
      <c r="J275" s="9">
        <f>IF(6&lt;=核心参数输入!$B$9,0,0)</f>
        <v>0</v>
      </c>
      <c r="K275" s="9">
        <f>IF(7&lt;=核心参数输入!$B$9,0,0)</f>
        <v>0</v>
      </c>
      <c r="L275" s="9">
        <f>IF(8&lt;=核心参数输入!$B$9,0,0)</f>
        <v>0</v>
      </c>
      <c r="M275" s="9">
        <f>IF(9&lt;=核心参数输入!$B$9,0,0)</f>
        <v>0</v>
      </c>
      <c r="N275" s="9">
        <f>IF(10&lt;=核心参数输入!$B$9,0,0)</f>
        <v>0</v>
      </c>
      <c r="O275" s="9">
        <f>IF(11&lt;=核心参数输入!$B$9,0,0)</f>
        <v>0</v>
      </c>
      <c r="P275" s="9">
        <f>IF(12&lt;=核心参数输入!$B$9,0,0)</f>
        <v>0</v>
      </c>
      <c r="Q275" s="9">
        <f>IF(13&lt;=核心参数输入!$B$9,0,0)</f>
        <v>0</v>
      </c>
      <c r="R275" s="9">
        <f>IF(14&lt;=核心参数输入!$B$9,0,0)</f>
        <v>0</v>
      </c>
      <c r="S275" s="9">
        <f>IF(15&lt;=核心参数输入!$B$9,S241,0)</f>
        <v>126.99082318140015</v>
      </c>
      <c r="T275" s="9">
        <f>IF(16&lt;=核心参数输入!$B$9,IF(AND(核心参数输入!$B$100=1,OR(核心参数输入!$B$101=0,16-15&lt;=核心参数输入!$B$101)),MAX(0,S275-MAX(0,T238-SUMIFS($S$260:$S$274,$B$260:$B$274,"&gt;="&amp;IF(核心参数输入!$B$101=0,0,16-核心参数输入!$B$101)))),0),0)</f>
        <v>126.99082318140015</v>
      </c>
      <c r="U275" s="9">
        <f>IF(17&lt;=核心参数输入!$B$9,IF(AND(核心参数输入!$B$100=1,OR(核心参数输入!$B$101=0,17-15&lt;=核心参数输入!$B$101)),MAX(0,T275-MAX(0,U238-SUMIFS($T$260:$T$274,$B$260:$B$274,"&gt;="&amp;IF(核心参数输入!$B$101=0,0,17-核心参数输入!$B$101)))),0),0)</f>
        <v>126.99082318140015</v>
      </c>
      <c r="V275" s="9">
        <f>IF(18&lt;=核心参数输入!$B$9,IF(AND(核心参数输入!$B$100=1,OR(核心参数输入!$B$101=0,18-15&lt;=核心参数输入!$B$101)),MAX(0,U275-MAX(0,V238-SUMIFS($U$260:$U$274,$B$260:$B$274,"&gt;="&amp;IF(核心参数输入!$B$101=0,0,18-核心参数输入!$B$101)))),0),0)</f>
        <v>126.99082318140015</v>
      </c>
      <c r="W275" s="9">
        <f>IF(19&lt;=核心参数输入!$B$9,IF(AND(核心参数输入!$B$100=1,OR(核心参数输入!$B$101=0,19-15&lt;=核心参数输入!$B$101)),MAX(0,V275-MAX(0,W238-SUMIFS($V$260:$V$274,$B$260:$B$274,"&gt;="&amp;IF(核心参数输入!$B$101=0,0,19-核心参数输入!$B$101)))),0),0)</f>
        <v>126.99082318140015</v>
      </c>
      <c r="X275" s="9">
        <f>IF(20&lt;=核心参数输入!$B$9,IF(AND(核心参数输入!$B$100=1,OR(核心参数输入!$B$101=0,20-15&lt;=核心参数输入!$B$101)),MAX(0,W275-MAX(0,X238-SUMIFS($W$260:$W$274,$B$260:$B$274,"&gt;="&amp;IF(核心参数输入!$B$101=0,0,20-核心参数输入!$B$101)))),0),0)</f>
        <v>126.99082318140015</v>
      </c>
      <c r="Y275" s="9">
        <f>IF(21&lt;=核心参数输入!$B$9,IF(AND(核心参数输入!$B$100=1,OR(核心参数输入!$B$101=0,21-15&lt;=核心参数输入!$B$101)),MAX(0,X275-MAX(0,Y238-SUMIFS($X$260:$X$274,$B$260:$B$274,"&gt;="&amp;IF(核心参数输入!$B$101=0,0,21-核心参数输入!$B$101)))),0),0)</f>
        <v>0</v>
      </c>
      <c r="Z275" s="9">
        <f>IF(22&lt;=核心参数输入!$B$9,IF(AND(核心参数输入!$B$100=1,OR(核心参数输入!$B$101=0,22-15&lt;=核心参数输入!$B$101)),MAX(0,Y275-MAX(0,Z238-SUMIFS($Y$260:$Y$274,$B$260:$B$274,"&gt;="&amp;IF(核心参数输入!$B$101=0,0,22-核心参数输入!$B$101)))),0),0)</f>
        <v>0</v>
      </c>
      <c r="AA275" s="9">
        <f>IF(23&lt;=核心参数输入!$B$9,IF(AND(核心参数输入!$B$100=1,OR(核心参数输入!$B$101=0,23-15&lt;=核心参数输入!$B$101)),MAX(0,Z275-MAX(0,AA238-SUMIFS($Z$260:$Z$274,$B$260:$B$274,"&gt;="&amp;IF(核心参数输入!$B$101=0,0,23-核心参数输入!$B$101)))),0),0)</f>
        <v>0</v>
      </c>
      <c r="AB275" s="9">
        <f>IF(24&lt;=核心参数输入!$B$9,IF(AND(核心参数输入!$B$100=1,OR(核心参数输入!$B$101=0,24-15&lt;=核心参数输入!$B$101)),MAX(0,AA275-MAX(0,AB238-SUMIFS($AA$260:$AA$274,$B$260:$B$274,"&gt;="&amp;IF(核心参数输入!$B$101=0,0,24-核心参数输入!$B$101)))),0),0)</f>
        <v>0</v>
      </c>
      <c r="AC275" s="9">
        <f>IF(25&lt;=核心参数输入!$B$9,IF(AND(核心参数输入!$B$100=1,OR(核心参数输入!$B$101=0,25-15&lt;=核心参数输入!$B$101)),MAX(0,AB275-MAX(0,AC238-SUMIFS($AB$260:$AB$274,$B$260:$B$274,"&gt;="&amp;IF(核心参数输入!$B$101=0,0,25-核心参数输入!$B$101)))),0),0)</f>
        <v>0</v>
      </c>
      <c r="AD275" s="9">
        <f>IF(26&lt;=核心参数输入!$B$9,IF(AND(核心参数输入!$B$100=1,OR(核心参数输入!$B$101=0,26-15&lt;=核心参数输入!$B$101)),MAX(0,AC275-MAX(0,AD238-SUMIFS($AC$260:$AC$274,$B$260:$B$274,"&gt;="&amp;IF(核心参数输入!$B$101=0,0,26-核心参数输入!$B$101)))),0),0)</f>
        <v>0</v>
      </c>
      <c r="AE275" s="9">
        <f>IF(27&lt;=核心参数输入!$B$9,IF(AND(核心参数输入!$B$100=1,OR(核心参数输入!$B$101=0,27-15&lt;=核心参数输入!$B$101)),MAX(0,AD275-MAX(0,AE238-SUMIFS($AD$260:$AD$274,$B$260:$B$274,"&gt;="&amp;IF(核心参数输入!$B$101=0,0,27-核心参数输入!$B$101)))),0),0)</f>
        <v>0</v>
      </c>
      <c r="AF275" s="9">
        <f>IF(28&lt;=核心参数输入!$B$9,IF(AND(核心参数输入!$B$100=1,OR(核心参数输入!$B$101=0,28-15&lt;=核心参数输入!$B$101)),MAX(0,AE275-MAX(0,AF238-SUMIFS($AE$260:$AE$274,$B$260:$B$274,"&gt;="&amp;IF(核心参数输入!$B$101=0,0,28-核心参数输入!$B$101)))),0),0)</f>
        <v>0</v>
      </c>
      <c r="AG275" s="9">
        <f>IF(29&lt;=核心参数输入!$B$9,IF(AND(核心参数输入!$B$100=1,OR(核心参数输入!$B$101=0,29-15&lt;=核心参数输入!$B$101)),MAX(0,AF275-MAX(0,AG238-SUMIFS($AF$260:$AF$274,$B$260:$B$274,"&gt;="&amp;IF(核心参数输入!$B$101=0,0,29-核心参数输入!$B$101)))),0),0)</f>
        <v>0</v>
      </c>
      <c r="AH275" s="9">
        <f>IF(30&lt;=核心参数输入!$B$9,IF(AND(核心参数输入!$B$100=1,OR(核心参数输入!$B$101=0,30-15&lt;=核心参数输入!$B$101)),MAX(0,AG275-MAX(0,AH238-SUMIFS($AG$260:$AG$274,$B$260:$B$274,"&gt;="&amp;IF(核心参数输入!$B$101=0,0,30-核心参数输入!$B$101)))),0),0)</f>
        <v>0</v>
      </c>
    </row>
    <row r="276" spans="1:34" ht="21" customHeight="1">
      <c r="A276" s="8" t="s">
        <v>602</v>
      </c>
      <c r="B276" s="8">
        <v>16</v>
      </c>
      <c r="C276" s="8"/>
      <c r="D276" s="9">
        <f>IF(0&lt;=核心参数输入!$B$9,0,0)</f>
        <v>0</v>
      </c>
      <c r="E276" s="9">
        <f>IF(1&lt;=核心参数输入!$B$9,0,0)</f>
        <v>0</v>
      </c>
      <c r="F276" s="9">
        <f>IF(2&lt;=核心参数输入!$B$9,0,0)</f>
        <v>0</v>
      </c>
      <c r="G276" s="9">
        <f>IF(3&lt;=核心参数输入!$B$9,0,0)</f>
        <v>0</v>
      </c>
      <c r="H276" s="9">
        <f>IF(4&lt;=核心参数输入!$B$9,0,0)</f>
        <v>0</v>
      </c>
      <c r="I276" s="9">
        <f>IF(5&lt;=核心参数输入!$B$9,0,0)</f>
        <v>0</v>
      </c>
      <c r="J276" s="9">
        <f>IF(6&lt;=核心参数输入!$B$9,0,0)</f>
        <v>0</v>
      </c>
      <c r="K276" s="9">
        <f>IF(7&lt;=核心参数输入!$B$9,0,0)</f>
        <v>0</v>
      </c>
      <c r="L276" s="9">
        <f>IF(8&lt;=核心参数输入!$B$9,0,0)</f>
        <v>0</v>
      </c>
      <c r="M276" s="9">
        <f>IF(9&lt;=核心参数输入!$B$9,0,0)</f>
        <v>0</v>
      </c>
      <c r="N276" s="9">
        <f>IF(10&lt;=核心参数输入!$B$9,0,0)</f>
        <v>0</v>
      </c>
      <c r="O276" s="9">
        <f>IF(11&lt;=核心参数输入!$B$9,0,0)</f>
        <v>0</v>
      </c>
      <c r="P276" s="9">
        <f>IF(12&lt;=核心参数输入!$B$9,0,0)</f>
        <v>0</v>
      </c>
      <c r="Q276" s="9">
        <f>IF(13&lt;=核心参数输入!$B$9,0,0)</f>
        <v>0</v>
      </c>
      <c r="R276" s="9">
        <f>IF(14&lt;=核心参数输入!$B$9,0,0)</f>
        <v>0</v>
      </c>
      <c r="S276" s="9">
        <f>IF(15&lt;=核心参数输入!$B$9,0,0)</f>
        <v>0</v>
      </c>
      <c r="T276" s="9">
        <f>IF(16&lt;=核心参数输入!$B$9,T241,0)</f>
        <v>114.13394449171332</v>
      </c>
      <c r="U276" s="9">
        <f>IF(17&lt;=核心参数输入!$B$9,IF(AND(核心参数输入!$B$100=1,OR(核心参数输入!$B$101=0,17-16&lt;=核心参数输入!$B$101)),MAX(0,T276-MAX(0,U238-SUMIFS($T$260:$T$275,$B$260:$B$275,"&gt;="&amp;IF(核心参数输入!$B$101=0,0,17-核心参数输入!$B$101)))),0),0)</f>
        <v>114.13394449171332</v>
      </c>
      <c r="V276" s="9">
        <f>IF(18&lt;=核心参数输入!$B$9,IF(AND(核心参数输入!$B$100=1,OR(核心参数输入!$B$101=0,18-16&lt;=核心参数输入!$B$101)),MAX(0,U276-MAX(0,V238-SUMIFS($U$260:$U$275,$B$260:$B$275,"&gt;="&amp;IF(核心参数输入!$B$101=0,0,18-核心参数输入!$B$101)))),0),0)</f>
        <v>114.13394449171332</v>
      </c>
      <c r="W276" s="9">
        <f>IF(19&lt;=核心参数输入!$B$9,IF(AND(核心参数输入!$B$100=1,OR(核心参数输入!$B$101=0,19-16&lt;=核心参数输入!$B$101)),MAX(0,V276-MAX(0,W238-SUMIFS($V$260:$V$275,$B$260:$B$275,"&gt;="&amp;IF(核心参数输入!$B$101=0,0,19-核心参数输入!$B$101)))),0),0)</f>
        <v>114.13394449171332</v>
      </c>
      <c r="X276" s="9">
        <f>IF(20&lt;=核心参数输入!$B$9,IF(AND(核心参数输入!$B$100=1,OR(核心参数输入!$B$101=0,20-16&lt;=核心参数输入!$B$101)),MAX(0,W276-MAX(0,X238-SUMIFS($W$260:$W$275,$B$260:$B$275,"&gt;="&amp;IF(核心参数输入!$B$101=0,0,20-核心参数输入!$B$101)))),0),0)</f>
        <v>114.13394449171332</v>
      </c>
      <c r="Y276" s="9">
        <f>IF(21&lt;=核心参数输入!$B$9,IF(AND(核心参数输入!$B$100=1,OR(核心参数输入!$B$101=0,21-16&lt;=核心参数输入!$B$101)),MAX(0,X276-MAX(0,Y238-SUMIFS($X$260:$X$275,$B$260:$B$275,"&gt;="&amp;IF(核心参数输入!$B$101=0,0,21-核心参数输入!$B$101)))),0),0)</f>
        <v>0</v>
      </c>
      <c r="Z276" s="9">
        <f>IF(22&lt;=核心参数输入!$B$9,IF(AND(核心参数输入!$B$100=1,OR(核心参数输入!$B$101=0,22-16&lt;=核心参数输入!$B$101)),MAX(0,Y276-MAX(0,Z238-SUMIFS($Y$260:$Y$275,$B$260:$B$275,"&gt;="&amp;IF(核心参数输入!$B$101=0,0,22-核心参数输入!$B$101)))),0),0)</f>
        <v>0</v>
      </c>
      <c r="AA276" s="9">
        <f>IF(23&lt;=核心参数输入!$B$9,IF(AND(核心参数输入!$B$100=1,OR(核心参数输入!$B$101=0,23-16&lt;=核心参数输入!$B$101)),MAX(0,Z276-MAX(0,AA238-SUMIFS($Z$260:$Z$275,$B$260:$B$275,"&gt;="&amp;IF(核心参数输入!$B$101=0,0,23-核心参数输入!$B$101)))),0),0)</f>
        <v>0</v>
      </c>
      <c r="AB276" s="9">
        <f>IF(24&lt;=核心参数输入!$B$9,IF(AND(核心参数输入!$B$100=1,OR(核心参数输入!$B$101=0,24-16&lt;=核心参数输入!$B$101)),MAX(0,AA276-MAX(0,AB238-SUMIFS($AA$260:$AA$275,$B$260:$B$275,"&gt;="&amp;IF(核心参数输入!$B$101=0,0,24-核心参数输入!$B$101)))),0),0)</f>
        <v>0</v>
      </c>
      <c r="AC276" s="9">
        <f>IF(25&lt;=核心参数输入!$B$9,IF(AND(核心参数输入!$B$100=1,OR(核心参数输入!$B$101=0,25-16&lt;=核心参数输入!$B$101)),MAX(0,AB276-MAX(0,AC238-SUMIFS($AB$260:$AB$275,$B$260:$B$275,"&gt;="&amp;IF(核心参数输入!$B$101=0,0,25-核心参数输入!$B$101)))),0),0)</f>
        <v>0</v>
      </c>
      <c r="AD276" s="9">
        <f>IF(26&lt;=核心参数输入!$B$9,IF(AND(核心参数输入!$B$100=1,OR(核心参数输入!$B$101=0,26-16&lt;=核心参数输入!$B$101)),MAX(0,AC276-MAX(0,AD238-SUMIFS($AC$260:$AC$275,$B$260:$B$275,"&gt;="&amp;IF(核心参数输入!$B$101=0,0,26-核心参数输入!$B$101)))),0),0)</f>
        <v>0</v>
      </c>
      <c r="AE276" s="9">
        <f>IF(27&lt;=核心参数输入!$B$9,IF(AND(核心参数输入!$B$100=1,OR(核心参数输入!$B$101=0,27-16&lt;=核心参数输入!$B$101)),MAX(0,AD276-MAX(0,AE238-SUMIFS($AD$260:$AD$275,$B$260:$B$275,"&gt;="&amp;IF(核心参数输入!$B$101=0,0,27-核心参数输入!$B$101)))),0),0)</f>
        <v>0</v>
      </c>
      <c r="AF276" s="9">
        <f>IF(28&lt;=核心参数输入!$B$9,IF(AND(核心参数输入!$B$100=1,OR(核心参数输入!$B$101=0,28-16&lt;=核心参数输入!$B$101)),MAX(0,AE276-MAX(0,AF238-SUMIFS($AE$260:$AE$275,$B$260:$B$275,"&gt;="&amp;IF(核心参数输入!$B$101=0,0,28-核心参数输入!$B$101)))),0),0)</f>
        <v>0</v>
      </c>
      <c r="AG276" s="9">
        <f>IF(29&lt;=核心参数输入!$B$9,IF(AND(核心参数输入!$B$100=1,OR(核心参数输入!$B$101=0,29-16&lt;=核心参数输入!$B$101)),MAX(0,AF276-MAX(0,AG238-SUMIFS($AF$260:$AF$275,$B$260:$B$275,"&gt;="&amp;IF(核心参数输入!$B$101=0,0,29-核心参数输入!$B$101)))),0),0)</f>
        <v>0</v>
      </c>
      <c r="AH276" s="9">
        <f>IF(30&lt;=核心参数输入!$B$9,IF(AND(核心参数输入!$B$100=1,OR(核心参数输入!$B$101=0,30-16&lt;=核心参数输入!$B$101)),MAX(0,AG276-MAX(0,AH238-SUMIFS($AG$260:$AG$275,$B$260:$B$275,"&gt;="&amp;IF(核心参数输入!$B$101=0,0,30-核心参数输入!$B$101)))),0),0)</f>
        <v>0</v>
      </c>
    </row>
    <row r="277" spans="1:34" ht="21" customHeight="1">
      <c r="A277" s="8" t="s">
        <v>603</v>
      </c>
      <c r="B277" s="8">
        <v>17</v>
      </c>
      <c r="C277" s="8"/>
      <c r="D277" s="9">
        <f>IF(0&lt;=核心参数输入!$B$9,0,0)</f>
        <v>0</v>
      </c>
      <c r="E277" s="9">
        <f>IF(1&lt;=核心参数输入!$B$9,0,0)</f>
        <v>0</v>
      </c>
      <c r="F277" s="9">
        <f>IF(2&lt;=核心参数输入!$B$9,0,0)</f>
        <v>0</v>
      </c>
      <c r="G277" s="9">
        <f>IF(3&lt;=核心参数输入!$B$9,0,0)</f>
        <v>0</v>
      </c>
      <c r="H277" s="9">
        <f>IF(4&lt;=核心参数输入!$B$9,0,0)</f>
        <v>0</v>
      </c>
      <c r="I277" s="9">
        <f>IF(5&lt;=核心参数输入!$B$9,0,0)</f>
        <v>0</v>
      </c>
      <c r="J277" s="9">
        <f>IF(6&lt;=核心参数输入!$B$9,0,0)</f>
        <v>0</v>
      </c>
      <c r="K277" s="9">
        <f>IF(7&lt;=核心参数输入!$B$9,0,0)</f>
        <v>0</v>
      </c>
      <c r="L277" s="9">
        <f>IF(8&lt;=核心参数输入!$B$9,0,0)</f>
        <v>0</v>
      </c>
      <c r="M277" s="9">
        <f>IF(9&lt;=核心参数输入!$B$9,0,0)</f>
        <v>0</v>
      </c>
      <c r="N277" s="9">
        <f>IF(10&lt;=核心参数输入!$B$9,0,0)</f>
        <v>0</v>
      </c>
      <c r="O277" s="9">
        <f>IF(11&lt;=核心参数输入!$B$9,0,0)</f>
        <v>0</v>
      </c>
      <c r="P277" s="9">
        <f>IF(12&lt;=核心参数输入!$B$9,0,0)</f>
        <v>0</v>
      </c>
      <c r="Q277" s="9">
        <f>IF(13&lt;=核心参数输入!$B$9,0,0)</f>
        <v>0</v>
      </c>
      <c r="R277" s="9">
        <f>IF(14&lt;=核心参数输入!$B$9,0,0)</f>
        <v>0</v>
      </c>
      <c r="S277" s="9">
        <f>IF(15&lt;=核心参数输入!$B$9,0,0)</f>
        <v>0</v>
      </c>
      <c r="T277" s="9">
        <f>IF(16&lt;=核心参数输入!$B$9,0,0)</f>
        <v>0</v>
      </c>
      <c r="U277" s="9">
        <f>IF(17&lt;=核心参数输入!$B$9,U241,0)</f>
        <v>101.12151385093264</v>
      </c>
      <c r="V277" s="9">
        <f>IF(18&lt;=核心参数输入!$B$9,IF(AND(核心参数输入!$B$100=1,OR(核心参数输入!$B$101=0,18-17&lt;=核心参数输入!$B$101)),MAX(0,U277-MAX(0,V238-SUMIFS($U$260:$U$276,$B$260:$B$276,"&gt;="&amp;IF(核心参数输入!$B$101=0,0,18-核心参数输入!$B$101)))),0),0)</f>
        <v>101.12151385093264</v>
      </c>
      <c r="W277" s="9">
        <f>IF(19&lt;=核心参数输入!$B$9,IF(AND(核心参数输入!$B$100=1,OR(核心参数输入!$B$101=0,19-17&lt;=核心参数输入!$B$101)),MAX(0,V277-MAX(0,W238-SUMIFS($V$260:$V$276,$B$260:$B$276,"&gt;="&amp;IF(核心参数输入!$B$101=0,0,19-核心参数输入!$B$101)))),0),0)</f>
        <v>101.12151385093264</v>
      </c>
      <c r="X277" s="9">
        <f>IF(20&lt;=核心参数输入!$B$9,IF(AND(核心参数输入!$B$100=1,OR(核心参数输入!$B$101=0,20-17&lt;=核心参数输入!$B$101)),MAX(0,W277-MAX(0,X238-SUMIFS($W$260:$W$276,$B$260:$B$276,"&gt;="&amp;IF(核心参数输入!$B$101=0,0,20-核心参数输入!$B$101)))),0),0)</f>
        <v>101.12151385093264</v>
      </c>
      <c r="Y277" s="9">
        <f>IF(21&lt;=核心参数输入!$B$9,IF(AND(核心参数输入!$B$100=1,OR(核心参数输入!$B$101=0,21-17&lt;=核心参数输入!$B$101)),MAX(0,X277-MAX(0,Y238-SUMIFS($X$260:$X$276,$B$260:$B$276,"&gt;="&amp;IF(核心参数输入!$B$101=0,0,21-核心参数输入!$B$101)))),0),0)</f>
        <v>0</v>
      </c>
      <c r="Z277" s="9">
        <f>IF(22&lt;=核心参数输入!$B$9,IF(AND(核心参数输入!$B$100=1,OR(核心参数输入!$B$101=0,22-17&lt;=核心参数输入!$B$101)),MAX(0,Y277-MAX(0,Z238-SUMIFS($Y$260:$Y$276,$B$260:$B$276,"&gt;="&amp;IF(核心参数输入!$B$101=0,0,22-核心参数输入!$B$101)))),0),0)</f>
        <v>0</v>
      </c>
      <c r="AA277" s="9">
        <f>IF(23&lt;=核心参数输入!$B$9,IF(AND(核心参数输入!$B$100=1,OR(核心参数输入!$B$101=0,23-17&lt;=核心参数输入!$B$101)),MAX(0,Z277-MAX(0,AA238-SUMIFS($Z$260:$Z$276,$B$260:$B$276,"&gt;="&amp;IF(核心参数输入!$B$101=0,0,23-核心参数输入!$B$101)))),0),0)</f>
        <v>0</v>
      </c>
      <c r="AB277" s="9">
        <f>IF(24&lt;=核心参数输入!$B$9,IF(AND(核心参数输入!$B$100=1,OR(核心参数输入!$B$101=0,24-17&lt;=核心参数输入!$B$101)),MAX(0,AA277-MAX(0,AB238-SUMIFS($AA$260:$AA$276,$B$260:$B$276,"&gt;="&amp;IF(核心参数输入!$B$101=0,0,24-核心参数输入!$B$101)))),0),0)</f>
        <v>0</v>
      </c>
      <c r="AC277" s="9">
        <f>IF(25&lt;=核心参数输入!$B$9,IF(AND(核心参数输入!$B$100=1,OR(核心参数输入!$B$101=0,25-17&lt;=核心参数输入!$B$101)),MAX(0,AB277-MAX(0,AC238-SUMIFS($AB$260:$AB$276,$B$260:$B$276,"&gt;="&amp;IF(核心参数输入!$B$101=0,0,25-核心参数输入!$B$101)))),0),0)</f>
        <v>0</v>
      </c>
      <c r="AD277" s="9">
        <f>IF(26&lt;=核心参数输入!$B$9,IF(AND(核心参数输入!$B$100=1,OR(核心参数输入!$B$101=0,26-17&lt;=核心参数输入!$B$101)),MAX(0,AC277-MAX(0,AD238-SUMIFS($AC$260:$AC$276,$B$260:$B$276,"&gt;="&amp;IF(核心参数输入!$B$101=0,0,26-核心参数输入!$B$101)))),0),0)</f>
        <v>0</v>
      </c>
      <c r="AE277" s="9">
        <f>IF(27&lt;=核心参数输入!$B$9,IF(AND(核心参数输入!$B$100=1,OR(核心参数输入!$B$101=0,27-17&lt;=核心参数输入!$B$101)),MAX(0,AD277-MAX(0,AE238-SUMIFS($AD$260:$AD$276,$B$260:$B$276,"&gt;="&amp;IF(核心参数输入!$B$101=0,0,27-核心参数输入!$B$101)))),0),0)</f>
        <v>0</v>
      </c>
      <c r="AF277" s="9">
        <f>IF(28&lt;=核心参数输入!$B$9,IF(AND(核心参数输入!$B$100=1,OR(核心参数输入!$B$101=0,28-17&lt;=核心参数输入!$B$101)),MAX(0,AE277-MAX(0,AF238-SUMIFS($AE$260:$AE$276,$B$260:$B$276,"&gt;="&amp;IF(核心参数输入!$B$101=0,0,28-核心参数输入!$B$101)))),0),0)</f>
        <v>0</v>
      </c>
      <c r="AG277" s="9">
        <f>IF(29&lt;=核心参数输入!$B$9,IF(AND(核心参数输入!$B$100=1,OR(核心参数输入!$B$101=0,29-17&lt;=核心参数输入!$B$101)),MAX(0,AF277-MAX(0,AG238-SUMIFS($AF$260:$AF$276,$B$260:$B$276,"&gt;="&amp;IF(核心参数输入!$B$101=0,0,29-核心参数输入!$B$101)))),0),0)</f>
        <v>0</v>
      </c>
      <c r="AH277" s="9">
        <f>IF(30&lt;=核心参数输入!$B$9,IF(AND(核心参数输入!$B$100=1,OR(核心参数输入!$B$101=0,30-17&lt;=核心参数输入!$B$101)),MAX(0,AG277-MAX(0,AH238-SUMIFS($AG$260:$AG$276,$B$260:$B$276,"&gt;="&amp;IF(核心参数输入!$B$101=0,0,30-核心参数输入!$B$101)))),0),0)</f>
        <v>0</v>
      </c>
    </row>
    <row r="278" spans="1:34" ht="21" customHeight="1">
      <c r="A278" s="8" t="s">
        <v>604</v>
      </c>
      <c r="B278" s="8">
        <v>18</v>
      </c>
      <c r="C278" s="8"/>
      <c r="D278" s="9">
        <f>IF(0&lt;=核心参数输入!$B$9,0,0)</f>
        <v>0</v>
      </c>
      <c r="E278" s="9">
        <f>IF(1&lt;=核心参数输入!$B$9,0,0)</f>
        <v>0</v>
      </c>
      <c r="F278" s="9">
        <f>IF(2&lt;=核心参数输入!$B$9,0,0)</f>
        <v>0</v>
      </c>
      <c r="G278" s="9">
        <f>IF(3&lt;=核心参数输入!$B$9,0,0)</f>
        <v>0</v>
      </c>
      <c r="H278" s="9">
        <f>IF(4&lt;=核心参数输入!$B$9,0,0)</f>
        <v>0</v>
      </c>
      <c r="I278" s="9">
        <f>IF(5&lt;=核心参数输入!$B$9,0,0)</f>
        <v>0</v>
      </c>
      <c r="J278" s="9">
        <f>IF(6&lt;=核心参数输入!$B$9,0,0)</f>
        <v>0</v>
      </c>
      <c r="K278" s="9">
        <f>IF(7&lt;=核心参数输入!$B$9,0,0)</f>
        <v>0</v>
      </c>
      <c r="L278" s="9">
        <f>IF(8&lt;=核心参数输入!$B$9,0,0)</f>
        <v>0</v>
      </c>
      <c r="M278" s="9">
        <f>IF(9&lt;=核心参数输入!$B$9,0,0)</f>
        <v>0</v>
      </c>
      <c r="N278" s="9">
        <f>IF(10&lt;=核心参数输入!$B$9,0,0)</f>
        <v>0</v>
      </c>
      <c r="O278" s="9">
        <f>IF(11&lt;=核心参数输入!$B$9,0,0)</f>
        <v>0</v>
      </c>
      <c r="P278" s="9">
        <f>IF(12&lt;=核心参数输入!$B$9,0,0)</f>
        <v>0</v>
      </c>
      <c r="Q278" s="9">
        <f>IF(13&lt;=核心参数输入!$B$9,0,0)</f>
        <v>0</v>
      </c>
      <c r="R278" s="9">
        <f>IF(14&lt;=核心参数输入!$B$9,0,0)</f>
        <v>0</v>
      </c>
      <c r="S278" s="9">
        <f>IF(15&lt;=核心参数输入!$B$9,0,0)</f>
        <v>0</v>
      </c>
      <c r="T278" s="9">
        <f>IF(16&lt;=核心参数输入!$B$9,0,0)</f>
        <v>0</v>
      </c>
      <c r="U278" s="9">
        <f>IF(17&lt;=核心参数输入!$B$9,0,0)</f>
        <v>0</v>
      </c>
      <c r="V278" s="9">
        <f>IF(18&lt;=核心参数输入!$B$9,V241,0)</f>
        <v>87.951944004377907</v>
      </c>
      <c r="W278" s="9">
        <f>IF(19&lt;=核心参数输入!$B$9,IF(AND(核心参数输入!$B$100=1,OR(核心参数输入!$B$101=0,19-18&lt;=核心参数输入!$B$101)),MAX(0,V278-MAX(0,W238-SUMIFS($V$260:$V$277,$B$260:$B$277,"&gt;="&amp;IF(核心参数输入!$B$101=0,0,19-核心参数输入!$B$101)))),0),0)</f>
        <v>87.951944004377907</v>
      </c>
      <c r="X278" s="9">
        <f>IF(20&lt;=核心参数输入!$B$9,IF(AND(核心参数输入!$B$100=1,OR(核心参数输入!$B$101=0,20-18&lt;=核心参数输入!$B$101)),MAX(0,W278-MAX(0,X238-SUMIFS($W$260:$W$277,$B$260:$B$277,"&gt;="&amp;IF(核心参数输入!$B$101=0,0,20-核心参数输入!$B$101)))),0),0)</f>
        <v>87.951944004377907</v>
      </c>
      <c r="Y278" s="9">
        <f>IF(21&lt;=核心参数输入!$B$9,IF(AND(核心参数输入!$B$100=1,OR(核心参数输入!$B$101=0,21-18&lt;=核心参数输入!$B$101)),MAX(0,X278-MAX(0,Y238-SUMIFS($X$260:$X$277,$B$260:$B$277,"&gt;="&amp;IF(核心参数输入!$B$101=0,0,21-核心参数输入!$B$101)))),0),0)</f>
        <v>0</v>
      </c>
      <c r="Z278" s="9">
        <f>IF(22&lt;=核心参数输入!$B$9,IF(AND(核心参数输入!$B$100=1,OR(核心参数输入!$B$101=0,22-18&lt;=核心参数输入!$B$101)),MAX(0,Y278-MAX(0,Z238-SUMIFS($Y$260:$Y$277,$B$260:$B$277,"&gt;="&amp;IF(核心参数输入!$B$101=0,0,22-核心参数输入!$B$101)))),0),0)</f>
        <v>0</v>
      </c>
      <c r="AA278" s="9">
        <f>IF(23&lt;=核心参数输入!$B$9,IF(AND(核心参数输入!$B$100=1,OR(核心参数输入!$B$101=0,23-18&lt;=核心参数输入!$B$101)),MAX(0,Z278-MAX(0,AA238-SUMIFS($Z$260:$Z$277,$B$260:$B$277,"&gt;="&amp;IF(核心参数输入!$B$101=0,0,23-核心参数输入!$B$101)))),0),0)</f>
        <v>0</v>
      </c>
      <c r="AB278" s="9">
        <f>IF(24&lt;=核心参数输入!$B$9,IF(AND(核心参数输入!$B$100=1,OR(核心参数输入!$B$101=0,24-18&lt;=核心参数输入!$B$101)),MAX(0,AA278-MAX(0,AB238-SUMIFS($AA$260:$AA$277,$B$260:$B$277,"&gt;="&amp;IF(核心参数输入!$B$101=0,0,24-核心参数输入!$B$101)))),0),0)</f>
        <v>0</v>
      </c>
      <c r="AC278" s="9">
        <f>IF(25&lt;=核心参数输入!$B$9,IF(AND(核心参数输入!$B$100=1,OR(核心参数输入!$B$101=0,25-18&lt;=核心参数输入!$B$101)),MAX(0,AB278-MAX(0,AC238-SUMIFS($AB$260:$AB$277,$B$260:$B$277,"&gt;="&amp;IF(核心参数输入!$B$101=0,0,25-核心参数输入!$B$101)))),0),0)</f>
        <v>0</v>
      </c>
      <c r="AD278" s="9">
        <f>IF(26&lt;=核心参数输入!$B$9,IF(AND(核心参数输入!$B$100=1,OR(核心参数输入!$B$101=0,26-18&lt;=核心参数输入!$B$101)),MAX(0,AC278-MAX(0,AD238-SUMIFS($AC$260:$AC$277,$B$260:$B$277,"&gt;="&amp;IF(核心参数输入!$B$101=0,0,26-核心参数输入!$B$101)))),0),0)</f>
        <v>0</v>
      </c>
      <c r="AE278" s="9">
        <f>IF(27&lt;=核心参数输入!$B$9,IF(AND(核心参数输入!$B$100=1,OR(核心参数输入!$B$101=0,27-18&lt;=核心参数输入!$B$101)),MAX(0,AD278-MAX(0,AE238-SUMIFS($AD$260:$AD$277,$B$260:$B$277,"&gt;="&amp;IF(核心参数输入!$B$101=0,0,27-核心参数输入!$B$101)))),0),0)</f>
        <v>0</v>
      </c>
      <c r="AF278" s="9">
        <f>IF(28&lt;=核心参数输入!$B$9,IF(AND(核心参数输入!$B$100=1,OR(核心参数输入!$B$101=0,28-18&lt;=核心参数输入!$B$101)),MAX(0,AE278-MAX(0,AF238-SUMIFS($AE$260:$AE$277,$B$260:$B$277,"&gt;="&amp;IF(核心参数输入!$B$101=0,0,28-核心参数输入!$B$101)))),0),0)</f>
        <v>0</v>
      </c>
      <c r="AG278" s="9">
        <f>IF(29&lt;=核心参数输入!$B$9,IF(AND(核心参数输入!$B$100=1,OR(核心参数输入!$B$101=0,29-18&lt;=核心参数输入!$B$101)),MAX(0,AF278-MAX(0,AG238-SUMIFS($AF$260:$AF$277,$B$260:$B$277,"&gt;="&amp;IF(核心参数输入!$B$101=0,0,29-核心参数输入!$B$101)))),0),0)</f>
        <v>0</v>
      </c>
      <c r="AH278" s="9">
        <f>IF(30&lt;=核心参数输入!$B$9,IF(AND(核心参数输入!$B$100=1,OR(核心参数输入!$B$101=0,30-18&lt;=核心参数输入!$B$101)),MAX(0,AG278-MAX(0,AH238-SUMIFS($AG$260:$AG$277,$B$260:$B$277,"&gt;="&amp;IF(核心参数输入!$B$101=0,0,30-核心参数输入!$B$101)))),0),0)</f>
        <v>0</v>
      </c>
    </row>
    <row r="279" spans="1:34" ht="21" customHeight="1">
      <c r="A279" s="8" t="s">
        <v>605</v>
      </c>
      <c r="B279" s="8">
        <v>19</v>
      </c>
      <c r="C279" s="8"/>
      <c r="D279" s="9">
        <f>IF(0&lt;=核心参数输入!$B$9,0,0)</f>
        <v>0</v>
      </c>
      <c r="E279" s="9">
        <f>IF(1&lt;=核心参数输入!$B$9,0,0)</f>
        <v>0</v>
      </c>
      <c r="F279" s="9">
        <f>IF(2&lt;=核心参数输入!$B$9,0,0)</f>
        <v>0</v>
      </c>
      <c r="G279" s="9">
        <f>IF(3&lt;=核心参数输入!$B$9,0,0)</f>
        <v>0</v>
      </c>
      <c r="H279" s="9">
        <f>IF(4&lt;=核心参数输入!$B$9,0,0)</f>
        <v>0</v>
      </c>
      <c r="I279" s="9">
        <f>IF(5&lt;=核心参数输入!$B$9,0,0)</f>
        <v>0</v>
      </c>
      <c r="J279" s="9">
        <f>IF(6&lt;=核心参数输入!$B$9,0,0)</f>
        <v>0</v>
      </c>
      <c r="K279" s="9">
        <f>IF(7&lt;=核心参数输入!$B$9,0,0)</f>
        <v>0</v>
      </c>
      <c r="L279" s="9">
        <f>IF(8&lt;=核心参数输入!$B$9,0,0)</f>
        <v>0</v>
      </c>
      <c r="M279" s="9">
        <f>IF(9&lt;=核心参数输入!$B$9,0,0)</f>
        <v>0</v>
      </c>
      <c r="N279" s="9">
        <f>IF(10&lt;=核心参数输入!$B$9,0,0)</f>
        <v>0</v>
      </c>
      <c r="O279" s="9">
        <f>IF(11&lt;=核心参数输入!$B$9,0,0)</f>
        <v>0</v>
      </c>
      <c r="P279" s="9">
        <f>IF(12&lt;=核心参数输入!$B$9,0,0)</f>
        <v>0</v>
      </c>
      <c r="Q279" s="9">
        <f>IF(13&lt;=核心参数输入!$B$9,0,0)</f>
        <v>0</v>
      </c>
      <c r="R279" s="9">
        <f>IF(14&lt;=核心参数输入!$B$9,0,0)</f>
        <v>0</v>
      </c>
      <c r="S279" s="9">
        <f>IF(15&lt;=核心参数输入!$B$9,0,0)</f>
        <v>0</v>
      </c>
      <c r="T279" s="9">
        <f>IF(16&lt;=核心参数输入!$B$9,0,0)</f>
        <v>0</v>
      </c>
      <c r="U279" s="9">
        <f>IF(17&lt;=核心参数输入!$B$9,0,0)</f>
        <v>0</v>
      </c>
      <c r="V279" s="9">
        <f>IF(18&lt;=核心参数输入!$B$9,0,0)</f>
        <v>0</v>
      </c>
      <c r="W279" s="9">
        <f>IF(19&lt;=核心参数输入!$B$9,W241,0)</f>
        <v>74.623638809037942</v>
      </c>
      <c r="X279" s="9">
        <f>IF(20&lt;=核心参数输入!$B$9,IF(AND(核心参数输入!$B$100=1,OR(核心参数输入!$B$101=0,20-19&lt;=核心参数输入!$B$101)),MAX(0,W279-MAX(0,X238-SUMIFS($W$260:$W$278,$B$260:$B$278,"&gt;="&amp;IF(核心参数输入!$B$101=0,0,20-核心参数输入!$B$101)))),0),0)</f>
        <v>74.623638809037942</v>
      </c>
      <c r="Y279" s="9">
        <f>IF(21&lt;=核心参数输入!$B$9,IF(AND(核心参数输入!$B$100=1,OR(核心参数输入!$B$101=0,21-19&lt;=核心参数输入!$B$101)),MAX(0,X279-MAX(0,Y238-SUMIFS($X$260:$X$278,$B$260:$B$278,"&gt;="&amp;IF(核心参数输入!$B$101=0,0,21-核心参数输入!$B$101)))),0),0)</f>
        <v>0</v>
      </c>
      <c r="Z279" s="9">
        <f>IF(22&lt;=核心参数输入!$B$9,IF(AND(核心参数输入!$B$100=1,OR(核心参数输入!$B$101=0,22-19&lt;=核心参数输入!$B$101)),MAX(0,Y279-MAX(0,Z238-SUMIFS($Y$260:$Y$278,$B$260:$B$278,"&gt;="&amp;IF(核心参数输入!$B$101=0,0,22-核心参数输入!$B$101)))),0),0)</f>
        <v>0</v>
      </c>
      <c r="AA279" s="9">
        <f>IF(23&lt;=核心参数输入!$B$9,IF(AND(核心参数输入!$B$100=1,OR(核心参数输入!$B$101=0,23-19&lt;=核心参数输入!$B$101)),MAX(0,Z279-MAX(0,AA238-SUMIFS($Z$260:$Z$278,$B$260:$B$278,"&gt;="&amp;IF(核心参数输入!$B$101=0,0,23-核心参数输入!$B$101)))),0),0)</f>
        <v>0</v>
      </c>
      <c r="AB279" s="9">
        <f>IF(24&lt;=核心参数输入!$B$9,IF(AND(核心参数输入!$B$100=1,OR(核心参数输入!$B$101=0,24-19&lt;=核心参数输入!$B$101)),MAX(0,AA279-MAX(0,AB238-SUMIFS($AA$260:$AA$278,$B$260:$B$278,"&gt;="&amp;IF(核心参数输入!$B$101=0,0,24-核心参数输入!$B$101)))),0),0)</f>
        <v>0</v>
      </c>
      <c r="AC279" s="9">
        <f>IF(25&lt;=核心参数输入!$B$9,IF(AND(核心参数输入!$B$100=1,OR(核心参数输入!$B$101=0,25-19&lt;=核心参数输入!$B$101)),MAX(0,AB279-MAX(0,AC238-SUMIFS($AB$260:$AB$278,$B$260:$B$278,"&gt;="&amp;IF(核心参数输入!$B$101=0,0,25-核心参数输入!$B$101)))),0),0)</f>
        <v>0</v>
      </c>
      <c r="AD279" s="9">
        <f>IF(26&lt;=核心参数输入!$B$9,IF(AND(核心参数输入!$B$100=1,OR(核心参数输入!$B$101=0,26-19&lt;=核心参数输入!$B$101)),MAX(0,AC279-MAX(0,AD238-SUMIFS($AC$260:$AC$278,$B$260:$B$278,"&gt;="&amp;IF(核心参数输入!$B$101=0,0,26-核心参数输入!$B$101)))),0),0)</f>
        <v>0</v>
      </c>
      <c r="AE279" s="9">
        <f>IF(27&lt;=核心参数输入!$B$9,IF(AND(核心参数输入!$B$100=1,OR(核心参数输入!$B$101=0,27-19&lt;=核心参数输入!$B$101)),MAX(0,AD279-MAX(0,AE238-SUMIFS($AD$260:$AD$278,$B$260:$B$278,"&gt;="&amp;IF(核心参数输入!$B$101=0,0,27-核心参数输入!$B$101)))),0),0)</f>
        <v>0</v>
      </c>
      <c r="AF279" s="9">
        <f>IF(28&lt;=核心参数输入!$B$9,IF(AND(核心参数输入!$B$100=1,OR(核心参数输入!$B$101=0,28-19&lt;=核心参数输入!$B$101)),MAX(0,AE279-MAX(0,AF238-SUMIFS($AE$260:$AE$278,$B$260:$B$278,"&gt;="&amp;IF(核心参数输入!$B$101=0,0,28-核心参数输入!$B$101)))),0),0)</f>
        <v>0</v>
      </c>
      <c r="AG279" s="9">
        <f>IF(29&lt;=核心参数输入!$B$9,IF(AND(核心参数输入!$B$100=1,OR(核心参数输入!$B$101=0,29-19&lt;=核心参数输入!$B$101)),MAX(0,AF279-MAX(0,AG238-SUMIFS($AF$260:$AF$278,$B$260:$B$278,"&gt;="&amp;IF(核心参数输入!$B$101=0,0,29-核心参数输入!$B$101)))),0),0)</f>
        <v>0</v>
      </c>
      <c r="AH279" s="9">
        <f>IF(30&lt;=核心参数输入!$B$9,IF(AND(核心参数输入!$B$100=1,OR(核心参数输入!$B$101=0,30-19&lt;=核心参数输入!$B$101)),MAX(0,AG279-MAX(0,AH238-SUMIFS($AG$260:$AG$278,$B$260:$B$278,"&gt;="&amp;IF(核心参数输入!$B$101=0,0,30-核心参数输入!$B$101)))),0),0)</f>
        <v>0</v>
      </c>
    </row>
    <row r="280" spans="1:34" ht="21" customHeight="1">
      <c r="A280" s="8" t="s">
        <v>606</v>
      </c>
      <c r="B280" s="8">
        <v>20</v>
      </c>
      <c r="C280" s="8"/>
      <c r="D280" s="9">
        <f>IF(0&lt;=核心参数输入!$B$9,0,0)</f>
        <v>0</v>
      </c>
      <c r="E280" s="9">
        <f>IF(1&lt;=核心参数输入!$B$9,0,0)</f>
        <v>0</v>
      </c>
      <c r="F280" s="9">
        <f>IF(2&lt;=核心参数输入!$B$9,0,0)</f>
        <v>0</v>
      </c>
      <c r="G280" s="9">
        <f>IF(3&lt;=核心参数输入!$B$9,0,0)</f>
        <v>0</v>
      </c>
      <c r="H280" s="9">
        <f>IF(4&lt;=核心参数输入!$B$9,0,0)</f>
        <v>0</v>
      </c>
      <c r="I280" s="9">
        <f>IF(5&lt;=核心参数输入!$B$9,0,0)</f>
        <v>0</v>
      </c>
      <c r="J280" s="9">
        <f>IF(6&lt;=核心参数输入!$B$9,0,0)</f>
        <v>0</v>
      </c>
      <c r="K280" s="9">
        <f>IF(7&lt;=核心参数输入!$B$9,0,0)</f>
        <v>0</v>
      </c>
      <c r="L280" s="9">
        <f>IF(8&lt;=核心参数输入!$B$9,0,0)</f>
        <v>0</v>
      </c>
      <c r="M280" s="9">
        <f>IF(9&lt;=核心参数输入!$B$9,0,0)</f>
        <v>0</v>
      </c>
      <c r="N280" s="9">
        <f>IF(10&lt;=核心参数输入!$B$9,0,0)</f>
        <v>0</v>
      </c>
      <c r="O280" s="9">
        <f>IF(11&lt;=核心参数输入!$B$9,0,0)</f>
        <v>0</v>
      </c>
      <c r="P280" s="9">
        <f>IF(12&lt;=核心参数输入!$B$9,0,0)</f>
        <v>0</v>
      </c>
      <c r="Q280" s="9">
        <f>IF(13&lt;=核心参数输入!$B$9,0,0)</f>
        <v>0</v>
      </c>
      <c r="R280" s="9">
        <f>IF(14&lt;=核心参数输入!$B$9,0,0)</f>
        <v>0</v>
      </c>
      <c r="S280" s="9">
        <f>IF(15&lt;=核心参数输入!$B$9,0,0)</f>
        <v>0</v>
      </c>
      <c r="T280" s="9">
        <f>IF(16&lt;=核心参数输入!$B$9,0,0)</f>
        <v>0</v>
      </c>
      <c r="U280" s="9">
        <f>IF(17&lt;=核心参数输入!$B$9,0,0)</f>
        <v>0</v>
      </c>
      <c r="V280" s="9">
        <f>IF(18&lt;=核心参数输入!$B$9,0,0)</f>
        <v>0</v>
      </c>
      <c r="W280" s="9">
        <f>IF(19&lt;=核心参数输入!$B$9,0,0)</f>
        <v>0</v>
      </c>
      <c r="X280" s="9">
        <f>IF(20&lt;=核心参数输入!$B$9,X241,0)</f>
        <v>61.13499339865978</v>
      </c>
      <c r="Y280" s="9">
        <f>IF(21&lt;=核心参数输入!$B$9,IF(AND(核心参数输入!$B$100=1,OR(核心参数输入!$B$101=0,21-20&lt;=核心参数输入!$B$101)),MAX(0,X280-MAX(0,Y238-SUMIFS($X$260:$X$279,$B$260:$B$279,"&gt;="&amp;IF(核心参数输入!$B$101=0,0,21-核心参数输入!$B$101)))),0),0)</f>
        <v>0</v>
      </c>
      <c r="Z280" s="9">
        <f>IF(22&lt;=核心参数输入!$B$9,IF(AND(核心参数输入!$B$100=1,OR(核心参数输入!$B$101=0,22-20&lt;=核心参数输入!$B$101)),MAX(0,Y280-MAX(0,Z238-SUMIFS($Y$260:$Y$279,$B$260:$B$279,"&gt;="&amp;IF(核心参数输入!$B$101=0,0,22-核心参数输入!$B$101)))),0),0)</f>
        <v>0</v>
      </c>
      <c r="AA280" s="9">
        <f>IF(23&lt;=核心参数输入!$B$9,IF(AND(核心参数输入!$B$100=1,OR(核心参数输入!$B$101=0,23-20&lt;=核心参数输入!$B$101)),MAX(0,Z280-MAX(0,AA238-SUMIFS($Z$260:$Z$279,$B$260:$B$279,"&gt;="&amp;IF(核心参数输入!$B$101=0,0,23-核心参数输入!$B$101)))),0),0)</f>
        <v>0</v>
      </c>
      <c r="AB280" s="9">
        <f>IF(24&lt;=核心参数输入!$B$9,IF(AND(核心参数输入!$B$100=1,OR(核心参数输入!$B$101=0,24-20&lt;=核心参数输入!$B$101)),MAX(0,AA280-MAX(0,AB238-SUMIFS($AA$260:$AA$279,$B$260:$B$279,"&gt;="&amp;IF(核心参数输入!$B$101=0,0,24-核心参数输入!$B$101)))),0),0)</f>
        <v>0</v>
      </c>
      <c r="AC280" s="9">
        <f>IF(25&lt;=核心参数输入!$B$9,IF(AND(核心参数输入!$B$100=1,OR(核心参数输入!$B$101=0,25-20&lt;=核心参数输入!$B$101)),MAX(0,AB280-MAX(0,AC238-SUMIFS($AB$260:$AB$279,$B$260:$B$279,"&gt;="&amp;IF(核心参数输入!$B$101=0,0,25-核心参数输入!$B$101)))),0),0)</f>
        <v>0</v>
      </c>
      <c r="AD280" s="9">
        <f>IF(26&lt;=核心参数输入!$B$9,IF(AND(核心参数输入!$B$100=1,OR(核心参数输入!$B$101=0,26-20&lt;=核心参数输入!$B$101)),MAX(0,AC280-MAX(0,AD238-SUMIFS($AC$260:$AC$279,$B$260:$B$279,"&gt;="&amp;IF(核心参数输入!$B$101=0,0,26-核心参数输入!$B$101)))),0),0)</f>
        <v>0</v>
      </c>
      <c r="AE280" s="9">
        <f>IF(27&lt;=核心参数输入!$B$9,IF(AND(核心参数输入!$B$100=1,OR(核心参数输入!$B$101=0,27-20&lt;=核心参数输入!$B$101)),MAX(0,AD280-MAX(0,AE238-SUMIFS($AD$260:$AD$279,$B$260:$B$279,"&gt;="&amp;IF(核心参数输入!$B$101=0,0,27-核心参数输入!$B$101)))),0),0)</f>
        <v>0</v>
      </c>
      <c r="AF280" s="9">
        <f>IF(28&lt;=核心参数输入!$B$9,IF(AND(核心参数输入!$B$100=1,OR(核心参数输入!$B$101=0,28-20&lt;=核心参数输入!$B$101)),MAX(0,AE280-MAX(0,AF238-SUMIFS($AE$260:$AE$279,$B$260:$B$279,"&gt;="&amp;IF(核心参数输入!$B$101=0,0,28-核心参数输入!$B$101)))),0),0)</f>
        <v>0</v>
      </c>
      <c r="AG280" s="9">
        <f>IF(29&lt;=核心参数输入!$B$9,IF(AND(核心参数输入!$B$100=1,OR(核心参数输入!$B$101=0,29-20&lt;=核心参数输入!$B$101)),MAX(0,AF280-MAX(0,AG238-SUMIFS($AF$260:$AF$279,$B$260:$B$279,"&gt;="&amp;IF(核心参数输入!$B$101=0,0,29-核心参数输入!$B$101)))),0),0)</f>
        <v>0</v>
      </c>
      <c r="AH280" s="9">
        <f>IF(30&lt;=核心参数输入!$B$9,IF(AND(核心参数输入!$B$100=1,OR(核心参数输入!$B$101=0,30-20&lt;=核心参数输入!$B$101)),MAX(0,AG280-MAX(0,AH238-SUMIFS($AG$260:$AG$279,$B$260:$B$279,"&gt;="&amp;IF(核心参数输入!$B$101=0,0,30-核心参数输入!$B$101)))),0),0)</f>
        <v>0</v>
      </c>
    </row>
    <row r="281" spans="1:34" ht="21" customHeight="1">
      <c r="A281" s="8" t="s">
        <v>607</v>
      </c>
      <c r="B281" s="8">
        <v>21</v>
      </c>
      <c r="C281" s="8"/>
      <c r="D281" s="9">
        <f>IF(0&lt;=核心参数输入!$B$9,0,0)</f>
        <v>0</v>
      </c>
      <c r="E281" s="9">
        <f>IF(1&lt;=核心参数输入!$B$9,0,0)</f>
        <v>0</v>
      </c>
      <c r="F281" s="9">
        <f>IF(2&lt;=核心参数输入!$B$9,0,0)</f>
        <v>0</v>
      </c>
      <c r="G281" s="9">
        <f>IF(3&lt;=核心参数输入!$B$9,0,0)</f>
        <v>0</v>
      </c>
      <c r="H281" s="9">
        <f>IF(4&lt;=核心参数输入!$B$9,0,0)</f>
        <v>0</v>
      </c>
      <c r="I281" s="9">
        <f>IF(5&lt;=核心参数输入!$B$9,0,0)</f>
        <v>0</v>
      </c>
      <c r="J281" s="9">
        <f>IF(6&lt;=核心参数输入!$B$9,0,0)</f>
        <v>0</v>
      </c>
      <c r="K281" s="9">
        <f>IF(7&lt;=核心参数输入!$B$9,0,0)</f>
        <v>0</v>
      </c>
      <c r="L281" s="9">
        <f>IF(8&lt;=核心参数输入!$B$9,0,0)</f>
        <v>0</v>
      </c>
      <c r="M281" s="9">
        <f>IF(9&lt;=核心参数输入!$B$9,0,0)</f>
        <v>0</v>
      </c>
      <c r="N281" s="9">
        <f>IF(10&lt;=核心参数输入!$B$9,0,0)</f>
        <v>0</v>
      </c>
      <c r="O281" s="9">
        <f>IF(11&lt;=核心参数输入!$B$9,0,0)</f>
        <v>0</v>
      </c>
      <c r="P281" s="9">
        <f>IF(12&lt;=核心参数输入!$B$9,0,0)</f>
        <v>0</v>
      </c>
      <c r="Q281" s="9">
        <f>IF(13&lt;=核心参数输入!$B$9,0,0)</f>
        <v>0</v>
      </c>
      <c r="R281" s="9">
        <f>IF(14&lt;=核心参数输入!$B$9,0,0)</f>
        <v>0</v>
      </c>
      <c r="S281" s="9">
        <f>IF(15&lt;=核心参数输入!$B$9,0,0)</f>
        <v>0</v>
      </c>
      <c r="T281" s="9">
        <f>IF(16&lt;=核心参数输入!$B$9,0,0)</f>
        <v>0</v>
      </c>
      <c r="U281" s="9">
        <f>IF(17&lt;=核心参数输入!$B$9,0,0)</f>
        <v>0</v>
      </c>
      <c r="V281" s="9">
        <f>IF(18&lt;=核心参数输入!$B$9,0,0)</f>
        <v>0</v>
      </c>
      <c r="W281" s="9">
        <f>IF(19&lt;=核心参数输入!$B$9,0,0)</f>
        <v>0</v>
      </c>
      <c r="X281" s="9">
        <f>IF(20&lt;=核心参数输入!$B$9,0,0)</f>
        <v>0</v>
      </c>
      <c r="Y281" s="9">
        <f>IF(21&lt;=核心参数输入!$B$9,Y241,0)</f>
        <v>0</v>
      </c>
      <c r="Z281" s="9">
        <f>IF(22&lt;=核心参数输入!$B$9,IF(AND(核心参数输入!$B$100=1,OR(核心参数输入!$B$101=0,22-21&lt;=核心参数输入!$B$101)),MAX(0,Y281-MAX(0,Z238-SUMIFS($Y$260:$Y$280,$B$260:$B$280,"&gt;="&amp;IF(核心参数输入!$B$101=0,0,22-核心参数输入!$B$101)))),0),0)</f>
        <v>0</v>
      </c>
      <c r="AA281" s="9">
        <f>IF(23&lt;=核心参数输入!$B$9,IF(AND(核心参数输入!$B$100=1,OR(核心参数输入!$B$101=0,23-21&lt;=核心参数输入!$B$101)),MAX(0,Z281-MAX(0,AA238-SUMIFS($Z$260:$Z$280,$B$260:$B$280,"&gt;="&amp;IF(核心参数输入!$B$101=0,0,23-核心参数输入!$B$101)))),0),0)</f>
        <v>0</v>
      </c>
      <c r="AB281" s="9">
        <f>IF(24&lt;=核心参数输入!$B$9,IF(AND(核心参数输入!$B$100=1,OR(核心参数输入!$B$101=0,24-21&lt;=核心参数输入!$B$101)),MAX(0,AA281-MAX(0,AB238-SUMIFS($AA$260:$AA$280,$B$260:$B$280,"&gt;="&amp;IF(核心参数输入!$B$101=0,0,24-核心参数输入!$B$101)))),0),0)</f>
        <v>0</v>
      </c>
      <c r="AC281" s="9">
        <f>IF(25&lt;=核心参数输入!$B$9,IF(AND(核心参数输入!$B$100=1,OR(核心参数输入!$B$101=0,25-21&lt;=核心参数输入!$B$101)),MAX(0,AB281-MAX(0,AC238-SUMIFS($AB$260:$AB$280,$B$260:$B$280,"&gt;="&amp;IF(核心参数输入!$B$101=0,0,25-核心参数输入!$B$101)))),0),0)</f>
        <v>0</v>
      </c>
      <c r="AD281" s="9">
        <f>IF(26&lt;=核心参数输入!$B$9,IF(AND(核心参数输入!$B$100=1,OR(核心参数输入!$B$101=0,26-21&lt;=核心参数输入!$B$101)),MAX(0,AC281-MAX(0,AD238-SUMIFS($AC$260:$AC$280,$B$260:$B$280,"&gt;="&amp;IF(核心参数输入!$B$101=0,0,26-核心参数输入!$B$101)))),0),0)</f>
        <v>0</v>
      </c>
      <c r="AE281" s="9">
        <f>IF(27&lt;=核心参数输入!$B$9,IF(AND(核心参数输入!$B$100=1,OR(核心参数输入!$B$101=0,27-21&lt;=核心参数输入!$B$101)),MAX(0,AD281-MAX(0,AE238-SUMIFS($AD$260:$AD$280,$B$260:$B$280,"&gt;="&amp;IF(核心参数输入!$B$101=0,0,27-核心参数输入!$B$101)))),0),0)</f>
        <v>0</v>
      </c>
      <c r="AF281" s="9">
        <f>IF(28&lt;=核心参数输入!$B$9,IF(AND(核心参数输入!$B$100=1,OR(核心参数输入!$B$101=0,28-21&lt;=核心参数输入!$B$101)),MAX(0,AE281-MAX(0,AF238-SUMIFS($AE$260:$AE$280,$B$260:$B$280,"&gt;="&amp;IF(核心参数输入!$B$101=0,0,28-核心参数输入!$B$101)))),0),0)</f>
        <v>0</v>
      </c>
      <c r="AG281" s="9">
        <f>IF(29&lt;=核心参数输入!$B$9,IF(AND(核心参数输入!$B$100=1,OR(核心参数输入!$B$101=0,29-21&lt;=核心参数输入!$B$101)),MAX(0,AF281-MAX(0,AG238-SUMIFS($AF$260:$AF$280,$B$260:$B$280,"&gt;="&amp;IF(核心参数输入!$B$101=0,0,29-核心参数输入!$B$101)))),0),0)</f>
        <v>0</v>
      </c>
      <c r="AH281" s="9">
        <f>IF(30&lt;=核心参数输入!$B$9,IF(AND(核心参数输入!$B$100=1,OR(核心参数输入!$B$101=0,30-21&lt;=核心参数输入!$B$101)),MAX(0,AG281-MAX(0,AH238-SUMIFS($AG$260:$AG$280,$B$260:$B$280,"&gt;="&amp;IF(核心参数输入!$B$101=0,0,30-核心参数输入!$B$101)))),0),0)</f>
        <v>0</v>
      </c>
    </row>
    <row r="282" spans="1:34" ht="21" customHeight="1">
      <c r="A282" s="8" t="s">
        <v>608</v>
      </c>
      <c r="B282" s="8">
        <v>22</v>
      </c>
      <c r="C282" s="8"/>
      <c r="D282" s="9">
        <f>IF(0&lt;=核心参数输入!$B$9,0,0)</f>
        <v>0</v>
      </c>
      <c r="E282" s="9">
        <f>IF(1&lt;=核心参数输入!$B$9,0,0)</f>
        <v>0</v>
      </c>
      <c r="F282" s="9">
        <f>IF(2&lt;=核心参数输入!$B$9,0,0)</f>
        <v>0</v>
      </c>
      <c r="G282" s="9">
        <f>IF(3&lt;=核心参数输入!$B$9,0,0)</f>
        <v>0</v>
      </c>
      <c r="H282" s="9">
        <f>IF(4&lt;=核心参数输入!$B$9,0,0)</f>
        <v>0</v>
      </c>
      <c r="I282" s="9">
        <f>IF(5&lt;=核心参数输入!$B$9,0,0)</f>
        <v>0</v>
      </c>
      <c r="J282" s="9">
        <f>IF(6&lt;=核心参数输入!$B$9,0,0)</f>
        <v>0</v>
      </c>
      <c r="K282" s="9">
        <f>IF(7&lt;=核心参数输入!$B$9,0,0)</f>
        <v>0</v>
      </c>
      <c r="L282" s="9">
        <f>IF(8&lt;=核心参数输入!$B$9,0,0)</f>
        <v>0</v>
      </c>
      <c r="M282" s="9">
        <f>IF(9&lt;=核心参数输入!$B$9,0,0)</f>
        <v>0</v>
      </c>
      <c r="N282" s="9">
        <f>IF(10&lt;=核心参数输入!$B$9,0,0)</f>
        <v>0</v>
      </c>
      <c r="O282" s="9">
        <f>IF(11&lt;=核心参数输入!$B$9,0,0)</f>
        <v>0</v>
      </c>
      <c r="P282" s="9">
        <f>IF(12&lt;=核心参数输入!$B$9,0,0)</f>
        <v>0</v>
      </c>
      <c r="Q282" s="9">
        <f>IF(13&lt;=核心参数输入!$B$9,0,0)</f>
        <v>0</v>
      </c>
      <c r="R282" s="9">
        <f>IF(14&lt;=核心参数输入!$B$9,0,0)</f>
        <v>0</v>
      </c>
      <c r="S282" s="9">
        <f>IF(15&lt;=核心参数输入!$B$9,0,0)</f>
        <v>0</v>
      </c>
      <c r="T282" s="9">
        <f>IF(16&lt;=核心参数输入!$B$9,0,0)</f>
        <v>0</v>
      </c>
      <c r="U282" s="9">
        <f>IF(17&lt;=核心参数输入!$B$9,0,0)</f>
        <v>0</v>
      </c>
      <c r="V282" s="9">
        <f>IF(18&lt;=核心参数输入!$B$9,0,0)</f>
        <v>0</v>
      </c>
      <c r="W282" s="9">
        <f>IF(19&lt;=核心参数输入!$B$9,0,0)</f>
        <v>0</v>
      </c>
      <c r="X282" s="9">
        <f>IF(20&lt;=核心参数输入!$B$9,0,0)</f>
        <v>0</v>
      </c>
      <c r="Y282" s="9">
        <f>IF(21&lt;=核心参数输入!$B$9,0,0)</f>
        <v>0</v>
      </c>
      <c r="Z282" s="9">
        <f>IF(22&lt;=核心参数输入!$B$9,Z241,0)</f>
        <v>0</v>
      </c>
      <c r="AA282" s="9">
        <f>IF(23&lt;=核心参数输入!$B$9,IF(AND(核心参数输入!$B$100=1,OR(核心参数输入!$B$101=0,23-22&lt;=核心参数输入!$B$101)),MAX(0,Z282-MAX(0,AA238-SUMIFS($Z$260:$Z$281,$B$260:$B$281,"&gt;="&amp;IF(核心参数输入!$B$101=0,0,23-核心参数输入!$B$101)))),0),0)</f>
        <v>0</v>
      </c>
      <c r="AB282" s="9">
        <f>IF(24&lt;=核心参数输入!$B$9,IF(AND(核心参数输入!$B$100=1,OR(核心参数输入!$B$101=0,24-22&lt;=核心参数输入!$B$101)),MAX(0,AA282-MAX(0,AB238-SUMIFS($AA$260:$AA$281,$B$260:$B$281,"&gt;="&amp;IF(核心参数输入!$B$101=0,0,24-核心参数输入!$B$101)))),0),0)</f>
        <v>0</v>
      </c>
      <c r="AC282" s="9">
        <f>IF(25&lt;=核心参数输入!$B$9,IF(AND(核心参数输入!$B$100=1,OR(核心参数输入!$B$101=0,25-22&lt;=核心参数输入!$B$101)),MAX(0,AB282-MAX(0,AC238-SUMIFS($AB$260:$AB$281,$B$260:$B$281,"&gt;="&amp;IF(核心参数输入!$B$101=0,0,25-核心参数输入!$B$101)))),0),0)</f>
        <v>0</v>
      </c>
      <c r="AD282" s="9">
        <f>IF(26&lt;=核心参数输入!$B$9,IF(AND(核心参数输入!$B$100=1,OR(核心参数输入!$B$101=0,26-22&lt;=核心参数输入!$B$101)),MAX(0,AC282-MAX(0,AD238-SUMIFS($AC$260:$AC$281,$B$260:$B$281,"&gt;="&amp;IF(核心参数输入!$B$101=0,0,26-核心参数输入!$B$101)))),0),0)</f>
        <v>0</v>
      </c>
      <c r="AE282" s="9">
        <f>IF(27&lt;=核心参数输入!$B$9,IF(AND(核心参数输入!$B$100=1,OR(核心参数输入!$B$101=0,27-22&lt;=核心参数输入!$B$101)),MAX(0,AD282-MAX(0,AE238-SUMIFS($AD$260:$AD$281,$B$260:$B$281,"&gt;="&amp;IF(核心参数输入!$B$101=0,0,27-核心参数输入!$B$101)))),0),0)</f>
        <v>0</v>
      </c>
      <c r="AF282" s="9">
        <f>IF(28&lt;=核心参数输入!$B$9,IF(AND(核心参数输入!$B$100=1,OR(核心参数输入!$B$101=0,28-22&lt;=核心参数输入!$B$101)),MAX(0,AE282-MAX(0,AF238-SUMIFS($AE$260:$AE$281,$B$260:$B$281,"&gt;="&amp;IF(核心参数输入!$B$101=0,0,28-核心参数输入!$B$101)))),0),0)</f>
        <v>0</v>
      </c>
      <c r="AG282" s="9">
        <f>IF(29&lt;=核心参数输入!$B$9,IF(AND(核心参数输入!$B$100=1,OR(核心参数输入!$B$101=0,29-22&lt;=核心参数输入!$B$101)),MAX(0,AF282-MAX(0,AG238-SUMIFS($AF$260:$AF$281,$B$260:$B$281,"&gt;="&amp;IF(核心参数输入!$B$101=0,0,29-核心参数输入!$B$101)))),0),0)</f>
        <v>0</v>
      </c>
      <c r="AH282" s="9">
        <f>IF(30&lt;=核心参数输入!$B$9,IF(AND(核心参数输入!$B$100=1,OR(核心参数输入!$B$101=0,30-22&lt;=核心参数输入!$B$101)),MAX(0,AG282-MAX(0,AH238-SUMIFS($AG$260:$AG$281,$B$260:$B$281,"&gt;="&amp;IF(核心参数输入!$B$101=0,0,30-核心参数输入!$B$101)))),0),0)</f>
        <v>0</v>
      </c>
    </row>
    <row r="283" spans="1:34" ht="21" customHeight="1">
      <c r="A283" s="8" t="s">
        <v>609</v>
      </c>
      <c r="B283" s="8">
        <v>23</v>
      </c>
      <c r="C283" s="8"/>
      <c r="D283" s="9">
        <f>IF(0&lt;=核心参数输入!$B$9,0,0)</f>
        <v>0</v>
      </c>
      <c r="E283" s="9">
        <f>IF(1&lt;=核心参数输入!$B$9,0,0)</f>
        <v>0</v>
      </c>
      <c r="F283" s="9">
        <f>IF(2&lt;=核心参数输入!$B$9,0,0)</f>
        <v>0</v>
      </c>
      <c r="G283" s="9">
        <f>IF(3&lt;=核心参数输入!$B$9,0,0)</f>
        <v>0</v>
      </c>
      <c r="H283" s="9">
        <f>IF(4&lt;=核心参数输入!$B$9,0,0)</f>
        <v>0</v>
      </c>
      <c r="I283" s="9">
        <f>IF(5&lt;=核心参数输入!$B$9,0,0)</f>
        <v>0</v>
      </c>
      <c r="J283" s="9">
        <f>IF(6&lt;=核心参数输入!$B$9,0,0)</f>
        <v>0</v>
      </c>
      <c r="K283" s="9">
        <f>IF(7&lt;=核心参数输入!$B$9,0,0)</f>
        <v>0</v>
      </c>
      <c r="L283" s="9">
        <f>IF(8&lt;=核心参数输入!$B$9,0,0)</f>
        <v>0</v>
      </c>
      <c r="M283" s="9">
        <f>IF(9&lt;=核心参数输入!$B$9,0,0)</f>
        <v>0</v>
      </c>
      <c r="N283" s="9">
        <f>IF(10&lt;=核心参数输入!$B$9,0,0)</f>
        <v>0</v>
      </c>
      <c r="O283" s="9">
        <f>IF(11&lt;=核心参数输入!$B$9,0,0)</f>
        <v>0</v>
      </c>
      <c r="P283" s="9">
        <f>IF(12&lt;=核心参数输入!$B$9,0,0)</f>
        <v>0</v>
      </c>
      <c r="Q283" s="9">
        <f>IF(13&lt;=核心参数输入!$B$9,0,0)</f>
        <v>0</v>
      </c>
      <c r="R283" s="9">
        <f>IF(14&lt;=核心参数输入!$B$9,0,0)</f>
        <v>0</v>
      </c>
      <c r="S283" s="9">
        <f>IF(15&lt;=核心参数输入!$B$9,0,0)</f>
        <v>0</v>
      </c>
      <c r="T283" s="9">
        <f>IF(16&lt;=核心参数输入!$B$9,0,0)</f>
        <v>0</v>
      </c>
      <c r="U283" s="9">
        <f>IF(17&lt;=核心参数输入!$B$9,0,0)</f>
        <v>0</v>
      </c>
      <c r="V283" s="9">
        <f>IF(18&lt;=核心参数输入!$B$9,0,0)</f>
        <v>0</v>
      </c>
      <c r="W283" s="9">
        <f>IF(19&lt;=核心参数输入!$B$9,0,0)</f>
        <v>0</v>
      </c>
      <c r="X283" s="9">
        <f>IF(20&lt;=核心参数输入!$B$9,0,0)</f>
        <v>0</v>
      </c>
      <c r="Y283" s="9">
        <f>IF(21&lt;=核心参数输入!$B$9,0,0)</f>
        <v>0</v>
      </c>
      <c r="Z283" s="9">
        <f>IF(22&lt;=核心参数输入!$B$9,0,0)</f>
        <v>0</v>
      </c>
      <c r="AA283" s="9">
        <f>IF(23&lt;=核心参数输入!$B$9,AA241,0)</f>
        <v>0</v>
      </c>
      <c r="AB283" s="9">
        <f>IF(24&lt;=核心参数输入!$B$9,IF(AND(核心参数输入!$B$100=1,OR(核心参数输入!$B$101=0,24-23&lt;=核心参数输入!$B$101)),MAX(0,AA283-MAX(0,AB238-SUMIFS($AA$260:$AA$282,$B$260:$B$282,"&gt;="&amp;IF(核心参数输入!$B$101=0,0,24-核心参数输入!$B$101)))),0),0)</f>
        <v>0</v>
      </c>
      <c r="AC283" s="9">
        <f>IF(25&lt;=核心参数输入!$B$9,IF(AND(核心参数输入!$B$100=1,OR(核心参数输入!$B$101=0,25-23&lt;=核心参数输入!$B$101)),MAX(0,AB283-MAX(0,AC238-SUMIFS($AB$260:$AB$282,$B$260:$B$282,"&gt;="&amp;IF(核心参数输入!$B$101=0,0,25-核心参数输入!$B$101)))),0),0)</f>
        <v>0</v>
      </c>
      <c r="AD283" s="9">
        <f>IF(26&lt;=核心参数输入!$B$9,IF(AND(核心参数输入!$B$100=1,OR(核心参数输入!$B$101=0,26-23&lt;=核心参数输入!$B$101)),MAX(0,AC283-MAX(0,AD238-SUMIFS($AC$260:$AC$282,$B$260:$B$282,"&gt;="&amp;IF(核心参数输入!$B$101=0,0,26-核心参数输入!$B$101)))),0),0)</f>
        <v>0</v>
      </c>
      <c r="AE283" s="9">
        <f>IF(27&lt;=核心参数输入!$B$9,IF(AND(核心参数输入!$B$100=1,OR(核心参数输入!$B$101=0,27-23&lt;=核心参数输入!$B$101)),MAX(0,AD283-MAX(0,AE238-SUMIFS($AD$260:$AD$282,$B$260:$B$282,"&gt;="&amp;IF(核心参数输入!$B$101=0,0,27-核心参数输入!$B$101)))),0),0)</f>
        <v>0</v>
      </c>
      <c r="AF283" s="9">
        <f>IF(28&lt;=核心参数输入!$B$9,IF(AND(核心参数输入!$B$100=1,OR(核心参数输入!$B$101=0,28-23&lt;=核心参数输入!$B$101)),MAX(0,AE283-MAX(0,AF238-SUMIFS($AE$260:$AE$282,$B$260:$B$282,"&gt;="&amp;IF(核心参数输入!$B$101=0,0,28-核心参数输入!$B$101)))),0),0)</f>
        <v>0</v>
      </c>
      <c r="AG283" s="9">
        <f>IF(29&lt;=核心参数输入!$B$9,IF(AND(核心参数输入!$B$100=1,OR(核心参数输入!$B$101=0,29-23&lt;=核心参数输入!$B$101)),MAX(0,AF283-MAX(0,AG238-SUMIFS($AF$260:$AF$282,$B$260:$B$282,"&gt;="&amp;IF(核心参数输入!$B$101=0,0,29-核心参数输入!$B$101)))),0),0)</f>
        <v>0</v>
      </c>
      <c r="AH283" s="9">
        <f>IF(30&lt;=核心参数输入!$B$9,IF(AND(核心参数输入!$B$100=1,OR(核心参数输入!$B$101=0,30-23&lt;=核心参数输入!$B$101)),MAX(0,AG283-MAX(0,AH238-SUMIFS($AG$260:$AG$282,$B$260:$B$282,"&gt;="&amp;IF(核心参数输入!$B$101=0,0,30-核心参数输入!$B$101)))),0),0)</f>
        <v>0</v>
      </c>
    </row>
    <row r="284" spans="1:34" ht="21" customHeight="1">
      <c r="A284" s="8" t="s">
        <v>610</v>
      </c>
      <c r="B284" s="8">
        <v>24</v>
      </c>
      <c r="C284" s="8"/>
      <c r="D284" s="9">
        <f>IF(0&lt;=核心参数输入!$B$9,0,0)</f>
        <v>0</v>
      </c>
      <c r="E284" s="9">
        <f>IF(1&lt;=核心参数输入!$B$9,0,0)</f>
        <v>0</v>
      </c>
      <c r="F284" s="9">
        <f>IF(2&lt;=核心参数输入!$B$9,0,0)</f>
        <v>0</v>
      </c>
      <c r="G284" s="9">
        <f>IF(3&lt;=核心参数输入!$B$9,0,0)</f>
        <v>0</v>
      </c>
      <c r="H284" s="9">
        <f>IF(4&lt;=核心参数输入!$B$9,0,0)</f>
        <v>0</v>
      </c>
      <c r="I284" s="9">
        <f>IF(5&lt;=核心参数输入!$B$9,0,0)</f>
        <v>0</v>
      </c>
      <c r="J284" s="9">
        <f>IF(6&lt;=核心参数输入!$B$9,0,0)</f>
        <v>0</v>
      </c>
      <c r="K284" s="9">
        <f>IF(7&lt;=核心参数输入!$B$9,0,0)</f>
        <v>0</v>
      </c>
      <c r="L284" s="9">
        <f>IF(8&lt;=核心参数输入!$B$9,0,0)</f>
        <v>0</v>
      </c>
      <c r="M284" s="9">
        <f>IF(9&lt;=核心参数输入!$B$9,0,0)</f>
        <v>0</v>
      </c>
      <c r="N284" s="9">
        <f>IF(10&lt;=核心参数输入!$B$9,0,0)</f>
        <v>0</v>
      </c>
      <c r="O284" s="9">
        <f>IF(11&lt;=核心参数输入!$B$9,0,0)</f>
        <v>0</v>
      </c>
      <c r="P284" s="9">
        <f>IF(12&lt;=核心参数输入!$B$9,0,0)</f>
        <v>0</v>
      </c>
      <c r="Q284" s="9">
        <f>IF(13&lt;=核心参数输入!$B$9,0,0)</f>
        <v>0</v>
      </c>
      <c r="R284" s="9">
        <f>IF(14&lt;=核心参数输入!$B$9,0,0)</f>
        <v>0</v>
      </c>
      <c r="S284" s="9">
        <f>IF(15&lt;=核心参数输入!$B$9,0,0)</f>
        <v>0</v>
      </c>
      <c r="T284" s="9">
        <f>IF(16&lt;=核心参数输入!$B$9,0,0)</f>
        <v>0</v>
      </c>
      <c r="U284" s="9">
        <f>IF(17&lt;=核心参数输入!$B$9,0,0)</f>
        <v>0</v>
      </c>
      <c r="V284" s="9">
        <f>IF(18&lt;=核心参数输入!$B$9,0,0)</f>
        <v>0</v>
      </c>
      <c r="W284" s="9">
        <f>IF(19&lt;=核心参数输入!$B$9,0,0)</f>
        <v>0</v>
      </c>
      <c r="X284" s="9">
        <f>IF(20&lt;=核心参数输入!$B$9,0,0)</f>
        <v>0</v>
      </c>
      <c r="Y284" s="9">
        <f>IF(21&lt;=核心参数输入!$B$9,0,0)</f>
        <v>0</v>
      </c>
      <c r="Z284" s="9">
        <f>IF(22&lt;=核心参数输入!$B$9,0,0)</f>
        <v>0</v>
      </c>
      <c r="AA284" s="9">
        <f>IF(23&lt;=核心参数输入!$B$9,0,0)</f>
        <v>0</v>
      </c>
      <c r="AB284" s="9">
        <f>IF(24&lt;=核心参数输入!$B$9,AB241,0)</f>
        <v>0</v>
      </c>
      <c r="AC284" s="9">
        <f>IF(25&lt;=核心参数输入!$B$9,IF(AND(核心参数输入!$B$100=1,OR(核心参数输入!$B$101=0,25-24&lt;=核心参数输入!$B$101)),MAX(0,AB284-MAX(0,AC238-SUMIFS($AB$260:$AB$283,$B$260:$B$283,"&gt;="&amp;IF(核心参数输入!$B$101=0,0,25-核心参数输入!$B$101)))),0),0)</f>
        <v>0</v>
      </c>
      <c r="AD284" s="9">
        <f>IF(26&lt;=核心参数输入!$B$9,IF(AND(核心参数输入!$B$100=1,OR(核心参数输入!$B$101=0,26-24&lt;=核心参数输入!$B$101)),MAX(0,AC284-MAX(0,AD238-SUMIFS($AC$260:$AC$283,$B$260:$B$283,"&gt;="&amp;IF(核心参数输入!$B$101=0,0,26-核心参数输入!$B$101)))),0),0)</f>
        <v>0</v>
      </c>
      <c r="AE284" s="9">
        <f>IF(27&lt;=核心参数输入!$B$9,IF(AND(核心参数输入!$B$100=1,OR(核心参数输入!$B$101=0,27-24&lt;=核心参数输入!$B$101)),MAX(0,AD284-MAX(0,AE238-SUMIFS($AD$260:$AD$283,$B$260:$B$283,"&gt;="&amp;IF(核心参数输入!$B$101=0,0,27-核心参数输入!$B$101)))),0),0)</f>
        <v>0</v>
      </c>
      <c r="AF284" s="9">
        <f>IF(28&lt;=核心参数输入!$B$9,IF(AND(核心参数输入!$B$100=1,OR(核心参数输入!$B$101=0,28-24&lt;=核心参数输入!$B$101)),MAX(0,AE284-MAX(0,AF238-SUMIFS($AE$260:$AE$283,$B$260:$B$283,"&gt;="&amp;IF(核心参数输入!$B$101=0,0,28-核心参数输入!$B$101)))),0),0)</f>
        <v>0</v>
      </c>
      <c r="AG284" s="9">
        <f>IF(29&lt;=核心参数输入!$B$9,IF(AND(核心参数输入!$B$100=1,OR(核心参数输入!$B$101=0,29-24&lt;=核心参数输入!$B$101)),MAX(0,AF284-MAX(0,AG238-SUMIFS($AF$260:$AF$283,$B$260:$B$283,"&gt;="&amp;IF(核心参数输入!$B$101=0,0,29-核心参数输入!$B$101)))),0),0)</f>
        <v>0</v>
      </c>
      <c r="AH284" s="9">
        <f>IF(30&lt;=核心参数输入!$B$9,IF(AND(核心参数输入!$B$100=1,OR(核心参数输入!$B$101=0,30-24&lt;=核心参数输入!$B$101)),MAX(0,AG284-MAX(0,AH238-SUMIFS($AG$260:$AG$283,$B$260:$B$283,"&gt;="&amp;IF(核心参数输入!$B$101=0,0,30-核心参数输入!$B$101)))),0),0)</f>
        <v>0</v>
      </c>
    </row>
    <row r="285" spans="1:34" ht="21" customHeight="1">
      <c r="A285" s="8" t="s">
        <v>611</v>
      </c>
      <c r="B285" s="8">
        <v>25</v>
      </c>
      <c r="C285" s="8"/>
      <c r="D285" s="9">
        <f>IF(0&lt;=核心参数输入!$B$9,0,0)</f>
        <v>0</v>
      </c>
      <c r="E285" s="9">
        <f>IF(1&lt;=核心参数输入!$B$9,0,0)</f>
        <v>0</v>
      </c>
      <c r="F285" s="9">
        <f>IF(2&lt;=核心参数输入!$B$9,0,0)</f>
        <v>0</v>
      </c>
      <c r="G285" s="9">
        <f>IF(3&lt;=核心参数输入!$B$9,0,0)</f>
        <v>0</v>
      </c>
      <c r="H285" s="9">
        <f>IF(4&lt;=核心参数输入!$B$9,0,0)</f>
        <v>0</v>
      </c>
      <c r="I285" s="9">
        <f>IF(5&lt;=核心参数输入!$B$9,0,0)</f>
        <v>0</v>
      </c>
      <c r="J285" s="9">
        <f>IF(6&lt;=核心参数输入!$B$9,0,0)</f>
        <v>0</v>
      </c>
      <c r="K285" s="9">
        <f>IF(7&lt;=核心参数输入!$B$9,0,0)</f>
        <v>0</v>
      </c>
      <c r="L285" s="9">
        <f>IF(8&lt;=核心参数输入!$B$9,0,0)</f>
        <v>0</v>
      </c>
      <c r="M285" s="9">
        <f>IF(9&lt;=核心参数输入!$B$9,0,0)</f>
        <v>0</v>
      </c>
      <c r="N285" s="9">
        <f>IF(10&lt;=核心参数输入!$B$9,0,0)</f>
        <v>0</v>
      </c>
      <c r="O285" s="9">
        <f>IF(11&lt;=核心参数输入!$B$9,0,0)</f>
        <v>0</v>
      </c>
      <c r="P285" s="9">
        <f>IF(12&lt;=核心参数输入!$B$9,0,0)</f>
        <v>0</v>
      </c>
      <c r="Q285" s="9">
        <f>IF(13&lt;=核心参数输入!$B$9,0,0)</f>
        <v>0</v>
      </c>
      <c r="R285" s="9">
        <f>IF(14&lt;=核心参数输入!$B$9,0,0)</f>
        <v>0</v>
      </c>
      <c r="S285" s="9">
        <f>IF(15&lt;=核心参数输入!$B$9,0,0)</f>
        <v>0</v>
      </c>
      <c r="T285" s="9">
        <f>IF(16&lt;=核心参数输入!$B$9,0,0)</f>
        <v>0</v>
      </c>
      <c r="U285" s="9">
        <f>IF(17&lt;=核心参数输入!$B$9,0,0)</f>
        <v>0</v>
      </c>
      <c r="V285" s="9">
        <f>IF(18&lt;=核心参数输入!$B$9,0,0)</f>
        <v>0</v>
      </c>
      <c r="W285" s="9">
        <f>IF(19&lt;=核心参数输入!$B$9,0,0)</f>
        <v>0</v>
      </c>
      <c r="X285" s="9">
        <f>IF(20&lt;=核心参数输入!$B$9,0,0)</f>
        <v>0</v>
      </c>
      <c r="Y285" s="9">
        <f>IF(21&lt;=核心参数输入!$B$9,0,0)</f>
        <v>0</v>
      </c>
      <c r="Z285" s="9">
        <f>IF(22&lt;=核心参数输入!$B$9,0,0)</f>
        <v>0</v>
      </c>
      <c r="AA285" s="9">
        <f>IF(23&lt;=核心参数输入!$B$9,0,0)</f>
        <v>0</v>
      </c>
      <c r="AB285" s="9">
        <f>IF(24&lt;=核心参数输入!$B$9,0,0)</f>
        <v>0</v>
      </c>
      <c r="AC285" s="9">
        <f>IF(25&lt;=核心参数输入!$B$9,AC241,0)</f>
        <v>0</v>
      </c>
      <c r="AD285" s="9">
        <f>IF(26&lt;=核心参数输入!$B$9,IF(AND(核心参数输入!$B$100=1,OR(核心参数输入!$B$101=0,26-25&lt;=核心参数输入!$B$101)),MAX(0,AC285-MAX(0,AD238-SUMIFS($AC$260:$AC$284,$B$260:$B$284,"&gt;="&amp;IF(核心参数输入!$B$101=0,0,26-核心参数输入!$B$101)))),0),0)</f>
        <v>0</v>
      </c>
      <c r="AE285" s="9">
        <f>IF(27&lt;=核心参数输入!$B$9,IF(AND(核心参数输入!$B$100=1,OR(核心参数输入!$B$101=0,27-25&lt;=核心参数输入!$B$101)),MAX(0,AD285-MAX(0,AE238-SUMIFS($AD$260:$AD$284,$B$260:$B$284,"&gt;="&amp;IF(核心参数输入!$B$101=0,0,27-核心参数输入!$B$101)))),0),0)</f>
        <v>0</v>
      </c>
      <c r="AF285" s="9">
        <f>IF(28&lt;=核心参数输入!$B$9,IF(AND(核心参数输入!$B$100=1,OR(核心参数输入!$B$101=0,28-25&lt;=核心参数输入!$B$101)),MAX(0,AE285-MAX(0,AF238-SUMIFS($AE$260:$AE$284,$B$260:$B$284,"&gt;="&amp;IF(核心参数输入!$B$101=0,0,28-核心参数输入!$B$101)))),0),0)</f>
        <v>0</v>
      </c>
      <c r="AG285" s="9">
        <f>IF(29&lt;=核心参数输入!$B$9,IF(AND(核心参数输入!$B$100=1,OR(核心参数输入!$B$101=0,29-25&lt;=核心参数输入!$B$101)),MAX(0,AF285-MAX(0,AG238-SUMIFS($AF$260:$AF$284,$B$260:$B$284,"&gt;="&amp;IF(核心参数输入!$B$101=0,0,29-核心参数输入!$B$101)))),0),0)</f>
        <v>0</v>
      </c>
      <c r="AH285" s="9">
        <f>IF(30&lt;=核心参数输入!$B$9,IF(AND(核心参数输入!$B$100=1,OR(核心参数输入!$B$101=0,30-25&lt;=核心参数输入!$B$101)),MAX(0,AG285-MAX(0,AH238-SUMIFS($AG$260:$AG$284,$B$260:$B$284,"&gt;="&amp;IF(核心参数输入!$B$101=0,0,30-核心参数输入!$B$101)))),0),0)</f>
        <v>0</v>
      </c>
    </row>
    <row r="286" spans="1:34" ht="21" customHeight="1">
      <c r="A286" s="8" t="s">
        <v>612</v>
      </c>
      <c r="B286" s="8">
        <v>26</v>
      </c>
      <c r="C286" s="8"/>
      <c r="D286" s="9">
        <f>IF(0&lt;=核心参数输入!$B$9,0,0)</f>
        <v>0</v>
      </c>
      <c r="E286" s="9">
        <f>IF(1&lt;=核心参数输入!$B$9,0,0)</f>
        <v>0</v>
      </c>
      <c r="F286" s="9">
        <f>IF(2&lt;=核心参数输入!$B$9,0,0)</f>
        <v>0</v>
      </c>
      <c r="G286" s="9">
        <f>IF(3&lt;=核心参数输入!$B$9,0,0)</f>
        <v>0</v>
      </c>
      <c r="H286" s="9">
        <f>IF(4&lt;=核心参数输入!$B$9,0,0)</f>
        <v>0</v>
      </c>
      <c r="I286" s="9">
        <f>IF(5&lt;=核心参数输入!$B$9,0,0)</f>
        <v>0</v>
      </c>
      <c r="J286" s="9">
        <f>IF(6&lt;=核心参数输入!$B$9,0,0)</f>
        <v>0</v>
      </c>
      <c r="K286" s="9">
        <f>IF(7&lt;=核心参数输入!$B$9,0,0)</f>
        <v>0</v>
      </c>
      <c r="L286" s="9">
        <f>IF(8&lt;=核心参数输入!$B$9,0,0)</f>
        <v>0</v>
      </c>
      <c r="M286" s="9">
        <f>IF(9&lt;=核心参数输入!$B$9,0,0)</f>
        <v>0</v>
      </c>
      <c r="N286" s="9">
        <f>IF(10&lt;=核心参数输入!$B$9,0,0)</f>
        <v>0</v>
      </c>
      <c r="O286" s="9">
        <f>IF(11&lt;=核心参数输入!$B$9,0,0)</f>
        <v>0</v>
      </c>
      <c r="P286" s="9">
        <f>IF(12&lt;=核心参数输入!$B$9,0,0)</f>
        <v>0</v>
      </c>
      <c r="Q286" s="9">
        <f>IF(13&lt;=核心参数输入!$B$9,0,0)</f>
        <v>0</v>
      </c>
      <c r="R286" s="9">
        <f>IF(14&lt;=核心参数输入!$B$9,0,0)</f>
        <v>0</v>
      </c>
      <c r="S286" s="9">
        <f>IF(15&lt;=核心参数输入!$B$9,0,0)</f>
        <v>0</v>
      </c>
      <c r="T286" s="9">
        <f>IF(16&lt;=核心参数输入!$B$9,0,0)</f>
        <v>0</v>
      </c>
      <c r="U286" s="9">
        <f>IF(17&lt;=核心参数输入!$B$9,0,0)</f>
        <v>0</v>
      </c>
      <c r="V286" s="9">
        <f>IF(18&lt;=核心参数输入!$B$9,0,0)</f>
        <v>0</v>
      </c>
      <c r="W286" s="9">
        <f>IF(19&lt;=核心参数输入!$B$9,0,0)</f>
        <v>0</v>
      </c>
      <c r="X286" s="9">
        <f>IF(20&lt;=核心参数输入!$B$9,0,0)</f>
        <v>0</v>
      </c>
      <c r="Y286" s="9">
        <f>IF(21&lt;=核心参数输入!$B$9,0,0)</f>
        <v>0</v>
      </c>
      <c r="Z286" s="9">
        <f>IF(22&lt;=核心参数输入!$B$9,0,0)</f>
        <v>0</v>
      </c>
      <c r="AA286" s="9">
        <f>IF(23&lt;=核心参数输入!$B$9,0,0)</f>
        <v>0</v>
      </c>
      <c r="AB286" s="9">
        <f>IF(24&lt;=核心参数输入!$B$9,0,0)</f>
        <v>0</v>
      </c>
      <c r="AC286" s="9">
        <f>IF(25&lt;=核心参数输入!$B$9,0,0)</f>
        <v>0</v>
      </c>
      <c r="AD286" s="9">
        <f>IF(26&lt;=核心参数输入!$B$9,AD241,0)</f>
        <v>0</v>
      </c>
      <c r="AE286" s="9">
        <f>IF(27&lt;=核心参数输入!$B$9,IF(AND(核心参数输入!$B$100=1,OR(核心参数输入!$B$101=0,27-26&lt;=核心参数输入!$B$101)),MAX(0,AD286-MAX(0,AE238-SUMIFS($AD$260:$AD$285,$B$260:$B$285,"&gt;="&amp;IF(核心参数输入!$B$101=0,0,27-核心参数输入!$B$101)))),0),0)</f>
        <v>0</v>
      </c>
      <c r="AF286" s="9">
        <f>IF(28&lt;=核心参数输入!$B$9,IF(AND(核心参数输入!$B$100=1,OR(核心参数输入!$B$101=0,28-26&lt;=核心参数输入!$B$101)),MAX(0,AE286-MAX(0,AF238-SUMIFS($AE$260:$AE$285,$B$260:$B$285,"&gt;="&amp;IF(核心参数输入!$B$101=0,0,28-核心参数输入!$B$101)))),0),0)</f>
        <v>0</v>
      </c>
      <c r="AG286" s="9">
        <f>IF(29&lt;=核心参数输入!$B$9,IF(AND(核心参数输入!$B$100=1,OR(核心参数输入!$B$101=0,29-26&lt;=核心参数输入!$B$101)),MAX(0,AF286-MAX(0,AG238-SUMIFS($AF$260:$AF$285,$B$260:$B$285,"&gt;="&amp;IF(核心参数输入!$B$101=0,0,29-核心参数输入!$B$101)))),0),0)</f>
        <v>0</v>
      </c>
      <c r="AH286" s="9">
        <f>IF(30&lt;=核心参数输入!$B$9,IF(AND(核心参数输入!$B$100=1,OR(核心参数输入!$B$101=0,30-26&lt;=核心参数输入!$B$101)),MAX(0,AG286-MAX(0,AH238-SUMIFS($AG$260:$AG$285,$B$260:$B$285,"&gt;="&amp;IF(核心参数输入!$B$101=0,0,30-核心参数输入!$B$101)))),0),0)</f>
        <v>0</v>
      </c>
    </row>
    <row r="287" spans="1:34" ht="21" customHeight="1">
      <c r="A287" s="8" t="s">
        <v>613</v>
      </c>
      <c r="B287" s="8">
        <v>27</v>
      </c>
      <c r="C287" s="8"/>
      <c r="D287" s="9">
        <f>IF(0&lt;=核心参数输入!$B$9,0,0)</f>
        <v>0</v>
      </c>
      <c r="E287" s="9">
        <f>IF(1&lt;=核心参数输入!$B$9,0,0)</f>
        <v>0</v>
      </c>
      <c r="F287" s="9">
        <f>IF(2&lt;=核心参数输入!$B$9,0,0)</f>
        <v>0</v>
      </c>
      <c r="G287" s="9">
        <f>IF(3&lt;=核心参数输入!$B$9,0,0)</f>
        <v>0</v>
      </c>
      <c r="H287" s="9">
        <f>IF(4&lt;=核心参数输入!$B$9,0,0)</f>
        <v>0</v>
      </c>
      <c r="I287" s="9">
        <f>IF(5&lt;=核心参数输入!$B$9,0,0)</f>
        <v>0</v>
      </c>
      <c r="J287" s="9">
        <f>IF(6&lt;=核心参数输入!$B$9,0,0)</f>
        <v>0</v>
      </c>
      <c r="K287" s="9">
        <f>IF(7&lt;=核心参数输入!$B$9,0,0)</f>
        <v>0</v>
      </c>
      <c r="L287" s="9">
        <f>IF(8&lt;=核心参数输入!$B$9,0,0)</f>
        <v>0</v>
      </c>
      <c r="M287" s="9">
        <f>IF(9&lt;=核心参数输入!$B$9,0,0)</f>
        <v>0</v>
      </c>
      <c r="N287" s="9">
        <f>IF(10&lt;=核心参数输入!$B$9,0,0)</f>
        <v>0</v>
      </c>
      <c r="O287" s="9">
        <f>IF(11&lt;=核心参数输入!$B$9,0,0)</f>
        <v>0</v>
      </c>
      <c r="P287" s="9">
        <f>IF(12&lt;=核心参数输入!$B$9,0,0)</f>
        <v>0</v>
      </c>
      <c r="Q287" s="9">
        <f>IF(13&lt;=核心参数输入!$B$9,0,0)</f>
        <v>0</v>
      </c>
      <c r="R287" s="9">
        <f>IF(14&lt;=核心参数输入!$B$9,0,0)</f>
        <v>0</v>
      </c>
      <c r="S287" s="9">
        <f>IF(15&lt;=核心参数输入!$B$9,0,0)</f>
        <v>0</v>
      </c>
      <c r="T287" s="9">
        <f>IF(16&lt;=核心参数输入!$B$9,0,0)</f>
        <v>0</v>
      </c>
      <c r="U287" s="9">
        <f>IF(17&lt;=核心参数输入!$B$9,0,0)</f>
        <v>0</v>
      </c>
      <c r="V287" s="9">
        <f>IF(18&lt;=核心参数输入!$B$9,0,0)</f>
        <v>0</v>
      </c>
      <c r="W287" s="9">
        <f>IF(19&lt;=核心参数输入!$B$9,0,0)</f>
        <v>0</v>
      </c>
      <c r="X287" s="9">
        <f>IF(20&lt;=核心参数输入!$B$9,0,0)</f>
        <v>0</v>
      </c>
      <c r="Y287" s="9">
        <f>IF(21&lt;=核心参数输入!$B$9,0,0)</f>
        <v>0</v>
      </c>
      <c r="Z287" s="9">
        <f>IF(22&lt;=核心参数输入!$B$9,0,0)</f>
        <v>0</v>
      </c>
      <c r="AA287" s="9">
        <f>IF(23&lt;=核心参数输入!$B$9,0,0)</f>
        <v>0</v>
      </c>
      <c r="AB287" s="9">
        <f>IF(24&lt;=核心参数输入!$B$9,0,0)</f>
        <v>0</v>
      </c>
      <c r="AC287" s="9">
        <f>IF(25&lt;=核心参数输入!$B$9,0,0)</f>
        <v>0</v>
      </c>
      <c r="AD287" s="9">
        <f>IF(26&lt;=核心参数输入!$B$9,0,0)</f>
        <v>0</v>
      </c>
      <c r="AE287" s="9">
        <f>IF(27&lt;=核心参数输入!$B$9,AE241,0)</f>
        <v>0</v>
      </c>
      <c r="AF287" s="9">
        <f>IF(28&lt;=核心参数输入!$B$9,IF(AND(核心参数输入!$B$100=1,OR(核心参数输入!$B$101=0,28-27&lt;=核心参数输入!$B$101)),MAX(0,AE287-MAX(0,AF238-SUMIFS($AE$260:$AE$286,$B$260:$B$286,"&gt;="&amp;IF(核心参数输入!$B$101=0,0,28-核心参数输入!$B$101)))),0),0)</f>
        <v>0</v>
      </c>
      <c r="AG287" s="9">
        <f>IF(29&lt;=核心参数输入!$B$9,IF(AND(核心参数输入!$B$100=1,OR(核心参数输入!$B$101=0,29-27&lt;=核心参数输入!$B$101)),MAX(0,AF287-MAX(0,AG238-SUMIFS($AF$260:$AF$286,$B$260:$B$286,"&gt;="&amp;IF(核心参数输入!$B$101=0,0,29-核心参数输入!$B$101)))),0),0)</f>
        <v>0</v>
      </c>
      <c r="AH287" s="9">
        <f>IF(30&lt;=核心参数输入!$B$9,IF(AND(核心参数输入!$B$100=1,OR(核心参数输入!$B$101=0,30-27&lt;=核心参数输入!$B$101)),MAX(0,AG287-MAX(0,AH238-SUMIFS($AG$260:$AG$286,$B$260:$B$286,"&gt;="&amp;IF(核心参数输入!$B$101=0,0,30-核心参数输入!$B$101)))),0),0)</f>
        <v>0</v>
      </c>
    </row>
    <row r="288" spans="1:34" ht="21" customHeight="1">
      <c r="A288" s="8" t="s">
        <v>614</v>
      </c>
      <c r="B288" s="8">
        <v>28</v>
      </c>
      <c r="C288" s="8"/>
      <c r="D288" s="9">
        <f>IF(0&lt;=核心参数输入!$B$9,0,0)</f>
        <v>0</v>
      </c>
      <c r="E288" s="9">
        <f>IF(1&lt;=核心参数输入!$B$9,0,0)</f>
        <v>0</v>
      </c>
      <c r="F288" s="9">
        <f>IF(2&lt;=核心参数输入!$B$9,0,0)</f>
        <v>0</v>
      </c>
      <c r="G288" s="9">
        <f>IF(3&lt;=核心参数输入!$B$9,0,0)</f>
        <v>0</v>
      </c>
      <c r="H288" s="9">
        <f>IF(4&lt;=核心参数输入!$B$9,0,0)</f>
        <v>0</v>
      </c>
      <c r="I288" s="9">
        <f>IF(5&lt;=核心参数输入!$B$9,0,0)</f>
        <v>0</v>
      </c>
      <c r="J288" s="9">
        <f>IF(6&lt;=核心参数输入!$B$9,0,0)</f>
        <v>0</v>
      </c>
      <c r="K288" s="9">
        <f>IF(7&lt;=核心参数输入!$B$9,0,0)</f>
        <v>0</v>
      </c>
      <c r="L288" s="9">
        <f>IF(8&lt;=核心参数输入!$B$9,0,0)</f>
        <v>0</v>
      </c>
      <c r="M288" s="9">
        <f>IF(9&lt;=核心参数输入!$B$9,0,0)</f>
        <v>0</v>
      </c>
      <c r="N288" s="9">
        <f>IF(10&lt;=核心参数输入!$B$9,0,0)</f>
        <v>0</v>
      </c>
      <c r="O288" s="9">
        <f>IF(11&lt;=核心参数输入!$B$9,0,0)</f>
        <v>0</v>
      </c>
      <c r="P288" s="9">
        <f>IF(12&lt;=核心参数输入!$B$9,0,0)</f>
        <v>0</v>
      </c>
      <c r="Q288" s="9">
        <f>IF(13&lt;=核心参数输入!$B$9,0,0)</f>
        <v>0</v>
      </c>
      <c r="R288" s="9">
        <f>IF(14&lt;=核心参数输入!$B$9,0,0)</f>
        <v>0</v>
      </c>
      <c r="S288" s="9">
        <f>IF(15&lt;=核心参数输入!$B$9,0,0)</f>
        <v>0</v>
      </c>
      <c r="T288" s="9">
        <f>IF(16&lt;=核心参数输入!$B$9,0,0)</f>
        <v>0</v>
      </c>
      <c r="U288" s="9">
        <f>IF(17&lt;=核心参数输入!$B$9,0,0)</f>
        <v>0</v>
      </c>
      <c r="V288" s="9">
        <f>IF(18&lt;=核心参数输入!$B$9,0,0)</f>
        <v>0</v>
      </c>
      <c r="W288" s="9">
        <f>IF(19&lt;=核心参数输入!$B$9,0,0)</f>
        <v>0</v>
      </c>
      <c r="X288" s="9">
        <f>IF(20&lt;=核心参数输入!$B$9,0,0)</f>
        <v>0</v>
      </c>
      <c r="Y288" s="9">
        <f>IF(21&lt;=核心参数输入!$B$9,0,0)</f>
        <v>0</v>
      </c>
      <c r="Z288" s="9">
        <f>IF(22&lt;=核心参数输入!$B$9,0,0)</f>
        <v>0</v>
      </c>
      <c r="AA288" s="9">
        <f>IF(23&lt;=核心参数输入!$B$9,0,0)</f>
        <v>0</v>
      </c>
      <c r="AB288" s="9">
        <f>IF(24&lt;=核心参数输入!$B$9,0,0)</f>
        <v>0</v>
      </c>
      <c r="AC288" s="9">
        <f>IF(25&lt;=核心参数输入!$B$9,0,0)</f>
        <v>0</v>
      </c>
      <c r="AD288" s="9">
        <f>IF(26&lt;=核心参数输入!$B$9,0,0)</f>
        <v>0</v>
      </c>
      <c r="AE288" s="9">
        <f>IF(27&lt;=核心参数输入!$B$9,0,0)</f>
        <v>0</v>
      </c>
      <c r="AF288" s="9">
        <f>IF(28&lt;=核心参数输入!$B$9,AF241,0)</f>
        <v>0</v>
      </c>
      <c r="AG288" s="9">
        <f>IF(29&lt;=核心参数输入!$B$9,IF(AND(核心参数输入!$B$100=1,OR(核心参数输入!$B$101=0,29-28&lt;=核心参数输入!$B$101)),MAX(0,AF288-MAX(0,AG238-SUMIFS($AF$260:$AF$287,$B$260:$B$287,"&gt;="&amp;IF(核心参数输入!$B$101=0,0,29-核心参数输入!$B$101)))),0),0)</f>
        <v>0</v>
      </c>
      <c r="AH288" s="9">
        <f>IF(30&lt;=核心参数输入!$B$9,IF(AND(核心参数输入!$B$100=1,OR(核心参数输入!$B$101=0,30-28&lt;=核心参数输入!$B$101)),MAX(0,AG288-MAX(0,AH238-SUMIFS($AG$260:$AG$287,$B$260:$B$287,"&gt;="&amp;IF(核心参数输入!$B$101=0,0,30-核心参数输入!$B$101)))),0),0)</f>
        <v>0</v>
      </c>
    </row>
    <row r="289" spans="1:34" ht="21" customHeight="1">
      <c r="A289" s="8" t="s">
        <v>615</v>
      </c>
      <c r="B289" s="8">
        <v>29</v>
      </c>
      <c r="C289" s="8"/>
      <c r="D289" s="9">
        <f>IF(0&lt;=核心参数输入!$B$9,0,0)</f>
        <v>0</v>
      </c>
      <c r="E289" s="9">
        <f>IF(1&lt;=核心参数输入!$B$9,0,0)</f>
        <v>0</v>
      </c>
      <c r="F289" s="9">
        <f>IF(2&lt;=核心参数输入!$B$9,0,0)</f>
        <v>0</v>
      </c>
      <c r="G289" s="9">
        <f>IF(3&lt;=核心参数输入!$B$9,0,0)</f>
        <v>0</v>
      </c>
      <c r="H289" s="9">
        <f>IF(4&lt;=核心参数输入!$B$9,0,0)</f>
        <v>0</v>
      </c>
      <c r="I289" s="9">
        <f>IF(5&lt;=核心参数输入!$B$9,0,0)</f>
        <v>0</v>
      </c>
      <c r="J289" s="9">
        <f>IF(6&lt;=核心参数输入!$B$9,0,0)</f>
        <v>0</v>
      </c>
      <c r="K289" s="9">
        <f>IF(7&lt;=核心参数输入!$B$9,0,0)</f>
        <v>0</v>
      </c>
      <c r="L289" s="9">
        <f>IF(8&lt;=核心参数输入!$B$9,0,0)</f>
        <v>0</v>
      </c>
      <c r="M289" s="9">
        <f>IF(9&lt;=核心参数输入!$B$9,0,0)</f>
        <v>0</v>
      </c>
      <c r="N289" s="9">
        <f>IF(10&lt;=核心参数输入!$B$9,0,0)</f>
        <v>0</v>
      </c>
      <c r="O289" s="9">
        <f>IF(11&lt;=核心参数输入!$B$9,0,0)</f>
        <v>0</v>
      </c>
      <c r="P289" s="9">
        <f>IF(12&lt;=核心参数输入!$B$9,0,0)</f>
        <v>0</v>
      </c>
      <c r="Q289" s="9">
        <f>IF(13&lt;=核心参数输入!$B$9,0,0)</f>
        <v>0</v>
      </c>
      <c r="R289" s="9">
        <f>IF(14&lt;=核心参数输入!$B$9,0,0)</f>
        <v>0</v>
      </c>
      <c r="S289" s="9">
        <f>IF(15&lt;=核心参数输入!$B$9,0,0)</f>
        <v>0</v>
      </c>
      <c r="T289" s="9">
        <f>IF(16&lt;=核心参数输入!$B$9,0,0)</f>
        <v>0</v>
      </c>
      <c r="U289" s="9">
        <f>IF(17&lt;=核心参数输入!$B$9,0,0)</f>
        <v>0</v>
      </c>
      <c r="V289" s="9">
        <f>IF(18&lt;=核心参数输入!$B$9,0,0)</f>
        <v>0</v>
      </c>
      <c r="W289" s="9">
        <f>IF(19&lt;=核心参数输入!$B$9,0,0)</f>
        <v>0</v>
      </c>
      <c r="X289" s="9">
        <f>IF(20&lt;=核心参数输入!$B$9,0,0)</f>
        <v>0</v>
      </c>
      <c r="Y289" s="9">
        <f>IF(21&lt;=核心参数输入!$B$9,0,0)</f>
        <v>0</v>
      </c>
      <c r="Z289" s="9">
        <f>IF(22&lt;=核心参数输入!$B$9,0,0)</f>
        <v>0</v>
      </c>
      <c r="AA289" s="9">
        <f>IF(23&lt;=核心参数输入!$B$9,0,0)</f>
        <v>0</v>
      </c>
      <c r="AB289" s="9">
        <f>IF(24&lt;=核心参数输入!$B$9,0,0)</f>
        <v>0</v>
      </c>
      <c r="AC289" s="9">
        <f>IF(25&lt;=核心参数输入!$B$9,0,0)</f>
        <v>0</v>
      </c>
      <c r="AD289" s="9">
        <f>IF(26&lt;=核心参数输入!$B$9,0,0)</f>
        <v>0</v>
      </c>
      <c r="AE289" s="9">
        <f>IF(27&lt;=核心参数输入!$B$9,0,0)</f>
        <v>0</v>
      </c>
      <c r="AF289" s="9">
        <f>IF(28&lt;=核心参数输入!$B$9,0,0)</f>
        <v>0</v>
      </c>
      <c r="AG289" s="9">
        <f>IF(29&lt;=核心参数输入!$B$9,AG241,0)</f>
        <v>0</v>
      </c>
      <c r="AH289" s="9">
        <f>IF(30&lt;=核心参数输入!$B$9,IF(AND(核心参数输入!$B$100=1,OR(核心参数输入!$B$101=0,30-29&lt;=核心参数输入!$B$101)),MAX(0,AG289-MAX(0,AH238-SUMIFS($AG$260:$AG$288,$B$260:$B$288,"&gt;="&amp;IF(核心参数输入!$B$101=0,0,30-核心参数输入!$B$101)))),0),0)</f>
        <v>0</v>
      </c>
    </row>
    <row r="290" spans="1:34" ht="21" customHeight="1">
      <c r="A290" s="8" t="s">
        <v>616</v>
      </c>
      <c r="B290" s="8">
        <v>30</v>
      </c>
      <c r="C290" s="8"/>
      <c r="D290" s="9">
        <f>IF(0&lt;=核心参数输入!$B$9,0,0)</f>
        <v>0</v>
      </c>
      <c r="E290" s="9">
        <f>IF(1&lt;=核心参数输入!$B$9,0,0)</f>
        <v>0</v>
      </c>
      <c r="F290" s="9">
        <f>IF(2&lt;=核心参数输入!$B$9,0,0)</f>
        <v>0</v>
      </c>
      <c r="G290" s="9">
        <f>IF(3&lt;=核心参数输入!$B$9,0,0)</f>
        <v>0</v>
      </c>
      <c r="H290" s="9">
        <f>IF(4&lt;=核心参数输入!$B$9,0,0)</f>
        <v>0</v>
      </c>
      <c r="I290" s="9">
        <f>IF(5&lt;=核心参数输入!$B$9,0,0)</f>
        <v>0</v>
      </c>
      <c r="J290" s="9">
        <f>IF(6&lt;=核心参数输入!$B$9,0,0)</f>
        <v>0</v>
      </c>
      <c r="K290" s="9">
        <f>IF(7&lt;=核心参数输入!$B$9,0,0)</f>
        <v>0</v>
      </c>
      <c r="L290" s="9">
        <f>IF(8&lt;=核心参数输入!$B$9,0,0)</f>
        <v>0</v>
      </c>
      <c r="M290" s="9">
        <f>IF(9&lt;=核心参数输入!$B$9,0,0)</f>
        <v>0</v>
      </c>
      <c r="N290" s="9">
        <f>IF(10&lt;=核心参数输入!$B$9,0,0)</f>
        <v>0</v>
      </c>
      <c r="O290" s="9">
        <f>IF(11&lt;=核心参数输入!$B$9,0,0)</f>
        <v>0</v>
      </c>
      <c r="P290" s="9">
        <f>IF(12&lt;=核心参数输入!$B$9,0,0)</f>
        <v>0</v>
      </c>
      <c r="Q290" s="9">
        <f>IF(13&lt;=核心参数输入!$B$9,0,0)</f>
        <v>0</v>
      </c>
      <c r="R290" s="9">
        <f>IF(14&lt;=核心参数输入!$B$9,0,0)</f>
        <v>0</v>
      </c>
      <c r="S290" s="9">
        <f>IF(15&lt;=核心参数输入!$B$9,0,0)</f>
        <v>0</v>
      </c>
      <c r="T290" s="9">
        <f>IF(16&lt;=核心参数输入!$B$9,0,0)</f>
        <v>0</v>
      </c>
      <c r="U290" s="9">
        <f>IF(17&lt;=核心参数输入!$B$9,0,0)</f>
        <v>0</v>
      </c>
      <c r="V290" s="9">
        <f>IF(18&lt;=核心参数输入!$B$9,0,0)</f>
        <v>0</v>
      </c>
      <c r="W290" s="9">
        <f>IF(19&lt;=核心参数输入!$B$9,0,0)</f>
        <v>0</v>
      </c>
      <c r="X290" s="9">
        <f>IF(20&lt;=核心参数输入!$B$9,0,0)</f>
        <v>0</v>
      </c>
      <c r="Y290" s="9">
        <f>IF(21&lt;=核心参数输入!$B$9,0,0)</f>
        <v>0</v>
      </c>
      <c r="Z290" s="9">
        <f>IF(22&lt;=核心参数输入!$B$9,0,0)</f>
        <v>0</v>
      </c>
      <c r="AA290" s="9">
        <f>IF(23&lt;=核心参数输入!$B$9,0,0)</f>
        <v>0</v>
      </c>
      <c r="AB290" s="9">
        <f>IF(24&lt;=核心参数输入!$B$9,0,0)</f>
        <v>0</v>
      </c>
      <c r="AC290" s="9">
        <f>IF(25&lt;=核心参数输入!$B$9,0,0)</f>
        <v>0</v>
      </c>
      <c r="AD290" s="9">
        <f>IF(26&lt;=核心参数输入!$B$9,0,0)</f>
        <v>0</v>
      </c>
      <c r="AE290" s="9">
        <f>IF(27&lt;=核心参数输入!$B$9,0,0)</f>
        <v>0</v>
      </c>
      <c r="AF290" s="9">
        <f>IF(28&lt;=核心参数输入!$B$9,0,0)</f>
        <v>0</v>
      </c>
      <c r="AG290" s="9">
        <f>IF(29&lt;=核心参数输入!$B$9,0,0)</f>
        <v>0</v>
      </c>
      <c r="AH290" s="9">
        <f>IF(30&lt;=核心参数输入!$B$9,AH241,0)</f>
        <v>0</v>
      </c>
    </row>
    <row r="291" spans="1:34" ht="21" customHeight="1">
      <c r="A291" s="8"/>
      <c r="B291" s="8"/>
      <c r="C291" s="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 spans="1:34" ht="21" customHeight="1">
      <c r="A292" s="8"/>
      <c r="B292" s="8"/>
      <c r="C292" s="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 spans="1:34" ht="21" customHeight="1">
      <c r="A293" s="8"/>
      <c r="B293" s="8"/>
      <c r="C293" s="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 spans="1:34" ht="21" customHeight="1">
      <c r="A294" s="8"/>
      <c r="B294" s="8"/>
      <c r="C294" s="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 spans="1:34" ht="21" customHeight="1">
      <c r="A295" s="8"/>
      <c r="B295" s="8"/>
      <c r="C295" s="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 spans="1:34" ht="21" customHeight="1">
      <c r="A296" s="8"/>
      <c r="B296" s="8"/>
      <c r="C296" s="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 spans="1:34" ht="21" customHeight="1">
      <c r="A297" s="8"/>
      <c r="B297" s="8"/>
      <c r="C297" s="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 spans="1:34" ht="21" customHeight="1">
      <c r="A298" s="8"/>
      <c r="B298" s="8"/>
      <c r="C298" s="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 spans="1:34" ht="21" customHeight="1">
      <c r="A299" s="8"/>
      <c r="B299" s="8"/>
      <c r="C299" s="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 spans="1:34" ht="21" customHeight="1">
      <c r="A300" s="8"/>
      <c r="B300" s="8"/>
      <c r="C300" s="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</sheetData>
  <sheetProtection sheet="1" objects="1" scenarios="1"/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T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3" style="10" customWidth="1"/>
    <col min="2" max="2" width="18" style="10" customWidth="1"/>
    <col min="3" max="3" width="3" style="10" customWidth="1"/>
    <col min="4" max="124" width="16" style="10" customWidth="1"/>
    <col min="125" max="16384" width="9" style="10"/>
  </cols>
  <sheetData>
    <row r="1" spans="1:124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</row>
    <row r="2" spans="1:124" ht="30" customHeight="1">
      <c r="A2" s="11" t="s">
        <v>620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</row>
    <row r="3" spans="1:124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</row>
    <row r="4" spans="1:124" ht="21" customHeight="1">
      <c r="A4" s="8" t="s">
        <v>397</v>
      </c>
      <c r="B4" s="8"/>
      <c r="C4" s="8"/>
      <c r="D4" s="31">
        <f>0</f>
        <v>0</v>
      </c>
      <c r="E4" s="31">
        <f>1</f>
        <v>1</v>
      </c>
      <c r="F4" s="31">
        <f>2</f>
        <v>2</v>
      </c>
      <c r="G4" s="31">
        <f>3</f>
        <v>3</v>
      </c>
      <c r="H4" s="31">
        <f>4</f>
        <v>4</v>
      </c>
      <c r="I4" s="31">
        <f>5</f>
        <v>5</v>
      </c>
      <c r="J4" s="31">
        <f>6</f>
        <v>6</v>
      </c>
      <c r="K4" s="31">
        <f>7</f>
        <v>7</v>
      </c>
      <c r="L4" s="31">
        <f>8</f>
        <v>8</v>
      </c>
      <c r="M4" s="31">
        <f>9</f>
        <v>9</v>
      </c>
      <c r="N4" s="31">
        <f>10</f>
        <v>10</v>
      </c>
      <c r="O4" s="31">
        <f>11</f>
        <v>11</v>
      </c>
      <c r="P4" s="31">
        <f>12</f>
        <v>12</v>
      </c>
      <c r="Q4" s="31">
        <f>13</f>
        <v>13</v>
      </c>
      <c r="R4" s="31">
        <f>14</f>
        <v>14</v>
      </c>
      <c r="S4" s="31">
        <f>15</f>
        <v>15</v>
      </c>
      <c r="T4" s="31">
        <f>16</f>
        <v>16</v>
      </c>
      <c r="U4" s="31">
        <f>17</f>
        <v>17</v>
      </c>
      <c r="V4" s="31">
        <f>18</f>
        <v>18</v>
      </c>
      <c r="W4" s="31">
        <f>19</f>
        <v>19</v>
      </c>
      <c r="X4" s="31">
        <f>20</f>
        <v>20</v>
      </c>
      <c r="Y4" s="31">
        <f>21</f>
        <v>21</v>
      </c>
      <c r="Z4" s="31">
        <f>22</f>
        <v>22</v>
      </c>
      <c r="AA4" s="31">
        <f>23</f>
        <v>23</v>
      </c>
      <c r="AB4" s="31">
        <f>24</f>
        <v>24</v>
      </c>
      <c r="AC4" s="31">
        <f>25</f>
        <v>25</v>
      </c>
      <c r="AD4" s="31">
        <f>26</f>
        <v>26</v>
      </c>
      <c r="AE4" s="31">
        <f>27</f>
        <v>27</v>
      </c>
      <c r="AF4" s="31">
        <f>28</f>
        <v>28</v>
      </c>
      <c r="AG4" s="31">
        <f>29</f>
        <v>29</v>
      </c>
      <c r="AH4" s="31">
        <f>30</f>
        <v>30</v>
      </c>
      <c r="AI4" s="31">
        <f>31</f>
        <v>31</v>
      </c>
      <c r="AJ4" s="31">
        <f>32</f>
        <v>32</v>
      </c>
      <c r="AK4" s="31">
        <f>33</f>
        <v>33</v>
      </c>
      <c r="AL4" s="31">
        <f>34</f>
        <v>34</v>
      </c>
      <c r="AM4" s="31">
        <f>35</f>
        <v>35</v>
      </c>
      <c r="AN4" s="31">
        <f>36</f>
        <v>36</v>
      </c>
      <c r="AO4" s="31">
        <f>37</f>
        <v>37</v>
      </c>
      <c r="AP4" s="31">
        <f>38</f>
        <v>38</v>
      </c>
      <c r="AQ4" s="31">
        <f>39</f>
        <v>39</v>
      </c>
      <c r="AR4" s="31">
        <f>40</f>
        <v>40</v>
      </c>
      <c r="AS4" s="31">
        <f>41</f>
        <v>41</v>
      </c>
      <c r="AT4" s="31">
        <f>42</f>
        <v>42</v>
      </c>
      <c r="AU4" s="31">
        <f>43</f>
        <v>43</v>
      </c>
      <c r="AV4" s="31">
        <f>44</f>
        <v>44</v>
      </c>
      <c r="AW4" s="31">
        <f>45</f>
        <v>45</v>
      </c>
      <c r="AX4" s="31">
        <f>46</f>
        <v>46</v>
      </c>
      <c r="AY4" s="31">
        <f>47</f>
        <v>47</v>
      </c>
      <c r="AZ4" s="31">
        <f>48</f>
        <v>48</v>
      </c>
      <c r="BA4" s="31">
        <f>49</f>
        <v>49</v>
      </c>
      <c r="BB4" s="31">
        <f>50</f>
        <v>50</v>
      </c>
      <c r="BC4" s="31">
        <f>51</f>
        <v>51</v>
      </c>
      <c r="BD4" s="31">
        <f>52</f>
        <v>52</v>
      </c>
      <c r="BE4" s="31">
        <f>53</f>
        <v>53</v>
      </c>
      <c r="BF4" s="31">
        <f>54</f>
        <v>54</v>
      </c>
      <c r="BG4" s="31">
        <f>55</f>
        <v>55</v>
      </c>
      <c r="BH4" s="31">
        <f>56</f>
        <v>56</v>
      </c>
      <c r="BI4" s="31">
        <f>57</f>
        <v>57</v>
      </c>
      <c r="BJ4" s="31">
        <f>58</f>
        <v>58</v>
      </c>
      <c r="BK4" s="31">
        <f>59</f>
        <v>59</v>
      </c>
      <c r="BL4" s="31">
        <f>60</f>
        <v>60</v>
      </c>
      <c r="BM4" s="31">
        <f>61</f>
        <v>61</v>
      </c>
      <c r="BN4" s="31">
        <f>62</f>
        <v>62</v>
      </c>
      <c r="BO4" s="31">
        <f>63</f>
        <v>63</v>
      </c>
      <c r="BP4" s="31">
        <f>64</f>
        <v>64</v>
      </c>
      <c r="BQ4" s="31">
        <f>65</f>
        <v>65</v>
      </c>
      <c r="BR4" s="31">
        <f>66</f>
        <v>66</v>
      </c>
      <c r="BS4" s="31">
        <f>67</f>
        <v>67</v>
      </c>
      <c r="BT4" s="31">
        <f>68</f>
        <v>68</v>
      </c>
      <c r="BU4" s="31">
        <f>69</f>
        <v>69</v>
      </c>
      <c r="BV4" s="31">
        <f>70</f>
        <v>70</v>
      </c>
      <c r="BW4" s="31">
        <f>71</f>
        <v>71</v>
      </c>
      <c r="BX4" s="31">
        <f>72</f>
        <v>72</v>
      </c>
      <c r="BY4" s="31">
        <f>73</f>
        <v>73</v>
      </c>
      <c r="BZ4" s="31">
        <f>74</f>
        <v>74</v>
      </c>
      <c r="CA4" s="31">
        <f>75</f>
        <v>75</v>
      </c>
      <c r="CB4" s="31">
        <f>76</f>
        <v>76</v>
      </c>
      <c r="CC4" s="31">
        <f>77</f>
        <v>77</v>
      </c>
      <c r="CD4" s="31">
        <f>78</f>
        <v>78</v>
      </c>
      <c r="CE4" s="31">
        <f>79</f>
        <v>79</v>
      </c>
      <c r="CF4" s="31">
        <f>80</f>
        <v>80</v>
      </c>
      <c r="CG4" s="31">
        <f>81</f>
        <v>81</v>
      </c>
      <c r="CH4" s="31">
        <f>82</f>
        <v>82</v>
      </c>
      <c r="CI4" s="31">
        <f>83</f>
        <v>83</v>
      </c>
      <c r="CJ4" s="31">
        <f>84</f>
        <v>84</v>
      </c>
      <c r="CK4" s="31">
        <f>85</f>
        <v>85</v>
      </c>
      <c r="CL4" s="31">
        <f>86</f>
        <v>86</v>
      </c>
      <c r="CM4" s="31">
        <f>87</f>
        <v>87</v>
      </c>
      <c r="CN4" s="31">
        <f>88</f>
        <v>88</v>
      </c>
      <c r="CO4" s="31">
        <f>89</f>
        <v>89</v>
      </c>
      <c r="CP4" s="31">
        <f>90</f>
        <v>90</v>
      </c>
      <c r="CQ4" s="31">
        <f>91</f>
        <v>91</v>
      </c>
      <c r="CR4" s="31">
        <f>92</f>
        <v>92</v>
      </c>
      <c r="CS4" s="31">
        <f>93</f>
        <v>93</v>
      </c>
      <c r="CT4" s="31">
        <f>94</f>
        <v>94</v>
      </c>
      <c r="CU4" s="31">
        <f>95</f>
        <v>95</v>
      </c>
      <c r="CV4" s="31">
        <f>96</f>
        <v>96</v>
      </c>
      <c r="CW4" s="31">
        <f>97</f>
        <v>97</v>
      </c>
      <c r="CX4" s="31">
        <f>98</f>
        <v>98</v>
      </c>
      <c r="CY4" s="31">
        <f>99</f>
        <v>99</v>
      </c>
      <c r="CZ4" s="31">
        <f>100</f>
        <v>100</v>
      </c>
      <c r="DA4" s="31">
        <f>101</f>
        <v>101</v>
      </c>
      <c r="DB4" s="31">
        <f>102</f>
        <v>102</v>
      </c>
      <c r="DC4" s="31">
        <f>103</f>
        <v>103</v>
      </c>
      <c r="DD4" s="31">
        <f>104</f>
        <v>104</v>
      </c>
      <c r="DE4" s="31">
        <f>105</f>
        <v>105</v>
      </c>
      <c r="DF4" s="31">
        <f>106</f>
        <v>106</v>
      </c>
      <c r="DG4" s="31">
        <f>107</f>
        <v>107</v>
      </c>
      <c r="DH4" s="31">
        <f>108</f>
        <v>108</v>
      </c>
      <c r="DI4" s="31">
        <f>109</f>
        <v>109</v>
      </c>
      <c r="DJ4" s="31">
        <f>110</f>
        <v>110</v>
      </c>
      <c r="DK4" s="31">
        <f>111</f>
        <v>111</v>
      </c>
      <c r="DL4" s="31">
        <f>112</f>
        <v>112</v>
      </c>
      <c r="DM4" s="31">
        <f>113</f>
        <v>113</v>
      </c>
      <c r="DN4" s="31">
        <f>114</f>
        <v>114</v>
      </c>
      <c r="DO4" s="31">
        <f>115</f>
        <v>115</v>
      </c>
      <c r="DP4" s="31">
        <f>116</f>
        <v>116</v>
      </c>
      <c r="DQ4" s="31">
        <f>117</f>
        <v>117</v>
      </c>
      <c r="DR4" s="31">
        <f>118</f>
        <v>118</v>
      </c>
      <c r="DS4" s="31">
        <f>119</f>
        <v>119</v>
      </c>
      <c r="DT4" s="31">
        <f>120</f>
        <v>120</v>
      </c>
    </row>
    <row r="5" spans="1:124" ht="21" customHeight="1">
      <c r="A5" s="8" t="s">
        <v>398</v>
      </c>
      <c r="B5" s="8"/>
      <c r="C5" s="8"/>
      <c r="D5" s="21" t="str">
        <f>IF(D4=0,TEXT(核心参数输入!$B$8,"0")&amp;"年末 / 第0年",TEXT(核心参数输入!$B$8+INT((D4-1)/4)+1,"0")&amp;"Q"&amp;TEXT(MOD(D4-1,4)+1,"0"))</f>
        <v>2026年末 / 第0年</v>
      </c>
      <c r="E5" s="21" t="str">
        <f>IF(E4=0,TEXT(核心参数输入!$B$8,"0")&amp;"年末 / 第0年",TEXT(核心参数输入!$B$8+INT((E4-1)/4)+1,"0")&amp;"Q"&amp;TEXT(MOD(E4-1,4)+1,"0"))</f>
        <v>2027Q1</v>
      </c>
      <c r="F5" s="21" t="str">
        <f>IF(F4=0,TEXT(核心参数输入!$B$8,"0")&amp;"年末 / 第0年",TEXT(核心参数输入!$B$8+INT((F4-1)/4)+1,"0")&amp;"Q"&amp;TEXT(MOD(F4-1,4)+1,"0"))</f>
        <v>2027Q2</v>
      </c>
      <c r="G5" s="21" t="str">
        <f>IF(G4=0,TEXT(核心参数输入!$B$8,"0")&amp;"年末 / 第0年",TEXT(核心参数输入!$B$8+INT((G4-1)/4)+1,"0")&amp;"Q"&amp;TEXT(MOD(G4-1,4)+1,"0"))</f>
        <v>2027Q3</v>
      </c>
      <c r="H5" s="21" t="str">
        <f>IF(H4=0,TEXT(核心参数输入!$B$8,"0")&amp;"年末 / 第0年",TEXT(核心参数输入!$B$8+INT((H4-1)/4)+1,"0")&amp;"Q"&amp;TEXT(MOD(H4-1,4)+1,"0"))</f>
        <v>2027Q4</v>
      </c>
      <c r="I5" s="21" t="str">
        <f>IF(I4=0,TEXT(核心参数输入!$B$8,"0")&amp;"年末 / 第0年",TEXT(核心参数输入!$B$8+INT((I4-1)/4)+1,"0")&amp;"Q"&amp;TEXT(MOD(I4-1,4)+1,"0"))</f>
        <v>2028Q1</v>
      </c>
      <c r="J5" s="21" t="str">
        <f>IF(J4=0,TEXT(核心参数输入!$B$8,"0")&amp;"年末 / 第0年",TEXT(核心参数输入!$B$8+INT((J4-1)/4)+1,"0")&amp;"Q"&amp;TEXT(MOD(J4-1,4)+1,"0"))</f>
        <v>2028Q2</v>
      </c>
      <c r="K5" s="21" t="str">
        <f>IF(K4=0,TEXT(核心参数输入!$B$8,"0")&amp;"年末 / 第0年",TEXT(核心参数输入!$B$8+INT((K4-1)/4)+1,"0")&amp;"Q"&amp;TEXT(MOD(K4-1,4)+1,"0"))</f>
        <v>2028Q3</v>
      </c>
      <c r="L5" s="21" t="str">
        <f>IF(L4=0,TEXT(核心参数输入!$B$8,"0")&amp;"年末 / 第0年",TEXT(核心参数输入!$B$8+INT((L4-1)/4)+1,"0")&amp;"Q"&amp;TEXT(MOD(L4-1,4)+1,"0"))</f>
        <v>2028Q4</v>
      </c>
      <c r="M5" s="21" t="str">
        <f>IF(M4=0,TEXT(核心参数输入!$B$8,"0")&amp;"年末 / 第0年",TEXT(核心参数输入!$B$8+INT((M4-1)/4)+1,"0")&amp;"Q"&amp;TEXT(MOD(M4-1,4)+1,"0"))</f>
        <v>2029Q1</v>
      </c>
      <c r="N5" s="21" t="str">
        <f>IF(N4=0,TEXT(核心参数输入!$B$8,"0")&amp;"年末 / 第0年",TEXT(核心参数输入!$B$8+INT((N4-1)/4)+1,"0")&amp;"Q"&amp;TEXT(MOD(N4-1,4)+1,"0"))</f>
        <v>2029Q2</v>
      </c>
      <c r="O5" s="21" t="str">
        <f>IF(O4=0,TEXT(核心参数输入!$B$8,"0")&amp;"年末 / 第0年",TEXT(核心参数输入!$B$8+INT((O4-1)/4)+1,"0")&amp;"Q"&amp;TEXT(MOD(O4-1,4)+1,"0"))</f>
        <v>2029Q3</v>
      </c>
      <c r="P5" s="21" t="str">
        <f>IF(P4=0,TEXT(核心参数输入!$B$8,"0")&amp;"年末 / 第0年",TEXT(核心参数输入!$B$8+INT((P4-1)/4)+1,"0")&amp;"Q"&amp;TEXT(MOD(P4-1,4)+1,"0"))</f>
        <v>2029Q4</v>
      </c>
      <c r="Q5" s="21" t="str">
        <f>IF(Q4=0,TEXT(核心参数输入!$B$8,"0")&amp;"年末 / 第0年",TEXT(核心参数输入!$B$8+INT((Q4-1)/4)+1,"0")&amp;"Q"&amp;TEXT(MOD(Q4-1,4)+1,"0"))</f>
        <v>2030Q1</v>
      </c>
      <c r="R5" s="21" t="str">
        <f>IF(R4=0,TEXT(核心参数输入!$B$8,"0")&amp;"年末 / 第0年",TEXT(核心参数输入!$B$8+INT((R4-1)/4)+1,"0")&amp;"Q"&amp;TEXT(MOD(R4-1,4)+1,"0"))</f>
        <v>2030Q2</v>
      </c>
      <c r="S5" s="21" t="str">
        <f>IF(S4=0,TEXT(核心参数输入!$B$8,"0")&amp;"年末 / 第0年",TEXT(核心参数输入!$B$8+INT((S4-1)/4)+1,"0")&amp;"Q"&amp;TEXT(MOD(S4-1,4)+1,"0"))</f>
        <v>2030Q3</v>
      </c>
      <c r="T5" s="21" t="str">
        <f>IF(T4=0,TEXT(核心参数输入!$B$8,"0")&amp;"年末 / 第0年",TEXT(核心参数输入!$B$8+INT((T4-1)/4)+1,"0")&amp;"Q"&amp;TEXT(MOD(T4-1,4)+1,"0"))</f>
        <v>2030Q4</v>
      </c>
      <c r="U5" s="21" t="str">
        <f>IF(U4=0,TEXT(核心参数输入!$B$8,"0")&amp;"年末 / 第0年",TEXT(核心参数输入!$B$8+INT((U4-1)/4)+1,"0")&amp;"Q"&amp;TEXT(MOD(U4-1,4)+1,"0"))</f>
        <v>2031Q1</v>
      </c>
      <c r="V5" s="21" t="str">
        <f>IF(V4=0,TEXT(核心参数输入!$B$8,"0")&amp;"年末 / 第0年",TEXT(核心参数输入!$B$8+INT((V4-1)/4)+1,"0")&amp;"Q"&amp;TEXT(MOD(V4-1,4)+1,"0"))</f>
        <v>2031Q2</v>
      </c>
      <c r="W5" s="21" t="str">
        <f>IF(W4=0,TEXT(核心参数输入!$B$8,"0")&amp;"年末 / 第0年",TEXT(核心参数输入!$B$8+INT((W4-1)/4)+1,"0")&amp;"Q"&amp;TEXT(MOD(W4-1,4)+1,"0"))</f>
        <v>2031Q3</v>
      </c>
      <c r="X5" s="21" t="str">
        <f>IF(X4=0,TEXT(核心参数输入!$B$8,"0")&amp;"年末 / 第0年",TEXT(核心参数输入!$B$8+INT((X4-1)/4)+1,"0")&amp;"Q"&amp;TEXT(MOD(X4-1,4)+1,"0"))</f>
        <v>2031Q4</v>
      </c>
      <c r="Y5" s="21" t="str">
        <f>IF(Y4=0,TEXT(核心参数输入!$B$8,"0")&amp;"年末 / 第0年",TEXT(核心参数输入!$B$8+INT((Y4-1)/4)+1,"0")&amp;"Q"&amp;TEXT(MOD(Y4-1,4)+1,"0"))</f>
        <v>2032Q1</v>
      </c>
      <c r="Z5" s="21" t="str">
        <f>IF(Z4=0,TEXT(核心参数输入!$B$8,"0")&amp;"年末 / 第0年",TEXT(核心参数输入!$B$8+INT((Z4-1)/4)+1,"0")&amp;"Q"&amp;TEXT(MOD(Z4-1,4)+1,"0"))</f>
        <v>2032Q2</v>
      </c>
      <c r="AA5" s="21" t="str">
        <f>IF(AA4=0,TEXT(核心参数输入!$B$8,"0")&amp;"年末 / 第0年",TEXT(核心参数输入!$B$8+INT((AA4-1)/4)+1,"0")&amp;"Q"&amp;TEXT(MOD(AA4-1,4)+1,"0"))</f>
        <v>2032Q3</v>
      </c>
      <c r="AB5" s="21" t="str">
        <f>IF(AB4=0,TEXT(核心参数输入!$B$8,"0")&amp;"年末 / 第0年",TEXT(核心参数输入!$B$8+INT((AB4-1)/4)+1,"0")&amp;"Q"&amp;TEXT(MOD(AB4-1,4)+1,"0"))</f>
        <v>2032Q4</v>
      </c>
      <c r="AC5" s="21" t="str">
        <f>IF(AC4=0,TEXT(核心参数输入!$B$8,"0")&amp;"年末 / 第0年",TEXT(核心参数输入!$B$8+INT((AC4-1)/4)+1,"0")&amp;"Q"&amp;TEXT(MOD(AC4-1,4)+1,"0"))</f>
        <v>2033Q1</v>
      </c>
      <c r="AD5" s="21" t="str">
        <f>IF(AD4=0,TEXT(核心参数输入!$B$8,"0")&amp;"年末 / 第0年",TEXT(核心参数输入!$B$8+INT((AD4-1)/4)+1,"0")&amp;"Q"&amp;TEXT(MOD(AD4-1,4)+1,"0"))</f>
        <v>2033Q2</v>
      </c>
      <c r="AE5" s="21" t="str">
        <f>IF(AE4=0,TEXT(核心参数输入!$B$8,"0")&amp;"年末 / 第0年",TEXT(核心参数输入!$B$8+INT((AE4-1)/4)+1,"0")&amp;"Q"&amp;TEXT(MOD(AE4-1,4)+1,"0"))</f>
        <v>2033Q3</v>
      </c>
      <c r="AF5" s="21" t="str">
        <f>IF(AF4=0,TEXT(核心参数输入!$B$8,"0")&amp;"年末 / 第0年",TEXT(核心参数输入!$B$8+INT((AF4-1)/4)+1,"0")&amp;"Q"&amp;TEXT(MOD(AF4-1,4)+1,"0"))</f>
        <v>2033Q4</v>
      </c>
      <c r="AG5" s="21" t="str">
        <f>IF(AG4=0,TEXT(核心参数输入!$B$8,"0")&amp;"年末 / 第0年",TEXT(核心参数输入!$B$8+INT((AG4-1)/4)+1,"0")&amp;"Q"&amp;TEXT(MOD(AG4-1,4)+1,"0"))</f>
        <v>2034Q1</v>
      </c>
      <c r="AH5" s="21" t="str">
        <f>IF(AH4=0,TEXT(核心参数输入!$B$8,"0")&amp;"年末 / 第0年",TEXT(核心参数输入!$B$8+INT((AH4-1)/4)+1,"0")&amp;"Q"&amp;TEXT(MOD(AH4-1,4)+1,"0"))</f>
        <v>2034Q2</v>
      </c>
      <c r="AI5" s="21" t="str">
        <f>IF(AI4=0,TEXT(核心参数输入!$B$8,"0")&amp;"年末 / 第0年",TEXT(核心参数输入!$B$8+INT((AI4-1)/4)+1,"0")&amp;"Q"&amp;TEXT(MOD(AI4-1,4)+1,"0"))</f>
        <v>2034Q3</v>
      </c>
      <c r="AJ5" s="21" t="str">
        <f>IF(AJ4=0,TEXT(核心参数输入!$B$8,"0")&amp;"年末 / 第0年",TEXT(核心参数输入!$B$8+INT((AJ4-1)/4)+1,"0")&amp;"Q"&amp;TEXT(MOD(AJ4-1,4)+1,"0"))</f>
        <v>2034Q4</v>
      </c>
      <c r="AK5" s="21" t="str">
        <f>IF(AK4=0,TEXT(核心参数输入!$B$8,"0")&amp;"年末 / 第0年",TEXT(核心参数输入!$B$8+INT((AK4-1)/4)+1,"0")&amp;"Q"&amp;TEXT(MOD(AK4-1,4)+1,"0"))</f>
        <v>2035Q1</v>
      </c>
      <c r="AL5" s="21" t="str">
        <f>IF(AL4=0,TEXT(核心参数输入!$B$8,"0")&amp;"年末 / 第0年",TEXT(核心参数输入!$B$8+INT((AL4-1)/4)+1,"0")&amp;"Q"&amp;TEXT(MOD(AL4-1,4)+1,"0"))</f>
        <v>2035Q2</v>
      </c>
      <c r="AM5" s="21" t="str">
        <f>IF(AM4=0,TEXT(核心参数输入!$B$8,"0")&amp;"年末 / 第0年",TEXT(核心参数输入!$B$8+INT((AM4-1)/4)+1,"0")&amp;"Q"&amp;TEXT(MOD(AM4-1,4)+1,"0"))</f>
        <v>2035Q3</v>
      </c>
      <c r="AN5" s="21" t="str">
        <f>IF(AN4=0,TEXT(核心参数输入!$B$8,"0")&amp;"年末 / 第0年",TEXT(核心参数输入!$B$8+INT((AN4-1)/4)+1,"0")&amp;"Q"&amp;TEXT(MOD(AN4-1,4)+1,"0"))</f>
        <v>2035Q4</v>
      </c>
      <c r="AO5" s="21" t="str">
        <f>IF(AO4=0,TEXT(核心参数输入!$B$8,"0")&amp;"年末 / 第0年",TEXT(核心参数输入!$B$8+INT((AO4-1)/4)+1,"0")&amp;"Q"&amp;TEXT(MOD(AO4-1,4)+1,"0"))</f>
        <v>2036Q1</v>
      </c>
      <c r="AP5" s="21" t="str">
        <f>IF(AP4=0,TEXT(核心参数输入!$B$8,"0")&amp;"年末 / 第0年",TEXT(核心参数输入!$B$8+INT((AP4-1)/4)+1,"0")&amp;"Q"&amp;TEXT(MOD(AP4-1,4)+1,"0"))</f>
        <v>2036Q2</v>
      </c>
      <c r="AQ5" s="21" t="str">
        <f>IF(AQ4=0,TEXT(核心参数输入!$B$8,"0")&amp;"年末 / 第0年",TEXT(核心参数输入!$B$8+INT((AQ4-1)/4)+1,"0")&amp;"Q"&amp;TEXT(MOD(AQ4-1,4)+1,"0"))</f>
        <v>2036Q3</v>
      </c>
      <c r="AR5" s="21" t="str">
        <f>IF(AR4=0,TEXT(核心参数输入!$B$8,"0")&amp;"年末 / 第0年",TEXT(核心参数输入!$B$8+INT((AR4-1)/4)+1,"0")&amp;"Q"&amp;TEXT(MOD(AR4-1,4)+1,"0"))</f>
        <v>2036Q4</v>
      </c>
      <c r="AS5" s="21" t="str">
        <f>IF(AS4=0,TEXT(核心参数输入!$B$8,"0")&amp;"年末 / 第0年",TEXT(核心参数输入!$B$8+INT((AS4-1)/4)+1,"0")&amp;"Q"&amp;TEXT(MOD(AS4-1,4)+1,"0"))</f>
        <v>2037Q1</v>
      </c>
      <c r="AT5" s="21" t="str">
        <f>IF(AT4=0,TEXT(核心参数输入!$B$8,"0")&amp;"年末 / 第0年",TEXT(核心参数输入!$B$8+INT((AT4-1)/4)+1,"0")&amp;"Q"&amp;TEXT(MOD(AT4-1,4)+1,"0"))</f>
        <v>2037Q2</v>
      </c>
      <c r="AU5" s="21" t="str">
        <f>IF(AU4=0,TEXT(核心参数输入!$B$8,"0")&amp;"年末 / 第0年",TEXT(核心参数输入!$B$8+INT((AU4-1)/4)+1,"0")&amp;"Q"&amp;TEXT(MOD(AU4-1,4)+1,"0"))</f>
        <v>2037Q3</v>
      </c>
      <c r="AV5" s="21" t="str">
        <f>IF(AV4=0,TEXT(核心参数输入!$B$8,"0")&amp;"年末 / 第0年",TEXT(核心参数输入!$B$8+INT((AV4-1)/4)+1,"0")&amp;"Q"&amp;TEXT(MOD(AV4-1,4)+1,"0"))</f>
        <v>2037Q4</v>
      </c>
      <c r="AW5" s="21" t="str">
        <f>IF(AW4=0,TEXT(核心参数输入!$B$8,"0")&amp;"年末 / 第0年",TEXT(核心参数输入!$B$8+INT((AW4-1)/4)+1,"0")&amp;"Q"&amp;TEXT(MOD(AW4-1,4)+1,"0"))</f>
        <v>2038Q1</v>
      </c>
      <c r="AX5" s="21" t="str">
        <f>IF(AX4=0,TEXT(核心参数输入!$B$8,"0")&amp;"年末 / 第0年",TEXT(核心参数输入!$B$8+INT((AX4-1)/4)+1,"0")&amp;"Q"&amp;TEXT(MOD(AX4-1,4)+1,"0"))</f>
        <v>2038Q2</v>
      </c>
      <c r="AY5" s="21" t="str">
        <f>IF(AY4=0,TEXT(核心参数输入!$B$8,"0")&amp;"年末 / 第0年",TEXT(核心参数输入!$B$8+INT((AY4-1)/4)+1,"0")&amp;"Q"&amp;TEXT(MOD(AY4-1,4)+1,"0"))</f>
        <v>2038Q3</v>
      </c>
      <c r="AZ5" s="21" t="str">
        <f>IF(AZ4=0,TEXT(核心参数输入!$B$8,"0")&amp;"年末 / 第0年",TEXT(核心参数输入!$B$8+INT((AZ4-1)/4)+1,"0")&amp;"Q"&amp;TEXT(MOD(AZ4-1,4)+1,"0"))</f>
        <v>2038Q4</v>
      </c>
      <c r="BA5" s="21" t="str">
        <f>IF(BA4=0,TEXT(核心参数输入!$B$8,"0")&amp;"年末 / 第0年",TEXT(核心参数输入!$B$8+INT((BA4-1)/4)+1,"0")&amp;"Q"&amp;TEXT(MOD(BA4-1,4)+1,"0"))</f>
        <v>2039Q1</v>
      </c>
      <c r="BB5" s="21" t="str">
        <f>IF(BB4=0,TEXT(核心参数输入!$B$8,"0")&amp;"年末 / 第0年",TEXT(核心参数输入!$B$8+INT((BB4-1)/4)+1,"0")&amp;"Q"&amp;TEXT(MOD(BB4-1,4)+1,"0"))</f>
        <v>2039Q2</v>
      </c>
      <c r="BC5" s="21" t="str">
        <f>IF(BC4=0,TEXT(核心参数输入!$B$8,"0")&amp;"年末 / 第0年",TEXT(核心参数输入!$B$8+INT((BC4-1)/4)+1,"0")&amp;"Q"&amp;TEXT(MOD(BC4-1,4)+1,"0"))</f>
        <v>2039Q3</v>
      </c>
      <c r="BD5" s="21" t="str">
        <f>IF(BD4=0,TEXT(核心参数输入!$B$8,"0")&amp;"年末 / 第0年",TEXT(核心参数输入!$B$8+INT((BD4-1)/4)+1,"0")&amp;"Q"&amp;TEXT(MOD(BD4-1,4)+1,"0"))</f>
        <v>2039Q4</v>
      </c>
      <c r="BE5" s="21" t="str">
        <f>IF(BE4=0,TEXT(核心参数输入!$B$8,"0")&amp;"年末 / 第0年",TEXT(核心参数输入!$B$8+INT((BE4-1)/4)+1,"0")&amp;"Q"&amp;TEXT(MOD(BE4-1,4)+1,"0"))</f>
        <v>2040Q1</v>
      </c>
      <c r="BF5" s="21" t="str">
        <f>IF(BF4=0,TEXT(核心参数输入!$B$8,"0")&amp;"年末 / 第0年",TEXT(核心参数输入!$B$8+INT((BF4-1)/4)+1,"0")&amp;"Q"&amp;TEXT(MOD(BF4-1,4)+1,"0"))</f>
        <v>2040Q2</v>
      </c>
      <c r="BG5" s="21" t="str">
        <f>IF(BG4=0,TEXT(核心参数输入!$B$8,"0")&amp;"年末 / 第0年",TEXT(核心参数输入!$B$8+INT((BG4-1)/4)+1,"0")&amp;"Q"&amp;TEXT(MOD(BG4-1,4)+1,"0"))</f>
        <v>2040Q3</v>
      </c>
      <c r="BH5" s="21" t="str">
        <f>IF(BH4=0,TEXT(核心参数输入!$B$8,"0")&amp;"年末 / 第0年",TEXT(核心参数输入!$B$8+INT((BH4-1)/4)+1,"0")&amp;"Q"&amp;TEXT(MOD(BH4-1,4)+1,"0"))</f>
        <v>2040Q4</v>
      </c>
      <c r="BI5" s="21" t="str">
        <f>IF(BI4=0,TEXT(核心参数输入!$B$8,"0")&amp;"年末 / 第0年",TEXT(核心参数输入!$B$8+INT((BI4-1)/4)+1,"0")&amp;"Q"&amp;TEXT(MOD(BI4-1,4)+1,"0"))</f>
        <v>2041Q1</v>
      </c>
      <c r="BJ5" s="21" t="str">
        <f>IF(BJ4=0,TEXT(核心参数输入!$B$8,"0")&amp;"年末 / 第0年",TEXT(核心参数输入!$B$8+INT((BJ4-1)/4)+1,"0")&amp;"Q"&amp;TEXT(MOD(BJ4-1,4)+1,"0"))</f>
        <v>2041Q2</v>
      </c>
      <c r="BK5" s="21" t="str">
        <f>IF(BK4=0,TEXT(核心参数输入!$B$8,"0")&amp;"年末 / 第0年",TEXT(核心参数输入!$B$8+INT((BK4-1)/4)+1,"0")&amp;"Q"&amp;TEXT(MOD(BK4-1,4)+1,"0"))</f>
        <v>2041Q3</v>
      </c>
      <c r="BL5" s="21" t="str">
        <f>IF(BL4=0,TEXT(核心参数输入!$B$8,"0")&amp;"年末 / 第0年",TEXT(核心参数输入!$B$8+INT((BL4-1)/4)+1,"0")&amp;"Q"&amp;TEXT(MOD(BL4-1,4)+1,"0"))</f>
        <v>2041Q4</v>
      </c>
      <c r="BM5" s="21" t="str">
        <f>IF(BM4=0,TEXT(核心参数输入!$B$8,"0")&amp;"年末 / 第0年",TEXT(核心参数输入!$B$8+INT((BM4-1)/4)+1,"0")&amp;"Q"&amp;TEXT(MOD(BM4-1,4)+1,"0"))</f>
        <v>2042Q1</v>
      </c>
      <c r="BN5" s="21" t="str">
        <f>IF(BN4=0,TEXT(核心参数输入!$B$8,"0")&amp;"年末 / 第0年",TEXT(核心参数输入!$B$8+INT((BN4-1)/4)+1,"0")&amp;"Q"&amp;TEXT(MOD(BN4-1,4)+1,"0"))</f>
        <v>2042Q2</v>
      </c>
      <c r="BO5" s="21" t="str">
        <f>IF(BO4=0,TEXT(核心参数输入!$B$8,"0")&amp;"年末 / 第0年",TEXT(核心参数输入!$B$8+INT((BO4-1)/4)+1,"0")&amp;"Q"&amp;TEXT(MOD(BO4-1,4)+1,"0"))</f>
        <v>2042Q3</v>
      </c>
      <c r="BP5" s="21" t="str">
        <f>IF(BP4=0,TEXT(核心参数输入!$B$8,"0")&amp;"年末 / 第0年",TEXT(核心参数输入!$B$8+INT((BP4-1)/4)+1,"0")&amp;"Q"&amp;TEXT(MOD(BP4-1,4)+1,"0"))</f>
        <v>2042Q4</v>
      </c>
      <c r="BQ5" s="21" t="str">
        <f>IF(BQ4=0,TEXT(核心参数输入!$B$8,"0")&amp;"年末 / 第0年",TEXT(核心参数输入!$B$8+INT((BQ4-1)/4)+1,"0")&amp;"Q"&amp;TEXT(MOD(BQ4-1,4)+1,"0"))</f>
        <v>2043Q1</v>
      </c>
      <c r="BR5" s="21" t="str">
        <f>IF(BR4=0,TEXT(核心参数输入!$B$8,"0")&amp;"年末 / 第0年",TEXT(核心参数输入!$B$8+INT((BR4-1)/4)+1,"0")&amp;"Q"&amp;TEXT(MOD(BR4-1,4)+1,"0"))</f>
        <v>2043Q2</v>
      </c>
      <c r="BS5" s="21" t="str">
        <f>IF(BS4=0,TEXT(核心参数输入!$B$8,"0")&amp;"年末 / 第0年",TEXT(核心参数输入!$B$8+INT((BS4-1)/4)+1,"0")&amp;"Q"&amp;TEXT(MOD(BS4-1,4)+1,"0"))</f>
        <v>2043Q3</v>
      </c>
      <c r="BT5" s="21" t="str">
        <f>IF(BT4=0,TEXT(核心参数输入!$B$8,"0")&amp;"年末 / 第0年",TEXT(核心参数输入!$B$8+INT((BT4-1)/4)+1,"0")&amp;"Q"&amp;TEXT(MOD(BT4-1,4)+1,"0"))</f>
        <v>2043Q4</v>
      </c>
      <c r="BU5" s="21" t="str">
        <f>IF(BU4=0,TEXT(核心参数输入!$B$8,"0")&amp;"年末 / 第0年",TEXT(核心参数输入!$B$8+INT((BU4-1)/4)+1,"0")&amp;"Q"&amp;TEXT(MOD(BU4-1,4)+1,"0"))</f>
        <v>2044Q1</v>
      </c>
      <c r="BV5" s="21" t="str">
        <f>IF(BV4=0,TEXT(核心参数输入!$B$8,"0")&amp;"年末 / 第0年",TEXT(核心参数输入!$B$8+INT((BV4-1)/4)+1,"0")&amp;"Q"&amp;TEXT(MOD(BV4-1,4)+1,"0"))</f>
        <v>2044Q2</v>
      </c>
      <c r="BW5" s="21" t="str">
        <f>IF(BW4=0,TEXT(核心参数输入!$B$8,"0")&amp;"年末 / 第0年",TEXT(核心参数输入!$B$8+INT((BW4-1)/4)+1,"0")&amp;"Q"&amp;TEXT(MOD(BW4-1,4)+1,"0"))</f>
        <v>2044Q3</v>
      </c>
      <c r="BX5" s="21" t="str">
        <f>IF(BX4=0,TEXT(核心参数输入!$B$8,"0")&amp;"年末 / 第0年",TEXT(核心参数输入!$B$8+INT((BX4-1)/4)+1,"0")&amp;"Q"&amp;TEXT(MOD(BX4-1,4)+1,"0"))</f>
        <v>2044Q4</v>
      </c>
      <c r="BY5" s="21" t="str">
        <f>IF(BY4=0,TEXT(核心参数输入!$B$8,"0")&amp;"年末 / 第0年",TEXT(核心参数输入!$B$8+INT((BY4-1)/4)+1,"0")&amp;"Q"&amp;TEXT(MOD(BY4-1,4)+1,"0"))</f>
        <v>2045Q1</v>
      </c>
      <c r="BZ5" s="21" t="str">
        <f>IF(BZ4=0,TEXT(核心参数输入!$B$8,"0")&amp;"年末 / 第0年",TEXT(核心参数输入!$B$8+INT((BZ4-1)/4)+1,"0")&amp;"Q"&amp;TEXT(MOD(BZ4-1,4)+1,"0"))</f>
        <v>2045Q2</v>
      </c>
      <c r="CA5" s="21" t="str">
        <f>IF(CA4=0,TEXT(核心参数输入!$B$8,"0")&amp;"年末 / 第0年",TEXT(核心参数输入!$B$8+INT((CA4-1)/4)+1,"0")&amp;"Q"&amp;TEXT(MOD(CA4-1,4)+1,"0"))</f>
        <v>2045Q3</v>
      </c>
      <c r="CB5" s="21" t="str">
        <f>IF(CB4=0,TEXT(核心参数输入!$B$8,"0")&amp;"年末 / 第0年",TEXT(核心参数输入!$B$8+INT((CB4-1)/4)+1,"0")&amp;"Q"&amp;TEXT(MOD(CB4-1,4)+1,"0"))</f>
        <v>2045Q4</v>
      </c>
      <c r="CC5" s="21" t="str">
        <f>IF(CC4=0,TEXT(核心参数输入!$B$8,"0")&amp;"年末 / 第0年",TEXT(核心参数输入!$B$8+INT((CC4-1)/4)+1,"0")&amp;"Q"&amp;TEXT(MOD(CC4-1,4)+1,"0"))</f>
        <v>2046Q1</v>
      </c>
      <c r="CD5" s="21" t="str">
        <f>IF(CD4=0,TEXT(核心参数输入!$B$8,"0")&amp;"年末 / 第0年",TEXT(核心参数输入!$B$8+INT((CD4-1)/4)+1,"0")&amp;"Q"&amp;TEXT(MOD(CD4-1,4)+1,"0"))</f>
        <v>2046Q2</v>
      </c>
      <c r="CE5" s="21" t="str">
        <f>IF(CE4=0,TEXT(核心参数输入!$B$8,"0")&amp;"年末 / 第0年",TEXT(核心参数输入!$B$8+INT((CE4-1)/4)+1,"0")&amp;"Q"&amp;TEXT(MOD(CE4-1,4)+1,"0"))</f>
        <v>2046Q3</v>
      </c>
      <c r="CF5" s="21" t="str">
        <f>IF(CF4=0,TEXT(核心参数输入!$B$8,"0")&amp;"年末 / 第0年",TEXT(核心参数输入!$B$8+INT((CF4-1)/4)+1,"0")&amp;"Q"&amp;TEXT(MOD(CF4-1,4)+1,"0"))</f>
        <v>2046Q4</v>
      </c>
      <c r="CG5" s="21" t="str">
        <f>IF(CG4=0,TEXT(核心参数输入!$B$8,"0")&amp;"年末 / 第0年",TEXT(核心参数输入!$B$8+INT((CG4-1)/4)+1,"0")&amp;"Q"&amp;TEXT(MOD(CG4-1,4)+1,"0"))</f>
        <v>2047Q1</v>
      </c>
      <c r="CH5" s="21" t="str">
        <f>IF(CH4=0,TEXT(核心参数输入!$B$8,"0")&amp;"年末 / 第0年",TEXT(核心参数输入!$B$8+INT((CH4-1)/4)+1,"0")&amp;"Q"&amp;TEXT(MOD(CH4-1,4)+1,"0"))</f>
        <v>2047Q2</v>
      </c>
      <c r="CI5" s="21" t="str">
        <f>IF(CI4=0,TEXT(核心参数输入!$B$8,"0")&amp;"年末 / 第0年",TEXT(核心参数输入!$B$8+INT((CI4-1)/4)+1,"0")&amp;"Q"&amp;TEXT(MOD(CI4-1,4)+1,"0"))</f>
        <v>2047Q3</v>
      </c>
      <c r="CJ5" s="21" t="str">
        <f>IF(CJ4=0,TEXT(核心参数输入!$B$8,"0")&amp;"年末 / 第0年",TEXT(核心参数输入!$B$8+INT((CJ4-1)/4)+1,"0")&amp;"Q"&amp;TEXT(MOD(CJ4-1,4)+1,"0"))</f>
        <v>2047Q4</v>
      </c>
      <c r="CK5" s="21" t="str">
        <f>IF(CK4=0,TEXT(核心参数输入!$B$8,"0")&amp;"年末 / 第0年",TEXT(核心参数输入!$B$8+INT((CK4-1)/4)+1,"0")&amp;"Q"&amp;TEXT(MOD(CK4-1,4)+1,"0"))</f>
        <v>2048Q1</v>
      </c>
      <c r="CL5" s="21" t="str">
        <f>IF(CL4=0,TEXT(核心参数输入!$B$8,"0")&amp;"年末 / 第0年",TEXT(核心参数输入!$B$8+INT((CL4-1)/4)+1,"0")&amp;"Q"&amp;TEXT(MOD(CL4-1,4)+1,"0"))</f>
        <v>2048Q2</v>
      </c>
      <c r="CM5" s="21" t="str">
        <f>IF(CM4=0,TEXT(核心参数输入!$B$8,"0")&amp;"年末 / 第0年",TEXT(核心参数输入!$B$8+INT((CM4-1)/4)+1,"0")&amp;"Q"&amp;TEXT(MOD(CM4-1,4)+1,"0"))</f>
        <v>2048Q3</v>
      </c>
      <c r="CN5" s="21" t="str">
        <f>IF(CN4=0,TEXT(核心参数输入!$B$8,"0")&amp;"年末 / 第0年",TEXT(核心参数输入!$B$8+INT((CN4-1)/4)+1,"0")&amp;"Q"&amp;TEXT(MOD(CN4-1,4)+1,"0"))</f>
        <v>2048Q4</v>
      </c>
      <c r="CO5" s="21" t="str">
        <f>IF(CO4=0,TEXT(核心参数输入!$B$8,"0")&amp;"年末 / 第0年",TEXT(核心参数输入!$B$8+INT((CO4-1)/4)+1,"0")&amp;"Q"&amp;TEXT(MOD(CO4-1,4)+1,"0"))</f>
        <v>2049Q1</v>
      </c>
      <c r="CP5" s="21" t="str">
        <f>IF(CP4=0,TEXT(核心参数输入!$B$8,"0")&amp;"年末 / 第0年",TEXT(核心参数输入!$B$8+INT((CP4-1)/4)+1,"0")&amp;"Q"&amp;TEXT(MOD(CP4-1,4)+1,"0"))</f>
        <v>2049Q2</v>
      </c>
      <c r="CQ5" s="21" t="str">
        <f>IF(CQ4=0,TEXT(核心参数输入!$B$8,"0")&amp;"年末 / 第0年",TEXT(核心参数输入!$B$8+INT((CQ4-1)/4)+1,"0")&amp;"Q"&amp;TEXT(MOD(CQ4-1,4)+1,"0"))</f>
        <v>2049Q3</v>
      </c>
      <c r="CR5" s="21" t="str">
        <f>IF(CR4=0,TEXT(核心参数输入!$B$8,"0")&amp;"年末 / 第0年",TEXT(核心参数输入!$B$8+INT((CR4-1)/4)+1,"0")&amp;"Q"&amp;TEXT(MOD(CR4-1,4)+1,"0"))</f>
        <v>2049Q4</v>
      </c>
      <c r="CS5" s="21" t="str">
        <f>IF(CS4=0,TEXT(核心参数输入!$B$8,"0")&amp;"年末 / 第0年",TEXT(核心参数输入!$B$8+INT((CS4-1)/4)+1,"0")&amp;"Q"&amp;TEXT(MOD(CS4-1,4)+1,"0"))</f>
        <v>2050Q1</v>
      </c>
      <c r="CT5" s="21" t="str">
        <f>IF(CT4=0,TEXT(核心参数输入!$B$8,"0")&amp;"年末 / 第0年",TEXT(核心参数输入!$B$8+INT((CT4-1)/4)+1,"0")&amp;"Q"&amp;TEXT(MOD(CT4-1,4)+1,"0"))</f>
        <v>2050Q2</v>
      </c>
      <c r="CU5" s="21" t="str">
        <f>IF(CU4=0,TEXT(核心参数输入!$B$8,"0")&amp;"年末 / 第0年",TEXT(核心参数输入!$B$8+INT((CU4-1)/4)+1,"0")&amp;"Q"&amp;TEXT(MOD(CU4-1,4)+1,"0"))</f>
        <v>2050Q3</v>
      </c>
      <c r="CV5" s="21" t="str">
        <f>IF(CV4=0,TEXT(核心参数输入!$B$8,"0")&amp;"年末 / 第0年",TEXT(核心参数输入!$B$8+INT((CV4-1)/4)+1,"0")&amp;"Q"&amp;TEXT(MOD(CV4-1,4)+1,"0"))</f>
        <v>2050Q4</v>
      </c>
      <c r="CW5" s="21" t="str">
        <f>IF(CW4=0,TEXT(核心参数输入!$B$8,"0")&amp;"年末 / 第0年",TEXT(核心参数输入!$B$8+INT((CW4-1)/4)+1,"0")&amp;"Q"&amp;TEXT(MOD(CW4-1,4)+1,"0"))</f>
        <v>2051Q1</v>
      </c>
      <c r="CX5" s="21" t="str">
        <f>IF(CX4=0,TEXT(核心参数输入!$B$8,"0")&amp;"年末 / 第0年",TEXT(核心参数输入!$B$8+INT((CX4-1)/4)+1,"0")&amp;"Q"&amp;TEXT(MOD(CX4-1,4)+1,"0"))</f>
        <v>2051Q2</v>
      </c>
      <c r="CY5" s="21" t="str">
        <f>IF(CY4=0,TEXT(核心参数输入!$B$8,"0")&amp;"年末 / 第0年",TEXT(核心参数输入!$B$8+INT((CY4-1)/4)+1,"0")&amp;"Q"&amp;TEXT(MOD(CY4-1,4)+1,"0"))</f>
        <v>2051Q3</v>
      </c>
      <c r="CZ5" s="21" t="str">
        <f>IF(CZ4=0,TEXT(核心参数输入!$B$8,"0")&amp;"年末 / 第0年",TEXT(核心参数输入!$B$8+INT((CZ4-1)/4)+1,"0")&amp;"Q"&amp;TEXT(MOD(CZ4-1,4)+1,"0"))</f>
        <v>2051Q4</v>
      </c>
      <c r="DA5" s="21" t="str">
        <f>IF(DA4=0,TEXT(核心参数输入!$B$8,"0")&amp;"年末 / 第0年",TEXT(核心参数输入!$B$8+INT((DA4-1)/4)+1,"0")&amp;"Q"&amp;TEXT(MOD(DA4-1,4)+1,"0"))</f>
        <v>2052Q1</v>
      </c>
      <c r="DB5" s="21" t="str">
        <f>IF(DB4=0,TEXT(核心参数输入!$B$8,"0")&amp;"年末 / 第0年",TEXT(核心参数输入!$B$8+INT((DB4-1)/4)+1,"0")&amp;"Q"&amp;TEXT(MOD(DB4-1,4)+1,"0"))</f>
        <v>2052Q2</v>
      </c>
      <c r="DC5" s="21" t="str">
        <f>IF(DC4=0,TEXT(核心参数输入!$B$8,"0")&amp;"年末 / 第0年",TEXT(核心参数输入!$B$8+INT((DC4-1)/4)+1,"0")&amp;"Q"&amp;TEXT(MOD(DC4-1,4)+1,"0"))</f>
        <v>2052Q3</v>
      </c>
      <c r="DD5" s="21" t="str">
        <f>IF(DD4=0,TEXT(核心参数输入!$B$8,"0")&amp;"年末 / 第0年",TEXT(核心参数输入!$B$8+INT((DD4-1)/4)+1,"0")&amp;"Q"&amp;TEXT(MOD(DD4-1,4)+1,"0"))</f>
        <v>2052Q4</v>
      </c>
      <c r="DE5" s="21" t="str">
        <f>IF(DE4=0,TEXT(核心参数输入!$B$8,"0")&amp;"年末 / 第0年",TEXT(核心参数输入!$B$8+INT((DE4-1)/4)+1,"0")&amp;"Q"&amp;TEXT(MOD(DE4-1,4)+1,"0"))</f>
        <v>2053Q1</v>
      </c>
      <c r="DF5" s="21" t="str">
        <f>IF(DF4=0,TEXT(核心参数输入!$B$8,"0")&amp;"年末 / 第0年",TEXT(核心参数输入!$B$8+INT((DF4-1)/4)+1,"0")&amp;"Q"&amp;TEXT(MOD(DF4-1,4)+1,"0"))</f>
        <v>2053Q2</v>
      </c>
      <c r="DG5" s="21" t="str">
        <f>IF(DG4=0,TEXT(核心参数输入!$B$8,"0")&amp;"年末 / 第0年",TEXT(核心参数输入!$B$8+INT((DG4-1)/4)+1,"0")&amp;"Q"&amp;TEXT(MOD(DG4-1,4)+1,"0"))</f>
        <v>2053Q3</v>
      </c>
      <c r="DH5" s="21" t="str">
        <f>IF(DH4=0,TEXT(核心参数输入!$B$8,"0")&amp;"年末 / 第0年",TEXT(核心参数输入!$B$8+INT((DH4-1)/4)+1,"0")&amp;"Q"&amp;TEXT(MOD(DH4-1,4)+1,"0"))</f>
        <v>2053Q4</v>
      </c>
      <c r="DI5" s="21" t="str">
        <f>IF(DI4=0,TEXT(核心参数输入!$B$8,"0")&amp;"年末 / 第0年",TEXT(核心参数输入!$B$8+INT((DI4-1)/4)+1,"0")&amp;"Q"&amp;TEXT(MOD(DI4-1,4)+1,"0"))</f>
        <v>2054Q1</v>
      </c>
      <c r="DJ5" s="21" t="str">
        <f>IF(DJ4=0,TEXT(核心参数输入!$B$8,"0")&amp;"年末 / 第0年",TEXT(核心参数输入!$B$8+INT((DJ4-1)/4)+1,"0")&amp;"Q"&amp;TEXT(MOD(DJ4-1,4)+1,"0"))</f>
        <v>2054Q2</v>
      </c>
      <c r="DK5" s="21" t="str">
        <f>IF(DK4=0,TEXT(核心参数输入!$B$8,"0")&amp;"年末 / 第0年",TEXT(核心参数输入!$B$8+INT((DK4-1)/4)+1,"0")&amp;"Q"&amp;TEXT(MOD(DK4-1,4)+1,"0"))</f>
        <v>2054Q3</v>
      </c>
      <c r="DL5" s="21" t="str">
        <f>IF(DL4=0,TEXT(核心参数输入!$B$8,"0")&amp;"年末 / 第0年",TEXT(核心参数输入!$B$8+INT((DL4-1)/4)+1,"0")&amp;"Q"&amp;TEXT(MOD(DL4-1,4)+1,"0"))</f>
        <v>2054Q4</v>
      </c>
      <c r="DM5" s="21" t="str">
        <f>IF(DM4=0,TEXT(核心参数输入!$B$8,"0")&amp;"年末 / 第0年",TEXT(核心参数输入!$B$8+INT((DM4-1)/4)+1,"0")&amp;"Q"&amp;TEXT(MOD(DM4-1,4)+1,"0"))</f>
        <v>2055Q1</v>
      </c>
      <c r="DN5" s="21" t="str">
        <f>IF(DN4=0,TEXT(核心参数输入!$B$8,"0")&amp;"年末 / 第0年",TEXT(核心参数输入!$B$8+INT((DN4-1)/4)+1,"0")&amp;"Q"&amp;TEXT(MOD(DN4-1,4)+1,"0"))</f>
        <v>2055Q2</v>
      </c>
      <c r="DO5" s="21" t="str">
        <f>IF(DO4=0,TEXT(核心参数输入!$B$8,"0")&amp;"年末 / 第0年",TEXT(核心参数输入!$B$8+INT((DO4-1)/4)+1,"0")&amp;"Q"&amp;TEXT(MOD(DO4-1,4)+1,"0"))</f>
        <v>2055Q3</v>
      </c>
      <c r="DP5" s="21" t="str">
        <f>IF(DP4=0,TEXT(核心参数输入!$B$8,"0")&amp;"年末 / 第0年",TEXT(核心参数输入!$B$8+INT((DP4-1)/4)+1,"0")&amp;"Q"&amp;TEXT(MOD(DP4-1,4)+1,"0"))</f>
        <v>2055Q4</v>
      </c>
      <c r="DQ5" s="21" t="str">
        <f>IF(DQ4=0,TEXT(核心参数输入!$B$8,"0")&amp;"年末 / 第0年",TEXT(核心参数输入!$B$8+INT((DQ4-1)/4)+1,"0")&amp;"Q"&amp;TEXT(MOD(DQ4-1,4)+1,"0"))</f>
        <v>2056Q1</v>
      </c>
      <c r="DR5" s="21" t="str">
        <f>IF(DR4=0,TEXT(核心参数输入!$B$8,"0")&amp;"年末 / 第0年",TEXT(核心参数输入!$B$8+INT((DR4-1)/4)+1,"0")&amp;"Q"&amp;TEXT(MOD(DR4-1,4)+1,"0"))</f>
        <v>2056Q2</v>
      </c>
      <c r="DS5" s="21" t="str">
        <f>IF(DS4=0,TEXT(核心参数输入!$B$8,"0")&amp;"年末 / 第0年",TEXT(核心参数输入!$B$8+INT((DS4-1)/4)+1,"0")&amp;"Q"&amp;TEXT(MOD(DS4-1,4)+1,"0"))</f>
        <v>2056Q3</v>
      </c>
      <c r="DT5" s="21" t="str">
        <f>IF(DT4=0,TEXT(核心参数输入!$B$8,"0")&amp;"年末 / 第0年",TEXT(核心参数输入!$B$8+INT((DT4-1)/4)+1,"0")&amp;"Q"&amp;TEXT(MOD(DT4-1,4)+1,"0"))</f>
        <v>2056Q4</v>
      </c>
    </row>
    <row r="6" spans="1:124" ht="21" customHeight="1">
      <c r="A6" s="8" t="s">
        <v>360</v>
      </c>
      <c r="B6" s="8"/>
      <c r="C6" s="8"/>
      <c r="D6" s="31">
        <f t="shared" ref="D6:AI6" si="0">IF(D4=0,0,INT((D4-1)/4)+1)</f>
        <v>0</v>
      </c>
      <c r="E6" s="31">
        <f t="shared" si="0"/>
        <v>1</v>
      </c>
      <c r="F6" s="31">
        <f t="shared" si="0"/>
        <v>1</v>
      </c>
      <c r="G6" s="31">
        <f t="shared" si="0"/>
        <v>1</v>
      </c>
      <c r="H6" s="31">
        <f t="shared" si="0"/>
        <v>1</v>
      </c>
      <c r="I6" s="31">
        <f t="shared" si="0"/>
        <v>2</v>
      </c>
      <c r="J6" s="31">
        <f t="shared" si="0"/>
        <v>2</v>
      </c>
      <c r="K6" s="31">
        <f t="shared" si="0"/>
        <v>2</v>
      </c>
      <c r="L6" s="31">
        <f t="shared" si="0"/>
        <v>2</v>
      </c>
      <c r="M6" s="31">
        <f t="shared" si="0"/>
        <v>3</v>
      </c>
      <c r="N6" s="31">
        <f t="shared" si="0"/>
        <v>3</v>
      </c>
      <c r="O6" s="31">
        <f t="shared" si="0"/>
        <v>3</v>
      </c>
      <c r="P6" s="31">
        <f t="shared" si="0"/>
        <v>3</v>
      </c>
      <c r="Q6" s="31">
        <f t="shared" si="0"/>
        <v>4</v>
      </c>
      <c r="R6" s="31">
        <f t="shared" si="0"/>
        <v>4</v>
      </c>
      <c r="S6" s="31">
        <f t="shared" si="0"/>
        <v>4</v>
      </c>
      <c r="T6" s="31">
        <f t="shared" si="0"/>
        <v>4</v>
      </c>
      <c r="U6" s="31">
        <f t="shared" si="0"/>
        <v>5</v>
      </c>
      <c r="V6" s="31">
        <f t="shared" si="0"/>
        <v>5</v>
      </c>
      <c r="W6" s="31">
        <f t="shared" si="0"/>
        <v>5</v>
      </c>
      <c r="X6" s="31">
        <f t="shared" si="0"/>
        <v>5</v>
      </c>
      <c r="Y6" s="31">
        <f t="shared" si="0"/>
        <v>6</v>
      </c>
      <c r="Z6" s="31">
        <f t="shared" si="0"/>
        <v>6</v>
      </c>
      <c r="AA6" s="31">
        <f t="shared" si="0"/>
        <v>6</v>
      </c>
      <c r="AB6" s="31">
        <f t="shared" si="0"/>
        <v>6</v>
      </c>
      <c r="AC6" s="31">
        <f t="shared" si="0"/>
        <v>7</v>
      </c>
      <c r="AD6" s="31">
        <f t="shared" si="0"/>
        <v>7</v>
      </c>
      <c r="AE6" s="31">
        <f t="shared" si="0"/>
        <v>7</v>
      </c>
      <c r="AF6" s="31">
        <f t="shared" si="0"/>
        <v>7</v>
      </c>
      <c r="AG6" s="31">
        <f t="shared" si="0"/>
        <v>8</v>
      </c>
      <c r="AH6" s="31">
        <f t="shared" si="0"/>
        <v>8</v>
      </c>
      <c r="AI6" s="31">
        <f t="shared" si="0"/>
        <v>8</v>
      </c>
      <c r="AJ6" s="31">
        <f t="shared" ref="AJ6:BO6" si="1">IF(AJ4=0,0,INT((AJ4-1)/4)+1)</f>
        <v>8</v>
      </c>
      <c r="AK6" s="31">
        <f t="shared" si="1"/>
        <v>9</v>
      </c>
      <c r="AL6" s="31">
        <f t="shared" si="1"/>
        <v>9</v>
      </c>
      <c r="AM6" s="31">
        <f t="shared" si="1"/>
        <v>9</v>
      </c>
      <c r="AN6" s="31">
        <f t="shared" si="1"/>
        <v>9</v>
      </c>
      <c r="AO6" s="31">
        <f t="shared" si="1"/>
        <v>10</v>
      </c>
      <c r="AP6" s="31">
        <f t="shared" si="1"/>
        <v>10</v>
      </c>
      <c r="AQ6" s="31">
        <f t="shared" si="1"/>
        <v>10</v>
      </c>
      <c r="AR6" s="31">
        <f t="shared" si="1"/>
        <v>10</v>
      </c>
      <c r="AS6" s="31">
        <f t="shared" si="1"/>
        <v>11</v>
      </c>
      <c r="AT6" s="31">
        <f t="shared" si="1"/>
        <v>11</v>
      </c>
      <c r="AU6" s="31">
        <f t="shared" si="1"/>
        <v>11</v>
      </c>
      <c r="AV6" s="31">
        <f t="shared" si="1"/>
        <v>11</v>
      </c>
      <c r="AW6" s="31">
        <f t="shared" si="1"/>
        <v>12</v>
      </c>
      <c r="AX6" s="31">
        <f t="shared" si="1"/>
        <v>12</v>
      </c>
      <c r="AY6" s="31">
        <f t="shared" si="1"/>
        <v>12</v>
      </c>
      <c r="AZ6" s="31">
        <f t="shared" si="1"/>
        <v>12</v>
      </c>
      <c r="BA6" s="31">
        <f t="shared" si="1"/>
        <v>13</v>
      </c>
      <c r="BB6" s="31">
        <f t="shared" si="1"/>
        <v>13</v>
      </c>
      <c r="BC6" s="31">
        <f t="shared" si="1"/>
        <v>13</v>
      </c>
      <c r="BD6" s="31">
        <f t="shared" si="1"/>
        <v>13</v>
      </c>
      <c r="BE6" s="31">
        <f t="shared" si="1"/>
        <v>14</v>
      </c>
      <c r="BF6" s="31">
        <f t="shared" si="1"/>
        <v>14</v>
      </c>
      <c r="BG6" s="31">
        <f t="shared" si="1"/>
        <v>14</v>
      </c>
      <c r="BH6" s="31">
        <f t="shared" si="1"/>
        <v>14</v>
      </c>
      <c r="BI6" s="31">
        <f t="shared" si="1"/>
        <v>15</v>
      </c>
      <c r="BJ6" s="31">
        <f t="shared" si="1"/>
        <v>15</v>
      </c>
      <c r="BK6" s="31">
        <f t="shared" si="1"/>
        <v>15</v>
      </c>
      <c r="BL6" s="31">
        <f t="shared" si="1"/>
        <v>15</v>
      </c>
      <c r="BM6" s="31">
        <f t="shared" si="1"/>
        <v>16</v>
      </c>
      <c r="BN6" s="31">
        <f t="shared" si="1"/>
        <v>16</v>
      </c>
      <c r="BO6" s="31">
        <f t="shared" si="1"/>
        <v>16</v>
      </c>
      <c r="BP6" s="31">
        <f t="shared" ref="BP6:CU6" si="2">IF(BP4=0,0,INT((BP4-1)/4)+1)</f>
        <v>16</v>
      </c>
      <c r="BQ6" s="31">
        <f t="shared" si="2"/>
        <v>17</v>
      </c>
      <c r="BR6" s="31">
        <f t="shared" si="2"/>
        <v>17</v>
      </c>
      <c r="BS6" s="31">
        <f t="shared" si="2"/>
        <v>17</v>
      </c>
      <c r="BT6" s="31">
        <f t="shared" si="2"/>
        <v>17</v>
      </c>
      <c r="BU6" s="31">
        <f t="shared" si="2"/>
        <v>18</v>
      </c>
      <c r="BV6" s="31">
        <f t="shared" si="2"/>
        <v>18</v>
      </c>
      <c r="BW6" s="31">
        <f t="shared" si="2"/>
        <v>18</v>
      </c>
      <c r="BX6" s="31">
        <f t="shared" si="2"/>
        <v>18</v>
      </c>
      <c r="BY6" s="31">
        <f t="shared" si="2"/>
        <v>19</v>
      </c>
      <c r="BZ6" s="31">
        <f t="shared" si="2"/>
        <v>19</v>
      </c>
      <c r="CA6" s="31">
        <f t="shared" si="2"/>
        <v>19</v>
      </c>
      <c r="CB6" s="31">
        <f t="shared" si="2"/>
        <v>19</v>
      </c>
      <c r="CC6" s="31">
        <f t="shared" si="2"/>
        <v>20</v>
      </c>
      <c r="CD6" s="31">
        <f t="shared" si="2"/>
        <v>20</v>
      </c>
      <c r="CE6" s="31">
        <f t="shared" si="2"/>
        <v>20</v>
      </c>
      <c r="CF6" s="31">
        <f t="shared" si="2"/>
        <v>20</v>
      </c>
      <c r="CG6" s="31">
        <f t="shared" si="2"/>
        <v>21</v>
      </c>
      <c r="CH6" s="31">
        <f t="shared" si="2"/>
        <v>21</v>
      </c>
      <c r="CI6" s="31">
        <f t="shared" si="2"/>
        <v>21</v>
      </c>
      <c r="CJ6" s="31">
        <f t="shared" si="2"/>
        <v>21</v>
      </c>
      <c r="CK6" s="31">
        <f t="shared" si="2"/>
        <v>22</v>
      </c>
      <c r="CL6" s="31">
        <f t="shared" si="2"/>
        <v>22</v>
      </c>
      <c r="CM6" s="31">
        <f t="shared" si="2"/>
        <v>22</v>
      </c>
      <c r="CN6" s="31">
        <f t="shared" si="2"/>
        <v>22</v>
      </c>
      <c r="CO6" s="31">
        <f t="shared" si="2"/>
        <v>23</v>
      </c>
      <c r="CP6" s="31">
        <f t="shared" si="2"/>
        <v>23</v>
      </c>
      <c r="CQ6" s="31">
        <f t="shared" si="2"/>
        <v>23</v>
      </c>
      <c r="CR6" s="31">
        <f t="shared" si="2"/>
        <v>23</v>
      </c>
      <c r="CS6" s="31">
        <f t="shared" si="2"/>
        <v>24</v>
      </c>
      <c r="CT6" s="31">
        <f t="shared" si="2"/>
        <v>24</v>
      </c>
      <c r="CU6" s="31">
        <f t="shared" si="2"/>
        <v>24</v>
      </c>
      <c r="CV6" s="31">
        <f t="shared" ref="CV6:DT6" si="3">IF(CV4=0,0,INT((CV4-1)/4)+1)</f>
        <v>24</v>
      </c>
      <c r="CW6" s="31">
        <f t="shared" si="3"/>
        <v>25</v>
      </c>
      <c r="CX6" s="31">
        <f t="shared" si="3"/>
        <v>25</v>
      </c>
      <c r="CY6" s="31">
        <f t="shared" si="3"/>
        <v>25</v>
      </c>
      <c r="CZ6" s="31">
        <f t="shared" si="3"/>
        <v>25</v>
      </c>
      <c r="DA6" s="31">
        <f t="shared" si="3"/>
        <v>26</v>
      </c>
      <c r="DB6" s="31">
        <f t="shared" si="3"/>
        <v>26</v>
      </c>
      <c r="DC6" s="31">
        <f t="shared" si="3"/>
        <v>26</v>
      </c>
      <c r="DD6" s="31">
        <f t="shared" si="3"/>
        <v>26</v>
      </c>
      <c r="DE6" s="31">
        <f t="shared" si="3"/>
        <v>27</v>
      </c>
      <c r="DF6" s="31">
        <f t="shared" si="3"/>
        <v>27</v>
      </c>
      <c r="DG6" s="31">
        <f t="shared" si="3"/>
        <v>27</v>
      </c>
      <c r="DH6" s="31">
        <f t="shared" si="3"/>
        <v>27</v>
      </c>
      <c r="DI6" s="31">
        <f t="shared" si="3"/>
        <v>28</v>
      </c>
      <c r="DJ6" s="31">
        <f t="shared" si="3"/>
        <v>28</v>
      </c>
      <c r="DK6" s="31">
        <f t="shared" si="3"/>
        <v>28</v>
      </c>
      <c r="DL6" s="31">
        <f t="shared" si="3"/>
        <v>28</v>
      </c>
      <c r="DM6" s="31">
        <f t="shared" si="3"/>
        <v>29</v>
      </c>
      <c r="DN6" s="31">
        <f t="shared" si="3"/>
        <v>29</v>
      </c>
      <c r="DO6" s="31">
        <f t="shared" si="3"/>
        <v>29</v>
      </c>
      <c r="DP6" s="31">
        <f t="shared" si="3"/>
        <v>29</v>
      </c>
      <c r="DQ6" s="31">
        <f t="shared" si="3"/>
        <v>30</v>
      </c>
      <c r="DR6" s="31">
        <f t="shared" si="3"/>
        <v>30</v>
      </c>
      <c r="DS6" s="31">
        <f t="shared" si="3"/>
        <v>30</v>
      </c>
      <c r="DT6" s="31">
        <f t="shared" si="3"/>
        <v>30</v>
      </c>
    </row>
    <row r="7" spans="1:124" ht="21" customHeight="1">
      <c r="A7" s="8"/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</row>
    <row r="8" spans="1:124" ht="24" customHeight="1">
      <c r="A8" s="23" t="s">
        <v>621</v>
      </c>
      <c r="B8" s="23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</row>
    <row r="9" spans="1:124" ht="21" customHeight="1">
      <c r="A9" s="8"/>
      <c r="B9" s="8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</row>
    <row r="10" spans="1:124" ht="21" customHeight="1">
      <c r="A10" s="8" t="s">
        <v>622</v>
      </c>
      <c r="B10" s="8" t="s">
        <v>38</v>
      </c>
      <c r="C10" s="8"/>
      <c r="D10" s="22">
        <f>IF(0&lt;=核心参数输入!$B$9*4,0,0)</f>
        <v>0</v>
      </c>
      <c r="E10" s="22">
        <f>IF(1&lt;=核心参数输入!$B$9*4,IF(AND(1-(核心参数输入!$B$148)&gt;0,1-(核心参数输入!$B$148)&lt;=核心参数输入!$B$16*4),INDEX(核心参数输入!$D$88:$AH$88,1,INT((1-(核心参数输入!$B$148)-1)/4)+2)*INDEX(核心参数输入!$B$128:$B$131,MOD(1-(核心参数输入!$B$148)-1,4)+1),0),0)</f>
        <v>7.4999999999999997E-2</v>
      </c>
      <c r="F10" s="22">
        <f>IF(2&lt;=核心参数输入!$B$9*4,IF(AND(2-(核心参数输入!$B$148)&gt;0,2-(核心参数输入!$B$148)&lt;=核心参数输入!$B$16*4),INDEX(核心参数输入!$D$88:$AH$88,1,INT((2-(核心参数输入!$B$148)-1)/4)+2)*INDEX(核心参数输入!$B$128:$B$131,MOD(2-(核心参数输入!$B$148)-1,4)+1),0),0)</f>
        <v>7.4999999999999997E-2</v>
      </c>
      <c r="G10" s="22">
        <f>IF(3&lt;=核心参数输入!$B$9*4,IF(AND(3-(核心参数输入!$B$148)&gt;0,3-(核心参数输入!$B$148)&lt;=核心参数输入!$B$16*4),INDEX(核心参数输入!$D$88:$AH$88,1,INT((3-(核心参数输入!$B$148)-1)/4)+2)*INDEX(核心参数输入!$B$128:$B$131,MOD(3-(核心参数输入!$B$148)-1,4)+1),0),0)</f>
        <v>7.4999999999999997E-2</v>
      </c>
      <c r="H10" s="22">
        <f>IF(4&lt;=核心参数输入!$B$9*4,IF(AND(4-(核心参数输入!$B$148)&gt;0,4-(核心参数输入!$B$148)&lt;=核心参数输入!$B$16*4),INDEX(核心参数输入!$D$88:$AH$88,1,INT((4-(核心参数输入!$B$148)-1)/4)+2)*INDEX(核心参数输入!$B$128:$B$131,MOD(4-(核心参数输入!$B$148)-1,4)+1),0),0)</f>
        <v>7.4999999999999997E-2</v>
      </c>
      <c r="I10" s="22">
        <f>IF(5&lt;=核心参数输入!$B$9*4,IF(AND(5-(核心参数输入!$B$148)&gt;0,5-(核心参数输入!$B$148)&lt;=核心参数输入!$B$16*4),INDEX(核心参数输入!$D$88:$AH$88,1,INT((5-(核心参数输入!$B$148)-1)/4)+2)*INDEX(核心参数输入!$B$128:$B$131,MOD(5-(核心参数输入!$B$148)-1,4)+1),0),0)</f>
        <v>0.1</v>
      </c>
      <c r="J10" s="22">
        <f>IF(6&lt;=核心参数输入!$B$9*4,IF(AND(6-(核心参数输入!$B$148)&gt;0,6-(核心参数输入!$B$148)&lt;=核心参数输入!$B$16*4),INDEX(核心参数输入!$D$88:$AH$88,1,INT((6-(核心参数输入!$B$148)-1)/4)+2)*INDEX(核心参数输入!$B$128:$B$131,MOD(6-(核心参数输入!$B$148)-1,4)+1),0),0)</f>
        <v>0.1</v>
      </c>
      <c r="K10" s="22">
        <f>IF(7&lt;=核心参数输入!$B$9*4,IF(AND(7-(核心参数输入!$B$148)&gt;0,7-(核心参数输入!$B$148)&lt;=核心参数输入!$B$16*4),INDEX(核心参数输入!$D$88:$AH$88,1,INT((7-(核心参数输入!$B$148)-1)/4)+2)*INDEX(核心参数输入!$B$128:$B$131,MOD(7-(核心参数输入!$B$148)-1,4)+1),0),0)</f>
        <v>0.1</v>
      </c>
      <c r="L10" s="22">
        <f>IF(8&lt;=核心参数输入!$B$9*4,IF(AND(8-(核心参数输入!$B$148)&gt;0,8-(核心参数输入!$B$148)&lt;=核心参数输入!$B$16*4),INDEX(核心参数输入!$D$88:$AH$88,1,INT((8-(核心参数输入!$B$148)-1)/4)+2)*INDEX(核心参数输入!$B$128:$B$131,MOD(8-(核心参数输入!$B$148)-1,4)+1),0),0)</f>
        <v>0.1</v>
      </c>
      <c r="M10" s="22">
        <f>IF(9&lt;=核心参数输入!$B$9*4,IF(AND(9-(核心参数输入!$B$148)&gt;0,9-(核心参数输入!$B$148)&lt;=核心参数输入!$B$16*4),INDEX(核心参数输入!$D$88:$AH$88,1,INT((9-(核心参数输入!$B$148)-1)/4)+2)*INDEX(核心参数输入!$B$128:$B$131,MOD(9-(核心参数输入!$B$148)-1,4)+1),0),0)</f>
        <v>7.4999999999999997E-2</v>
      </c>
      <c r="N10" s="22">
        <f>IF(10&lt;=核心参数输入!$B$9*4,IF(AND(10-(核心参数输入!$B$148)&gt;0,10-(核心参数输入!$B$148)&lt;=核心参数输入!$B$16*4),INDEX(核心参数输入!$D$88:$AH$88,1,INT((10-(核心参数输入!$B$148)-1)/4)+2)*INDEX(核心参数输入!$B$128:$B$131,MOD(10-(核心参数输入!$B$148)-1,4)+1),0),0)</f>
        <v>7.4999999999999997E-2</v>
      </c>
      <c r="O10" s="22">
        <f>IF(11&lt;=核心参数输入!$B$9*4,IF(AND(11-(核心参数输入!$B$148)&gt;0,11-(核心参数输入!$B$148)&lt;=核心参数输入!$B$16*4),INDEX(核心参数输入!$D$88:$AH$88,1,INT((11-(核心参数输入!$B$148)-1)/4)+2)*INDEX(核心参数输入!$B$128:$B$131,MOD(11-(核心参数输入!$B$148)-1,4)+1),0),0)</f>
        <v>7.4999999999999997E-2</v>
      </c>
      <c r="P10" s="22">
        <f>IF(12&lt;=核心参数输入!$B$9*4,IF(AND(12-(核心参数输入!$B$148)&gt;0,12-(核心参数输入!$B$148)&lt;=核心参数输入!$B$16*4),INDEX(核心参数输入!$D$88:$AH$88,1,INT((12-(核心参数输入!$B$148)-1)/4)+2)*INDEX(核心参数输入!$B$128:$B$131,MOD(12-(核心参数输入!$B$148)-1,4)+1),0),0)</f>
        <v>7.4999999999999997E-2</v>
      </c>
      <c r="Q10" s="22">
        <f>IF(13&lt;=核心参数输入!$B$9*4,IF(AND(13-(核心参数输入!$B$148)&gt;0,13-(核心参数输入!$B$148)&lt;=核心参数输入!$B$16*4),INDEX(核心参数输入!$D$88:$AH$88,1,INT((13-(核心参数输入!$B$148)-1)/4)+2)*INDEX(核心参数输入!$B$128:$B$131,MOD(13-(核心参数输入!$B$148)-1,4)+1),0),0)</f>
        <v>0</v>
      </c>
      <c r="R10" s="22">
        <f>IF(14&lt;=核心参数输入!$B$9*4,IF(AND(14-(核心参数输入!$B$148)&gt;0,14-(核心参数输入!$B$148)&lt;=核心参数输入!$B$16*4),INDEX(核心参数输入!$D$88:$AH$88,1,INT((14-(核心参数输入!$B$148)-1)/4)+2)*INDEX(核心参数输入!$B$128:$B$131,MOD(14-(核心参数输入!$B$148)-1,4)+1),0),0)</f>
        <v>0</v>
      </c>
      <c r="S10" s="22">
        <f>IF(15&lt;=核心参数输入!$B$9*4,IF(AND(15-(核心参数输入!$B$148)&gt;0,15-(核心参数输入!$B$148)&lt;=核心参数输入!$B$16*4),INDEX(核心参数输入!$D$88:$AH$88,1,INT((15-(核心参数输入!$B$148)-1)/4)+2)*INDEX(核心参数输入!$B$128:$B$131,MOD(15-(核心参数输入!$B$148)-1,4)+1),0),0)</f>
        <v>0</v>
      </c>
      <c r="T10" s="22">
        <f>IF(16&lt;=核心参数输入!$B$9*4,IF(AND(16-(核心参数输入!$B$148)&gt;0,16-(核心参数输入!$B$148)&lt;=核心参数输入!$B$16*4),INDEX(核心参数输入!$D$88:$AH$88,1,INT((16-(核心参数输入!$B$148)-1)/4)+2)*INDEX(核心参数输入!$B$128:$B$131,MOD(16-(核心参数输入!$B$148)-1,4)+1),0),0)</f>
        <v>0</v>
      </c>
      <c r="U10" s="22">
        <f>IF(17&lt;=核心参数输入!$B$9*4,IF(AND(17-(核心参数输入!$B$148)&gt;0,17-(核心参数输入!$B$148)&lt;=核心参数输入!$B$16*4),INDEX(核心参数输入!$D$88:$AH$88,1,INT((17-(核心参数输入!$B$148)-1)/4)+2)*INDEX(核心参数输入!$B$128:$B$131,MOD(17-(核心参数输入!$B$148)-1,4)+1),0),0)</f>
        <v>0</v>
      </c>
      <c r="V10" s="22">
        <f>IF(18&lt;=核心参数输入!$B$9*4,IF(AND(18-(核心参数输入!$B$148)&gt;0,18-(核心参数输入!$B$148)&lt;=核心参数输入!$B$16*4),INDEX(核心参数输入!$D$88:$AH$88,1,INT((18-(核心参数输入!$B$148)-1)/4)+2)*INDEX(核心参数输入!$B$128:$B$131,MOD(18-(核心参数输入!$B$148)-1,4)+1),0),0)</f>
        <v>0</v>
      </c>
      <c r="W10" s="22">
        <f>IF(19&lt;=核心参数输入!$B$9*4,IF(AND(19-(核心参数输入!$B$148)&gt;0,19-(核心参数输入!$B$148)&lt;=核心参数输入!$B$16*4),INDEX(核心参数输入!$D$88:$AH$88,1,INT((19-(核心参数输入!$B$148)-1)/4)+2)*INDEX(核心参数输入!$B$128:$B$131,MOD(19-(核心参数输入!$B$148)-1,4)+1),0),0)</f>
        <v>0</v>
      </c>
      <c r="X10" s="22">
        <f>IF(20&lt;=核心参数输入!$B$9*4,IF(AND(20-(核心参数输入!$B$148)&gt;0,20-(核心参数输入!$B$148)&lt;=核心参数输入!$B$16*4),INDEX(核心参数输入!$D$88:$AH$88,1,INT((20-(核心参数输入!$B$148)-1)/4)+2)*INDEX(核心参数输入!$B$128:$B$131,MOD(20-(核心参数输入!$B$148)-1,4)+1),0),0)</f>
        <v>0</v>
      </c>
      <c r="Y10" s="22">
        <f>IF(21&lt;=核心参数输入!$B$9*4,IF(AND(21-(核心参数输入!$B$148)&gt;0,21-(核心参数输入!$B$148)&lt;=核心参数输入!$B$16*4),INDEX(核心参数输入!$D$88:$AH$88,1,INT((21-(核心参数输入!$B$148)-1)/4)+2)*INDEX(核心参数输入!$B$128:$B$131,MOD(21-(核心参数输入!$B$148)-1,4)+1),0),0)</f>
        <v>0</v>
      </c>
      <c r="Z10" s="22">
        <f>IF(22&lt;=核心参数输入!$B$9*4,IF(AND(22-(核心参数输入!$B$148)&gt;0,22-(核心参数输入!$B$148)&lt;=核心参数输入!$B$16*4),INDEX(核心参数输入!$D$88:$AH$88,1,INT((22-(核心参数输入!$B$148)-1)/4)+2)*INDEX(核心参数输入!$B$128:$B$131,MOD(22-(核心参数输入!$B$148)-1,4)+1),0),0)</f>
        <v>0</v>
      </c>
      <c r="AA10" s="22">
        <f>IF(23&lt;=核心参数输入!$B$9*4,IF(AND(23-(核心参数输入!$B$148)&gt;0,23-(核心参数输入!$B$148)&lt;=核心参数输入!$B$16*4),INDEX(核心参数输入!$D$88:$AH$88,1,INT((23-(核心参数输入!$B$148)-1)/4)+2)*INDEX(核心参数输入!$B$128:$B$131,MOD(23-(核心参数输入!$B$148)-1,4)+1),0),0)</f>
        <v>0</v>
      </c>
      <c r="AB10" s="22">
        <f>IF(24&lt;=核心参数输入!$B$9*4,IF(AND(24-(核心参数输入!$B$148)&gt;0,24-(核心参数输入!$B$148)&lt;=核心参数输入!$B$16*4),INDEX(核心参数输入!$D$88:$AH$88,1,INT((24-(核心参数输入!$B$148)-1)/4)+2)*INDEX(核心参数输入!$B$128:$B$131,MOD(24-(核心参数输入!$B$148)-1,4)+1),0),0)</f>
        <v>0</v>
      </c>
      <c r="AC10" s="22">
        <f>IF(25&lt;=核心参数输入!$B$9*4,IF(AND(25-(核心参数输入!$B$148)&gt;0,25-(核心参数输入!$B$148)&lt;=核心参数输入!$B$16*4),INDEX(核心参数输入!$D$88:$AH$88,1,INT((25-(核心参数输入!$B$148)-1)/4)+2)*INDEX(核心参数输入!$B$128:$B$131,MOD(25-(核心参数输入!$B$148)-1,4)+1),0),0)</f>
        <v>0</v>
      </c>
      <c r="AD10" s="22">
        <f>IF(26&lt;=核心参数输入!$B$9*4,IF(AND(26-(核心参数输入!$B$148)&gt;0,26-(核心参数输入!$B$148)&lt;=核心参数输入!$B$16*4),INDEX(核心参数输入!$D$88:$AH$88,1,INT((26-(核心参数输入!$B$148)-1)/4)+2)*INDEX(核心参数输入!$B$128:$B$131,MOD(26-(核心参数输入!$B$148)-1,4)+1),0),0)</f>
        <v>0</v>
      </c>
      <c r="AE10" s="22">
        <f>IF(27&lt;=核心参数输入!$B$9*4,IF(AND(27-(核心参数输入!$B$148)&gt;0,27-(核心参数输入!$B$148)&lt;=核心参数输入!$B$16*4),INDEX(核心参数输入!$D$88:$AH$88,1,INT((27-(核心参数输入!$B$148)-1)/4)+2)*INDEX(核心参数输入!$B$128:$B$131,MOD(27-(核心参数输入!$B$148)-1,4)+1),0),0)</f>
        <v>0</v>
      </c>
      <c r="AF10" s="22">
        <f>IF(28&lt;=核心参数输入!$B$9*4,IF(AND(28-(核心参数输入!$B$148)&gt;0,28-(核心参数输入!$B$148)&lt;=核心参数输入!$B$16*4),INDEX(核心参数输入!$D$88:$AH$88,1,INT((28-(核心参数输入!$B$148)-1)/4)+2)*INDEX(核心参数输入!$B$128:$B$131,MOD(28-(核心参数输入!$B$148)-1,4)+1),0),0)</f>
        <v>0</v>
      </c>
      <c r="AG10" s="22">
        <f>IF(29&lt;=核心参数输入!$B$9*4,IF(AND(29-(核心参数输入!$B$148)&gt;0,29-(核心参数输入!$B$148)&lt;=核心参数输入!$B$16*4),INDEX(核心参数输入!$D$88:$AH$88,1,INT((29-(核心参数输入!$B$148)-1)/4)+2)*INDEX(核心参数输入!$B$128:$B$131,MOD(29-(核心参数输入!$B$148)-1,4)+1),0),0)</f>
        <v>0</v>
      </c>
      <c r="AH10" s="22">
        <f>IF(30&lt;=核心参数输入!$B$9*4,IF(AND(30-(核心参数输入!$B$148)&gt;0,30-(核心参数输入!$B$148)&lt;=核心参数输入!$B$16*4),INDEX(核心参数输入!$D$88:$AH$88,1,INT((30-(核心参数输入!$B$148)-1)/4)+2)*INDEX(核心参数输入!$B$128:$B$131,MOD(30-(核心参数输入!$B$148)-1,4)+1),0),0)</f>
        <v>0</v>
      </c>
      <c r="AI10" s="22">
        <f>IF(31&lt;=核心参数输入!$B$9*4,IF(AND(31-(核心参数输入!$B$148)&gt;0,31-(核心参数输入!$B$148)&lt;=核心参数输入!$B$16*4),INDEX(核心参数输入!$D$88:$AH$88,1,INT((31-(核心参数输入!$B$148)-1)/4)+2)*INDEX(核心参数输入!$B$128:$B$131,MOD(31-(核心参数输入!$B$148)-1,4)+1),0),0)</f>
        <v>0</v>
      </c>
      <c r="AJ10" s="22">
        <f>IF(32&lt;=核心参数输入!$B$9*4,IF(AND(32-(核心参数输入!$B$148)&gt;0,32-(核心参数输入!$B$148)&lt;=核心参数输入!$B$16*4),INDEX(核心参数输入!$D$88:$AH$88,1,INT((32-(核心参数输入!$B$148)-1)/4)+2)*INDEX(核心参数输入!$B$128:$B$131,MOD(32-(核心参数输入!$B$148)-1,4)+1),0),0)</f>
        <v>0</v>
      </c>
      <c r="AK10" s="22">
        <f>IF(33&lt;=核心参数输入!$B$9*4,IF(AND(33-(核心参数输入!$B$148)&gt;0,33-(核心参数输入!$B$148)&lt;=核心参数输入!$B$16*4),INDEX(核心参数输入!$D$88:$AH$88,1,INT((33-(核心参数输入!$B$148)-1)/4)+2)*INDEX(核心参数输入!$B$128:$B$131,MOD(33-(核心参数输入!$B$148)-1,4)+1),0),0)</f>
        <v>0</v>
      </c>
      <c r="AL10" s="22">
        <f>IF(34&lt;=核心参数输入!$B$9*4,IF(AND(34-(核心参数输入!$B$148)&gt;0,34-(核心参数输入!$B$148)&lt;=核心参数输入!$B$16*4),INDEX(核心参数输入!$D$88:$AH$88,1,INT((34-(核心参数输入!$B$148)-1)/4)+2)*INDEX(核心参数输入!$B$128:$B$131,MOD(34-(核心参数输入!$B$148)-1,4)+1),0),0)</f>
        <v>0</v>
      </c>
      <c r="AM10" s="22">
        <f>IF(35&lt;=核心参数输入!$B$9*4,IF(AND(35-(核心参数输入!$B$148)&gt;0,35-(核心参数输入!$B$148)&lt;=核心参数输入!$B$16*4),INDEX(核心参数输入!$D$88:$AH$88,1,INT((35-(核心参数输入!$B$148)-1)/4)+2)*INDEX(核心参数输入!$B$128:$B$131,MOD(35-(核心参数输入!$B$148)-1,4)+1),0),0)</f>
        <v>0</v>
      </c>
      <c r="AN10" s="22">
        <f>IF(36&lt;=核心参数输入!$B$9*4,IF(AND(36-(核心参数输入!$B$148)&gt;0,36-(核心参数输入!$B$148)&lt;=核心参数输入!$B$16*4),INDEX(核心参数输入!$D$88:$AH$88,1,INT((36-(核心参数输入!$B$148)-1)/4)+2)*INDEX(核心参数输入!$B$128:$B$131,MOD(36-(核心参数输入!$B$148)-1,4)+1),0),0)</f>
        <v>0</v>
      </c>
      <c r="AO10" s="22">
        <f>IF(37&lt;=核心参数输入!$B$9*4,IF(AND(37-(核心参数输入!$B$148)&gt;0,37-(核心参数输入!$B$148)&lt;=核心参数输入!$B$16*4),INDEX(核心参数输入!$D$88:$AH$88,1,INT((37-(核心参数输入!$B$148)-1)/4)+2)*INDEX(核心参数输入!$B$128:$B$131,MOD(37-(核心参数输入!$B$148)-1,4)+1),0),0)</f>
        <v>0</v>
      </c>
      <c r="AP10" s="22">
        <f>IF(38&lt;=核心参数输入!$B$9*4,IF(AND(38-(核心参数输入!$B$148)&gt;0,38-(核心参数输入!$B$148)&lt;=核心参数输入!$B$16*4),INDEX(核心参数输入!$D$88:$AH$88,1,INT((38-(核心参数输入!$B$148)-1)/4)+2)*INDEX(核心参数输入!$B$128:$B$131,MOD(38-(核心参数输入!$B$148)-1,4)+1),0),0)</f>
        <v>0</v>
      </c>
      <c r="AQ10" s="22">
        <f>IF(39&lt;=核心参数输入!$B$9*4,IF(AND(39-(核心参数输入!$B$148)&gt;0,39-(核心参数输入!$B$148)&lt;=核心参数输入!$B$16*4),INDEX(核心参数输入!$D$88:$AH$88,1,INT((39-(核心参数输入!$B$148)-1)/4)+2)*INDEX(核心参数输入!$B$128:$B$131,MOD(39-(核心参数输入!$B$148)-1,4)+1),0),0)</f>
        <v>0</v>
      </c>
      <c r="AR10" s="22">
        <f>IF(40&lt;=核心参数输入!$B$9*4,IF(AND(40-(核心参数输入!$B$148)&gt;0,40-(核心参数输入!$B$148)&lt;=核心参数输入!$B$16*4),INDEX(核心参数输入!$D$88:$AH$88,1,INT((40-(核心参数输入!$B$148)-1)/4)+2)*INDEX(核心参数输入!$B$128:$B$131,MOD(40-(核心参数输入!$B$148)-1,4)+1),0),0)</f>
        <v>0</v>
      </c>
      <c r="AS10" s="22">
        <f>IF(41&lt;=核心参数输入!$B$9*4,IF(AND(41-(核心参数输入!$B$148)&gt;0,41-(核心参数输入!$B$148)&lt;=核心参数输入!$B$16*4),INDEX(核心参数输入!$D$88:$AH$88,1,INT((41-(核心参数输入!$B$148)-1)/4)+2)*INDEX(核心参数输入!$B$128:$B$131,MOD(41-(核心参数输入!$B$148)-1,4)+1),0),0)</f>
        <v>0</v>
      </c>
      <c r="AT10" s="22">
        <f>IF(42&lt;=核心参数输入!$B$9*4,IF(AND(42-(核心参数输入!$B$148)&gt;0,42-(核心参数输入!$B$148)&lt;=核心参数输入!$B$16*4),INDEX(核心参数输入!$D$88:$AH$88,1,INT((42-(核心参数输入!$B$148)-1)/4)+2)*INDEX(核心参数输入!$B$128:$B$131,MOD(42-(核心参数输入!$B$148)-1,4)+1),0),0)</f>
        <v>0</v>
      </c>
      <c r="AU10" s="22">
        <f>IF(43&lt;=核心参数输入!$B$9*4,IF(AND(43-(核心参数输入!$B$148)&gt;0,43-(核心参数输入!$B$148)&lt;=核心参数输入!$B$16*4),INDEX(核心参数输入!$D$88:$AH$88,1,INT((43-(核心参数输入!$B$148)-1)/4)+2)*INDEX(核心参数输入!$B$128:$B$131,MOD(43-(核心参数输入!$B$148)-1,4)+1),0),0)</f>
        <v>0</v>
      </c>
      <c r="AV10" s="22">
        <f>IF(44&lt;=核心参数输入!$B$9*4,IF(AND(44-(核心参数输入!$B$148)&gt;0,44-(核心参数输入!$B$148)&lt;=核心参数输入!$B$16*4),INDEX(核心参数输入!$D$88:$AH$88,1,INT((44-(核心参数输入!$B$148)-1)/4)+2)*INDEX(核心参数输入!$B$128:$B$131,MOD(44-(核心参数输入!$B$148)-1,4)+1),0),0)</f>
        <v>0</v>
      </c>
      <c r="AW10" s="22">
        <f>IF(45&lt;=核心参数输入!$B$9*4,IF(AND(45-(核心参数输入!$B$148)&gt;0,45-(核心参数输入!$B$148)&lt;=核心参数输入!$B$16*4),INDEX(核心参数输入!$D$88:$AH$88,1,INT((45-(核心参数输入!$B$148)-1)/4)+2)*INDEX(核心参数输入!$B$128:$B$131,MOD(45-(核心参数输入!$B$148)-1,4)+1),0),0)</f>
        <v>0</v>
      </c>
      <c r="AX10" s="22">
        <f>IF(46&lt;=核心参数输入!$B$9*4,IF(AND(46-(核心参数输入!$B$148)&gt;0,46-(核心参数输入!$B$148)&lt;=核心参数输入!$B$16*4),INDEX(核心参数输入!$D$88:$AH$88,1,INT((46-(核心参数输入!$B$148)-1)/4)+2)*INDEX(核心参数输入!$B$128:$B$131,MOD(46-(核心参数输入!$B$148)-1,4)+1),0),0)</f>
        <v>0</v>
      </c>
      <c r="AY10" s="22">
        <f>IF(47&lt;=核心参数输入!$B$9*4,IF(AND(47-(核心参数输入!$B$148)&gt;0,47-(核心参数输入!$B$148)&lt;=核心参数输入!$B$16*4),INDEX(核心参数输入!$D$88:$AH$88,1,INT((47-(核心参数输入!$B$148)-1)/4)+2)*INDEX(核心参数输入!$B$128:$B$131,MOD(47-(核心参数输入!$B$148)-1,4)+1),0),0)</f>
        <v>0</v>
      </c>
      <c r="AZ10" s="22">
        <f>IF(48&lt;=核心参数输入!$B$9*4,IF(AND(48-(核心参数输入!$B$148)&gt;0,48-(核心参数输入!$B$148)&lt;=核心参数输入!$B$16*4),INDEX(核心参数输入!$D$88:$AH$88,1,INT((48-(核心参数输入!$B$148)-1)/4)+2)*INDEX(核心参数输入!$B$128:$B$131,MOD(48-(核心参数输入!$B$148)-1,4)+1),0),0)</f>
        <v>0</v>
      </c>
      <c r="BA10" s="22">
        <f>IF(49&lt;=核心参数输入!$B$9*4,IF(AND(49-(核心参数输入!$B$148)&gt;0,49-(核心参数输入!$B$148)&lt;=核心参数输入!$B$16*4),INDEX(核心参数输入!$D$88:$AH$88,1,INT((49-(核心参数输入!$B$148)-1)/4)+2)*INDEX(核心参数输入!$B$128:$B$131,MOD(49-(核心参数输入!$B$148)-1,4)+1),0),0)</f>
        <v>0</v>
      </c>
      <c r="BB10" s="22">
        <f>IF(50&lt;=核心参数输入!$B$9*4,IF(AND(50-(核心参数输入!$B$148)&gt;0,50-(核心参数输入!$B$148)&lt;=核心参数输入!$B$16*4),INDEX(核心参数输入!$D$88:$AH$88,1,INT((50-(核心参数输入!$B$148)-1)/4)+2)*INDEX(核心参数输入!$B$128:$B$131,MOD(50-(核心参数输入!$B$148)-1,4)+1),0),0)</f>
        <v>0</v>
      </c>
      <c r="BC10" s="22">
        <f>IF(51&lt;=核心参数输入!$B$9*4,IF(AND(51-(核心参数输入!$B$148)&gt;0,51-(核心参数输入!$B$148)&lt;=核心参数输入!$B$16*4),INDEX(核心参数输入!$D$88:$AH$88,1,INT((51-(核心参数输入!$B$148)-1)/4)+2)*INDEX(核心参数输入!$B$128:$B$131,MOD(51-(核心参数输入!$B$148)-1,4)+1),0),0)</f>
        <v>0</v>
      </c>
      <c r="BD10" s="22">
        <f>IF(52&lt;=核心参数输入!$B$9*4,IF(AND(52-(核心参数输入!$B$148)&gt;0,52-(核心参数输入!$B$148)&lt;=核心参数输入!$B$16*4),INDEX(核心参数输入!$D$88:$AH$88,1,INT((52-(核心参数输入!$B$148)-1)/4)+2)*INDEX(核心参数输入!$B$128:$B$131,MOD(52-(核心参数输入!$B$148)-1,4)+1),0),0)</f>
        <v>0</v>
      </c>
      <c r="BE10" s="22">
        <f>IF(53&lt;=核心参数输入!$B$9*4,IF(AND(53-(核心参数输入!$B$148)&gt;0,53-(核心参数输入!$B$148)&lt;=核心参数输入!$B$16*4),INDEX(核心参数输入!$D$88:$AH$88,1,INT((53-(核心参数输入!$B$148)-1)/4)+2)*INDEX(核心参数输入!$B$128:$B$131,MOD(53-(核心参数输入!$B$148)-1,4)+1),0),0)</f>
        <v>0</v>
      </c>
      <c r="BF10" s="22">
        <f>IF(54&lt;=核心参数输入!$B$9*4,IF(AND(54-(核心参数输入!$B$148)&gt;0,54-(核心参数输入!$B$148)&lt;=核心参数输入!$B$16*4),INDEX(核心参数输入!$D$88:$AH$88,1,INT((54-(核心参数输入!$B$148)-1)/4)+2)*INDEX(核心参数输入!$B$128:$B$131,MOD(54-(核心参数输入!$B$148)-1,4)+1),0),0)</f>
        <v>0</v>
      </c>
      <c r="BG10" s="22">
        <f>IF(55&lt;=核心参数输入!$B$9*4,IF(AND(55-(核心参数输入!$B$148)&gt;0,55-(核心参数输入!$B$148)&lt;=核心参数输入!$B$16*4),INDEX(核心参数输入!$D$88:$AH$88,1,INT((55-(核心参数输入!$B$148)-1)/4)+2)*INDEX(核心参数输入!$B$128:$B$131,MOD(55-(核心参数输入!$B$148)-1,4)+1),0),0)</f>
        <v>0</v>
      </c>
      <c r="BH10" s="22">
        <f>IF(56&lt;=核心参数输入!$B$9*4,IF(AND(56-(核心参数输入!$B$148)&gt;0,56-(核心参数输入!$B$148)&lt;=核心参数输入!$B$16*4),INDEX(核心参数输入!$D$88:$AH$88,1,INT((56-(核心参数输入!$B$148)-1)/4)+2)*INDEX(核心参数输入!$B$128:$B$131,MOD(56-(核心参数输入!$B$148)-1,4)+1),0),0)</f>
        <v>0</v>
      </c>
      <c r="BI10" s="22">
        <f>IF(57&lt;=核心参数输入!$B$9*4,IF(AND(57-(核心参数输入!$B$148)&gt;0,57-(核心参数输入!$B$148)&lt;=核心参数输入!$B$16*4),INDEX(核心参数输入!$D$88:$AH$88,1,INT((57-(核心参数输入!$B$148)-1)/4)+2)*INDEX(核心参数输入!$B$128:$B$131,MOD(57-(核心参数输入!$B$148)-1,4)+1),0),0)</f>
        <v>0</v>
      </c>
      <c r="BJ10" s="22">
        <f>IF(58&lt;=核心参数输入!$B$9*4,IF(AND(58-(核心参数输入!$B$148)&gt;0,58-(核心参数输入!$B$148)&lt;=核心参数输入!$B$16*4),INDEX(核心参数输入!$D$88:$AH$88,1,INT((58-(核心参数输入!$B$148)-1)/4)+2)*INDEX(核心参数输入!$B$128:$B$131,MOD(58-(核心参数输入!$B$148)-1,4)+1),0),0)</f>
        <v>0</v>
      </c>
      <c r="BK10" s="22">
        <f>IF(59&lt;=核心参数输入!$B$9*4,IF(AND(59-(核心参数输入!$B$148)&gt;0,59-(核心参数输入!$B$148)&lt;=核心参数输入!$B$16*4),INDEX(核心参数输入!$D$88:$AH$88,1,INT((59-(核心参数输入!$B$148)-1)/4)+2)*INDEX(核心参数输入!$B$128:$B$131,MOD(59-(核心参数输入!$B$148)-1,4)+1),0),0)</f>
        <v>0</v>
      </c>
      <c r="BL10" s="22">
        <f>IF(60&lt;=核心参数输入!$B$9*4,IF(AND(60-(核心参数输入!$B$148)&gt;0,60-(核心参数输入!$B$148)&lt;=核心参数输入!$B$16*4),INDEX(核心参数输入!$D$88:$AH$88,1,INT((60-(核心参数输入!$B$148)-1)/4)+2)*INDEX(核心参数输入!$B$128:$B$131,MOD(60-(核心参数输入!$B$148)-1,4)+1),0),0)</f>
        <v>0</v>
      </c>
      <c r="BM10" s="22">
        <f>IF(61&lt;=核心参数输入!$B$9*4,IF(AND(61-(核心参数输入!$B$148)&gt;0,61-(核心参数输入!$B$148)&lt;=核心参数输入!$B$16*4),INDEX(核心参数输入!$D$88:$AH$88,1,INT((61-(核心参数输入!$B$148)-1)/4)+2)*INDEX(核心参数输入!$B$128:$B$131,MOD(61-(核心参数输入!$B$148)-1,4)+1),0),0)</f>
        <v>0</v>
      </c>
      <c r="BN10" s="22">
        <f>IF(62&lt;=核心参数输入!$B$9*4,IF(AND(62-(核心参数输入!$B$148)&gt;0,62-(核心参数输入!$B$148)&lt;=核心参数输入!$B$16*4),INDEX(核心参数输入!$D$88:$AH$88,1,INT((62-(核心参数输入!$B$148)-1)/4)+2)*INDEX(核心参数输入!$B$128:$B$131,MOD(62-(核心参数输入!$B$148)-1,4)+1),0),0)</f>
        <v>0</v>
      </c>
      <c r="BO10" s="22">
        <f>IF(63&lt;=核心参数输入!$B$9*4,IF(AND(63-(核心参数输入!$B$148)&gt;0,63-(核心参数输入!$B$148)&lt;=核心参数输入!$B$16*4),INDEX(核心参数输入!$D$88:$AH$88,1,INT((63-(核心参数输入!$B$148)-1)/4)+2)*INDEX(核心参数输入!$B$128:$B$131,MOD(63-(核心参数输入!$B$148)-1,4)+1),0),0)</f>
        <v>0</v>
      </c>
      <c r="BP10" s="22">
        <f>IF(64&lt;=核心参数输入!$B$9*4,IF(AND(64-(核心参数输入!$B$148)&gt;0,64-(核心参数输入!$B$148)&lt;=核心参数输入!$B$16*4),INDEX(核心参数输入!$D$88:$AH$88,1,INT((64-(核心参数输入!$B$148)-1)/4)+2)*INDEX(核心参数输入!$B$128:$B$131,MOD(64-(核心参数输入!$B$148)-1,4)+1),0),0)</f>
        <v>0</v>
      </c>
      <c r="BQ10" s="22">
        <f>IF(65&lt;=核心参数输入!$B$9*4,IF(AND(65-(核心参数输入!$B$148)&gt;0,65-(核心参数输入!$B$148)&lt;=核心参数输入!$B$16*4),INDEX(核心参数输入!$D$88:$AH$88,1,INT((65-(核心参数输入!$B$148)-1)/4)+2)*INDEX(核心参数输入!$B$128:$B$131,MOD(65-(核心参数输入!$B$148)-1,4)+1),0),0)</f>
        <v>0</v>
      </c>
      <c r="BR10" s="22">
        <f>IF(66&lt;=核心参数输入!$B$9*4,IF(AND(66-(核心参数输入!$B$148)&gt;0,66-(核心参数输入!$B$148)&lt;=核心参数输入!$B$16*4),INDEX(核心参数输入!$D$88:$AH$88,1,INT((66-(核心参数输入!$B$148)-1)/4)+2)*INDEX(核心参数输入!$B$128:$B$131,MOD(66-(核心参数输入!$B$148)-1,4)+1),0),0)</f>
        <v>0</v>
      </c>
      <c r="BS10" s="22">
        <f>IF(67&lt;=核心参数输入!$B$9*4,IF(AND(67-(核心参数输入!$B$148)&gt;0,67-(核心参数输入!$B$148)&lt;=核心参数输入!$B$16*4),INDEX(核心参数输入!$D$88:$AH$88,1,INT((67-(核心参数输入!$B$148)-1)/4)+2)*INDEX(核心参数输入!$B$128:$B$131,MOD(67-(核心参数输入!$B$148)-1,4)+1),0),0)</f>
        <v>0</v>
      </c>
      <c r="BT10" s="22">
        <f>IF(68&lt;=核心参数输入!$B$9*4,IF(AND(68-(核心参数输入!$B$148)&gt;0,68-(核心参数输入!$B$148)&lt;=核心参数输入!$B$16*4),INDEX(核心参数输入!$D$88:$AH$88,1,INT((68-(核心参数输入!$B$148)-1)/4)+2)*INDEX(核心参数输入!$B$128:$B$131,MOD(68-(核心参数输入!$B$148)-1,4)+1),0),0)</f>
        <v>0</v>
      </c>
      <c r="BU10" s="22">
        <f>IF(69&lt;=核心参数输入!$B$9*4,IF(AND(69-(核心参数输入!$B$148)&gt;0,69-(核心参数输入!$B$148)&lt;=核心参数输入!$B$16*4),INDEX(核心参数输入!$D$88:$AH$88,1,INT((69-(核心参数输入!$B$148)-1)/4)+2)*INDEX(核心参数输入!$B$128:$B$131,MOD(69-(核心参数输入!$B$148)-1,4)+1),0),0)</f>
        <v>0</v>
      </c>
      <c r="BV10" s="22">
        <f>IF(70&lt;=核心参数输入!$B$9*4,IF(AND(70-(核心参数输入!$B$148)&gt;0,70-(核心参数输入!$B$148)&lt;=核心参数输入!$B$16*4),INDEX(核心参数输入!$D$88:$AH$88,1,INT((70-(核心参数输入!$B$148)-1)/4)+2)*INDEX(核心参数输入!$B$128:$B$131,MOD(70-(核心参数输入!$B$148)-1,4)+1),0),0)</f>
        <v>0</v>
      </c>
      <c r="BW10" s="22">
        <f>IF(71&lt;=核心参数输入!$B$9*4,IF(AND(71-(核心参数输入!$B$148)&gt;0,71-(核心参数输入!$B$148)&lt;=核心参数输入!$B$16*4),INDEX(核心参数输入!$D$88:$AH$88,1,INT((71-(核心参数输入!$B$148)-1)/4)+2)*INDEX(核心参数输入!$B$128:$B$131,MOD(71-(核心参数输入!$B$148)-1,4)+1),0),0)</f>
        <v>0</v>
      </c>
      <c r="BX10" s="22">
        <f>IF(72&lt;=核心参数输入!$B$9*4,IF(AND(72-(核心参数输入!$B$148)&gt;0,72-(核心参数输入!$B$148)&lt;=核心参数输入!$B$16*4),INDEX(核心参数输入!$D$88:$AH$88,1,INT((72-(核心参数输入!$B$148)-1)/4)+2)*INDEX(核心参数输入!$B$128:$B$131,MOD(72-(核心参数输入!$B$148)-1,4)+1),0),0)</f>
        <v>0</v>
      </c>
      <c r="BY10" s="22">
        <f>IF(73&lt;=核心参数输入!$B$9*4,IF(AND(73-(核心参数输入!$B$148)&gt;0,73-(核心参数输入!$B$148)&lt;=核心参数输入!$B$16*4),INDEX(核心参数输入!$D$88:$AH$88,1,INT((73-(核心参数输入!$B$148)-1)/4)+2)*INDEX(核心参数输入!$B$128:$B$131,MOD(73-(核心参数输入!$B$148)-1,4)+1),0),0)</f>
        <v>0</v>
      </c>
      <c r="BZ10" s="22">
        <f>IF(74&lt;=核心参数输入!$B$9*4,IF(AND(74-(核心参数输入!$B$148)&gt;0,74-(核心参数输入!$B$148)&lt;=核心参数输入!$B$16*4),INDEX(核心参数输入!$D$88:$AH$88,1,INT((74-(核心参数输入!$B$148)-1)/4)+2)*INDEX(核心参数输入!$B$128:$B$131,MOD(74-(核心参数输入!$B$148)-1,4)+1),0),0)</f>
        <v>0</v>
      </c>
      <c r="CA10" s="22">
        <f>IF(75&lt;=核心参数输入!$B$9*4,IF(AND(75-(核心参数输入!$B$148)&gt;0,75-(核心参数输入!$B$148)&lt;=核心参数输入!$B$16*4),INDEX(核心参数输入!$D$88:$AH$88,1,INT((75-(核心参数输入!$B$148)-1)/4)+2)*INDEX(核心参数输入!$B$128:$B$131,MOD(75-(核心参数输入!$B$148)-1,4)+1),0),0)</f>
        <v>0</v>
      </c>
      <c r="CB10" s="22">
        <f>IF(76&lt;=核心参数输入!$B$9*4,IF(AND(76-(核心参数输入!$B$148)&gt;0,76-(核心参数输入!$B$148)&lt;=核心参数输入!$B$16*4),INDEX(核心参数输入!$D$88:$AH$88,1,INT((76-(核心参数输入!$B$148)-1)/4)+2)*INDEX(核心参数输入!$B$128:$B$131,MOD(76-(核心参数输入!$B$148)-1,4)+1),0),0)</f>
        <v>0</v>
      </c>
      <c r="CC10" s="22">
        <f>IF(77&lt;=核心参数输入!$B$9*4,IF(AND(77-(核心参数输入!$B$148)&gt;0,77-(核心参数输入!$B$148)&lt;=核心参数输入!$B$16*4),INDEX(核心参数输入!$D$88:$AH$88,1,INT((77-(核心参数输入!$B$148)-1)/4)+2)*INDEX(核心参数输入!$B$128:$B$131,MOD(77-(核心参数输入!$B$148)-1,4)+1),0),0)</f>
        <v>0</v>
      </c>
      <c r="CD10" s="22">
        <f>IF(78&lt;=核心参数输入!$B$9*4,IF(AND(78-(核心参数输入!$B$148)&gt;0,78-(核心参数输入!$B$148)&lt;=核心参数输入!$B$16*4),INDEX(核心参数输入!$D$88:$AH$88,1,INT((78-(核心参数输入!$B$148)-1)/4)+2)*INDEX(核心参数输入!$B$128:$B$131,MOD(78-(核心参数输入!$B$148)-1,4)+1),0),0)</f>
        <v>0</v>
      </c>
      <c r="CE10" s="22">
        <f>IF(79&lt;=核心参数输入!$B$9*4,IF(AND(79-(核心参数输入!$B$148)&gt;0,79-(核心参数输入!$B$148)&lt;=核心参数输入!$B$16*4),INDEX(核心参数输入!$D$88:$AH$88,1,INT((79-(核心参数输入!$B$148)-1)/4)+2)*INDEX(核心参数输入!$B$128:$B$131,MOD(79-(核心参数输入!$B$148)-1,4)+1),0),0)</f>
        <v>0</v>
      </c>
      <c r="CF10" s="22">
        <f>IF(80&lt;=核心参数输入!$B$9*4,IF(AND(80-(核心参数输入!$B$148)&gt;0,80-(核心参数输入!$B$148)&lt;=核心参数输入!$B$16*4),INDEX(核心参数输入!$D$88:$AH$88,1,INT((80-(核心参数输入!$B$148)-1)/4)+2)*INDEX(核心参数输入!$B$128:$B$131,MOD(80-(核心参数输入!$B$148)-1,4)+1),0),0)</f>
        <v>0</v>
      </c>
      <c r="CG10" s="22">
        <f>IF(81&lt;=核心参数输入!$B$9*4,IF(AND(81-(核心参数输入!$B$148)&gt;0,81-(核心参数输入!$B$148)&lt;=核心参数输入!$B$16*4),INDEX(核心参数输入!$D$88:$AH$88,1,INT((81-(核心参数输入!$B$148)-1)/4)+2)*INDEX(核心参数输入!$B$128:$B$131,MOD(81-(核心参数输入!$B$148)-1,4)+1),0),0)</f>
        <v>0</v>
      </c>
      <c r="CH10" s="22">
        <f>IF(82&lt;=核心参数输入!$B$9*4,IF(AND(82-(核心参数输入!$B$148)&gt;0,82-(核心参数输入!$B$148)&lt;=核心参数输入!$B$16*4),INDEX(核心参数输入!$D$88:$AH$88,1,INT((82-(核心参数输入!$B$148)-1)/4)+2)*INDEX(核心参数输入!$B$128:$B$131,MOD(82-(核心参数输入!$B$148)-1,4)+1),0),0)</f>
        <v>0</v>
      </c>
      <c r="CI10" s="22">
        <f>IF(83&lt;=核心参数输入!$B$9*4,IF(AND(83-(核心参数输入!$B$148)&gt;0,83-(核心参数输入!$B$148)&lt;=核心参数输入!$B$16*4),INDEX(核心参数输入!$D$88:$AH$88,1,INT((83-(核心参数输入!$B$148)-1)/4)+2)*INDEX(核心参数输入!$B$128:$B$131,MOD(83-(核心参数输入!$B$148)-1,4)+1),0),0)</f>
        <v>0</v>
      </c>
      <c r="CJ10" s="22">
        <f>IF(84&lt;=核心参数输入!$B$9*4,IF(AND(84-(核心参数输入!$B$148)&gt;0,84-(核心参数输入!$B$148)&lt;=核心参数输入!$B$16*4),INDEX(核心参数输入!$D$88:$AH$88,1,INT((84-(核心参数输入!$B$148)-1)/4)+2)*INDEX(核心参数输入!$B$128:$B$131,MOD(84-(核心参数输入!$B$148)-1,4)+1),0),0)</f>
        <v>0</v>
      </c>
      <c r="CK10" s="22">
        <f>IF(85&lt;=核心参数输入!$B$9*4,IF(AND(85-(核心参数输入!$B$148)&gt;0,85-(核心参数输入!$B$148)&lt;=核心参数输入!$B$16*4),INDEX(核心参数输入!$D$88:$AH$88,1,INT((85-(核心参数输入!$B$148)-1)/4)+2)*INDEX(核心参数输入!$B$128:$B$131,MOD(85-(核心参数输入!$B$148)-1,4)+1),0),0)</f>
        <v>0</v>
      </c>
      <c r="CL10" s="22">
        <f>IF(86&lt;=核心参数输入!$B$9*4,IF(AND(86-(核心参数输入!$B$148)&gt;0,86-(核心参数输入!$B$148)&lt;=核心参数输入!$B$16*4),INDEX(核心参数输入!$D$88:$AH$88,1,INT((86-(核心参数输入!$B$148)-1)/4)+2)*INDEX(核心参数输入!$B$128:$B$131,MOD(86-(核心参数输入!$B$148)-1,4)+1),0),0)</f>
        <v>0</v>
      </c>
      <c r="CM10" s="22">
        <f>IF(87&lt;=核心参数输入!$B$9*4,IF(AND(87-(核心参数输入!$B$148)&gt;0,87-(核心参数输入!$B$148)&lt;=核心参数输入!$B$16*4),INDEX(核心参数输入!$D$88:$AH$88,1,INT((87-(核心参数输入!$B$148)-1)/4)+2)*INDEX(核心参数输入!$B$128:$B$131,MOD(87-(核心参数输入!$B$148)-1,4)+1),0),0)</f>
        <v>0</v>
      </c>
      <c r="CN10" s="22">
        <f>IF(88&lt;=核心参数输入!$B$9*4,IF(AND(88-(核心参数输入!$B$148)&gt;0,88-(核心参数输入!$B$148)&lt;=核心参数输入!$B$16*4),INDEX(核心参数输入!$D$88:$AH$88,1,INT((88-(核心参数输入!$B$148)-1)/4)+2)*INDEX(核心参数输入!$B$128:$B$131,MOD(88-(核心参数输入!$B$148)-1,4)+1),0),0)</f>
        <v>0</v>
      </c>
      <c r="CO10" s="22">
        <f>IF(89&lt;=核心参数输入!$B$9*4,IF(AND(89-(核心参数输入!$B$148)&gt;0,89-(核心参数输入!$B$148)&lt;=核心参数输入!$B$16*4),INDEX(核心参数输入!$D$88:$AH$88,1,INT((89-(核心参数输入!$B$148)-1)/4)+2)*INDEX(核心参数输入!$B$128:$B$131,MOD(89-(核心参数输入!$B$148)-1,4)+1),0),0)</f>
        <v>0</v>
      </c>
      <c r="CP10" s="22">
        <f>IF(90&lt;=核心参数输入!$B$9*4,IF(AND(90-(核心参数输入!$B$148)&gt;0,90-(核心参数输入!$B$148)&lt;=核心参数输入!$B$16*4),INDEX(核心参数输入!$D$88:$AH$88,1,INT((90-(核心参数输入!$B$148)-1)/4)+2)*INDEX(核心参数输入!$B$128:$B$131,MOD(90-(核心参数输入!$B$148)-1,4)+1),0),0)</f>
        <v>0</v>
      </c>
      <c r="CQ10" s="22">
        <f>IF(91&lt;=核心参数输入!$B$9*4,IF(AND(91-(核心参数输入!$B$148)&gt;0,91-(核心参数输入!$B$148)&lt;=核心参数输入!$B$16*4),INDEX(核心参数输入!$D$88:$AH$88,1,INT((91-(核心参数输入!$B$148)-1)/4)+2)*INDEX(核心参数输入!$B$128:$B$131,MOD(91-(核心参数输入!$B$148)-1,4)+1),0),0)</f>
        <v>0</v>
      </c>
      <c r="CR10" s="22">
        <f>IF(92&lt;=核心参数输入!$B$9*4,IF(AND(92-(核心参数输入!$B$148)&gt;0,92-(核心参数输入!$B$148)&lt;=核心参数输入!$B$16*4),INDEX(核心参数输入!$D$88:$AH$88,1,INT((92-(核心参数输入!$B$148)-1)/4)+2)*INDEX(核心参数输入!$B$128:$B$131,MOD(92-(核心参数输入!$B$148)-1,4)+1),0),0)</f>
        <v>0</v>
      </c>
      <c r="CS10" s="22">
        <f>IF(93&lt;=核心参数输入!$B$9*4,IF(AND(93-(核心参数输入!$B$148)&gt;0,93-(核心参数输入!$B$148)&lt;=核心参数输入!$B$16*4),INDEX(核心参数输入!$D$88:$AH$88,1,INT((93-(核心参数输入!$B$148)-1)/4)+2)*INDEX(核心参数输入!$B$128:$B$131,MOD(93-(核心参数输入!$B$148)-1,4)+1),0),0)</f>
        <v>0</v>
      </c>
      <c r="CT10" s="22">
        <f>IF(94&lt;=核心参数输入!$B$9*4,IF(AND(94-(核心参数输入!$B$148)&gt;0,94-(核心参数输入!$B$148)&lt;=核心参数输入!$B$16*4),INDEX(核心参数输入!$D$88:$AH$88,1,INT((94-(核心参数输入!$B$148)-1)/4)+2)*INDEX(核心参数输入!$B$128:$B$131,MOD(94-(核心参数输入!$B$148)-1,4)+1),0),0)</f>
        <v>0</v>
      </c>
      <c r="CU10" s="22">
        <f>IF(95&lt;=核心参数输入!$B$9*4,IF(AND(95-(核心参数输入!$B$148)&gt;0,95-(核心参数输入!$B$148)&lt;=核心参数输入!$B$16*4),INDEX(核心参数输入!$D$88:$AH$88,1,INT((95-(核心参数输入!$B$148)-1)/4)+2)*INDEX(核心参数输入!$B$128:$B$131,MOD(95-(核心参数输入!$B$148)-1,4)+1),0),0)</f>
        <v>0</v>
      </c>
      <c r="CV10" s="22">
        <f>IF(96&lt;=核心参数输入!$B$9*4,IF(AND(96-(核心参数输入!$B$148)&gt;0,96-(核心参数输入!$B$148)&lt;=核心参数输入!$B$16*4),INDEX(核心参数输入!$D$88:$AH$88,1,INT((96-(核心参数输入!$B$148)-1)/4)+2)*INDEX(核心参数输入!$B$128:$B$131,MOD(96-(核心参数输入!$B$148)-1,4)+1),0),0)</f>
        <v>0</v>
      </c>
      <c r="CW10" s="22">
        <f>IF(97&lt;=核心参数输入!$B$9*4,IF(AND(97-(核心参数输入!$B$148)&gt;0,97-(核心参数输入!$B$148)&lt;=核心参数输入!$B$16*4),INDEX(核心参数输入!$D$88:$AH$88,1,INT((97-(核心参数输入!$B$148)-1)/4)+2)*INDEX(核心参数输入!$B$128:$B$131,MOD(97-(核心参数输入!$B$148)-1,4)+1),0),0)</f>
        <v>0</v>
      </c>
      <c r="CX10" s="22">
        <f>IF(98&lt;=核心参数输入!$B$9*4,IF(AND(98-(核心参数输入!$B$148)&gt;0,98-(核心参数输入!$B$148)&lt;=核心参数输入!$B$16*4),INDEX(核心参数输入!$D$88:$AH$88,1,INT((98-(核心参数输入!$B$148)-1)/4)+2)*INDEX(核心参数输入!$B$128:$B$131,MOD(98-(核心参数输入!$B$148)-1,4)+1),0),0)</f>
        <v>0</v>
      </c>
      <c r="CY10" s="22">
        <f>IF(99&lt;=核心参数输入!$B$9*4,IF(AND(99-(核心参数输入!$B$148)&gt;0,99-(核心参数输入!$B$148)&lt;=核心参数输入!$B$16*4),INDEX(核心参数输入!$D$88:$AH$88,1,INT((99-(核心参数输入!$B$148)-1)/4)+2)*INDEX(核心参数输入!$B$128:$B$131,MOD(99-(核心参数输入!$B$148)-1,4)+1),0),0)</f>
        <v>0</v>
      </c>
      <c r="CZ10" s="22">
        <f>IF(100&lt;=核心参数输入!$B$9*4,IF(AND(100-(核心参数输入!$B$148)&gt;0,100-(核心参数输入!$B$148)&lt;=核心参数输入!$B$16*4),INDEX(核心参数输入!$D$88:$AH$88,1,INT((100-(核心参数输入!$B$148)-1)/4)+2)*INDEX(核心参数输入!$B$128:$B$131,MOD(100-(核心参数输入!$B$148)-1,4)+1),0),0)</f>
        <v>0</v>
      </c>
      <c r="DA10" s="22">
        <f>IF(101&lt;=核心参数输入!$B$9*4,IF(AND(101-(核心参数输入!$B$148)&gt;0,101-(核心参数输入!$B$148)&lt;=核心参数输入!$B$16*4),INDEX(核心参数输入!$D$88:$AH$88,1,INT((101-(核心参数输入!$B$148)-1)/4)+2)*INDEX(核心参数输入!$B$128:$B$131,MOD(101-(核心参数输入!$B$148)-1,4)+1),0),0)</f>
        <v>0</v>
      </c>
      <c r="DB10" s="22">
        <f>IF(102&lt;=核心参数输入!$B$9*4,IF(AND(102-(核心参数输入!$B$148)&gt;0,102-(核心参数输入!$B$148)&lt;=核心参数输入!$B$16*4),INDEX(核心参数输入!$D$88:$AH$88,1,INT((102-(核心参数输入!$B$148)-1)/4)+2)*INDEX(核心参数输入!$B$128:$B$131,MOD(102-(核心参数输入!$B$148)-1,4)+1),0),0)</f>
        <v>0</v>
      </c>
      <c r="DC10" s="22">
        <f>IF(103&lt;=核心参数输入!$B$9*4,IF(AND(103-(核心参数输入!$B$148)&gt;0,103-(核心参数输入!$B$148)&lt;=核心参数输入!$B$16*4),INDEX(核心参数输入!$D$88:$AH$88,1,INT((103-(核心参数输入!$B$148)-1)/4)+2)*INDEX(核心参数输入!$B$128:$B$131,MOD(103-(核心参数输入!$B$148)-1,4)+1),0),0)</f>
        <v>0</v>
      </c>
      <c r="DD10" s="22">
        <f>IF(104&lt;=核心参数输入!$B$9*4,IF(AND(104-(核心参数输入!$B$148)&gt;0,104-(核心参数输入!$B$148)&lt;=核心参数输入!$B$16*4),INDEX(核心参数输入!$D$88:$AH$88,1,INT((104-(核心参数输入!$B$148)-1)/4)+2)*INDEX(核心参数输入!$B$128:$B$131,MOD(104-(核心参数输入!$B$148)-1,4)+1),0),0)</f>
        <v>0</v>
      </c>
      <c r="DE10" s="22">
        <f>IF(105&lt;=核心参数输入!$B$9*4,IF(AND(105-(核心参数输入!$B$148)&gt;0,105-(核心参数输入!$B$148)&lt;=核心参数输入!$B$16*4),INDEX(核心参数输入!$D$88:$AH$88,1,INT((105-(核心参数输入!$B$148)-1)/4)+2)*INDEX(核心参数输入!$B$128:$B$131,MOD(105-(核心参数输入!$B$148)-1,4)+1),0),0)</f>
        <v>0</v>
      </c>
      <c r="DF10" s="22">
        <f>IF(106&lt;=核心参数输入!$B$9*4,IF(AND(106-(核心参数输入!$B$148)&gt;0,106-(核心参数输入!$B$148)&lt;=核心参数输入!$B$16*4),INDEX(核心参数输入!$D$88:$AH$88,1,INT((106-(核心参数输入!$B$148)-1)/4)+2)*INDEX(核心参数输入!$B$128:$B$131,MOD(106-(核心参数输入!$B$148)-1,4)+1),0),0)</f>
        <v>0</v>
      </c>
      <c r="DG10" s="22">
        <f>IF(107&lt;=核心参数输入!$B$9*4,IF(AND(107-(核心参数输入!$B$148)&gt;0,107-(核心参数输入!$B$148)&lt;=核心参数输入!$B$16*4),INDEX(核心参数输入!$D$88:$AH$88,1,INT((107-(核心参数输入!$B$148)-1)/4)+2)*INDEX(核心参数输入!$B$128:$B$131,MOD(107-(核心参数输入!$B$148)-1,4)+1),0),0)</f>
        <v>0</v>
      </c>
      <c r="DH10" s="22">
        <f>IF(108&lt;=核心参数输入!$B$9*4,IF(AND(108-(核心参数输入!$B$148)&gt;0,108-(核心参数输入!$B$148)&lt;=核心参数输入!$B$16*4),INDEX(核心参数输入!$D$88:$AH$88,1,INT((108-(核心参数输入!$B$148)-1)/4)+2)*INDEX(核心参数输入!$B$128:$B$131,MOD(108-(核心参数输入!$B$148)-1,4)+1),0),0)</f>
        <v>0</v>
      </c>
      <c r="DI10" s="22">
        <f>IF(109&lt;=核心参数输入!$B$9*4,IF(AND(109-(核心参数输入!$B$148)&gt;0,109-(核心参数输入!$B$148)&lt;=核心参数输入!$B$16*4),INDEX(核心参数输入!$D$88:$AH$88,1,INT((109-(核心参数输入!$B$148)-1)/4)+2)*INDEX(核心参数输入!$B$128:$B$131,MOD(109-(核心参数输入!$B$148)-1,4)+1),0),0)</f>
        <v>0</v>
      </c>
      <c r="DJ10" s="22">
        <f>IF(110&lt;=核心参数输入!$B$9*4,IF(AND(110-(核心参数输入!$B$148)&gt;0,110-(核心参数输入!$B$148)&lt;=核心参数输入!$B$16*4),INDEX(核心参数输入!$D$88:$AH$88,1,INT((110-(核心参数输入!$B$148)-1)/4)+2)*INDEX(核心参数输入!$B$128:$B$131,MOD(110-(核心参数输入!$B$148)-1,4)+1),0),0)</f>
        <v>0</v>
      </c>
      <c r="DK10" s="22">
        <f>IF(111&lt;=核心参数输入!$B$9*4,IF(AND(111-(核心参数输入!$B$148)&gt;0,111-(核心参数输入!$B$148)&lt;=核心参数输入!$B$16*4),INDEX(核心参数输入!$D$88:$AH$88,1,INT((111-(核心参数输入!$B$148)-1)/4)+2)*INDEX(核心参数输入!$B$128:$B$131,MOD(111-(核心参数输入!$B$148)-1,4)+1),0),0)</f>
        <v>0</v>
      </c>
      <c r="DL10" s="22">
        <f>IF(112&lt;=核心参数输入!$B$9*4,IF(AND(112-(核心参数输入!$B$148)&gt;0,112-(核心参数输入!$B$148)&lt;=核心参数输入!$B$16*4),INDEX(核心参数输入!$D$88:$AH$88,1,INT((112-(核心参数输入!$B$148)-1)/4)+2)*INDEX(核心参数输入!$B$128:$B$131,MOD(112-(核心参数输入!$B$148)-1,4)+1),0),0)</f>
        <v>0</v>
      </c>
      <c r="DM10" s="22">
        <f>IF(113&lt;=核心参数输入!$B$9*4,IF(AND(113-(核心参数输入!$B$148)&gt;0,113-(核心参数输入!$B$148)&lt;=核心参数输入!$B$16*4),INDEX(核心参数输入!$D$88:$AH$88,1,INT((113-(核心参数输入!$B$148)-1)/4)+2)*INDEX(核心参数输入!$B$128:$B$131,MOD(113-(核心参数输入!$B$148)-1,4)+1),0),0)</f>
        <v>0</v>
      </c>
      <c r="DN10" s="22">
        <f>IF(114&lt;=核心参数输入!$B$9*4,IF(AND(114-(核心参数输入!$B$148)&gt;0,114-(核心参数输入!$B$148)&lt;=核心参数输入!$B$16*4),INDEX(核心参数输入!$D$88:$AH$88,1,INT((114-(核心参数输入!$B$148)-1)/4)+2)*INDEX(核心参数输入!$B$128:$B$131,MOD(114-(核心参数输入!$B$148)-1,4)+1),0),0)</f>
        <v>0</v>
      </c>
      <c r="DO10" s="22">
        <f>IF(115&lt;=核心参数输入!$B$9*4,IF(AND(115-(核心参数输入!$B$148)&gt;0,115-(核心参数输入!$B$148)&lt;=核心参数输入!$B$16*4),INDEX(核心参数输入!$D$88:$AH$88,1,INT((115-(核心参数输入!$B$148)-1)/4)+2)*INDEX(核心参数输入!$B$128:$B$131,MOD(115-(核心参数输入!$B$148)-1,4)+1),0),0)</f>
        <v>0</v>
      </c>
      <c r="DP10" s="22">
        <f>IF(116&lt;=核心参数输入!$B$9*4,IF(AND(116-(核心参数输入!$B$148)&gt;0,116-(核心参数输入!$B$148)&lt;=核心参数输入!$B$16*4),INDEX(核心参数输入!$D$88:$AH$88,1,INT((116-(核心参数输入!$B$148)-1)/4)+2)*INDEX(核心参数输入!$B$128:$B$131,MOD(116-(核心参数输入!$B$148)-1,4)+1),0),0)</f>
        <v>0</v>
      </c>
      <c r="DQ10" s="22">
        <f>IF(117&lt;=核心参数输入!$B$9*4,IF(AND(117-(核心参数输入!$B$148)&gt;0,117-(核心参数输入!$B$148)&lt;=核心参数输入!$B$16*4),INDEX(核心参数输入!$D$88:$AH$88,1,INT((117-(核心参数输入!$B$148)-1)/4)+2)*INDEX(核心参数输入!$B$128:$B$131,MOD(117-(核心参数输入!$B$148)-1,4)+1),0),0)</f>
        <v>0</v>
      </c>
      <c r="DR10" s="22">
        <f>IF(118&lt;=核心参数输入!$B$9*4,IF(AND(118-(核心参数输入!$B$148)&gt;0,118-(核心参数输入!$B$148)&lt;=核心参数输入!$B$16*4),INDEX(核心参数输入!$D$88:$AH$88,1,INT((118-(核心参数输入!$B$148)-1)/4)+2)*INDEX(核心参数输入!$B$128:$B$131,MOD(118-(核心参数输入!$B$148)-1,4)+1),0),0)</f>
        <v>0</v>
      </c>
      <c r="DS10" s="22">
        <f>IF(119&lt;=核心参数输入!$B$9*4,IF(AND(119-(核心参数输入!$B$148)&gt;0,119-(核心参数输入!$B$148)&lt;=核心参数输入!$B$16*4),INDEX(核心参数输入!$D$88:$AH$88,1,INT((119-(核心参数输入!$B$148)-1)/4)+2)*INDEX(核心参数输入!$B$128:$B$131,MOD(119-(核心参数输入!$B$148)-1,4)+1),0),0)</f>
        <v>0</v>
      </c>
      <c r="DT10" s="22">
        <f>IF(120&lt;=核心参数输入!$B$9*4,IF(AND(120-(核心参数输入!$B$148)&gt;0,120-(核心参数输入!$B$148)&lt;=核心参数输入!$B$16*4),INDEX(核心参数输入!$D$88:$AH$88,1,INT((120-(核心参数输入!$B$148)-1)/4)+2)*INDEX(核心参数输入!$B$128:$B$131,MOD(120-(核心参数输入!$B$148)-1,4)+1),0),0)</f>
        <v>0</v>
      </c>
    </row>
    <row r="11" spans="1:124" ht="21" customHeight="1">
      <c r="A11" s="8" t="s">
        <v>623</v>
      </c>
      <c r="B11" s="8" t="s">
        <v>38</v>
      </c>
      <c r="C11" s="8"/>
      <c r="D11" s="22">
        <f>IF(0&lt;=核心参数输入!$B$9*4,0,0)</f>
        <v>0</v>
      </c>
      <c r="E11" s="22">
        <f>IF(1&lt;=核心参数输入!$B$9*4,IF(AND(1-(核心参数输入!$B$148)&gt;=0,1-(核心参数输入!$B$148)&lt;=120),IF(COUNT(INDEX($D$20:$DT$20,1,MAX(1,MIN(121,1-(核心参数输入!$B$148)+1))))=1,INDEX($D$20:$DT$20,1,MAX(1,MIN(121,1-(核心参数输入!$B$148)+1))),E10),0),0)</f>
        <v>7.4999999999999997E-2</v>
      </c>
      <c r="F11" s="22">
        <f>IF(2&lt;=核心参数输入!$B$9*4,IF(AND(2-(核心参数输入!$B$148)&gt;=0,2-(核心参数输入!$B$148)&lt;=120),IF(COUNT(INDEX($D$20:$DT$20,1,MAX(1,MIN(121,2-(核心参数输入!$B$148)+1))))=1,INDEX($D$20:$DT$20,1,MAX(1,MIN(121,2-(核心参数输入!$B$148)+1))),F10),0),0)</f>
        <v>7.4999999999999997E-2</v>
      </c>
      <c r="G11" s="22">
        <f>IF(3&lt;=核心参数输入!$B$9*4,IF(AND(3-(核心参数输入!$B$148)&gt;=0,3-(核心参数输入!$B$148)&lt;=120),IF(COUNT(INDEX($D$20:$DT$20,1,MAX(1,MIN(121,3-(核心参数输入!$B$148)+1))))=1,INDEX($D$20:$DT$20,1,MAX(1,MIN(121,3-(核心参数输入!$B$148)+1))),G10),0),0)</f>
        <v>7.4999999999999997E-2</v>
      </c>
      <c r="H11" s="22">
        <f>IF(4&lt;=核心参数输入!$B$9*4,IF(AND(4-(核心参数输入!$B$148)&gt;=0,4-(核心参数输入!$B$148)&lt;=120),IF(COUNT(INDEX($D$20:$DT$20,1,MAX(1,MIN(121,4-(核心参数输入!$B$148)+1))))=1,INDEX($D$20:$DT$20,1,MAX(1,MIN(121,4-(核心参数输入!$B$148)+1))),H10),0),0)</f>
        <v>7.4999999999999997E-2</v>
      </c>
      <c r="I11" s="22">
        <f>IF(5&lt;=核心参数输入!$B$9*4,IF(AND(5-(核心参数输入!$B$148)&gt;=0,5-(核心参数输入!$B$148)&lt;=120),IF(COUNT(INDEX($D$20:$DT$20,1,MAX(1,MIN(121,5-(核心参数输入!$B$148)+1))))=1,INDEX($D$20:$DT$20,1,MAX(1,MIN(121,5-(核心参数输入!$B$148)+1))),I10),0),0)</f>
        <v>0.1</v>
      </c>
      <c r="J11" s="22">
        <f>IF(6&lt;=核心参数输入!$B$9*4,IF(AND(6-(核心参数输入!$B$148)&gt;=0,6-(核心参数输入!$B$148)&lt;=120),IF(COUNT(INDEX($D$20:$DT$20,1,MAX(1,MIN(121,6-(核心参数输入!$B$148)+1))))=1,INDEX($D$20:$DT$20,1,MAX(1,MIN(121,6-(核心参数输入!$B$148)+1))),J10),0),0)</f>
        <v>0.1</v>
      </c>
      <c r="K11" s="22">
        <f>IF(7&lt;=核心参数输入!$B$9*4,IF(AND(7-(核心参数输入!$B$148)&gt;=0,7-(核心参数输入!$B$148)&lt;=120),IF(COUNT(INDEX($D$20:$DT$20,1,MAX(1,MIN(121,7-(核心参数输入!$B$148)+1))))=1,INDEX($D$20:$DT$20,1,MAX(1,MIN(121,7-(核心参数输入!$B$148)+1))),K10),0),0)</f>
        <v>0.1</v>
      </c>
      <c r="L11" s="22">
        <f>IF(8&lt;=核心参数输入!$B$9*4,IF(AND(8-(核心参数输入!$B$148)&gt;=0,8-(核心参数输入!$B$148)&lt;=120),IF(COUNT(INDEX($D$20:$DT$20,1,MAX(1,MIN(121,8-(核心参数输入!$B$148)+1))))=1,INDEX($D$20:$DT$20,1,MAX(1,MIN(121,8-(核心参数输入!$B$148)+1))),L10),0),0)</f>
        <v>0.1</v>
      </c>
      <c r="M11" s="22">
        <f>IF(9&lt;=核心参数输入!$B$9*4,IF(AND(9-(核心参数输入!$B$148)&gt;=0,9-(核心参数输入!$B$148)&lt;=120),IF(COUNT(INDEX($D$20:$DT$20,1,MAX(1,MIN(121,9-(核心参数输入!$B$148)+1))))=1,INDEX($D$20:$DT$20,1,MAX(1,MIN(121,9-(核心参数输入!$B$148)+1))),M10),0),0)</f>
        <v>7.4999999999999997E-2</v>
      </c>
      <c r="N11" s="22">
        <f>IF(10&lt;=核心参数输入!$B$9*4,IF(AND(10-(核心参数输入!$B$148)&gt;=0,10-(核心参数输入!$B$148)&lt;=120),IF(COUNT(INDEX($D$20:$DT$20,1,MAX(1,MIN(121,10-(核心参数输入!$B$148)+1))))=1,INDEX($D$20:$DT$20,1,MAX(1,MIN(121,10-(核心参数输入!$B$148)+1))),N10),0),0)</f>
        <v>7.4999999999999997E-2</v>
      </c>
      <c r="O11" s="22">
        <f>IF(11&lt;=核心参数输入!$B$9*4,IF(AND(11-(核心参数输入!$B$148)&gt;=0,11-(核心参数输入!$B$148)&lt;=120),IF(COUNT(INDEX($D$20:$DT$20,1,MAX(1,MIN(121,11-(核心参数输入!$B$148)+1))))=1,INDEX($D$20:$DT$20,1,MAX(1,MIN(121,11-(核心参数输入!$B$148)+1))),O10),0),0)</f>
        <v>7.4999999999999997E-2</v>
      </c>
      <c r="P11" s="22">
        <f>IF(12&lt;=核心参数输入!$B$9*4,IF(AND(12-(核心参数输入!$B$148)&gt;=0,12-(核心参数输入!$B$148)&lt;=120),IF(COUNT(INDEX($D$20:$DT$20,1,MAX(1,MIN(121,12-(核心参数输入!$B$148)+1))))=1,INDEX($D$20:$DT$20,1,MAX(1,MIN(121,12-(核心参数输入!$B$148)+1))),P10),0),0)</f>
        <v>7.4999999999999997E-2</v>
      </c>
      <c r="Q11" s="22">
        <f>IF(13&lt;=核心参数输入!$B$9*4,IF(AND(13-(核心参数输入!$B$148)&gt;=0,13-(核心参数输入!$B$148)&lt;=120),IF(COUNT(INDEX($D$20:$DT$20,1,MAX(1,MIN(121,13-(核心参数输入!$B$148)+1))))=1,INDEX($D$20:$DT$20,1,MAX(1,MIN(121,13-(核心参数输入!$B$148)+1))),Q10),0),0)</f>
        <v>0</v>
      </c>
      <c r="R11" s="22">
        <f>IF(14&lt;=核心参数输入!$B$9*4,IF(AND(14-(核心参数输入!$B$148)&gt;=0,14-(核心参数输入!$B$148)&lt;=120),IF(COUNT(INDEX($D$20:$DT$20,1,MAX(1,MIN(121,14-(核心参数输入!$B$148)+1))))=1,INDEX($D$20:$DT$20,1,MAX(1,MIN(121,14-(核心参数输入!$B$148)+1))),R10),0),0)</f>
        <v>0</v>
      </c>
      <c r="S11" s="22">
        <f>IF(15&lt;=核心参数输入!$B$9*4,IF(AND(15-(核心参数输入!$B$148)&gt;=0,15-(核心参数输入!$B$148)&lt;=120),IF(COUNT(INDEX($D$20:$DT$20,1,MAX(1,MIN(121,15-(核心参数输入!$B$148)+1))))=1,INDEX($D$20:$DT$20,1,MAX(1,MIN(121,15-(核心参数输入!$B$148)+1))),S10),0),0)</f>
        <v>0</v>
      </c>
      <c r="T11" s="22">
        <f>IF(16&lt;=核心参数输入!$B$9*4,IF(AND(16-(核心参数输入!$B$148)&gt;=0,16-(核心参数输入!$B$148)&lt;=120),IF(COUNT(INDEX($D$20:$DT$20,1,MAX(1,MIN(121,16-(核心参数输入!$B$148)+1))))=1,INDEX($D$20:$DT$20,1,MAX(1,MIN(121,16-(核心参数输入!$B$148)+1))),T10),0),0)</f>
        <v>0</v>
      </c>
      <c r="U11" s="22">
        <f>IF(17&lt;=核心参数输入!$B$9*4,IF(AND(17-(核心参数输入!$B$148)&gt;=0,17-(核心参数输入!$B$148)&lt;=120),IF(COUNT(INDEX($D$20:$DT$20,1,MAX(1,MIN(121,17-(核心参数输入!$B$148)+1))))=1,INDEX($D$20:$DT$20,1,MAX(1,MIN(121,17-(核心参数输入!$B$148)+1))),U10),0),0)</f>
        <v>0</v>
      </c>
      <c r="V11" s="22">
        <f>IF(18&lt;=核心参数输入!$B$9*4,IF(AND(18-(核心参数输入!$B$148)&gt;=0,18-(核心参数输入!$B$148)&lt;=120),IF(COUNT(INDEX($D$20:$DT$20,1,MAX(1,MIN(121,18-(核心参数输入!$B$148)+1))))=1,INDEX($D$20:$DT$20,1,MAX(1,MIN(121,18-(核心参数输入!$B$148)+1))),V10),0),0)</f>
        <v>0</v>
      </c>
      <c r="W11" s="22">
        <f>IF(19&lt;=核心参数输入!$B$9*4,IF(AND(19-(核心参数输入!$B$148)&gt;=0,19-(核心参数输入!$B$148)&lt;=120),IF(COUNT(INDEX($D$20:$DT$20,1,MAX(1,MIN(121,19-(核心参数输入!$B$148)+1))))=1,INDEX($D$20:$DT$20,1,MAX(1,MIN(121,19-(核心参数输入!$B$148)+1))),W10),0),0)</f>
        <v>0</v>
      </c>
      <c r="X11" s="22">
        <f>IF(20&lt;=核心参数输入!$B$9*4,IF(AND(20-(核心参数输入!$B$148)&gt;=0,20-(核心参数输入!$B$148)&lt;=120),IF(COUNT(INDEX($D$20:$DT$20,1,MAX(1,MIN(121,20-(核心参数输入!$B$148)+1))))=1,INDEX($D$20:$DT$20,1,MAX(1,MIN(121,20-(核心参数输入!$B$148)+1))),X10),0),0)</f>
        <v>0</v>
      </c>
      <c r="Y11" s="22">
        <f>IF(21&lt;=核心参数输入!$B$9*4,IF(AND(21-(核心参数输入!$B$148)&gt;=0,21-(核心参数输入!$B$148)&lt;=120),IF(COUNT(INDEX($D$20:$DT$20,1,MAX(1,MIN(121,21-(核心参数输入!$B$148)+1))))=1,INDEX($D$20:$DT$20,1,MAX(1,MIN(121,21-(核心参数输入!$B$148)+1))),Y10),0),0)</f>
        <v>0</v>
      </c>
      <c r="Z11" s="22">
        <f>IF(22&lt;=核心参数输入!$B$9*4,IF(AND(22-(核心参数输入!$B$148)&gt;=0,22-(核心参数输入!$B$148)&lt;=120),IF(COUNT(INDEX($D$20:$DT$20,1,MAX(1,MIN(121,22-(核心参数输入!$B$148)+1))))=1,INDEX($D$20:$DT$20,1,MAX(1,MIN(121,22-(核心参数输入!$B$148)+1))),Z10),0),0)</f>
        <v>0</v>
      </c>
      <c r="AA11" s="22">
        <f>IF(23&lt;=核心参数输入!$B$9*4,IF(AND(23-(核心参数输入!$B$148)&gt;=0,23-(核心参数输入!$B$148)&lt;=120),IF(COUNT(INDEX($D$20:$DT$20,1,MAX(1,MIN(121,23-(核心参数输入!$B$148)+1))))=1,INDEX($D$20:$DT$20,1,MAX(1,MIN(121,23-(核心参数输入!$B$148)+1))),AA10),0),0)</f>
        <v>0</v>
      </c>
      <c r="AB11" s="22">
        <f>IF(24&lt;=核心参数输入!$B$9*4,IF(AND(24-(核心参数输入!$B$148)&gt;=0,24-(核心参数输入!$B$148)&lt;=120),IF(COUNT(INDEX($D$20:$DT$20,1,MAX(1,MIN(121,24-(核心参数输入!$B$148)+1))))=1,INDEX($D$20:$DT$20,1,MAX(1,MIN(121,24-(核心参数输入!$B$148)+1))),AB10),0),0)</f>
        <v>0</v>
      </c>
      <c r="AC11" s="22">
        <f>IF(25&lt;=核心参数输入!$B$9*4,IF(AND(25-(核心参数输入!$B$148)&gt;=0,25-(核心参数输入!$B$148)&lt;=120),IF(COUNT(INDEX($D$20:$DT$20,1,MAX(1,MIN(121,25-(核心参数输入!$B$148)+1))))=1,INDEX($D$20:$DT$20,1,MAX(1,MIN(121,25-(核心参数输入!$B$148)+1))),AC10),0),0)</f>
        <v>0</v>
      </c>
      <c r="AD11" s="22">
        <f>IF(26&lt;=核心参数输入!$B$9*4,IF(AND(26-(核心参数输入!$B$148)&gt;=0,26-(核心参数输入!$B$148)&lt;=120),IF(COUNT(INDEX($D$20:$DT$20,1,MAX(1,MIN(121,26-(核心参数输入!$B$148)+1))))=1,INDEX($D$20:$DT$20,1,MAX(1,MIN(121,26-(核心参数输入!$B$148)+1))),AD10),0),0)</f>
        <v>0</v>
      </c>
      <c r="AE11" s="22">
        <f>IF(27&lt;=核心参数输入!$B$9*4,IF(AND(27-(核心参数输入!$B$148)&gt;=0,27-(核心参数输入!$B$148)&lt;=120),IF(COUNT(INDEX($D$20:$DT$20,1,MAX(1,MIN(121,27-(核心参数输入!$B$148)+1))))=1,INDEX($D$20:$DT$20,1,MAX(1,MIN(121,27-(核心参数输入!$B$148)+1))),AE10),0),0)</f>
        <v>0</v>
      </c>
      <c r="AF11" s="22">
        <f>IF(28&lt;=核心参数输入!$B$9*4,IF(AND(28-(核心参数输入!$B$148)&gt;=0,28-(核心参数输入!$B$148)&lt;=120),IF(COUNT(INDEX($D$20:$DT$20,1,MAX(1,MIN(121,28-(核心参数输入!$B$148)+1))))=1,INDEX($D$20:$DT$20,1,MAX(1,MIN(121,28-(核心参数输入!$B$148)+1))),AF10),0),0)</f>
        <v>0</v>
      </c>
      <c r="AG11" s="22">
        <f>IF(29&lt;=核心参数输入!$B$9*4,IF(AND(29-(核心参数输入!$B$148)&gt;=0,29-(核心参数输入!$B$148)&lt;=120),IF(COUNT(INDEX($D$20:$DT$20,1,MAX(1,MIN(121,29-(核心参数输入!$B$148)+1))))=1,INDEX($D$20:$DT$20,1,MAX(1,MIN(121,29-(核心参数输入!$B$148)+1))),AG10),0),0)</f>
        <v>0</v>
      </c>
      <c r="AH11" s="22">
        <f>IF(30&lt;=核心参数输入!$B$9*4,IF(AND(30-(核心参数输入!$B$148)&gt;=0,30-(核心参数输入!$B$148)&lt;=120),IF(COUNT(INDEX($D$20:$DT$20,1,MAX(1,MIN(121,30-(核心参数输入!$B$148)+1))))=1,INDEX($D$20:$DT$20,1,MAX(1,MIN(121,30-(核心参数输入!$B$148)+1))),AH10),0),0)</f>
        <v>0</v>
      </c>
      <c r="AI11" s="22">
        <f>IF(31&lt;=核心参数输入!$B$9*4,IF(AND(31-(核心参数输入!$B$148)&gt;=0,31-(核心参数输入!$B$148)&lt;=120),IF(COUNT(INDEX($D$20:$DT$20,1,MAX(1,MIN(121,31-(核心参数输入!$B$148)+1))))=1,INDEX($D$20:$DT$20,1,MAX(1,MIN(121,31-(核心参数输入!$B$148)+1))),AI10),0),0)</f>
        <v>0</v>
      </c>
      <c r="AJ11" s="22">
        <f>IF(32&lt;=核心参数输入!$B$9*4,IF(AND(32-(核心参数输入!$B$148)&gt;=0,32-(核心参数输入!$B$148)&lt;=120),IF(COUNT(INDEX($D$20:$DT$20,1,MAX(1,MIN(121,32-(核心参数输入!$B$148)+1))))=1,INDEX($D$20:$DT$20,1,MAX(1,MIN(121,32-(核心参数输入!$B$148)+1))),AJ10),0),0)</f>
        <v>0</v>
      </c>
      <c r="AK11" s="22">
        <f>IF(33&lt;=核心参数输入!$B$9*4,IF(AND(33-(核心参数输入!$B$148)&gt;=0,33-(核心参数输入!$B$148)&lt;=120),IF(COUNT(INDEX($D$20:$DT$20,1,MAX(1,MIN(121,33-(核心参数输入!$B$148)+1))))=1,INDEX($D$20:$DT$20,1,MAX(1,MIN(121,33-(核心参数输入!$B$148)+1))),AK10),0),0)</f>
        <v>0</v>
      </c>
      <c r="AL11" s="22">
        <f>IF(34&lt;=核心参数输入!$B$9*4,IF(AND(34-(核心参数输入!$B$148)&gt;=0,34-(核心参数输入!$B$148)&lt;=120),IF(COUNT(INDEX($D$20:$DT$20,1,MAX(1,MIN(121,34-(核心参数输入!$B$148)+1))))=1,INDEX($D$20:$DT$20,1,MAX(1,MIN(121,34-(核心参数输入!$B$148)+1))),AL10),0),0)</f>
        <v>0</v>
      </c>
      <c r="AM11" s="22">
        <f>IF(35&lt;=核心参数输入!$B$9*4,IF(AND(35-(核心参数输入!$B$148)&gt;=0,35-(核心参数输入!$B$148)&lt;=120),IF(COUNT(INDEX($D$20:$DT$20,1,MAX(1,MIN(121,35-(核心参数输入!$B$148)+1))))=1,INDEX($D$20:$DT$20,1,MAX(1,MIN(121,35-(核心参数输入!$B$148)+1))),AM10),0),0)</f>
        <v>0</v>
      </c>
      <c r="AN11" s="22">
        <f>IF(36&lt;=核心参数输入!$B$9*4,IF(AND(36-(核心参数输入!$B$148)&gt;=0,36-(核心参数输入!$B$148)&lt;=120),IF(COUNT(INDEX($D$20:$DT$20,1,MAX(1,MIN(121,36-(核心参数输入!$B$148)+1))))=1,INDEX($D$20:$DT$20,1,MAX(1,MIN(121,36-(核心参数输入!$B$148)+1))),AN10),0),0)</f>
        <v>0</v>
      </c>
      <c r="AO11" s="22">
        <f>IF(37&lt;=核心参数输入!$B$9*4,IF(AND(37-(核心参数输入!$B$148)&gt;=0,37-(核心参数输入!$B$148)&lt;=120),IF(COUNT(INDEX($D$20:$DT$20,1,MAX(1,MIN(121,37-(核心参数输入!$B$148)+1))))=1,INDEX($D$20:$DT$20,1,MAX(1,MIN(121,37-(核心参数输入!$B$148)+1))),AO10),0),0)</f>
        <v>0</v>
      </c>
      <c r="AP11" s="22">
        <f>IF(38&lt;=核心参数输入!$B$9*4,IF(AND(38-(核心参数输入!$B$148)&gt;=0,38-(核心参数输入!$B$148)&lt;=120),IF(COUNT(INDEX($D$20:$DT$20,1,MAX(1,MIN(121,38-(核心参数输入!$B$148)+1))))=1,INDEX($D$20:$DT$20,1,MAX(1,MIN(121,38-(核心参数输入!$B$148)+1))),AP10),0),0)</f>
        <v>0</v>
      </c>
      <c r="AQ11" s="22">
        <f>IF(39&lt;=核心参数输入!$B$9*4,IF(AND(39-(核心参数输入!$B$148)&gt;=0,39-(核心参数输入!$B$148)&lt;=120),IF(COUNT(INDEX($D$20:$DT$20,1,MAX(1,MIN(121,39-(核心参数输入!$B$148)+1))))=1,INDEX($D$20:$DT$20,1,MAX(1,MIN(121,39-(核心参数输入!$B$148)+1))),AQ10),0),0)</f>
        <v>0</v>
      </c>
      <c r="AR11" s="22">
        <f>IF(40&lt;=核心参数输入!$B$9*4,IF(AND(40-(核心参数输入!$B$148)&gt;=0,40-(核心参数输入!$B$148)&lt;=120),IF(COUNT(INDEX($D$20:$DT$20,1,MAX(1,MIN(121,40-(核心参数输入!$B$148)+1))))=1,INDEX($D$20:$DT$20,1,MAX(1,MIN(121,40-(核心参数输入!$B$148)+1))),AR10),0),0)</f>
        <v>0</v>
      </c>
      <c r="AS11" s="22">
        <f>IF(41&lt;=核心参数输入!$B$9*4,IF(AND(41-(核心参数输入!$B$148)&gt;=0,41-(核心参数输入!$B$148)&lt;=120),IF(COUNT(INDEX($D$20:$DT$20,1,MAX(1,MIN(121,41-(核心参数输入!$B$148)+1))))=1,INDEX($D$20:$DT$20,1,MAX(1,MIN(121,41-(核心参数输入!$B$148)+1))),AS10),0),0)</f>
        <v>0</v>
      </c>
      <c r="AT11" s="22">
        <f>IF(42&lt;=核心参数输入!$B$9*4,IF(AND(42-(核心参数输入!$B$148)&gt;=0,42-(核心参数输入!$B$148)&lt;=120),IF(COUNT(INDEX($D$20:$DT$20,1,MAX(1,MIN(121,42-(核心参数输入!$B$148)+1))))=1,INDEX($D$20:$DT$20,1,MAX(1,MIN(121,42-(核心参数输入!$B$148)+1))),AT10),0),0)</f>
        <v>0</v>
      </c>
      <c r="AU11" s="22">
        <f>IF(43&lt;=核心参数输入!$B$9*4,IF(AND(43-(核心参数输入!$B$148)&gt;=0,43-(核心参数输入!$B$148)&lt;=120),IF(COUNT(INDEX($D$20:$DT$20,1,MAX(1,MIN(121,43-(核心参数输入!$B$148)+1))))=1,INDEX($D$20:$DT$20,1,MAX(1,MIN(121,43-(核心参数输入!$B$148)+1))),AU10),0),0)</f>
        <v>0</v>
      </c>
      <c r="AV11" s="22">
        <f>IF(44&lt;=核心参数输入!$B$9*4,IF(AND(44-(核心参数输入!$B$148)&gt;=0,44-(核心参数输入!$B$148)&lt;=120),IF(COUNT(INDEX($D$20:$DT$20,1,MAX(1,MIN(121,44-(核心参数输入!$B$148)+1))))=1,INDEX($D$20:$DT$20,1,MAX(1,MIN(121,44-(核心参数输入!$B$148)+1))),AV10),0),0)</f>
        <v>0</v>
      </c>
      <c r="AW11" s="22">
        <f>IF(45&lt;=核心参数输入!$B$9*4,IF(AND(45-(核心参数输入!$B$148)&gt;=0,45-(核心参数输入!$B$148)&lt;=120),IF(COUNT(INDEX($D$20:$DT$20,1,MAX(1,MIN(121,45-(核心参数输入!$B$148)+1))))=1,INDEX($D$20:$DT$20,1,MAX(1,MIN(121,45-(核心参数输入!$B$148)+1))),AW10),0),0)</f>
        <v>0</v>
      </c>
      <c r="AX11" s="22">
        <f>IF(46&lt;=核心参数输入!$B$9*4,IF(AND(46-(核心参数输入!$B$148)&gt;=0,46-(核心参数输入!$B$148)&lt;=120),IF(COUNT(INDEX($D$20:$DT$20,1,MAX(1,MIN(121,46-(核心参数输入!$B$148)+1))))=1,INDEX($D$20:$DT$20,1,MAX(1,MIN(121,46-(核心参数输入!$B$148)+1))),AX10),0),0)</f>
        <v>0</v>
      </c>
      <c r="AY11" s="22">
        <f>IF(47&lt;=核心参数输入!$B$9*4,IF(AND(47-(核心参数输入!$B$148)&gt;=0,47-(核心参数输入!$B$148)&lt;=120),IF(COUNT(INDEX($D$20:$DT$20,1,MAX(1,MIN(121,47-(核心参数输入!$B$148)+1))))=1,INDEX($D$20:$DT$20,1,MAX(1,MIN(121,47-(核心参数输入!$B$148)+1))),AY10),0),0)</f>
        <v>0</v>
      </c>
      <c r="AZ11" s="22">
        <f>IF(48&lt;=核心参数输入!$B$9*4,IF(AND(48-(核心参数输入!$B$148)&gt;=0,48-(核心参数输入!$B$148)&lt;=120),IF(COUNT(INDEX($D$20:$DT$20,1,MAX(1,MIN(121,48-(核心参数输入!$B$148)+1))))=1,INDEX($D$20:$DT$20,1,MAX(1,MIN(121,48-(核心参数输入!$B$148)+1))),AZ10),0),0)</f>
        <v>0</v>
      </c>
      <c r="BA11" s="22">
        <f>IF(49&lt;=核心参数输入!$B$9*4,IF(AND(49-(核心参数输入!$B$148)&gt;=0,49-(核心参数输入!$B$148)&lt;=120),IF(COUNT(INDEX($D$20:$DT$20,1,MAX(1,MIN(121,49-(核心参数输入!$B$148)+1))))=1,INDEX($D$20:$DT$20,1,MAX(1,MIN(121,49-(核心参数输入!$B$148)+1))),BA10),0),0)</f>
        <v>0</v>
      </c>
      <c r="BB11" s="22">
        <f>IF(50&lt;=核心参数输入!$B$9*4,IF(AND(50-(核心参数输入!$B$148)&gt;=0,50-(核心参数输入!$B$148)&lt;=120),IF(COUNT(INDEX($D$20:$DT$20,1,MAX(1,MIN(121,50-(核心参数输入!$B$148)+1))))=1,INDEX($D$20:$DT$20,1,MAX(1,MIN(121,50-(核心参数输入!$B$148)+1))),BB10),0),0)</f>
        <v>0</v>
      </c>
      <c r="BC11" s="22">
        <f>IF(51&lt;=核心参数输入!$B$9*4,IF(AND(51-(核心参数输入!$B$148)&gt;=0,51-(核心参数输入!$B$148)&lt;=120),IF(COUNT(INDEX($D$20:$DT$20,1,MAX(1,MIN(121,51-(核心参数输入!$B$148)+1))))=1,INDEX($D$20:$DT$20,1,MAX(1,MIN(121,51-(核心参数输入!$B$148)+1))),BC10),0),0)</f>
        <v>0</v>
      </c>
      <c r="BD11" s="22">
        <f>IF(52&lt;=核心参数输入!$B$9*4,IF(AND(52-(核心参数输入!$B$148)&gt;=0,52-(核心参数输入!$B$148)&lt;=120),IF(COUNT(INDEX($D$20:$DT$20,1,MAX(1,MIN(121,52-(核心参数输入!$B$148)+1))))=1,INDEX($D$20:$DT$20,1,MAX(1,MIN(121,52-(核心参数输入!$B$148)+1))),BD10),0),0)</f>
        <v>0</v>
      </c>
      <c r="BE11" s="22">
        <f>IF(53&lt;=核心参数输入!$B$9*4,IF(AND(53-(核心参数输入!$B$148)&gt;=0,53-(核心参数输入!$B$148)&lt;=120),IF(COUNT(INDEX($D$20:$DT$20,1,MAX(1,MIN(121,53-(核心参数输入!$B$148)+1))))=1,INDEX($D$20:$DT$20,1,MAX(1,MIN(121,53-(核心参数输入!$B$148)+1))),BE10),0),0)</f>
        <v>0</v>
      </c>
      <c r="BF11" s="22">
        <f>IF(54&lt;=核心参数输入!$B$9*4,IF(AND(54-(核心参数输入!$B$148)&gt;=0,54-(核心参数输入!$B$148)&lt;=120),IF(COUNT(INDEX($D$20:$DT$20,1,MAX(1,MIN(121,54-(核心参数输入!$B$148)+1))))=1,INDEX($D$20:$DT$20,1,MAX(1,MIN(121,54-(核心参数输入!$B$148)+1))),BF10),0),0)</f>
        <v>0</v>
      </c>
      <c r="BG11" s="22">
        <f>IF(55&lt;=核心参数输入!$B$9*4,IF(AND(55-(核心参数输入!$B$148)&gt;=0,55-(核心参数输入!$B$148)&lt;=120),IF(COUNT(INDEX($D$20:$DT$20,1,MAX(1,MIN(121,55-(核心参数输入!$B$148)+1))))=1,INDEX($D$20:$DT$20,1,MAX(1,MIN(121,55-(核心参数输入!$B$148)+1))),BG10),0),0)</f>
        <v>0</v>
      </c>
      <c r="BH11" s="22">
        <f>IF(56&lt;=核心参数输入!$B$9*4,IF(AND(56-(核心参数输入!$B$148)&gt;=0,56-(核心参数输入!$B$148)&lt;=120),IF(COUNT(INDEX($D$20:$DT$20,1,MAX(1,MIN(121,56-(核心参数输入!$B$148)+1))))=1,INDEX($D$20:$DT$20,1,MAX(1,MIN(121,56-(核心参数输入!$B$148)+1))),BH10),0),0)</f>
        <v>0</v>
      </c>
      <c r="BI11" s="22">
        <f>IF(57&lt;=核心参数输入!$B$9*4,IF(AND(57-(核心参数输入!$B$148)&gt;=0,57-(核心参数输入!$B$148)&lt;=120),IF(COUNT(INDEX($D$20:$DT$20,1,MAX(1,MIN(121,57-(核心参数输入!$B$148)+1))))=1,INDEX($D$20:$DT$20,1,MAX(1,MIN(121,57-(核心参数输入!$B$148)+1))),BI10),0),0)</f>
        <v>0</v>
      </c>
      <c r="BJ11" s="22">
        <f>IF(58&lt;=核心参数输入!$B$9*4,IF(AND(58-(核心参数输入!$B$148)&gt;=0,58-(核心参数输入!$B$148)&lt;=120),IF(COUNT(INDEX($D$20:$DT$20,1,MAX(1,MIN(121,58-(核心参数输入!$B$148)+1))))=1,INDEX($D$20:$DT$20,1,MAX(1,MIN(121,58-(核心参数输入!$B$148)+1))),BJ10),0),0)</f>
        <v>0</v>
      </c>
      <c r="BK11" s="22">
        <f>IF(59&lt;=核心参数输入!$B$9*4,IF(AND(59-(核心参数输入!$B$148)&gt;=0,59-(核心参数输入!$B$148)&lt;=120),IF(COUNT(INDEX($D$20:$DT$20,1,MAX(1,MIN(121,59-(核心参数输入!$B$148)+1))))=1,INDEX($D$20:$DT$20,1,MAX(1,MIN(121,59-(核心参数输入!$B$148)+1))),BK10),0),0)</f>
        <v>0</v>
      </c>
      <c r="BL11" s="22">
        <f>IF(60&lt;=核心参数输入!$B$9*4,IF(AND(60-(核心参数输入!$B$148)&gt;=0,60-(核心参数输入!$B$148)&lt;=120),IF(COUNT(INDEX($D$20:$DT$20,1,MAX(1,MIN(121,60-(核心参数输入!$B$148)+1))))=1,INDEX($D$20:$DT$20,1,MAX(1,MIN(121,60-(核心参数输入!$B$148)+1))),BL10),0),0)</f>
        <v>0</v>
      </c>
      <c r="BM11" s="22">
        <f>IF(61&lt;=核心参数输入!$B$9*4,IF(AND(61-(核心参数输入!$B$148)&gt;=0,61-(核心参数输入!$B$148)&lt;=120),IF(COUNT(INDEX($D$20:$DT$20,1,MAX(1,MIN(121,61-(核心参数输入!$B$148)+1))))=1,INDEX($D$20:$DT$20,1,MAX(1,MIN(121,61-(核心参数输入!$B$148)+1))),BM10),0),0)</f>
        <v>0</v>
      </c>
      <c r="BN11" s="22">
        <f>IF(62&lt;=核心参数输入!$B$9*4,IF(AND(62-(核心参数输入!$B$148)&gt;=0,62-(核心参数输入!$B$148)&lt;=120),IF(COUNT(INDEX($D$20:$DT$20,1,MAX(1,MIN(121,62-(核心参数输入!$B$148)+1))))=1,INDEX($D$20:$DT$20,1,MAX(1,MIN(121,62-(核心参数输入!$B$148)+1))),BN10),0),0)</f>
        <v>0</v>
      </c>
      <c r="BO11" s="22">
        <f>IF(63&lt;=核心参数输入!$B$9*4,IF(AND(63-(核心参数输入!$B$148)&gt;=0,63-(核心参数输入!$B$148)&lt;=120),IF(COUNT(INDEX($D$20:$DT$20,1,MAX(1,MIN(121,63-(核心参数输入!$B$148)+1))))=1,INDEX($D$20:$DT$20,1,MAX(1,MIN(121,63-(核心参数输入!$B$148)+1))),BO10),0),0)</f>
        <v>0</v>
      </c>
      <c r="BP11" s="22">
        <f>IF(64&lt;=核心参数输入!$B$9*4,IF(AND(64-(核心参数输入!$B$148)&gt;=0,64-(核心参数输入!$B$148)&lt;=120),IF(COUNT(INDEX($D$20:$DT$20,1,MAX(1,MIN(121,64-(核心参数输入!$B$148)+1))))=1,INDEX($D$20:$DT$20,1,MAX(1,MIN(121,64-(核心参数输入!$B$148)+1))),BP10),0),0)</f>
        <v>0</v>
      </c>
      <c r="BQ11" s="22">
        <f>IF(65&lt;=核心参数输入!$B$9*4,IF(AND(65-(核心参数输入!$B$148)&gt;=0,65-(核心参数输入!$B$148)&lt;=120),IF(COUNT(INDEX($D$20:$DT$20,1,MAX(1,MIN(121,65-(核心参数输入!$B$148)+1))))=1,INDEX($D$20:$DT$20,1,MAX(1,MIN(121,65-(核心参数输入!$B$148)+1))),BQ10),0),0)</f>
        <v>0</v>
      </c>
      <c r="BR11" s="22">
        <f>IF(66&lt;=核心参数输入!$B$9*4,IF(AND(66-(核心参数输入!$B$148)&gt;=0,66-(核心参数输入!$B$148)&lt;=120),IF(COUNT(INDEX($D$20:$DT$20,1,MAX(1,MIN(121,66-(核心参数输入!$B$148)+1))))=1,INDEX($D$20:$DT$20,1,MAX(1,MIN(121,66-(核心参数输入!$B$148)+1))),BR10),0),0)</f>
        <v>0</v>
      </c>
      <c r="BS11" s="22">
        <f>IF(67&lt;=核心参数输入!$B$9*4,IF(AND(67-(核心参数输入!$B$148)&gt;=0,67-(核心参数输入!$B$148)&lt;=120),IF(COUNT(INDEX($D$20:$DT$20,1,MAX(1,MIN(121,67-(核心参数输入!$B$148)+1))))=1,INDEX($D$20:$DT$20,1,MAX(1,MIN(121,67-(核心参数输入!$B$148)+1))),BS10),0),0)</f>
        <v>0</v>
      </c>
      <c r="BT11" s="22">
        <f>IF(68&lt;=核心参数输入!$B$9*4,IF(AND(68-(核心参数输入!$B$148)&gt;=0,68-(核心参数输入!$B$148)&lt;=120),IF(COUNT(INDEX($D$20:$DT$20,1,MAX(1,MIN(121,68-(核心参数输入!$B$148)+1))))=1,INDEX($D$20:$DT$20,1,MAX(1,MIN(121,68-(核心参数输入!$B$148)+1))),BT10),0),0)</f>
        <v>0</v>
      </c>
      <c r="BU11" s="22">
        <f>IF(69&lt;=核心参数输入!$B$9*4,IF(AND(69-(核心参数输入!$B$148)&gt;=0,69-(核心参数输入!$B$148)&lt;=120),IF(COUNT(INDEX($D$20:$DT$20,1,MAX(1,MIN(121,69-(核心参数输入!$B$148)+1))))=1,INDEX($D$20:$DT$20,1,MAX(1,MIN(121,69-(核心参数输入!$B$148)+1))),BU10),0),0)</f>
        <v>0</v>
      </c>
      <c r="BV11" s="22">
        <f>IF(70&lt;=核心参数输入!$B$9*4,IF(AND(70-(核心参数输入!$B$148)&gt;=0,70-(核心参数输入!$B$148)&lt;=120),IF(COUNT(INDEX($D$20:$DT$20,1,MAX(1,MIN(121,70-(核心参数输入!$B$148)+1))))=1,INDEX($D$20:$DT$20,1,MAX(1,MIN(121,70-(核心参数输入!$B$148)+1))),BV10),0),0)</f>
        <v>0</v>
      </c>
      <c r="BW11" s="22">
        <f>IF(71&lt;=核心参数输入!$B$9*4,IF(AND(71-(核心参数输入!$B$148)&gt;=0,71-(核心参数输入!$B$148)&lt;=120),IF(COUNT(INDEX($D$20:$DT$20,1,MAX(1,MIN(121,71-(核心参数输入!$B$148)+1))))=1,INDEX($D$20:$DT$20,1,MAX(1,MIN(121,71-(核心参数输入!$B$148)+1))),BW10),0),0)</f>
        <v>0</v>
      </c>
      <c r="BX11" s="22">
        <f>IF(72&lt;=核心参数输入!$B$9*4,IF(AND(72-(核心参数输入!$B$148)&gt;=0,72-(核心参数输入!$B$148)&lt;=120),IF(COUNT(INDEX($D$20:$DT$20,1,MAX(1,MIN(121,72-(核心参数输入!$B$148)+1))))=1,INDEX($D$20:$DT$20,1,MAX(1,MIN(121,72-(核心参数输入!$B$148)+1))),BX10),0),0)</f>
        <v>0</v>
      </c>
      <c r="BY11" s="22">
        <f>IF(73&lt;=核心参数输入!$B$9*4,IF(AND(73-(核心参数输入!$B$148)&gt;=0,73-(核心参数输入!$B$148)&lt;=120),IF(COUNT(INDEX($D$20:$DT$20,1,MAX(1,MIN(121,73-(核心参数输入!$B$148)+1))))=1,INDEX($D$20:$DT$20,1,MAX(1,MIN(121,73-(核心参数输入!$B$148)+1))),BY10),0),0)</f>
        <v>0</v>
      </c>
      <c r="BZ11" s="22">
        <f>IF(74&lt;=核心参数输入!$B$9*4,IF(AND(74-(核心参数输入!$B$148)&gt;=0,74-(核心参数输入!$B$148)&lt;=120),IF(COUNT(INDEX($D$20:$DT$20,1,MAX(1,MIN(121,74-(核心参数输入!$B$148)+1))))=1,INDEX($D$20:$DT$20,1,MAX(1,MIN(121,74-(核心参数输入!$B$148)+1))),BZ10),0),0)</f>
        <v>0</v>
      </c>
      <c r="CA11" s="22">
        <f>IF(75&lt;=核心参数输入!$B$9*4,IF(AND(75-(核心参数输入!$B$148)&gt;=0,75-(核心参数输入!$B$148)&lt;=120),IF(COUNT(INDEX($D$20:$DT$20,1,MAX(1,MIN(121,75-(核心参数输入!$B$148)+1))))=1,INDEX($D$20:$DT$20,1,MAX(1,MIN(121,75-(核心参数输入!$B$148)+1))),CA10),0),0)</f>
        <v>0</v>
      </c>
      <c r="CB11" s="22">
        <f>IF(76&lt;=核心参数输入!$B$9*4,IF(AND(76-(核心参数输入!$B$148)&gt;=0,76-(核心参数输入!$B$148)&lt;=120),IF(COUNT(INDEX($D$20:$DT$20,1,MAX(1,MIN(121,76-(核心参数输入!$B$148)+1))))=1,INDEX($D$20:$DT$20,1,MAX(1,MIN(121,76-(核心参数输入!$B$148)+1))),CB10),0),0)</f>
        <v>0</v>
      </c>
      <c r="CC11" s="22">
        <f>IF(77&lt;=核心参数输入!$B$9*4,IF(AND(77-(核心参数输入!$B$148)&gt;=0,77-(核心参数输入!$B$148)&lt;=120),IF(COUNT(INDEX($D$20:$DT$20,1,MAX(1,MIN(121,77-(核心参数输入!$B$148)+1))))=1,INDEX($D$20:$DT$20,1,MAX(1,MIN(121,77-(核心参数输入!$B$148)+1))),CC10),0),0)</f>
        <v>0</v>
      </c>
      <c r="CD11" s="22">
        <f>IF(78&lt;=核心参数输入!$B$9*4,IF(AND(78-(核心参数输入!$B$148)&gt;=0,78-(核心参数输入!$B$148)&lt;=120),IF(COUNT(INDEX($D$20:$DT$20,1,MAX(1,MIN(121,78-(核心参数输入!$B$148)+1))))=1,INDEX($D$20:$DT$20,1,MAX(1,MIN(121,78-(核心参数输入!$B$148)+1))),CD10),0),0)</f>
        <v>0</v>
      </c>
      <c r="CE11" s="22">
        <f>IF(79&lt;=核心参数输入!$B$9*4,IF(AND(79-(核心参数输入!$B$148)&gt;=0,79-(核心参数输入!$B$148)&lt;=120),IF(COUNT(INDEX($D$20:$DT$20,1,MAX(1,MIN(121,79-(核心参数输入!$B$148)+1))))=1,INDEX($D$20:$DT$20,1,MAX(1,MIN(121,79-(核心参数输入!$B$148)+1))),CE10),0),0)</f>
        <v>0</v>
      </c>
      <c r="CF11" s="22">
        <f>IF(80&lt;=核心参数输入!$B$9*4,IF(AND(80-(核心参数输入!$B$148)&gt;=0,80-(核心参数输入!$B$148)&lt;=120),IF(COUNT(INDEX($D$20:$DT$20,1,MAX(1,MIN(121,80-(核心参数输入!$B$148)+1))))=1,INDEX($D$20:$DT$20,1,MAX(1,MIN(121,80-(核心参数输入!$B$148)+1))),CF10),0),0)</f>
        <v>0</v>
      </c>
      <c r="CG11" s="22">
        <f>IF(81&lt;=核心参数输入!$B$9*4,IF(AND(81-(核心参数输入!$B$148)&gt;=0,81-(核心参数输入!$B$148)&lt;=120),IF(COUNT(INDEX($D$20:$DT$20,1,MAX(1,MIN(121,81-(核心参数输入!$B$148)+1))))=1,INDEX($D$20:$DT$20,1,MAX(1,MIN(121,81-(核心参数输入!$B$148)+1))),CG10),0),0)</f>
        <v>0</v>
      </c>
      <c r="CH11" s="22">
        <f>IF(82&lt;=核心参数输入!$B$9*4,IF(AND(82-(核心参数输入!$B$148)&gt;=0,82-(核心参数输入!$B$148)&lt;=120),IF(COUNT(INDEX($D$20:$DT$20,1,MAX(1,MIN(121,82-(核心参数输入!$B$148)+1))))=1,INDEX($D$20:$DT$20,1,MAX(1,MIN(121,82-(核心参数输入!$B$148)+1))),CH10),0),0)</f>
        <v>0</v>
      </c>
      <c r="CI11" s="22">
        <f>IF(83&lt;=核心参数输入!$B$9*4,IF(AND(83-(核心参数输入!$B$148)&gt;=0,83-(核心参数输入!$B$148)&lt;=120),IF(COUNT(INDEX($D$20:$DT$20,1,MAX(1,MIN(121,83-(核心参数输入!$B$148)+1))))=1,INDEX($D$20:$DT$20,1,MAX(1,MIN(121,83-(核心参数输入!$B$148)+1))),CI10),0),0)</f>
        <v>0</v>
      </c>
      <c r="CJ11" s="22">
        <f>IF(84&lt;=核心参数输入!$B$9*4,IF(AND(84-(核心参数输入!$B$148)&gt;=0,84-(核心参数输入!$B$148)&lt;=120),IF(COUNT(INDEX($D$20:$DT$20,1,MAX(1,MIN(121,84-(核心参数输入!$B$148)+1))))=1,INDEX($D$20:$DT$20,1,MAX(1,MIN(121,84-(核心参数输入!$B$148)+1))),CJ10),0),0)</f>
        <v>0</v>
      </c>
      <c r="CK11" s="22">
        <f>IF(85&lt;=核心参数输入!$B$9*4,IF(AND(85-(核心参数输入!$B$148)&gt;=0,85-(核心参数输入!$B$148)&lt;=120),IF(COUNT(INDEX($D$20:$DT$20,1,MAX(1,MIN(121,85-(核心参数输入!$B$148)+1))))=1,INDEX($D$20:$DT$20,1,MAX(1,MIN(121,85-(核心参数输入!$B$148)+1))),CK10),0),0)</f>
        <v>0</v>
      </c>
      <c r="CL11" s="22">
        <f>IF(86&lt;=核心参数输入!$B$9*4,IF(AND(86-(核心参数输入!$B$148)&gt;=0,86-(核心参数输入!$B$148)&lt;=120),IF(COUNT(INDEX($D$20:$DT$20,1,MAX(1,MIN(121,86-(核心参数输入!$B$148)+1))))=1,INDEX($D$20:$DT$20,1,MAX(1,MIN(121,86-(核心参数输入!$B$148)+1))),CL10),0),0)</f>
        <v>0</v>
      </c>
      <c r="CM11" s="22">
        <f>IF(87&lt;=核心参数输入!$B$9*4,IF(AND(87-(核心参数输入!$B$148)&gt;=0,87-(核心参数输入!$B$148)&lt;=120),IF(COUNT(INDEX($D$20:$DT$20,1,MAX(1,MIN(121,87-(核心参数输入!$B$148)+1))))=1,INDEX($D$20:$DT$20,1,MAX(1,MIN(121,87-(核心参数输入!$B$148)+1))),CM10),0),0)</f>
        <v>0</v>
      </c>
      <c r="CN11" s="22">
        <f>IF(88&lt;=核心参数输入!$B$9*4,IF(AND(88-(核心参数输入!$B$148)&gt;=0,88-(核心参数输入!$B$148)&lt;=120),IF(COUNT(INDEX($D$20:$DT$20,1,MAX(1,MIN(121,88-(核心参数输入!$B$148)+1))))=1,INDEX($D$20:$DT$20,1,MAX(1,MIN(121,88-(核心参数输入!$B$148)+1))),CN10),0),0)</f>
        <v>0</v>
      </c>
      <c r="CO11" s="22">
        <f>IF(89&lt;=核心参数输入!$B$9*4,IF(AND(89-(核心参数输入!$B$148)&gt;=0,89-(核心参数输入!$B$148)&lt;=120),IF(COUNT(INDEX($D$20:$DT$20,1,MAX(1,MIN(121,89-(核心参数输入!$B$148)+1))))=1,INDEX($D$20:$DT$20,1,MAX(1,MIN(121,89-(核心参数输入!$B$148)+1))),CO10),0),0)</f>
        <v>0</v>
      </c>
      <c r="CP11" s="22">
        <f>IF(90&lt;=核心参数输入!$B$9*4,IF(AND(90-(核心参数输入!$B$148)&gt;=0,90-(核心参数输入!$B$148)&lt;=120),IF(COUNT(INDEX($D$20:$DT$20,1,MAX(1,MIN(121,90-(核心参数输入!$B$148)+1))))=1,INDEX($D$20:$DT$20,1,MAX(1,MIN(121,90-(核心参数输入!$B$148)+1))),CP10),0),0)</f>
        <v>0</v>
      </c>
      <c r="CQ11" s="22">
        <f>IF(91&lt;=核心参数输入!$B$9*4,IF(AND(91-(核心参数输入!$B$148)&gt;=0,91-(核心参数输入!$B$148)&lt;=120),IF(COUNT(INDEX($D$20:$DT$20,1,MAX(1,MIN(121,91-(核心参数输入!$B$148)+1))))=1,INDEX($D$20:$DT$20,1,MAX(1,MIN(121,91-(核心参数输入!$B$148)+1))),CQ10),0),0)</f>
        <v>0</v>
      </c>
      <c r="CR11" s="22">
        <f>IF(92&lt;=核心参数输入!$B$9*4,IF(AND(92-(核心参数输入!$B$148)&gt;=0,92-(核心参数输入!$B$148)&lt;=120),IF(COUNT(INDEX($D$20:$DT$20,1,MAX(1,MIN(121,92-(核心参数输入!$B$148)+1))))=1,INDEX($D$20:$DT$20,1,MAX(1,MIN(121,92-(核心参数输入!$B$148)+1))),CR10),0),0)</f>
        <v>0</v>
      </c>
      <c r="CS11" s="22">
        <f>IF(93&lt;=核心参数输入!$B$9*4,IF(AND(93-(核心参数输入!$B$148)&gt;=0,93-(核心参数输入!$B$148)&lt;=120),IF(COUNT(INDEX($D$20:$DT$20,1,MAX(1,MIN(121,93-(核心参数输入!$B$148)+1))))=1,INDEX($D$20:$DT$20,1,MAX(1,MIN(121,93-(核心参数输入!$B$148)+1))),CS10),0),0)</f>
        <v>0</v>
      </c>
      <c r="CT11" s="22">
        <f>IF(94&lt;=核心参数输入!$B$9*4,IF(AND(94-(核心参数输入!$B$148)&gt;=0,94-(核心参数输入!$B$148)&lt;=120),IF(COUNT(INDEX($D$20:$DT$20,1,MAX(1,MIN(121,94-(核心参数输入!$B$148)+1))))=1,INDEX($D$20:$DT$20,1,MAX(1,MIN(121,94-(核心参数输入!$B$148)+1))),CT10),0),0)</f>
        <v>0</v>
      </c>
      <c r="CU11" s="22">
        <f>IF(95&lt;=核心参数输入!$B$9*4,IF(AND(95-(核心参数输入!$B$148)&gt;=0,95-(核心参数输入!$B$148)&lt;=120),IF(COUNT(INDEX($D$20:$DT$20,1,MAX(1,MIN(121,95-(核心参数输入!$B$148)+1))))=1,INDEX($D$20:$DT$20,1,MAX(1,MIN(121,95-(核心参数输入!$B$148)+1))),CU10),0),0)</f>
        <v>0</v>
      </c>
      <c r="CV11" s="22">
        <f>IF(96&lt;=核心参数输入!$B$9*4,IF(AND(96-(核心参数输入!$B$148)&gt;=0,96-(核心参数输入!$B$148)&lt;=120),IF(COUNT(INDEX($D$20:$DT$20,1,MAX(1,MIN(121,96-(核心参数输入!$B$148)+1))))=1,INDEX($D$20:$DT$20,1,MAX(1,MIN(121,96-(核心参数输入!$B$148)+1))),CV10),0),0)</f>
        <v>0</v>
      </c>
      <c r="CW11" s="22">
        <f>IF(97&lt;=核心参数输入!$B$9*4,IF(AND(97-(核心参数输入!$B$148)&gt;=0,97-(核心参数输入!$B$148)&lt;=120),IF(COUNT(INDEX($D$20:$DT$20,1,MAX(1,MIN(121,97-(核心参数输入!$B$148)+1))))=1,INDEX($D$20:$DT$20,1,MAX(1,MIN(121,97-(核心参数输入!$B$148)+1))),CW10),0),0)</f>
        <v>0</v>
      </c>
      <c r="CX11" s="22">
        <f>IF(98&lt;=核心参数输入!$B$9*4,IF(AND(98-(核心参数输入!$B$148)&gt;=0,98-(核心参数输入!$B$148)&lt;=120),IF(COUNT(INDEX($D$20:$DT$20,1,MAX(1,MIN(121,98-(核心参数输入!$B$148)+1))))=1,INDEX($D$20:$DT$20,1,MAX(1,MIN(121,98-(核心参数输入!$B$148)+1))),CX10),0),0)</f>
        <v>0</v>
      </c>
      <c r="CY11" s="22">
        <f>IF(99&lt;=核心参数输入!$B$9*4,IF(AND(99-(核心参数输入!$B$148)&gt;=0,99-(核心参数输入!$B$148)&lt;=120),IF(COUNT(INDEX($D$20:$DT$20,1,MAX(1,MIN(121,99-(核心参数输入!$B$148)+1))))=1,INDEX($D$20:$DT$20,1,MAX(1,MIN(121,99-(核心参数输入!$B$148)+1))),CY10),0),0)</f>
        <v>0</v>
      </c>
      <c r="CZ11" s="22">
        <f>IF(100&lt;=核心参数输入!$B$9*4,IF(AND(100-(核心参数输入!$B$148)&gt;=0,100-(核心参数输入!$B$148)&lt;=120),IF(COUNT(INDEX($D$20:$DT$20,1,MAX(1,MIN(121,100-(核心参数输入!$B$148)+1))))=1,INDEX($D$20:$DT$20,1,MAX(1,MIN(121,100-(核心参数输入!$B$148)+1))),CZ10),0),0)</f>
        <v>0</v>
      </c>
      <c r="DA11" s="22">
        <f>IF(101&lt;=核心参数输入!$B$9*4,IF(AND(101-(核心参数输入!$B$148)&gt;=0,101-(核心参数输入!$B$148)&lt;=120),IF(COUNT(INDEX($D$20:$DT$20,1,MAX(1,MIN(121,101-(核心参数输入!$B$148)+1))))=1,INDEX($D$20:$DT$20,1,MAX(1,MIN(121,101-(核心参数输入!$B$148)+1))),DA10),0),0)</f>
        <v>0</v>
      </c>
      <c r="DB11" s="22">
        <f>IF(102&lt;=核心参数输入!$B$9*4,IF(AND(102-(核心参数输入!$B$148)&gt;=0,102-(核心参数输入!$B$148)&lt;=120),IF(COUNT(INDEX($D$20:$DT$20,1,MAX(1,MIN(121,102-(核心参数输入!$B$148)+1))))=1,INDEX($D$20:$DT$20,1,MAX(1,MIN(121,102-(核心参数输入!$B$148)+1))),DB10),0),0)</f>
        <v>0</v>
      </c>
      <c r="DC11" s="22">
        <f>IF(103&lt;=核心参数输入!$B$9*4,IF(AND(103-(核心参数输入!$B$148)&gt;=0,103-(核心参数输入!$B$148)&lt;=120),IF(COUNT(INDEX($D$20:$DT$20,1,MAX(1,MIN(121,103-(核心参数输入!$B$148)+1))))=1,INDEX($D$20:$DT$20,1,MAX(1,MIN(121,103-(核心参数输入!$B$148)+1))),DC10),0),0)</f>
        <v>0</v>
      </c>
      <c r="DD11" s="22">
        <f>IF(104&lt;=核心参数输入!$B$9*4,IF(AND(104-(核心参数输入!$B$148)&gt;=0,104-(核心参数输入!$B$148)&lt;=120),IF(COUNT(INDEX($D$20:$DT$20,1,MAX(1,MIN(121,104-(核心参数输入!$B$148)+1))))=1,INDEX($D$20:$DT$20,1,MAX(1,MIN(121,104-(核心参数输入!$B$148)+1))),DD10),0),0)</f>
        <v>0</v>
      </c>
      <c r="DE11" s="22">
        <f>IF(105&lt;=核心参数输入!$B$9*4,IF(AND(105-(核心参数输入!$B$148)&gt;=0,105-(核心参数输入!$B$148)&lt;=120),IF(COUNT(INDEX($D$20:$DT$20,1,MAX(1,MIN(121,105-(核心参数输入!$B$148)+1))))=1,INDEX($D$20:$DT$20,1,MAX(1,MIN(121,105-(核心参数输入!$B$148)+1))),DE10),0),0)</f>
        <v>0</v>
      </c>
      <c r="DF11" s="22">
        <f>IF(106&lt;=核心参数输入!$B$9*4,IF(AND(106-(核心参数输入!$B$148)&gt;=0,106-(核心参数输入!$B$148)&lt;=120),IF(COUNT(INDEX($D$20:$DT$20,1,MAX(1,MIN(121,106-(核心参数输入!$B$148)+1))))=1,INDEX($D$20:$DT$20,1,MAX(1,MIN(121,106-(核心参数输入!$B$148)+1))),DF10),0),0)</f>
        <v>0</v>
      </c>
      <c r="DG11" s="22">
        <f>IF(107&lt;=核心参数输入!$B$9*4,IF(AND(107-(核心参数输入!$B$148)&gt;=0,107-(核心参数输入!$B$148)&lt;=120),IF(COUNT(INDEX($D$20:$DT$20,1,MAX(1,MIN(121,107-(核心参数输入!$B$148)+1))))=1,INDEX($D$20:$DT$20,1,MAX(1,MIN(121,107-(核心参数输入!$B$148)+1))),DG10),0),0)</f>
        <v>0</v>
      </c>
      <c r="DH11" s="22">
        <f>IF(108&lt;=核心参数输入!$B$9*4,IF(AND(108-(核心参数输入!$B$148)&gt;=0,108-(核心参数输入!$B$148)&lt;=120),IF(COUNT(INDEX($D$20:$DT$20,1,MAX(1,MIN(121,108-(核心参数输入!$B$148)+1))))=1,INDEX($D$20:$DT$20,1,MAX(1,MIN(121,108-(核心参数输入!$B$148)+1))),DH10),0),0)</f>
        <v>0</v>
      </c>
      <c r="DI11" s="22">
        <f>IF(109&lt;=核心参数输入!$B$9*4,IF(AND(109-(核心参数输入!$B$148)&gt;=0,109-(核心参数输入!$B$148)&lt;=120),IF(COUNT(INDEX($D$20:$DT$20,1,MAX(1,MIN(121,109-(核心参数输入!$B$148)+1))))=1,INDEX($D$20:$DT$20,1,MAX(1,MIN(121,109-(核心参数输入!$B$148)+1))),DI10),0),0)</f>
        <v>0</v>
      </c>
      <c r="DJ11" s="22">
        <f>IF(110&lt;=核心参数输入!$B$9*4,IF(AND(110-(核心参数输入!$B$148)&gt;=0,110-(核心参数输入!$B$148)&lt;=120),IF(COUNT(INDEX($D$20:$DT$20,1,MAX(1,MIN(121,110-(核心参数输入!$B$148)+1))))=1,INDEX($D$20:$DT$20,1,MAX(1,MIN(121,110-(核心参数输入!$B$148)+1))),DJ10),0),0)</f>
        <v>0</v>
      </c>
      <c r="DK11" s="22">
        <f>IF(111&lt;=核心参数输入!$B$9*4,IF(AND(111-(核心参数输入!$B$148)&gt;=0,111-(核心参数输入!$B$148)&lt;=120),IF(COUNT(INDEX($D$20:$DT$20,1,MAX(1,MIN(121,111-(核心参数输入!$B$148)+1))))=1,INDEX($D$20:$DT$20,1,MAX(1,MIN(121,111-(核心参数输入!$B$148)+1))),DK10),0),0)</f>
        <v>0</v>
      </c>
      <c r="DL11" s="22">
        <f>IF(112&lt;=核心参数输入!$B$9*4,IF(AND(112-(核心参数输入!$B$148)&gt;=0,112-(核心参数输入!$B$148)&lt;=120),IF(COUNT(INDEX($D$20:$DT$20,1,MAX(1,MIN(121,112-(核心参数输入!$B$148)+1))))=1,INDEX($D$20:$DT$20,1,MAX(1,MIN(121,112-(核心参数输入!$B$148)+1))),DL10),0),0)</f>
        <v>0</v>
      </c>
      <c r="DM11" s="22">
        <f>IF(113&lt;=核心参数输入!$B$9*4,IF(AND(113-(核心参数输入!$B$148)&gt;=0,113-(核心参数输入!$B$148)&lt;=120),IF(COUNT(INDEX($D$20:$DT$20,1,MAX(1,MIN(121,113-(核心参数输入!$B$148)+1))))=1,INDEX($D$20:$DT$20,1,MAX(1,MIN(121,113-(核心参数输入!$B$148)+1))),DM10),0),0)</f>
        <v>0</v>
      </c>
      <c r="DN11" s="22">
        <f>IF(114&lt;=核心参数输入!$B$9*4,IF(AND(114-(核心参数输入!$B$148)&gt;=0,114-(核心参数输入!$B$148)&lt;=120),IF(COUNT(INDEX($D$20:$DT$20,1,MAX(1,MIN(121,114-(核心参数输入!$B$148)+1))))=1,INDEX($D$20:$DT$20,1,MAX(1,MIN(121,114-(核心参数输入!$B$148)+1))),DN10),0),0)</f>
        <v>0</v>
      </c>
      <c r="DO11" s="22">
        <f>IF(115&lt;=核心参数输入!$B$9*4,IF(AND(115-(核心参数输入!$B$148)&gt;=0,115-(核心参数输入!$B$148)&lt;=120),IF(COUNT(INDEX($D$20:$DT$20,1,MAX(1,MIN(121,115-(核心参数输入!$B$148)+1))))=1,INDEX($D$20:$DT$20,1,MAX(1,MIN(121,115-(核心参数输入!$B$148)+1))),DO10),0),0)</f>
        <v>0</v>
      </c>
      <c r="DP11" s="22">
        <f>IF(116&lt;=核心参数输入!$B$9*4,IF(AND(116-(核心参数输入!$B$148)&gt;=0,116-(核心参数输入!$B$148)&lt;=120),IF(COUNT(INDEX($D$20:$DT$20,1,MAX(1,MIN(121,116-(核心参数输入!$B$148)+1))))=1,INDEX($D$20:$DT$20,1,MAX(1,MIN(121,116-(核心参数输入!$B$148)+1))),DP10),0),0)</f>
        <v>0</v>
      </c>
      <c r="DQ11" s="22">
        <f>IF(117&lt;=核心参数输入!$B$9*4,IF(AND(117-(核心参数输入!$B$148)&gt;=0,117-(核心参数输入!$B$148)&lt;=120),IF(COUNT(INDEX($D$20:$DT$20,1,MAX(1,MIN(121,117-(核心参数输入!$B$148)+1))))=1,INDEX($D$20:$DT$20,1,MAX(1,MIN(121,117-(核心参数输入!$B$148)+1))),DQ10),0),0)</f>
        <v>0</v>
      </c>
      <c r="DR11" s="22">
        <f>IF(118&lt;=核心参数输入!$B$9*4,IF(AND(118-(核心参数输入!$B$148)&gt;=0,118-(核心参数输入!$B$148)&lt;=120),IF(COUNT(INDEX($D$20:$DT$20,1,MAX(1,MIN(121,118-(核心参数输入!$B$148)+1))))=1,INDEX($D$20:$DT$20,1,MAX(1,MIN(121,118-(核心参数输入!$B$148)+1))),DR10),0),0)</f>
        <v>0</v>
      </c>
      <c r="DS11" s="22">
        <f>IF(119&lt;=核心参数输入!$B$9*4,IF(AND(119-(核心参数输入!$B$148)&gt;=0,119-(核心参数输入!$B$148)&lt;=120),IF(COUNT(INDEX($D$20:$DT$20,1,MAX(1,MIN(121,119-(核心参数输入!$B$148)+1))))=1,INDEX($D$20:$DT$20,1,MAX(1,MIN(121,119-(核心参数输入!$B$148)+1))),DS10),0),0)</f>
        <v>0</v>
      </c>
      <c r="DT11" s="22">
        <f>IF(120&lt;=核心参数输入!$B$9*4,IF(AND(120-(核心参数输入!$B$148)&gt;=0,120-(核心参数输入!$B$148)&lt;=120),IF(COUNT(INDEX($D$20:$DT$20,1,MAX(1,MIN(121,120-(核心参数输入!$B$148)+1))))=1,INDEX($D$20:$DT$20,1,MAX(1,MIN(121,120-(核心参数输入!$B$148)+1))),DT10),0),0)</f>
        <v>0</v>
      </c>
    </row>
    <row r="12" spans="1:124" ht="21" customHeight="1">
      <c r="A12" s="8" t="s">
        <v>624</v>
      </c>
      <c r="B12" s="8" t="s">
        <v>38</v>
      </c>
      <c r="C12" s="8"/>
      <c r="D12" s="22">
        <f>IF(0&lt;=核心参数输入!$B$9*4,0,0)</f>
        <v>0</v>
      </c>
      <c r="E12" s="22">
        <f>IF(1&lt;=核心参数输入!$B$9*4,IF(AND(1-(核心参数输入!$B$148)&gt;=0,1-(核心参数输入!$B$148)&lt;=120),IF(COUNT(INDEX($D$21:$DT$21,1,MAX(1,MIN(121,1-(核心参数输入!$B$148)+1))))=1,INDEX($D$21:$DT$21,1,MAX(1,MIN(121,1-(核心参数输入!$B$148)+1))),IF(AND(1-核心参数输入!$B$105&gt;=0,1-核心参数输入!$B$105&lt;=120),INDEX(季度计划!$D$11:$DT$11,1,MAX(1,MIN(121,1-核心参数输入!$B$105+1))),0)),0),0)</f>
        <v>7.4999999999999997E-2</v>
      </c>
      <c r="F12" s="22">
        <f>IF(2&lt;=核心参数输入!$B$9*4,IF(AND(2-(核心参数输入!$B$148)&gt;=0,2-(核心参数输入!$B$148)&lt;=120),IF(COUNT(INDEX($D$21:$DT$21,1,MAX(1,MIN(121,2-(核心参数输入!$B$148)+1))))=1,INDEX($D$21:$DT$21,1,MAX(1,MIN(121,2-(核心参数输入!$B$148)+1))),IF(AND(2-核心参数输入!$B$105&gt;=0,2-核心参数输入!$B$105&lt;=120),INDEX(季度计划!$D$11:$DT$11,1,MAX(1,MIN(121,2-核心参数输入!$B$105+1))),0)),0),0)</f>
        <v>7.4999999999999997E-2</v>
      </c>
      <c r="G12" s="22">
        <f>IF(3&lt;=核心参数输入!$B$9*4,IF(AND(3-(核心参数输入!$B$148)&gt;=0,3-(核心参数输入!$B$148)&lt;=120),IF(COUNT(INDEX($D$21:$DT$21,1,MAX(1,MIN(121,3-(核心参数输入!$B$148)+1))))=1,INDEX($D$21:$DT$21,1,MAX(1,MIN(121,3-(核心参数输入!$B$148)+1))),IF(AND(3-核心参数输入!$B$105&gt;=0,3-核心参数输入!$B$105&lt;=120),INDEX(季度计划!$D$11:$DT$11,1,MAX(1,MIN(121,3-核心参数输入!$B$105+1))),0)),0),0)</f>
        <v>7.4999999999999997E-2</v>
      </c>
      <c r="H12" s="22">
        <f>IF(4&lt;=核心参数输入!$B$9*4,IF(AND(4-(核心参数输入!$B$148)&gt;=0,4-(核心参数输入!$B$148)&lt;=120),IF(COUNT(INDEX($D$21:$DT$21,1,MAX(1,MIN(121,4-(核心参数输入!$B$148)+1))))=1,INDEX($D$21:$DT$21,1,MAX(1,MIN(121,4-(核心参数输入!$B$148)+1))),IF(AND(4-核心参数输入!$B$105&gt;=0,4-核心参数输入!$B$105&lt;=120),INDEX(季度计划!$D$11:$DT$11,1,MAX(1,MIN(121,4-核心参数输入!$B$105+1))),0)),0),0)</f>
        <v>7.4999999999999997E-2</v>
      </c>
      <c r="I12" s="22">
        <f>IF(5&lt;=核心参数输入!$B$9*4,IF(AND(5-(核心参数输入!$B$148)&gt;=0,5-(核心参数输入!$B$148)&lt;=120),IF(COUNT(INDEX($D$21:$DT$21,1,MAX(1,MIN(121,5-(核心参数输入!$B$148)+1))))=1,INDEX($D$21:$DT$21,1,MAX(1,MIN(121,5-(核心参数输入!$B$148)+1))),IF(AND(5-核心参数输入!$B$105&gt;=0,5-核心参数输入!$B$105&lt;=120),INDEX(季度计划!$D$11:$DT$11,1,MAX(1,MIN(121,5-核心参数输入!$B$105+1))),0)),0),0)</f>
        <v>0.1</v>
      </c>
      <c r="J12" s="22">
        <f>IF(6&lt;=核心参数输入!$B$9*4,IF(AND(6-(核心参数输入!$B$148)&gt;=0,6-(核心参数输入!$B$148)&lt;=120),IF(COUNT(INDEX($D$21:$DT$21,1,MAX(1,MIN(121,6-(核心参数输入!$B$148)+1))))=1,INDEX($D$21:$DT$21,1,MAX(1,MIN(121,6-(核心参数输入!$B$148)+1))),IF(AND(6-核心参数输入!$B$105&gt;=0,6-核心参数输入!$B$105&lt;=120),INDEX(季度计划!$D$11:$DT$11,1,MAX(1,MIN(121,6-核心参数输入!$B$105+1))),0)),0),0)</f>
        <v>0.1</v>
      </c>
      <c r="K12" s="22">
        <f>IF(7&lt;=核心参数输入!$B$9*4,IF(AND(7-(核心参数输入!$B$148)&gt;=0,7-(核心参数输入!$B$148)&lt;=120),IF(COUNT(INDEX($D$21:$DT$21,1,MAX(1,MIN(121,7-(核心参数输入!$B$148)+1))))=1,INDEX($D$21:$DT$21,1,MAX(1,MIN(121,7-(核心参数输入!$B$148)+1))),IF(AND(7-核心参数输入!$B$105&gt;=0,7-核心参数输入!$B$105&lt;=120),INDEX(季度计划!$D$11:$DT$11,1,MAX(1,MIN(121,7-核心参数输入!$B$105+1))),0)),0),0)</f>
        <v>0.1</v>
      </c>
      <c r="L12" s="22">
        <f>IF(8&lt;=核心参数输入!$B$9*4,IF(AND(8-(核心参数输入!$B$148)&gt;=0,8-(核心参数输入!$B$148)&lt;=120),IF(COUNT(INDEX($D$21:$DT$21,1,MAX(1,MIN(121,8-(核心参数输入!$B$148)+1))))=1,INDEX($D$21:$DT$21,1,MAX(1,MIN(121,8-(核心参数输入!$B$148)+1))),IF(AND(8-核心参数输入!$B$105&gt;=0,8-核心参数输入!$B$105&lt;=120),INDEX(季度计划!$D$11:$DT$11,1,MAX(1,MIN(121,8-核心参数输入!$B$105+1))),0)),0),0)</f>
        <v>0.1</v>
      </c>
      <c r="M12" s="22">
        <f>IF(9&lt;=核心参数输入!$B$9*4,IF(AND(9-(核心参数输入!$B$148)&gt;=0,9-(核心参数输入!$B$148)&lt;=120),IF(COUNT(INDEX($D$21:$DT$21,1,MAX(1,MIN(121,9-(核心参数输入!$B$148)+1))))=1,INDEX($D$21:$DT$21,1,MAX(1,MIN(121,9-(核心参数输入!$B$148)+1))),IF(AND(9-核心参数输入!$B$105&gt;=0,9-核心参数输入!$B$105&lt;=120),INDEX(季度计划!$D$11:$DT$11,1,MAX(1,MIN(121,9-核心参数输入!$B$105+1))),0)),0),0)</f>
        <v>7.4999999999999997E-2</v>
      </c>
      <c r="N12" s="22">
        <f>IF(10&lt;=核心参数输入!$B$9*4,IF(AND(10-(核心参数输入!$B$148)&gt;=0,10-(核心参数输入!$B$148)&lt;=120),IF(COUNT(INDEX($D$21:$DT$21,1,MAX(1,MIN(121,10-(核心参数输入!$B$148)+1))))=1,INDEX($D$21:$DT$21,1,MAX(1,MIN(121,10-(核心参数输入!$B$148)+1))),IF(AND(10-核心参数输入!$B$105&gt;=0,10-核心参数输入!$B$105&lt;=120),INDEX(季度计划!$D$11:$DT$11,1,MAX(1,MIN(121,10-核心参数输入!$B$105+1))),0)),0),0)</f>
        <v>7.4999999999999997E-2</v>
      </c>
      <c r="O12" s="22">
        <f>IF(11&lt;=核心参数输入!$B$9*4,IF(AND(11-(核心参数输入!$B$148)&gt;=0,11-(核心参数输入!$B$148)&lt;=120),IF(COUNT(INDEX($D$21:$DT$21,1,MAX(1,MIN(121,11-(核心参数输入!$B$148)+1))))=1,INDEX($D$21:$DT$21,1,MAX(1,MIN(121,11-(核心参数输入!$B$148)+1))),IF(AND(11-核心参数输入!$B$105&gt;=0,11-核心参数输入!$B$105&lt;=120),INDEX(季度计划!$D$11:$DT$11,1,MAX(1,MIN(121,11-核心参数输入!$B$105+1))),0)),0),0)</f>
        <v>7.4999999999999997E-2</v>
      </c>
      <c r="P12" s="22">
        <f>IF(12&lt;=核心参数输入!$B$9*4,IF(AND(12-(核心参数输入!$B$148)&gt;=0,12-(核心参数输入!$B$148)&lt;=120),IF(COUNT(INDEX($D$21:$DT$21,1,MAX(1,MIN(121,12-(核心参数输入!$B$148)+1))))=1,INDEX($D$21:$DT$21,1,MAX(1,MIN(121,12-(核心参数输入!$B$148)+1))),IF(AND(12-核心参数输入!$B$105&gt;=0,12-核心参数输入!$B$105&lt;=120),INDEX(季度计划!$D$11:$DT$11,1,MAX(1,MIN(121,12-核心参数输入!$B$105+1))),0)),0),0)</f>
        <v>7.4999999999999997E-2</v>
      </c>
      <c r="Q12" s="22">
        <f>IF(13&lt;=核心参数输入!$B$9*4,IF(AND(13-(核心参数输入!$B$148)&gt;=0,13-(核心参数输入!$B$148)&lt;=120),IF(COUNT(INDEX($D$21:$DT$21,1,MAX(1,MIN(121,13-(核心参数输入!$B$148)+1))))=1,INDEX($D$21:$DT$21,1,MAX(1,MIN(121,13-(核心参数输入!$B$148)+1))),IF(AND(13-核心参数输入!$B$105&gt;=0,13-核心参数输入!$B$105&lt;=120),INDEX(季度计划!$D$11:$DT$11,1,MAX(1,MIN(121,13-核心参数输入!$B$105+1))),0)),0),0)</f>
        <v>0</v>
      </c>
      <c r="R12" s="22">
        <f>IF(14&lt;=核心参数输入!$B$9*4,IF(AND(14-(核心参数输入!$B$148)&gt;=0,14-(核心参数输入!$B$148)&lt;=120),IF(COUNT(INDEX($D$21:$DT$21,1,MAX(1,MIN(121,14-(核心参数输入!$B$148)+1))))=1,INDEX($D$21:$DT$21,1,MAX(1,MIN(121,14-(核心参数输入!$B$148)+1))),IF(AND(14-核心参数输入!$B$105&gt;=0,14-核心参数输入!$B$105&lt;=120),INDEX(季度计划!$D$11:$DT$11,1,MAX(1,MIN(121,14-核心参数输入!$B$105+1))),0)),0),0)</f>
        <v>0</v>
      </c>
      <c r="S12" s="22">
        <f>IF(15&lt;=核心参数输入!$B$9*4,IF(AND(15-(核心参数输入!$B$148)&gt;=0,15-(核心参数输入!$B$148)&lt;=120),IF(COUNT(INDEX($D$21:$DT$21,1,MAX(1,MIN(121,15-(核心参数输入!$B$148)+1))))=1,INDEX($D$21:$DT$21,1,MAX(1,MIN(121,15-(核心参数输入!$B$148)+1))),IF(AND(15-核心参数输入!$B$105&gt;=0,15-核心参数输入!$B$105&lt;=120),INDEX(季度计划!$D$11:$DT$11,1,MAX(1,MIN(121,15-核心参数输入!$B$105+1))),0)),0),0)</f>
        <v>0</v>
      </c>
      <c r="T12" s="22">
        <f>IF(16&lt;=核心参数输入!$B$9*4,IF(AND(16-(核心参数输入!$B$148)&gt;=0,16-(核心参数输入!$B$148)&lt;=120),IF(COUNT(INDEX($D$21:$DT$21,1,MAX(1,MIN(121,16-(核心参数输入!$B$148)+1))))=1,INDEX($D$21:$DT$21,1,MAX(1,MIN(121,16-(核心参数输入!$B$148)+1))),IF(AND(16-核心参数输入!$B$105&gt;=0,16-核心参数输入!$B$105&lt;=120),INDEX(季度计划!$D$11:$DT$11,1,MAX(1,MIN(121,16-核心参数输入!$B$105+1))),0)),0),0)</f>
        <v>0</v>
      </c>
      <c r="U12" s="22">
        <f>IF(17&lt;=核心参数输入!$B$9*4,IF(AND(17-(核心参数输入!$B$148)&gt;=0,17-(核心参数输入!$B$148)&lt;=120),IF(COUNT(INDEX($D$21:$DT$21,1,MAX(1,MIN(121,17-(核心参数输入!$B$148)+1))))=1,INDEX($D$21:$DT$21,1,MAX(1,MIN(121,17-(核心参数输入!$B$148)+1))),IF(AND(17-核心参数输入!$B$105&gt;=0,17-核心参数输入!$B$105&lt;=120),INDEX(季度计划!$D$11:$DT$11,1,MAX(1,MIN(121,17-核心参数输入!$B$105+1))),0)),0),0)</f>
        <v>0</v>
      </c>
      <c r="V12" s="22">
        <f>IF(18&lt;=核心参数输入!$B$9*4,IF(AND(18-(核心参数输入!$B$148)&gt;=0,18-(核心参数输入!$B$148)&lt;=120),IF(COUNT(INDEX($D$21:$DT$21,1,MAX(1,MIN(121,18-(核心参数输入!$B$148)+1))))=1,INDEX($D$21:$DT$21,1,MAX(1,MIN(121,18-(核心参数输入!$B$148)+1))),IF(AND(18-核心参数输入!$B$105&gt;=0,18-核心参数输入!$B$105&lt;=120),INDEX(季度计划!$D$11:$DT$11,1,MAX(1,MIN(121,18-核心参数输入!$B$105+1))),0)),0),0)</f>
        <v>0</v>
      </c>
      <c r="W12" s="22">
        <f>IF(19&lt;=核心参数输入!$B$9*4,IF(AND(19-(核心参数输入!$B$148)&gt;=0,19-(核心参数输入!$B$148)&lt;=120),IF(COUNT(INDEX($D$21:$DT$21,1,MAX(1,MIN(121,19-(核心参数输入!$B$148)+1))))=1,INDEX($D$21:$DT$21,1,MAX(1,MIN(121,19-(核心参数输入!$B$148)+1))),IF(AND(19-核心参数输入!$B$105&gt;=0,19-核心参数输入!$B$105&lt;=120),INDEX(季度计划!$D$11:$DT$11,1,MAX(1,MIN(121,19-核心参数输入!$B$105+1))),0)),0),0)</f>
        <v>0</v>
      </c>
      <c r="X12" s="22">
        <f>IF(20&lt;=核心参数输入!$B$9*4,IF(AND(20-(核心参数输入!$B$148)&gt;=0,20-(核心参数输入!$B$148)&lt;=120),IF(COUNT(INDEX($D$21:$DT$21,1,MAX(1,MIN(121,20-(核心参数输入!$B$148)+1))))=1,INDEX($D$21:$DT$21,1,MAX(1,MIN(121,20-(核心参数输入!$B$148)+1))),IF(AND(20-核心参数输入!$B$105&gt;=0,20-核心参数输入!$B$105&lt;=120),INDEX(季度计划!$D$11:$DT$11,1,MAX(1,MIN(121,20-核心参数输入!$B$105+1))),0)),0),0)</f>
        <v>0</v>
      </c>
      <c r="Y12" s="22">
        <f>IF(21&lt;=核心参数输入!$B$9*4,IF(AND(21-(核心参数输入!$B$148)&gt;=0,21-(核心参数输入!$B$148)&lt;=120),IF(COUNT(INDEX($D$21:$DT$21,1,MAX(1,MIN(121,21-(核心参数输入!$B$148)+1))))=1,INDEX($D$21:$DT$21,1,MAX(1,MIN(121,21-(核心参数输入!$B$148)+1))),IF(AND(21-核心参数输入!$B$105&gt;=0,21-核心参数输入!$B$105&lt;=120),INDEX(季度计划!$D$11:$DT$11,1,MAX(1,MIN(121,21-核心参数输入!$B$105+1))),0)),0),0)</f>
        <v>0</v>
      </c>
      <c r="Z12" s="22">
        <f>IF(22&lt;=核心参数输入!$B$9*4,IF(AND(22-(核心参数输入!$B$148)&gt;=0,22-(核心参数输入!$B$148)&lt;=120),IF(COUNT(INDEX($D$21:$DT$21,1,MAX(1,MIN(121,22-(核心参数输入!$B$148)+1))))=1,INDEX($D$21:$DT$21,1,MAX(1,MIN(121,22-(核心参数输入!$B$148)+1))),IF(AND(22-核心参数输入!$B$105&gt;=0,22-核心参数输入!$B$105&lt;=120),INDEX(季度计划!$D$11:$DT$11,1,MAX(1,MIN(121,22-核心参数输入!$B$105+1))),0)),0),0)</f>
        <v>0</v>
      </c>
      <c r="AA12" s="22">
        <f>IF(23&lt;=核心参数输入!$B$9*4,IF(AND(23-(核心参数输入!$B$148)&gt;=0,23-(核心参数输入!$B$148)&lt;=120),IF(COUNT(INDEX($D$21:$DT$21,1,MAX(1,MIN(121,23-(核心参数输入!$B$148)+1))))=1,INDEX($D$21:$DT$21,1,MAX(1,MIN(121,23-(核心参数输入!$B$148)+1))),IF(AND(23-核心参数输入!$B$105&gt;=0,23-核心参数输入!$B$105&lt;=120),INDEX(季度计划!$D$11:$DT$11,1,MAX(1,MIN(121,23-核心参数输入!$B$105+1))),0)),0),0)</f>
        <v>0</v>
      </c>
      <c r="AB12" s="22">
        <f>IF(24&lt;=核心参数输入!$B$9*4,IF(AND(24-(核心参数输入!$B$148)&gt;=0,24-(核心参数输入!$B$148)&lt;=120),IF(COUNT(INDEX($D$21:$DT$21,1,MAX(1,MIN(121,24-(核心参数输入!$B$148)+1))))=1,INDEX($D$21:$DT$21,1,MAX(1,MIN(121,24-(核心参数输入!$B$148)+1))),IF(AND(24-核心参数输入!$B$105&gt;=0,24-核心参数输入!$B$105&lt;=120),INDEX(季度计划!$D$11:$DT$11,1,MAX(1,MIN(121,24-核心参数输入!$B$105+1))),0)),0),0)</f>
        <v>0</v>
      </c>
      <c r="AC12" s="22">
        <f>IF(25&lt;=核心参数输入!$B$9*4,IF(AND(25-(核心参数输入!$B$148)&gt;=0,25-(核心参数输入!$B$148)&lt;=120),IF(COUNT(INDEX($D$21:$DT$21,1,MAX(1,MIN(121,25-(核心参数输入!$B$148)+1))))=1,INDEX($D$21:$DT$21,1,MAX(1,MIN(121,25-(核心参数输入!$B$148)+1))),IF(AND(25-核心参数输入!$B$105&gt;=0,25-核心参数输入!$B$105&lt;=120),INDEX(季度计划!$D$11:$DT$11,1,MAX(1,MIN(121,25-核心参数输入!$B$105+1))),0)),0),0)</f>
        <v>0</v>
      </c>
      <c r="AD12" s="22">
        <f>IF(26&lt;=核心参数输入!$B$9*4,IF(AND(26-(核心参数输入!$B$148)&gt;=0,26-(核心参数输入!$B$148)&lt;=120),IF(COUNT(INDEX($D$21:$DT$21,1,MAX(1,MIN(121,26-(核心参数输入!$B$148)+1))))=1,INDEX($D$21:$DT$21,1,MAX(1,MIN(121,26-(核心参数输入!$B$148)+1))),IF(AND(26-核心参数输入!$B$105&gt;=0,26-核心参数输入!$B$105&lt;=120),INDEX(季度计划!$D$11:$DT$11,1,MAX(1,MIN(121,26-核心参数输入!$B$105+1))),0)),0),0)</f>
        <v>0</v>
      </c>
      <c r="AE12" s="22">
        <f>IF(27&lt;=核心参数输入!$B$9*4,IF(AND(27-(核心参数输入!$B$148)&gt;=0,27-(核心参数输入!$B$148)&lt;=120),IF(COUNT(INDEX($D$21:$DT$21,1,MAX(1,MIN(121,27-(核心参数输入!$B$148)+1))))=1,INDEX($D$21:$DT$21,1,MAX(1,MIN(121,27-(核心参数输入!$B$148)+1))),IF(AND(27-核心参数输入!$B$105&gt;=0,27-核心参数输入!$B$105&lt;=120),INDEX(季度计划!$D$11:$DT$11,1,MAX(1,MIN(121,27-核心参数输入!$B$105+1))),0)),0),0)</f>
        <v>0</v>
      </c>
      <c r="AF12" s="22">
        <f>IF(28&lt;=核心参数输入!$B$9*4,IF(AND(28-(核心参数输入!$B$148)&gt;=0,28-(核心参数输入!$B$148)&lt;=120),IF(COUNT(INDEX($D$21:$DT$21,1,MAX(1,MIN(121,28-(核心参数输入!$B$148)+1))))=1,INDEX($D$21:$DT$21,1,MAX(1,MIN(121,28-(核心参数输入!$B$148)+1))),IF(AND(28-核心参数输入!$B$105&gt;=0,28-核心参数输入!$B$105&lt;=120),INDEX(季度计划!$D$11:$DT$11,1,MAX(1,MIN(121,28-核心参数输入!$B$105+1))),0)),0),0)</f>
        <v>0</v>
      </c>
      <c r="AG12" s="22">
        <f>IF(29&lt;=核心参数输入!$B$9*4,IF(AND(29-(核心参数输入!$B$148)&gt;=0,29-(核心参数输入!$B$148)&lt;=120),IF(COUNT(INDEX($D$21:$DT$21,1,MAX(1,MIN(121,29-(核心参数输入!$B$148)+1))))=1,INDEX($D$21:$DT$21,1,MAX(1,MIN(121,29-(核心参数输入!$B$148)+1))),IF(AND(29-核心参数输入!$B$105&gt;=0,29-核心参数输入!$B$105&lt;=120),INDEX(季度计划!$D$11:$DT$11,1,MAX(1,MIN(121,29-核心参数输入!$B$105+1))),0)),0),0)</f>
        <v>0</v>
      </c>
      <c r="AH12" s="22">
        <f>IF(30&lt;=核心参数输入!$B$9*4,IF(AND(30-(核心参数输入!$B$148)&gt;=0,30-(核心参数输入!$B$148)&lt;=120),IF(COUNT(INDEX($D$21:$DT$21,1,MAX(1,MIN(121,30-(核心参数输入!$B$148)+1))))=1,INDEX($D$21:$DT$21,1,MAX(1,MIN(121,30-(核心参数输入!$B$148)+1))),IF(AND(30-核心参数输入!$B$105&gt;=0,30-核心参数输入!$B$105&lt;=120),INDEX(季度计划!$D$11:$DT$11,1,MAX(1,MIN(121,30-核心参数输入!$B$105+1))),0)),0),0)</f>
        <v>0</v>
      </c>
      <c r="AI12" s="22">
        <f>IF(31&lt;=核心参数输入!$B$9*4,IF(AND(31-(核心参数输入!$B$148)&gt;=0,31-(核心参数输入!$B$148)&lt;=120),IF(COUNT(INDEX($D$21:$DT$21,1,MAX(1,MIN(121,31-(核心参数输入!$B$148)+1))))=1,INDEX($D$21:$DT$21,1,MAX(1,MIN(121,31-(核心参数输入!$B$148)+1))),IF(AND(31-核心参数输入!$B$105&gt;=0,31-核心参数输入!$B$105&lt;=120),INDEX(季度计划!$D$11:$DT$11,1,MAX(1,MIN(121,31-核心参数输入!$B$105+1))),0)),0),0)</f>
        <v>0</v>
      </c>
      <c r="AJ12" s="22">
        <f>IF(32&lt;=核心参数输入!$B$9*4,IF(AND(32-(核心参数输入!$B$148)&gt;=0,32-(核心参数输入!$B$148)&lt;=120),IF(COUNT(INDEX($D$21:$DT$21,1,MAX(1,MIN(121,32-(核心参数输入!$B$148)+1))))=1,INDEX($D$21:$DT$21,1,MAX(1,MIN(121,32-(核心参数输入!$B$148)+1))),IF(AND(32-核心参数输入!$B$105&gt;=0,32-核心参数输入!$B$105&lt;=120),INDEX(季度计划!$D$11:$DT$11,1,MAX(1,MIN(121,32-核心参数输入!$B$105+1))),0)),0),0)</f>
        <v>0</v>
      </c>
      <c r="AK12" s="22">
        <f>IF(33&lt;=核心参数输入!$B$9*4,IF(AND(33-(核心参数输入!$B$148)&gt;=0,33-(核心参数输入!$B$148)&lt;=120),IF(COUNT(INDEX($D$21:$DT$21,1,MAX(1,MIN(121,33-(核心参数输入!$B$148)+1))))=1,INDEX($D$21:$DT$21,1,MAX(1,MIN(121,33-(核心参数输入!$B$148)+1))),IF(AND(33-核心参数输入!$B$105&gt;=0,33-核心参数输入!$B$105&lt;=120),INDEX(季度计划!$D$11:$DT$11,1,MAX(1,MIN(121,33-核心参数输入!$B$105+1))),0)),0),0)</f>
        <v>0</v>
      </c>
      <c r="AL12" s="22">
        <f>IF(34&lt;=核心参数输入!$B$9*4,IF(AND(34-(核心参数输入!$B$148)&gt;=0,34-(核心参数输入!$B$148)&lt;=120),IF(COUNT(INDEX($D$21:$DT$21,1,MAX(1,MIN(121,34-(核心参数输入!$B$148)+1))))=1,INDEX($D$21:$DT$21,1,MAX(1,MIN(121,34-(核心参数输入!$B$148)+1))),IF(AND(34-核心参数输入!$B$105&gt;=0,34-核心参数输入!$B$105&lt;=120),INDEX(季度计划!$D$11:$DT$11,1,MAX(1,MIN(121,34-核心参数输入!$B$105+1))),0)),0),0)</f>
        <v>0</v>
      </c>
      <c r="AM12" s="22">
        <f>IF(35&lt;=核心参数输入!$B$9*4,IF(AND(35-(核心参数输入!$B$148)&gt;=0,35-(核心参数输入!$B$148)&lt;=120),IF(COUNT(INDEX($D$21:$DT$21,1,MAX(1,MIN(121,35-(核心参数输入!$B$148)+1))))=1,INDEX($D$21:$DT$21,1,MAX(1,MIN(121,35-(核心参数输入!$B$148)+1))),IF(AND(35-核心参数输入!$B$105&gt;=0,35-核心参数输入!$B$105&lt;=120),INDEX(季度计划!$D$11:$DT$11,1,MAX(1,MIN(121,35-核心参数输入!$B$105+1))),0)),0),0)</f>
        <v>0</v>
      </c>
      <c r="AN12" s="22">
        <f>IF(36&lt;=核心参数输入!$B$9*4,IF(AND(36-(核心参数输入!$B$148)&gt;=0,36-(核心参数输入!$B$148)&lt;=120),IF(COUNT(INDEX($D$21:$DT$21,1,MAX(1,MIN(121,36-(核心参数输入!$B$148)+1))))=1,INDEX($D$21:$DT$21,1,MAX(1,MIN(121,36-(核心参数输入!$B$148)+1))),IF(AND(36-核心参数输入!$B$105&gt;=0,36-核心参数输入!$B$105&lt;=120),INDEX(季度计划!$D$11:$DT$11,1,MAX(1,MIN(121,36-核心参数输入!$B$105+1))),0)),0),0)</f>
        <v>0</v>
      </c>
      <c r="AO12" s="22">
        <f>IF(37&lt;=核心参数输入!$B$9*4,IF(AND(37-(核心参数输入!$B$148)&gt;=0,37-(核心参数输入!$B$148)&lt;=120),IF(COUNT(INDEX($D$21:$DT$21,1,MAX(1,MIN(121,37-(核心参数输入!$B$148)+1))))=1,INDEX($D$21:$DT$21,1,MAX(1,MIN(121,37-(核心参数输入!$B$148)+1))),IF(AND(37-核心参数输入!$B$105&gt;=0,37-核心参数输入!$B$105&lt;=120),INDEX(季度计划!$D$11:$DT$11,1,MAX(1,MIN(121,37-核心参数输入!$B$105+1))),0)),0),0)</f>
        <v>0</v>
      </c>
      <c r="AP12" s="22">
        <f>IF(38&lt;=核心参数输入!$B$9*4,IF(AND(38-(核心参数输入!$B$148)&gt;=0,38-(核心参数输入!$B$148)&lt;=120),IF(COUNT(INDEX($D$21:$DT$21,1,MAX(1,MIN(121,38-(核心参数输入!$B$148)+1))))=1,INDEX($D$21:$DT$21,1,MAX(1,MIN(121,38-(核心参数输入!$B$148)+1))),IF(AND(38-核心参数输入!$B$105&gt;=0,38-核心参数输入!$B$105&lt;=120),INDEX(季度计划!$D$11:$DT$11,1,MAX(1,MIN(121,38-核心参数输入!$B$105+1))),0)),0),0)</f>
        <v>0</v>
      </c>
      <c r="AQ12" s="22">
        <f>IF(39&lt;=核心参数输入!$B$9*4,IF(AND(39-(核心参数输入!$B$148)&gt;=0,39-(核心参数输入!$B$148)&lt;=120),IF(COUNT(INDEX($D$21:$DT$21,1,MAX(1,MIN(121,39-(核心参数输入!$B$148)+1))))=1,INDEX($D$21:$DT$21,1,MAX(1,MIN(121,39-(核心参数输入!$B$148)+1))),IF(AND(39-核心参数输入!$B$105&gt;=0,39-核心参数输入!$B$105&lt;=120),INDEX(季度计划!$D$11:$DT$11,1,MAX(1,MIN(121,39-核心参数输入!$B$105+1))),0)),0),0)</f>
        <v>0</v>
      </c>
      <c r="AR12" s="22">
        <f>IF(40&lt;=核心参数输入!$B$9*4,IF(AND(40-(核心参数输入!$B$148)&gt;=0,40-(核心参数输入!$B$148)&lt;=120),IF(COUNT(INDEX($D$21:$DT$21,1,MAX(1,MIN(121,40-(核心参数输入!$B$148)+1))))=1,INDEX($D$21:$DT$21,1,MAX(1,MIN(121,40-(核心参数输入!$B$148)+1))),IF(AND(40-核心参数输入!$B$105&gt;=0,40-核心参数输入!$B$105&lt;=120),INDEX(季度计划!$D$11:$DT$11,1,MAX(1,MIN(121,40-核心参数输入!$B$105+1))),0)),0),0)</f>
        <v>0</v>
      </c>
      <c r="AS12" s="22">
        <f>IF(41&lt;=核心参数输入!$B$9*4,IF(AND(41-(核心参数输入!$B$148)&gt;=0,41-(核心参数输入!$B$148)&lt;=120),IF(COUNT(INDEX($D$21:$DT$21,1,MAX(1,MIN(121,41-(核心参数输入!$B$148)+1))))=1,INDEX($D$21:$DT$21,1,MAX(1,MIN(121,41-(核心参数输入!$B$148)+1))),IF(AND(41-核心参数输入!$B$105&gt;=0,41-核心参数输入!$B$105&lt;=120),INDEX(季度计划!$D$11:$DT$11,1,MAX(1,MIN(121,41-核心参数输入!$B$105+1))),0)),0),0)</f>
        <v>0</v>
      </c>
      <c r="AT12" s="22">
        <f>IF(42&lt;=核心参数输入!$B$9*4,IF(AND(42-(核心参数输入!$B$148)&gt;=0,42-(核心参数输入!$B$148)&lt;=120),IF(COUNT(INDEX($D$21:$DT$21,1,MAX(1,MIN(121,42-(核心参数输入!$B$148)+1))))=1,INDEX($D$21:$DT$21,1,MAX(1,MIN(121,42-(核心参数输入!$B$148)+1))),IF(AND(42-核心参数输入!$B$105&gt;=0,42-核心参数输入!$B$105&lt;=120),INDEX(季度计划!$D$11:$DT$11,1,MAX(1,MIN(121,42-核心参数输入!$B$105+1))),0)),0),0)</f>
        <v>0</v>
      </c>
      <c r="AU12" s="22">
        <f>IF(43&lt;=核心参数输入!$B$9*4,IF(AND(43-(核心参数输入!$B$148)&gt;=0,43-(核心参数输入!$B$148)&lt;=120),IF(COUNT(INDEX($D$21:$DT$21,1,MAX(1,MIN(121,43-(核心参数输入!$B$148)+1))))=1,INDEX($D$21:$DT$21,1,MAX(1,MIN(121,43-(核心参数输入!$B$148)+1))),IF(AND(43-核心参数输入!$B$105&gt;=0,43-核心参数输入!$B$105&lt;=120),INDEX(季度计划!$D$11:$DT$11,1,MAX(1,MIN(121,43-核心参数输入!$B$105+1))),0)),0),0)</f>
        <v>0</v>
      </c>
      <c r="AV12" s="22">
        <f>IF(44&lt;=核心参数输入!$B$9*4,IF(AND(44-(核心参数输入!$B$148)&gt;=0,44-(核心参数输入!$B$148)&lt;=120),IF(COUNT(INDEX($D$21:$DT$21,1,MAX(1,MIN(121,44-(核心参数输入!$B$148)+1))))=1,INDEX($D$21:$DT$21,1,MAX(1,MIN(121,44-(核心参数输入!$B$148)+1))),IF(AND(44-核心参数输入!$B$105&gt;=0,44-核心参数输入!$B$105&lt;=120),INDEX(季度计划!$D$11:$DT$11,1,MAX(1,MIN(121,44-核心参数输入!$B$105+1))),0)),0),0)</f>
        <v>0</v>
      </c>
      <c r="AW12" s="22">
        <f>IF(45&lt;=核心参数输入!$B$9*4,IF(AND(45-(核心参数输入!$B$148)&gt;=0,45-(核心参数输入!$B$148)&lt;=120),IF(COUNT(INDEX($D$21:$DT$21,1,MAX(1,MIN(121,45-(核心参数输入!$B$148)+1))))=1,INDEX($D$21:$DT$21,1,MAX(1,MIN(121,45-(核心参数输入!$B$148)+1))),IF(AND(45-核心参数输入!$B$105&gt;=0,45-核心参数输入!$B$105&lt;=120),INDEX(季度计划!$D$11:$DT$11,1,MAX(1,MIN(121,45-核心参数输入!$B$105+1))),0)),0),0)</f>
        <v>0</v>
      </c>
      <c r="AX12" s="22">
        <f>IF(46&lt;=核心参数输入!$B$9*4,IF(AND(46-(核心参数输入!$B$148)&gt;=0,46-(核心参数输入!$B$148)&lt;=120),IF(COUNT(INDEX($D$21:$DT$21,1,MAX(1,MIN(121,46-(核心参数输入!$B$148)+1))))=1,INDEX($D$21:$DT$21,1,MAX(1,MIN(121,46-(核心参数输入!$B$148)+1))),IF(AND(46-核心参数输入!$B$105&gt;=0,46-核心参数输入!$B$105&lt;=120),INDEX(季度计划!$D$11:$DT$11,1,MAX(1,MIN(121,46-核心参数输入!$B$105+1))),0)),0),0)</f>
        <v>0</v>
      </c>
      <c r="AY12" s="22">
        <f>IF(47&lt;=核心参数输入!$B$9*4,IF(AND(47-(核心参数输入!$B$148)&gt;=0,47-(核心参数输入!$B$148)&lt;=120),IF(COUNT(INDEX($D$21:$DT$21,1,MAX(1,MIN(121,47-(核心参数输入!$B$148)+1))))=1,INDEX($D$21:$DT$21,1,MAX(1,MIN(121,47-(核心参数输入!$B$148)+1))),IF(AND(47-核心参数输入!$B$105&gt;=0,47-核心参数输入!$B$105&lt;=120),INDEX(季度计划!$D$11:$DT$11,1,MAX(1,MIN(121,47-核心参数输入!$B$105+1))),0)),0),0)</f>
        <v>0</v>
      </c>
      <c r="AZ12" s="22">
        <f>IF(48&lt;=核心参数输入!$B$9*4,IF(AND(48-(核心参数输入!$B$148)&gt;=0,48-(核心参数输入!$B$148)&lt;=120),IF(COUNT(INDEX($D$21:$DT$21,1,MAX(1,MIN(121,48-(核心参数输入!$B$148)+1))))=1,INDEX($D$21:$DT$21,1,MAX(1,MIN(121,48-(核心参数输入!$B$148)+1))),IF(AND(48-核心参数输入!$B$105&gt;=0,48-核心参数输入!$B$105&lt;=120),INDEX(季度计划!$D$11:$DT$11,1,MAX(1,MIN(121,48-核心参数输入!$B$105+1))),0)),0),0)</f>
        <v>0</v>
      </c>
      <c r="BA12" s="22">
        <f>IF(49&lt;=核心参数输入!$B$9*4,IF(AND(49-(核心参数输入!$B$148)&gt;=0,49-(核心参数输入!$B$148)&lt;=120),IF(COUNT(INDEX($D$21:$DT$21,1,MAX(1,MIN(121,49-(核心参数输入!$B$148)+1))))=1,INDEX($D$21:$DT$21,1,MAX(1,MIN(121,49-(核心参数输入!$B$148)+1))),IF(AND(49-核心参数输入!$B$105&gt;=0,49-核心参数输入!$B$105&lt;=120),INDEX(季度计划!$D$11:$DT$11,1,MAX(1,MIN(121,49-核心参数输入!$B$105+1))),0)),0),0)</f>
        <v>0</v>
      </c>
      <c r="BB12" s="22">
        <f>IF(50&lt;=核心参数输入!$B$9*4,IF(AND(50-(核心参数输入!$B$148)&gt;=0,50-(核心参数输入!$B$148)&lt;=120),IF(COUNT(INDEX($D$21:$DT$21,1,MAX(1,MIN(121,50-(核心参数输入!$B$148)+1))))=1,INDEX($D$21:$DT$21,1,MAX(1,MIN(121,50-(核心参数输入!$B$148)+1))),IF(AND(50-核心参数输入!$B$105&gt;=0,50-核心参数输入!$B$105&lt;=120),INDEX(季度计划!$D$11:$DT$11,1,MAX(1,MIN(121,50-核心参数输入!$B$105+1))),0)),0),0)</f>
        <v>0</v>
      </c>
      <c r="BC12" s="22">
        <f>IF(51&lt;=核心参数输入!$B$9*4,IF(AND(51-(核心参数输入!$B$148)&gt;=0,51-(核心参数输入!$B$148)&lt;=120),IF(COUNT(INDEX($D$21:$DT$21,1,MAX(1,MIN(121,51-(核心参数输入!$B$148)+1))))=1,INDEX($D$21:$DT$21,1,MAX(1,MIN(121,51-(核心参数输入!$B$148)+1))),IF(AND(51-核心参数输入!$B$105&gt;=0,51-核心参数输入!$B$105&lt;=120),INDEX(季度计划!$D$11:$DT$11,1,MAX(1,MIN(121,51-核心参数输入!$B$105+1))),0)),0),0)</f>
        <v>0</v>
      </c>
      <c r="BD12" s="22">
        <f>IF(52&lt;=核心参数输入!$B$9*4,IF(AND(52-(核心参数输入!$B$148)&gt;=0,52-(核心参数输入!$B$148)&lt;=120),IF(COUNT(INDEX($D$21:$DT$21,1,MAX(1,MIN(121,52-(核心参数输入!$B$148)+1))))=1,INDEX($D$21:$DT$21,1,MAX(1,MIN(121,52-(核心参数输入!$B$148)+1))),IF(AND(52-核心参数输入!$B$105&gt;=0,52-核心参数输入!$B$105&lt;=120),INDEX(季度计划!$D$11:$DT$11,1,MAX(1,MIN(121,52-核心参数输入!$B$105+1))),0)),0),0)</f>
        <v>0</v>
      </c>
      <c r="BE12" s="22">
        <f>IF(53&lt;=核心参数输入!$B$9*4,IF(AND(53-(核心参数输入!$B$148)&gt;=0,53-(核心参数输入!$B$148)&lt;=120),IF(COUNT(INDEX($D$21:$DT$21,1,MAX(1,MIN(121,53-(核心参数输入!$B$148)+1))))=1,INDEX($D$21:$DT$21,1,MAX(1,MIN(121,53-(核心参数输入!$B$148)+1))),IF(AND(53-核心参数输入!$B$105&gt;=0,53-核心参数输入!$B$105&lt;=120),INDEX(季度计划!$D$11:$DT$11,1,MAX(1,MIN(121,53-核心参数输入!$B$105+1))),0)),0),0)</f>
        <v>0</v>
      </c>
      <c r="BF12" s="22">
        <f>IF(54&lt;=核心参数输入!$B$9*4,IF(AND(54-(核心参数输入!$B$148)&gt;=0,54-(核心参数输入!$B$148)&lt;=120),IF(COUNT(INDEX($D$21:$DT$21,1,MAX(1,MIN(121,54-(核心参数输入!$B$148)+1))))=1,INDEX($D$21:$DT$21,1,MAX(1,MIN(121,54-(核心参数输入!$B$148)+1))),IF(AND(54-核心参数输入!$B$105&gt;=0,54-核心参数输入!$B$105&lt;=120),INDEX(季度计划!$D$11:$DT$11,1,MAX(1,MIN(121,54-核心参数输入!$B$105+1))),0)),0),0)</f>
        <v>0</v>
      </c>
      <c r="BG12" s="22">
        <f>IF(55&lt;=核心参数输入!$B$9*4,IF(AND(55-(核心参数输入!$B$148)&gt;=0,55-(核心参数输入!$B$148)&lt;=120),IF(COUNT(INDEX($D$21:$DT$21,1,MAX(1,MIN(121,55-(核心参数输入!$B$148)+1))))=1,INDEX($D$21:$DT$21,1,MAX(1,MIN(121,55-(核心参数输入!$B$148)+1))),IF(AND(55-核心参数输入!$B$105&gt;=0,55-核心参数输入!$B$105&lt;=120),INDEX(季度计划!$D$11:$DT$11,1,MAX(1,MIN(121,55-核心参数输入!$B$105+1))),0)),0),0)</f>
        <v>0</v>
      </c>
      <c r="BH12" s="22">
        <f>IF(56&lt;=核心参数输入!$B$9*4,IF(AND(56-(核心参数输入!$B$148)&gt;=0,56-(核心参数输入!$B$148)&lt;=120),IF(COUNT(INDEX($D$21:$DT$21,1,MAX(1,MIN(121,56-(核心参数输入!$B$148)+1))))=1,INDEX($D$21:$DT$21,1,MAX(1,MIN(121,56-(核心参数输入!$B$148)+1))),IF(AND(56-核心参数输入!$B$105&gt;=0,56-核心参数输入!$B$105&lt;=120),INDEX(季度计划!$D$11:$DT$11,1,MAX(1,MIN(121,56-核心参数输入!$B$105+1))),0)),0),0)</f>
        <v>0</v>
      </c>
      <c r="BI12" s="22">
        <f>IF(57&lt;=核心参数输入!$B$9*4,IF(AND(57-(核心参数输入!$B$148)&gt;=0,57-(核心参数输入!$B$148)&lt;=120),IF(COUNT(INDEX($D$21:$DT$21,1,MAX(1,MIN(121,57-(核心参数输入!$B$148)+1))))=1,INDEX($D$21:$DT$21,1,MAX(1,MIN(121,57-(核心参数输入!$B$148)+1))),IF(AND(57-核心参数输入!$B$105&gt;=0,57-核心参数输入!$B$105&lt;=120),INDEX(季度计划!$D$11:$DT$11,1,MAX(1,MIN(121,57-核心参数输入!$B$105+1))),0)),0),0)</f>
        <v>0</v>
      </c>
      <c r="BJ12" s="22">
        <f>IF(58&lt;=核心参数输入!$B$9*4,IF(AND(58-(核心参数输入!$B$148)&gt;=0,58-(核心参数输入!$B$148)&lt;=120),IF(COUNT(INDEX($D$21:$DT$21,1,MAX(1,MIN(121,58-(核心参数输入!$B$148)+1))))=1,INDEX($D$21:$DT$21,1,MAX(1,MIN(121,58-(核心参数输入!$B$148)+1))),IF(AND(58-核心参数输入!$B$105&gt;=0,58-核心参数输入!$B$105&lt;=120),INDEX(季度计划!$D$11:$DT$11,1,MAX(1,MIN(121,58-核心参数输入!$B$105+1))),0)),0),0)</f>
        <v>0</v>
      </c>
      <c r="BK12" s="22">
        <f>IF(59&lt;=核心参数输入!$B$9*4,IF(AND(59-(核心参数输入!$B$148)&gt;=0,59-(核心参数输入!$B$148)&lt;=120),IF(COUNT(INDEX($D$21:$DT$21,1,MAX(1,MIN(121,59-(核心参数输入!$B$148)+1))))=1,INDEX($D$21:$DT$21,1,MAX(1,MIN(121,59-(核心参数输入!$B$148)+1))),IF(AND(59-核心参数输入!$B$105&gt;=0,59-核心参数输入!$B$105&lt;=120),INDEX(季度计划!$D$11:$DT$11,1,MAX(1,MIN(121,59-核心参数输入!$B$105+1))),0)),0),0)</f>
        <v>0</v>
      </c>
      <c r="BL12" s="22">
        <f>IF(60&lt;=核心参数输入!$B$9*4,IF(AND(60-(核心参数输入!$B$148)&gt;=0,60-(核心参数输入!$B$148)&lt;=120),IF(COUNT(INDEX($D$21:$DT$21,1,MAX(1,MIN(121,60-(核心参数输入!$B$148)+1))))=1,INDEX($D$21:$DT$21,1,MAX(1,MIN(121,60-(核心参数输入!$B$148)+1))),IF(AND(60-核心参数输入!$B$105&gt;=0,60-核心参数输入!$B$105&lt;=120),INDEX(季度计划!$D$11:$DT$11,1,MAX(1,MIN(121,60-核心参数输入!$B$105+1))),0)),0),0)</f>
        <v>0</v>
      </c>
      <c r="BM12" s="22">
        <f>IF(61&lt;=核心参数输入!$B$9*4,IF(AND(61-(核心参数输入!$B$148)&gt;=0,61-(核心参数输入!$B$148)&lt;=120),IF(COUNT(INDEX($D$21:$DT$21,1,MAX(1,MIN(121,61-(核心参数输入!$B$148)+1))))=1,INDEX($D$21:$DT$21,1,MAX(1,MIN(121,61-(核心参数输入!$B$148)+1))),IF(AND(61-核心参数输入!$B$105&gt;=0,61-核心参数输入!$B$105&lt;=120),INDEX(季度计划!$D$11:$DT$11,1,MAX(1,MIN(121,61-核心参数输入!$B$105+1))),0)),0),0)</f>
        <v>0</v>
      </c>
      <c r="BN12" s="22">
        <f>IF(62&lt;=核心参数输入!$B$9*4,IF(AND(62-(核心参数输入!$B$148)&gt;=0,62-(核心参数输入!$B$148)&lt;=120),IF(COUNT(INDEX($D$21:$DT$21,1,MAX(1,MIN(121,62-(核心参数输入!$B$148)+1))))=1,INDEX($D$21:$DT$21,1,MAX(1,MIN(121,62-(核心参数输入!$B$148)+1))),IF(AND(62-核心参数输入!$B$105&gt;=0,62-核心参数输入!$B$105&lt;=120),INDEX(季度计划!$D$11:$DT$11,1,MAX(1,MIN(121,62-核心参数输入!$B$105+1))),0)),0),0)</f>
        <v>0</v>
      </c>
      <c r="BO12" s="22">
        <f>IF(63&lt;=核心参数输入!$B$9*4,IF(AND(63-(核心参数输入!$B$148)&gt;=0,63-(核心参数输入!$B$148)&lt;=120),IF(COUNT(INDEX($D$21:$DT$21,1,MAX(1,MIN(121,63-(核心参数输入!$B$148)+1))))=1,INDEX($D$21:$DT$21,1,MAX(1,MIN(121,63-(核心参数输入!$B$148)+1))),IF(AND(63-核心参数输入!$B$105&gt;=0,63-核心参数输入!$B$105&lt;=120),INDEX(季度计划!$D$11:$DT$11,1,MAX(1,MIN(121,63-核心参数输入!$B$105+1))),0)),0),0)</f>
        <v>0</v>
      </c>
      <c r="BP12" s="22">
        <f>IF(64&lt;=核心参数输入!$B$9*4,IF(AND(64-(核心参数输入!$B$148)&gt;=0,64-(核心参数输入!$B$148)&lt;=120),IF(COUNT(INDEX($D$21:$DT$21,1,MAX(1,MIN(121,64-(核心参数输入!$B$148)+1))))=1,INDEX($D$21:$DT$21,1,MAX(1,MIN(121,64-(核心参数输入!$B$148)+1))),IF(AND(64-核心参数输入!$B$105&gt;=0,64-核心参数输入!$B$105&lt;=120),INDEX(季度计划!$D$11:$DT$11,1,MAX(1,MIN(121,64-核心参数输入!$B$105+1))),0)),0),0)</f>
        <v>0</v>
      </c>
      <c r="BQ12" s="22">
        <f>IF(65&lt;=核心参数输入!$B$9*4,IF(AND(65-(核心参数输入!$B$148)&gt;=0,65-(核心参数输入!$B$148)&lt;=120),IF(COUNT(INDEX($D$21:$DT$21,1,MAX(1,MIN(121,65-(核心参数输入!$B$148)+1))))=1,INDEX($D$21:$DT$21,1,MAX(1,MIN(121,65-(核心参数输入!$B$148)+1))),IF(AND(65-核心参数输入!$B$105&gt;=0,65-核心参数输入!$B$105&lt;=120),INDEX(季度计划!$D$11:$DT$11,1,MAX(1,MIN(121,65-核心参数输入!$B$105+1))),0)),0),0)</f>
        <v>0</v>
      </c>
      <c r="BR12" s="22">
        <f>IF(66&lt;=核心参数输入!$B$9*4,IF(AND(66-(核心参数输入!$B$148)&gt;=0,66-(核心参数输入!$B$148)&lt;=120),IF(COUNT(INDEX($D$21:$DT$21,1,MAX(1,MIN(121,66-(核心参数输入!$B$148)+1))))=1,INDEX($D$21:$DT$21,1,MAX(1,MIN(121,66-(核心参数输入!$B$148)+1))),IF(AND(66-核心参数输入!$B$105&gt;=0,66-核心参数输入!$B$105&lt;=120),INDEX(季度计划!$D$11:$DT$11,1,MAX(1,MIN(121,66-核心参数输入!$B$105+1))),0)),0),0)</f>
        <v>0</v>
      </c>
      <c r="BS12" s="22">
        <f>IF(67&lt;=核心参数输入!$B$9*4,IF(AND(67-(核心参数输入!$B$148)&gt;=0,67-(核心参数输入!$B$148)&lt;=120),IF(COUNT(INDEX($D$21:$DT$21,1,MAX(1,MIN(121,67-(核心参数输入!$B$148)+1))))=1,INDEX($D$21:$DT$21,1,MAX(1,MIN(121,67-(核心参数输入!$B$148)+1))),IF(AND(67-核心参数输入!$B$105&gt;=0,67-核心参数输入!$B$105&lt;=120),INDEX(季度计划!$D$11:$DT$11,1,MAX(1,MIN(121,67-核心参数输入!$B$105+1))),0)),0),0)</f>
        <v>0</v>
      </c>
      <c r="BT12" s="22">
        <f>IF(68&lt;=核心参数输入!$B$9*4,IF(AND(68-(核心参数输入!$B$148)&gt;=0,68-(核心参数输入!$B$148)&lt;=120),IF(COUNT(INDEX($D$21:$DT$21,1,MAX(1,MIN(121,68-(核心参数输入!$B$148)+1))))=1,INDEX($D$21:$DT$21,1,MAX(1,MIN(121,68-(核心参数输入!$B$148)+1))),IF(AND(68-核心参数输入!$B$105&gt;=0,68-核心参数输入!$B$105&lt;=120),INDEX(季度计划!$D$11:$DT$11,1,MAX(1,MIN(121,68-核心参数输入!$B$105+1))),0)),0),0)</f>
        <v>0</v>
      </c>
      <c r="BU12" s="22">
        <f>IF(69&lt;=核心参数输入!$B$9*4,IF(AND(69-(核心参数输入!$B$148)&gt;=0,69-(核心参数输入!$B$148)&lt;=120),IF(COUNT(INDEX($D$21:$DT$21,1,MAX(1,MIN(121,69-(核心参数输入!$B$148)+1))))=1,INDEX($D$21:$DT$21,1,MAX(1,MIN(121,69-(核心参数输入!$B$148)+1))),IF(AND(69-核心参数输入!$B$105&gt;=0,69-核心参数输入!$B$105&lt;=120),INDEX(季度计划!$D$11:$DT$11,1,MAX(1,MIN(121,69-核心参数输入!$B$105+1))),0)),0),0)</f>
        <v>0</v>
      </c>
      <c r="BV12" s="22">
        <f>IF(70&lt;=核心参数输入!$B$9*4,IF(AND(70-(核心参数输入!$B$148)&gt;=0,70-(核心参数输入!$B$148)&lt;=120),IF(COUNT(INDEX($D$21:$DT$21,1,MAX(1,MIN(121,70-(核心参数输入!$B$148)+1))))=1,INDEX($D$21:$DT$21,1,MAX(1,MIN(121,70-(核心参数输入!$B$148)+1))),IF(AND(70-核心参数输入!$B$105&gt;=0,70-核心参数输入!$B$105&lt;=120),INDEX(季度计划!$D$11:$DT$11,1,MAX(1,MIN(121,70-核心参数输入!$B$105+1))),0)),0),0)</f>
        <v>0</v>
      </c>
      <c r="BW12" s="22">
        <f>IF(71&lt;=核心参数输入!$B$9*4,IF(AND(71-(核心参数输入!$B$148)&gt;=0,71-(核心参数输入!$B$148)&lt;=120),IF(COUNT(INDEX($D$21:$DT$21,1,MAX(1,MIN(121,71-(核心参数输入!$B$148)+1))))=1,INDEX($D$21:$DT$21,1,MAX(1,MIN(121,71-(核心参数输入!$B$148)+1))),IF(AND(71-核心参数输入!$B$105&gt;=0,71-核心参数输入!$B$105&lt;=120),INDEX(季度计划!$D$11:$DT$11,1,MAX(1,MIN(121,71-核心参数输入!$B$105+1))),0)),0),0)</f>
        <v>0</v>
      </c>
      <c r="BX12" s="22">
        <f>IF(72&lt;=核心参数输入!$B$9*4,IF(AND(72-(核心参数输入!$B$148)&gt;=0,72-(核心参数输入!$B$148)&lt;=120),IF(COUNT(INDEX($D$21:$DT$21,1,MAX(1,MIN(121,72-(核心参数输入!$B$148)+1))))=1,INDEX($D$21:$DT$21,1,MAX(1,MIN(121,72-(核心参数输入!$B$148)+1))),IF(AND(72-核心参数输入!$B$105&gt;=0,72-核心参数输入!$B$105&lt;=120),INDEX(季度计划!$D$11:$DT$11,1,MAX(1,MIN(121,72-核心参数输入!$B$105+1))),0)),0),0)</f>
        <v>0</v>
      </c>
      <c r="BY12" s="22">
        <f>IF(73&lt;=核心参数输入!$B$9*4,IF(AND(73-(核心参数输入!$B$148)&gt;=0,73-(核心参数输入!$B$148)&lt;=120),IF(COUNT(INDEX($D$21:$DT$21,1,MAX(1,MIN(121,73-(核心参数输入!$B$148)+1))))=1,INDEX($D$21:$DT$21,1,MAX(1,MIN(121,73-(核心参数输入!$B$148)+1))),IF(AND(73-核心参数输入!$B$105&gt;=0,73-核心参数输入!$B$105&lt;=120),INDEX(季度计划!$D$11:$DT$11,1,MAX(1,MIN(121,73-核心参数输入!$B$105+1))),0)),0),0)</f>
        <v>0</v>
      </c>
      <c r="BZ12" s="22">
        <f>IF(74&lt;=核心参数输入!$B$9*4,IF(AND(74-(核心参数输入!$B$148)&gt;=0,74-(核心参数输入!$B$148)&lt;=120),IF(COUNT(INDEX($D$21:$DT$21,1,MAX(1,MIN(121,74-(核心参数输入!$B$148)+1))))=1,INDEX($D$21:$DT$21,1,MAX(1,MIN(121,74-(核心参数输入!$B$148)+1))),IF(AND(74-核心参数输入!$B$105&gt;=0,74-核心参数输入!$B$105&lt;=120),INDEX(季度计划!$D$11:$DT$11,1,MAX(1,MIN(121,74-核心参数输入!$B$105+1))),0)),0),0)</f>
        <v>0</v>
      </c>
      <c r="CA12" s="22">
        <f>IF(75&lt;=核心参数输入!$B$9*4,IF(AND(75-(核心参数输入!$B$148)&gt;=0,75-(核心参数输入!$B$148)&lt;=120),IF(COUNT(INDEX($D$21:$DT$21,1,MAX(1,MIN(121,75-(核心参数输入!$B$148)+1))))=1,INDEX($D$21:$DT$21,1,MAX(1,MIN(121,75-(核心参数输入!$B$148)+1))),IF(AND(75-核心参数输入!$B$105&gt;=0,75-核心参数输入!$B$105&lt;=120),INDEX(季度计划!$D$11:$DT$11,1,MAX(1,MIN(121,75-核心参数输入!$B$105+1))),0)),0),0)</f>
        <v>0</v>
      </c>
      <c r="CB12" s="22">
        <f>IF(76&lt;=核心参数输入!$B$9*4,IF(AND(76-(核心参数输入!$B$148)&gt;=0,76-(核心参数输入!$B$148)&lt;=120),IF(COUNT(INDEX($D$21:$DT$21,1,MAX(1,MIN(121,76-(核心参数输入!$B$148)+1))))=1,INDEX($D$21:$DT$21,1,MAX(1,MIN(121,76-(核心参数输入!$B$148)+1))),IF(AND(76-核心参数输入!$B$105&gt;=0,76-核心参数输入!$B$105&lt;=120),INDEX(季度计划!$D$11:$DT$11,1,MAX(1,MIN(121,76-核心参数输入!$B$105+1))),0)),0),0)</f>
        <v>0</v>
      </c>
      <c r="CC12" s="22">
        <f>IF(77&lt;=核心参数输入!$B$9*4,IF(AND(77-(核心参数输入!$B$148)&gt;=0,77-(核心参数输入!$B$148)&lt;=120),IF(COUNT(INDEX($D$21:$DT$21,1,MAX(1,MIN(121,77-(核心参数输入!$B$148)+1))))=1,INDEX($D$21:$DT$21,1,MAX(1,MIN(121,77-(核心参数输入!$B$148)+1))),IF(AND(77-核心参数输入!$B$105&gt;=0,77-核心参数输入!$B$105&lt;=120),INDEX(季度计划!$D$11:$DT$11,1,MAX(1,MIN(121,77-核心参数输入!$B$105+1))),0)),0),0)</f>
        <v>0</v>
      </c>
      <c r="CD12" s="22">
        <f>IF(78&lt;=核心参数输入!$B$9*4,IF(AND(78-(核心参数输入!$B$148)&gt;=0,78-(核心参数输入!$B$148)&lt;=120),IF(COUNT(INDEX($D$21:$DT$21,1,MAX(1,MIN(121,78-(核心参数输入!$B$148)+1))))=1,INDEX($D$21:$DT$21,1,MAX(1,MIN(121,78-(核心参数输入!$B$148)+1))),IF(AND(78-核心参数输入!$B$105&gt;=0,78-核心参数输入!$B$105&lt;=120),INDEX(季度计划!$D$11:$DT$11,1,MAX(1,MIN(121,78-核心参数输入!$B$105+1))),0)),0),0)</f>
        <v>0</v>
      </c>
      <c r="CE12" s="22">
        <f>IF(79&lt;=核心参数输入!$B$9*4,IF(AND(79-(核心参数输入!$B$148)&gt;=0,79-(核心参数输入!$B$148)&lt;=120),IF(COUNT(INDEX($D$21:$DT$21,1,MAX(1,MIN(121,79-(核心参数输入!$B$148)+1))))=1,INDEX($D$21:$DT$21,1,MAX(1,MIN(121,79-(核心参数输入!$B$148)+1))),IF(AND(79-核心参数输入!$B$105&gt;=0,79-核心参数输入!$B$105&lt;=120),INDEX(季度计划!$D$11:$DT$11,1,MAX(1,MIN(121,79-核心参数输入!$B$105+1))),0)),0),0)</f>
        <v>0</v>
      </c>
      <c r="CF12" s="22">
        <f>IF(80&lt;=核心参数输入!$B$9*4,IF(AND(80-(核心参数输入!$B$148)&gt;=0,80-(核心参数输入!$B$148)&lt;=120),IF(COUNT(INDEX($D$21:$DT$21,1,MAX(1,MIN(121,80-(核心参数输入!$B$148)+1))))=1,INDEX($D$21:$DT$21,1,MAX(1,MIN(121,80-(核心参数输入!$B$148)+1))),IF(AND(80-核心参数输入!$B$105&gt;=0,80-核心参数输入!$B$105&lt;=120),INDEX(季度计划!$D$11:$DT$11,1,MAX(1,MIN(121,80-核心参数输入!$B$105+1))),0)),0),0)</f>
        <v>0</v>
      </c>
      <c r="CG12" s="22">
        <f>IF(81&lt;=核心参数输入!$B$9*4,IF(AND(81-(核心参数输入!$B$148)&gt;=0,81-(核心参数输入!$B$148)&lt;=120),IF(COUNT(INDEX($D$21:$DT$21,1,MAX(1,MIN(121,81-(核心参数输入!$B$148)+1))))=1,INDEX($D$21:$DT$21,1,MAX(1,MIN(121,81-(核心参数输入!$B$148)+1))),IF(AND(81-核心参数输入!$B$105&gt;=0,81-核心参数输入!$B$105&lt;=120),INDEX(季度计划!$D$11:$DT$11,1,MAX(1,MIN(121,81-核心参数输入!$B$105+1))),0)),0),0)</f>
        <v>0</v>
      </c>
      <c r="CH12" s="22">
        <f>IF(82&lt;=核心参数输入!$B$9*4,IF(AND(82-(核心参数输入!$B$148)&gt;=0,82-(核心参数输入!$B$148)&lt;=120),IF(COUNT(INDEX($D$21:$DT$21,1,MAX(1,MIN(121,82-(核心参数输入!$B$148)+1))))=1,INDEX($D$21:$DT$21,1,MAX(1,MIN(121,82-(核心参数输入!$B$148)+1))),IF(AND(82-核心参数输入!$B$105&gt;=0,82-核心参数输入!$B$105&lt;=120),INDEX(季度计划!$D$11:$DT$11,1,MAX(1,MIN(121,82-核心参数输入!$B$105+1))),0)),0),0)</f>
        <v>0</v>
      </c>
      <c r="CI12" s="22">
        <f>IF(83&lt;=核心参数输入!$B$9*4,IF(AND(83-(核心参数输入!$B$148)&gt;=0,83-(核心参数输入!$B$148)&lt;=120),IF(COUNT(INDEX($D$21:$DT$21,1,MAX(1,MIN(121,83-(核心参数输入!$B$148)+1))))=1,INDEX($D$21:$DT$21,1,MAX(1,MIN(121,83-(核心参数输入!$B$148)+1))),IF(AND(83-核心参数输入!$B$105&gt;=0,83-核心参数输入!$B$105&lt;=120),INDEX(季度计划!$D$11:$DT$11,1,MAX(1,MIN(121,83-核心参数输入!$B$105+1))),0)),0),0)</f>
        <v>0</v>
      </c>
      <c r="CJ12" s="22">
        <f>IF(84&lt;=核心参数输入!$B$9*4,IF(AND(84-(核心参数输入!$B$148)&gt;=0,84-(核心参数输入!$B$148)&lt;=120),IF(COUNT(INDEX($D$21:$DT$21,1,MAX(1,MIN(121,84-(核心参数输入!$B$148)+1))))=1,INDEX($D$21:$DT$21,1,MAX(1,MIN(121,84-(核心参数输入!$B$148)+1))),IF(AND(84-核心参数输入!$B$105&gt;=0,84-核心参数输入!$B$105&lt;=120),INDEX(季度计划!$D$11:$DT$11,1,MAX(1,MIN(121,84-核心参数输入!$B$105+1))),0)),0),0)</f>
        <v>0</v>
      </c>
      <c r="CK12" s="22">
        <f>IF(85&lt;=核心参数输入!$B$9*4,IF(AND(85-(核心参数输入!$B$148)&gt;=0,85-(核心参数输入!$B$148)&lt;=120),IF(COUNT(INDEX($D$21:$DT$21,1,MAX(1,MIN(121,85-(核心参数输入!$B$148)+1))))=1,INDEX($D$21:$DT$21,1,MAX(1,MIN(121,85-(核心参数输入!$B$148)+1))),IF(AND(85-核心参数输入!$B$105&gt;=0,85-核心参数输入!$B$105&lt;=120),INDEX(季度计划!$D$11:$DT$11,1,MAX(1,MIN(121,85-核心参数输入!$B$105+1))),0)),0),0)</f>
        <v>0</v>
      </c>
      <c r="CL12" s="22">
        <f>IF(86&lt;=核心参数输入!$B$9*4,IF(AND(86-(核心参数输入!$B$148)&gt;=0,86-(核心参数输入!$B$148)&lt;=120),IF(COUNT(INDEX($D$21:$DT$21,1,MAX(1,MIN(121,86-(核心参数输入!$B$148)+1))))=1,INDEX($D$21:$DT$21,1,MAX(1,MIN(121,86-(核心参数输入!$B$148)+1))),IF(AND(86-核心参数输入!$B$105&gt;=0,86-核心参数输入!$B$105&lt;=120),INDEX(季度计划!$D$11:$DT$11,1,MAX(1,MIN(121,86-核心参数输入!$B$105+1))),0)),0),0)</f>
        <v>0</v>
      </c>
      <c r="CM12" s="22">
        <f>IF(87&lt;=核心参数输入!$B$9*4,IF(AND(87-(核心参数输入!$B$148)&gt;=0,87-(核心参数输入!$B$148)&lt;=120),IF(COUNT(INDEX($D$21:$DT$21,1,MAX(1,MIN(121,87-(核心参数输入!$B$148)+1))))=1,INDEX($D$21:$DT$21,1,MAX(1,MIN(121,87-(核心参数输入!$B$148)+1))),IF(AND(87-核心参数输入!$B$105&gt;=0,87-核心参数输入!$B$105&lt;=120),INDEX(季度计划!$D$11:$DT$11,1,MAX(1,MIN(121,87-核心参数输入!$B$105+1))),0)),0),0)</f>
        <v>0</v>
      </c>
      <c r="CN12" s="22">
        <f>IF(88&lt;=核心参数输入!$B$9*4,IF(AND(88-(核心参数输入!$B$148)&gt;=0,88-(核心参数输入!$B$148)&lt;=120),IF(COUNT(INDEX($D$21:$DT$21,1,MAX(1,MIN(121,88-(核心参数输入!$B$148)+1))))=1,INDEX($D$21:$DT$21,1,MAX(1,MIN(121,88-(核心参数输入!$B$148)+1))),IF(AND(88-核心参数输入!$B$105&gt;=0,88-核心参数输入!$B$105&lt;=120),INDEX(季度计划!$D$11:$DT$11,1,MAX(1,MIN(121,88-核心参数输入!$B$105+1))),0)),0),0)</f>
        <v>0</v>
      </c>
      <c r="CO12" s="22">
        <f>IF(89&lt;=核心参数输入!$B$9*4,IF(AND(89-(核心参数输入!$B$148)&gt;=0,89-(核心参数输入!$B$148)&lt;=120),IF(COUNT(INDEX($D$21:$DT$21,1,MAX(1,MIN(121,89-(核心参数输入!$B$148)+1))))=1,INDEX($D$21:$DT$21,1,MAX(1,MIN(121,89-(核心参数输入!$B$148)+1))),IF(AND(89-核心参数输入!$B$105&gt;=0,89-核心参数输入!$B$105&lt;=120),INDEX(季度计划!$D$11:$DT$11,1,MAX(1,MIN(121,89-核心参数输入!$B$105+1))),0)),0),0)</f>
        <v>0</v>
      </c>
      <c r="CP12" s="22">
        <f>IF(90&lt;=核心参数输入!$B$9*4,IF(AND(90-(核心参数输入!$B$148)&gt;=0,90-(核心参数输入!$B$148)&lt;=120),IF(COUNT(INDEX($D$21:$DT$21,1,MAX(1,MIN(121,90-(核心参数输入!$B$148)+1))))=1,INDEX($D$21:$DT$21,1,MAX(1,MIN(121,90-(核心参数输入!$B$148)+1))),IF(AND(90-核心参数输入!$B$105&gt;=0,90-核心参数输入!$B$105&lt;=120),INDEX(季度计划!$D$11:$DT$11,1,MAX(1,MIN(121,90-核心参数输入!$B$105+1))),0)),0),0)</f>
        <v>0</v>
      </c>
      <c r="CQ12" s="22">
        <f>IF(91&lt;=核心参数输入!$B$9*4,IF(AND(91-(核心参数输入!$B$148)&gt;=0,91-(核心参数输入!$B$148)&lt;=120),IF(COUNT(INDEX($D$21:$DT$21,1,MAX(1,MIN(121,91-(核心参数输入!$B$148)+1))))=1,INDEX($D$21:$DT$21,1,MAX(1,MIN(121,91-(核心参数输入!$B$148)+1))),IF(AND(91-核心参数输入!$B$105&gt;=0,91-核心参数输入!$B$105&lt;=120),INDEX(季度计划!$D$11:$DT$11,1,MAX(1,MIN(121,91-核心参数输入!$B$105+1))),0)),0),0)</f>
        <v>0</v>
      </c>
      <c r="CR12" s="22">
        <f>IF(92&lt;=核心参数输入!$B$9*4,IF(AND(92-(核心参数输入!$B$148)&gt;=0,92-(核心参数输入!$B$148)&lt;=120),IF(COUNT(INDEX($D$21:$DT$21,1,MAX(1,MIN(121,92-(核心参数输入!$B$148)+1))))=1,INDEX($D$21:$DT$21,1,MAX(1,MIN(121,92-(核心参数输入!$B$148)+1))),IF(AND(92-核心参数输入!$B$105&gt;=0,92-核心参数输入!$B$105&lt;=120),INDEX(季度计划!$D$11:$DT$11,1,MAX(1,MIN(121,92-核心参数输入!$B$105+1))),0)),0),0)</f>
        <v>0</v>
      </c>
      <c r="CS12" s="22">
        <f>IF(93&lt;=核心参数输入!$B$9*4,IF(AND(93-(核心参数输入!$B$148)&gt;=0,93-(核心参数输入!$B$148)&lt;=120),IF(COUNT(INDEX($D$21:$DT$21,1,MAX(1,MIN(121,93-(核心参数输入!$B$148)+1))))=1,INDEX($D$21:$DT$21,1,MAX(1,MIN(121,93-(核心参数输入!$B$148)+1))),IF(AND(93-核心参数输入!$B$105&gt;=0,93-核心参数输入!$B$105&lt;=120),INDEX(季度计划!$D$11:$DT$11,1,MAX(1,MIN(121,93-核心参数输入!$B$105+1))),0)),0),0)</f>
        <v>0</v>
      </c>
      <c r="CT12" s="22">
        <f>IF(94&lt;=核心参数输入!$B$9*4,IF(AND(94-(核心参数输入!$B$148)&gt;=0,94-(核心参数输入!$B$148)&lt;=120),IF(COUNT(INDEX($D$21:$DT$21,1,MAX(1,MIN(121,94-(核心参数输入!$B$148)+1))))=1,INDEX($D$21:$DT$21,1,MAX(1,MIN(121,94-(核心参数输入!$B$148)+1))),IF(AND(94-核心参数输入!$B$105&gt;=0,94-核心参数输入!$B$105&lt;=120),INDEX(季度计划!$D$11:$DT$11,1,MAX(1,MIN(121,94-核心参数输入!$B$105+1))),0)),0),0)</f>
        <v>0</v>
      </c>
      <c r="CU12" s="22">
        <f>IF(95&lt;=核心参数输入!$B$9*4,IF(AND(95-(核心参数输入!$B$148)&gt;=0,95-(核心参数输入!$B$148)&lt;=120),IF(COUNT(INDEX($D$21:$DT$21,1,MAX(1,MIN(121,95-(核心参数输入!$B$148)+1))))=1,INDEX($D$21:$DT$21,1,MAX(1,MIN(121,95-(核心参数输入!$B$148)+1))),IF(AND(95-核心参数输入!$B$105&gt;=0,95-核心参数输入!$B$105&lt;=120),INDEX(季度计划!$D$11:$DT$11,1,MAX(1,MIN(121,95-核心参数输入!$B$105+1))),0)),0),0)</f>
        <v>0</v>
      </c>
      <c r="CV12" s="22">
        <f>IF(96&lt;=核心参数输入!$B$9*4,IF(AND(96-(核心参数输入!$B$148)&gt;=0,96-(核心参数输入!$B$148)&lt;=120),IF(COUNT(INDEX($D$21:$DT$21,1,MAX(1,MIN(121,96-(核心参数输入!$B$148)+1))))=1,INDEX($D$21:$DT$21,1,MAX(1,MIN(121,96-(核心参数输入!$B$148)+1))),IF(AND(96-核心参数输入!$B$105&gt;=0,96-核心参数输入!$B$105&lt;=120),INDEX(季度计划!$D$11:$DT$11,1,MAX(1,MIN(121,96-核心参数输入!$B$105+1))),0)),0),0)</f>
        <v>0</v>
      </c>
      <c r="CW12" s="22">
        <f>IF(97&lt;=核心参数输入!$B$9*4,IF(AND(97-(核心参数输入!$B$148)&gt;=0,97-(核心参数输入!$B$148)&lt;=120),IF(COUNT(INDEX($D$21:$DT$21,1,MAX(1,MIN(121,97-(核心参数输入!$B$148)+1))))=1,INDEX($D$21:$DT$21,1,MAX(1,MIN(121,97-(核心参数输入!$B$148)+1))),IF(AND(97-核心参数输入!$B$105&gt;=0,97-核心参数输入!$B$105&lt;=120),INDEX(季度计划!$D$11:$DT$11,1,MAX(1,MIN(121,97-核心参数输入!$B$105+1))),0)),0),0)</f>
        <v>0</v>
      </c>
      <c r="CX12" s="22">
        <f>IF(98&lt;=核心参数输入!$B$9*4,IF(AND(98-(核心参数输入!$B$148)&gt;=0,98-(核心参数输入!$B$148)&lt;=120),IF(COUNT(INDEX($D$21:$DT$21,1,MAX(1,MIN(121,98-(核心参数输入!$B$148)+1))))=1,INDEX($D$21:$DT$21,1,MAX(1,MIN(121,98-(核心参数输入!$B$148)+1))),IF(AND(98-核心参数输入!$B$105&gt;=0,98-核心参数输入!$B$105&lt;=120),INDEX(季度计划!$D$11:$DT$11,1,MAX(1,MIN(121,98-核心参数输入!$B$105+1))),0)),0),0)</f>
        <v>0</v>
      </c>
      <c r="CY12" s="22">
        <f>IF(99&lt;=核心参数输入!$B$9*4,IF(AND(99-(核心参数输入!$B$148)&gt;=0,99-(核心参数输入!$B$148)&lt;=120),IF(COUNT(INDEX($D$21:$DT$21,1,MAX(1,MIN(121,99-(核心参数输入!$B$148)+1))))=1,INDEX($D$21:$DT$21,1,MAX(1,MIN(121,99-(核心参数输入!$B$148)+1))),IF(AND(99-核心参数输入!$B$105&gt;=0,99-核心参数输入!$B$105&lt;=120),INDEX(季度计划!$D$11:$DT$11,1,MAX(1,MIN(121,99-核心参数输入!$B$105+1))),0)),0),0)</f>
        <v>0</v>
      </c>
      <c r="CZ12" s="22">
        <f>IF(100&lt;=核心参数输入!$B$9*4,IF(AND(100-(核心参数输入!$B$148)&gt;=0,100-(核心参数输入!$B$148)&lt;=120),IF(COUNT(INDEX($D$21:$DT$21,1,MAX(1,MIN(121,100-(核心参数输入!$B$148)+1))))=1,INDEX($D$21:$DT$21,1,MAX(1,MIN(121,100-(核心参数输入!$B$148)+1))),IF(AND(100-核心参数输入!$B$105&gt;=0,100-核心参数输入!$B$105&lt;=120),INDEX(季度计划!$D$11:$DT$11,1,MAX(1,MIN(121,100-核心参数输入!$B$105+1))),0)),0),0)</f>
        <v>0</v>
      </c>
      <c r="DA12" s="22">
        <f>IF(101&lt;=核心参数输入!$B$9*4,IF(AND(101-(核心参数输入!$B$148)&gt;=0,101-(核心参数输入!$B$148)&lt;=120),IF(COUNT(INDEX($D$21:$DT$21,1,MAX(1,MIN(121,101-(核心参数输入!$B$148)+1))))=1,INDEX($D$21:$DT$21,1,MAX(1,MIN(121,101-(核心参数输入!$B$148)+1))),IF(AND(101-核心参数输入!$B$105&gt;=0,101-核心参数输入!$B$105&lt;=120),INDEX(季度计划!$D$11:$DT$11,1,MAX(1,MIN(121,101-核心参数输入!$B$105+1))),0)),0),0)</f>
        <v>0</v>
      </c>
      <c r="DB12" s="22">
        <f>IF(102&lt;=核心参数输入!$B$9*4,IF(AND(102-(核心参数输入!$B$148)&gt;=0,102-(核心参数输入!$B$148)&lt;=120),IF(COUNT(INDEX($D$21:$DT$21,1,MAX(1,MIN(121,102-(核心参数输入!$B$148)+1))))=1,INDEX($D$21:$DT$21,1,MAX(1,MIN(121,102-(核心参数输入!$B$148)+1))),IF(AND(102-核心参数输入!$B$105&gt;=0,102-核心参数输入!$B$105&lt;=120),INDEX(季度计划!$D$11:$DT$11,1,MAX(1,MIN(121,102-核心参数输入!$B$105+1))),0)),0),0)</f>
        <v>0</v>
      </c>
      <c r="DC12" s="22">
        <f>IF(103&lt;=核心参数输入!$B$9*4,IF(AND(103-(核心参数输入!$B$148)&gt;=0,103-(核心参数输入!$B$148)&lt;=120),IF(COUNT(INDEX($D$21:$DT$21,1,MAX(1,MIN(121,103-(核心参数输入!$B$148)+1))))=1,INDEX($D$21:$DT$21,1,MAX(1,MIN(121,103-(核心参数输入!$B$148)+1))),IF(AND(103-核心参数输入!$B$105&gt;=0,103-核心参数输入!$B$105&lt;=120),INDEX(季度计划!$D$11:$DT$11,1,MAX(1,MIN(121,103-核心参数输入!$B$105+1))),0)),0),0)</f>
        <v>0</v>
      </c>
      <c r="DD12" s="22">
        <f>IF(104&lt;=核心参数输入!$B$9*4,IF(AND(104-(核心参数输入!$B$148)&gt;=0,104-(核心参数输入!$B$148)&lt;=120),IF(COUNT(INDEX($D$21:$DT$21,1,MAX(1,MIN(121,104-(核心参数输入!$B$148)+1))))=1,INDEX($D$21:$DT$21,1,MAX(1,MIN(121,104-(核心参数输入!$B$148)+1))),IF(AND(104-核心参数输入!$B$105&gt;=0,104-核心参数输入!$B$105&lt;=120),INDEX(季度计划!$D$11:$DT$11,1,MAX(1,MIN(121,104-核心参数输入!$B$105+1))),0)),0),0)</f>
        <v>0</v>
      </c>
      <c r="DE12" s="22">
        <f>IF(105&lt;=核心参数输入!$B$9*4,IF(AND(105-(核心参数输入!$B$148)&gt;=0,105-(核心参数输入!$B$148)&lt;=120),IF(COUNT(INDEX($D$21:$DT$21,1,MAX(1,MIN(121,105-(核心参数输入!$B$148)+1))))=1,INDEX($D$21:$DT$21,1,MAX(1,MIN(121,105-(核心参数输入!$B$148)+1))),IF(AND(105-核心参数输入!$B$105&gt;=0,105-核心参数输入!$B$105&lt;=120),INDEX(季度计划!$D$11:$DT$11,1,MAX(1,MIN(121,105-核心参数输入!$B$105+1))),0)),0),0)</f>
        <v>0</v>
      </c>
      <c r="DF12" s="22">
        <f>IF(106&lt;=核心参数输入!$B$9*4,IF(AND(106-(核心参数输入!$B$148)&gt;=0,106-(核心参数输入!$B$148)&lt;=120),IF(COUNT(INDEX($D$21:$DT$21,1,MAX(1,MIN(121,106-(核心参数输入!$B$148)+1))))=1,INDEX($D$21:$DT$21,1,MAX(1,MIN(121,106-(核心参数输入!$B$148)+1))),IF(AND(106-核心参数输入!$B$105&gt;=0,106-核心参数输入!$B$105&lt;=120),INDEX(季度计划!$D$11:$DT$11,1,MAX(1,MIN(121,106-核心参数输入!$B$105+1))),0)),0),0)</f>
        <v>0</v>
      </c>
      <c r="DG12" s="22">
        <f>IF(107&lt;=核心参数输入!$B$9*4,IF(AND(107-(核心参数输入!$B$148)&gt;=0,107-(核心参数输入!$B$148)&lt;=120),IF(COUNT(INDEX($D$21:$DT$21,1,MAX(1,MIN(121,107-(核心参数输入!$B$148)+1))))=1,INDEX($D$21:$DT$21,1,MAX(1,MIN(121,107-(核心参数输入!$B$148)+1))),IF(AND(107-核心参数输入!$B$105&gt;=0,107-核心参数输入!$B$105&lt;=120),INDEX(季度计划!$D$11:$DT$11,1,MAX(1,MIN(121,107-核心参数输入!$B$105+1))),0)),0),0)</f>
        <v>0</v>
      </c>
      <c r="DH12" s="22">
        <f>IF(108&lt;=核心参数输入!$B$9*4,IF(AND(108-(核心参数输入!$B$148)&gt;=0,108-(核心参数输入!$B$148)&lt;=120),IF(COUNT(INDEX($D$21:$DT$21,1,MAX(1,MIN(121,108-(核心参数输入!$B$148)+1))))=1,INDEX($D$21:$DT$21,1,MAX(1,MIN(121,108-(核心参数输入!$B$148)+1))),IF(AND(108-核心参数输入!$B$105&gt;=0,108-核心参数输入!$B$105&lt;=120),INDEX(季度计划!$D$11:$DT$11,1,MAX(1,MIN(121,108-核心参数输入!$B$105+1))),0)),0),0)</f>
        <v>0</v>
      </c>
      <c r="DI12" s="22">
        <f>IF(109&lt;=核心参数输入!$B$9*4,IF(AND(109-(核心参数输入!$B$148)&gt;=0,109-(核心参数输入!$B$148)&lt;=120),IF(COUNT(INDEX($D$21:$DT$21,1,MAX(1,MIN(121,109-(核心参数输入!$B$148)+1))))=1,INDEX($D$21:$DT$21,1,MAX(1,MIN(121,109-(核心参数输入!$B$148)+1))),IF(AND(109-核心参数输入!$B$105&gt;=0,109-核心参数输入!$B$105&lt;=120),INDEX(季度计划!$D$11:$DT$11,1,MAX(1,MIN(121,109-核心参数输入!$B$105+1))),0)),0),0)</f>
        <v>0</v>
      </c>
      <c r="DJ12" s="22">
        <f>IF(110&lt;=核心参数输入!$B$9*4,IF(AND(110-(核心参数输入!$B$148)&gt;=0,110-(核心参数输入!$B$148)&lt;=120),IF(COUNT(INDEX($D$21:$DT$21,1,MAX(1,MIN(121,110-(核心参数输入!$B$148)+1))))=1,INDEX($D$21:$DT$21,1,MAX(1,MIN(121,110-(核心参数输入!$B$148)+1))),IF(AND(110-核心参数输入!$B$105&gt;=0,110-核心参数输入!$B$105&lt;=120),INDEX(季度计划!$D$11:$DT$11,1,MAX(1,MIN(121,110-核心参数输入!$B$105+1))),0)),0),0)</f>
        <v>0</v>
      </c>
      <c r="DK12" s="22">
        <f>IF(111&lt;=核心参数输入!$B$9*4,IF(AND(111-(核心参数输入!$B$148)&gt;=0,111-(核心参数输入!$B$148)&lt;=120),IF(COUNT(INDEX($D$21:$DT$21,1,MAX(1,MIN(121,111-(核心参数输入!$B$148)+1))))=1,INDEX($D$21:$DT$21,1,MAX(1,MIN(121,111-(核心参数输入!$B$148)+1))),IF(AND(111-核心参数输入!$B$105&gt;=0,111-核心参数输入!$B$105&lt;=120),INDEX(季度计划!$D$11:$DT$11,1,MAX(1,MIN(121,111-核心参数输入!$B$105+1))),0)),0),0)</f>
        <v>0</v>
      </c>
      <c r="DL12" s="22">
        <f>IF(112&lt;=核心参数输入!$B$9*4,IF(AND(112-(核心参数输入!$B$148)&gt;=0,112-(核心参数输入!$B$148)&lt;=120),IF(COUNT(INDEX($D$21:$DT$21,1,MAX(1,MIN(121,112-(核心参数输入!$B$148)+1))))=1,INDEX($D$21:$DT$21,1,MAX(1,MIN(121,112-(核心参数输入!$B$148)+1))),IF(AND(112-核心参数输入!$B$105&gt;=0,112-核心参数输入!$B$105&lt;=120),INDEX(季度计划!$D$11:$DT$11,1,MAX(1,MIN(121,112-核心参数输入!$B$105+1))),0)),0),0)</f>
        <v>0</v>
      </c>
      <c r="DM12" s="22">
        <f>IF(113&lt;=核心参数输入!$B$9*4,IF(AND(113-(核心参数输入!$B$148)&gt;=0,113-(核心参数输入!$B$148)&lt;=120),IF(COUNT(INDEX($D$21:$DT$21,1,MAX(1,MIN(121,113-(核心参数输入!$B$148)+1))))=1,INDEX($D$21:$DT$21,1,MAX(1,MIN(121,113-(核心参数输入!$B$148)+1))),IF(AND(113-核心参数输入!$B$105&gt;=0,113-核心参数输入!$B$105&lt;=120),INDEX(季度计划!$D$11:$DT$11,1,MAX(1,MIN(121,113-核心参数输入!$B$105+1))),0)),0),0)</f>
        <v>0</v>
      </c>
      <c r="DN12" s="22">
        <f>IF(114&lt;=核心参数输入!$B$9*4,IF(AND(114-(核心参数输入!$B$148)&gt;=0,114-(核心参数输入!$B$148)&lt;=120),IF(COUNT(INDEX($D$21:$DT$21,1,MAX(1,MIN(121,114-(核心参数输入!$B$148)+1))))=1,INDEX($D$21:$DT$21,1,MAX(1,MIN(121,114-(核心参数输入!$B$148)+1))),IF(AND(114-核心参数输入!$B$105&gt;=0,114-核心参数输入!$B$105&lt;=120),INDEX(季度计划!$D$11:$DT$11,1,MAX(1,MIN(121,114-核心参数输入!$B$105+1))),0)),0),0)</f>
        <v>0</v>
      </c>
      <c r="DO12" s="22">
        <f>IF(115&lt;=核心参数输入!$B$9*4,IF(AND(115-(核心参数输入!$B$148)&gt;=0,115-(核心参数输入!$B$148)&lt;=120),IF(COUNT(INDEX($D$21:$DT$21,1,MAX(1,MIN(121,115-(核心参数输入!$B$148)+1))))=1,INDEX($D$21:$DT$21,1,MAX(1,MIN(121,115-(核心参数输入!$B$148)+1))),IF(AND(115-核心参数输入!$B$105&gt;=0,115-核心参数输入!$B$105&lt;=120),INDEX(季度计划!$D$11:$DT$11,1,MAX(1,MIN(121,115-核心参数输入!$B$105+1))),0)),0),0)</f>
        <v>0</v>
      </c>
      <c r="DP12" s="22">
        <f>IF(116&lt;=核心参数输入!$B$9*4,IF(AND(116-(核心参数输入!$B$148)&gt;=0,116-(核心参数输入!$B$148)&lt;=120),IF(COUNT(INDEX($D$21:$DT$21,1,MAX(1,MIN(121,116-(核心参数输入!$B$148)+1))))=1,INDEX($D$21:$DT$21,1,MAX(1,MIN(121,116-(核心参数输入!$B$148)+1))),IF(AND(116-核心参数输入!$B$105&gt;=0,116-核心参数输入!$B$105&lt;=120),INDEX(季度计划!$D$11:$DT$11,1,MAX(1,MIN(121,116-核心参数输入!$B$105+1))),0)),0),0)</f>
        <v>0</v>
      </c>
      <c r="DQ12" s="22">
        <f>IF(117&lt;=核心参数输入!$B$9*4,IF(AND(117-(核心参数输入!$B$148)&gt;=0,117-(核心参数输入!$B$148)&lt;=120),IF(COUNT(INDEX($D$21:$DT$21,1,MAX(1,MIN(121,117-(核心参数输入!$B$148)+1))))=1,INDEX($D$21:$DT$21,1,MAX(1,MIN(121,117-(核心参数输入!$B$148)+1))),IF(AND(117-核心参数输入!$B$105&gt;=0,117-核心参数输入!$B$105&lt;=120),INDEX(季度计划!$D$11:$DT$11,1,MAX(1,MIN(121,117-核心参数输入!$B$105+1))),0)),0),0)</f>
        <v>0</v>
      </c>
      <c r="DR12" s="22">
        <f>IF(118&lt;=核心参数输入!$B$9*4,IF(AND(118-(核心参数输入!$B$148)&gt;=0,118-(核心参数输入!$B$148)&lt;=120),IF(COUNT(INDEX($D$21:$DT$21,1,MAX(1,MIN(121,118-(核心参数输入!$B$148)+1))))=1,INDEX($D$21:$DT$21,1,MAX(1,MIN(121,118-(核心参数输入!$B$148)+1))),IF(AND(118-核心参数输入!$B$105&gt;=0,118-核心参数输入!$B$105&lt;=120),INDEX(季度计划!$D$11:$DT$11,1,MAX(1,MIN(121,118-核心参数输入!$B$105+1))),0)),0),0)</f>
        <v>0</v>
      </c>
      <c r="DS12" s="22">
        <f>IF(119&lt;=核心参数输入!$B$9*4,IF(AND(119-(核心参数输入!$B$148)&gt;=0,119-(核心参数输入!$B$148)&lt;=120),IF(COUNT(INDEX($D$21:$DT$21,1,MAX(1,MIN(121,119-(核心参数输入!$B$148)+1))))=1,INDEX($D$21:$DT$21,1,MAX(1,MIN(121,119-(核心参数输入!$B$148)+1))),IF(AND(119-核心参数输入!$B$105&gt;=0,119-核心参数输入!$B$105&lt;=120),INDEX(季度计划!$D$11:$DT$11,1,MAX(1,MIN(121,119-核心参数输入!$B$105+1))),0)),0),0)</f>
        <v>0</v>
      </c>
      <c r="DT12" s="22">
        <f>IF(120&lt;=核心参数输入!$B$9*4,IF(AND(120-(核心参数输入!$B$148)&gt;=0,120-(核心参数输入!$B$148)&lt;=120),IF(COUNT(INDEX($D$21:$DT$21,1,MAX(1,MIN(121,120-(核心参数输入!$B$148)+1))))=1,INDEX($D$21:$DT$21,1,MAX(1,MIN(121,120-(核心参数输入!$B$148)+1))),IF(AND(120-核心参数输入!$B$105&gt;=0,120-核心参数输入!$B$105&lt;=120),INDEX(季度计划!$D$11:$DT$11,1,MAX(1,MIN(121,120-核心参数输入!$B$105+1))),0)),0),0)</f>
        <v>0</v>
      </c>
    </row>
    <row r="13" spans="1:124" ht="21" customHeight="1">
      <c r="A13" s="8" t="s">
        <v>625</v>
      </c>
      <c r="B13" s="8" t="s">
        <v>38</v>
      </c>
      <c r="C13" s="8"/>
      <c r="D13" s="22">
        <f>IF(0&lt;=核心参数输入!$B$9*4,0,0)</f>
        <v>0</v>
      </c>
      <c r="E13" s="22">
        <f>IF(1&lt;=核心参数输入!$B$9*4,IF(AND(1-(核心参数输入!$B$148)&gt;=0,1-(核心参数输入!$B$148)&lt;=120),IF(COUNT(INDEX($D$22:$DT$22,1,MAX(1,MIN(121,1-(核心参数输入!$B$148)+1))))=1,INDEX($D$22:$DT$22,1,MAX(1,MIN(121,1-(核心参数输入!$B$148)+1))),IF(AND(1-核心参数输入!$B$106&gt;=0,1-核心参数输入!$B$106&lt;=120),INDEX(季度计划!$D$12:$DT$12,1,MAX(1,MIN(121,1-核心参数输入!$B$106+1))),0)),0),0)</f>
        <v>7.4999999999999997E-2</v>
      </c>
      <c r="F13" s="22">
        <f>IF(2&lt;=核心参数输入!$B$9*4,IF(AND(2-(核心参数输入!$B$148)&gt;=0,2-(核心参数输入!$B$148)&lt;=120),IF(COUNT(INDEX($D$22:$DT$22,1,MAX(1,MIN(121,2-(核心参数输入!$B$148)+1))))=1,INDEX($D$22:$DT$22,1,MAX(1,MIN(121,2-(核心参数输入!$B$148)+1))),IF(AND(2-核心参数输入!$B$106&gt;=0,2-核心参数输入!$B$106&lt;=120),INDEX(季度计划!$D$12:$DT$12,1,MAX(1,MIN(121,2-核心参数输入!$B$106+1))),0)),0),0)</f>
        <v>7.4999999999999997E-2</v>
      </c>
      <c r="G13" s="22">
        <f>IF(3&lt;=核心参数输入!$B$9*4,IF(AND(3-(核心参数输入!$B$148)&gt;=0,3-(核心参数输入!$B$148)&lt;=120),IF(COUNT(INDEX($D$22:$DT$22,1,MAX(1,MIN(121,3-(核心参数输入!$B$148)+1))))=1,INDEX($D$22:$DT$22,1,MAX(1,MIN(121,3-(核心参数输入!$B$148)+1))),IF(AND(3-核心参数输入!$B$106&gt;=0,3-核心参数输入!$B$106&lt;=120),INDEX(季度计划!$D$12:$DT$12,1,MAX(1,MIN(121,3-核心参数输入!$B$106+1))),0)),0),0)</f>
        <v>7.4999999999999997E-2</v>
      </c>
      <c r="H13" s="22">
        <f>IF(4&lt;=核心参数输入!$B$9*4,IF(AND(4-(核心参数输入!$B$148)&gt;=0,4-(核心参数输入!$B$148)&lt;=120),IF(COUNT(INDEX($D$22:$DT$22,1,MAX(1,MIN(121,4-(核心参数输入!$B$148)+1))))=1,INDEX($D$22:$DT$22,1,MAX(1,MIN(121,4-(核心参数输入!$B$148)+1))),IF(AND(4-核心参数输入!$B$106&gt;=0,4-核心参数输入!$B$106&lt;=120),INDEX(季度计划!$D$12:$DT$12,1,MAX(1,MIN(121,4-核心参数输入!$B$106+1))),0)),0),0)</f>
        <v>7.4999999999999997E-2</v>
      </c>
      <c r="I13" s="22">
        <f>IF(5&lt;=核心参数输入!$B$9*4,IF(AND(5-(核心参数输入!$B$148)&gt;=0,5-(核心参数输入!$B$148)&lt;=120),IF(COUNT(INDEX($D$22:$DT$22,1,MAX(1,MIN(121,5-(核心参数输入!$B$148)+1))))=1,INDEX($D$22:$DT$22,1,MAX(1,MIN(121,5-(核心参数输入!$B$148)+1))),IF(AND(5-核心参数输入!$B$106&gt;=0,5-核心参数输入!$B$106&lt;=120),INDEX(季度计划!$D$12:$DT$12,1,MAX(1,MIN(121,5-核心参数输入!$B$106+1))),0)),0),0)</f>
        <v>0.1</v>
      </c>
      <c r="J13" s="22">
        <f>IF(6&lt;=核心参数输入!$B$9*4,IF(AND(6-(核心参数输入!$B$148)&gt;=0,6-(核心参数输入!$B$148)&lt;=120),IF(COUNT(INDEX($D$22:$DT$22,1,MAX(1,MIN(121,6-(核心参数输入!$B$148)+1))))=1,INDEX($D$22:$DT$22,1,MAX(1,MIN(121,6-(核心参数输入!$B$148)+1))),IF(AND(6-核心参数输入!$B$106&gt;=0,6-核心参数输入!$B$106&lt;=120),INDEX(季度计划!$D$12:$DT$12,1,MAX(1,MIN(121,6-核心参数输入!$B$106+1))),0)),0),0)</f>
        <v>0.1</v>
      </c>
      <c r="K13" s="22">
        <f>IF(7&lt;=核心参数输入!$B$9*4,IF(AND(7-(核心参数输入!$B$148)&gt;=0,7-(核心参数输入!$B$148)&lt;=120),IF(COUNT(INDEX($D$22:$DT$22,1,MAX(1,MIN(121,7-(核心参数输入!$B$148)+1))))=1,INDEX($D$22:$DT$22,1,MAX(1,MIN(121,7-(核心参数输入!$B$148)+1))),IF(AND(7-核心参数输入!$B$106&gt;=0,7-核心参数输入!$B$106&lt;=120),INDEX(季度计划!$D$12:$DT$12,1,MAX(1,MIN(121,7-核心参数输入!$B$106+1))),0)),0),0)</f>
        <v>0.1</v>
      </c>
      <c r="L13" s="22">
        <f>IF(8&lt;=核心参数输入!$B$9*4,IF(AND(8-(核心参数输入!$B$148)&gt;=0,8-(核心参数输入!$B$148)&lt;=120),IF(COUNT(INDEX($D$22:$DT$22,1,MAX(1,MIN(121,8-(核心参数输入!$B$148)+1))))=1,INDEX($D$22:$DT$22,1,MAX(1,MIN(121,8-(核心参数输入!$B$148)+1))),IF(AND(8-核心参数输入!$B$106&gt;=0,8-核心参数输入!$B$106&lt;=120),INDEX(季度计划!$D$12:$DT$12,1,MAX(1,MIN(121,8-核心参数输入!$B$106+1))),0)),0),0)</f>
        <v>0.1</v>
      </c>
      <c r="M13" s="22">
        <f>IF(9&lt;=核心参数输入!$B$9*4,IF(AND(9-(核心参数输入!$B$148)&gt;=0,9-(核心参数输入!$B$148)&lt;=120),IF(COUNT(INDEX($D$22:$DT$22,1,MAX(1,MIN(121,9-(核心参数输入!$B$148)+1))))=1,INDEX($D$22:$DT$22,1,MAX(1,MIN(121,9-(核心参数输入!$B$148)+1))),IF(AND(9-核心参数输入!$B$106&gt;=0,9-核心参数输入!$B$106&lt;=120),INDEX(季度计划!$D$12:$DT$12,1,MAX(1,MIN(121,9-核心参数输入!$B$106+1))),0)),0),0)</f>
        <v>7.4999999999999997E-2</v>
      </c>
      <c r="N13" s="22">
        <f>IF(10&lt;=核心参数输入!$B$9*4,IF(AND(10-(核心参数输入!$B$148)&gt;=0,10-(核心参数输入!$B$148)&lt;=120),IF(COUNT(INDEX($D$22:$DT$22,1,MAX(1,MIN(121,10-(核心参数输入!$B$148)+1))))=1,INDEX($D$22:$DT$22,1,MAX(1,MIN(121,10-(核心参数输入!$B$148)+1))),IF(AND(10-核心参数输入!$B$106&gt;=0,10-核心参数输入!$B$106&lt;=120),INDEX(季度计划!$D$12:$DT$12,1,MAX(1,MIN(121,10-核心参数输入!$B$106+1))),0)),0),0)</f>
        <v>7.4999999999999997E-2</v>
      </c>
      <c r="O13" s="22">
        <f>IF(11&lt;=核心参数输入!$B$9*4,IF(AND(11-(核心参数输入!$B$148)&gt;=0,11-(核心参数输入!$B$148)&lt;=120),IF(COUNT(INDEX($D$22:$DT$22,1,MAX(1,MIN(121,11-(核心参数输入!$B$148)+1))))=1,INDEX($D$22:$DT$22,1,MAX(1,MIN(121,11-(核心参数输入!$B$148)+1))),IF(AND(11-核心参数输入!$B$106&gt;=0,11-核心参数输入!$B$106&lt;=120),INDEX(季度计划!$D$12:$DT$12,1,MAX(1,MIN(121,11-核心参数输入!$B$106+1))),0)),0),0)</f>
        <v>7.4999999999999997E-2</v>
      </c>
      <c r="P13" s="22">
        <f>IF(12&lt;=核心参数输入!$B$9*4,IF(AND(12-(核心参数输入!$B$148)&gt;=0,12-(核心参数输入!$B$148)&lt;=120),IF(COUNT(INDEX($D$22:$DT$22,1,MAX(1,MIN(121,12-(核心参数输入!$B$148)+1))))=1,INDEX($D$22:$DT$22,1,MAX(1,MIN(121,12-(核心参数输入!$B$148)+1))),IF(AND(12-核心参数输入!$B$106&gt;=0,12-核心参数输入!$B$106&lt;=120),INDEX(季度计划!$D$12:$DT$12,1,MAX(1,MIN(121,12-核心参数输入!$B$106+1))),0)),0),0)</f>
        <v>7.4999999999999997E-2</v>
      </c>
      <c r="Q13" s="22">
        <f>IF(13&lt;=核心参数输入!$B$9*4,IF(AND(13-(核心参数输入!$B$148)&gt;=0,13-(核心参数输入!$B$148)&lt;=120),IF(COUNT(INDEX($D$22:$DT$22,1,MAX(1,MIN(121,13-(核心参数输入!$B$148)+1))))=1,INDEX($D$22:$DT$22,1,MAX(1,MIN(121,13-(核心参数输入!$B$148)+1))),IF(AND(13-核心参数输入!$B$106&gt;=0,13-核心参数输入!$B$106&lt;=120),INDEX(季度计划!$D$12:$DT$12,1,MAX(1,MIN(121,13-核心参数输入!$B$106+1))),0)),0),0)</f>
        <v>0</v>
      </c>
      <c r="R13" s="22">
        <f>IF(14&lt;=核心参数输入!$B$9*4,IF(AND(14-(核心参数输入!$B$148)&gt;=0,14-(核心参数输入!$B$148)&lt;=120),IF(COUNT(INDEX($D$22:$DT$22,1,MAX(1,MIN(121,14-(核心参数输入!$B$148)+1))))=1,INDEX($D$22:$DT$22,1,MAX(1,MIN(121,14-(核心参数输入!$B$148)+1))),IF(AND(14-核心参数输入!$B$106&gt;=0,14-核心参数输入!$B$106&lt;=120),INDEX(季度计划!$D$12:$DT$12,1,MAX(1,MIN(121,14-核心参数输入!$B$106+1))),0)),0),0)</f>
        <v>0</v>
      </c>
      <c r="S13" s="22">
        <f>IF(15&lt;=核心参数输入!$B$9*4,IF(AND(15-(核心参数输入!$B$148)&gt;=0,15-(核心参数输入!$B$148)&lt;=120),IF(COUNT(INDEX($D$22:$DT$22,1,MAX(1,MIN(121,15-(核心参数输入!$B$148)+1))))=1,INDEX($D$22:$DT$22,1,MAX(1,MIN(121,15-(核心参数输入!$B$148)+1))),IF(AND(15-核心参数输入!$B$106&gt;=0,15-核心参数输入!$B$106&lt;=120),INDEX(季度计划!$D$12:$DT$12,1,MAX(1,MIN(121,15-核心参数输入!$B$106+1))),0)),0),0)</f>
        <v>0</v>
      </c>
      <c r="T13" s="22">
        <f>IF(16&lt;=核心参数输入!$B$9*4,IF(AND(16-(核心参数输入!$B$148)&gt;=0,16-(核心参数输入!$B$148)&lt;=120),IF(COUNT(INDEX($D$22:$DT$22,1,MAX(1,MIN(121,16-(核心参数输入!$B$148)+1))))=1,INDEX($D$22:$DT$22,1,MAX(1,MIN(121,16-(核心参数输入!$B$148)+1))),IF(AND(16-核心参数输入!$B$106&gt;=0,16-核心参数输入!$B$106&lt;=120),INDEX(季度计划!$D$12:$DT$12,1,MAX(1,MIN(121,16-核心参数输入!$B$106+1))),0)),0),0)</f>
        <v>0</v>
      </c>
      <c r="U13" s="22">
        <f>IF(17&lt;=核心参数输入!$B$9*4,IF(AND(17-(核心参数输入!$B$148)&gt;=0,17-(核心参数输入!$B$148)&lt;=120),IF(COUNT(INDEX($D$22:$DT$22,1,MAX(1,MIN(121,17-(核心参数输入!$B$148)+1))))=1,INDEX($D$22:$DT$22,1,MAX(1,MIN(121,17-(核心参数输入!$B$148)+1))),IF(AND(17-核心参数输入!$B$106&gt;=0,17-核心参数输入!$B$106&lt;=120),INDEX(季度计划!$D$12:$DT$12,1,MAX(1,MIN(121,17-核心参数输入!$B$106+1))),0)),0),0)</f>
        <v>0</v>
      </c>
      <c r="V13" s="22">
        <f>IF(18&lt;=核心参数输入!$B$9*4,IF(AND(18-(核心参数输入!$B$148)&gt;=0,18-(核心参数输入!$B$148)&lt;=120),IF(COUNT(INDEX($D$22:$DT$22,1,MAX(1,MIN(121,18-(核心参数输入!$B$148)+1))))=1,INDEX($D$22:$DT$22,1,MAX(1,MIN(121,18-(核心参数输入!$B$148)+1))),IF(AND(18-核心参数输入!$B$106&gt;=0,18-核心参数输入!$B$106&lt;=120),INDEX(季度计划!$D$12:$DT$12,1,MAX(1,MIN(121,18-核心参数输入!$B$106+1))),0)),0),0)</f>
        <v>0</v>
      </c>
      <c r="W13" s="22">
        <f>IF(19&lt;=核心参数输入!$B$9*4,IF(AND(19-(核心参数输入!$B$148)&gt;=0,19-(核心参数输入!$B$148)&lt;=120),IF(COUNT(INDEX($D$22:$DT$22,1,MAX(1,MIN(121,19-(核心参数输入!$B$148)+1))))=1,INDEX($D$22:$DT$22,1,MAX(1,MIN(121,19-(核心参数输入!$B$148)+1))),IF(AND(19-核心参数输入!$B$106&gt;=0,19-核心参数输入!$B$106&lt;=120),INDEX(季度计划!$D$12:$DT$12,1,MAX(1,MIN(121,19-核心参数输入!$B$106+1))),0)),0),0)</f>
        <v>0</v>
      </c>
      <c r="X13" s="22">
        <f>IF(20&lt;=核心参数输入!$B$9*4,IF(AND(20-(核心参数输入!$B$148)&gt;=0,20-(核心参数输入!$B$148)&lt;=120),IF(COUNT(INDEX($D$22:$DT$22,1,MAX(1,MIN(121,20-(核心参数输入!$B$148)+1))))=1,INDEX($D$22:$DT$22,1,MAX(1,MIN(121,20-(核心参数输入!$B$148)+1))),IF(AND(20-核心参数输入!$B$106&gt;=0,20-核心参数输入!$B$106&lt;=120),INDEX(季度计划!$D$12:$DT$12,1,MAX(1,MIN(121,20-核心参数输入!$B$106+1))),0)),0),0)</f>
        <v>0</v>
      </c>
      <c r="Y13" s="22">
        <f>IF(21&lt;=核心参数输入!$B$9*4,IF(AND(21-(核心参数输入!$B$148)&gt;=0,21-(核心参数输入!$B$148)&lt;=120),IF(COUNT(INDEX($D$22:$DT$22,1,MAX(1,MIN(121,21-(核心参数输入!$B$148)+1))))=1,INDEX($D$22:$DT$22,1,MAX(1,MIN(121,21-(核心参数输入!$B$148)+1))),IF(AND(21-核心参数输入!$B$106&gt;=0,21-核心参数输入!$B$106&lt;=120),INDEX(季度计划!$D$12:$DT$12,1,MAX(1,MIN(121,21-核心参数输入!$B$106+1))),0)),0),0)</f>
        <v>0</v>
      </c>
      <c r="Z13" s="22">
        <f>IF(22&lt;=核心参数输入!$B$9*4,IF(AND(22-(核心参数输入!$B$148)&gt;=0,22-(核心参数输入!$B$148)&lt;=120),IF(COUNT(INDEX($D$22:$DT$22,1,MAX(1,MIN(121,22-(核心参数输入!$B$148)+1))))=1,INDEX($D$22:$DT$22,1,MAX(1,MIN(121,22-(核心参数输入!$B$148)+1))),IF(AND(22-核心参数输入!$B$106&gt;=0,22-核心参数输入!$B$106&lt;=120),INDEX(季度计划!$D$12:$DT$12,1,MAX(1,MIN(121,22-核心参数输入!$B$106+1))),0)),0),0)</f>
        <v>0</v>
      </c>
      <c r="AA13" s="22">
        <f>IF(23&lt;=核心参数输入!$B$9*4,IF(AND(23-(核心参数输入!$B$148)&gt;=0,23-(核心参数输入!$B$148)&lt;=120),IF(COUNT(INDEX($D$22:$DT$22,1,MAX(1,MIN(121,23-(核心参数输入!$B$148)+1))))=1,INDEX($D$22:$DT$22,1,MAX(1,MIN(121,23-(核心参数输入!$B$148)+1))),IF(AND(23-核心参数输入!$B$106&gt;=0,23-核心参数输入!$B$106&lt;=120),INDEX(季度计划!$D$12:$DT$12,1,MAX(1,MIN(121,23-核心参数输入!$B$106+1))),0)),0),0)</f>
        <v>0</v>
      </c>
      <c r="AB13" s="22">
        <f>IF(24&lt;=核心参数输入!$B$9*4,IF(AND(24-(核心参数输入!$B$148)&gt;=0,24-(核心参数输入!$B$148)&lt;=120),IF(COUNT(INDEX($D$22:$DT$22,1,MAX(1,MIN(121,24-(核心参数输入!$B$148)+1))))=1,INDEX($D$22:$DT$22,1,MAX(1,MIN(121,24-(核心参数输入!$B$148)+1))),IF(AND(24-核心参数输入!$B$106&gt;=0,24-核心参数输入!$B$106&lt;=120),INDEX(季度计划!$D$12:$DT$12,1,MAX(1,MIN(121,24-核心参数输入!$B$106+1))),0)),0),0)</f>
        <v>0</v>
      </c>
      <c r="AC13" s="22">
        <f>IF(25&lt;=核心参数输入!$B$9*4,IF(AND(25-(核心参数输入!$B$148)&gt;=0,25-(核心参数输入!$B$148)&lt;=120),IF(COUNT(INDEX($D$22:$DT$22,1,MAX(1,MIN(121,25-(核心参数输入!$B$148)+1))))=1,INDEX($D$22:$DT$22,1,MAX(1,MIN(121,25-(核心参数输入!$B$148)+1))),IF(AND(25-核心参数输入!$B$106&gt;=0,25-核心参数输入!$B$106&lt;=120),INDEX(季度计划!$D$12:$DT$12,1,MAX(1,MIN(121,25-核心参数输入!$B$106+1))),0)),0),0)</f>
        <v>0</v>
      </c>
      <c r="AD13" s="22">
        <f>IF(26&lt;=核心参数输入!$B$9*4,IF(AND(26-(核心参数输入!$B$148)&gt;=0,26-(核心参数输入!$B$148)&lt;=120),IF(COUNT(INDEX($D$22:$DT$22,1,MAX(1,MIN(121,26-(核心参数输入!$B$148)+1))))=1,INDEX($D$22:$DT$22,1,MAX(1,MIN(121,26-(核心参数输入!$B$148)+1))),IF(AND(26-核心参数输入!$B$106&gt;=0,26-核心参数输入!$B$106&lt;=120),INDEX(季度计划!$D$12:$DT$12,1,MAX(1,MIN(121,26-核心参数输入!$B$106+1))),0)),0),0)</f>
        <v>0</v>
      </c>
      <c r="AE13" s="22">
        <f>IF(27&lt;=核心参数输入!$B$9*4,IF(AND(27-(核心参数输入!$B$148)&gt;=0,27-(核心参数输入!$B$148)&lt;=120),IF(COUNT(INDEX($D$22:$DT$22,1,MAX(1,MIN(121,27-(核心参数输入!$B$148)+1))))=1,INDEX($D$22:$DT$22,1,MAX(1,MIN(121,27-(核心参数输入!$B$148)+1))),IF(AND(27-核心参数输入!$B$106&gt;=0,27-核心参数输入!$B$106&lt;=120),INDEX(季度计划!$D$12:$DT$12,1,MAX(1,MIN(121,27-核心参数输入!$B$106+1))),0)),0),0)</f>
        <v>0</v>
      </c>
      <c r="AF13" s="22">
        <f>IF(28&lt;=核心参数输入!$B$9*4,IF(AND(28-(核心参数输入!$B$148)&gt;=0,28-(核心参数输入!$B$148)&lt;=120),IF(COUNT(INDEX($D$22:$DT$22,1,MAX(1,MIN(121,28-(核心参数输入!$B$148)+1))))=1,INDEX($D$22:$DT$22,1,MAX(1,MIN(121,28-(核心参数输入!$B$148)+1))),IF(AND(28-核心参数输入!$B$106&gt;=0,28-核心参数输入!$B$106&lt;=120),INDEX(季度计划!$D$12:$DT$12,1,MAX(1,MIN(121,28-核心参数输入!$B$106+1))),0)),0),0)</f>
        <v>0</v>
      </c>
      <c r="AG13" s="22">
        <f>IF(29&lt;=核心参数输入!$B$9*4,IF(AND(29-(核心参数输入!$B$148)&gt;=0,29-(核心参数输入!$B$148)&lt;=120),IF(COUNT(INDEX($D$22:$DT$22,1,MAX(1,MIN(121,29-(核心参数输入!$B$148)+1))))=1,INDEX($D$22:$DT$22,1,MAX(1,MIN(121,29-(核心参数输入!$B$148)+1))),IF(AND(29-核心参数输入!$B$106&gt;=0,29-核心参数输入!$B$106&lt;=120),INDEX(季度计划!$D$12:$DT$12,1,MAX(1,MIN(121,29-核心参数输入!$B$106+1))),0)),0),0)</f>
        <v>0</v>
      </c>
      <c r="AH13" s="22">
        <f>IF(30&lt;=核心参数输入!$B$9*4,IF(AND(30-(核心参数输入!$B$148)&gt;=0,30-(核心参数输入!$B$148)&lt;=120),IF(COUNT(INDEX($D$22:$DT$22,1,MAX(1,MIN(121,30-(核心参数输入!$B$148)+1))))=1,INDEX($D$22:$DT$22,1,MAX(1,MIN(121,30-(核心参数输入!$B$148)+1))),IF(AND(30-核心参数输入!$B$106&gt;=0,30-核心参数输入!$B$106&lt;=120),INDEX(季度计划!$D$12:$DT$12,1,MAX(1,MIN(121,30-核心参数输入!$B$106+1))),0)),0),0)</f>
        <v>0</v>
      </c>
      <c r="AI13" s="22">
        <f>IF(31&lt;=核心参数输入!$B$9*4,IF(AND(31-(核心参数输入!$B$148)&gt;=0,31-(核心参数输入!$B$148)&lt;=120),IF(COUNT(INDEX($D$22:$DT$22,1,MAX(1,MIN(121,31-(核心参数输入!$B$148)+1))))=1,INDEX($D$22:$DT$22,1,MAX(1,MIN(121,31-(核心参数输入!$B$148)+1))),IF(AND(31-核心参数输入!$B$106&gt;=0,31-核心参数输入!$B$106&lt;=120),INDEX(季度计划!$D$12:$DT$12,1,MAX(1,MIN(121,31-核心参数输入!$B$106+1))),0)),0),0)</f>
        <v>0</v>
      </c>
      <c r="AJ13" s="22">
        <f>IF(32&lt;=核心参数输入!$B$9*4,IF(AND(32-(核心参数输入!$B$148)&gt;=0,32-(核心参数输入!$B$148)&lt;=120),IF(COUNT(INDEX($D$22:$DT$22,1,MAX(1,MIN(121,32-(核心参数输入!$B$148)+1))))=1,INDEX($D$22:$DT$22,1,MAX(1,MIN(121,32-(核心参数输入!$B$148)+1))),IF(AND(32-核心参数输入!$B$106&gt;=0,32-核心参数输入!$B$106&lt;=120),INDEX(季度计划!$D$12:$DT$12,1,MAX(1,MIN(121,32-核心参数输入!$B$106+1))),0)),0),0)</f>
        <v>0</v>
      </c>
      <c r="AK13" s="22">
        <f>IF(33&lt;=核心参数输入!$B$9*4,IF(AND(33-(核心参数输入!$B$148)&gt;=0,33-(核心参数输入!$B$148)&lt;=120),IF(COUNT(INDEX($D$22:$DT$22,1,MAX(1,MIN(121,33-(核心参数输入!$B$148)+1))))=1,INDEX($D$22:$DT$22,1,MAX(1,MIN(121,33-(核心参数输入!$B$148)+1))),IF(AND(33-核心参数输入!$B$106&gt;=0,33-核心参数输入!$B$106&lt;=120),INDEX(季度计划!$D$12:$DT$12,1,MAX(1,MIN(121,33-核心参数输入!$B$106+1))),0)),0),0)</f>
        <v>0</v>
      </c>
      <c r="AL13" s="22">
        <f>IF(34&lt;=核心参数输入!$B$9*4,IF(AND(34-(核心参数输入!$B$148)&gt;=0,34-(核心参数输入!$B$148)&lt;=120),IF(COUNT(INDEX($D$22:$DT$22,1,MAX(1,MIN(121,34-(核心参数输入!$B$148)+1))))=1,INDEX($D$22:$DT$22,1,MAX(1,MIN(121,34-(核心参数输入!$B$148)+1))),IF(AND(34-核心参数输入!$B$106&gt;=0,34-核心参数输入!$B$106&lt;=120),INDEX(季度计划!$D$12:$DT$12,1,MAX(1,MIN(121,34-核心参数输入!$B$106+1))),0)),0),0)</f>
        <v>0</v>
      </c>
      <c r="AM13" s="22">
        <f>IF(35&lt;=核心参数输入!$B$9*4,IF(AND(35-(核心参数输入!$B$148)&gt;=0,35-(核心参数输入!$B$148)&lt;=120),IF(COUNT(INDEX($D$22:$DT$22,1,MAX(1,MIN(121,35-(核心参数输入!$B$148)+1))))=1,INDEX($D$22:$DT$22,1,MAX(1,MIN(121,35-(核心参数输入!$B$148)+1))),IF(AND(35-核心参数输入!$B$106&gt;=0,35-核心参数输入!$B$106&lt;=120),INDEX(季度计划!$D$12:$DT$12,1,MAX(1,MIN(121,35-核心参数输入!$B$106+1))),0)),0),0)</f>
        <v>0</v>
      </c>
      <c r="AN13" s="22">
        <f>IF(36&lt;=核心参数输入!$B$9*4,IF(AND(36-(核心参数输入!$B$148)&gt;=0,36-(核心参数输入!$B$148)&lt;=120),IF(COUNT(INDEX($D$22:$DT$22,1,MAX(1,MIN(121,36-(核心参数输入!$B$148)+1))))=1,INDEX($D$22:$DT$22,1,MAX(1,MIN(121,36-(核心参数输入!$B$148)+1))),IF(AND(36-核心参数输入!$B$106&gt;=0,36-核心参数输入!$B$106&lt;=120),INDEX(季度计划!$D$12:$DT$12,1,MAX(1,MIN(121,36-核心参数输入!$B$106+1))),0)),0),0)</f>
        <v>0</v>
      </c>
      <c r="AO13" s="22">
        <f>IF(37&lt;=核心参数输入!$B$9*4,IF(AND(37-(核心参数输入!$B$148)&gt;=0,37-(核心参数输入!$B$148)&lt;=120),IF(COUNT(INDEX($D$22:$DT$22,1,MAX(1,MIN(121,37-(核心参数输入!$B$148)+1))))=1,INDEX($D$22:$DT$22,1,MAX(1,MIN(121,37-(核心参数输入!$B$148)+1))),IF(AND(37-核心参数输入!$B$106&gt;=0,37-核心参数输入!$B$106&lt;=120),INDEX(季度计划!$D$12:$DT$12,1,MAX(1,MIN(121,37-核心参数输入!$B$106+1))),0)),0),0)</f>
        <v>0</v>
      </c>
      <c r="AP13" s="22">
        <f>IF(38&lt;=核心参数输入!$B$9*4,IF(AND(38-(核心参数输入!$B$148)&gt;=0,38-(核心参数输入!$B$148)&lt;=120),IF(COUNT(INDEX($D$22:$DT$22,1,MAX(1,MIN(121,38-(核心参数输入!$B$148)+1))))=1,INDEX($D$22:$DT$22,1,MAX(1,MIN(121,38-(核心参数输入!$B$148)+1))),IF(AND(38-核心参数输入!$B$106&gt;=0,38-核心参数输入!$B$106&lt;=120),INDEX(季度计划!$D$12:$DT$12,1,MAX(1,MIN(121,38-核心参数输入!$B$106+1))),0)),0),0)</f>
        <v>0</v>
      </c>
      <c r="AQ13" s="22">
        <f>IF(39&lt;=核心参数输入!$B$9*4,IF(AND(39-(核心参数输入!$B$148)&gt;=0,39-(核心参数输入!$B$148)&lt;=120),IF(COUNT(INDEX($D$22:$DT$22,1,MAX(1,MIN(121,39-(核心参数输入!$B$148)+1))))=1,INDEX($D$22:$DT$22,1,MAX(1,MIN(121,39-(核心参数输入!$B$148)+1))),IF(AND(39-核心参数输入!$B$106&gt;=0,39-核心参数输入!$B$106&lt;=120),INDEX(季度计划!$D$12:$DT$12,1,MAX(1,MIN(121,39-核心参数输入!$B$106+1))),0)),0),0)</f>
        <v>0</v>
      </c>
      <c r="AR13" s="22">
        <f>IF(40&lt;=核心参数输入!$B$9*4,IF(AND(40-(核心参数输入!$B$148)&gt;=0,40-(核心参数输入!$B$148)&lt;=120),IF(COUNT(INDEX($D$22:$DT$22,1,MAX(1,MIN(121,40-(核心参数输入!$B$148)+1))))=1,INDEX($D$22:$DT$22,1,MAX(1,MIN(121,40-(核心参数输入!$B$148)+1))),IF(AND(40-核心参数输入!$B$106&gt;=0,40-核心参数输入!$B$106&lt;=120),INDEX(季度计划!$D$12:$DT$12,1,MAX(1,MIN(121,40-核心参数输入!$B$106+1))),0)),0),0)</f>
        <v>0</v>
      </c>
      <c r="AS13" s="22">
        <f>IF(41&lt;=核心参数输入!$B$9*4,IF(AND(41-(核心参数输入!$B$148)&gt;=0,41-(核心参数输入!$B$148)&lt;=120),IF(COUNT(INDEX($D$22:$DT$22,1,MAX(1,MIN(121,41-(核心参数输入!$B$148)+1))))=1,INDEX($D$22:$DT$22,1,MAX(1,MIN(121,41-(核心参数输入!$B$148)+1))),IF(AND(41-核心参数输入!$B$106&gt;=0,41-核心参数输入!$B$106&lt;=120),INDEX(季度计划!$D$12:$DT$12,1,MAX(1,MIN(121,41-核心参数输入!$B$106+1))),0)),0),0)</f>
        <v>0</v>
      </c>
      <c r="AT13" s="22">
        <f>IF(42&lt;=核心参数输入!$B$9*4,IF(AND(42-(核心参数输入!$B$148)&gt;=0,42-(核心参数输入!$B$148)&lt;=120),IF(COUNT(INDEX($D$22:$DT$22,1,MAX(1,MIN(121,42-(核心参数输入!$B$148)+1))))=1,INDEX($D$22:$DT$22,1,MAX(1,MIN(121,42-(核心参数输入!$B$148)+1))),IF(AND(42-核心参数输入!$B$106&gt;=0,42-核心参数输入!$B$106&lt;=120),INDEX(季度计划!$D$12:$DT$12,1,MAX(1,MIN(121,42-核心参数输入!$B$106+1))),0)),0),0)</f>
        <v>0</v>
      </c>
      <c r="AU13" s="22">
        <f>IF(43&lt;=核心参数输入!$B$9*4,IF(AND(43-(核心参数输入!$B$148)&gt;=0,43-(核心参数输入!$B$148)&lt;=120),IF(COUNT(INDEX($D$22:$DT$22,1,MAX(1,MIN(121,43-(核心参数输入!$B$148)+1))))=1,INDEX($D$22:$DT$22,1,MAX(1,MIN(121,43-(核心参数输入!$B$148)+1))),IF(AND(43-核心参数输入!$B$106&gt;=0,43-核心参数输入!$B$106&lt;=120),INDEX(季度计划!$D$12:$DT$12,1,MAX(1,MIN(121,43-核心参数输入!$B$106+1))),0)),0),0)</f>
        <v>0</v>
      </c>
      <c r="AV13" s="22">
        <f>IF(44&lt;=核心参数输入!$B$9*4,IF(AND(44-(核心参数输入!$B$148)&gt;=0,44-(核心参数输入!$B$148)&lt;=120),IF(COUNT(INDEX($D$22:$DT$22,1,MAX(1,MIN(121,44-(核心参数输入!$B$148)+1))))=1,INDEX($D$22:$DT$22,1,MAX(1,MIN(121,44-(核心参数输入!$B$148)+1))),IF(AND(44-核心参数输入!$B$106&gt;=0,44-核心参数输入!$B$106&lt;=120),INDEX(季度计划!$D$12:$DT$12,1,MAX(1,MIN(121,44-核心参数输入!$B$106+1))),0)),0),0)</f>
        <v>0</v>
      </c>
      <c r="AW13" s="22">
        <f>IF(45&lt;=核心参数输入!$B$9*4,IF(AND(45-(核心参数输入!$B$148)&gt;=0,45-(核心参数输入!$B$148)&lt;=120),IF(COUNT(INDEX($D$22:$DT$22,1,MAX(1,MIN(121,45-(核心参数输入!$B$148)+1))))=1,INDEX($D$22:$DT$22,1,MAX(1,MIN(121,45-(核心参数输入!$B$148)+1))),IF(AND(45-核心参数输入!$B$106&gt;=0,45-核心参数输入!$B$106&lt;=120),INDEX(季度计划!$D$12:$DT$12,1,MAX(1,MIN(121,45-核心参数输入!$B$106+1))),0)),0),0)</f>
        <v>0</v>
      </c>
      <c r="AX13" s="22">
        <f>IF(46&lt;=核心参数输入!$B$9*4,IF(AND(46-(核心参数输入!$B$148)&gt;=0,46-(核心参数输入!$B$148)&lt;=120),IF(COUNT(INDEX($D$22:$DT$22,1,MAX(1,MIN(121,46-(核心参数输入!$B$148)+1))))=1,INDEX($D$22:$DT$22,1,MAX(1,MIN(121,46-(核心参数输入!$B$148)+1))),IF(AND(46-核心参数输入!$B$106&gt;=0,46-核心参数输入!$B$106&lt;=120),INDEX(季度计划!$D$12:$DT$12,1,MAX(1,MIN(121,46-核心参数输入!$B$106+1))),0)),0),0)</f>
        <v>0</v>
      </c>
      <c r="AY13" s="22">
        <f>IF(47&lt;=核心参数输入!$B$9*4,IF(AND(47-(核心参数输入!$B$148)&gt;=0,47-(核心参数输入!$B$148)&lt;=120),IF(COUNT(INDEX($D$22:$DT$22,1,MAX(1,MIN(121,47-(核心参数输入!$B$148)+1))))=1,INDEX($D$22:$DT$22,1,MAX(1,MIN(121,47-(核心参数输入!$B$148)+1))),IF(AND(47-核心参数输入!$B$106&gt;=0,47-核心参数输入!$B$106&lt;=120),INDEX(季度计划!$D$12:$DT$12,1,MAX(1,MIN(121,47-核心参数输入!$B$106+1))),0)),0),0)</f>
        <v>0</v>
      </c>
      <c r="AZ13" s="22">
        <f>IF(48&lt;=核心参数输入!$B$9*4,IF(AND(48-(核心参数输入!$B$148)&gt;=0,48-(核心参数输入!$B$148)&lt;=120),IF(COUNT(INDEX($D$22:$DT$22,1,MAX(1,MIN(121,48-(核心参数输入!$B$148)+1))))=1,INDEX($D$22:$DT$22,1,MAX(1,MIN(121,48-(核心参数输入!$B$148)+1))),IF(AND(48-核心参数输入!$B$106&gt;=0,48-核心参数输入!$B$106&lt;=120),INDEX(季度计划!$D$12:$DT$12,1,MAX(1,MIN(121,48-核心参数输入!$B$106+1))),0)),0),0)</f>
        <v>0</v>
      </c>
      <c r="BA13" s="22">
        <f>IF(49&lt;=核心参数输入!$B$9*4,IF(AND(49-(核心参数输入!$B$148)&gt;=0,49-(核心参数输入!$B$148)&lt;=120),IF(COUNT(INDEX($D$22:$DT$22,1,MAX(1,MIN(121,49-(核心参数输入!$B$148)+1))))=1,INDEX($D$22:$DT$22,1,MAX(1,MIN(121,49-(核心参数输入!$B$148)+1))),IF(AND(49-核心参数输入!$B$106&gt;=0,49-核心参数输入!$B$106&lt;=120),INDEX(季度计划!$D$12:$DT$12,1,MAX(1,MIN(121,49-核心参数输入!$B$106+1))),0)),0),0)</f>
        <v>0</v>
      </c>
      <c r="BB13" s="22">
        <f>IF(50&lt;=核心参数输入!$B$9*4,IF(AND(50-(核心参数输入!$B$148)&gt;=0,50-(核心参数输入!$B$148)&lt;=120),IF(COUNT(INDEX($D$22:$DT$22,1,MAX(1,MIN(121,50-(核心参数输入!$B$148)+1))))=1,INDEX($D$22:$DT$22,1,MAX(1,MIN(121,50-(核心参数输入!$B$148)+1))),IF(AND(50-核心参数输入!$B$106&gt;=0,50-核心参数输入!$B$106&lt;=120),INDEX(季度计划!$D$12:$DT$12,1,MAX(1,MIN(121,50-核心参数输入!$B$106+1))),0)),0),0)</f>
        <v>0</v>
      </c>
      <c r="BC13" s="22">
        <f>IF(51&lt;=核心参数输入!$B$9*4,IF(AND(51-(核心参数输入!$B$148)&gt;=0,51-(核心参数输入!$B$148)&lt;=120),IF(COUNT(INDEX($D$22:$DT$22,1,MAX(1,MIN(121,51-(核心参数输入!$B$148)+1))))=1,INDEX($D$22:$DT$22,1,MAX(1,MIN(121,51-(核心参数输入!$B$148)+1))),IF(AND(51-核心参数输入!$B$106&gt;=0,51-核心参数输入!$B$106&lt;=120),INDEX(季度计划!$D$12:$DT$12,1,MAX(1,MIN(121,51-核心参数输入!$B$106+1))),0)),0),0)</f>
        <v>0</v>
      </c>
      <c r="BD13" s="22">
        <f>IF(52&lt;=核心参数输入!$B$9*4,IF(AND(52-(核心参数输入!$B$148)&gt;=0,52-(核心参数输入!$B$148)&lt;=120),IF(COUNT(INDEX($D$22:$DT$22,1,MAX(1,MIN(121,52-(核心参数输入!$B$148)+1))))=1,INDEX($D$22:$DT$22,1,MAX(1,MIN(121,52-(核心参数输入!$B$148)+1))),IF(AND(52-核心参数输入!$B$106&gt;=0,52-核心参数输入!$B$106&lt;=120),INDEX(季度计划!$D$12:$DT$12,1,MAX(1,MIN(121,52-核心参数输入!$B$106+1))),0)),0),0)</f>
        <v>0</v>
      </c>
      <c r="BE13" s="22">
        <f>IF(53&lt;=核心参数输入!$B$9*4,IF(AND(53-(核心参数输入!$B$148)&gt;=0,53-(核心参数输入!$B$148)&lt;=120),IF(COUNT(INDEX($D$22:$DT$22,1,MAX(1,MIN(121,53-(核心参数输入!$B$148)+1))))=1,INDEX($D$22:$DT$22,1,MAX(1,MIN(121,53-(核心参数输入!$B$148)+1))),IF(AND(53-核心参数输入!$B$106&gt;=0,53-核心参数输入!$B$106&lt;=120),INDEX(季度计划!$D$12:$DT$12,1,MAX(1,MIN(121,53-核心参数输入!$B$106+1))),0)),0),0)</f>
        <v>0</v>
      </c>
      <c r="BF13" s="22">
        <f>IF(54&lt;=核心参数输入!$B$9*4,IF(AND(54-(核心参数输入!$B$148)&gt;=0,54-(核心参数输入!$B$148)&lt;=120),IF(COUNT(INDEX($D$22:$DT$22,1,MAX(1,MIN(121,54-(核心参数输入!$B$148)+1))))=1,INDEX($D$22:$DT$22,1,MAX(1,MIN(121,54-(核心参数输入!$B$148)+1))),IF(AND(54-核心参数输入!$B$106&gt;=0,54-核心参数输入!$B$106&lt;=120),INDEX(季度计划!$D$12:$DT$12,1,MAX(1,MIN(121,54-核心参数输入!$B$106+1))),0)),0),0)</f>
        <v>0</v>
      </c>
      <c r="BG13" s="22">
        <f>IF(55&lt;=核心参数输入!$B$9*4,IF(AND(55-(核心参数输入!$B$148)&gt;=0,55-(核心参数输入!$B$148)&lt;=120),IF(COUNT(INDEX($D$22:$DT$22,1,MAX(1,MIN(121,55-(核心参数输入!$B$148)+1))))=1,INDEX($D$22:$DT$22,1,MAX(1,MIN(121,55-(核心参数输入!$B$148)+1))),IF(AND(55-核心参数输入!$B$106&gt;=0,55-核心参数输入!$B$106&lt;=120),INDEX(季度计划!$D$12:$DT$12,1,MAX(1,MIN(121,55-核心参数输入!$B$106+1))),0)),0),0)</f>
        <v>0</v>
      </c>
      <c r="BH13" s="22">
        <f>IF(56&lt;=核心参数输入!$B$9*4,IF(AND(56-(核心参数输入!$B$148)&gt;=0,56-(核心参数输入!$B$148)&lt;=120),IF(COUNT(INDEX($D$22:$DT$22,1,MAX(1,MIN(121,56-(核心参数输入!$B$148)+1))))=1,INDEX($D$22:$DT$22,1,MAX(1,MIN(121,56-(核心参数输入!$B$148)+1))),IF(AND(56-核心参数输入!$B$106&gt;=0,56-核心参数输入!$B$106&lt;=120),INDEX(季度计划!$D$12:$DT$12,1,MAX(1,MIN(121,56-核心参数输入!$B$106+1))),0)),0),0)</f>
        <v>0</v>
      </c>
      <c r="BI13" s="22">
        <f>IF(57&lt;=核心参数输入!$B$9*4,IF(AND(57-(核心参数输入!$B$148)&gt;=0,57-(核心参数输入!$B$148)&lt;=120),IF(COUNT(INDEX($D$22:$DT$22,1,MAX(1,MIN(121,57-(核心参数输入!$B$148)+1))))=1,INDEX($D$22:$DT$22,1,MAX(1,MIN(121,57-(核心参数输入!$B$148)+1))),IF(AND(57-核心参数输入!$B$106&gt;=0,57-核心参数输入!$B$106&lt;=120),INDEX(季度计划!$D$12:$DT$12,1,MAX(1,MIN(121,57-核心参数输入!$B$106+1))),0)),0),0)</f>
        <v>0</v>
      </c>
      <c r="BJ13" s="22">
        <f>IF(58&lt;=核心参数输入!$B$9*4,IF(AND(58-(核心参数输入!$B$148)&gt;=0,58-(核心参数输入!$B$148)&lt;=120),IF(COUNT(INDEX($D$22:$DT$22,1,MAX(1,MIN(121,58-(核心参数输入!$B$148)+1))))=1,INDEX($D$22:$DT$22,1,MAX(1,MIN(121,58-(核心参数输入!$B$148)+1))),IF(AND(58-核心参数输入!$B$106&gt;=0,58-核心参数输入!$B$106&lt;=120),INDEX(季度计划!$D$12:$DT$12,1,MAX(1,MIN(121,58-核心参数输入!$B$106+1))),0)),0),0)</f>
        <v>0</v>
      </c>
      <c r="BK13" s="22">
        <f>IF(59&lt;=核心参数输入!$B$9*4,IF(AND(59-(核心参数输入!$B$148)&gt;=0,59-(核心参数输入!$B$148)&lt;=120),IF(COUNT(INDEX($D$22:$DT$22,1,MAX(1,MIN(121,59-(核心参数输入!$B$148)+1))))=1,INDEX($D$22:$DT$22,1,MAX(1,MIN(121,59-(核心参数输入!$B$148)+1))),IF(AND(59-核心参数输入!$B$106&gt;=0,59-核心参数输入!$B$106&lt;=120),INDEX(季度计划!$D$12:$DT$12,1,MAX(1,MIN(121,59-核心参数输入!$B$106+1))),0)),0),0)</f>
        <v>0</v>
      </c>
      <c r="BL13" s="22">
        <f>IF(60&lt;=核心参数输入!$B$9*4,IF(AND(60-(核心参数输入!$B$148)&gt;=0,60-(核心参数输入!$B$148)&lt;=120),IF(COUNT(INDEX($D$22:$DT$22,1,MAX(1,MIN(121,60-(核心参数输入!$B$148)+1))))=1,INDEX($D$22:$DT$22,1,MAX(1,MIN(121,60-(核心参数输入!$B$148)+1))),IF(AND(60-核心参数输入!$B$106&gt;=0,60-核心参数输入!$B$106&lt;=120),INDEX(季度计划!$D$12:$DT$12,1,MAX(1,MIN(121,60-核心参数输入!$B$106+1))),0)),0),0)</f>
        <v>0</v>
      </c>
      <c r="BM13" s="22">
        <f>IF(61&lt;=核心参数输入!$B$9*4,IF(AND(61-(核心参数输入!$B$148)&gt;=0,61-(核心参数输入!$B$148)&lt;=120),IF(COUNT(INDEX($D$22:$DT$22,1,MAX(1,MIN(121,61-(核心参数输入!$B$148)+1))))=1,INDEX($D$22:$DT$22,1,MAX(1,MIN(121,61-(核心参数输入!$B$148)+1))),IF(AND(61-核心参数输入!$B$106&gt;=0,61-核心参数输入!$B$106&lt;=120),INDEX(季度计划!$D$12:$DT$12,1,MAX(1,MIN(121,61-核心参数输入!$B$106+1))),0)),0),0)</f>
        <v>0</v>
      </c>
      <c r="BN13" s="22">
        <f>IF(62&lt;=核心参数输入!$B$9*4,IF(AND(62-(核心参数输入!$B$148)&gt;=0,62-(核心参数输入!$B$148)&lt;=120),IF(COUNT(INDEX($D$22:$DT$22,1,MAX(1,MIN(121,62-(核心参数输入!$B$148)+1))))=1,INDEX($D$22:$DT$22,1,MAX(1,MIN(121,62-(核心参数输入!$B$148)+1))),IF(AND(62-核心参数输入!$B$106&gt;=0,62-核心参数输入!$B$106&lt;=120),INDEX(季度计划!$D$12:$DT$12,1,MAX(1,MIN(121,62-核心参数输入!$B$106+1))),0)),0),0)</f>
        <v>0</v>
      </c>
      <c r="BO13" s="22">
        <f>IF(63&lt;=核心参数输入!$B$9*4,IF(AND(63-(核心参数输入!$B$148)&gt;=0,63-(核心参数输入!$B$148)&lt;=120),IF(COUNT(INDEX($D$22:$DT$22,1,MAX(1,MIN(121,63-(核心参数输入!$B$148)+1))))=1,INDEX($D$22:$DT$22,1,MAX(1,MIN(121,63-(核心参数输入!$B$148)+1))),IF(AND(63-核心参数输入!$B$106&gt;=0,63-核心参数输入!$B$106&lt;=120),INDEX(季度计划!$D$12:$DT$12,1,MAX(1,MIN(121,63-核心参数输入!$B$106+1))),0)),0),0)</f>
        <v>0</v>
      </c>
      <c r="BP13" s="22">
        <f>IF(64&lt;=核心参数输入!$B$9*4,IF(AND(64-(核心参数输入!$B$148)&gt;=0,64-(核心参数输入!$B$148)&lt;=120),IF(COUNT(INDEX($D$22:$DT$22,1,MAX(1,MIN(121,64-(核心参数输入!$B$148)+1))))=1,INDEX($D$22:$DT$22,1,MAX(1,MIN(121,64-(核心参数输入!$B$148)+1))),IF(AND(64-核心参数输入!$B$106&gt;=0,64-核心参数输入!$B$106&lt;=120),INDEX(季度计划!$D$12:$DT$12,1,MAX(1,MIN(121,64-核心参数输入!$B$106+1))),0)),0),0)</f>
        <v>0</v>
      </c>
      <c r="BQ13" s="22">
        <f>IF(65&lt;=核心参数输入!$B$9*4,IF(AND(65-(核心参数输入!$B$148)&gt;=0,65-(核心参数输入!$B$148)&lt;=120),IF(COUNT(INDEX($D$22:$DT$22,1,MAX(1,MIN(121,65-(核心参数输入!$B$148)+1))))=1,INDEX($D$22:$DT$22,1,MAX(1,MIN(121,65-(核心参数输入!$B$148)+1))),IF(AND(65-核心参数输入!$B$106&gt;=0,65-核心参数输入!$B$106&lt;=120),INDEX(季度计划!$D$12:$DT$12,1,MAX(1,MIN(121,65-核心参数输入!$B$106+1))),0)),0),0)</f>
        <v>0</v>
      </c>
      <c r="BR13" s="22">
        <f>IF(66&lt;=核心参数输入!$B$9*4,IF(AND(66-(核心参数输入!$B$148)&gt;=0,66-(核心参数输入!$B$148)&lt;=120),IF(COUNT(INDEX($D$22:$DT$22,1,MAX(1,MIN(121,66-(核心参数输入!$B$148)+1))))=1,INDEX($D$22:$DT$22,1,MAX(1,MIN(121,66-(核心参数输入!$B$148)+1))),IF(AND(66-核心参数输入!$B$106&gt;=0,66-核心参数输入!$B$106&lt;=120),INDEX(季度计划!$D$12:$DT$12,1,MAX(1,MIN(121,66-核心参数输入!$B$106+1))),0)),0),0)</f>
        <v>0</v>
      </c>
      <c r="BS13" s="22">
        <f>IF(67&lt;=核心参数输入!$B$9*4,IF(AND(67-(核心参数输入!$B$148)&gt;=0,67-(核心参数输入!$B$148)&lt;=120),IF(COUNT(INDEX($D$22:$DT$22,1,MAX(1,MIN(121,67-(核心参数输入!$B$148)+1))))=1,INDEX($D$22:$DT$22,1,MAX(1,MIN(121,67-(核心参数输入!$B$148)+1))),IF(AND(67-核心参数输入!$B$106&gt;=0,67-核心参数输入!$B$106&lt;=120),INDEX(季度计划!$D$12:$DT$12,1,MAX(1,MIN(121,67-核心参数输入!$B$106+1))),0)),0),0)</f>
        <v>0</v>
      </c>
      <c r="BT13" s="22">
        <f>IF(68&lt;=核心参数输入!$B$9*4,IF(AND(68-(核心参数输入!$B$148)&gt;=0,68-(核心参数输入!$B$148)&lt;=120),IF(COUNT(INDEX($D$22:$DT$22,1,MAX(1,MIN(121,68-(核心参数输入!$B$148)+1))))=1,INDEX($D$22:$DT$22,1,MAX(1,MIN(121,68-(核心参数输入!$B$148)+1))),IF(AND(68-核心参数输入!$B$106&gt;=0,68-核心参数输入!$B$106&lt;=120),INDEX(季度计划!$D$12:$DT$12,1,MAX(1,MIN(121,68-核心参数输入!$B$106+1))),0)),0),0)</f>
        <v>0</v>
      </c>
      <c r="BU13" s="22">
        <f>IF(69&lt;=核心参数输入!$B$9*4,IF(AND(69-(核心参数输入!$B$148)&gt;=0,69-(核心参数输入!$B$148)&lt;=120),IF(COUNT(INDEX($D$22:$DT$22,1,MAX(1,MIN(121,69-(核心参数输入!$B$148)+1))))=1,INDEX($D$22:$DT$22,1,MAX(1,MIN(121,69-(核心参数输入!$B$148)+1))),IF(AND(69-核心参数输入!$B$106&gt;=0,69-核心参数输入!$B$106&lt;=120),INDEX(季度计划!$D$12:$DT$12,1,MAX(1,MIN(121,69-核心参数输入!$B$106+1))),0)),0),0)</f>
        <v>0</v>
      </c>
      <c r="BV13" s="22">
        <f>IF(70&lt;=核心参数输入!$B$9*4,IF(AND(70-(核心参数输入!$B$148)&gt;=0,70-(核心参数输入!$B$148)&lt;=120),IF(COUNT(INDEX($D$22:$DT$22,1,MAX(1,MIN(121,70-(核心参数输入!$B$148)+1))))=1,INDEX($D$22:$DT$22,1,MAX(1,MIN(121,70-(核心参数输入!$B$148)+1))),IF(AND(70-核心参数输入!$B$106&gt;=0,70-核心参数输入!$B$106&lt;=120),INDEX(季度计划!$D$12:$DT$12,1,MAX(1,MIN(121,70-核心参数输入!$B$106+1))),0)),0),0)</f>
        <v>0</v>
      </c>
      <c r="BW13" s="22">
        <f>IF(71&lt;=核心参数输入!$B$9*4,IF(AND(71-(核心参数输入!$B$148)&gt;=0,71-(核心参数输入!$B$148)&lt;=120),IF(COUNT(INDEX($D$22:$DT$22,1,MAX(1,MIN(121,71-(核心参数输入!$B$148)+1))))=1,INDEX($D$22:$DT$22,1,MAX(1,MIN(121,71-(核心参数输入!$B$148)+1))),IF(AND(71-核心参数输入!$B$106&gt;=0,71-核心参数输入!$B$106&lt;=120),INDEX(季度计划!$D$12:$DT$12,1,MAX(1,MIN(121,71-核心参数输入!$B$106+1))),0)),0),0)</f>
        <v>0</v>
      </c>
      <c r="BX13" s="22">
        <f>IF(72&lt;=核心参数输入!$B$9*4,IF(AND(72-(核心参数输入!$B$148)&gt;=0,72-(核心参数输入!$B$148)&lt;=120),IF(COUNT(INDEX($D$22:$DT$22,1,MAX(1,MIN(121,72-(核心参数输入!$B$148)+1))))=1,INDEX($D$22:$DT$22,1,MAX(1,MIN(121,72-(核心参数输入!$B$148)+1))),IF(AND(72-核心参数输入!$B$106&gt;=0,72-核心参数输入!$B$106&lt;=120),INDEX(季度计划!$D$12:$DT$12,1,MAX(1,MIN(121,72-核心参数输入!$B$106+1))),0)),0),0)</f>
        <v>0</v>
      </c>
      <c r="BY13" s="22">
        <f>IF(73&lt;=核心参数输入!$B$9*4,IF(AND(73-(核心参数输入!$B$148)&gt;=0,73-(核心参数输入!$B$148)&lt;=120),IF(COUNT(INDEX($D$22:$DT$22,1,MAX(1,MIN(121,73-(核心参数输入!$B$148)+1))))=1,INDEX($D$22:$DT$22,1,MAX(1,MIN(121,73-(核心参数输入!$B$148)+1))),IF(AND(73-核心参数输入!$B$106&gt;=0,73-核心参数输入!$B$106&lt;=120),INDEX(季度计划!$D$12:$DT$12,1,MAX(1,MIN(121,73-核心参数输入!$B$106+1))),0)),0),0)</f>
        <v>0</v>
      </c>
      <c r="BZ13" s="22">
        <f>IF(74&lt;=核心参数输入!$B$9*4,IF(AND(74-(核心参数输入!$B$148)&gt;=0,74-(核心参数输入!$B$148)&lt;=120),IF(COUNT(INDEX($D$22:$DT$22,1,MAX(1,MIN(121,74-(核心参数输入!$B$148)+1))))=1,INDEX($D$22:$DT$22,1,MAX(1,MIN(121,74-(核心参数输入!$B$148)+1))),IF(AND(74-核心参数输入!$B$106&gt;=0,74-核心参数输入!$B$106&lt;=120),INDEX(季度计划!$D$12:$DT$12,1,MAX(1,MIN(121,74-核心参数输入!$B$106+1))),0)),0),0)</f>
        <v>0</v>
      </c>
      <c r="CA13" s="22">
        <f>IF(75&lt;=核心参数输入!$B$9*4,IF(AND(75-(核心参数输入!$B$148)&gt;=0,75-(核心参数输入!$B$148)&lt;=120),IF(COUNT(INDEX($D$22:$DT$22,1,MAX(1,MIN(121,75-(核心参数输入!$B$148)+1))))=1,INDEX($D$22:$DT$22,1,MAX(1,MIN(121,75-(核心参数输入!$B$148)+1))),IF(AND(75-核心参数输入!$B$106&gt;=0,75-核心参数输入!$B$106&lt;=120),INDEX(季度计划!$D$12:$DT$12,1,MAX(1,MIN(121,75-核心参数输入!$B$106+1))),0)),0),0)</f>
        <v>0</v>
      </c>
      <c r="CB13" s="22">
        <f>IF(76&lt;=核心参数输入!$B$9*4,IF(AND(76-(核心参数输入!$B$148)&gt;=0,76-(核心参数输入!$B$148)&lt;=120),IF(COUNT(INDEX($D$22:$DT$22,1,MAX(1,MIN(121,76-(核心参数输入!$B$148)+1))))=1,INDEX($D$22:$DT$22,1,MAX(1,MIN(121,76-(核心参数输入!$B$148)+1))),IF(AND(76-核心参数输入!$B$106&gt;=0,76-核心参数输入!$B$106&lt;=120),INDEX(季度计划!$D$12:$DT$12,1,MAX(1,MIN(121,76-核心参数输入!$B$106+1))),0)),0),0)</f>
        <v>0</v>
      </c>
      <c r="CC13" s="22">
        <f>IF(77&lt;=核心参数输入!$B$9*4,IF(AND(77-(核心参数输入!$B$148)&gt;=0,77-(核心参数输入!$B$148)&lt;=120),IF(COUNT(INDEX($D$22:$DT$22,1,MAX(1,MIN(121,77-(核心参数输入!$B$148)+1))))=1,INDEX($D$22:$DT$22,1,MAX(1,MIN(121,77-(核心参数输入!$B$148)+1))),IF(AND(77-核心参数输入!$B$106&gt;=0,77-核心参数输入!$B$106&lt;=120),INDEX(季度计划!$D$12:$DT$12,1,MAX(1,MIN(121,77-核心参数输入!$B$106+1))),0)),0),0)</f>
        <v>0</v>
      </c>
      <c r="CD13" s="22">
        <f>IF(78&lt;=核心参数输入!$B$9*4,IF(AND(78-(核心参数输入!$B$148)&gt;=0,78-(核心参数输入!$B$148)&lt;=120),IF(COUNT(INDEX($D$22:$DT$22,1,MAX(1,MIN(121,78-(核心参数输入!$B$148)+1))))=1,INDEX($D$22:$DT$22,1,MAX(1,MIN(121,78-(核心参数输入!$B$148)+1))),IF(AND(78-核心参数输入!$B$106&gt;=0,78-核心参数输入!$B$106&lt;=120),INDEX(季度计划!$D$12:$DT$12,1,MAX(1,MIN(121,78-核心参数输入!$B$106+1))),0)),0),0)</f>
        <v>0</v>
      </c>
      <c r="CE13" s="22">
        <f>IF(79&lt;=核心参数输入!$B$9*4,IF(AND(79-(核心参数输入!$B$148)&gt;=0,79-(核心参数输入!$B$148)&lt;=120),IF(COUNT(INDEX($D$22:$DT$22,1,MAX(1,MIN(121,79-(核心参数输入!$B$148)+1))))=1,INDEX($D$22:$DT$22,1,MAX(1,MIN(121,79-(核心参数输入!$B$148)+1))),IF(AND(79-核心参数输入!$B$106&gt;=0,79-核心参数输入!$B$106&lt;=120),INDEX(季度计划!$D$12:$DT$12,1,MAX(1,MIN(121,79-核心参数输入!$B$106+1))),0)),0),0)</f>
        <v>0</v>
      </c>
      <c r="CF13" s="22">
        <f>IF(80&lt;=核心参数输入!$B$9*4,IF(AND(80-(核心参数输入!$B$148)&gt;=0,80-(核心参数输入!$B$148)&lt;=120),IF(COUNT(INDEX($D$22:$DT$22,1,MAX(1,MIN(121,80-(核心参数输入!$B$148)+1))))=1,INDEX($D$22:$DT$22,1,MAX(1,MIN(121,80-(核心参数输入!$B$148)+1))),IF(AND(80-核心参数输入!$B$106&gt;=0,80-核心参数输入!$B$106&lt;=120),INDEX(季度计划!$D$12:$DT$12,1,MAX(1,MIN(121,80-核心参数输入!$B$106+1))),0)),0),0)</f>
        <v>0</v>
      </c>
      <c r="CG13" s="22">
        <f>IF(81&lt;=核心参数输入!$B$9*4,IF(AND(81-(核心参数输入!$B$148)&gt;=0,81-(核心参数输入!$B$148)&lt;=120),IF(COUNT(INDEX($D$22:$DT$22,1,MAX(1,MIN(121,81-(核心参数输入!$B$148)+1))))=1,INDEX($D$22:$DT$22,1,MAX(1,MIN(121,81-(核心参数输入!$B$148)+1))),IF(AND(81-核心参数输入!$B$106&gt;=0,81-核心参数输入!$B$106&lt;=120),INDEX(季度计划!$D$12:$DT$12,1,MAX(1,MIN(121,81-核心参数输入!$B$106+1))),0)),0),0)</f>
        <v>0</v>
      </c>
      <c r="CH13" s="22">
        <f>IF(82&lt;=核心参数输入!$B$9*4,IF(AND(82-(核心参数输入!$B$148)&gt;=0,82-(核心参数输入!$B$148)&lt;=120),IF(COUNT(INDEX($D$22:$DT$22,1,MAX(1,MIN(121,82-(核心参数输入!$B$148)+1))))=1,INDEX($D$22:$DT$22,1,MAX(1,MIN(121,82-(核心参数输入!$B$148)+1))),IF(AND(82-核心参数输入!$B$106&gt;=0,82-核心参数输入!$B$106&lt;=120),INDEX(季度计划!$D$12:$DT$12,1,MAX(1,MIN(121,82-核心参数输入!$B$106+1))),0)),0),0)</f>
        <v>0</v>
      </c>
      <c r="CI13" s="22">
        <f>IF(83&lt;=核心参数输入!$B$9*4,IF(AND(83-(核心参数输入!$B$148)&gt;=0,83-(核心参数输入!$B$148)&lt;=120),IF(COUNT(INDEX($D$22:$DT$22,1,MAX(1,MIN(121,83-(核心参数输入!$B$148)+1))))=1,INDEX($D$22:$DT$22,1,MAX(1,MIN(121,83-(核心参数输入!$B$148)+1))),IF(AND(83-核心参数输入!$B$106&gt;=0,83-核心参数输入!$B$106&lt;=120),INDEX(季度计划!$D$12:$DT$12,1,MAX(1,MIN(121,83-核心参数输入!$B$106+1))),0)),0),0)</f>
        <v>0</v>
      </c>
      <c r="CJ13" s="22">
        <f>IF(84&lt;=核心参数输入!$B$9*4,IF(AND(84-(核心参数输入!$B$148)&gt;=0,84-(核心参数输入!$B$148)&lt;=120),IF(COUNT(INDEX($D$22:$DT$22,1,MAX(1,MIN(121,84-(核心参数输入!$B$148)+1))))=1,INDEX($D$22:$DT$22,1,MAX(1,MIN(121,84-(核心参数输入!$B$148)+1))),IF(AND(84-核心参数输入!$B$106&gt;=0,84-核心参数输入!$B$106&lt;=120),INDEX(季度计划!$D$12:$DT$12,1,MAX(1,MIN(121,84-核心参数输入!$B$106+1))),0)),0),0)</f>
        <v>0</v>
      </c>
      <c r="CK13" s="22">
        <f>IF(85&lt;=核心参数输入!$B$9*4,IF(AND(85-(核心参数输入!$B$148)&gt;=0,85-(核心参数输入!$B$148)&lt;=120),IF(COUNT(INDEX($D$22:$DT$22,1,MAX(1,MIN(121,85-(核心参数输入!$B$148)+1))))=1,INDEX($D$22:$DT$22,1,MAX(1,MIN(121,85-(核心参数输入!$B$148)+1))),IF(AND(85-核心参数输入!$B$106&gt;=0,85-核心参数输入!$B$106&lt;=120),INDEX(季度计划!$D$12:$DT$12,1,MAX(1,MIN(121,85-核心参数输入!$B$106+1))),0)),0),0)</f>
        <v>0</v>
      </c>
      <c r="CL13" s="22">
        <f>IF(86&lt;=核心参数输入!$B$9*4,IF(AND(86-(核心参数输入!$B$148)&gt;=0,86-(核心参数输入!$B$148)&lt;=120),IF(COUNT(INDEX($D$22:$DT$22,1,MAX(1,MIN(121,86-(核心参数输入!$B$148)+1))))=1,INDEX($D$22:$DT$22,1,MAX(1,MIN(121,86-(核心参数输入!$B$148)+1))),IF(AND(86-核心参数输入!$B$106&gt;=0,86-核心参数输入!$B$106&lt;=120),INDEX(季度计划!$D$12:$DT$12,1,MAX(1,MIN(121,86-核心参数输入!$B$106+1))),0)),0),0)</f>
        <v>0</v>
      </c>
      <c r="CM13" s="22">
        <f>IF(87&lt;=核心参数输入!$B$9*4,IF(AND(87-(核心参数输入!$B$148)&gt;=0,87-(核心参数输入!$B$148)&lt;=120),IF(COUNT(INDEX($D$22:$DT$22,1,MAX(1,MIN(121,87-(核心参数输入!$B$148)+1))))=1,INDEX($D$22:$DT$22,1,MAX(1,MIN(121,87-(核心参数输入!$B$148)+1))),IF(AND(87-核心参数输入!$B$106&gt;=0,87-核心参数输入!$B$106&lt;=120),INDEX(季度计划!$D$12:$DT$12,1,MAX(1,MIN(121,87-核心参数输入!$B$106+1))),0)),0),0)</f>
        <v>0</v>
      </c>
      <c r="CN13" s="22">
        <f>IF(88&lt;=核心参数输入!$B$9*4,IF(AND(88-(核心参数输入!$B$148)&gt;=0,88-(核心参数输入!$B$148)&lt;=120),IF(COUNT(INDEX($D$22:$DT$22,1,MAX(1,MIN(121,88-(核心参数输入!$B$148)+1))))=1,INDEX($D$22:$DT$22,1,MAX(1,MIN(121,88-(核心参数输入!$B$148)+1))),IF(AND(88-核心参数输入!$B$106&gt;=0,88-核心参数输入!$B$106&lt;=120),INDEX(季度计划!$D$12:$DT$12,1,MAX(1,MIN(121,88-核心参数输入!$B$106+1))),0)),0),0)</f>
        <v>0</v>
      </c>
      <c r="CO13" s="22">
        <f>IF(89&lt;=核心参数输入!$B$9*4,IF(AND(89-(核心参数输入!$B$148)&gt;=0,89-(核心参数输入!$B$148)&lt;=120),IF(COUNT(INDEX($D$22:$DT$22,1,MAX(1,MIN(121,89-(核心参数输入!$B$148)+1))))=1,INDEX($D$22:$DT$22,1,MAX(1,MIN(121,89-(核心参数输入!$B$148)+1))),IF(AND(89-核心参数输入!$B$106&gt;=0,89-核心参数输入!$B$106&lt;=120),INDEX(季度计划!$D$12:$DT$12,1,MAX(1,MIN(121,89-核心参数输入!$B$106+1))),0)),0),0)</f>
        <v>0</v>
      </c>
      <c r="CP13" s="22">
        <f>IF(90&lt;=核心参数输入!$B$9*4,IF(AND(90-(核心参数输入!$B$148)&gt;=0,90-(核心参数输入!$B$148)&lt;=120),IF(COUNT(INDEX($D$22:$DT$22,1,MAX(1,MIN(121,90-(核心参数输入!$B$148)+1))))=1,INDEX($D$22:$DT$22,1,MAX(1,MIN(121,90-(核心参数输入!$B$148)+1))),IF(AND(90-核心参数输入!$B$106&gt;=0,90-核心参数输入!$B$106&lt;=120),INDEX(季度计划!$D$12:$DT$12,1,MAX(1,MIN(121,90-核心参数输入!$B$106+1))),0)),0),0)</f>
        <v>0</v>
      </c>
      <c r="CQ13" s="22">
        <f>IF(91&lt;=核心参数输入!$B$9*4,IF(AND(91-(核心参数输入!$B$148)&gt;=0,91-(核心参数输入!$B$148)&lt;=120),IF(COUNT(INDEX($D$22:$DT$22,1,MAX(1,MIN(121,91-(核心参数输入!$B$148)+1))))=1,INDEX($D$22:$DT$22,1,MAX(1,MIN(121,91-(核心参数输入!$B$148)+1))),IF(AND(91-核心参数输入!$B$106&gt;=0,91-核心参数输入!$B$106&lt;=120),INDEX(季度计划!$D$12:$DT$12,1,MAX(1,MIN(121,91-核心参数输入!$B$106+1))),0)),0),0)</f>
        <v>0</v>
      </c>
      <c r="CR13" s="22">
        <f>IF(92&lt;=核心参数输入!$B$9*4,IF(AND(92-(核心参数输入!$B$148)&gt;=0,92-(核心参数输入!$B$148)&lt;=120),IF(COUNT(INDEX($D$22:$DT$22,1,MAX(1,MIN(121,92-(核心参数输入!$B$148)+1))))=1,INDEX($D$22:$DT$22,1,MAX(1,MIN(121,92-(核心参数输入!$B$148)+1))),IF(AND(92-核心参数输入!$B$106&gt;=0,92-核心参数输入!$B$106&lt;=120),INDEX(季度计划!$D$12:$DT$12,1,MAX(1,MIN(121,92-核心参数输入!$B$106+1))),0)),0),0)</f>
        <v>0</v>
      </c>
      <c r="CS13" s="22">
        <f>IF(93&lt;=核心参数输入!$B$9*4,IF(AND(93-(核心参数输入!$B$148)&gt;=0,93-(核心参数输入!$B$148)&lt;=120),IF(COUNT(INDEX($D$22:$DT$22,1,MAX(1,MIN(121,93-(核心参数输入!$B$148)+1))))=1,INDEX($D$22:$DT$22,1,MAX(1,MIN(121,93-(核心参数输入!$B$148)+1))),IF(AND(93-核心参数输入!$B$106&gt;=0,93-核心参数输入!$B$106&lt;=120),INDEX(季度计划!$D$12:$DT$12,1,MAX(1,MIN(121,93-核心参数输入!$B$106+1))),0)),0),0)</f>
        <v>0</v>
      </c>
      <c r="CT13" s="22">
        <f>IF(94&lt;=核心参数输入!$B$9*4,IF(AND(94-(核心参数输入!$B$148)&gt;=0,94-(核心参数输入!$B$148)&lt;=120),IF(COUNT(INDEX($D$22:$DT$22,1,MAX(1,MIN(121,94-(核心参数输入!$B$148)+1))))=1,INDEX($D$22:$DT$22,1,MAX(1,MIN(121,94-(核心参数输入!$B$148)+1))),IF(AND(94-核心参数输入!$B$106&gt;=0,94-核心参数输入!$B$106&lt;=120),INDEX(季度计划!$D$12:$DT$12,1,MAX(1,MIN(121,94-核心参数输入!$B$106+1))),0)),0),0)</f>
        <v>0</v>
      </c>
      <c r="CU13" s="22">
        <f>IF(95&lt;=核心参数输入!$B$9*4,IF(AND(95-(核心参数输入!$B$148)&gt;=0,95-(核心参数输入!$B$148)&lt;=120),IF(COUNT(INDEX($D$22:$DT$22,1,MAX(1,MIN(121,95-(核心参数输入!$B$148)+1))))=1,INDEX($D$22:$DT$22,1,MAX(1,MIN(121,95-(核心参数输入!$B$148)+1))),IF(AND(95-核心参数输入!$B$106&gt;=0,95-核心参数输入!$B$106&lt;=120),INDEX(季度计划!$D$12:$DT$12,1,MAX(1,MIN(121,95-核心参数输入!$B$106+1))),0)),0),0)</f>
        <v>0</v>
      </c>
      <c r="CV13" s="22">
        <f>IF(96&lt;=核心参数输入!$B$9*4,IF(AND(96-(核心参数输入!$B$148)&gt;=0,96-(核心参数输入!$B$148)&lt;=120),IF(COUNT(INDEX($D$22:$DT$22,1,MAX(1,MIN(121,96-(核心参数输入!$B$148)+1))))=1,INDEX($D$22:$DT$22,1,MAX(1,MIN(121,96-(核心参数输入!$B$148)+1))),IF(AND(96-核心参数输入!$B$106&gt;=0,96-核心参数输入!$B$106&lt;=120),INDEX(季度计划!$D$12:$DT$12,1,MAX(1,MIN(121,96-核心参数输入!$B$106+1))),0)),0),0)</f>
        <v>0</v>
      </c>
      <c r="CW13" s="22">
        <f>IF(97&lt;=核心参数输入!$B$9*4,IF(AND(97-(核心参数输入!$B$148)&gt;=0,97-(核心参数输入!$B$148)&lt;=120),IF(COUNT(INDEX($D$22:$DT$22,1,MAX(1,MIN(121,97-(核心参数输入!$B$148)+1))))=1,INDEX($D$22:$DT$22,1,MAX(1,MIN(121,97-(核心参数输入!$B$148)+1))),IF(AND(97-核心参数输入!$B$106&gt;=0,97-核心参数输入!$B$106&lt;=120),INDEX(季度计划!$D$12:$DT$12,1,MAX(1,MIN(121,97-核心参数输入!$B$106+1))),0)),0),0)</f>
        <v>0</v>
      </c>
      <c r="CX13" s="22">
        <f>IF(98&lt;=核心参数输入!$B$9*4,IF(AND(98-(核心参数输入!$B$148)&gt;=0,98-(核心参数输入!$B$148)&lt;=120),IF(COUNT(INDEX($D$22:$DT$22,1,MAX(1,MIN(121,98-(核心参数输入!$B$148)+1))))=1,INDEX($D$22:$DT$22,1,MAX(1,MIN(121,98-(核心参数输入!$B$148)+1))),IF(AND(98-核心参数输入!$B$106&gt;=0,98-核心参数输入!$B$106&lt;=120),INDEX(季度计划!$D$12:$DT$12,1,MAX(1,MIN(121,98-核心参数输入!$B$106+1))),0)),0),0)</f>
        <v>0</v>
      </c>
      <c r="CY13" s="22">
        <f>IF(99&lt;=核心参数输入!$B$9*4,IF(AND(99-(核心参数输入!$B$148)&gt;=0,99-(核心参数输入!$B$148)&lt;=120),IF(COUNT(INDEX($D$22:$DT$22,1,MAX(1,MIN(121,99-(核心参数输入!$B$148)+1))))=1,INDEX($D$22:$DT$22,1,MAX(1,MIN(121,99-(核心参数输入!$B$148)+1))),IF(AND(99-核心参数输入!$B$106&gt;=0,99-核心参数输入!$B$106&lt;=120),INDEX(季度计划!$D$12:$DT$12,1,MAX(1,MIN(121,99-核心参数输入!$B$106+1))),0)),0),0)</f>
        <v>0</v>
      </c>
      <c r="CZ13" s="22">
        <f>IF(100&lt;=核心参数输入!$B$9*4,IF(AND(100-(核心参数输入!$B$148)&gt;=0,100-(核心参数输入!$B$148)&lt;=120),IF(COUNT(INDEX($D$22:$DT$22,1,MAX(1,MIN(121,100-(核心参数输入!$B$148)+1))))=1,INDEX($D$22:$DT$22,1,MAX(1,MIN(121,100-(核心参数输入!$B$148)+1))),IF(AND(100-核心参数输入!$B$106&gt;=0,100-核心参数输入!$B$106&lt;=120),INDEX(季度计划!$D$12:$DT$12,1,MAX(1,MIN(121,100-核心参数输入!$B$106+1))),0)),0),0)</f>
        <v>0</v>
      </c>
      <c r="DA13" s="22">
        <f>IF(101&lt;=核心参数输入!$B$9*4,IF(AND(101-(核心参数输入!$B$148)&gt;=0,101-(核心参数输入!$B$148)&lt;=120),IF(COUNT(INDEX($D$22:$DT$22,1,MAX(1,MIN(121,101-(核心参数输入!$B$148)+1))))=1,INDEX($D$22:$DT$22,1,MAX(1,MIN(121,101-(核心参数输入!$B$148)+1))),IF(AND(101-核心参数输入!$B$106&gt;=0,101-核心参数输入!$B$106&lt;=120),INDEX(季度计划!$D$12:$DT$12,1,MAX(1,MIN(121,101-核心参数输入!$B$106+1))),0)),0),0)</f>
        <v>0</v>
      </c>
      <c r="DB13" s="22">
        <f>IF(102&lt;=核心参数输入!$B$9*4,IF(AND(102-(核心参数输入!$B$148)&gt;=0,102-(核心参数输入!$B$148)&lt;=120),IF(COUNT(INDEX($D$22:$DT$22,1,MAX(1,MIN(121,102-(核心参数输入!$B$148)+1))))=1,INDEX($D$22:$DT$22,1,MAX(1,MIN(121,102-(核心参数输入!$B$148)+1))),IF(AND(102-核心参数输入!$B$106&gt;=0,102-核心参数输入!$B$106&lt;=120),INDEX(季度计划!$D$12:$DT$12,1,MAX(1,MIN(121,102-核心参数输入!$B$106+1))),0)),0),0)</f>
        <v>0</v>
      </c>
      <c r="DC13" s="22">
        <f>IF(103&lt;=核心参数输入!$B$9*4,IF(AND(103-(核心参数输入!$B$148)&gt;=0,103-(核心参数输入!$B$148)&lt;=120),IF(COUNT(INDEX($D$22:$DT$22,1,MAX(1,MIN(121,103-(核心参数输入!$B$148)+1))))=1,INDEX($D$22:$DT$22,1,MAX(1,MIN(121,103-(核心参数输入!$B$148)+1))),IF(AND(103-核心参数输入!$B$106&gt;=0,103-核心参数输入!$B$106&lt;=120),INDEX(季度计划!$D$12:$DT$12,1,MAX(1,MIN(121,103-核心参数输入!$B$106+1))),0)),0),0)</f>
        <v>0</v>
      </c>
      <c r="DD13" s="22">
        <f>IF(104&lt;=核心参数输入!$B$9*4,IF(AND(104-(核心参数输入!$B$148)&gt;=0,104-(核心参数输入!$B$148)&lt;=120),IF(COUNT(INDEX($D$22:$DT$22,1,MAX(1,MIN(121,104-(核心参数输入!$B$148)+1))))=1,INDEX($D$22:$DT$22,1,MAX(1,MIN(121,104-(核心参数输入!$B$148)+1))),IF(AND(104-核心参数输入!$B$106&gt;=0,104-核心参数输入!$B$106&lt;=120),INDEX(季度计划!$D$12:$DT$12,1,MAX(1,MIN(121,104-核心参数输入!$B$106+1))),0)),0),0)</f>
        <v>0</v>
      </c>
      <c r="DE13" s="22">
        <f>IF(105&lt;=核心参数输入!$B$9*4,IF(AND(105-(核心参数输入!$B$148)&gt;=0,105-(核心参数输入!$B$148)&lt;=120),IF(COUNT(INDEX($D$22:$DT$22,1,MAX(1,MIN(121,105-(核心参数输入!$B$148)+1))))=1,INDEX($D$22:$DT$22,1,MAX(1,MIN(121,105-(核心参数输入!$B$148)+1))),IF(AND(105-核心参数输入!$B$106&gt;=0,105-核心参数输入!$B$106&lt;=120),INDEX(季度计划!$D$12:$DT$12,1,MAX(1,MIN(121,105-核心参数输入!$B$106+1))),0)),0),0)</f>
        <v>0</v>
      </c>
      <c r="DF13" s="22">
        <f>IF(106&lt;=核心参数输入!$B$9*4,IF(AND(106-(核心参数输入!$B$148)&gt;=0,106-(核心参数输入!$B$148)&lt;=120),IF(COUNT(INDEX($D$22:$DT$22,1,MAX(1,MIN(121,106-(核心参数输入!$B$148)+1))))=1,INDEX($D$22:$DT$22,1,MAX(1,MIN(121,106-(核心参数输入!$B$148)+1))),IF(AND(106-核心参数输入!$B$106&gt;=0,106-核心参数输入!$B$106&lt;=120),INDEX(季度计划!$D$12:$DT$12,1,MAX(1,MIN(121,106-核心参数输入!$B$106+1))),0)),0),0)</f>
        <v>0</v>
      </c>
      <c r="DG13" s="22">
        <f>IF(107&lt;=核心参数输入!$B$9*4,IF(AND(107-(核心参数输入!$B$148)&gt;=0,107-(核心参数输入!$B$148)&lt;=120),IF(COUNT(INDEX($D$22:$DT$22,1,MAX(1,MIN(121,107-(核心参数输入!$B$148)+1))))=1,INDEX($D$22:$DT$22,1,MAX(1,MIN(121,107-(核心参数输入!$B$148)+1))),IF(AND(107-核心参数输入!$B$106&gt;=0,107-核心参数输入!$B$106&lt;=120),INDEX(季度计划!$D$12:$DT$12,1,MAX(1,MIN(121,107-核心参数输入!$B$106+1))),0)),0),0)</f>
        <v>0</v>
      </c>
      <c r="DH13" s="22">
        <f>IF(108&lt;=核心参数输入!$B$9*4,IF(AND(108-(核心参数输入!$B$148)&gt;=0,108-(核心参数输入!$B$148)&lt;=120),IF(COUNT(INDEX($D$22:$DT$22,1,MAX(1,MIN(121,108-(核心参数输入!$B$148)+1))))=1,INDEX($D$22:$DT$22,1,MAX(1,MIN(121,108-(核心参数输入!$B$148)+1))),IF(AND(108-核心参数输入!$B$106&gt;=0,108-核心参数输入!$B$106&lt;=120),INDEX(季度计划!$D$12:$DT$12,1,MAX(1,MIN(121,108-核心参数输入!$B$106+1))),0)),0),0)</f>
        <v>0</v>
      </c>
      <c r="DI13" s="22">
        <f>IF(109&lt;=核心参数输入!$B$9*4,IF(AND(109-(核心参数输入!$B$148)&gt;=0,109-(核心参数输入!$B$148)&lt;=120),IF(COUNT(INDEX($D$22:$DT$22,1,MAX(1,MIN(121,109-(核心参数输入!$B$148)+1))))=1,INDEX($D$22:$DT$22,1,MAX(1,MIN(121,109-(核心参数输入!$B$148)+1))),IF(AND(109-核心参数输入!$B$106&gt;=0,109-核心参数输入!$B$106&lt;=120),INDEX(季度计划!$D$12:$DT$12,1,MAX(1,MIN(121,109-核心参数输入!$B$106+1))),0)),0),0)</f>
        <v>0</v>
      </c>
      <c r="DJ13" s="22">
        <f>IF(110&lt;=核心参数输入!$B$9*4,IF(AND(110-(核心参数输入!$B$148)&gt;=0,110-(核心参数输入!$B$148)&lt;=120),IF(COUNT(INDEX($D$22:$DT$22,1,MAX(1,MIN(121,110-(核心参数输入!$B$148)+1))))=1,INDEX($D$22:$DT$22,1,MAX(1,MIN(121,110-(核心参数输入!$B$148)+1))),IF(AND(110-核心参数输入!$B$106&gt;=0,110-核心参数输入!$B$106&lt;=120),INDEX(季度计划!$D$12:$DT$12,1,MAX(1,MIN(121,110-核心参数输入!$B$106+1))),0)),0),0)</f>
        <v>0</v>
      </c>
      <c r="DK13" s="22">
        <f>IF(111&lt;=核心参数输入!$B$9*4,IF(AND(111-(核心参数输入!$B$148)&gt;=0,111-(核心参数输入!$B$148)&lt;=120),IF(COUNT(INDEX($D$22:$DT$22,1,MAX(1,MIN(121,111-(核心参数输入!$B$148)+1))))=1,INDEX($D$22:$DT$22,1,MAX(1,MIN(121,111-(核心参数输入!$B$148)+1))),IF(AND(111-核心参数输入!$B$106&gt;=0,111-核心参数输入!$B$106&lt;=120),INDEX(季度计划!$D$12:$DT$12,1,MAX(1,MIN(121,111-核心参数输入!$B$106+1))),0)),0),0)</f>
        <v>0</v>
      </c>
      <c r="DL13" s="22">
        <f>IF(112&lt;=核心参数输入!$B$9*4,IF(AND(112-(核心参数输入!$B$148)&gt;=0,112-(核心参数输入!$B$148)&lt;=120),IF(COUNT(INDEX($D$22:$DT$22,1,MAX(1,MIN(121,112-(核心参数输入!$B$148)+1))))=1,INDEX($D$22:$DT$22,1,MAX(1,MIN(121,112-(核心参数输入!$B$148)+1))),IF(AND(112-核心参数输入!$B$106&gt;=0,112-核心参数输入!$B$106&lt;=120),INDEX(季度计划!$D$12:$DT$12,1,MAX(1,MIN(121,112-核心参数输入!$B$106+1))),0)),0),0)</f>
        <v>0</v>
      </c>
      <c r="DM13" s="22">
        <f>IF(113&lt;=核心参数输入!$B$9*4,IF(AND(113-(核心参数输入!$B$148)&gt;=0,113-(核心参数输入!$B$148)&lt;=120),IF(COUNT(INDEX($D$22:$DT$22,1,MAX(1,MIN(121,113-(核心参数输入!$B$148)+1))))=1,INDEX($D$22:$DT$22,1,MAX(1,MIN(121,113-(核心参数输入!$B$148)+1))),IF(AND(113-核心参数输入!$B$106&gt;=0,113-核心参数输入!$B$106&lt;=120),INDEX(季度计划!$D$12:$DT$12,1,MAX(1,MIN(121,113-核心参数输入!$B$106+1))),0)),0),0)</f>
        <v>0</v>
      </c>
      <c r="DN13" s="22">
        <f>IF(114&lt;=核心参数输入!$B$9*4,IF(AND(114-(核心参数输入!$B$148)&gt;=0,114-(核心参数输入!$B$148)&lt;=120),IF(COUNT(INDEX($D$22:$DT$22,1,MAX(1,MIN(121,114-(核心参数输入!$B$148)+1))))=1,INDEX($D$22:$DT$22,1,MAX(1,MIN(121,114-(核心参数输入!$B$148)+1))),IF(AND(114-核心参数输入!$B$106&gt;=0,114-核心参数输入!$B$106&lt;=120),INDEX(季度计划!$D$12:$DT$12,1,MAX(1,MIN(121,114-核心参数输入!$B$106+1))),0)),0),0)</f>
        <v>0</v>
      </c>
      <c r="DO13" s="22">
        <f>IF(115&lt;=核心参数输入!$B$9*4,IF(AND(115-(核心参数输入!$B$148)&gt;=0,115-(核心参数输入!$B$148)&lt;=120),IF(COUNT(INDEX($D$22:$DT$22,1,MAX(1,MIN(121,115-(核心参数输入!$B$148)+1))))=1,INDEX($D$22:$DT$22,1,MAX(1,MIN(121,115-(核心参数输入!$B$148)+1))),IF(AND(115-核心参数输入!$B$106&gt;=0,115-核心参数输入!$B$106&lt;=120),INDEX(季度计划!$D$12:$DT$12,1,MAX(1,MIN(121,115-核心参数输入!$B$106+1))),0)),0),0)</f>
        <v>0</v>
      </c>
      <c r="DP13" s="22">
        <f>IF(116&lt;=核心参数输入!$B$9*4,IF(AND(116-(核心参数输入!$B$148)&gt;=0,116-(核心参数输入!$B$148)&lt;=120),IF(COUNT(INDEX($D$22:$DT$22,1,MAX(1,MIN(121,116-(核心参数输入!$B$148)+1))))=1,INDEX($D$22:$DT$22,1,MAX(1,MIN(121,116-(核心参数输入!$B$148)+1))),IF(AND(116-核心参数输入!$B$106&gt;=0,116-核心参数输入!$B$106&lt;=120),INDEX(季度计划!$D$12:$DT$12,1,MAX(1,MIN(121,116-核心参数输入!$B$106+1))),0)),0),0)</f>
        <v>0</v>
      </c>
      <c r="DQ13" s="22">
        <f>IF(117&lt;=核心参数输入!$B$9*4,IF(AND(117-(核心参数输入!$B$148)&gt;=0,117-(核心参数输入!$B$148)&lt;=120),IF(COUNT(INDEX($D$22:$DT$22,1,MAX(1,MIN(121,117-(核心参数输入!$B$148)+1))))=1,INDEX($D$22:$DT$22,1,MAX(1,MIN(121,117-(核心参数输入!$B$148)+1))),IF(AND(117-核心参数输入!$B$106&gt;=0,117-核心参数输入!$B$106&lt;=120),INDEX(季度计划!$D$12:$DT$12,1,MAX(1,MIN(121,117-核心参数输入!$B$106+1))),0)),0),0)</f>
        <v>0</v>
      </c>
      <c r="DR13" s="22">
        <f>IF(118&lt;=核心参数输入!$B$9*4,IF(AND(118-(核心参数输入!$B$148)&gt;=0,118-(核心参数输入!$B$148)&lt;=120),IF(COUNT(INDEX($D$22:$DT$22,1,MAX(1,MIN(121,118-(核心参数输入!$B$148)+1))))=1,INDEX($D$22:$DT$22,1,MAX(1,MIN(121,118-(核心参数输入!$B$148)+1))),IF(AND(118-核心参数输入!$B$106&gt;=0,118-核心参数输入!$B$106&lt;=120),INDEX(季度计划!$D$12:$DT$12,1,MAX(1,MIN(121,118-核心参数输入!$B$106+1))),0)),0),0)</f>
        <v>0</v>
      </c>
      <c r="DS13" s="22">
        <f>IF(119&lt;=核心参数输入!$B$9*4,IF(AND(119-(核心参数输入!$B$148)&gt;=0,119-(核心参数输入!$B$148)&lt;=120),IF(COUNT(INDEX($D$22:$DT$22,1,MAX(1,MIN(121,119-(核心参数输入!$B$148)+1))))=1,INDEX($D$22:$DT$22,1,MAX(1,MIN(121,119-(核心参数输入!$B$148)+1))),IF(AND(119-核心参数输入!$B$106&gt;=0,119-核心参数输入!$B$106&lt;=120),INDEX(季度计划!$D$12:$DT$12,1,MAX(1,MIN(121,119-核心参数输入!$B$106+1))),0)),0),0)</f>
        <v>0</v>
      </c>
      <c r="DT13" s="22">
        <f>IF(120&lt;=核心参数输入!$B$9*4,IF(AND(120-(核心参数输入!$B$148)&gt;=0,120-(核心参数输入!$B$148)&lt;=120),IF(COUNT(INDEX($D$22:$DT$22,1,MAX(1,MIN(121,120-(核心参数输入!$B$148)+1))))=1,INDEX($D$22:$DT$22,1,MAX(1,MIN(121,120-(核心参数输入!$B$148)+1))),IF(AND(120-核心参数输入!$B$106&gt;=0,120-核心参数输入!$B$106&lt;=120),INDEX(季度计划!$D$12:$DT$12,1,MAX(1,MIN(121,120-核心参数输入!$B$106+1))),0)),0),0)</f>
        <v>0</v>
      </c>
    </row>
    <row r="14" spans="1:124" ht="21" customHeight="1">
      <c r="A14" s="8" t="s">
        <v>626</v>
      </c>
      <c r="B14" s="8" t="s">
        <v>38</v>
      </c>
      <c r="C14" s="8"/>
      <c r="D14" s="22">
        <f>IF(0&lt;=核心参数输入!$B$9*4,0,0)</f>
        <v>0</v>
      </c>
      <c r="E14" s="22">
        <f>IF(1&lt;=核心参数输入!$B$9*4,IF(核心参数输入!$B$142=0,0,IF(AND(1-(核心参数输入!$B$148)&gt;0,1-(核心参数输入!$B$148)&lt;=120),IF(COUNT(INDEX($D$23:$DT$23,1,MAX(1,MIN(121,1-(核心参数输入!$B$148)+1))))=1,INDEX($D$23:$DT$23,1,MAX(1,MIN(121,1-(核心参数输入!$B$148)+1))),INDEX(核心参数输入!$D$89:$AH$89,1,INT((1-(核心参数输入!$B$148)-1)/4)+2)*INDEX(核心参数输入!$B$128:$B$131,MOD(1-(核心参数输入!$B$148)-1,4)+1)),0)),0)</f>
        <v>0</v>
      </c>
      <c r="F14" s="22">
        <f>IF(2&lt;=核心参数输入!$B$9*4,IF(核心参数输入!$B$142=0,0,IF(AND(2-(核心参数输入!$B$148)&gt;0,2-(核心参数输入!$B$148)&lt;=120),IF(COUNT(INDEX($D$23:$DT$23,1,MAX(1,MIN(121,2-(核心参数输入!$B$148)+1))))=1,INDEX($D$23:$DT$23,1,MAX(1,MIN(121,2-(核心参数输入!$B$148)+1))),INDEX(核心参数输入!$D$89:$AH$89,1,INT((2-(核心参数输入!$B$148)-1)/4)+2)*INDEX(核心参数输入!$B$128:$B$131,MOD(2-(核心参数输入!$B$148)-1,4)+1)),0)),0)</f>
        <v>0</v>
      </c>
      <c r="G14" s="22">
        <f>IF(3&lt;=核心参数输入!$B$9*4,IF(核心参数输入!$B$142=0,0,IF(AND(3-(核心参数输入!$B$148)&gt;0,3-(核心参数输入!$B$148)&lt;=120),IF(COUNT(INDEX($D$23:$DT$23,1,MAX(1,MIN(121,3-(核心参数输入!$B$148)+1))))=1,INDEX($D$23:$DT$23,1,MAX(1,MIN(121,3-(核心参数输入!$B$148)+1))),INDEX(核心参数输入!$D$89:$AH$89,1,INT((3-(核心参数输入!$B$148)-1)/4)+2)*INDEX(核心参数输入!$B$128:$B$131,MOD(3-(核心参数输入!$B$148)-1,4)+1)),0)),0)</f>
        <v>0</v>
      </c>
      <c r="H14" s="22">
        <f>IF(4&lt;=核心参数输入!$B$9*4,IF(核心参数输入!$B$142=0,0,IF(AND(4-(核心参数输入!$B$148)&gt;0,4-(核心参数输入!$B$148)&lt;=120),IF(COUNT(INDEX($D$23:$DT$23,1,MAX(1,MIN(121,4-(核心参数输入!$B$148)+1))))=1,INDEX($D$23:$DT$23,1,MAX(1,MIN(121,4-(核心参数输入!$B$148)+1))),INDEX(核心参数输入!$D$89:$AH$89,1,INT((4-(核心参数输入!$B$148)-1)/4)+2)*INDEX(核心参数输入!$B$128:$B$131,MOD(4-(核心参数输入!$B$148)-1,4)+1)),0)),0)</f>
        <v>0</v>
      </c>
      <c r="I14" s="22">
        <f>IF(5&lt;=核心参数输入!$B$9*4,IF(核心参数输入!$B$142=0,0,IF(AND(5-(核心参数输入!$B$148)&gt;0,5-(核心参数输入!$B$148)&lt;=120),IF(COUNT(INDEX($D$23:$DT$23,1,MAX(1,MIN(121,5-(核心参数输入!$B$148)+1))))=1,INDEX($D$23:$DT$23,1,MAX(1,MIN(121,5-(核心参数输入!$B$148)+1))),INDEX(核心参数输入!$D$89:$AH$89,1,INT((5-(核心参数输入!$B$148)-1)/4)+2)*INDEX(核心参数输入!$B$128:$B$131,MOD(5-(核心参数输入!$B$148)-1,4)+1)),0)),0)</f>
        <v>0</v>
      </c>
      <c r="J14" s="22">
        <f>IF(6&lt;=核心参数输入!$B$9*4,IF(核心参数输入!$B$142=0,0,IF(AND(6-(核心参数输入!$B$148)&gt;0,6-(核心参数输入!$B$148)&lt;=120),IF(COUNT(INDEX($D$23:$DT$23,1,MAX(1,MIN(121,6-(核心参数输入!$B$148)+1))))=1,INDEX($D$23:$DT$23,1,MAX(1,MIN(121,6-(核心参数输入!$B$148)+1))),INDEX(核心参数输入!$D$89:$AH$89,1,INT((6-(核心参数输入!$B$148)-1)/4)+2)*INDEX(核心参数输入!$B$128:$B$131,MOD(6-(核心参数输入!$B$148)-1,4)+1)),0)),0)</f>
        <v>0</v>
      </c>
      <c r="K14" s="22">
        <f>IF(7&lt;=核心参数输入!$B$9*4,IF(核心参数输入!$B$142=0,0,IF(AND(7-(核心参数输入!$B$148)&gt;0,7-(核心参数输入!$B$148)&lt;=120),IF(COUNT(INDEX($D$23:$DT$23,1,MAX(1,MIN(121,7-(核心参数输入!$B$148)+1))))=1,INDEX($D$23:$DT$23,1,MAX(1,MIN(121,7-(核心参数输入!$B$148)+1))),INDEX(核心参数输入!$D$89:$AH$89,1,INT((7-(核心参数输入!$B$148)-1)/4)+2)*INDEX(核心参数输入!$B$128:$B$131,MOD(7-(核心参数输入!$B$148)-1,4)+1)),0)),0)</f>
        <v>0</v>
      </c>
      <c r="L14" s="22">
        <f>IF(8&lt;=核心参数输入!$B$9*4,IF(核心参数输入!$B$142=0,0,IF(AND(8-(核心参数输入!$B$148)&gt;0,8-(核心参数输入!$B$148)&lt;=120),IF(COUNT(INDEX($D$23:$DT$23,1,MAX(1,MIN(121,8-(核心参数输入!$B$148)+1))))=1,INDEX($D$23:$DT$23,1,MAX(1,MIN(121,8-(核心参数输入!$B$148)+1))),INDEX(核心参数输入!$D$89:$AH$89,1,INT((8-(核心参数输入!$B$148)-1)/4)+2)*INDEX(核心参数输入!$B$128:$B$131,MOD(8-(核心参数输入!$B$148)-1,4)+1)),0)),0)</f>
        <v>0</v>
      </c>
      <c r="M14" s="22">
        <f>IF(9&lt;=核心参数输入!$B$9*4,IF(核心参数输入!$B$142=0,0,IF(AND(9-(核心参数输入!$B$148)&gt;0,9-(核心参数输入!$B$148)&lt;=120),IF(COUNT(INDEX($D$23:$DT$23,1,MAX(1,MIN(121,9-(核心参数输入!$B$148)+1))))=1,INDEX($D$23:$DT$23,1,MAX(1,MIN(121,9-(核心参数输入!$B$148)+1))),INDEX(核心参数输入!$D$89:$AH$89,1,INT((9-(核心参数输入!$B$148)-1)/4)+2)*INDEX(核心参数输入!$B$128:$B$131,MOD(9-(核心参数输入!$B$148)-1,4)+1)),0)),0)</f>
        <v>0</v>
      </c>
      <c r="N14" s="22">
        <f>IF(10&lt;=核心参数输入!$B$9*4,IF(核心参数输入!$B$142=0,0,IF(AND(10-(核心参数输入!$B$148)&gt;0,10-(核心参数输入!$B$148)&lt;=120),IF(COUNT(INDEX($D$23:$DT$23,1,MAX(1,MIN(121,10-(核心参数输入!$B$148)+1))))=1,INDEX($D$23:$DT$23,1,MAX(1,MIN(121,10-(核心参数输入!$B$148)+1))),INDEX(核心参数输入!$D$89:$AH$89,1,INT((10-(核心参数输入!$B$148)-1)/4)+2)*INDEX(核心参数输入!$B$128:$B$131,MOD(10-(核心参数输入!$B$148)-1,4)+1)),0)),0)</f>
        <v>0</v>
      </c>
      <c r="O14" s="22">
        <f>IF(11&lt;=核心参数输入!$B$9*4,IF(核心参数输入!$B$142=0,0,IF(AND(11-(核心参数输入!$B$148)&gt;0,11-(核心参数输入!$B$148)&lt;=120),IF(COUNT(INDEX($D$23:$DT$23,1,MAX(1,MIN(121,11-(核心参数输入!$B$148)+1))))=1,INDEX($D$23:$DT$23,1,MAX(1,MIN(121,11-(核心参数输入!$B$148)+1))),INDEX(核心参数输入!$D$89:$AH$89,1,INT((11-(核心参数输入!$B$148)-1)/4)+2)*INDEX(核心参数输入!$B$128:$B$131,MOD(11-(核心参数输入!$B$148)-1,4)+1)),0)),0)</f>
        <v>0</v>
      </c>
      <c r="P14" s="22">
        <f>IF(12&lt;=核心参数输入!$B$9*4,IF(核心参数输入!$B$142=0,0,IF(AND(12-(核心参数输入!$B$148)&gt;0,12-(核心参数输入!$B$148)&lt;=120),IF(COUNT(INDEX($D$23:$DT$23,1,MAX(1,MIN(121,12-(核心参数输入!$B$148)+1))))=1,INDEX($D$23:$DT$23,1,MAX(1,MIN(121,12-(核心参数输入!$B$148)+1))),INDEX(核心参数输入!$D$89:$AH$89,1,INT((12-(核心参数输入!$B$148)-1)/4)+2)*INDEX(核心参数输入!$B$128:$B$131,MOD(12-(核心参数输入!$B$148)-1,4)+1)),0)),0)</f>
        <v>0</v>
      </c>
      <c r="Q14" s="22">
        <f>IF(13&lt;=核心参数输入!$B$9*4,IF(核心参数输入!$B$142=0,0,IF(AND(13-(核心参数输入!$B$148)&gt;0,13-(核心参数输入!$B$148)&lt;=120),IF(COUNT(INDEX($D$23:$DT$23,1,MAX(1,MIN(121,13-(核心参数输入!$B$148)+1))))=1,INDEX($D$23:$DT$23,1,MAX(1,MIN(121,13-(核心参数输入!$B$148)+1))),INDEX(核心参数输入!$D$89:$AH$89,1,INT((13-(核心参数输入!$B$148)-1)/4)+2)*INDEX(核心参数输入!$B$128:$B$131,MOD(13-(核心参数输入!$B$148)-1,4)+1)),0)),0)</f>
        <v>7.4999999999999997E-2</v>
      </c>
      <c r="R14" s="22">
        <f>IF(14&lt;=核心参数输入!$B$9*4,IF(核心参数输入!$B$142=0,0,IF(AND(14-(核心参数输入!$B$148)&gt;0,14-(核心参数输入!$B$148)&lt;=120),IF(COUNT(INDEX($D$23:$DT$23,1,MAX(1,MIN(121,14-(核心参数输入!$B$148)+1))))=1,INDEX($D$23:$DT$23,1,MAX(1,MIN(121,14-(核心参数输入!$B$148)+1))),INDEX(核心参数输入!$D$89:$AH$89,1,INT((14-(核心参数输入!$B$148)-1)/4)+2)*INDEX(核心参数输入!$B$128:$B$131,MOD(14-(核心参数输入!$B$148)-1,4)+1)),0)),0)</f>
        <v>7.4999999999999997E-2</v>
      </c>
      <c r="S14" s="22">
        <f>IF(15&lt;=核心参数输入!$B$9*4,IF(核心参数输入!$B$142=0,0,IF(AND(15-(核心参数输入!$B$148)&gt;0,15-(核心参数输入!$B$148)&lt;=120),IF(COUNT(INDEX($D$23:$DT$23,1,MAX(1,MIN(121,15-(核心参数输入!$B$148)+1))))=1,INDEX($D$23:$DT$23,1,MAX(1,MIN(121,15-(核心参数输入!$B$148)+1))),INDEX(核心参数输入!$D$89:$AH$89,1,INT((15-(核心参数输入!$B$148)-1)/4)+2)*INDEX(核心参数输入!$B$128:$B$131,MOD(15-(核心参数输入!$B$148)-1,4)+1)),0)),0)</f>
        <v>7.4999999999999997E-2</v>
      </c>
      <c r="T14" s="22">
        <f>IF(16&lt;=核心参数输入!$B$9*4,IF(核心参数输入!$B$142=0,0,IF(AND(16-(核心参数输入!$B$148)&gt;0,16-(核心参数输入!$B$148)&lt;=120),IF(COUNT(INDEX($D$23:$DT$23,1,MAX(1,MIN(121,16-(核心参数输入!$B$148)+1))))=1,INDEX($D$23:$DT$23,1,MAX(1,MIN(121,16-(核心参数输入!$B$148)+1))),INDEX(核心参数输入!$D$89:$AH$89,1,INT((16-(核心参数输入!$B$148)-1)/4)+2)*INDEX(核心参数输入!$B$128:$B$131,MOD(16-(核心参数输入!$B$148)-1,4)+1)),0)),0)</f>
        <v>7.4999999999999997E-2</v>
      </c>
      <c r="U14" s="22">
        <f>IF(17&lt;=核心参数输入!$B$9*4,IF(核心参数输入!$B$142=0,0,IF(AND(17-(核心参数输入!$B$148)&gt;0,17-(核心参数输入!$B$148)&lt;=120),IF(COUNT(INDEX($D$23:$DT$23,1,MAX(1,MIN(121,17-(核心参数输入!$B$148)+1))))=1,INDEX($D$23:$DT$23,1,MAX(1,MIN(121,17-(核心参数输入!$B$148)+1))),INDEX(核心参数输入!$D$89:$AH$89,1,INT((17-(核心参数输入!$B$148)-1)/4)+2)*INDEX(核心参数输入!$B$128:$B$131,MOD(17-(核心参数输入!$B$148)-1,4)+1)),0)),0)</f>
        <v>0.1</v>
      </c>
      <c r="V14" s="22">
        <f>IF(18&lt;=核心参数输入!$B$9*4,IF(核心参数输入!$B$142=0,0,IF(AND(18-(核心参数输入!$B$148)&gt;0,18-(核心参数输入!$B$148)&lt;=120),IF(COUNT(INDEX($D$23:$DT$23,1,MAX(1,MIN(121,18-(核心参数输入!$B$148)+1))))=1,INDEX($D$23:$DT$23,1,MAX(1,MIN(121,18-(核心参数输入!$B$148)+1))),INDEX(核心参数输入!$D$89:$AH$89,1,INT((18-(核心参数输入!$B$148)-1)/4)+2)*INDEX(核心参数输入!$B$128:$B$131,MOD(18-(核心参数输入!$B$148)-1,4)+1)),0)),0)</f>
        <v>0.1</v>
      </c>
      <c r="W14" s="22">
        <f>IF(19&lt;=核心参数输入!$B$9*4,IF(核心参数输入!$B$142=0,0,IF(AND(19-(核心参数输入!$B$148)&gt;0,19-(核心参数输入!$B$148)&lt;=120),IF(COUNT(INDEX($D$23:$DT$23,1,MAX(1,MIN(121,19-(核心参数输入!$B$148)+1))))=1,INDEX($D$23:$DT$23,1,MAX(1,MIN(121,19-(核心参数输入!$B$148)+1))),INDEX(核心参数输入!$D$89:$AH$89,1,INT((19-(核心参数输入!$B$148)-1)/4)+2)*INDEX(核心参数输入!$B$128:$B$131,MOD(19-(核心参数输入!$B$148)-1,4)+1)),0)),0)</f>
        <v>0.1</v>
      </c>
      <c r="X14" s="22">
        <f>IF(20&lt;=核心参数输入!$B$9*4,IF(核心参数输入!$B$142=0,0,IF(AND(20-(核心参数输入!$B$148)&gt;0,20-(核心参数输入!$B$148)&lt;=120),IF(COUNT(INDEX($D$23:$DT$23,1,MAX(1,MIN(121,20-(核心参数输入!$B$148)+1))))=1,INDEX($D$23:$DT$23,1,MAX(1,MIN(121,20-(核心参数输入!$B$148)+1))),INDEX(核心参数输入!$D$89:$AH$89,1,INT((20-(核心参数输入!$B$148)-1)/4)+2)*INDEX(核心参数输入!$B$128:$B$131,MOD(20-(核心参数输入!$B$148)-1,4)+1)),0)),0)</f>
        <v>0.1</v>
      </c>
      <c r="Y14" s="22">
        <f>IF(21&lt;=核心参数输入!$B$9*4,IF(核心参数输入!$B$142=0,0,IF(AND(21-(核心参数输入!$B$148)&gt;0,21-(核心参数输入!$B$148)&lt;=120),IF(COUNT(INDEX($D$23:$DT$23,1,MAX(1,MIN(121,21-(核心参数输入!$B$148)+1))))=1,INDEX($D$23:$DT$23,1,MAX(1,MIN(121,21-(核心参数输入!$B$148)+1))),INDEX(核心参数输入!$D$89:$AH$89,1,INT((21-(核心参数输入!$B$148)-1)/4)+2)*INDEX(核心参数输入!$B$128:$B$131,MOD(21-(核心参数输入!$B$148)-1,4)+1)),0)),0)</f>
        <v>7.4999999999999997E-2</v>
      </c>
      <c r="Z14" s="22">
        <f>IF(22&lt;=核心参数输入!$B$9*4,IF(核心参数输入!$B$142=0,0,IF(AND(22-(核心参数输入!$B$148)&gt;0,22-(核心参数输入!$B$148)&lt;=120),IF(COUNT(INDEX($D$23:$DT$23,1,MAX(1,MIN(121,22-(核心参数输入!$B$148)+1))))=1,INDEX($D$23:$DT$23,1,MAX(1,MIN(121,22-(核心参数输入!$B$148)+1))),INDEX(核心参数输入!$D$89:$AH$89,1,INT((22-(核心参数输入!$B$148)-1)/4)+2)*INDEX(核心参数输入!$B$128:$B$131,MOD(22-(核心参数输入!$B$148)-1,4)+1)),0)),0)</f>
        <v>7.4999999999999997E-2</v>
      </c>
      <c r="AA14" s="22">
        <f>IF(23&lt;=核心参数输入!$B$9*4,IF(核心参数输入!$B$142=0,0,IF(AND(23-(核心参数输入!$B$148)&gt;0,23-(核心参数输入!$B$148)&lt;=120),IF(COUNT(INDEX($D$23:$DT$23,1,MAX(1,MIN(121,23-(核心参数输入!$B$148)+1))))=1,INDEX($D$23:$DT$23,1,MAX(1,MIN(121,23-(核心参数输入!$B$148)+1))),INDEX(核心参数输入!$D$89:$AH$89,1,INT((23-(核心参数输入!$B$148)-1)/4)+2)*INDEX(核心参数输入!$B$128:$B$131,MOD(23-(核心参数输入!$B$148)-1,4)+1)),0)),0)</f>
        <v>7.4999999999999997E-2</v>
      </c>
      <c r="AB14" s="22">
        <f>IF(24&lt;=核心参数输入!$B$9*4,IF(核心参数输入!$B$142=0,0,IF(AND(24-(核心参数输入!$B$148)&gt;0,24-(核心参数输入!$B$148)&lt;=120),IF(COUNT(INDEX($D$23:$DT$23,1,MAX(1,MIN(121,24-(核心参数输入!$B$148)+1))))=1,INDEX($D$23:$DT$23,1,MAX(1,MIN(121,24-(核心参数输入!$B$148)+1))),INDEX(核心参数输入!$D$89:$AH$89,1,INT((24-(核心参数输入!$B$148)-1)/4)+2)*INDEX(核心参数输入!$B$128:$B$131,MOD(24-(核心参数输入!$B$148)-1,4)+1)),0)),0)</f>
        <v>7.4999999999999997E-2</v>
      </c>
      <c r="AC14" s="22">
        <f>IF(25&lt;=核心参数输入!$B$9*4,IF(核心参数输入!$B$142=0,0,IF(AND(25-(核心参数输入!$B$148)&gt;0,25-(核心参数输入!$B$148)&lt;=120),IF(COUNT(INDEX($D$23:$DT$23,1,MAX(1,MIN(121,25-(核心参数输入!$B$148)+1))))=1,INDEX($D$23:$DT$23,1,MAX(1,MIN(121,25-(核心参数输入!$B$148)+1))),INDEX(核心参数输入!$D$89:$AH$89,1,INT((25-(核心参数输入!$B$148)-1)/4)+2)*INDEX(核心参数输入!$B$128:$B$131,MOD(25-(核心参数输入!$B$148)-1,4)+1)),0)),0)</f>
        <v>0</v>
      </c>
      <c r="AD14" s="22">
        <f>IF(26&lt;=核心参数输入!$B$9*4,IF(核心参数输入!$B$142=0,0,IF(AND(26-(核心参数输入!$B$148)&gt;0,26-(核心参数输入!$B$148)&lt;=120),IF(COUNT(INDEX($D$23:$DT$23,1,MAX(1,MIN(121,26-(核心参数输入!$B$148)+1))))=1,INDEX($D$23:$DT$23,1,MAX(1,MIN(121,26-(核心参数输入!$B$148)+1))),INDEX(核心参数输入!$D$89:$AH$89,1,INT((26-(核心参数输入!$B$148)-1)/4)+2)*INDEX(核心参数输入!$B$128:$B$131,MOD(26-(核心参数输入!$B$148)-1,4)+1)),0)),0)</f>
        <v>0</v>
      </c>
      <c r="AE14" s="22">
        <f>IF(27&lt;=核心参数输入!$B$9*4,IF(核心参数输入!$B$142=0,0,IF(AND(27-(核心参数输入!$B$148)&gt;0,27-(核心参数输入!$B$148)&lt;=120),IF(COUNT(INDEX($D$23:$DT$23,1,MAX(1,MIN(121,27-(核心参数输入!$B$148)+1))))=1,INDEX($D$23:$DT$23,1,MAX(1,MIN(121,27-(核心参数输入!$B$148)+1))),INDEX(核心参数输入!$D$89:$AH$89,1,INT((27-(核心参数输入!$B$148)-1)/4)+2)*INDEX(核心参数输入!$B$128:$B$131,MOD(27-(核心参数输入!$B$148)-1,4)+1)),0)),0)</f>
        <v>0</v>
      </c>
      <c r="AF14" s="22">
        <f>IF(28&lt;=核心参数输入!$B$9*4,IF(核心参数输入!$B$142=0,0,IF(AND(28-(核心参数输入!$B$148)&gt;0,28-(核心参数输入!$B$148)&lt;=120),IF(COUNT(INDEX($D$23:$DT$23,1,MAX(1,MIN(121,28-(核心参数输入!$B$148)+1))))=1,INDEX($D$23:$DT$23,1,MAX(1,MIN(121,28-(核心参数输入!$B$148)+1))),INDEX(核心参数输入!$D$89:$AH$89,1,INT((28-(核心参数输入!$B$148)-1)/4)+2)*INDEX(核心参数输入!$B$128:$B$131,MOD(28-(核心参数输入!$B$148)-1,4)+1)),0)),0)</f>
        <v>0</v>
      </c>
      <c r="AG14" s="22">
        <f>IF(29&lt;=核心参数输入!$B$9*4,IF(核心参数输入!$B$142=0,0,IF(AND(29-(核心参数输入!$B$148)&gt;0,29-(核心参数输入!$B$148)&lt;=120),IF(COUNT(INDEX($D$23:$DT$23,1,MAX(1,MIN(121,29-(核心参数输入!$B$148)+1))))=1,INDEX($D$23:$DT$23,1,MAX(1,MIN(121,29-(核心参数输入!$B$148)+1))),INDEX(核心参数输入!$D$89:$AH$89,1,INT((29-(核心参数输入!$B$148)-1)/4)+2)*INDEX(核心参数输入!$B$128:$B$131,MOD(29-(核心参数输入!$B$148)-1,4)+1)),0)),0)</f>
        <v>0</v>
      </c>
      <c r="AH14" s="22">
        <f>IF(30&lt;=核心参数输入!$B$9*4,IF(核心参数输入!$B$142=0,0,IF(AND(30-(核心参数输入!$B$148)&gt;0,30-(核心参数输入!$B$148)&lt;=120),IF(COUNT(INDEX($D$23:$DT$23,1,MAX(1,MIN(121,30-(核心参数输入!$B$148)+1))))=1,INDEX($D$23:$DT$23,1,MAX(1,MIN(121,30-(核心参数输入!$B$148)+1))),INDEX(核心参数输入!$D$89:$AH$89,1,INT((30-(核心参数输入!$B$148)-1)/4)+2)*INDEX(核心参数输入!$B$128:$B$131,MOD(30-(核心参数输入!$B$148)-1,4)+1)),0)),0)</f>
        <v>0</v>
      </c>
      <c r="AI14" s="22">
        <f>IF(31&lt;=核心参数输入!$B$9*4,IF(核心参数输入!$B$142=0,0,IF(AND(31-(核心参数输入!$B$148)&gt;0,31-(核心参数输入!$B$148)&lt;=120),IF(COUNT(INDEX($D$23:$DT$23,1,MAX(1,MIN(121,31-(核心参数输入!$B$148)+1))))=1,INDEX($D$23:$DT$23,1,MAX(1,MIN(121,31-(核心参数输入!$B$148)+1))),INDEX(核心参数输入!$D$89:$AH$89,1,INT((31-(核心参数输入!$B$148)-1)/4)+2)*INDEX(核心参数输入!$B$128:$B$131,MOD(31-(核心参数输入!$B$148)-1,4)+1)),0)),0)</f>
        <v>0</v>
      </c>
      <c r="AJ14" s="22">
        <f>IF(32&lt;=核心参数输入!$B$9*4,IF(核心参数输入!$B$142=0,0,IF(AND(32-(核心参数输入!$B$148)&gt;0,32-(核心参数输入!$B$148)&lt;=120),IF(COUNT(INDEX($D$23:$DT$23,1,MAX(1,MIN(121,32-(核心参数输入!$B$148)+1))))=1,INDEX($D$23:$DT$23,1,MAX(1,MIN(121,32-(核心参数输入!$B$148)+1))),INDEX(核心参数输入!$D$89:$AH$89,1,INT((32-(核心参数输入!$B$148)-1)/4)+2)*INDEX(核心参数输入!$B$128:$B$131,MOD(32-(核心参数输入!$B$148)-1,4)+1)),0)),0)</f>
        <v>0</v>
      </c>
      <c r="AK14" s="22">
        <f>IF(33&lt;=核心参数输入!$B$9*4,IF(核心参数输入!$B$142=0,0,IF(AND(33-(核心参数输入!$B$148)&gt;0,33-(核心参数输入!$B$148)&lt;=120),IF(COUNT(INDEX($D$23:$DT$23,1,MAX(1,MIN(121,33-(核心参数输入!$B$148)+1))))=1,INDEX($D$23:$DT$23,1,MAX(1,MIN(121,33-(核心参数输入!$B$148)+1))),INDEX(核心参数输入!$D$89:$AH$89,1,INT((33-(核心参数输入!$B$148)-1)/4)+2)*INDEX(核心参数输入!$B$128:$B$131,MOD(33-(核心参数输入!$B$148)-1,4)+1)),0)),0)</f>
        <v>0</v>
      </c>
      <c r="AL14" s="22">
        <f>IF(34&lt;=核心参数输入!$B$9*4,IF(核心参数输入!$B$142=0,0,IF(AND(34-(核心参数输入!$B$148)&gt;0,34-(核心参数输入!$B$148)&lt;=120),IF(COUNT(INDEX($D$23:$DT$23,1,MAX(1,MIN(121,34-(核心参数输入!$B$148)+1))))=1,INDEX($D$23:$DT$23,1,MAX(1,MIN(121,34-(核心参数输入!$B$148)+1))),INDEX(核心参数输入!$D$89:$AH$89,1,INT((34-(核心参数输入!$B$148)-1)/4)+2)*INDEX(核心参数输入!$B$128:$B$131,MOD(34-(核心参数输入!$B$148)-1,4)+1)),0)),0)</f>
        <v>0</v>
      </c>
      <c r="AM14" s="22">
        <f>IF(35&lt;=核心参数输入!$B$9*4,IF(核心参数输入!$B$142=0,0,IF(AND(35-(核心参数输入!$B$148)&gt;0,35-(核心参数输入!$B$148)&lt;=120),IF(COUNT(INDEX($D$23:$DT$23,1,MAX(1,MIN(121,35-(核心参数输入!$B$148)+1))))=1,INDEX($D$23:$DT$23,1,MAX(1,MIN(121,35-(核心参数输入!$B$148)+1))),INDEX(核心参数输入!$D$89:$AH$89,1,INT((35-(核心参数输入!$B$148)-1)/4)+2)*INDEX(核心参数输入!$B$128:$B$131,MOD(35-(核心参数输入!$B$148)-1,4)+1)),0)),0)</f>
        <v>0</v>
      </c>
      <c r="AN14" s="22">
        <f>IF(36&lt;=核心参数输入!$B$9*4,IF(核心参数输入!$B$142=0,0,IF(AND(36-(核心参数输入!$B$148)&gt;0,36-(核心参数输入!$B$148)&lt;=120),IF(COUNT(INDEX($D$23:$DT$23,1,MAX(1,MIN(121,36-(核心参数输入!$B$148)+1))))=1,INDEX($D$23:$DT$23,1,MAX(1,MIN(121,36-(核心参数输入!$B$148)+1))),INDEX(核心参数输入!$D$89:$AH$89,1,INT((36-(核心参数输入!$B$148)-1)/4)+2)*INDEX(核心参数输入!$B$128:$B$131,MOD(36-(核心参数输入!$B$148)-1,4)+1)),0)),0)</f>
        <v>0</v>
      </c>
      <c r="AO14" s="22">
        <f>IF(37&lt;=核心参数输入!$B$9*4,IF(核心参数输入!$B$142=0,0,IF(AND(37-(核心参数输入!$B$148)&gt;0,37-(核心参数输入!$B$148)&lt;=120),IF(COUNT(INDEX($D$23:$DT$23,1,MAX(1,MIN(121,37-(核心参数输入!$B$148)+1))))=1,INDEX($D$23:$DT$23,1,MAX(1,MIN(121,37-(核心参数输入!$B$148)+1))),INDEX(核心参数输入!$D$89:$AH$89,1,INT((37-(核心参数输入!$B$148)-1)/4)+2)*INDEX(核心参数输入!$B$128:$B$131,MOD(37-(核心参数输入!$B$148)-1,4)+1)),0)),0)</f>
        <v>0</v>
      </c>
      <c r="AP14" s="22">
        <f>IF(38&lt;=核心参数输入!$B$9*4,IF(核心参数输入!$B$142=0,0,IF(AND(38-(核心参数输入!$B$148)&gt;0,38-(核心参数输入!$B$148)&lt;=120),IF(COUNT(INDEX($D$23:$DT$23,1,MAX(1,MIN(121,38-(核心参数输入!$B$148)+1))))=1,INDEX($D$23:$DT$23,1,MAX(1,MIN(121,38-(核心参数输入!$B$148)+1))),INDEX(核心参数输入!$D$89:$AH$89,1,INT((38-(核心参数输入!$B$148)-1)/4)+2)*INDEX(核心参数输入!$B$128:$B$131,MOD(38-(核心参数输入!$B$148)-1,4)+1)),0)),0)</f>
        <v>0</v>
      </c>
      <c r="AQ14" s="22">
        <f>IF(39&lt;=核心参数输入!$B$9*4,IF(核心参数输入!$B$142=0,0,IF(AND(39-(核心参数输入!$B$148)&gt;0,39-(核心参数输入!$B$148)&lt;=120),IF(COUNT(INDEX($D$23:$DT$23,1,MAX(1,MIN(121,39-(核心参数输入!$B$148)+1))))=1,INDEX($D$23:$DT$23,1,MAX(1,MIN(121,39-(核心参数输入!$B$148)+1))),INDEX(核心参数输入!$D$89:$AH$89,1,INT((39-(核心参数输入!$B$148)-1)/4)+2)*INDEX(核心参数输入!$B$128:$B$131,MOD(39-(核心参数输入!$B$148)-1,4)+1)),0)),0)</f>
        <v>0</v>
      </c>
      <c r="AR14" s="22">
        <f>IF(40&lt;=核心参数输入!$B$9*4,IF(核心参数输入!$B$142=0,0,IF(AND(40-(核心参数输入!$B$148)&gt;0,40-(核心参数输入!$B$148)&lt;=120),IF(COUNT(INDEX($D$23:$DT$23,1,MAX(1,MIN(121,40-(核心参数输入!$B$148)+1))))=1,INDEX($D$23:$DT$23,1,MAX(1,MIN(121,40-(核心参数输入!$B$148)+1))),INDEX(核心参数输入!$D$89:$AH$89,1,INT((40-(核心参数输入!$B$148)-1)/4)+2)*INDEX(核心参数输入!$B$128:$B$131,MOD(40-(核心参数输入!$B$148)-1,4)+1)),0)),0)</f>
        <v>0</v>
      </c>
      <c r="AS14" s="22">
        <f>IF(41&lt;=核心参数输入!$B$9*4,IF(核心参数输入!$B$142=0,0,IF(AND(41-(核心参数输入!$B$148)&gt;0,41-(核心参数输入!$B$148)&lt;=120),IF(COUNT(INDEX($D$23:$DT$23,1,MAX(1,MIN(121,41-(核心参数输入!$B$148)+1))))=1,INDEX($D$23:$DT$23,1,MAX(1,MIN(121,41-(核心参数输入!$B$148)+1))),INDEX(核心参数输入!$D$89:$AH$89,1,INT((41-(核心参数输入!$B$148)-1)/4)+2)*INDEX(核心参数输入!$B$128:$B$131,MOD(41-(核心参数输入!$B$148)-1,4)+1)),0)),0)</f>
        <v>0</v>
      </c>
      <c r="AT14" s="22">
        <f>IF(42&lt;=核心参数输入!$B$9*4,IF(核心参数输入!$B$142=0,0,IF(AND(42-(核心参数输入!$B$148)&gt;0,42-(核心参数输入!$B$148)&lt;=120),IF(COUNT(INDEX($D$23:$DT$23,1,MAX(1,MIN(121,42-(核心参数输入!$B$148)+1))))=1,INDEX($D$23:$DT$23,1,MAX(1,MIN(121,42-(核心参数输入!$B$148)+1))),INDEX(核心参数输入!$D$89:$AH$89,1,INT((42-(核心参数输入!$B$148)-1)/4)+2)*INDEX(核心参数输入!$B$128:$B$131,MOD(42-(核心参数输入!$B$148)-1,4)+1)),0)),0)</f>
        <v>0</v>
      </c>
      <c r="AU14" s="22">
        <f>IF(43&lt;=核心参数输入!$B$9*4,IF(核心参数输入!$B$142=0,0,IF(AND(43-(核心参数输入!$B$148)&gt;0,43-(核心参数输入!$B$148)&lt;=120),IF(COUNT(INDEX($D$23:$DT$23,1,MAX(1,MIN(121,43-(核心参数输入!$B$148)+1))))=1,INDEX($D$23:$DT$23,1,MAX(1,MIN(121,43-(核心参数输入!$B$148)+1))),INDEX(核心参数输入!$D$89:$AH$89,1,INT((43-(核心参数输入!$B$148)-1)/4)+2)*INDEX(核心参数输入!$B$128:$B$131,MOD(43-(核心参数输入!$B$148)-1,4)+1)),0)),0)</f>
        <v>0</v>
      </c>
      <c r="AV14" s="22">
        <f>IF(44&lt;=核心参数输入!$B$9*4,IF(核心参数输入!$B$142=0,0,IF(AND(44-(核心参数输入!$B$148)&gt;0,44-(核心参数输入!$B$148)&lt;=120),IF(COUNT(INDEX($D$23:$DT$23,1,MAX(1,MIN(121,44-(核心参数输入!$B$148)+1))))=1,INDEX($D$23:$DT$23,1,MAX(1,MIN(121,44-(核心参数输入!$B$148)+1))),INDEX(核心参数输入!$D$89:$AH$89,1,INT((44-(核心参数输入!$B$148)-1)/4)+2)*INDEX(核心参数输入!$B$128:$B$131,MOD(44-(核心参数输入!$B$148)-1,4)+1)),0)),0)</f>
        <v>0</v>
      </c>
      <c r="AW14" s="22">
        <f>IF(45&lt;=核心参数输入!$B$9*4,IF(核心参数输入!$B$142=0,0,IF(AND(45-(核心参数输入!$B$148)&gt;0,45-(核心参数输入!$B$148)&lt;=120),IF(COUNT(INDEX($D$23:$DT$23,1,MAX(1,MIN(121,45-(核心参数输入!$B$148)+1))))=1,INDEX($D$23:$DT$23,1,MAX(1,MIN(121,45-(核心参数输入!$B$148)+1))),INDEX(核心参数输入!$D$89:$AH$89,1,INT((45-(核心参数输入!$B$148)-1)/4)+2)*INDEX(核心参数输入!$B$128:$B$131,MOD(45-(核心参数输入!$B$148)-1,4)+1)),0)),0)</f>
        <v>0</v>
      </c>
      <c r="AX14" s="22">
        <f>IF(46&lt;=核心参数输入!$B$9*4,IF(核心参数输入!$B$142=0,0,IF(AND(46-(核心参数输入!$B$148)&gt;0,46-(核心参数输入!$B$148)&lt;=120),IF(COUNT(INDEX($D$23:$DT$23,1,MAX(1,MIN(121,46-(核心参数输入!$B$148)+1))))=1,INDEX($D$23:$DT$23,1,MAX(1,MIN(121,46-(核心参数输入!$B$148)+1))),INDEX(核心参数输入!$D$89:$AH$89,1,INT((46-(核心参数输入!$B$148)-1)/4)+2)*INDEX(核心参数输入!$B$128:$B$131,MOD(46-(核心参数输入!$B$148)-1,4)+1)),0)),0)</f>
        <v>0</v>
      </c>
      <c r="AY14" s="22">
        <f>IF(47&lt;=核心参数输入!$B$9*4,IF(核心参数输入!$B$142=0,0,IF(AND(47-(核心参数输入!$B$148)&gt;0,47-(核心参数输入!$B$148)&lt;=120),IF(COUNT(INDEX($D$23:$DT$23,1,MAX(1,MIN(121,47-(核心参数输入!$B$148)+1))))=1,INDEX($D$23:$DT$23,1,MAX(1,MIN(121,47-(核心参数输入!$B$148)+1))),INDEX(核心参数输入!$D$89:$AH$89,1,INT((47-(核心参数输入!$B$148)-1)/4)+2)*INDEX(核心参数输入!$B$128:$B$131,MOD(47-(核心参数输入!$B$148)-1,4)+1)),0)),0)</f>
        <v>0</v>
      </c>
      <c r="AZ14" s="22">
        <f>IF(48&lt;=核心参数输入!$B$9*4,IF(核心参数输入!$B$142=0,0,IF(AND(48-(核心参数输入!$B$148)&gt;0,48-(核心参数输入!$B$148)&lt;=120),IF(COUNT(INDEX($D$23:$DT$23,1,MAX(1,MIN(121,48-(核心参数输入!$B$148)+1))))=1,INDEX($D$23:$DT$23,1,MAX(1,MIN(121,48-(核心参数输入!$B$148)+1))),INDEX(核心参数输入!$D$89:$AH$89,1,INT((48-(核心参数输入!$B$148)-1)/4)+2)*INDEX(核心参数输入!$B$128:$B$131,MOD(48-(核心参数输入!$B$148)-1,4)+1)),0)),0)</f>
        <v>0</v>
      </c>
      <c r="BA14" s="22">
        <f>IF(49&lt;=核心参数输入!$B$9*4,IF(核心参数输入!$B$142=0,0,IF(AND(49-(核心参数输入!$B$148)&gt;0,49-(核心参数输入!$B$148)&lt;=120),IF(COUNT(INDEX($D$23:$DT$23,1,MAX(1,MIN(121,49-(核心参数输入!$B$148)+1))))=1,INDEX($D$23:$DT$23,1,MAX(1,MIN(121,49-(核心参数输入!$B$148)+1))),INDEX(核心参数输入!$D$89:$AH$89,1,INT((49-(核心参数输入!$B$148)-1)/4)+2)*INDEX(核心参数输入!$B$128:$B$131,MOD(49-(核心参数输入!$B$148)-1,4)+1)),0)),0)</f>
        <v>0</v>
      </c>
      <c r="BB14" s="22">
        <f>IF(50&lt;=核心参数输入!$B$9*4,IF(核心参数输入!$B$142=0,0,IF(AND(50-(核心参数输入!$B$148)&gt;0,50-(核心参数输入!$B$148)&lt;=120),IF(COUNT(INDEX($D$23:$DT$23,1,MAX(1,MIN(121,50-(核心参数输入!$B$148)+1))))=1,INDEX($D$23:$DT$23,1,MAX(1,MIN(121,50-(核心参数输入!$B$148)+1))),INDEX(核心参数输入!$D$89:$AH$89,1,INT((50-(核心参数输入!$B$148)-1)/4)+2)*INDEX(核心参数输入!$B$128:$B$131,MOD(50-(核心参数输入!$B$148)-1,4)+1)),0)),0)</f>
        <v>0</v>
      </c>
      <c r="BC14" s="22">
        <f>IF(51&lt;=核心参数输入!$B$9*4,IF(核心参数输入!$B$142=0,0,IF(AND(51-(核心参数输入!$B$148)&gt;0,51-(核心参数输入!$B$148)&lt;=120),IF(COUNT(INDEX($D$23:$DT$23,1,MAX(1,MIN(121,51-(核心参数输入!$B$148)+1))))=1,INDEX($D$23:$DT$23,1,MAX(1,MIN(121,51-(核心参数输入!$B$148)+1))),INDEX(核心参数输入!$D$89:$AH$89,1,INT((51-(核心参数输入!$B$148)-1)/4)+2)*INDEX(核心参数输入!$B$128:$B$131,MOD(51-(核心参数输入!$B$148)-1,4)+1)),0)),0)</f>
        <v>0</v>
      </c>
      <c r="BD14" s="22">
        <f>IF(52&lt;=核心参数输入!$B$9*4,IF(核心参数输入!$B$142=0,0,IF(AND(52-(核心参数输入!$B$148)&gt;0,52-(核心参数输入!$B$148)&lt;=120),IF(COUNT(INDEX($D$23:$DT$23,1,MAX(1,MIN(121,52-(核心参数输入!$B$148)+1))))=1,INDEX($D$23:$DT$23,1,MAX(1,MIN(121,52-(核心参数输入!$B$148)+1))),INDEX(核心参数输入!$D$89:$AH$89,1,INT((52-(核心参数输入!$B$148)-1)/4)+2)*INDEX(核心参数输入!$B$128:$B$131,MOD(52-(核心参数输入!$B$148)-1,4)+1)),0)),0)</f>
        <v>0</v>
      </c>
      <c r="BE14" s="22">
        <f>IF(53&lt;=核心参数输入!$B$9*4,IF(核心参数输入!$B$142=0,0,IF(AND(53-(核心参数输入!$B$148)&gt;0,53-(核心参数输入!$B$148)&lt;=120),IF(COUNT(INDEX($D$23:$DT$23,1,MAX(1,MIN(121,53-(核心参数输入!$B$148)+1))))=1,INDEX($D$23:$DT$23,1,MAX(1,MIN(121,53-(核心参数输入!$B$148)+1))),INDEX(核心参数输入!$D$89:$AH$89,1,INT((53-(核心参数输入!$B$148)-1)/4)+2)*INDEX(核心参数输入!$B$128:$B$131,MOD(53-(核心参数输入!$B$148)-1,4)+1)),0)),0)</f>
        <v>0</v>
      </c>
      <c r="BF14" s="22">
        <f>IF(54&lt;=核心参数输入!$B$9*4,IF(核心参数输入!$B$142=0,0,IF(AND(54-(核心参数输入!$B$148)&gt;0,54-(核心参数输入!$B$148)&lt;=120),IF(COUNT(INDEX($D$23:$DT$23,1,MAX(1,MIN(121,54-(核心参数输入!$B$148)+1))))=1,INDEX($D$23:$DT$23,1,MAX(1,MIN(121,54-(核心参数输入!$B$148)+1))),INDEX(核心参数输入!$D$89:$AH$89,1,INT((54-(核心参数输入!$B$148)-1)/4)+2)*INDEX(核心参数输入!$B$128:$B$131,MOD(54-(核心参数输入!$B$148)-1,4)+1)),0)),0)</f>
        <v>0</v>
      </c>
      <c r="BG14" s="22">
        <f>IF(55&lt;=核心参数输入!$B$9*4,IF(核心参数输入!$B$142=0,0,IF(AND(55-(核心参数输入!$B$148)&gt;0,55-(核心参数输入!$B$148)&lt;=120),IF(COUNT(INDEX($D$23:$DT$23,1,MAX(1,MIN(121,55-(核心参数输入!$B$148)+1))))=1,INDEX($D$23:$DT$23,1,MAX(1,MIN(121,55-(核心参数输入!$B$148)+1))),INDEX(核心参数输入!$D$89:$AH$89,1,INT((55-(核心参数输入!$B$148)-1)/4)+2)*INDEX(核心参数输入!$B$128:$B$131,MOD(55-(核心参数输入!$B$148)-1,4)+1)),0)),0)</f>
        <v>0</v>
      </c>
      <c r="BH14" s="22">
        <f>IF(56&lt;=核心参数输入!$B$9*4,IF(核心参数输入!$B$142=0,0,IF(AND(56-(核心参数输入!$B$148)&gt;0,56-(核心参数输入!$B$148)&lt;=120),IF(COUNT(INDEX($D$23:$DT$23,1,MAX(1,MIN(121,56-(核心参数输入!$B$148)+1))))=1,INDEX($D$23:$DT$23,1,MAX(1,MIN(121,56-(核心参数输入!$B$148)+1))),INDEX(核心参数输入!$D$89:$AH$89,1,INT((56-(核心参数输入!$B$148)-1)/4)+2)*INDEX(核心参数输入!$B$128:$B$131,MOD(56-(核心参数输入!$B$148)-1,4)+1)),0)),0)</f>
        <v>0</v>
      </c>
      <c r="BI14" s="22">
        <f>IF(57&lt;=核心参数输入!$B$9*4,IF(核心参数输入!$B$142=0,0,IF(AND(57-(核心参数输入!$B$148)&gt;0,57-(核心参数输入!$B$148)&lt;=120),IF(COUNT(INDEX($D$23:$DT$23,1,MAX(1,MIN(121,57-(核心参数输入!$B$148)+1))))=1,INDEX($D$23:$DT$23,1,MAX(1,MIN(121,57-(核心参数输入!$B$148)+1))),INDEX(核心参数输入!$D$89:$AH$89,1,INT((57-(核心参数输入!$B$148)-1)/4)+2)*INDEX(核心参数输入!$B$128:$B$131,MOD(57-(核心参数输入!$B$148)-1,4)+1)),0)),0)</f>
        <v>0</v>
      </c>
      <c r="BJ14" s="22">
        <f>IF(58&lt;=核心参数输入!$B$9*4,IF(核心参数输入!$B$142=0,0,IF(AND(58-(核心参数输入!$B$148)&gt;0,58-(核心参数输入!$B$148)&lt;=120),IF(COUNT(INDEX($D$23:$DT$23,1,MAX(1,MIN(121,58-(核心参数输入!$B$148)+1))))=1,INDEX($D$23:$DT$23,1,MAX(1,MIN(121,58-(核心参数输入!$B$148)+1))),INDEX(核心参数输入!$D$89:$AH$89,1,INT((58-(核心参数输入!$B$148)-1)/4)+2)*INDEX(核心参数输入!$B$128:$B$131,MOD(58-(核心参数输入!$B$148)-1,4)+1)),0)),0)</f>
        <v>0</v>
      </c>
      <c r="BK14" s="22">
        <f>IF(59&lt;=核心参数输入!$B$9*4,IF(核心参数输入!$B$142=0,0,IF(AND(59-(核心参数输入!$B$148)&gt;0,59-(核心参数输入!$B$148)&lt;=120),IF(COUNT(INDEX($D$23:$DT$23,1,MAX(1,MIN(121,59-(核心参数输入!$B$148)+1))))=1,INDEX($D$23:$DT$23,1,MAX(1,MIN(121,59-(核心参数输入!$B$148)+1))),INDEX(核心参数输入!$D$89:$AH$89,1,INT((59-(核心参数输入!$B$148)-1)/4)+2)*INDEX(核心参数输入!$B$128:$B$131,MOD(59-(核心参数输入!$B$148)-1,4)+1)),0)),0)</f>
        <v>0</v>
      </c>
      <c r="BL14" s="22">
        <f>IF(60&lt;=核心参数输入!$B$9*4,IF(核心参数输入!$B$142=0,0,IF(AND(60-(核心参数输入!$B$148)&gt;0,60-(核心参数输入!$B$148)&lt;=120),IF(COUNT(INDEX($D$23:$DT$23,1,MAX(1,MIN(121,60-(核心参数输入!$B$148)+1))))=1,INDEX($D$23:$DT$23,1,MAX(1,MIN(121,60-(核心参数输入!$B$148)+1))),INDEX(核心参数输入!$D$89:$AH$89,1,INT((60-(核心参数输入!$B$148)-1)/4)+2)*INDEX(核心参数输入!$B$128:$B$131,MOD(60-(核心参数输入!$B$148)-1,4)+1)),0)),0)</f>
        <v>0</v>
      </c>
      <c r="BM14" s="22">
        <f>IF(61&lt;=核心参数输入!$B$9*4,IF(核心参数输入!$B$142=0,0,IF(AND(61-(核心参数输入!$B$148)&gt;0,61-(核心参数输入!$B$148)&lt;=120),IF(COUNT(INDEX($D$23:$DT$23,1,MAX(1,MIN(121,61-(核心参数输入!$B$148)+1))))=1,INDEX($D$23:$DT$23,1,MAX(1,MIN(121,61-(核心参数输入!$B$148)+1))),INDEX(核心参数输入!$D$89:$AH$89,1,INT((61-(核心参数输入!$B$148)-1)/4)+2)*INDEX(核心参数输入!$B$128:$B$131,MOD(61-(核心参数输入!$B$148)-1,4)+1)),0)),0)</f>
        <v>0</v>
      </c>
      <c r="BN14" s="22">
        <f>IF(62&lt;=核心参数输入!$B$9*4,IF(核心参数输入!$B$142=0,0,IF(AND(62-(核心参数输入!$B$148)&gt;0,62-(核心参数输入!$B$148)&lt;=120),IF(COUNT(INDEX($D$23:$DT$23,1,MAX(1,MIN(121,62-(核心参数输入!$B$148)+1))))=1,INDEX($D$23:$DT$23,1,MAX(1,MIN(121,62-(核心参数输入!$B$148)+1))),INDEX(核心参数输入!$D$89:$AH$89,1,INT((62-(核心参数输入!$B$148)-1)/4)+2)*INDEX(核心参数输入!$B$128:$B$131,MOD(62-(核心参数输入!$B$148)-1,4)+1)),0)),0)</f>
        <v>0</v>
      </c>
      <c r="BO14" s="22">
        <f>IF(63&lt;=核心参数输入!$B$9*4,IF(核心参数输入!$B$142=0,0,IF(AND(63-(核心参数输入!$B$148)&gt;0,63-(核心参数输入!$B$148)&lt;=120),IF(COUNT(INDEX($D$23:$DT$23,1,MAX(1,MIN(121,63-(核心参数输入!$B$148)+1))))=1,INDEX($D$23:$DT$23,1,MAX(1,MIN(121,63-(核心参数输入!$B$148)+1))),INDEX(核心参数输入!$D$89:$AH$89,1,INT((63-(核心参数输入!$B$148)-1)/4)+2)*INDEX(核心参数输入!$B$128:$B$131,MOD(63-(核心参数输入!$B$148)-1,4)+1)),0)),0)</f>
        <v>0</v>
      </c>
      <c r="BP14" s="22">
        <f>IF(64&lt;=核心参数输入!$B$9*4,IF(核心参数输入!$B$142=0,0,IF(AND(64-(核心参数输入!$B$148)&gt;0,64-(核心参数输入!$B$148)&lt;=120),IF(COUNT(INDEX($D$23:$DT$23,1,MAX(1,MIN(121,64-(核心参数输入!$B$148)+1))))=1,INDEX($D$23:$DT$23,1,MAX(1,MIN(121,64-(核心参数输入!$B$148)+1))),INDEX(核心参数输入!$D$89:$AH$89,1,INT((64-(核心参数输入!$B$148)-1)/4)+2)*INDEX(核心参数输入!$B$128:$B$131,MOD(64-(核心参数输入!$B$148)-1,4)+1)),0)),0)</f>
        <v>0</v>
      </c>
      <c r="BQ14" s="22">
        <f>IF(65&lt;=核心参数输入!$B$9*4,IF(核心参数输入!$B$142=0,0,IF(AND(65-(核心参数输入!$B$148)&gt;0,65-(核心参数输入!$B$148)&lt;=120),IF(COUNT(INDEX($D$23:$DT$23,1,MAX(1,MIN(121,65-(核心参数输入!$B$148)+1))))=1,INDEX($D$23:$DT$23,1,MAX(1,MIN(121,65-(核心参数输入!$B$148)+1))),INDEX(核心参数输入!$D$89:$AH$89,1,INT((65-(核心参数输入!$B$148)-1)/4)+2)*INDEX(核心参数输入!$B$128:$B$131,MOD(65-(核心参数输入!$B$148)-1,4)+1)),0)),0)</f>
        <v>0</v>
      </c>
      <c r="BR14" s="22">
        <f>IF(66&lt;=核心参数输入!$B$9*4,IF(核心参数输入!$B$142=0,0,IF(AND(66-(核心参数输入!$B$148)&gt;0,66-(核心参数输入!$B$148)&lt;=120),IF(COUNT(INDEX($D$23:$DT$23,1,MAX(1,MIN(121,66-(核心参数输入!$B$148)+1))))=1,INDEX($D$23:$DT$23,1,MAX(1,MIN(121,66-(核心参数输入!$B$148)+1))),INDEX(核心参数输入!$D$89:$AH$89,1,INT((66-(核心参数输入!$B$148)-1)/4)+2)*INDEX(核心参数输入!$B$128:$B$131,MOD(66-(核心参数输入!$B$148)-1,4)+1)),0)),0)</f>
        <v>0</v>
      </c>
      <c r="BS14" s="22">
        <f>IF(67&lt;=核心参数输入!$B$9*4,IF(核心参数输入!$B$142=0,0,IF(AND(67-(核心参数输入!$B$148)&gt;0,67-(核心参数输入!$B$148)&lt;=120),IF(COUNT(INDEX($D$23:$DT$23,1,MAX(1,MIN(121,67-(核心参数输入!$B$148)+1))))=1,INDEX($D$23:$DT$23,1,MAX(1,MIN(121,67-(核心参数输入!$B$148)+1))),INDEX(核心参数输入!$D$89:$AH$89,1,INT((67-(核心参数输入!$B$148)-1)/4)+2)*INDEX(核心参数输入!$B$128:$B$131,MOD(67-(核心参数输入!$B$148)-1,4)+1)),0)),0)</f>
        <v>0</v>
      </c>
      <c r="BT14" s="22">
        <f>IF(68&lt;=核心参数输入!$B$9*4,IF(核心参数输入!$B$142=0,0,IF(AND(68-(核心参数输入!$B$148)&gt;0,68-(核心参数输入!$B$148)&lt;=120),IF(COUNT(INDEX($D$23:$DT$23,1,MAX(1,MIN(121,68-(核心参数输入!$B$148)+1))))=1,INDEX($D$23:$DT$23,1,MAX(1,MIN(121,68-(核心参数输入!$B$148)+1))),INDEX(核心参数输入!$D$89:$AH$89,1,INT((68-(核心参数输入!$B$148)-1)/4)+2)*INDEX(核心参数输入!$B$128:$B$131,MOD(68-(核心参数输入!$B$148)-1,4)+1)),0)),0)</f>
        <v>0</v>
      </c>
      <c r="BU14" s="22">
        <f>IF(69&lt;=核心参数输入!$B$9*4,IF(核心参数输入!$B$142=0,0,IF(AND(69-(核心参数输入!$B$148)&gt;0,69-(核心参数输入!$B$148)&lt;=120),IF(COUNT(INDEX($D$23:$DT$23,1,MAX(1,MIN(121,69-(核心参数输入!$B$148)+1))))=1,INDEX($D$23:$DT$23,1,MAX(1,MIN(121,69-(核心参数输入!$B$148)+1))),INDEX(核心参数输入!$D$89:$AH$89,1,INT((69-(核心参数输入!$B$148)-1)/4)+2)*INDEX(核心参数输入!$B$128:$B$131,MOD(69-(核心参数输入!$B$148)-1,4)+1)),0)),0)</f>
        <v>0</v>
      </c>
      <c r="BV14" s="22">
        <f>IF(70&lt;=核心参数输入!$B$9*4,IF(核心参数输入!$B$142=0,0,IF(AND(70-(核心参数输入!$B$148)&gt;0,70-(核心参数输入!$B$148)&lt;=120),IF(COUNT(INDEX($D$23:$DT$23,1,MAX(1,MIN(121,70-(核心参数输入!$B$148)+1))))=1,INDEX($D$23:$DT$23,1,MAX(1,MIN(121,70-(核心参数输入!$B$148)+1))),INDEX(核心参数输入!$D$89:$AH$89,1,INT((70-(核心参数输入!$B$148)-1)/4)+2)*INDEX(核心参数输入!$B$128:$B$131,MOD(70-(核心参数输入!$B$148)-1,4)+1)),0)),0)</f>
        <v>0</v>
      </c>
      <c r="BW14" s="22">
        <f>IF(71&lt;=核心参数输入!$B$9*4,IF(核心参数输入!$B$142=0,0,IF(AND(71-(核心参数输入!$B$148)&gt;0,71-(核心参数输入!$B$148)&lt;=120),IF(COUNT(INDEX($D$23:$DT$23,1,MAX(1,MIN(121,71-(核心参数输入!$B$148)+1))))=1,INDEX($D$23:$DT$23,1,MAX(1,MIN(121,71-(核心参数输入!$B$148)+1))),INDEX(核心参数输入!$D$89:$AH$89,1,INT((71-(核心参数输入!$B$148)-1)/4)+2)*INDEX(核心参数输入!$B$128:$B$131,MOD(71-(核心参数输入!$B$148)-1,4)+1)),0)),0)</f>
        <v>0</v>
      </c>
      <c r="BX14" s="22">
        <f>IF(72&lt;=核心参数输入!$B$9*4,IF(核心参数输入!$B$142=0,0,IF(AND(72-(核心参数输入!$B$148)&gt;0,72-(核心参数输入!$B$148)&lt;=120),IF(COUNT(INDEX($D$23:$DT$23,1,MAX(1,MIN(121,72-(核心参数输入!$B$148)+1))))=1,INDEX($D$23:$DT$23,1,MAX(1,MIN(121,72-(核心参数输入!$B$148)+1))),INDEX(核心参数输入!$D$89:$AH$89,1,INT((72-(核心参数输入!$B$148)-1)/4)+2)*INDEX(核心参数输入!$B$128:$B$131,MOD(72-(核心参数输入!$B$148)-1,4)+1)),0)),0)</f>
        <v>0</v>
      </c>
      <c r="BY14" s="22">
        <f>IF(73&lt;=核心参数输入!$B$9*4,IF(核心参数输入!$B$142=0,0,IF(AND(73-(核心参数输入!$B$148)&gt;0,73-(核心参数输入!$B$148)&lt;=120),IF(COUNT(INDEX($D$23:$DT$23,1,MAX(1,MIN(121,73-(核心参数输入!$B$148)+1))))=1,INDEX($D$23:$DT$23,1,MAX(1,MIN(121,73-(核心参数输入!$B$148)+1))),INDEX(核心参数输入!$D$89:$AH$89,1,INT((73-(核心参数输入!$B$148)-1)/4)+2)*INDEX(核心参数输入!$B$128:$B$131,MOD(73-(核心参数输入!$B$148)-1,4)+1)),0)),0)</f>
        <v>0</v>
      </c>
      <c r="BZ14" s="22">
        <f>IF(74&lt;=核心参数输入!$B$9*4,IF(核心参数输入!$B$142=0,0,IF(AND(74-(核心参数输入!$B$148)&gt;0,74-(核心参数输入!$B$148)&lt;=120),IF(COUNT(INDEX($D$23:$DT$23,1,MAX(1,MIN(121,74-(核心参数输入!$B$148)+1))))=1,INDEX($D$23:$DT$23,1,MAX(1,MIN(121,74-(核心参数输入!$B$148)+1))),INDEX(核心参数输入!$D$89:$AH$89,1,INT((74-(核心参数输入!$B$148)-1)/4)+2)*INDEX(核心参数输入!$B$128:$B$131,MOD(74-(核心参数输入!$B$148)-1,4)+1)),0)),0)</f>
        <v>0</v>
      </c>
      <c r="CA14" s="22">
        <f>IF(75&lt;=核心参数输入!$B$9*4,IF(核心参数输入!$B$142=0,0,IF(AND(75-(核心参数输入!$B$148)&gt;0,75-(核心参数输入!$B$148)&lt;=120),IF(COUNT(INDEX($D$23:$DT$23,1,MAX(1,MIN(121,75-(核心参数输入!$B$148)+1))))=1,INDEX($D$23:$DT$23,1,MAX(1,MIN(121,75-(核心参数输入!$B$148)+1))),INDEX(核心参数输入!$D$89:$AH$89,1,INT((75-(核心参数输入!$B$148)-1)/4)+2)*INDEX(核心参数输入!$B$128:$B$131,MOD(75-(核心参数输入!$B$148)-1,4)+1)),0)),0)</f>
        <v>0</v>
      </c>
      <c r="CB14" s="22">
        <f>IF(76&lt;=核心参数输入!$B$9*4,IF(核心参数输入!$B$142=0,0,IF(AND(76-(核心参数输入!$B$148)&gt;0,76-(核心参数输入!$B$148)&lt;=120),IF(COUNT(INDEX($D$23:$DT$23,1,MAX(1,MIN(121,76-(核心参数输入!$B$148)+1))))=1,INDEX($D$23:$DT$23,1,MAX(1,MIN(121,76-(核心参数输入!$B$148)+1))),INDEX(核心参数输入!$D$89:$AH$89,1,INT((76-(核心参数输入!$B$148)-1)/4)+2)*INDEX(核心参数输入!$B$128:$B$131,MOD(76-(核心参数输入!$B$148)-1,4)+1)),0)),0)</f>
        <v>0</v>
      </c>
      <c r="CC14" s="22">
        <f>IF(77&lt;=核心参数输入!$B$9*4,IF(核心参数输入!$B$142=0,0,IF(AND(77-(核心参数输入!$B$148)&gt;0,77-(核心参数输入!$B$148)&lt;=120),IF(COUNT(INDEX($D$23:$DT$23,1,MAX(1,MIN(121,77-(核心参数输入!$B$148)+1))))=1,INDEX($D$23:$DT$23,1,MAX(1,MIN(121,77-(核心参数输入!$B$148)+1))),INDEX(核心参数输入!$D$89:$AH$89,1,INT((77-(核心参数输入!$B$148)-1)/4)+2)*INDEX(核心参数输入!$B$128:$B$131,MOD(77-(核心参数输入!$B$148)-1,4)+1)),0)),0)</f>
        <v>0</v>
      </c>
      <c r="CD14" s="22">
        <f>IF(78&lt;=核心参数输入!$B$9*4,IF(核心参数输入!$B$142=0,0,IF(AND(78-(核心参数输入!$B$148)&gt;0,78-(核心参数输入!$B$148)&lt;=120),IF(COUNT(INDEX($D$23:$DT$23,1,MAX(1,MIN(121,78-(核心参数输入!$B$148)+1))))=1,INDEX($D$23:$DT$23,1,MAX(1,MIN(121,78-(核心参数输入!$B$148)+1))),INDEX(核心参数输入!$D$89:$AH$89,1,INT((78-(核心参数输入!$B$148)-1)/4)+2)*INDEX(核心参数输入!$B$128:$B$131,MOD(78-(核心参数输入!$B$148)-1,4)+1)),0)),0)</f>
        <v>0</v>
      </c>
      <c r="CE14" s="22">
        <f>IF(79&lt;=核心参数输入!$B$9*4,IF(核心参数输入!$B$142=0,0,IF(AND(79-(核心参数输入!$B$148)&gt;0,79-(核心参数输入!$B$148)&lt;=120),IF(COUNT(INDEX($D$23:$DT$23,1,MAX(1,MIN(121,79-(核心参数输入!$B$148)+1))))=1,INDEX($D$23:$DT$23,1,MAX(1,MIN(121,79-(核心参数输入!$B$148)+1))),INDEX(核心参数输入!$D$89:$AH$89,1,INT((79-(核心参数输入!$B$148)-1)/4)+2)*INDEX(核心参数输入!$B$128:$B$131,MOD(79-(核心参数输入!$B$148)-1,4)+1)),0)),0)</f>
        <v>0</v>
      </c>
      <c r="CF14" s="22">
        <f>IF(80&lt;=核心参数输入!$B$9*4,IF(核心参数输入!$B$142=0,0,IF(AND(80-(核心参数输入!$B$148)&gt;0,80-(核心参数输入!$B$148)&lt;=120),IF(COUNT(INDEX($D$23:$DT$23,1,MAX(1,MIN(121,80-(核心参数输入!$B$148)+1))))=1,INDEX($D$23:$DT$23,1,MAX(1,MIN(121,80-(核心参数输入!$B$148)+1))),INDEX(核心参数输入!$D$89:$AH$89,1,INT((80-(核心参数输入!$B$148)-1)/4)+2)*INDEX(核心参数输入!$B$128:$B$131,MOD(80-(核心参数输入!$B$148)-1,4)+1)),0)),0)</f>
        <v>0</v>
      </c>
      <c r="CG14" s="22">
        <f>IF(81&lt;=核心参数输入!$B$9*4,IF(核心参数输入!$B$142=0,0,IF(AND(81-(核心参数输入!$B$148)&gt;0,81-(核心参数输入!$B$148)&lt;=120),IF(COUNT(INDEX($D$23:$DT$23,1,MAX(1,MIN(121,81-(核心参数输入!$B$148)+1))))=1,INDEX($D$23:$DT$23,1,MAX(1,MIN(121,81-(核心参数输入!$B$148)+1))),INDEX(核心参数输入!$D$89:$AH$89,1,INT((81-(核心参数输入!$B$148)-1)/4)+2)*INDEX(核心参数输入!$B$128:$B$131,MOD(81-(核心参数输入!$B$148)-1,4)+1)),0)),0)</f>
        <v>0</v>
      </c>
      <c r="CH14" s="22">
        <f>IF(82&lt;=核心参数输入!$B$9*4,IF(核心参数输入!$B$142=0,0,IF(AND(82-(核心参数输入!$B$148)&gt;0,82-(核心参数输入!$B$148)&lt;=120),IF(COUNT(INDEX($D$23:$DT$23,1,MAX(1,MIN(121,82-(核心参数输入!$B$148)+1))))=1,INDEX($D$23:$DT$23,1,MAX(1,MIN(121,82-(核心参数输入!$B$148)+1))),INDEX(核心参数输入!$D$89:$AH$89,1,INT((82-(核心参数输入!$B$148)-1)/4)+2)*INDEX(核心参数输入!$B$128:$B$131,MOD(82-(核心参数输入!$B$148)-1,4)+1)),0)),0)</f>
        <v>0</v>
      </c>
      <c r="CI14" s="22">
        <f>IF(83&lt;=核心参数输入!$B$9*4,IF(核心参数输入!$B$142=0,0,IF(AND(83-(核心参数输入!$B$148)&gt;0,83-(核心参数输入!$B$148)&lt;=120),IF(COUNT(INDEX($D$23:$DT$23,1,MAX(1,MIN(121,83-(核心参数输入!$B$148)+1))))=1,INDEX($D$23:$DT$23,1,MAX(1,MIN(121,83-(核心参数输入!$B$148)+1))),INDEX(核心参数输入!$D$89:$AH$89,1,INT((83-(核心参数输入!$B$148)-1)/4)+2)*INDEX(核心参数输入!$B$128:$B$131,MOD(83-(核心参数输入!$B$148)-1,4)+1)),0)),0)</f>
        <v>0</v>
      </c>
      <c r="CJ14" s="22">
        <f>IF(84&lt;=核心参数输入!$B$9*4,IF(核心参数输入!$B$142=0,0,IF(AND(84-(核心参数输入!$B$148)&gt;0,84-(核心参数输入!$B$148)&lt;=120),IF(COUNT(INDEX($D$23:$DT$23,1,MAX(1,MIN(121,84-(核心参数输入!$B$148)+1))))=1,INDEX($D$23:$DT$23,1,MAX(1,MIN(121,84-(核心参数输入!$B$148)+1))),INDEX(核心参数输入!$D$89:$AH$89,1,INT((84-(核心参数输入!$B$148)-1)/4)+2)*INDEX(核心参数输入!$B$128:$B$131,MOD(84-(核心参数输入!$B$148)-1,4)+1)),0)),0)</f>
        <v>0</v>
      </c>
      <c r="CK14" s="22">
        <f>IF(85&lt;=核心参数输入!$B$9*4,IF(核心参数输入!$B$142=0,0,IF(AND(85-(核心参数输入!$B$148)&gt;0,85-(核心参数输入!$B$148)&lt;=120),IF(COUNT(INDEX($D$23:$DT$23,1,MAX(1,MIN(121,85-(核心参数输入!$B$148)+1))))=1,INDEX($D$23:$DT$23,1,MAX(1,MIN(121,85-(核心参数输入!$B$148)+1))),INDEX(核心参数输入!$D$89:$AH$89,1,INT((85-(核心参数输入!$B$148)-1)/4)+2)*INDEX(核心参数输入!$B$128:$B$131,MOD(85-(核心参数输入!$B$148)-1,4)+1)),0)),0)</f>
        <v>0</v>
      </c>
      <c r="CL14" s="22">
        <f>IF(86&lt;=核心参数输入!$B$9*4,IF(核心参数输入!$B$142=0,0,IF(AND(86-(核心参数输入!$B$148)&gt;0,86-(核心参数输入!$B$148)&lt;=120),IF(COUNT(INDEX($D$23:$DT$23,1,MAX(1,MIN(121,86-(核心参数输入!$B$148)+1))))=1,INDEX($D$23:$DT$23,1,MAX(1,MIN(121,86-(核心参数输入!$B$148)+1))),INDEX(核心参数输入!$D$89:$AH$89,1,INT((86-(核心参数输入!$B$148)-1)/4)+2)*INDEX(核心参数输入!$B$128:$B$131,MOD(86-(核心参数输入!$B$148)-1,4)+1)),0)),0)</f>
        <v>0</v>
      </c>
      <c r="CM14" s="22">
        <f>IF(87&lt;=核心参数输入!$B$9*4,IF(核心参数输入!$B$142=0,0,IF(AND(87-(核心参数输入!$B$148)&gt;0,87-(核心参数输入!$B$148)&lt;=120),IF(COUNT(INDEX($D$23:$DT$23,1,MAX(1,MIN(121,87-(核心参数输入!$B$148)+1))))=1,INDEX($D$23:$DT$23,1,MAX(1,MIN(121,87-(核心参数输入!$B$148)+1))),INDEX(核心参数输入!$D$89:$AH$89,1,INT((87-(核心参数输入!$B$148)-1)/4)+2)*INDEX(核心参数输入!$B$128:$B$131,MOD(87-(核心参数输入!$B$148)-1,4)+1)),0)),0)</f>
        <v>0</v>
      </c>
      <c r="CN14" s="22">
        <f>IF(88&lt;=核心参数输入!$B$9*4,IF(核心参数输入!$B$142=0,0,IF(AND(88-(核心参数输入!$B$148)&gt;0,88-(核心参数输入!$B$148)&lt;=120),IF(COUNT(INDEX($D$23:$DT$23,1,MAX(1,MIN(121,88-(核心参数输入!$B$148)+1))))=1,INDEX($D$23:$DT$23,1,MAX(1,MIN(121,88-(核心参数输入!$B$148)+1))),INDEX(核心参数输入!$D$89:$AH$89,1,INT((88-(核心参数输入!$B$148)-1)/4)+2)*INDEX(核心参数输入!$B$128:$B$131,MOD(88-(核心参数输入!$B$148)-1,4)+1)),0)),0)</f>
        <v>0</v>
      </c>
      <c r="CO14" s="22">
        <f>IF(89&lt;=核心参数输入!$B$9*4,IF(核心参数输入!$B$142=0,0,IF(AND(89-(核心参数输入!$B$148)&gt;0,89-(核心参数输入!$B$148)&lt;=120),IF(COUNT(INDEX($D$23:$DT$23,1,MAX(1,MIN(121,89-(核心参数输入!$B$148)+1))))=1,INDEX($D$23:$DT$23,1,MAX(1,MIN(121,89-(核心参数输入!$B$148)+1))),INDEX(核心参数输入!$D$89:$AH$89,1,INT((89-(核心参数输入!$B$148)-1)/4)+2)*INDEX(核心参数输入!$B$128:$B$131,MOD(89-(核心参数输入!$B$148)-1,4)+1)),0)),0)</f>
        <v>0</v>
      </c>
      <c r="CP14" s="22">
        <f>IF(90&lt;=核心参数输入!$B$9*4,IF(核心参数输入!$B$142=0,0,IF(AND(90-(核心参数输入!$B$148)&gt;0,90-(核心参数输入!$B$148)&lt;=120),IF(COUNT(INDEX($D$23:$DT$23,1,MAX(1,MIN(121,90-(核心参数输入!$B$148)+1))))=1,INDEX($D$23:$DT$23,1,MAX(1,MIN(121,90-(核心参数输入!$B$148)+1))),INDEX(核心参数输入!$D$89:$AH$89,1,INT((90-(核心参数输入!$B$148)-1)/4)+2)*INDEX(核心参数输入!$B$128:$B$131,MOD(90-(核心参数输入!$B$148)-1,4)+1)),0)),0)</f>
        <v>0</v>
      </c>
      <c r="CQ14" s="22">
        <f>IF(91&lt;=核心参数输入!$B$9*4,IF(核心参数输入!$B$142=0,0,IF(AND(91-(核心参数输入!$B$148)&gt;0,91-(核心参数输入!$B$148)&lt;=120),IF(COUNT(INDEX($D$23:$DT$23,1,MAX(1,MIN(121,91-(核心参数输入!$B$148)+1))))=1,INDEX($D$23:$DT$23,1,MAX(1,MIN(121,91-(核心参数输入!$B$148)+1))),INDEX(核心参数输入!$D$89:$AH$89,1,INT((91-(核心参数输入!$B$148)-1)/4)+2)*INDEX(核心参数输入!$B$128:$B$131,MOD(91-(核心参数输入!$B$148)-1,4)+1)),0)),0)</f>
        <v>0</v>
      </c>
      <c r="CR14" s="22">
        <f>IF(92&lt;=核心参数输入!$B$9*4,IF(核心参数输入!$B$142=0,0,IF(AND(92-(核心参数输入!$B$148)&gt;0,92-(核心参数输入!$B$148)&lt;=120),IF(COUNT(INDEX($D$23:$DT$23,1,MAX(1,MIN(121,92-(核心参数输入!$B$148)+1))))=1,INDEX($D$23:$DT$23,1,MAX(1,MIN(121,92-(核心参数输入!$B$148)+1))),INDEX(核心参数输入!$D$89:$AH$89,1,INT((92-(核心参数输入!$B$148)-1)/4)+2)*INDEX(核心参数输入!$B$128:$B$131,MOD(92-(核心参数输入!$B$148)-1,4)+1)),0)),0)</f>
        <v>0</v>
      </c>
      <c r="CS14" s="22">
        <f>IF(93&lt;=核心参数输入!$B$9*4,IF(核心参数输入!$B$142=0,0,IF(AND(93-(核心参数输入!$B$148)&gt;0,93-(核心参数输入!$B$148)&lt;=120),IF(COUNT(INDEX($D$23:$DT$23,1,MAX(1,MIN(121,93-(核心参数输入!$B$148)+1))))=1,INDEX($D$23:$DT$23,1,MAX(1,MIN(121,93-(核心参数输入!$B$148)+1))),INDEX(核心参数输入!$D$89:$AH$89,1,INT((93-(核心参数输入!$B$148)-1)/4)+2)*INDEX(核心参数输入!$B$128:$B$131,MOD(93-(核心参数输入!$B$148)-1,4)+1)),0)),0)</f>
        <v>0</v>
      </c>
      <c r="CT14" s="22">
        <f>IF(94&lt;=核心参数输入!$B$9*4,IF(核心参数输入!$B$142=0,0,IF(AND(94-(核心参数输入!$B$148)&gt;0,94-(核心参数输入!$B$148)&lt;=120),IF(COUNT(INDEX($D$23:$DT$23,1,MAX(1,MIN(121,94-(核心参数输入!$B$148)+1))))=1,INDEX($D$23:$DT$23,1,MAX(1,MIN(121,94-(核心参数输入!$B$148)+1))),INDEX(核心参数输入!$D$89:$AH$89,1,INT((94-(核心参数输入!$B$148)-1)/4)+2)*INDEX(核心参数输入!$B$128:$B$131,MOD(94-(核心参数输入!$B$148)-1,4)+1)),0)),0)</f>
        <v>0</v>
      </c>
      <c r="CU14" s="22">
        <f>IF(95&lt;=核心参数输入!$B$9*4,IF(核心参数输入!$B$142=0,0,IF(AND(95-(核心参数输入!$B$148)&gt;0,95-(核心参数输入!$B$148)&lt;=120),IF(COUNT(INDEX($D$23:$DT$23,1,MAX(1,MIN(121,95-(核心参数输入!$B$148)+1))))=1,INDEX($D$23:$DT$23,1,MAX(1,MIN(121,95-(核心参数输入!$B$148)+1))),INDEX(核心参数输入!$D$89:$AH$89,1,INT((95-(核心参数输入!$B$148)-1)/4)+2)*INDEX(核心参数输入!$B$128:$B$131,MOD(95-(核心参数输入!$B$148)-1,4)+1)),0)),0)</f>
        <v>0</v>
      </c>
      <c r="CV14" s="22">
        <f>IF(96&lt;=核心参数输入!$B$9*4,IF(核心参数输入!$B$142=0,0,IF(AND(96-(核心参数输入!$B$148)&gt;0,96-(核心参数输入!$B$148)&lt;=120),IF(COUNT(INDEX($D$23:$DT$23,1,MAX(1,MIN(121,96-(核心参数输入!$B$148)+1))))=1,INDEX($D$23:$DT$23,1,MAX(1,MIN(121,96-(核心参数输入!$B$148)+1))),INDEX(核心参数输入!$D$89:$AH$89,1,INT((96-(核心参数输入!$B$148)-1)/4)+2)*INDEX(核心参数输入!$B$128:$B$131,MOD(96-(核心参数输入!$B$148)-1,4)+1)),0)),0)</f>
        <v>0</v>
      </c>
      <c r="CW14" s="22">
        <f>IF(97&lt;=核心参数输入!$B$9*4,IF(核心参数输入!$B$142=0,0,IF(AND(97-(核心参数输入!$B$148)&gt;0,97-(核心参数输入!$B$148)&lt;=120),IF(COUNT(INDEX($D$23:$DT$23,1,MAX(1,MIN(121,97-(核心参数输入!$B$148)+1))))=1,INDEX($D$23:$DT$23,1,MAX(1,MIN(121,97-(核心参数输入!$B$148)+1))),INDEX(核心参数输入!$D$89:$AH$89,1,INT((97-(核心参数输入!$B$148)-1)/4)+2)*INDEX(核心参数输入!$B$128:$B$131,MOD(97-(核心参数输入!$B$148)-1,4)+1)),0)),0)</f>
        <v>0</v>
      </c>
      <c r="CX14" s="22">
        <f>IF(98&lt;=核心参数输入!$B$9*4,IF(核心参数输入!$B$142=0,0,IF(AND(98-(核心参数输入!$B$148)&gt;0,98-(核心参数输入!$B$148)&lt;=120),IF(COUNT(INDEX($D$23:$DT$23,1,MAX(1,MIN(121,98-(核心参数输入!$B$148)+1))))=1,INDEX($D$23:$DT$23,1,MAX(1,MIN(121,98-(核心参数输入!$B$148)+1))),INDEX(核心参数输入!$D$89:$AH$89,1,INT((98-(核心参数输入!$B$148)-1)/4)+2)*INDEX(核心参数输入!$B$128:$B$131,MOD(98-(核心参数输入!$B$148)-1,4)+1)),0)),0)</f>
        <v>0</v>
      </c>
      <c r="CY14" s="22">
        <f>IF(99&lt;=核心参数输入!$B$9*4,IF(核心参数输入!$B$142=0,0,IF(AND(99-(核心参数输入!$B$148)&gt;0,99-(核心参数输入!$B$148)&lt;=120),IF(COUNT(INDEX($D$23:$DT$23,1,MAX(1,MIN(121,99-(核心参数输入!$B$148)+1))))=1,INDEX($D$23:$DT$23,1,MAX(1,MIN(121,99-(核心参数输入!$B$148)+1))),INDEX(核心参数输入!$D$89:$AH$89,1,INT((99-(核心参数输入!$B$148)-1)/4)+2)*INDEX(核心参数输入!$B$128:$B$131,MOD(99-(核心参数输入!$B$148)-1,4)+1)),0)),0)</f>
        <v>0</v>
      </c>
      <c r="CZ14" s="22">
        <f>IF(100&lt;=核心参数输入!$B$9*4,IF(核心参数输入!$B$142=0,0,IF(AND(100-(核心参数输入!$B$148)&gt;0,100-(核心参数输入!$B$148)&lt;=120),IF(COUNT(INDEX($D$23:$DT$23,1,MAX(1,MIN(121,100-(核心参数输入!$B$148)+1))))=1,INDEX($D$23:$DT$23,1,MAX(1,MIN(121,100-(核心参数输入!$B$148)+1))),INDEX(核心参数输入!$D$89:$AH$89,1,INT((100-(核心参数输入!$B$148)-1)/4)+2)*INDEX(核心参数输入!$B$128:$B$131,MOD(100-(核心参数输入!$B$148)-1,4)+1)),0)),0)</f>
        <v>0</v>
      </c>
      <c r="DA14" s="22">
        <f>IF(101&lt;=核心参数输入!$B$9*4,IF(核心参数输入!$B$142=0,0,IF(AND(101-(核心参数输入!$B$148)&gt;0,101-(核心参数输入!$B$148)&lt;=120),IF(COUNT(INDEX($D$23:$DT$23,1,MAX(1,MIN(121,101-(核心参数输入!$B$148)+1))))=1,INDEX($D$23:$DT$23,1,MAX(1,MIN(121,101-(核心参数输入!$B$148)+1))),INDEX(核心参数输入!$D$89:$AH$89,1,INT((101-(核心参数输入!$B$148)-1)/4)+2)*INDEX(核心参数输入!$B$128:$B$131,MOD(101-(核心参数输入!$B$148)-1,4)+1)),0)),0)</f>
        <v>0</v>
      </c>
      <c r="DB14" s="22">
        <f>IF(102&lt;=核心参数输入!$B$9*4,IF(核心参数输入!$B$142=0,0,IF(AND(102-(核心参数输入!$B$148)&gt;0,102-(核心参数输入!$B$148)&lt;=120),IF(COUNT(INDEX($D$23:$DT$23,1,MAX(1,MIN(121,102-(核心参数输入!$B$148)+1))))=1,INDEX($D$23:$DT$23,1,MAX(1,MIN(121,102-(核心参数输入!$B$148)+1))),INDEX(核心参数输入!$D$89:$AH$89,1,INT((102-(核心参数输入!$B$148)-1)/4)+2)*INDEX(核心参数输入!$B$128:$B$131,MOD(102-(核心参数输入!$B$148)-1,4)+1)),0)),0)</f>
        <v>0</v>
      </c>
      <c r="DC14" s="22">
        <f>IF(103&lt;=核心参数输入!$B$9*4,IF(核心参数输入!$B$142=0,0,IF(AND(103-(核心参数输入!$B$148)&gt;0,103-(核心参数输入!$B$148)&lt;=120),IF(COUNT(INDEX($D$23:$DT$23,1,MAX(1,MIN(121,103-(核心参数输入!$B$148)+1))))=1,INDEX($D$23:$DT$23,1,MAX(1,MIN(121,103-(核心参数输入!$B$148)+1))),INDEX(核心参数输入!$D$89:$AH$89,1,INT((103-(核心参数输入!$B$148)-1)/4)+2)*INDEX(核心参数输入!$B$128:$B$131,MOD(103-(核心参数输入!$B$148)-1,4)+1)),0)),0)</f>
        <v>0</v>
      </c>
      <c r="DD14" s="22">
        <f>IF(104&lt;=核心参数输入!$B$9*4,IF(核心参数输入!$B$142=0,0,IF(AND(104-(核心参数输入!$B$148)&gt;0,104-(核心参数输入!$B$148)&lt;=120),IF(COUNT(INDEX($D$23:$DT$23,1,MAX(1,MIN(121,104-(核心参数输入!$B$148)+1))))=1,INDEX($D$23:$DT$23,1,MAX(1,MIN(121,104-(核心参数输入!$B$148)+1))),INDEX(核心参数输入!$D$89:$AH$89,1,INT((104-(核心参数输入!$B$148)-1)/4)+2)*INDEX(核心参数输入!$B$128:$B$131,MOD(104-(核心参数输入!$B$148)-1,4)+1)),0)),0)</f>
        <v>0</v>
      </c>
      <c r="DE14" s="22">
        <f>IF(105&lt;=核心参数输入!$B$9*4,IF(核心参数输入!$B$142=0,0,IF(AND(105-(核心参数输入!$B$148)&gt;0,105-(核心参数输入!$B$148)&lt;=120),IF(COUNT(INDEX($D$23:$DT$23,1,MAX(1,MIN(121,105-(核心参数输入!$B$148)+1))))=1,INDEX($D$23:$DT$23,1,MAX(1,MIN(121,105-(核心参数输入!$B$148)+1))),INDEX(核心参数输入!$D$89:$AH$89,1,INT((105-(核心参数输入!$B$148)-1)/4)+2)*INDEX(核心参数输入!$B$128:$B$131,MOD(105-(核心参数输入!$B$148)-1,4)+1)),0)),0)</f>
        <v>0</v>
      </c>
      <c r="DF14" s="22">
        <f>IF(106&lt;=核心参数输入!$B$9*4,IF(核心参数输入!$B$142=0,0,IF(AND(106-(核心参数输入!$B$148)&gt;0,106-(核心参数输入!$B$148)&lt;=120),IF(COUNT(INDEX($D$23:$DT$23,1,MAX(1,MIN(121,106-(核心参数输入!$B$148)+1))))=1,INDEX($D$23:$DT$23,1,MAX(1,MIN(121,106-(核心参数输入!$B$148)+1))),INDEX(核心参数输入!$D$89:$AH$89,1,INT((106-(核心参数输入!$B$148)-1)/4)+2)*INDEX(核心参数输入!$B$128:$B$131,MOD(106-(核心参数输入!$B$148)-1,4)+1)),0)),0)</f>
        <v>0</v>
      </c>
      <c r="DG14" s="22">
        <f>IF(107&lt;=核心参数输入!$B$9*4,IF(核心参数输入!$B$142=0,0,IF(AND(107-(核心参数输入!$B$148)&gt;0,107-(核心参数输入!$B$148)&lt;=120),IF(COUNT(INDEX($D$23:$DT$23,1,MAX(1,MIN(121,107-(核心参数输入!$B$148)+1))))=1,INDEX($D$23:$DT$23,1,MAX(1,MIN(121,107-(核心参数输入!$B$148)+1))),INDEX(核心参数输入!$D$89:$AH$89,1,INT((107-(核心参数输入!$B$148)-1)/4)+2)*INDEX(核心参数输入!$B$128:$B$131,MOD(107-(核心参数输入!$B$148)-1,4)+1)),0)),0)</f>
        <v>0</v>
      </c>
      <c r="DH14" s="22">
        <f>IF(108&lt;=核心参数输入!$B$9*4,IF(核心参数输入!$B$142=0,0,IF(AND(108-(核心参数输入!$B$148)&gt;0,108-(核心参数输入!$B$148)&lt;=120),IF(COUNT(INDEX($D$23:$DT$23,1,MAX(1,MIN(121,108-(核心参数输入!$B$148)+1))))=1,INDEX($D$23:$DT$23,1,MAX(1,MIN(121,108-(核心参数输入!$B$148)+1))),INDEX(核心参数输入!$D$89:$AH$89,1,INT((108-(核心参数输入!$B$148)-1)/4)+2)*INDEX(核心参数输入!$B$128:$B$131,MOD(108-(核心参数输入!$B$148)-1,4)+1)),0)),0)</f>
        <v>0</v>
      </c>
      <c r="DI14" s="22">
        <f>IF(109&lt;=核心参数输入!$B$9*4,IF(核心参数输入!$B$142=0,0,IF(AND(109-(核心参数输入!$B$148)&gt;0,109-(核心参数输入!$B$148)&lt;=120),IF(COUNT(INDEX($D$23:$DT$23,1,MAX(1,MIN(121,109-(核心参数输入!$B$148)+1))))=1,INDEX($D$23:$DT$23,1,MAX(1,MIN(121,109-(核心参数输入!$B$148)+1))),INDEX(核心参数输入!$D$89:$AH$89,1,INT((109-(核心参数输入!$B$148)-1)/4)+2)*INDEX(核心参数输入!$B$128:$B$131,MOD(109-(核心参数输入!$B$148)-1,4)+1)),0)),0)</f>
        <v>0</v>
      </c>
      <c r="DJ14" s="22">
        <f>IF(110&lt;=核心参数输入!$B$9*4,IF(核心参数输入!$B$142=0,0,IF(AND(110-(核心参数输入!$B$148)&gt;0,110-(核心参数输入!$B$148)&lt;=120),IF(COUNT(INDEX($D$23:$DT$23,1,MAX(1,MIN(121,110-(核心参数输入!$B$148)+1))))=1,INDEX($D$23:$DT$23,1,MAX(1,MIN(121,110-(核心参数输入!$B$148)+1))),INDEX(核心参数输入!$D$89:$AH$89,1,INT((110-(核心参数输入!$B$148)-1)/4)+2)*INDEX(核心参数输入!$B$128:$B$131,MOD(110-(核心参数输入!$B$148)-1,4)+1)),0)),0)</f>
        <v>0</v>
      </c>
      <c r="DK14" s="22">
        <f>IF(111&lt;=核心参数输入!$B$9*4,IF(核心参数输入!$B$142=0,0,IF(AND(111-(核心参数输入!$B$148)&gt;0,111-(核心参数输入!$B$148)&lt;=120),IF(COUNT(INDEX($D$23:$DT$23,1,MAX(1,MIN(121,111-(核心参数输入!$B$148)+1))))=1,INDEX($D$23:$DT$23,1,MAX(1,MIN(121,111-(核心参数输入!$B$148)+1))),INDEX(核心参数输入!$D$89:$AH$89,1,INT((111-(核心参数输入!$B$148)-1)/4)+2)*INDEX(核心参数输入!$B$128:$B$131,MOD(111-(核心参数输入!$B$148)-1,4)+1)),0)),0)</f>
        <v>0</v>
      </c>
      <c r="DL14" s="22">
        <f>IF(112&lt;=核心参数输入!$B$9*4,IF(核心参数输入!$B$142=0,0,IF(AND(112-(核心参数输入!$B$148)&gt;0,112-(核心参数输入!$B$148)&lt;=120),IF(COUNT(INDEX($D$23:$DT$23,1,MAX(1,MIN(121,112-(核心参数输入!$B$148)+1))))=1,INDEX($D$23:$DT$23,1,MAX(1,MIN(121,112-(核心参数输入!$B$148)+1))),INDEX(核心参数输入!$D$89:$AH$89,1,INT((112-(核心参数输入!$B$148)-1)/4)+2)*INDEX(核心参数输入!$B$128:$B$131,MOD(112-(核心参数输入!$B$148)-1,4)+1)),0)),0)</f>
        <v>0</v>
      </c>
      <c r="DM14" s="22">
        <f>IF(113&lt;=核心参数输入!$B$9*4,IF(核心参数输入!$B$142=0,0,IF(AND(113-(核心参数输入!$B$148)&gt;0,113-(核心参数输入!$B$148)&lt;=120),IF(COUNT(INDEX($D$23:$DT$23,1,MAX(1,MIN(121,113-(核心参数输入!$B$148)+1))))=1,INDEX($D$23:$DT$23,1,MAX(1,MIN(121,113-(核心参数输入!$B$148)+1))),INDEX(核心参数输入!$D$89:$AH$89,1,INT((113-(核心参数输入!$B$148)-1)/4)+2)*INDEX(核心参数输入!$B$128:$B$131,MOD(113-(核心参数输入!$B$148)-1,4)+1)),0)),0)</f>
        <v>0</v>
      </c>
      <c r="DN14" s="22">
        <f>IF(114&lt;=核心参数输入!$B$9*4,IF(核心参数输入!$B$142=0,0,IF(AND(114-(核心参数输入!$B$148)&gt;0,114-(核心参数输入!$B$148)&lt;=120),IF(COUNT(INDEX($D$23:$DT$23,1,MAX(1,MIN(121,114-(核心参数输入!$B$148)+1))))=1,INDEX($D$23:$DT$23,1,MAX(1,MIN(121,114-(核心参数输入!$B$148)+1))),INDEX(核心参数输入!$D$89:$AH$89,1,INT((114-(核心参数输入!$B$148)-1)/4)+2)*INDEX(核心参数输入!$B$128:$B$131,MOD(114-(核心参数输入!$B$148)-1,4)+1)),0)),0)</f>
        <v>0</v>
      </c>
      <c r="DO14" s="22">
        <f>IF(115&lt;=核心参数输入!$B$9*4,IF(核心参数输入!$B$142=0,0,IF(AND(115-(核心参数输入!$B$148)&gt;0,115-(核心参数输入!$B$148)&lt;=120),IF(COUNT(INDEX($D$23:$DT$23,1,MAX(1,MIN(121,115-(核心参数输入!$B$148)+1))))=1,INDEX($D$23:$DT$23,1,MAX(1,MIN(121,115-(核心参数输入!$B$148)+1))),INDEX(核心参数输入!$D$89:$AH$89,1,INT((115-(核心参数输入!$B$148)-1)/4)+2)*INDEX(核心参数输入!$B$128:$B$131,MOD(115-(核心参数输入!$B$148)-1,4)+1)),0)),0)</f>
        <v>0</v>
      </c>
      <c r="DP14" s="22">
        <f>IF(116&lt;=核心参数输入!$B$9*4,IF(核心参数输入!$B$142=0,0,IF(AND(116-(核心参数输入!$B$148)&gt;0,116-(核心参数输入!$B$148)&lt;=120),IF(COUNT(INDEX($D$23:$DT$23,1,MAX(1,MIN(121,116-(核心参数输入!$B$148)+1))))=1,INDEX($D$23:$DT$23,1,MAX(1,MIN(121,116-(核心参数输入!$B$148)+1))),INDEX(核心参数输入!$D$89:$AH$89,1,INT((116-(核心参数输入!$B$148)-1)/4)+2)*INDEX(核心参数输入!$B$128:$B$131,MOD(116-(核心参数输入!$B$148)-1,4)+1)),0)),0)</f>
        <v>0</v>
      </c>
      <c r="DQ14" s="22">
        <f>IF(117&lt;=核心参数输入!$B$9*4,IF(核心参数输入!$B$142=0,0,IF(AND(117-(核心参数输入!$B$148)&gt;0,117-(核心参数输入!$B$148)&lt;=120),IF(COUNT(INDEX($D$23:$DT$23,1,MAX(1,MIN(121,117-(核心参数输入!$B$148)+1))))=1,INDEX($D$23:$DT$23,1,MAX(1,MIN(121,117-(核心参数输入!$B$148)+1))),INDEX(核心参数输入!$D$89:$AH$89,1,INT((117-(核心参数输入!$B$148)-1)/4)+2)*INDEX(核心参数输入!$B$128:$B$131,MOD(117-(核心参数输入!$B$148)-1,4)+1)),0)),0)</f>
        <v>0</v>
      </c>
      <c r="DR14" s="22">
        <f>IF(118&lt;=核心参数输入!$B$9*4,IF(核心参数输入!$B$142=0,0,IF(AND(118-(核心参数输入!$B$148)&gt;0,118-(核心参数输入!$B$148)&lt;=120),IF(COUNT(INDEX($D$23:$DT$23,1,MAX(1,MIN(121,118-(核心参数输入!$B$148)+1))))=1,INDEX($D$23:$DT$23,1,MAX(1,MIN(121,118-(核心参数输入!$B$148)+1))),INDEX(核心参数输入!$D$89:$AH$89,1,INT((118-(核心参数输入!$B$148)-1)/4)+2)*INDEX(核心参数输入!$B$128:$B$131,MOD(118-(核心参数输入!$B$148)-1,4)+1)),0)),0)</f>
        <v>0</v>
      </c>
      <c r="DS14" s="22">
        <f>IF(119&lt;=核心参数输入!$B$9*4,IF(核心参数输入!$B$142=0,0,IF(AND(119-(核心参数输入!$B$148)&gt;0,119-(核心参数输入!$B$148)&lt;=120),IF(COUNT(INDEX($D$23:$DT$23,1,MAX(1,MIN(121,119-(核心参数输入!$B$148)+1))))=1,INDEX($D$23:$DT$23,1,MAX(1,MIN(121,119-(核心参数输入!$B$148)+1))),INDEX(核心参数输入!$D$89:$AH$89,1,INT((119-(核心参数输入!$B$148)-1)/4)+2)*INDEX(核心参数输入!$B$128:$B$131,MOD(119-(核心参数输入!$B$148)-1,4)+1)),0)),0)</f>
        <v>0</v>
      </c>
      <c r="DT14" s="22">
        <f>IF(120&lt;=核心参数输入!$B$9*4,IF(核心参数输入!$B$142=0,0,IF(AND(120-(核心参数输入!$B$148)&gt;0,120-(核心参数输入!$B$148)&lt;=120),IF(COUNT(INDEX($D$23:$DT$23,1,MAX(1,MIN(121,120-(核心参数输入!$B$148)+1))))=1,INDEX($D$23:$DT$23,1,MAX(1,MIN(121,120-(核心参数输入!$B$148)+1))),INDEX(核心参数输入!$D$89:$AH$89,1,INT((120-(核心参数输入!$B$148)-1)/4)+2)*INDEX(核心参数输入!$B$128:$B$131,MOD(120-(核心参数输入!$B$148)-1,4)+1)),0)),0)</f>
        <v>0</v>
      </c>
    </row>
    <row r="15" spans="1:124" ht="21" customHeight="1">
      <c r="A15" s="8" t="s">
        <v>627</v>
      </c>
      <c r="B15" s="8" t="s">
        <v>38</v>
      </c>
      <c r="C15" s="8"/>
      <c r="D15" s="22">
        <f>IF(0&lt;=核心参数输入!$B$9*4,IF(AND(0-核心参数输入!$B$126&gt;=0,0-核心参数输入!$B$126&lt;=120),INDEX(季度计划!$D$14:$DT$14,1,MAX(1,MIN(121,0-核心参数输入!$B$126+1))),0),0)</f>
        <v>0</v>
      </c>
      <c r="E15" s="22">
        <f>IF(1&lt;=核心参数输入!$B$9*4,IF(AND(1-核心参数输入!$B$126&gt;=0,1-核心参数输入!$B$126&lt;=120),INDEX(季度计划!$D$14:$DT$14,1,MAX(1,MIN(121,1-核心参数输入!$B$126+1))),0),0)</f>
        <v>0</v>
      </c>
      <c r="F15" s="22">
        <f>IF(2&lt;=核心参数输入!$B$9*4,IF(AND(2-核心参数输入!$B$126&gt;=0,2-核心参数输入!$B$126&lt;=120),INDEX(季度计划!$D$14:$DT$14,1,MAX(1,MIN(121,2-核心参数输入!$B$126+1))),0),0)</f>
        <v>0</v>
      </c>
      <c r="G15" s="22">
        <f>IF(3&lt;=核心参数输入!$B$9*4,IF(AND(3-核心参数输入!$B$126&gt;=0,3-核心参数输入!$B$126&lt;=120),INDEX(季度计划!$D$14:$DT$14,1,MAX(1,MIN(121,3-核心参数输入!$B$126+1))),0),0)</f>
        <v>0</v>
      </c>
      <c r="H15" s="22">
        <f>IF(4&lt;=核心参数输入!$B$9*4,IF(AND(4-核心参数输入!$B$126&gt;=0,4-核心参数输入!$B$126&lt;=120),INDEX(季度计划!$D$14:$DT$14,1,MAX(1,MIN(121,4-核心参数输入!$B$126+1))),0),0)</f>
        <v>0</v>
      </c>
      <c r="I15" s="22">
        <f>IF(5&lt;=核心参数输入!$B$9*4,IF(AND(5-核心参数输入!$B$126&gt;=0,5-核心参数输入!$B$126&lt;=120),INDEX(季度计划!$D$14:$DT$14,1,MAX(1,MIN(121,5-核心参数输入!$B$126+1))),0),0)</f>
        <v>0</v>
      </c>
      <c r="J15" s="22">
        <f>IF(6&lt;=核心参数输入!$B$9*4,IF(AND(6-核心参数输入!$B$126&gt;=0,6-核心参数输入!$B$126&lt;=120),INDEX(季度计划!$D$14:$DT$14,1,MAX(1,MIN(121,6-核心参数输入!$B$126+1))),0),0)</f>
        <v>0</v>
      </c>
      <c r="K15" s="22">
        <f>IF(7&lt;=核心参数输入!$B$9*4,IF(AND(7-核心参数输入!$B$126&gt;=0,7-核心参数输入!$B$126&lt;=120),INDEX(季度计划!$D$14:$DT$14,1,MAX(1,MIN(121,7-核心参数输入!$B$126+1))),0),0)</f>
        <v>0</v>
      </c>
      <c r="L15" s="22">
        <f>IF(8&lt;=核心参数输入!$B$9*4,IF(AND(8-核心参数输入!$B$126&gt;=0,8-核心参数输入!$B$126&lt;=120),INDEX(季度计划!$D$14:$DT$14,1,MAX(1,MIN(121,8-核心参数输入!$B$126+1))),0),0)</f>
        <v>0</v>
      </c>
      <c r="M15" s="22">
        <f>IF(9&lt;=核心参数输入!$B$9*4,IF(AND(9-核心参数输入!$B$126&gt;=0,9-核心参数输入!$B$126&lt;=120),INDEX(季度计划!$D$14:$DT$14,1,MAX(1,MIN(121,9-核心参数输入!$B$126+1))),0),0)</f>
        <v>0</v>
      </c>
      <c r="N15" s="22">
        <f>IF(10&lt;=核心参数输入!$B$9*4,IF(AND(10-核心参数输入!$B$126&gt;=0,10-核心参数输入!$B$126&lt;=120),INDEX(季度计划!$D$14:$DT$14,1,MAX(1,MIN(121,10-核心参数输入!$B$126+1))),0),0)</f>
        <v>0</v>
      </c>
      <c r="O15" s="22">
        <f>IF(11&lt;=核心参数输入!$B$9*4,IF(AND(11-核心参数输入!$B$126&gt;=0,11-核心参数输入!$B$126&lt;=120),INDEX(季度计划!$D$14:$DT$14,1,MAX(1,MIN(121,11-核心参数输入!$B$126+1))),0),0)</f>
        <v>0</v>
      </c>
      <c r="P15" s="22">
        <f>IF(12&lt;=核心参数输入!$B$9*4,IF(AND(12-核心参数输入!$B$126&gt;=0,12-核心参数输入!$B$126&lt;=120),INDEX(季度计划!$D$14:$DT$14,1,MAX(1,MIN(121,12-核心参数输入!$B$126+1))),0),0)</f>
        <v>0</v>
      </c>
      <c r="Q15" s="22">
        <f>IF(13&lt;=核心参数输入!$B$9*4,IF(AND(13-核心参数输入!$B$126&gt;=0,13-核心参数输入!$B$126&lt;=120),INDEX(季度计划!$D$14:$DT$14,1,MAX(1,MIN(121,13-核心参数输入!$B$126+1))),0),0)</f>
        <v>7.4999999999999997E-2</v>
      </c>
      <c r="R15" s="22">
        <f>IF(14&lt;=核心参数输入!$B$9*4,IF(AND(14-核心参数输入!$B$126&gt;=0,14-核心参数输入!$B$126&lt;=120),INDEX(季度计划!$D$14:$DT$14,1,MAX(1,MIN(121,14-核心参数输入!$B$126+1))),0),0)</f>
        <v>7.4999999999999997E-2</v>
      </c>
      <c r="S15" s="22">
        <f>IF(15&lt;=核心参数输入!$B$9*4,IF(AND(15-核心参数输入!$B$126&gt;=0,15-核心参数输入!$B$126&lt;=120),INDEX(季度计划!$D$14:$DT$14,1,MAX(1,MIN(121,15-核心参数输入!$B$126+1))),0),0)</f>
        <v>7.4999999999999997E-2</v>
      </c>
      <c r="T15" s="22">
        <f>IF(16&lt;=核心参数输入!$B$9*4,IF(AND(16-核心参数输入!$B$126&gt;=0,16-核心参数输入!$B$126&lt;=120),INDEX(季度计划!$D$14:$DT$14,1,MAX(1,MIN(121,16-核心参数输入!$B$126+1))),0),0)</f>
        <v>7.4999999999999997E-2</v>
      </c>
      <c r="U15" s="22">
        <f>IF(17&lt;=核心参数输入!$B$9*4,IF(AND(17-核心参数输入!$B$126&gt;=0,17-核心参数输入!$B$126&lt;=120),INDEX(季度计划!$D$14:$DT$14,1,MAX(1,MIN(121,17-核心参数输入!$B$126+1))),0),0)</f>
        <v>0.1</v>
      </c>
      <c r="V15" s="22">
        <f>IF(18&lt;=核心参数输入!$B$9*4,IF(AND(18-核心参数输入!$B$126&gt;=0,18-核心参数输入!$B$126&lt;=120),INDEX(季度计划!$D$14:$DT$14,1,MAX(1,MIN(121,18-核心参数输入!$B$126+1))),0),0)</f>
        <v>0.1</v>
      </c>
      <c r="W15" s="22">
        <f>IF(19&lt;=核心参数输入!$B$9*4,IF(AND(19-核心参数输入!$B$126&gt;=0,19-核心参数输入!$B$126&lt;=120),INDEX(季度计划!$D$14:$DT$14,1,MAX(1,MIN(121,19-核心参数输入!$B$126+1))),0),0)</f>
        <v>0.1</v>
      </c>
      <c r="X15" s="22">
        <f>IF(20&lt;=核心参数输入!$B$9*4,IF(AND(20-核心参数输入!$B$126&gt;=0,20-核心参数输入!$B$126&lt;=120),INDEX(季度计划!$D$14:$DT$14,1,MAX(1,MIN(121,20-核心参数输入!$B$126+1))),0),0)</f>
        <v>0.1</v>
      </c>
      <c r="Y15" s="22">
        <f>IF(21&lt;=核心参数输入!$B$9*4,IF(AND(21-核心参数输入!$B$126&gt;=0,21-核心参数输入!$B$126&lt;=120),INDEX(季度计划!$D$14:$DT$14,1,MAX(1,MIN(121,21-核心参数输入!$B$126+1))),0),0)</f>
        <v>7.4999999999999997E-2</v>
      </c>
      <c r="Z15" s="22">
        <f>IF(22&lt;=核心参数输入!$B$9*4,IF(AND(22-核心参数输入!$B$126&gt;=0,22-核心参数输入!$B$126&lt;=120),INDEX(季度计划!$D$14:$DT$14,1,MAX(1,MIN(121,22-核心参数输入!$B$126+1))),0),0)</f>
        <v>7.4999999999999997E-2</v>
      </c>
      <c r="AA15" s="22">
        <f>IF(23&lt;=核心参数输入!$B$9*4,IF(AND(23-核心参数输入!$B$126&gt;=0,23-核心参数输入!$B$126&lt;=120),INDEX(季度计划!$D$14:$DT$14,1,MAX(1,MIN(121,23-核心参数输入!$B$126+1))),0),0)</f>
        <v>7.4999999999999997E-2</v>
      </c>
      <c r="AB15" s="22">
        <f>IF(24&lt;=核心参数输入!$B$9*4,IF(AND(24-核心参数输入!$B$126&gt;=0,24-核心参数输入!$B$126&lt;=120),INDEX(季度计划!$D$14:$DT$14,1,MAX(1,MIN(121,24-核心参数输入!$B$126+1))),0),0)</f>
        <v>7.4999999999999997E-2</v>
      </c>
      <c r="AC15" s="22">
        <f>IF(25&lt;=核心参数输入!$B$9*4,IF(AND(25-核心参数输入!$B$126&gt;=0,25-核心参数输入!$B$126&lt;=120),INDEX(季度计划!$D$14:$DT$14,1,MAX(1,MIN(121,25-核心参数输入!$B$126+1))),0),0)</f>
        <v>0</v>
      </c>
      <c r="AD15" s="22">
        <f>IF(26&lt;=核心参数输入!$B$9*4,IF(AND(26-核心参数输入!$B$126&gt;=0,26-核心参数输入!$B$126&lt;=120),INDEX(季度计划!$D$14:$DT$14,1,MAX(1,MIN(121,26-核心参数输入!$B$126+1))),0),0)</f>
        <v>0</v>
      </c>
      <c r="AE15" s="22">
        <f>IF(27&lt;=核心参数输入!$B$9*4,IF(AND(27-核心参数输入!$B$126&gt;=0,27-核心参数输入!$B$126&lt;=120),INDEX(季度计划!$D$14:$DT$14,1,MAX(1,MIN(121,27-核心参数输入!$B$126+1))),0),0)</f>
        <v>0</v>
      </c>
      <c r="AF15" s="22">
        <f>IF(28&lt;=核心参数输入!$B$9*4,IF(AND(28-核心参数输入!$B$126&gt;=0,28-核心参数输入!$B$126&lt;=120),INDEX(季度计划!$D$14:$DT$14,1,MAX(1,MIN(121,28-核心参数输入!$B$126+1))),0),0)</f>
        <v>0</v>
      </c>
      <c r="AG15" s="22">
        <f>IF(29&lt;=核心参数输入!$B$9*4,IF(AND(29-核心参数输入!$B$126&gt;=0,29-核心参数输入!$B$126&lt;=120),INDEX(季度计划!$D$14:$DT$14,1,MAX(1,MIN(121,29-核心参数输入!$B$126+1))),0),0)</f>
        <v>0</v>
      </c>
      <c r="AH15" s="22">
        <f>IF(30&lt;=核心参数输入!$B$9*4,IF(AND(30-核心参数输入!$B$126&gt;=0,30-核心参数输入!$B$126&lt;=120),INDEX(季度计划!$D$14:$DT$14,1,MAX(1,MIN(121,30-核心参数输入!$B$126+1))),0),0)</f>
        <v>0</v>
      </c>
      <c r="AI15" s="22">
        <f>IF(31&lt;=核心参数输入!$B$9*4,IF(AND(31-核心参数输入!$B$126&gt;=0,31-核心参数输入!$B$126&lt;=120),INDEX(季度计划!$D$14:$DT$14,1,MAX(1,MIN(121,31-核心参数输入!$B$126+1))),0),0)</f>
        <v>0</v>
      </c>
      <c r="AJ15" s="22">
        <f>IF(32&lt;=核心参数输入!$B$9*4,IF(AND(32-核心参数输入!$B$126&gt;=0,32-核心参数输入!$B$126&lt;=120),INDEX(季度计划!$D$14:$DT$14,1,MAX(1,MIN(121,32-核心参数输入!$B$126+1))),0),0)</f>
        <v>0</v>
      </c>
      <c r="AK15" s="22">
        <f>IF(33&lt;=核心参数输入!$B$9*4,IF(AND(33-核心参数输入!$B$126&gt;=0,33-核心参数输入!$B$126&lt;=120),INDEX(季度计划!$D$14:$DT$14,1,MAX(1,MIN(121,33-核心参数输入!$B$126+1))),0),0)</f>
        <v>0</v>
      </c>
      <c r="AL15" s="22">
        <f>IF(34&lt;=核心参数输入!$B$9*4,IF(AND(34-核心参数输入!$B$126&gt;=0,34-核心参数输入!$B$126&lt;=120),INDEX(季度计划!$D$14:$DT$14,1,MAX(1,MIN(121,34-核心参数输入!$B$126+1))),0),0)</f>
        <v>0</v>
      </c>
      <c r="AM15" s="22">
        <f>IF(35&lt;=核心参数输入!$B$9*4,IF(AND(35-核心参数输入!$B$126&gt;=0,35-核心参数输入!$B$126&lt;=120),INDEX(季度计划!$D$14:$DT$14,1,MAX(1,MIN(121,35-核心参数输入!$B$126+1))),0),0)</f>
        <v>0</v>
      </c>
      <c r="AN15" s="22">
        <f>IF(36&lt;=核心参数输入!$B$9*4,IF(AND(36-核心参数输入!$B$126&gt;=0,36-核心参数输入!$B$126&lt;=120),INDEX(季度计划!$D$14:$DT$14,1,MAX(1,MIN(121,36-核心参数输入!$B$126+1))),0),0)</f>
        <v>0</v>
      </c>
      <c r="AO15" s="22">
        <f>IF(37&lt;=核心参数输入!$B$9*4,IF(AND(37-核心参数输入!$B$126&gt;=0,37-核心参数输入!$B$126&lt;=120),INDEX(季度计划!$D$14:$DT$14,1,MAX(1,MIN(121,37-核心参数输入!$B$126+1))),0),0)</f>
        <v>0</v>
      </c>
      <c r="AP15" s="22">
        <f>IF(38&lt;=核心参数输入!$B$9*4,IF(AND(38-核心参数输入!$B$126&gt;=0,38-核心参数输入!$B$126&lt;=120),INDEX(季度计划!$D$14:$DT$14,1,MAX(1,MIN(121,38-核心参数输入!$B$126+1))),0),0)</f>
        <v>0</v>
      </c>
      <c r="AQ15" s="22">
        <f>IF(39&lt;=核心参数输入!$B$9*4,IF(AND(39-核心参数输入!$B$126&gt;=0,39-核心参数输入!$B$126&lt;=120),INDEX(季度计划!$D$14:$DT$14,1,MAX(1,MIN(121,39-核心参数输入!$B$126+1))),0),0)</f>
        <v>0</v>
      </c>
      <c r="AR15" s="22">
        <f>IF(40&lt;=核心参数输入!$B$9*4,IF(AND(40-核心参数输入!$B$126&gt;=0,40-核心参数输入!$B$126&lt;=120),INDEX(季度计划!$D$14:$DT$14,1,MAX(1,MIN(121,40-核心参数输入!$B$126+1))),0),0)</f>
        <v>0</v>
      </c>
      <c r="AS15" s="22">
        <f>IF(41&lt;=核心参数输入!$B$9*4,IF(AND(41-核心参数输入!$B$126&gt;=0,41-核心参数输入!$B$126&lt;=120),INDEX(季度计划!$D$14:$DT$14,1,MAX(1,MIN(121,41-核心参数输入!$B$126+1))),0),0)</f>
        <v>0</v>
      </c>
      <c r="AT15" s="22">
        <f>IF(42&lt;=核心参数输入!$B$9*4,IF(AND(42-核心参数输入!$B$126&gt;=0,42-核心参数输入!$B$126&lt;=120),INDEX(季度计划!$D$14:$DT$14,1,MAX(1,MIN(121,42-核心参数输入!$B$126+1))),0),0)</f>
        <v>0</v>
      </c>
      <c r="AU15" s="22">
        <f>IF(43&lt;=核心参数输入!$B$9*4,IF(AND(43-核心参数输入!$B$126&gt;=0,43-核心参数输入!$B$126&lt;=120),INDEX(季度计划!$D$14:$DT$14,1,MAX(1,MIN(121,43-核心参数输入!$B$126+1))),0),0)</f>
        <v>0</v>
      </c>
      <c r="AV15" s="22">
        <f>IF(44&lt;=核心参数输入!$B$9*4,IF(AND(44-核心参数输入!$B$126&gt;=0,44-核心参数输入!$B$126&lt;=120),INDEX(季度计划!$D$14:$DT$14,1,MAX(1,MIN(121,44-核心参数输入!$B$126+1))),0),0)</f>
        <v>0</v>
      </c>
      <c r="AW15" s="22">
        <f>IF(45&lt;=核心参数输入!$B$9*4,IF(AND(45-核心参数输入!$B$126&gt;=0,45-核心参数输入!$B$126&lt;=120),INDEX(季度计划!$D$14:$DT$14,1,MAX(1,MIN(121,45-核心参数输入!$B$126+1))),0),0)</f>
        <v>0</v>
      </c>
      <c r="AX15" s="22">
        <f>IF(46&lt;=核心参数输入!$B$9*4,IF(AND(46-核心参数输入!$B$126&gt;=0,46-核心参数输入!$B$126&lt;=120),INDEX(季度计划!$D$14:$DT$14,1,MAX(1,MIN(121,46-核心参数输入!$B$126+1))),0),0)</f>
        <v>0</v>
      </c>
      <c r="AY15" s="22">
        <f>IF(47&lt;=核心参数输入!$B$9*4,IF(AND(47-核心参数输入!$B$126&gt;=0,47-核心参数输入!$B$126&lt;=120),INDEX(季度计划!$D$14:$DT$14,1,MAX(1,MIN(121,47-核心参数输入!$B$126+1))),0),0)</f>
        <v>0</v>
      </c>
      <c r="AZ15" s="22">
        <f>IF(48&lt;=核心参数输入!$B$9*4,IF(AND(48-核心参数输入!$B$126&gt;=0,48-核心参数输入!$B$126&lt;=120),INDEX(季度计划!$D$14:$DT$14,1,MAX(1,MIN(121,48-核心参数输入!$B$126+1))),0),0)</f>
        <v>0</v>
      </c>
      <c r="BA15" s="22">
        <f>IF(49&lt;=核心参数输入!$B$9*4,IF(AND(49-核心参数输入!$B$126&gt;=0,49-核心参数输入!$B$126&lt;=120),INDEX(季度计划!$D$14:$DT$14,1,MAX(1,MIN(121,49-核心参数输入!$B$126+1))),0),0)</f>
        <v>0</v>
      </c>
      <c r="BB15" s="22">
        <f>IF(50&lt;=核心参数输入!$B$9*4,IF(AND(50-核心参数输入!$B$126&gt;=0,50-核心参数输入!$B$126&lt;=120),INDEX(季度计划!$D$14:$DT$14,1,MAX(1,MIN(121,50-核心参数输入!$B$126+1))),0),0)</f>
        <v>0</v>
      </c>
      <c r="BC15" s="22">
        <f>IF(51&lt;=核心参数输入!$B$9*4,IF(AND(51-核心参数输入!$B$126&gt;=0,51-核心参数输入!$B$126&lt;=120),INDEX(季度计划!$D$14:$DT$14,1,MAX(1,MIN(121,51-核心参数输入!$B$126+1))),0),0)</f>
        <v>0</v>
      </c>
      <c r="BD15" s="22">
        <f>IF(52&lt;=核心参数输入!$B$9*4,IF(AND(52-核心参数输入!$B$126&gt;=0,52-核心参数输入!$B$126&lt;=120),INDEX(季度计划!$D$14:$DT$14,1,MAX(1,MIN(121,52-核心参数输入!$B$126+1))),0),0)</f>
        <v>0</v>
      </c>
      <c r="BE15" s="22">
        <f>IF(53&lt;=核心参数输入!$B$9*4,IF(AND(53-核心参数输入!$B$126&gt;=0,53-核心参数输入!$B$126&lt;=120),INDEX(季度计划!$D$14:$DT$14,1,MAX(1,MIN(121,53-核心参数输入!$B$126+1))),0),0)</f>
        <v>0</v>
      </c>
      <c r="BF15" s="22">
        <f>IF(54&lt;=核心参数输入!$B$9*4,IF(AND(54-核心参数输入!$B$126&gt;=0,54-核心参数输入!$B$126&lt;=120),INDEX(季度计划!$D$14:$DT$14,1,MAX(1,MIN(121,54-核心参数输入!$B$126+1))),0),0)</f>
        <v>0</v>
      </c>
      <c r="BG15" s="22">
        <f>IF(55&lt;=核心参数输入!$B$9*4,IF(AND(55-核心参数输入!$B$126&gt;=0,55-核心参数输入!$B$126&lt;=120),INDEX(季度计划!$D$14:$DT$14,1,MAX(1,MIN(121,55-核心参数输入!$B$126+1))),0),0)</f>
        <v>0</v>
      </c>
      <c r="BH15" s="22">
        <f>IF(56&lt;=核心参数输入!$B$9*4,IF(AND(56-核心参数输入!$B$126&gt;=0,56-核心参数输入!$B$126&lt;=120),INDEX(季度计划!$D$14:$DT$14,1,MAX(1,MIN(121,56-核心参数输入!$B$126+1))),0),0)</f>
        <v>0</v>
      </c>
      <c r="BI15" s="22">
        <f>IF(57&lt;=核心参数输入!$B$9*4,IF(AND(57-核心参数输入!$B$126&gt;=0,57-核心参数输入!$B$126&lt;=120),INDEX(季度计划!$D$14:$DT$14,1,MAX(1,MIN(121,57-核心参数输入!$B$126+1))),0),0)</f>
        <v>0</v>
      </c>
      <c r="BJ15" s="22">
        <f>IF(58&lt;=核心参数输入!$B$9*4,IF(AND(58-核心参数输入!$B$126&gt;=0,58-核心参数输入!$B$126&lt;=120),INDEX(季度计划!$D$14:$DT$14,1,MAX(1,MIN(121,58-核心参数输入!$B$126+1))),0),0)</f>
        <v>0</v>
      </c>
      <c r="BK15" s="22">
        <f>IF(59&lt;=核心参数输入!$B$9*4,IF(AND(59-核心参数输入!$B$126&gt;=0,59-核心参数输入!$B$126&lt;=120),INDEX(季度计划!$D$14:$DT$14,1,MAX(1,MIN(121,59-核心参数输入!$B$126+1))),0),0)</f>
        <v>0</v>
      </c>
      <c r="BL15" s="22">
        <f>IF(60&lt;=核心参数输入!$B$9*4,IF(AND(60-核心参数输入!$B$126&gt;=0,60-核心参数输入!$B$126&lt;=120),INDEX(季度计划!$D$14:$DT$14,1,MAX(1,MIN(121,60-核心参数输入!$B$126+1))),0),0)</f>
        <v>0</v>
      </c>
      <c r="BM15" s="22">
        <f>IF(61&lt;=核心参数输入!$B$9*4,IF(AND(61-核心参数输入!$B$126&gt;=0,61-核心参数输入!$B$126&lt;=120),INDEX(季度计划!$D$14:$DT$14,1,MAX(1,MIN(121,61-核心参数输入!$B$126+1))),0),0)</f>
        <v>0</v>
      </c>
      <c r="BN15" s="22">
        <f>IF(62&lt;=核心参数输入!$B$9*4,IF(AND(62-核心参数输入!$B$126&gt;=0,62-核心参数输入!$B$126&lt;=120),INDEX(季度计划!$D$14:$DT$14,1,MAX(1,MIN(121,62-核心参数输入!$B$126+1))),0),0)</f>
        <v>0</v>
      </c>
      <c r="BO15" s="22">
        <f>IF(63&lt;=核心参数输入!$B$9*4,IF(AND(63-核心参数输入!$B$126&gt;=0,63-核心参数输入!$B$126&lt;=120),INDEX(季度计划!$D$14:$DT$14,1,MAX(1,MIN(121,63-核心参数输入!$B$126+1))),0),0)</f>
        <v>0</v>
      </c>
      <c r="BP15" s="22">
        <f>IF(64&lt;=核心参数输入!$B$9*4,IF(AND(64-核心参数输入!$B$126&gt;=0,64-核心参数输入!$B$126&lt;=120),INDEX(季度计划!$D$14:$DT$14,1,MAX(1,MIN(121,64-核心参数输入!$B$126+1))),0),0)</f>
        <v>0</v>
      </c>
      <c r="BQ15" s="22">
        <f>IF(65&lt;=核心参数输入!$B$9*4,IF(AND(65-核心参数输入!$B$126&gt;=0,65-核心参数输入!$B$126&lt;=120),INDEX(季度计划!$D$14:$DT$14,1,MAX(1,MIN(121,65-核心参数输入!$B$126+1))),0),0)</f>
        <v>0</v>
      </c>
      <c r="BR15" s="22">
        <f>IF(66&lt;=核心参数输入!$B$9*4,IF(AND(66-核心参数输入!$B$126&gt;=0,66-核心参数输入!$B$126&lt;=120),INDEX(季度计划!$D$14:$DT$14,1,MAX(1,MIN(121,66-核心参数输入!$B$126+1))),0),0)</f>
        <v>0</v>
      </c>
      <c r="BS15" s="22">
        <f>IF(67&lt;=核心参数输入!$B$9*4,IF(AND(67-核心参数输入!$B$126&gt;=0,67-核心参数输入!$B$126&lt;=120),INDEX(季度计划!$D$14:$DT$14,1,MAX(1,MIN(121,67-核心参数输入!$B$126+1))),0),0)</f>
        <v>0</v>
      </c>
      <c r="BT15" s="22">
        <f>IF(68&lt;=核心参数输入!$B$9*4,IF(AND(68-核心参数输入!$B$126&gt;=0,68-核心参数输入!$B$126&lt;=120),INDEX(季度计划!$D$14:$DT$14,1,MAX(1,MIN(121,68-核心参数输入!$B$126+1))),0),0)</f>
        <v>0</v>
      </c>
      <c r="BU15" s="22">
        <f>IF(69&lt;=核心参数输入!$B$9*4,IF(AND(69-核心参数输入!$B$126&gt;=0,69-核心参数输入!$B$126&lt;=120),INDEX(季度计划!$D$14:$DT$14,1,MAX(1,MIN(121,69-核心参数输入!$B$126+1))),0),0)</f>
        <v>0</v>
      </c>
      <c r="BV15" s="22">
        <f>IF(70&lt;=核心参数输入!$B$9*4,IF(AND(70-核心参数输入!$B$126&gt;=0,70-核心参数输入!$B$126&lt;=120),INDEX(季度计划!$D$14:$DT$14,1,MAX(1,MIN(121,70-核心参数输入!$B$126+1))),0),0)</f>
        <v>0</v>
      </c>
      <c r="BW15" s="22">
        <f>IF(71&lt;=核心参数输入!$B$9*4,IF(AND(71-核心参数输入!$B$126&gt;=0,71-核心参数输入!$B$126&lt;=120),INDEX(季度计划!$D$14:$DT$14,1,MAX(1,MIN(121,71-核心参数输入!$B$126+1))),0),0)</f>
        <v>0</v>
      </c>
      <c r="BX15" s="22">
        <f>IF(72&lt;=核心参数输入!$B$9*4,IF(AND(72-核心参数输入!$B$126&gt;=0,72-核心参数输入!$B$126&lt;=120),INDEX(季度计划!$D$14:$DT$14,1,MAX(1,MIN(121,72-核心参数输入!$B$126+1))),0),0)</f>
        <v>0</v>
      </c>
      <c r="BY15" s="22">
        <f>IF(73&lt;=核心参数输入!$B$9*4,IF(AND(73-核心参数输入!$B$126&gt;=0,73-核心参数输入!$B$126&lt;=120),INDEX(季度计划!$D$14:$DT$14,1,MAX(1,MIN(121,73-核心参数输入!$B$126+1))),0),0)</f>
        <v>0</v>
      </c>
      <c r="BZ15" s="22">
        <f>IF(74&lt;=核心参数输入!$B$9*4,IF(AND(74-核心参数输入!$B$126&gt;=0,74-核心参数输入!$B$126&lt;=120),INDEX(季度计划!$D$14:$DT$14,1,MAX(1,MIN(121,74-核心参数输入!$B$126+1))),0),0)</f>
        <v>0</v>
      </c>
      <c r="CA15" s="22">
        <f>IF(75&lt;=核心参数输入!$B$9*4,IF(AND(75-核心参数输入!$B$126&gt;=0,75-核心参数输入!$B$126&lt;=120),INDEX(季度计划!$D$14:$DT$14,1,MAX(1,MIN(121,75-核心参数输入!$B$126+1))),0),0)</f>
        <v>0</v>
      </c>
      <c r="CB15" s="22">
        <f>IF(76&lt;=核心参数输入!$B$9*4,IF(AND(76-核心参数输入!$B$126&gt;=0,76-核心参数输入!$B$126&lt;=120),INDEX(季度计划!$D$14:$DT$14,1,MAX(1,MIN(121,76-核心参数输入!$B$126+1))),0),0)</f>
        <v>0</v>
      </c>
      <c r="CC15" s="22">
        <f>IF(77&lt;=核心参数输入!$B$9*4,IF(AND(77-核心参数输入!$B$126&gt;=0,77-核心参数输入!$B$126&lt;=120),INDEX(季度计划!$D$14:$DT$14,1,MAX(1,MIN(121,77-核心参数输入!$B$126+1))),0),0)</f>
        <v>0</v>
      </c>
      <c r="CD15" s="22">
        <f>IF(78&lt;=核心参数输入!$B$9*4,IF(AND(78-核心参数输入!$B$126&gt;=0,78-核心参数输入!$B$126&lt;=120),INDEX(季度计划!$D$14:$DT$14,1,MAX(1,MIN(121,78-核心参数输入!$B$126+1))),0),0)</f>
        <v>0</v>
      </c>
      <c r="CE15" s="22">
        <f>IF(79&lt;=核心参数输入!$B$9*4,IF(AND(79-核心参数输入!$B$126&gt;=0,79-核心参数输入!$B$126&lt;=120),INDEX(季度计划!$D$14:$DT$14,1,MAX(1,MIN(121,79-核心参数输入!$B$126+1))),0),0)</f>
        <v>0</v>
      </c>
      <c r="CF15" s="22">
        <f>IF(80&lt;=核心参数输入!$B$9*4,IF(AND(80-核心参数输入!$B$126&gt;=0,80-核心参数输入!$B$126&lt;=120),INDEX(季度计划!$D$14:$DT$14,1,MAX(1,MIN(121,80-核心参数输入!$B$126+1))),0),0)</f>
        <v>0</v>
      </c>
      <c r="CG15" s="22">
        <f>IF(81&lt;=核心参数输入!$B$9*4,IF(AND(81-核心参数输入!$B$126&gt;=0,81-核心参数输入!$B$126&lt;=120),INDEX(季度计划!$D$14:$DT$14,1,MAX(1,MIN(121,81-核心参数输入!$B$126+1))),0),0)</f>
        <v>0</v>
      </c>
      <c r="CH15" s="22">
        <f>IF(82&lt;=核心参数输入!$B$9*4,IF(AND(82-核心参数输入!$B$126&gt;=0,82-核心参数输入!$B$126&lt;=120),INDEX(季度计划!$D$14:$DT$14,1,MAX(1,MIN(121,82-核心参数输入!$B$126+1))),0),0)</f>
        <v>0</v>
      </c>
      <c r="CI15" s="22">
        <f>IF(83&lt;=核心参数输入!$B$9*4,IF(AND(83-核心参数输入!$B$126&gt;=0,83-核心参数输入!$B$126&lt;=120),INDEX(季度计划!$D$14:$DT$14,1,MAX(1,MIN(121,83-核心参数输入!$B$126+1))),0),0)</f>
        <v>0</v>
      </c>
      <c r="CJ15" s="22">
        <f>IF(84&lt;=核心参数输入!$B$9*4,IF(AND(84-核心参数输入!$B$126&gt;=0,84-核心参数输入!$B$126&lt;=120),INDEX(季度计划!$D$14:$DT$14,1,MAX(1,MIN(121,84-核心参数输入!$B$126+1))),0),0)</f>
        <v>0</v>
      </c>
      <c r="CK15" s="22">
        <f>IF(85&lt;=核心参数输入!$B$9*4,IF(AND(85-核心参数输入!$B$126&gt;=0,85-核心参数输入!$B$126&lt;=120),INDEX(季度计划!$D$14:$DT$14,1,MAX(1,MIN(121,85-核心参数输入!$B$126+1))),0),0)</f>
        <v>0</v>
      </c>
      <c r="CL15" s="22">
        <f>IF(86&lt;=核心参数输入!$B$9*4,IF(AND(86-核心参数输入!$B$126&gt;=0,86-核心参数输入!$B$126&lt;=120),INDEX(季度计划!$D$14:$DT$14,1,MAX(1,MIN(121,86-核心参数输入!$B$126+1))),0),0)</f>
        <v>0</v>
      </c>
      <c r="CM15" s="22">
        <f>IF(87&lt;=核心参数输入!$B$9*4,IF(AND(87-核心参数输入!$B$126&gt;=0,87-核心参数输入!$B$126&lt;=120),INDEX(季度计划!$D$14:$DT$14,1,MAX(1,MIN(121,87-核心参数输入!$B$126+1))),0),0)</f>
        <v>0</v>
      </c>
      <c r="CN15" s="22">
        <f>IF(88&lt;=核心参数输入!$B$9*4,IF(AND(88-核心参数输入!$B$126&gt;=0,88-核心参数输入!$B$126&lt;=120),INDEX(季度计划!$D$14:$DT$14,1,MAX(1,MIN(121,88-核心参数输入!$B$126+1))),0),0)</f>
        <v>0</v>
      </c>
      <c r="CO15" s="22">
        <f>IF(89&lt;=核心参数输入!$B$9*4,IF(AND(89-核心参数输入!$B$126&gt;=0,89-核心参数输入!$B$126&lt;=120),INDEX(季度计划!$D$14:$DT$14,1,MAX(1,MIN(121,89-核心参数输入!$B$126+1))),0),0)</f>
        <v>0</v>
      </c>
      <c r="CP15" s="22">
        <f>IF(90&lt;=核心参数输入!$B$9*4,IF(AND(90-核心参数输入!$B$126&gt;=0,90-核心参数输入!$B$126&lt;=120),INDEX(季度计划!$D$14:$DT$14,1,MAX(1,MIN(121,90-核心参数输入!$B$126+1))),0),0)</f>
        <v>0</v>
      </c>
      <c r="CQ15" s="22">
        <f>IF(91&lt;=核心参数输入!$B$9*4,IF(AND(91-核心参数输入!$B$126&gt;=0,91-核心参数输入!$B$126&lt;=120),INDEX(季度计划!$D$14:$DT$14,1,MAX(1,MIN(121,91-核心参数输入!$B$126+1))),0),0)</f>
        <v>0</v>
      </c>
      <c r="CR15" s="22">
        <f>IF(92&lt;=核心参数输入!$B$9*4,IF(AND(92-核心参数输入!$B$126&gt;=0,92-核心参数输入!$B$126&lt;=120),INDEX(季度计划!$D$14:$DT$14,1,MAX(1,MIN(121,92-核心参数输入!$B$126+1))),0),0)</f>
        <v>0</v>
      </c>
      <c r="CS15" s="22">
        <f>IF(93&lt;=核心参数输入!$B$9*4,IF(AND(93-核心参数输入!$B$126&gt;=0,93-核心参数输入!$B$126&lt;=120),INDEX(季度计划!$D$14:$DT$14,1,MAX(1,MIN(121,93-核心参数输入!$B$126+1))),0),0)</f>
        <v>0</v>
      </c>
      <c r="CT15" s="22">
        <f>IF(94&lt;=核心参数输入!$B$9*4,IF(AND(94-核心参数输入!$B$126&gt;=0,94-核心参数输入!$B$126&lt;=120),INDEX(季度计划!$D$14:$DT$14,1,MAX(1,MIN(121,94-核心参数输入!$B$126+1))),0),0)</f>
        <v>0</v>
      </c>
      <c r="CU15" s="22">
        <f>IF(95&lt;=核心参数输入!$B$9*4,IF(AND(95-核心参数输入!$B$126&gt;=0,95-核心参数输入!$B$126&lt;=120),INDEX(季度计划!$D$14:$DT$14,1,MAX(1,MIN(121,95-核心参数输入!$B$126+1))),0),0)</f>
        <v>0</v>
      </c>
      <c r="CV15" s="22">
        <f>IF(96&lt;=核心参数输入!$B$9*4,IF(AND(96-核心参数输入!$B$126&gt;=0,96-核心参数输入!$B$126&lt;=120),INDEX(季度计划!$D$14:$DT$14,1,MAX(1,MIN(121,96-核心参数输入!$B$126+1))),0),0)</f>
        <v>0</v>
      </c>
      <c r="CW15" s="22">
        <f>IF(97&lt;=核心参数输入!$B$9*4,IF(AND(97-核心参数输入!$B$126&gt;=0,97-核心参数输入!$B$126&lt;=120),INDEX(季度计划!$D$14:$DT$14,1,MAX(1,MIN(121,97-核心参数输入!$B$126+1))),0),0)</f>
        <v>0</v>
      </c>
      <c r="CX15" s="22">
        <f>IF(98&lt;=核心参数输入!$B$9*4,IF(AND(98-核心参数输入!$B$126&gt;=0,98-核心参数输入!$B$126&lt;=120),INDEX(季度计划!$D$14:$DT$14,1,MAX(1,MIN(121,98-核心参数输入!$B$126+1))),0),0)</f>
        <v>0</v>
      </c>
      <c r="CY15" s="22">
        <f>IF(99&lt;=核心参数输入!$B$9*4,IF(AND(99-核心参数输入!$B$126&gt;=0,99-核心参数输入!$B$126&lt;=120),INDEX(季度计划!$D$14:$DT$14,1,MAX(1,MIN(121,99-核心参数输入!$B$126+1))),0),0)</f>
        <v>0</v>
      </c>
      <c r="CZ15" s="22">
        <f>IF(100&lt;=核心参数输入!$B$9*4,IF(AND(100-核心参数输入!$B$126&gt;=0,100-核心参数输入!$B$126&lt;=120),INDEX(季度计划!$D$14:$DT$14,1,MAX(1,MIN(121,100-核心参数输入!$B$126+1))),0),0)</f>
        <v>0</v>
      </c>
      <c r="DA15" s="22">
        <f>IF(101&lt;=核心参数输入!$B$9*4,IF(AND(101-核心参数输入!$B$126&gt;=0,101-核心参数输入!$B$126&lt;=120),INDEX(季度计划!$D$14:$DT$14,1,MAX(1,MIN(121,101-核心参数输入!$B$126+1))),0),0)</f>
        <v>0</v>
      </c>
      <c r="DB15" s="22">
        <f>IF(102&lt;=核心参数输入!$B$9*4,IF(AND(102-核心参数输入!$B$126&gt;=0,102-核心参数输入!$B$126&lt;=120),INDEX(季度计划!$D$14:$DT$14,1,MAX(1,MIN(121,102-核心参数输入!$B$126+1))),0),0)</f>
        <v>0</v>
      </c>
      <c r="DC15" s="22">
        <f>IF(103&lt;=核心参数输入!$B$9*4,IF(AND(103-核心参数输入!$B$126&gt;=0,103-核心参数输入!$B$126&lt;=120),INDEX(季度计划!$D$14:$DT$14,1,MAX(1,MIN(121,103-核心参数输入!$B$126+1))),0),0)</f>
        <v>0</v>
      </c>
      <c r="DD15" s="22">
        <f>IF(104&lt;=核心参数输入!$B$9*4,IF(AND(104-核心参数输入!$B$126&gt;=0,104-核心参数输入!$B$126&lt;=120),INDEX(季度计划!$D$14:$DT$14,1,MAX(1,MIN(121,104-核心参数输入!$B$126+1))),0),0)</f>
        <v>0</v>
      </c>
      <c r="DE15" s="22">
        <f>IF(105&lt;=核心参数输入!$B$9*4,IF(AND(105-核心参数输入!$B$126&gt;=0,105-核心参数输入!$B$126&lt;=120),INDEX(季度计划!$D$14:$DT$14,1,MAX(1,MIN(121,105-核心参数输入!$B$126+1))),0),0)</f>
        <v>0</v>
      </c>
      <c r="DF15" s="22">
        <f>IF(106&lt;=核心参数输入!$B$9*4,IF(AND(106-核心参数输入!$B$126&gt;=0,106-核心参数输入!$B$126&lt;=120),INDEX(季度计划!$D$14:$DT$14,1,MAX(1,MIN(121,106-核心参数输入!$B$126+1))),0),0)</f>
        <v>0</v>
      </c>
      <c r="DG15" s="22">
        <f>IF(107&lt;=核心参数输入!$B$9*4,IF(AND(107-核心参数输入!$B$126&gt;=0,107-核心参数输入!$B$126&lt;=120),INDEX(季度计划!$D$14:$DT$14,1,MAX(1,MIN(121,107-核心参数输入!$B$126+1))),0),0)</f>
        <v>0</v>
      </c>
      <c r="DH15" s="22">
        <f>IF(108&lt;=核心参数输入!$B$9*4,IF(AND(108-核心参数输入!$B$126&gt;=0,108-核心参数输入!$B$126&lt;=120),INDEX(季度计划!$D$14:$DT$14,1,MAX(1,MIN(121,108-核心参数输入!$B$126+1))),0),0)</f>
        <v>0</v>
      </c>
      <c r="DI15" s="22">
        <f>IF(109&lt;=核心参数输入!$B$9*4,IF(AND(109-核心参数输入!$B$126&gt;=0,109-核心参数输入!$B$126&lt;=120),INDEX(季度计划!$D$14:$DT$14,1,MAX(1,MIN(121,109-核心参数输入!$B$126+1))),0),0)</f>
        <v>0</v>
      </c>
      <c r="DJ15" s="22">
        <f>IF(110&lt;=核心参数输入!$B$9*4,IF(AND(110-核心参数输入!$B$126&gt;=0,110-核心参数输入!$B$126&lt;=120),INDEX(季度计划!$D$14:$DT$14,1,MAX(1,MIN(121,110-核心参数输入!$B$126+1))),0),0)</f>
        <v>0</v>
      </c>
      <c r="DK15" s="22">
        <f>IF(111&lt;=核心参数输入!$B$9*4,IF(AND(111-核心参数输入!$B$126&gt;=0,111-核心参数输入!$B$126&lt;=120),INDEX(季度计划!$D$14:$DT$14,1,MAX(1,MIN(121,111-核心参数输入!$B$126+1))),0),0)</f>
        <v>0</v>
      </c>
      <c r="DL15" s="22">
        <f>IF(112&lt;=核心参数输入!$B$9*4,IF(AND(112-核心参数输入!$B$126&gt;=0,112-核心参数输入!$B$126&lt;=120),INDEX(季度计划!$D$14:$DT$14,1,MAX(1,MIN(121,112-核心参数输入!$B$126+1))),0),0)</f>
        <v>0</v>
      </c>
      <c r="DM15" s="22">
        <f>IF(113&lt;=核心参数输入!$B$9*4,IF(AND(113-核心参数输入!$B$126&gt;=0,113-核心参数输入!$B$126&lt;=120),INDEX(季度计划!$D$14:$DT$14,1,MAX(1,MIN(121,113-核心参数输入!$B$126+1))),0),0)</f>
        <v>0</v>
      </c>
      <c r="DN15" s="22">
        <f>IF(114&lt;=核心参数输入!$B$9*4,IF(AND(114-核心参数输入!$B$126&gt;=0,114-核心参数输入!$B$126&lt;=120),INDEX(季度计划!$D$14:$DT$14,1,MAX(1,MIN(121,114-核心参数输入!$B$126+1))),0),0)</f>
        <v>0</v>
      </c>
      <c r="DO15" s="22">
        <f>IF(115&lt;=核心参数输入!$B$9*4,IF(AND(115-核心参数输入!$B$126&gt;=0,115-核心参数输入!$B$126&lt;=120),INDEX(季度计划!$D$14:$DT$14,1,MAX(1,MIN(121,115-核心参数输入!$B$126+1))),0),0)</f>
        <v>0</v>
      </c>
      <c r="DP15" s="22">
        <f>IF(116&lt;=核心参数输入!$B$9*4,IF(AND(116-核心参数输入!$B$126&gt;=0,116-核心参数输入!$B$126&lt;=120),INDEX(季度计划!$D$14:$DT$14,1,MAX(1,MIN(121,116-核心参数输入!$B$126+1))),0),0)</f>
        <v>0</v>
      </c>
      <c r="DQ15" s="22">
        <f>IF(117&lt;=核心参数输入!$B$9*4,IF(AND(117-核心参数输入!$B$126&gt;=0,117-核心参数输入!$B$126&lt;=120),INDEX(季度计划!$D$14:$DT$14,1,MAX(1,MIN(121,117-核心参数输入!$B$126+1))),0),0)</f>
        <v>0</v>
      </c>
      <c r="DR15" s="22">
        <f>IF(118&lt;=核心参数输入!$B$9*4,IF(AND(118-核心参数输入!$B$126&gt;=0,118-核心参数输入!$B$126&lt;=120),INDEX(季度计划!$D$14:$DT$14,1,MAX(1,MIN(121,118-核心参数输入!$B$126+1))),0),0)</f>
        <v>0</v>
      </c>
      <c r="DS15" s="22">
        <f>IF(119&lt;=核心参数输入!$B$9*4,IF(AND(119-核心参数输入!$B$126&gt;=0,119-核心参数输入!$B$126&lt;=120),INDEX(季度计划!$D$14:$DT$14,1,MAX(1,MIN(121,119-核心参数输入!$B$126+1))),0),0)</f>
        <v>0</v>
      </c>
      <c r="DT15" s="22">
        <f>IF(120&lt;=核心参数输入!$B$9*4,IF(AND(120-核心参数输入!$B$126&gt;=0,120-核心参数输入!$B$126&lt;=120),INDEX(季度计划!$D$14:$DT$14,1,MAX(1,MIN(121,120-核心参数输入!$B$126+1))),0),0)</f>
        <v>0</v>
      </c>
    </row>
    <row r="16" spans="1:124" ht="21" customHeight="1">
      <c r="A16" s="8" t="s">
        <v>628</v>
      </c>
      <c r="B16" s="8" t="s">
        <v>223</v>
      </c>
      <c r="C16" s="8"/>
      <c r="D16" s="9">
        <f>IF(0&lt;=核心参数输入!$B$9*4,MAX(0,0-((核心参数输入!$B$18-1)*4+(核心参数输入!$B$148))),0)</f>
        <v>0</v>
      </c>
      <c r="E16" s="9">
        <f>IF(1&lt;=核心参数输入!$B$9*4,MAX(0,1-((核心参数输入!$B$18-1)*4+(核心参数输入!$B$148))),0)</f>
        <v>0</v>
      </c>
      <c r="F16" s="9">
        <f>IF(2&lt;=核心参数输入!$B$9*4,MAX(0,2-((核心参数输入!$B$18-1)*4+(核心参数输入!$B$148))),0)</f>
        <v>0</v>
      </c>
      <c r="G16" s="9">
        <f>IF(3&lt;=核心参数输入!$B$9*4,MAX(0,3-((核心参数输入!$B$18-1)*4+(核心参数输入!$B$148))),0)</f>
        <v>0</v>
      </c>
      <c r="H16" s="9">
        <f>IF(4&lt;=核心参数输入!$B$9*4,MAX(0,4-((核心参数输入!$B$18-1)*4+(核心参数输入!$B$148))),0)</f>
        <v>0</v>
      </c>
      <c r="I16" s="9">
        <f>IF(5&lt;=核心参数输入!$B$9*4,MAX(0,5-((核心参数输入!$B$18-1)*4+(核心参数输入!$B$148))),0)</f>
        <v>0</v>
      </c>
      <c r="J16" s="9">
        <f>IF(6&lt;=核心参数输入!$B$9*4,MAX(0,6-((核心参数输入!$B$18-1)*4+(核心参数输入!$B$148))),0)</f>
        <v>0</v>
      </c>
      <c r="K16" s="9">
        <f>IF(7&lt;=核心参数输入!$B$9*4,MAX(0,7-((核心参数输入!$B$18-1)*4+(核心参数输入!$B$148))),0)</f>
        <v>0</v>
      </c>
      <c r="L16" s="9">
        <f>IF(8&lt;=核心参数输入!$B$9*4,MAX(0,8-((核心参数输入!$B$18-1)*4+(核心参数输入!$B$148))),0)</f>
        <v>0</v>
      </c>
      <c r="M16" s="9">
        <f>IF(9&lt;=核心参数输入!$B$9*4,MAX(0,9-((核心参数输入!$B$18-1)*4+(核心参数输入!$B$148))),0)</f>
        <v>0</v>
      </c>
      <c r="N16" s="9">
        <f>IF(10&lt;=核心参数输入!$B$9*4,MAX(0,10-((核心参数输入!$B$18-1)*4+(核心参数输入!$B$148))),0)</f>
        <v>0</v>
      </c>
      <c r="O16" s="9">
        <f>IF(11&lt;=核心参数输入!$B$9*4,MAX(0,11-((核心参数输入!$B$18-1)*4+(核心参数输入!$B$148))),0)</f>
        <v>0</v>
      </c>
      <c r="P16" s="9">
        <f>IF(12&lt;=核心参数输入!$B$9*4,MAX(0,12-((核心参数输入!$B$18-1)*4+(核心参数输入!$B$148))),0)</f>
        <v>0</v>
      </c>
      <c r="Q16" s="9">
        <f>IF(13&lt;=核心参数输入!$B$9*4,MAX(0,13-((核心参数输入!$B$18-1)*4+(核心参数输入!$B$148))),0)</f>
        <v>1</v>
      </c>
      <c r="R16" s="9">
        <f>IF(14&lt;=核心参数输入!$B$9*4,MAX(0,14-((核心参数输入!$B$18-1)*4+(核心参数输入!$B$148))),0)</f>
        <v>2</v>
      </c>
      <c r="S16" s="9">
        <f>IF(15&lt;=核心参数输入!$B$9*4,MAX(0,15-((核心参数输入!$B$18-1)*4+(核心参数输入!$B$148))),0)</f>
        <v>3</v>
      </c>
      <c r="T16" s="9">
        <f>IF(16&lt;=核心参数输入!$B$9*4,MAX(0,16-((核心参数输入!$B$18-1)*4+(核心参数输入!$B$148))),0)</f>
        <v>4</v>
      </c>
      <c r="U16" s="9">
        <f>IF(17&lt;=核心参数输入!$B$9*4,MAX(0,17-((核心参数输入!$B$18-1)*4+(核心参数输入!$B$148))),0)</f>
        <v>5</v>
      </c>
      <c r="V16" s="9">
        <f>IF(18&lt;=核心参数输入!$B$9*4,MAX(0,18-((核心参数输入!$B$18-1)*4+(核心参数输入!$B$148))),0)</f>
        <v>6</v>
      </c>
      <c r="W16" s="9">
        <f>IF(19&lt;=核心参数输入!$B$9*4,MAX(0,19-((核心参数输入!$B$18-1)*4+(核心参数输入!$B$148))),0)</f>
        <v>7</v>
      </c>
      <c r="X16" s="9">
        <f>IF(20&lt;=核心参数输入!$B$9*4,MAX(0,20-((核心参数输入!$B$18-1)*4+(核心参数输入!$B$148))),0)</f>
        <v>8</v>
      </c>
      <c r="Y16" s="9">
        <f>IF(21&lt;=核心参数输入!$B$9*4,MAX(0,21-((核心参数输入!$B$18-1)*4+(核心参数输入!$B$148))),0)</f>
        <v>9</v>
      </c>
      <c r="Z16" s="9">
        <f>IF(22&lt;=核心参数输入!$B$9*4,MAX(0,22-((核心参数输入!$B$18-1)*4+(核心参数输入!$B$148))),0)</f>
        <v>10</v>
      </c>
      <c r="AA16" s="9">
        <f>IF(23&lt;=核心参数输入!$B$9*4,MAX(0,23-((核心参数输入!$B$18-1)*4+(核心参数输入!$B$148))),0)</f>
        <v>11</v>
      </c>
      <c r="AB16" s="9">
        <f>IF(24&lt;=核心参数输入!$B$9*4,MAX(0,24-((核心参数输入!$B$18-1)*4+(核心参数输入!$B$148))),0)</f>
        <v>12</v>
      </c>
      <c r="AC16" s="9">
        <f>IF(25&lt;=核心参数输入!$B$9*4,MAX(0,25-((核心参数输入!$B$18-1)*4+(核心参数输入!$B$148))),0)</f>
        <v>13</v>
      </c>
      <c r="AD16" s="9">
        <f>IF(26&lt;=核心参数输入!$B$9*4,MAX(0,26-((核心参数输入!$B$18-1)*4+(核心参数输入!$B$148))),0)</f>
        <v>14</v>
      </c>
      <c r="AE16" s="9">
        <f>IF(27&lt;=核心参数输入!$B$9*4,MAX(0,27-((核心参数输入!$B$18-1)*4+(核心参数输入!$B$148))),0)</f>
        <v>15</v>
      </c>
      <c r="AF16" s="9">
        <f>IF(28&lt;=核心参数输入!$B$9*4,MAX(0,28-((核心参数输入!$B$18-1)*4+(核心参数输入!$B$148))),0)</f>
        <v>16</v>
      </c>
      <c r="AG16" s="9">
        <f>IF(29&lt;=核心参数输入!$B$9*4,MAX(0,29-((核心参数输入!$B$18-1)*4+(核心参数输入!$B$148))),0)</f>
        <v>17</v>
      </c>
      <c r="AH16" s="9">
        <f>IF(30&lt;=核心参数输入!$B$9*4,MAX(0,30-((核心参数输入!$B$18-1)*4+(核心参数输入!$B$148))),0)</f>
        <v>18</v>
      </c>
      <c r="AI16" s="9">
        <f>IF(31&lt;=核心参数输入!$B$9*4,MAX(0,31-((核心参数输入!$B$18-1)*4+(核心参数输入!$B$148))),0)</f>
        <v>19</v>
      </c>
      <c r="AJ16" s="9">
        <f>IF(32&lt;=核心参数输入!$B$9*4,MAX(0,32-((核心参数输入!$B$18-1)*4+(核心参数输入!$B$148))),0)</f>
        <v>20</v>
      </c>
      <c r="AK16" s="9">
        <f>IF(33&lt;=核心参数输入!$B$9*4,MAX(0,33-((核心参数输入!$B$18-1)*4+(核心参数输入!$B$148))),0)</f>
        <v>21</v>
      </c>
      <c r="AL16" s="9">
        <f>IF(34&lt;=核心参数输入!$B$9*4,MAX(0,34-((核心参数输入!$B$18-1)*4+(核心参数输入!$B$148))),0)</f>
        <v>22</v>
      </c>
      <c r="AM16" s="9">
        <f>IF(35&lt;=核心参数输入!$B$9*4,MAX(0,35-((核心参数输入!$B$18-1)*4+(核心参数输入!$B$148))),0)</f>
        <v>23</v>
      </c>
      <c r="AN16" s="9">
        <f>IF(36&lt;=核心参数输入!$B$9*4,MAX(0,36-((核心参数输入!$B$18-1)*4+(核心参数输入!$B$148))),0)</f>
        <v>24</v>
      </c>
      <c r="AO16" s="9">
        <f>IF(37&lt;=核心参数输入!$B$9*4,MAX(0,37-((核心参数输入!$B$18-1)*4+(核心参数输入!$B$148))),0)</f>
        <v>25</v>
      </c>
      <c r="AP16" s="9">
        <f>IF(38&lt;=核心参数输入!$B$9*4,MAX(0,38-((核心参数输入!$B$18-1)*4+(核心参数输入!$B$148))),0)</f>
        <v>26</v>
      </c>
      <c r="AQ16" s="9">
        <f>IF(39&lt;=核心参数输入!$B$9*4,MAX(0,39-((核心参数输入!$B$18-1)*4+(核心参数输入!$B$148))),0)</f>
        <v>27</v>
      </c>
      <c r="AR16" s="9">
        <f>IF(40&lt;=核心参数输入!$B$9*4,MAX(0,40-((核心参数输入!$B$18-1)*4+(核心参数输入!$B$148))),0)</f>
        <v>28</v>
      </c>
      <c r="AS16" s="9">
        <f>IF(41&lt;=核心参数输入!$B$9*4,MAX(0,41-((核心参数输入!$B$18-1)*4+(核心参数输入!$B$148))),0)</f>
        <v>29</v>
      </c>
      <c r="AT16" s="9">
        <f>IF(42&lt;=核心参数输入!$B$9*4,MAX(0,42-((核心参数输入!$B$18-1)*4+(核心参数输入!$B$148))),0)</f>
        <v>30</v>
      </c>
      <c r="AU16" s="9">
        <f>IF(43&lt;=核心参数输入!$B$9*4,MAX(0,43-((核心参数输入!$B$18-1)*4+(核心参数输入!$B$148))),0)</f>
        <v>31</v>
      </c>
      <c r="AV16" s="9">
        <f>IF(44&lt;=核心参数输入!$B$9*4,MAX(0,44-((核心参数输入!$B$18-1)*4+(核心参数输入!$B$148))),0)</f>
        <v>32</v>
      </c>
      <c r="AW16" s="9">
        <f>IF(45&lt;=核心参数输入!$B$9*4,MAX(0,45-((核心参数输入!$B$18-1)*4+(核心参数输入!$B$148))),0)</f>
        <v>33</v>
      </c>
      <c r="AX16" s="9">
        <f>IF(46&lt;=核心参数输入!$B$9*4,MAX(0,46-((核心参数输入!$B$18-1)*4+(核心参数输入!$B$148))),0)</f>
        <v>34</v>
      </c>
      <c r="AY16" s="9">
        <f>IF(47&lt;=核心参数输入!$B$9*4,MAX(0,47-((核心参数输入!$B$18-1)*4+(核心参数输入!$B$148))),0)</f>
        <v>35</v>
      </c>
      <c r="AZ16" s="9">
        <f>IF(48&lt;=核心参数输入!$B$9*4,MAX(0,48-((核心参数输入!$B$18-1)*4+(核心参数输入!$B$148))),0)</f>
        <v>36</v>
      </c>
      <c r="BA16" s="9">
        <f>IF(49&lt;=核心参数输入!$B$9*4,MAX(0,49-((核心参数输入!$B$18-1)*4+(核心参数输入!$B$148))),0)</f>
        <v>37</v>
      </c>
      <c r="BB16" s="9">
        <f>IF(50&lt;=核心参数输入!$B$9*4,MAX(0,50-((核心参数输入!$B$18-1)*4+(核心参数输入!$B$148))),0)</f>
        <v>38</v>
      </c>
      <c r="BC16" s="9">
        <f>IF(51&lt;=核心参数输入!$B$9*4,MAX(0,51-((核心参数输入!$B$18-1)*4+(核心参数输入!$B$148))),0)</f>
        <v>39</v>
      </c>
      <c r="BD16" s="9">
        <f>IF(52&lt;=核心参数输入!$B$9*4,MAX(0,52-((核心参数输入!$B$18-1)*4+(核心参数输入!$B$148))),0)</f>
        <v>40</v>
      </c>
      <c r="BE16" s="9">
        <f>IF(53&lt;=核心参数输入!$B$9*4,MAX(0,53-((核心参数输入!$B$18-1)*4+(核心参数输入!$B$148))),0)</f>
        <v>41</v>
      </c>
      <c r="BF16" s="9">
        <f>IF(54&lt;=核心参数输入!$B$9*4,MAX(0,54-((核心参数输入!$B$18-1)*4+(核心参数输入!$B$148))),0)</f>
        <v>42</v>
      </c>
      <c r="BG16" s="9">
        <f>IF(55&lt;=核心参数输入!$B$9*4,MAX(0,55-((核心参数输入!$B$18-1)*4+(核心参数输入!$B$148))),0)</f>
        <v>43</v>
      </c>
      <c r="BH16" s="9">
        <f>IF(56&lt;=核心参数输入!$B$9*4,MAX(0,56-((核心参数输入!$B$18-1)*4+(核心参数输入!$B$148))),0)</f>
        <v>44</v>
      </c>
      <c r="BI16" s="9">
        <f>IF(57&lt;=核心参数输入!$B$9*4,MAX(0,57-((核心参数输入!$B$18-1)*4+(核心参数输入!$B$148))),0)</f>
        <v>45</v>
      </c>
      <c r="BJ16" s="9">
        <f>IF(58&lt;=核心参数输入!$B$9*4,MAX(0,58-((核心参数输入!$B$18-1)*4+(核心参数输入!$B$148))),0)</f>
        <v>46</v>
      </c>
      <c r="BK16" s="9">
        <f>IF(59&lt;=核心参数输入!$B$9*4,MAX(0,59-((核心参数输入!$B$18-1)*4+(核心参数输入!$B$148))),0)</f>
        <v>47</v>
      </c>
      <c r="BL16" s="9">
        <f>IF(60&lt;=核心参数输入!$B$9*4,MAX(0,60-((核心参数输入!$B$18-1)*4+(核心参数输入!$B$148))),0)</f>
        <v>48</v>
      </c>
      <c r="BM16" s="9">
        <f>IF(61&lt;=核心参数输入!$B$9*4,MAX(0,61-((核心参数输入!$B$18-1)*4+(核心参数输入!$B$148))),0)</f>
        <v>49</v>
      </c>
      <c r="BN16" s="9">
        <f>IF(62&lt;=核心参数输入!$B$9*4,MAX(0,62-((核心参数输入!$B$18-1)*4+(核心参数输入!$B$148))),0)</f>
        <v>50</v>
      </c>
      <c r="BO16" s="9">
        <f>IF(63&lt;=核心参数输入!$B$9*4,MAX(0,63-((核心参数输入!$B$18-1)*4+(核心参数输入!$B$148))),0)</f>
        <v>51</v>
      </c>
      <c r="BP16" s="9">
        <f>IF(64&lt;=核心参数输入!$B$9*4,MAX(0,64-((核心参数输入!$B$18-1)*4+(核心参数输入!$B$148))),0)</f>
        <v>52</v>
      </c>
      <c r="BQ16" s="9">
        <f>IF(65&lt;=核心参数输入!$B$9*4,MAX(0,65-((核心参数输入!$B$18-1)*4+(核心参数输入!$B$148))),0)</f>
        <v>53</v>
      </c>
      <c r="BR16" s="9">
        <f>IF(66&lt;=核心参数输入!$B$9*4,MAX(0,66-((核心参数输入!$B$18-1)*4+(核心参数输入!$B$148))),0)</f>
        <v>54</v>
      </c>
      <c r="BS16" s="9">
        <f>IF(67&lt;=核心参数输入!$B$9*4,MAX(0,67-((核心参数输入!$B$18-1)*4+(核心参数输入!$B$148))),0)</f>
        <v>55</v>
      </c>
      <c r="BT16" s="9">
        <f>IF(68&lt;=核心参数输入!$B$9*4,MAX(0,68-((核心参数输入!$B$18-1)*4+(核心参数输入!$B$148))),0)</f>
        <v>56</v>
      </c>
      <c r="BU16" s="9">
        <f>IF(69&lt;=核心参数输入!$B$9*4,MAX(0,69-((核心参数输入!$B$18-1)*4+(核心参数输入!$B$148))),0)</f>
        <v>57</v>
      </c>
      <c r="BV16" s="9">
        <f>IF(70&lt;=核心参数输入!$B$9*4,MAX(0,70-((核心参数输入!$B$18-1)*4+(核心参数输入!$B$148))),0)</f>
        <v>58</v>
      </c>
      <c r="BW16" s="9">
        <f>IF(71&lt;=核心参数输入!$B$9*4,MAX(0,71-((核心参数输入!$B$18-1)*4+(核心参数输入!$B$148))),0)</f>
        <v>59</v>
      </c>
      <c r="BX16" s="9">
        <f>IF(72&lt;=核心参数输入!$B$9*4,MAX(0,72-((核心参数输入!$B$18-1)*4+(核心参数输入!$B$148))),0)</f>
        <v>60</v>
      </c>
      <c r="BY16" s="9">
        <f>IF(73&lt;=核心参数输入!$B$9*4,MAX(0,73-((核心参数输入!$B$18-1)*4+(核心参数输入!$B$148))),0)</f>
        <v>61</v>
      </c>
      <c r="BZ16" s="9">
        <f>IF(74&lt;=核心参数输入!$B$9*4,MAX(0,74-((核心参数输入!$B$18-1)*4+(核心参数输入!$B$148))),0)</f>
        <v>62</v>
      </c>
      <c r="CA16" s="9">
        <f>IF(75&lt;=核心参数输入!$B$9*4,MAX(0,75-((核心参数输入!$B$18-1)*4+(核心参数输入!$B$148))),0)</f>
        <v>63</v>
      </c>
      <c r="CB16" s="9">
        <f>IF(76&lt;=核心参数输入!$B$9*4,MAX(0,76-((核心参数输入!$B$18-1)*4+(核心参数输入!$B$148))),0)</f>
        <v>64</v>
      </c>
      <c r="CC16" s="9">
        <f>IF(77&lt;=核心参数输入!$B$9*4,MAX(0,77-((核心参数输入!$B$18-1)*4+(核心参数输入!$B$148))),0)</f>
        <v>65</v>
      </c>
      <c r="CD16" s="9">
        <f>IF(78&lt;=核心参数输入!$B$9*4,MAX(0,78-((核心参数输入!$B$18-1)*4+(核心参数输入!$B$148))),0)</f>
        <v>66</v>
      </c>
      <c r="CE16" s="9">
        <f>IF(79&lt;=核心参数输入!$B$9*4,MAX(0,79-((核心参数输入!$B$18-1)*4+(核心参数输入!$B$148))),0)</f>
        <v>67</v>
      </c>
      <c r="CF16" s="9">
        <f>IF(80&lt;=核心参数输入!$B$9*4,MAX(0,80-((核心参数输入!$B$18-1)*4+(核心参数输入!$B$148))),0)</f>
        <v>68</v>
      </c>
      <c r="CG16" s="9">
        <f>IF(81&lt;=核心参数输入!$B$9*4,MAX(0,81-((核心参数输入!$B$18-1)*4+(核心参数输入!$B$148))),0)</f>
        <v>0</v>
      </c>
      <c r="CH16" s="9">
        <f>IF(82&lt;=核心参数输入!$B$9*4,MAX(0,82-((核心参数输入!$B$18-1)*4+(核心参数输入!$B$148))),0)</f>
        <v>0</v>
      </c>
      <c r="CI16" s="9">
        <f>IF(83&lt;=核心参数输入!$B$9*4,MAX(0,83-((核心参数输入!$B$18-1)*4+(核心参数输入!$B$148))),0)</f>
        <v>0</v>
      </c>
      <c r="CJ16" s="9">
        <f>IF(84&lt;=核心参数输入!$B$9*4,MAX(0,84-((核心参数输入!$B$18-1)*4+(核心参数输入!$B$148))),0)</f>
        <v>0</v>
      </c>
      <c r="CK16" s="9">
        <f>IF(85&lt;=核心参数输入!$B$9*4,MAX(0,85-((核心参数输入!$B$18-1)*4+(核心参数输入!$B$148))),0)</f>
        <v>0</v>
      </c>
      <c r="CL16" s="9">
        <f>IF(86&lt;=核心参数输入!$B$9*4,MAX(0,86-((核心参数输入!$B$18-1)*4+(核心参数输入!$B$148))),0)</f>
        <v>0</v>
      </c>
      <c r="CM16" s="9">
        <f>IF(87&lt;=核心参数输入!$B$9*4,MAX(0,87-((核心参数输入!$B$18-1)*4+(核心参数输入!$B$148))),0)</f>
        <v>0</v>
      </c>
      <c r="CN16" s="9">
        <f>IF(88&lt;=核心参数输入!$B$9*4,MAX(0,88-((核心参数输入!$B$18-1)*4+(核心参数输入!$B$148))),0)</f>
        <v>0</v>
      </c>
      <c r="CO16" s="9">
        <f>IF(89&lt;=核心参数输入!$B$9*4,MAX(0,89-((核心参数输入!$B$18-1)*4+(核心参数输入!$B$148))),0)</f>
        <v>0</v>
      </c>
      <c r="CP16" s="9">
        <f>IF(90&lt;=核心参数输入!$B$9*4,MAX(0,90-((核心参数输入!$B$18-1)*4+(核心参数输入!$B$148))),0)</f>
        <v>0</v>
      </c>
      <c r="CQ16" s="9">
        <f>IF(91&lt;=核心参数输入!$B$9*4,MAX(0,91-((核心参数输入!$B$18-1)*4+(核心参数输入!$B$148))),0)</f>
        <v>0</v>
      </c>
      <c r="CR16" s="9">
        <f>IF(92&lt;=核心参数输入!$B$9*4,MAX(0,92-((核心参数输入!$B$18-1)*4+(核心参数输入!$B$148))),0)</f>
        <v>0</v>
      </c>
      <c r="CS16" s="9">
        <f>IF(93&lt;=核心参数输入!$B$9*4,MAX(0,93-((核心参数输入!$B$18-1)*4+(核心参数输入!$B$148))),0)</f>
        <v>0</v>
      </c>
      <c r="CT16" s="9">
        <f>IF(94&lt;=核心参数输入!$B$9*4,MAX(0,94-((核心参数输入!$B$18-1)*4+(核心参数输入!$B$148))),0)</f>
        <v>0</v>
      </c>
      <c r="CU16" s="9">
        <f>IF(95&lt;=核心参数输入!$B$9*4,MAX(0,95-((核心参数输入!$B$18-1)*4+(核心参数输入!$B$148))),0)</f>
        <v>0</v>
      </c>
      <c r="CV16" s="9">
        <f>IF(96&lt;=核心参数输入!$B$9*4,MAX(0,96-((核心参数输入!$B$18-1)*4+(核心参数输入!$B$148))),0)</f>
        <v>0</v>
      </c>
      <c r="CW16" s="9">
        <f>IF(97&lt;=核心参数输入!$B$9*4,MAX(0,97-((核心参数输入!$B$18-1)*4+(核心参数输入!$B$148))),0)</f>
        <v>0</v>
      </c>
      <c r="CX16" s="9">
        <f>IF(98&lt;=核心参数输入!$B$9*4,MAX(0,98-((核心参数输入!$B$18-1)*4+(核心参数输入!$B$148))),0)</f>
        <v>0</v>
      </c>
      <c r="CY16" s="9">
        <f>IF(99&lt;=核心参数输入!$B$9*4,MAX(0,99-((核心参数输入!$B$18-1)*4+(核心参数输入!$B$148))),0)</f>
        <v>0</v>
      </c>
      <c r="CZ16" s="9">
        <f>IF(100&lt;=核心参数输入!$B$9*4,MAX(0,100-((核心参数输入!$B$18-1)*4+(核心参数输入!$B$148))),0)</f>
        <v>0</v>
      </c>
      <c r="DA16" s="9">
        <f>IF(101&lt;=核心参数输入!$B$9*4,MAX(0,101-((核心参数输入!$B$18-1)*4+(核心参数输入!$B$148))),0)</f>
        <v>0</v>
      </c>
      <c r="DB16" s="9">
        <f>IF(102&lt;=核心参数输入!$B$9*4,MAX(0,102-((核心参数输入!$B$18-1)*4+(核心参数输入!$B$148))),0)</f>
        <v>0</v>
      </c>
      <c r="DC16" s="9">
        <f>IF(103&lt;=核心参数输入!$B$9*4,MAX(0,103-((核心参数输入!$B$18-1)*4+(核心参数输入!$B$148))),0)</f>
        <v>0</v>
      </c>
      <c r="DD16" s="9">
        <f>IF(104&lt;=核心参数输入!$B$9*4,MAX(0,104-((核心参数输入!$B$18-1)*4+(核心参数输入!$B$148))),0)</f>
        <v>0</v>
      </c>
      <c r="DE16" s="9">
        <f>IF(105&lt;=核心参数输入!$B$9*4,MAX(0,105-((核心参数输入!$B$18-1)*4+(核心参数输入!$B$148))),0)</f>
        <v>0</v>
      </c>
      <c r="DF16" s="9">
        <f>IF(106&lt;=核心参数输入!$B$9*4,MAX(0,106-((核心参数输入!$B$18-1)*4+(核心参数输入!$B$148))),0)</f>
        <v>0</v>
      </c>
      <c r="DG16" s="9">
        <f>IF(107&lt;=核心参数输入!$B$9*4,MAX(0,107-((核心参数输入!$B$18-1)*4+(核心参数输入!$B$148))),0)</f>
        <v>0</v>
      </c>
      <c r="DH16" s="9">
        <f>IF(108&lt;=核心参数输入!$B$9*4,MAX(0,108-((核心参数输入!$B$18-1)*4+(核心参数输入!$B$148))),0)</f>
        <v>0</v>
      </c>
      <c r="DI16" s="9">
        <f>IF(109&lt;=核心参数输入!$B$9*4,MAX(0,109-((核心参数输入!$B$18-1)*4+(核心参数输入!$B$148))),0)</f>
        <v>0</v>
      </c>
      <c r="DJ16" s="9">
        <f>IF(110&lt;=核心参数输入!$B$9*4,MAX(0,110-((核心参数输入!$B$18-1)*4+(核心参数输入!$B$148))),0)</f>
        <v>0</v>
      </c>
      <c r="DK16" s="9">
        <f>IF(111&lt;=核心参数输入!$B$9*4,MAX(0,111-((核心参数输入!$B$18-1)*4+(核心参数输入!$B$148))),0)</f>
        <v>0</v>
      </c>
      <c r="DL16" s="9">
        <f>IF(112&lt;=核心参数输入!$B$9*4,MAX(0,112-((核心参数输入!$B$18-1)*4+(核心参数输入!$B$148))),0)</f>
        <v>0</v>
      </c>
      <c r="DM16" s="9">
        <f>IF(113&lt;=核心参数输入!$B$9*4,MAX(0,113-((核心参数输入!$B$18-1)*4+(核心参数输入!$B$148))),0)</f>
        <v>0</v>
      </c>
      <c r="DN16" s="9">
        <f>IF(114&lt;=核心参数输入!$B$9*4,MAX(0,114-((核心参数输入!$B$18-1)*4+(核心参数输入!$B$148))),0)</f>
        <v>0</v>
      </c>
      <c r="DO16" s="9">
        <f>IF(115&lt;=核心参数输入!$B$9*4,MAX(0,115-((核心参数输入!$B$18-1)*4+(核心参数输入!$B$148))),0)</f>
        <v>0</v>
      </c>
      <c r="DP16" s="9">
        <f>IF(116&lt;=核心参数输入!$B$9*4,MAX(0,116-((核心参数输入!$B$18-1)*4+(核心参数输入!$B$148))),0)</f>
        <v>0</v>
      </c>
      <c r="DQ16" s="9">
        <f>IF(117&lt;=核心参数输入!$B$9*4,MAX(0,117-((核心参数输入!$B$18-1)*4+(核心参数输入!$B$148))),0)</f>
        <v>0</v>
      </c>
      <c r="DR16" s="9">
        <f>IF(118&lt;=核心参数输入!$B$9*4,MAX(0,118-((核心参数输入!$B$18-1)*4+(核心参数输入!$B$148))),0)</f>
        <v>0</v>
      </c>
      <c r="DS16" s="9">
        <f>IF(119&lt;=核心参数输入!$B$9*4,MAX(0,119-((核心参数输入!$B$18-1)*4+(核心参数输入!$B$148))),0)</f>
        <v>0</v>
      </c>
      <c r="DT16" s="9">
        <f>IF(120&lt;=核心参数输入!$B$9*4,MAX(0,120-((核心参数输入!$B$18-1)*4+(核心参数输入!$B$148))),0)</f>
        <v>0</v>
      </c>
    </row>
    <row r="17" spans="1:124" ht="21" customHeight="1">
      <c r="A17" s="8" t="s">
        <v>629</v>
      </c>
      <c r="B17" s="8" t="s">
        <v>223</v>
      </c>
      <c r="C17" s="8"/>
      <c r="D17" s="9">
        <f>IF(0&lt;=核心参数输入!$B$9*4,核心参数输入!$B$16*4+(核心参数输入!$B$148),0)</f>
        <v>12</v>
      </c>
      <c r="E17" s="9">
        <f>IF(1&lt;=核心参数输入!$B$9*4,核心参数输入!$B$16*4+(核心参数输入!$B$148),0)</f>
        <v>12</v>
      </c>
      <c r="F17" s="9">
        <f>IF(2&lt;=核心参数输入!$B$9*4,核心参数输入!$B$16*4+(核心参数输入!$B$148),0)</f>
        <v>12</v>
      </c>
      <c r="G17" s="9">
        <f>IF(3&lt;=核心参数输入!$B$9*4,核心参数输入!$B$16*4+(核心参数输入!$B$148),0)</f>
        <v>12</v>
      </c>
      <c r="H17" s="9">
        <f>IF(4&lt;=核心参数输入!$B$9*4,核心参数输入!$B$16*4+(核心参数输入!$B$148),0)</f>
        <v>12</v>
      </c>
      <c r="I17" s="9">
        <f>IF(5&lt;=核心参数输入!$B$9*4,核心参数输入!$B$16*4+(核心参数输入!$B$148),0)</f>
        <v>12</v>
      </c>
      <c r="J17" s="9">
        <f>IF(6&lt;=核心参数输入!$B$9*4,核心参数输入!$B$16*4+(核心参数输入!$B$148),0)</f>
        <v>12</v>
      </c>
      <c r="K17" s="9">
        <f>IF(7&lt;=核心参数输入!$B$9*4,核心参数输入!$B$16*4+(核心参数输入!$B$148),0)</f>
        <v>12</v>
      </c>
      <c r="L17" s="9">
        <f>IF(8&lt;=核心参数输入!$B$9*4,核心参数输入!$B$16*4+(核心参数输入!$B$148),0)</f>
        <v>12</v>
      </c>
      <c r="M17" s="9">
        <f>IF(9&lt;=核心参数输入!$B$9*4,核心参数输入!$B$16*4+(核心参数输入!$B$148),0)</f>
        <v>12</v>
      </c>
      <c r="N17" s="9">
        <f>IF(10&lt;=核心参数输入!$B$9*4,核心参数输入!$B$16*4+(核心参数输入!$B$148),0)</f>
        <v>12</v>
      </c>
      <c r="O17" s="9">
        <f>IF(11&lt;=核心参数输入!$B$9*4,核心参数输入!$B$16*4+(核心参数输入!$B$148),0)</f>
        <v>12</v>
      </c>
      <c r="P17" s="9">
        <f>IF(12&lt;=核心参数输入!$B$9*4,核心参数输入!$B$16*4+(核心参数输入!$B$148),0)</f>
        <v>12</v>
      </c>
      <c r="Q17" s="9">
        <f>IF(13&lt;=核心参数输入!$B$9*4,核心参数输入!$B$16*4+(核心参数输入!$B$148),0)</f>
        <v>12</v>
      </c>
      <c r="R17" s="9">
        <f>IF(14&lt;=核心参数输入!$B$9*4,核心参数输入!$B$16*4+(核心参数输入!$B$148),0)</f>
        <v>12</v>
      </c>
      <c r="S17" s="9">
        <f>IF(15&lt;=核心参数输入!$B$9*4,核心参数输入!$B$16*4+(核心参数输入!$B$148),0)</f>
        <v>12</v>
      </c>
      <c r="T17" s="9">
        <f>IF(16&lt;=核心参数输入!$B$9*4,核心参数输入!$B$16*4+(核心参数输入!$B$148),0)</f>
        <v>12</v>
      </c>
      <c r="U17" s="9">
        <f>IF(17&lt;=核心参数输入!$B$9*4,核心参数输入!$B$16*4+(核心参数输入!$B$148),0)</f>
        <v>12</v>
      </c>
      <c r="V17" s="9">
        <f>IF(18&lt;=核心参数输入!$B$9*4,核心参数输入!$B$16*4+(核心参数输入!$B$148),0)</f>
        <v>12</v>
      </c>
      <c r="W17" s="9">
        <f>IF(19&lt;=核心参数输入!$B$9*4,核心参数输入!$B$16*4+(核心参数输入!$B$148),0)</f>
        <v>12</v>
      </c>
      <c r="X17" s="9">
        <f>IF(20&lt;=核心参数输入!$B$9*4,核心参数输入!$B$16*4+(核心参数输入!$B$148),0)</f>
        <v>12</v>
      </c>
      <c r="Y17" s="9">
        <f>IF(21&lt;=核心参数输入!$B$9*4,核心参数输入!$B$16*4+(核心参数输入!$B$148),0)</f>
        <v>12</v>
      </c>
      <c r="Z17" s="9">
        <f>IF(22&lt;=核心参数输入!$B$9*4,核心参数输入!$B$16*4+(核心参数输入!$B$148),0)</f>
        <v>12</v>
      </c>
      <c r="AA17" s="9">
        <f>IF(23&lt;=核心参数输入!$B$9*4,核心参数输入!$B$16*4+(核心参数输入!$B$148),0)</f>
        <v>12</v>
      </c>
      <c r="AB17" s="9">
        <f>IF(24&lt;=核心参数输入!$B$9*4,核心参数输入!$B$16*4+(核心参数输入!$B$148),0)</f>
        <v>12</v>
      </c>
      <c r="AC17" s="9">
        <f>IF(25&lt;=核心参数输入!$B$9*4,核心参数输入!$B$16*4+(核心参数输入!$B$148),0)</f>
        <v>12</v>
      </c>
      <c r="AD17" s="9">
        <f>IF(26&lt;=核心参数输入!$B$9*4,核心参数输入!$B$16*4+(核心参数输入!$B$148),0)</f>
        <v>12</v>
      </c>
      <c r="AE17" s="9">
        <f>IF(27&lt;=核心参数输入!$B$9*4,核心参数输入!$B$16*4+(核心参数输入!$B$148),0)</f>
        <v>12</v>
      </c>
      <c r="AF17" s="9">
        <f>IF(28&lt;=核心参数输入!$B$9*4,核心参数输入!$B$16*4+(核心参数输入!$B$148),0)</f>
        <v>12</v>
      </c>
      <c r="AG17" s="9">
        <f>IF(29&lt;=核心参数输入!$B$9*4,核心参数输入!$B$16*4+(核心参数输入!$B$148),0)</f>
        <v>12</v>
      </c>
      <c r="AH17" s="9">
        <f>IF(30&lt;=核心参数输入!$B$9*4,核心参数输入!$B$16*4+(核心参数输入!$B$148),0)</f>
        <v>12</v>
      </c>
      <c r="AI17" s="9">
        <f>IF(31&lt;=核心参数输入!$B$9*4,核心参数输入!$B$16*4+(核心参数输入!$B$148),0)</f>
        <v>12</v>
      </c>
      <c r="AJ17" s="9">
        <f>IF(32&lt;=核心参数输入!$B$9*4,核心参数输入!$B$16*4+(核心参数输入!$B$148),0)</f>
        <v>12</v>
      </c>
      <c r="AK17" s="9">
        <f>IF(33&lt;=核心参数输入!$B$9*4,核心参数输入!$B$16*4+(核心参数输入!$B$148),0)</f>
        <v>12</v>
      </c>
      <c r="AL17" s="9">
        <f>IF(34&lt;=核心参数输入!$B$9*4,核心参数输入!$B$16*4+(核心参数输入!$B$148),0)</f>
        <v>12</v>
      </c>
      <c r="AM17" s="9">
        <f>IF(35&lt;=核心参数输入!$B$9*4,核心参数输入!$B$16*4+(核心参数输入!$B$148),0)</f>
        <v>12</v>
      </c>
      <c r="AN17" s="9">
        <f>IF(36&lt;=核心参数输入!$B$9*4,核心参数输入!$B$16*4+(核心参数输入!$B$148),0)</f>
        <v>12</v>
      </c>
      <c r="AO17" s="9">
        <f>IF(37&lt;=核心参数输入!$B$9*4,核心参数输入!$B$16*4+(核心参数输入!$B$148),0)</f>
        <v>12</v>
      </c>
      <c r="AP17" s="9">
        <f>IF(38&lt;=核心参数输入!$B$9*4,核心参数输入!$B$16*4+(核心参数输入!$B$148),0)</f>
        <v>12</v>
      </c>
      <c r="AQ17" s="9">
        <f>IF(39&lt;=核心参数输入!$B$9*4,核心参数输入!$B$16*4+(核心参数输入!$B$148),0)</f>
        <v>12</v>
      </c>
      <c r="AR17" s="9">
        <f>IF(40&lt;=核心参数输入!$B$9*4,核心参数输入!$B$16*4+(核心参数输入!$B$148),0)</f>
        <v>12</v>
      </c>
      <c r="AS17" s="9">
        <f>IF(41&lt;=核心参数输入!$B$9*4,核心参数输入!$B$16*4+(核心参数输入!$B$148),0)</f>
        <v>12</v>
      </c>
      <c r="AT17" s="9">
        <f>IF(42&lt;=核心参数输入!$B$9*4,核心参数输入!$B$16*4+(核心参数输入!$B$148),0)</f>
        <v>12</v>
      </c>
      <c r="AU17" s="9">
        <f>IF(43&lt;=核心参数输入!$B$9*4,核心参数输入!$B$16*4+(核心参数输入!$B$148),0)</f>
        <v>12</v>
      </c>
      <c r="AV17" s="9">
        <f>IF(44&lt;=核心参数输入!$B$9*4,核心参数输入!$B$16*4+(核心参数输入!$B$148),0)</f>
        <v>12</v>
      </c>
      <c r="AW17" s="9">
        <f>IF(45&lt;=核心参数输入!$B$9*4,核心参数输入!$B$16*4+(核心参数输入!$B$148),0)</f>
        <v>12</v>
      </c>
      <c r="AX17" s="9">
        <f>IF(46&lt;=核心参数输入!$B$9*4,核心参数输入!$B$16*4+(核心参数输入!$B$148),0)</f>
        <v>12</v>
      </c>
      <c r="AY17" s="9">
        <f>IF(47&lt;=核心参数输入!$B$9*4,核心参数输入!$B$16*4+(核心参数输入!$B$148),0)</f>
        <v>12</v>
      </c>
      <c r="AZ17" s="9">
        <f>IF(48&lt;=核心参数输入!$B$9*4,核心参数输入!$B$16*4+(核心参数输入!$B$148),0)</f>
        <v>12</v>
      </c>
      <c r="BA17" s="9">
        <f>IF(49&lt;=核心参数输入!$B$9*4,核心参数输入!$B$16*4+(核心参数输入!$B$148),0)</f>
        <v>12</v>
      </c>
      <c r="BB17" s="9">
        <f>IF(50&lt;=核心参数输入!$B$9*4,核心参数输入!$B$16*4+(核心参数输入!$B$148),0)</f>
        <v>12</v>
      </c>
      <c r="BC17" s="9">
        <f>IF(51&lt;=核心参数输入!$B$9*4,核心参数输入!$B$16*4+(核心参数输入!$B$148),0)</f>
        <v>12</v>
      </c>
      <c r="BD17" s="9">
        <f>IF(52&lt;=核心参数输入!$B$9*4,核心参数输入!$B$16*4+(核心参数输入!$B$148),0)</f>
        <v>12</v>
      </c>
      <c r="BE17" s="9">
        <f>IF(53&lt;=核心参数输入!$B$9*4,核心参数输入!$B$16*4+(核心参数输入!$B$148),0)</f>
        <v>12</v>
      </c>
      <c r="BF17" s="9">
        <f>IF(54&lt;=核心参数输入!$B$9*4,核心参数输入!$B$16*4+(核心参数输入!$B$148),0)</f>
        <v>12</v>
      </c>
      <c r="BG17" s="9">
        <f>IF(55&lt;=核心参数输入!$B$9*4,核心参数输入!$B$16*4+(核心参数输入!$B$148),0)</f>
        <v>12</v>
      </c>
      <c r="BH17" s="9">
        <f>IF(56&lt;=核心参数输入!$B$9*4,核心参数输入!$B$16*4+(核心参数输入!$B$148),0)</f>
        <v>12</v>
      </c>
      <c r="BI17" s="9">
        <f>IF(57&lt;=核心参数输入!$B$9*4,核心参数输入!$B$16*4+(核心参数输入!$B$148),0)</f>
        <v>12</v>
      </c>
      <c r="BJ17" s="9">
        <f>IF(58&lt;=核心参数输入!$B$9*4,核心参数输入!$B$16*4+(核心参数输入!$B$148),0)</f>
        <v>12</v>
      </c>
      <c r="BK17" s="9">
        <f>IF(59&lt;=核心参数输入!$B$9*4,核心参数输入!$B$16*4+(核心参数输入!$B$148),0)</f>
        <v>12</v>
      </c>
      <c r="BL17" s="9">
        <f>IF(60&lt;=核心参数输入!$B$9*4,核心参数输入!$B$16*4+(核心参数输入!$B$148),0)</f>
        <v>12</v>
      </c>
      <c r="BM17" s="9">
        <f>IF(61&lt;=核心参数输入!$B$9*4,核心参数输入!$B$16*4+(核心参数输入!$B$148),0)</f>
        <v>12</v>
      </c>
      <c r="BN17" s="9">
        <f>IF(62&lt;=核心参数输入!$B$9*4,核心参数输入!$B$16*4+(核心参数输入!$B$148),0)</f>
        <v>12</v>
      </c>
      <c r="BO17" s="9">
        <f>IF(63&lt;=核心参数输入!$B$9*4,核心参数输入!$B$16*4+(核心参数输入!$B$148),0)</f>
        <v>12</v>
      </c>
      <c r="BP17" s="9">
        <f>IF(64&lt;=核心参数输入!$B$9*4,核心参数输入!$B$16*4+(核心参数输入!$B$148),0)</f>
        <v>12</v>
      </c>
      <c r="BQ17" s="9">
        <f>IF(65&lt;=核心参数输入!$B$9*4,核心参数输入!$B$16*4+(核心参数输入!$B$148),0)</f>
        <v>12</v>
      </c>
      <c r="BR17" s="9">
        <f>IF(66&lt;=核心参数输入!$B$9*4,核心参数输入!$B$16*4+(核心参数输入!$B$148),0)</f>
        <v>12</v>
      </c>
      <c r="BS17" s="9">
        <f>IF(67&lt;=核心参数输入!$B$9*4,核心参数输入!$B$16*4+(核心参数输入!$B$148),0)</f>
        <v>12</v>
      </c>
      <c r="BT17" s="9">
        <f>IF(68&lt;=核心参数输入!$B$9*4,核心参数输入!$B$16*4+(核心参数输入!$B$148),0)</f>
        <v>12</v>
      </c>
      <c r="BU17" s="9">
        <f>IF(69&lt;=核心参数输入!$B$9*4,核心参数输入!$B$16*4+(核心参数输入!$B$148),0)</f>
        <v>12</v>
      </c>
      <c r="BV17" s="9">
        <f>IF(70&lt;=核心参数输入!$B$9*4,核心参数输入!$B$16*4+(核心参数输入!$B$148),0)</f>
        <v>12</v>
      </c>
      <c r="BW17" s="9">
        <f>IF(71&lt;=核心参数输入!$B$9*4,核心参数输入!$B$16*4+(核心参数输入!$B$148),0)</f>
        <v>12</v>
      </c>
      <c r="BX17" s="9">
        <f>IF(72&lt;=核心参数输入!$B$9*4,核心参数输入!$B$16*4+(核心参数输入!$B$148),0)</f>
        <v>12</v>
      </c>
      <c r="BY17" s="9">
        <f>IF(73&lt;=核心参数输入!$B$9*4,核心参数输入!$B$16*4+(核心参数输入!$B$148),0)</f>
        <v>12</v>
      </c>
      <c r="BZ17" s="9">
        <f>IF(74&lt;=核心参数输入!$B$9*4,核心参数输入!$B$16*4+(核心参数输入!$B$148),0)</f>
        <v>12</v>
      </c>
      <c r="CA17" s="9">
        <f>IF(75&lt;=核心参数输入!$B$9*4,核心参数输入!$B$16*4+(核心参数输入!$B$148),0)</f>
        <v>12</v>
      </c>
      <c r="CB17" s="9">
        <f>IF(76&lt;=核心参数输入!$B$9*4,核心参数输入!$B$16*4+(核心参数输入!$B$148),0)</f>
        <v>12</v>
      </c>
      <c r="CC17" s="9">
        <f>IF(77&lt;=核心参数输入!$B$9*4,核心参数输入!$B$16*4+(核心参数输入!$B$148),0)</f>
        <v>12</v>
      </c>
      <c r="CD17" s="9">
        <f>IF(78&lt;=核心参数输入!$B$9*4,核心参数输入!$B$16*4+(核心参数输入!$B$148),0)</f>
        <v>12</v>
      </c>
      <c r="CE17" s="9">
        <f>IF(79&lt;=核心参数输入!$B$9*4,核心参数输入!$B$16*4+(核心参数输入!$B$148),0)</f>
        <v>12</v>
      </c>
      <c r="CF17" s="9">
        <f>IF(80&lt;=核心参数输入!$B$9*4,核心参数输入!$B$16*4+(核心参数输入!$B$148),0)</f>
        <v>12</v>
      </c>
      <c r="CG17" s="9">
        <f>IF(81&lt;=核心参数输入!$B$9*4,核心参数输入!$B$16*4+(核心参数输入!$B$148),0)</f>
        <v>0</v>
      </c>
      <c r="CH17" s="9">
        <f>IF(82&lt;=核心参数输入!$B$9*4,核心参数输入!$B$16*4+(核心参数输入!$B$148),0)</f>
        <v>0</v>
      </c>
      <c r="CI17" s="9">
        <f>IF(83&lt;=核心参数输入!$B$9*4,核心参数输入!$B$16*4+(核心参数输入!$B$148),0)</f>
        <v>0</v>
      </c>
      <c r="CJ17" s="9">
        <f>IF(84&lt;=核心参数输入!$B$9*4,核心参数输入!$B$16*4+(核心参数输入!$B$148),0)</f>
        <v>0</v>
      </c>
      <c r="CK17" s="9">
        <f>IF(85&lt;=核心参数输入!$B$9*4,核心参数输入!$B$16*4+(核心参数输入!$B$148),0)</f>
        <v>0</v>
      </c>
      <c r="CL17" s="9">
        <f>IF(86&lt;=核心参数输入!$B$9*4,核心参数输入!$B$16*4+(核心参数输入!$B$148),0)</f>
        <v>0</v>
      </c>
      <c r="CM17" s="9">
        <f>IF(87&lt;=核心参数输入!$B$9*4,核心参数输入!$B$16*4+(核心参数输入!$B$148),0)</f>
        <v>0</v>
      </c>
      <c r="CN17" s="9">
        <f>IF(88&lt;=核心参数输入!$B$9*4,核心参数输入!$B$16*4+(核心参数输入!$B$148),0)</f>
        <v>0</v>
      </c>
      <c r="CO17" s="9">
        <f>IF(89&lt;=核心参数输入!$B$9*4,核心参数输入!$B$16*4+(核心参数输入!$B$148),0)</f>
        <v>0</v>
      </c>
      <c r="CP17" s="9">
        <f>IF(90&lt;=核心参数输入!$B$9*4,核心参数输入!$B$16*4+(核心参数输入!$B$148),0)</f>
        <v>0</v>
      </c>
      <c r="CQ17" s="9">
        <f>IF(91&lt;=核心参数输入!$B$9*4,核心参数输入!$B$16*4+(核心参数输入!$B$148),0)</f>
        <v>0</v>
      </c>
      <c r="CR17" s="9">
        <f>IF(92&lt;=核心参数输入!$B$9*4,核心参数输入!$B$16*4+(核心参数输入!$B$148),0)</f>
        <v>0</v>
      </c>
      <c r="CS17" s="9">
        <f>IF(93&lt;=核心参数输入!$B$9*4,核心参数输入!$B$16*4+(核心参数输入!$B$148),0)</f>
        <v>0</v>
      </c>
      <c r="CT17" s="9">
        <f>IF(94&lt;=核心参数输入!$B$9*4,核心参数输入!$B$16*4+(核心参数输入!$B$148),0)</f>
        <v>0</v>
      </c>
      <c r="CU17" s="9">
        <f>IF(95&lt;=核心参数输入!$B$9*4,核心参数输入!$B$16*4+(核心参数输入!$B$148),0)</f>
        <v>0</v>
      </c>
      <c r="CV17" s="9">
        <f>IF(96&lt;=核心参数输入!$B$9*4,核心参数输入!$B$16*4+(核心参数输入!$B$148),0)</f>
        <v>0</v>
      </c>
      <c r="CW17" s="9">
        <f>IF(97&lt;=核心参数输入!$B$9*4,核心参数输入!$B$16*4+(核心参数输入!$B$148),0)</f>
        <v>0</v>
      </c>
      <c r="CX17" s="9">
        <f>IF(98&lt;=核心参数输入!$B$9*4,核心参数输入!$B$16*4+(核心参数输入!$B$148),0)</f>
        <v>0</v>
      </c>
      <c r="CY17" s="9">
        <f>IF(99&lt;=核心参数输入!$B$9*4,核心参数输入!$B$16*4+(核心参数输入!$B$148),0)</f>
        <v>0</v>
      </c>
      <c r="CZ17" s="9">
        <f>IF(100&lt;=核心参数输入!$B$9*4,核心参数输入!$B$16*4+(核心参数输入!$B$148),0)</f>
        <v>0</v>
      </c>
      <c r="DA17" s="9">
        <f>IF(101&lt;=核心参数输入!$B$9*4,核心参数输入!$B$16*4+(核心参数输入!$B$148),0)</f>
        <v>0</v>
      </c>
      <c r="DB17" s="9">
        <f>IF(102&lt;=核心参数输入!$B$9*4,核心参数输入!$B$16*4+(核心参数输入!$B$148),0)</f>
        <v>0</v>
      </c>
      <c r="DC17" s="9">
        <f>IF(103&lt;=核心参数输入!$B$9*4,核心参数输入!$B$16*4+(核心参数输入!$B$148),0)</f>
        <v>0</v>
      </c>
      <c r="DD17" s="9">
        <f>IF(104&lt;=核心参数输入!$B$9*4,核心参数输入!$B$16*4+(核心参数输入!$B$148),0)</f>
        <v>0</v>
      </c>
      <c r="DE17" s="9">
        <f>IF(105&lt;=核心参数输入!$B$9*4,核心参数输入!$B$16*4+(核心参数输入!$B$148),0)</f>
        <v>0</v>
      </c>
      <c r="DF17" s="9">
        <f>IF(106&lt;=核心参数输入!$B$9*4,核心参数输入!$B$16*4+(核心参数输入!$B$148),0)</f>
        <v>0</v>
      </c>
      <c r="DG17" s="9">
        <f>IF(107&lt;=核心参数输入!$B$9*4,核心参数输入!$B$16*4+(核心参数输入!$B$148),0)</f>
        <v>0</v>
      </c>
      <c r="DH17" s="9">
        <f>IF(108&lt;=核心参数输入!$B$9*4,核心参数输入!$B$16*4+(核心参数输入!$B$148),0)</f>
        <v>0</v>
      </c>
      <c r="DI17" s="9">
        <f>IF(109&lt;=核心参数输入!$B$9*4,核心参数输入!$B$16*4+(核心参数输入!$B$148),0)</f>
        <v>0</v>
      </c>
      <c r="DJ17" s="9">
        <f>IF(110&lt;=核心参数输入!$B$9*4,核心参数输入!$B$16*4+(核心参数输入!$B$148),0)</f>
        <v>0</v>
      </c>
      <c r="DK17" s="9">
        <f>IF(111&lt;=核心参数输入!$B$9*4,核心参数输入!$B$16*4+(核心参数输入!$B$148),0)</f>
        <v>0</v>
      </c>
      <c r="DL17" s="9">
        <f>IF(112&lt;=核心参数输入!$B$9*4,核心参数输入!$B$16*4+(核心参数输入!$B$148),0)</f>
        <v>0</v>
      </c>
      <c r="DM17" s="9">
        <f>IF(113&lt;=核心参数输入!$B$9*4,核心参数输入!$B$16*4+(核心参数输入!$B$148),0)</f>
        <v>0</v>
      </c>
      <c r="DN17" s="9">
        <f>IF(114&lt;=核心参数输入!$B$9*4,核心参数输入!$B$16*4+(核心参数输入!$B$148),0)</f>
        <v>0</v>
      </c>
      <c r="DO17" s="9">
        <f>IF(115&lt;=核心参数输入!$B$9*4,核心参数输入!$B$16*4+(核心参数输入!$B$148),0)</f>
        <v>0</v>
      </c>
      <c r="DP17" s="9">
        <f>IF(116&lt;=核心参数输入!$B$9*4,核心参数输入!$B$16*4+(核心参数输入!$B$148),0)</f>
        <v>0</v>
      </c>
      <c r="DQ17" s="9">
        <f>IF(117&lt;=核心参数输入!$B$9*4,核心参数输入!$B$16*4+(核心参数输入!$B$148),0)</f>
        <v>0</v>
      </c>
      <c r="DR17" s="9">
        <f>IF(118&lt;=核心参数输入!$B$9*4,核心参数输入!$B$16*4+(核心参数输入!$B$148),0)</f>
        <v>0</v>
      </c>
      <c r="DS17" s="9">
        <f>IF(119&lt;=核心参数输入!$B$9*4,核心参数输入!$B$16*4+(核心参数输入!$B$148),0)</f>
        <v>0</v>
      </c>
      <c r="DT17" s="9">
        <f>IF(120&lt;=核心参数输入!$B$9*4,核心参数输入!$B$16*4+(核心参数输入!$B$148),0)</f>
        <v>0</v>
      </c>
    </row>
    <row r="18" spans="1:124" ht="21" customHeight="1">
      <c r="A18" s="8"/>
      <c r="B18" s="8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</row>
    <row r="19" spans="1:124" ht="21" customHeight="1">
      <c r="A19" s="8"/>
      <c r="B19" s="8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</row>
    <row r="20" spans="1:124" ht="21" customHeight="1">
      <c r="A20" s="8" t="s">
        <v>630</v>
      </c>
      <c r="B20" s="8" t="s">
        <v>38</v>
      </c>
      <c r="C20" s="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</row>
    <row r="21" spans="1:124" ht="21" customHeight="1">
      <c r="A21" s="8" t="s">
        <v>631</v>
      </c>
      <c r="B21" s="8" t="s">
        <v>38</v>
      </c>
      <c r="C21" s="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</row>
    <row r="22" spans="1:124" ht="21" customHeight="1">
      <c r="A22" s="8" t="s">
        <v>632</v>
      </c>
      <c r="B22" s="8" t="s">
        <v>38</v>
      </c>
      <c r="C22" s="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</row>
    <row r="23" spans="1:124" ht="21" customHeight="1">
      <c r="A23" s="8" t="s">
        <v>633</v>
      </c>
      <c r="B23" s="8" t="s">
        <v>38</v>
      </c>
      <c r="C23" s="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</row>
    <row r="24" spans="1:124" ht="21" customHeight="1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</row>
    <row r="25" spans="1:124" ht="21" customHeight="1">
      <c r="A25" s="8"/>
      <c r="B25" s="8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</row>
    <row r="26" spans="1:124" ht="21" customHeight="1">
      <c r="A26" s="8" t="s">
        <v>634</v>
      </c>
      <c r="B26" s="8"/>
      <c r="C26" s="8"/>
      <c r="D26" s="9" t="s">
        <v>635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</row>
    <row r="27" spans="1:124" ht="21" customHeight="1">
      <c r="A27" s="8"/>
      <c r="B27" s="8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</row>
    <row r="28" spans="1:124" ht="21" customHeight="1">
      <c r="A28" s="8"/>
      <c r="B28" s="8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</row>
    <row r="29" spans="1:124" ht="21" customHeight="1">
      <c r="A29" s="8"/>
      <c r="B29" s="8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</row>
    <row r="30" spans="1:124" ht="21" customHeight="1">
      <c r="A30" s="8" t="s">
        <v>636</v>
      </c>
      <c r="B30" s="8">
        <f>IF(AND(ABS(SUM(季度计划!$D$11:INDEX(季度计划!$D$11:$DT$11,1,核心参数输入!$B$9*4+1))-1)&lt;0.000001,ABS(SUM(季度计划!$D$12:INDEX(季度计划!$D$12:$DT$12,1,核心参数输入!$B$9*4+1))-1)&lt;0.000001,OR(核心参数输入!$B$57=0,ABS(SUM(季度计划!$D$13:INDEX(季度计划!$D$13:$DT$13,1,核心参数输入!$B$9*4+1))-1)&lt;0.000001),SUM(季度计划!$D$14:INDEX(季度计划!$D$14:$DT$14,1,核心参数输入!$B$9*4+1))&lt;=1.000001,SUMPRODUCT(季度计划!$D$15:$DT$15,--(季度计划!$D$4:$DT$4&lt;=核心参数输入!$B$16*4+核心参数输入!$B$148))=0,ABS(SUM(季度计划!$D$121:INDEX(季度计划!$D$121:$DT$121,1,核心参数输入!$B$9*4+1))-1)&lt;0.000001,ABS(SUM(季度计划!$D$122:INDEX(季度计划!$D$122:$DT$122,1,核心参数输入!$B$9*4+1))-1)&lt;0.000001,OR(核心参数输入!$B$57=0,ABS(SUM(季度计划!$D$123:INDEX(季度计划!$D$123:$DT$123,1,核心参数输入!$B$9*4+1))-1)&lt;0.000001),SUM(季度计划!$D$124:INDEX(季度计划!$D$124:$DT$124,1,核心参数输入!$B$9*4+1))&lt;=1.000001,SUMPRODUCT(季度计划!$D$125:$DT$125,--(季度计划!$D$4:$DT$4&lt;=核心参数输入!$B$16*4+核心参数输入!$B$148+核心参数输入!$B$124))=0),1,0)</f>
        <v>1</v>
      </c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</row>
    <row r="31" spans="1:124" ht="21" customHeight="1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</row>
    <row r="32" spans="1:124" ht="21" customHeight="1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</row>
    <row r="33" spans="1:124" ht="21" customHeight="1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</row>
    <row r="34" spans="1:124" ht="21" customHeight="1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</row>
    <row r="35" spans="1:124" ht="21" customHeight="1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</row>
    <row r="36" spans="1:124" ht="21" customHeight="1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</row>
    <row r="37" spans="1:124" ht="21" customHeight="1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</row>
    <row r="38" spans="1:124" ht="21" customHeight="1">
      <c r="A38" s="8"/>
      <c r="B38" s="8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</row>
    <row r="39" spans="1:124" ht="21" customHeight="1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</row>
    <row r="40" spans="1:124" ht="21" customHeight="1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</row>
    <row r="41" spans="1:124" ht="21" customHeight="1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</row>
    <row r="42" spans="1:124" ht="21" customHeight="1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</row>
    <row r="43" spans="1:124" ht="21" customHeight="1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</row>
    <row r="44" spans="1:124" ht="21" customHeight="1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</row>
    <row r="45" spans="1:124" ht="21" customHeight="1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</row>
    <row r="46" spans="1:124" ht="21" customHeight="1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</row>
    <row r="47" spans="1:124" ht="21" customHeight="1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</row>
    <row r="48" spans="1:124" ht="21" customHeight="1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</row>
    <row r="49" spans="1:124" ht="21" customHeight="1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</row>
    <row r="50" spans="1:124" ht="21" customHeight="1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</row>
    <row r="51" spans="1:124" ht="21" customHeight="1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</row>
    <row r="52" spans="1:124" ht="21" customHeight="1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</row>
    <row r="53" spans="1:124" ht="21" customHeight="1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</row>
    <row r="54" spans="1:124" ht="21" customHeight="1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</row>
    <row r="55" spans="1:124" ht="21" customHeight="1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</row>
    <row r="56" spans="1:124" ht="21" customHeight="1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</row>
    <row r="57" spans="1:124" ht="21" customHeight="1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</row>
    <row r="58" spans="1:124" ht="21" customHeight="1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</row>
    <row r="59" spans="1:124" ht="21" customHeight="1">
      <c r="A59" s="8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</row>
    <row r="60" spans="1:124" ht="21" customHeight="1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</row>
    <row r="61" spans="1:124" ht="21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</row>
    <row r="62" spans="1:124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</row>
    <row r="63" spans="1:124" ht="21" customHeight="1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</row>
    <row r="64" spans="1:124" ht="21" customHeight="1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</row>
    <row r="65" spans="1:124" ht="21" customHeight="1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</row>
    <row r="66" spans="1:124" ht="21" customHeight="1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</row>
    <row r="67" spans="1:124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</row>
    <row r="68" spans="1:124" ht="21" customHeight="1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</row>
    <row r="69" spans="1:124" ht="21" customHeight="1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</row>
    <row r="70" spans="1:124" ht="21" customHeight="1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</row>
    <row r="71" spans="1:124" ht="21" customHeight="1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</row>
    <row r="72" spans="1:124" ht="21" customHeight="1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</row>
    <row r="73" spans="1:124" ht="21" customHeight="1">
      <c r="A73" s="8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</row>
    <row r="74" spans="1:124" ht="21" customHeight="1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</row>
    <row r="75" spans="1:124" ht="21" customHeight="1">
      <c r="A75" s="8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</row>
    <row r="76" spans="1:124" ht="21" customHeight="1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</row>
    <row r="77" spans="1:124" ht="21" customHeight="1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</row>
    <row r="78" spans="1:124" ht="21" customHeight="1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</row>
    <row r="79" spans="1:124" ht="21" customHeight="1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</row>
    <row r="80" spans="1:124" ht="21" customHeight="1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</row>
    <row r="81" spans="1:124" ht="21" customHeight="1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</row>
    <row r="82" spans="1:124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</row>
    <row r="83" spans="1:124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</row>
    <row r="84" spans="1:124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</row>
    <row r="85" spans="1:124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</row>
    <row r="86" spans="1:124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</row>
    <row r="87" spans="1:124" ht="21" customHeigh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</row>
    <row r="88" spans="1:124" ht="21" customHeight="1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</row>
    <row r="89" spans="1:124" ht="21" customHeight="1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</row>
    <row r="90" spans="1:124" ht="21" customHeight="1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</row>
    <row r="91" spans="1:124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</row>
    <row r="92" spans="1:124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</row>
    <row r="93" spans="1:124" ht="21" customHeight="1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</row>
    <row r="94" spans="1:124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</row>
    <row r="95" spans="1:124" ht="21" customHeight="1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</row>
    <row r="96" spans="1:124" ht="21" customHeight="1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</row>
    <row r="97" spans="1:124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</row>
    <row r="98" spans="1:124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</row>
    <row r="99" spans="1:124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</row>
    <row r="100" spans="1:124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</row>
    <row r="101" spans="1:124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</row>
    <row r="102" spans="1:124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</row>
    <row r="103" spans="1:124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</row>
    <row r="104" spans="1:124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</row>
    <row r="105" spans="1:124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</row>
    <row r="106" spans="1:124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</row>
    <row r="107" spans="1:124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</row>
    <row r="108" spans="1:124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</row>
    <row r="109" spans="1:124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</row>
    <row r="110" spans="1:124" ht="21" customHeight="1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</row>
    <row r="111" spans="1:124" ht="21" customHeight="1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</row>
    <row r="112" spans="1:124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</row>
    <row r="113" spans="1:124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</row>
    <row r="114" spans="1:124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</row>
    <row r="115" spans="1:124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</row>
    <row r="116" spans="1:124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</row>
    <row r="117" spans="1:124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</row>
    <row r="118" spans="1:124" ht="24" customHeight="1">
      <c r="A118" s="23" t="s">
        <v>637</v>
      </c>
      <c r="B118" s="23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</row>
    <row r="119" spans="1:124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</row>
    <row r="120" spans="1:124" ht="21" customHeight="1">
      <c r="A120" s="8" t="s">
        <v>622</v>
      </c>
      <c r="B120" s="8" t="s">
        <v>38</v>
      </c>
      <c r="C120" s="8"/>
      <c r="D120" s="22">
        <f>IF(0&lt;=核心参数输入!$B$9*4,0,0)</f>
        <v>0</v>
      </c>
      <c r="E120" s="22">
        <f>IF(1&lt;=核心参数输入!$B$9*4,IF(AND(1-(核心参数输入!$B$148+核心参数输入!$B$124)&gt;0,1-(核心参数输入!$B$148+核心参数输入!$B$124)&lt;=核心参数输入!$B$16*4),INDEX(核心参数输入!$D$88:$AH$88,1,INT((1-(核心参数输入!$B$148+核心参数输入!$B$124)-1)/4)+2)*INDEX(核心参数输入!$B$128:$B$131,MOD(1-(核心参数输入!$B$148+核心参数输入!$B$124)-1,4)+1),0),0)</f>
        <v>7.4999999999999997E-2</v>
      </c>
      <c r="F120" s="22">
        <f>IF(2&lt;=核心参数输入!$B$9*4,IF(AND(2-(核心参数输入!$B$148+核心参数输入!$B$124)&gt;0,2-(核心参数输入!$B$148+核心参数输入!$B$124)&lt;=核心参数输入!$B$16*4),INDEX(核心参数输入!$D$88:$AH$88,1,INT((2-(核心参数输入!$B$148+核心参数输入!$B$124)-1)/4)+2)*INDEX(核心参数输入!$B$128:$B$131,MOD(2-(核心参数输入!$B$148+核心参数输入!$B$124)-1,4)+1),0),0)</f>
        <v>7.4999999999999997E-2</v>
      </c>
      <c r="G120" s="22">
        <f>IF(3&lt;=核心参数输入!$B$9*4,IF(AND(3-(核心参数输入!$B$148+核心参数输入!$B$124)&gt;0,3-(核心参数输入!$B$148+核心参数输入!$B$124)&lt;=核心参数输入!$B$16*4),INDEX(核心参数输入!$D$88:$AH$88,1,INT((3-(核心参数输入!$B$148+核心参数输入!$B$124)-1)/4)+2)*INDEX(核心参数输入!$B$128:$B$131,MOD(3-(核心参数输入!$B$148+核心参数输入!$B$124)-1,4)+1),0),0)</f>
        <v>7.4999999999999997E-2</v>
      </c>
      <c r="H120" s="22">
        <f>IF(4&lt;=核心参数输入!$B$9*4,IF(AND(4-(核心参数输入!$B$148+核心参数输入!$B$124)&gt;0,4-(核心参数输入!$B$148+核心参数输入!$B$124)&lt;=核心参数输入!$B$16*4),INDEX(核心参数输入!$D$88:$AH$88,1,INT((4-(核心参数输入!$B$148+核心参数输入!$B$124)-1)/4)+2)*INDEX(核心参数输入!$B$128:$B$131,MOD(4-(核心参数输入!$B$148+核心参数输入!$B$124)-1,4)+1),0),0)</f>
        <v>7.4999999999999997E-2</v>
      </c>
      <c r="I120" s="22">
        <f>IF(5&lt;=核心参数输入!$B$9*4,IF(AND(5-(核心参数输入!$B$148+核心参数输入!$B$124)&gt;0,5-(核心参数输入!$B$148+核心参数输入!$B$124)&lt;=核心参数输入!$B$16*4),INDEX(核心参数输入!$D$88:$AH$88,1,INT((5-(核心参数输入!$B$148+核心参数输入!$B$124)-1)/4)+2)*INDEX(核心参数输入!$B$128:$B$131,MOD(5-(核心参数输入!$B$148+核心参数输入!$B$124)-1,4)+1),0),0)</f>
        <v>0.1</v>
      </c>
      <c r="J120" s="22">
        <f>IF(6&lt;=核心参数输入!$B$9*4,IF(AND(6-(核心参数输入!$B$148+核心参数输入!$B$124)&gt;0,6-(核心参数输入!$B$148+核心参数输入!$B$124)&lt;=核心参数输入!$B$16*4),INDEX(核心参数输入!$D$88:$AH$88,1,INT((6-(核心参数输入!$B$148+核心参数输入!$B$124)-1)/4)+2)*INDEX(核心参数输入!$B$128:$B$131,MOD(6-(核心参数输入!$B$148+核心参数输入!$B$124)-1,4)+1),0),0)</f>
        <v>0.1</v>
      </c>
      <c r="K120" s="22">
        <f>IF(7&lt;=核心参数输入!$B$9*4,IF(AND(7-(核心参数输入!$B$148+核心参数输入!$B$124)&gt;0,7-(核心参数输入!$B$148+核心参数输入!$B$124)&lt;=核心参数输入!$B$16*4),INDEX(核心参数输入!$D$88:$AH$88,1,INT((7-(核心参数输入!$B$148+核心参数输入!$B$124)-1)/4)+2)*INDEX(核心参数输入!$B$128:$B$131,MOD(7-(核心参数输入!$B$148+核心参数输入!$B$124)-1,4)+1),0),0)</f>
        <v>0.1</v>
      </c>
      <c r="L120" s="22">
        <f>IF(8&lt;=核心参数输入!$B$9*4,IF(AND(8-(核心参数输入!$B$148+核心参数输入!$B$124)&gt;0,8-(核心参数输入!$B$148+核心参数输入!$B$124)&lt;=核心参数输入!$B$16*4),INDEX(核心参数输入!$D$88:$AH$88,1,INT((8-(核心参数输入!$B$148+核心参数输入!$B$124)-1)/4)+2)*INDEX(核心参数输入!$B$128:$B$131,MOD(8-(核心参数输入!$B$148+核心参数输入!$B$124)-1,4)+1),0),0)</f>
        <v>0.1</v>
      </c>
      <c r="M120" s="22">
        <f>IF(9&lt;=核心参数输入!$B$9*4,IF(AND(9-(核心参数输入!$B$148+核心参数输入!$B$124)&gt;0,9-(核心参数输入!$B$148+核心参数输入!$B$124)&lt;=核心参数输入!$B$16*4),INDEX(核心参数输入!$D$88:$AH$88,1,INT((9-(核心参数输入!$B$148+核心参数输入!$B$124)-1)/4)+2)*INDEX(核心参数输入!$B$128:$B$131,MOD(9-(核心参数输入!$B$148+核心参数输入!$B$124)-1,4)+1),0),0)</f>
        <v>7.4999999999999997E-2</v>
      </c>
      <c r="N120" s="22">
        <f>IF(10&lt;=核心参数输入!$B$9*4,IF(AND(10-(核心参数输入!$B$148+核心参数输入!$B$124)&gt;0,10-(核心参数输入!$B$148+核心参数输入!$B$124)&lt;=核心参数输入!$B$16*4),INDEX(核心参数输入!$D$88:$AH$88,1,INT((10-(核心参数输入!$B$148+核心参数输入!$B$124)-1)/4)+2)*INDEX(核心参数输入!$B$128:$B$131,MOD(10-(核心参数输入!$B$148+核心参数输入!$B$124)-1,4)+1),0),0)</f>
        <v>7.4999999999999997E-2</v>
      </c>
      <c r="O120" s="22">
        <f>IF(11&lt;=核心参数输入!$B$9*4,IF(AND(11-(核心参数输入!$B$148+核心参数输入!$B$124)&gt;0,11-(核心参数输入!$B$148+核心参数输入!$B$124)&lt;=核心参数输入!$B$16*4),INDEX(核心参数输入!$D$88:$AH$88,1,INT((11-(核心参数输入!$B$148+核心参数输入!$B$124)-1)/4)+2)*INDEX(核心参数输入!$B$128:$B$131,MOD(11-(核心参数输入!$B$148+核心参数输入!$B$124)-1,4)+1),0),0)</f>
        <v>7.4999999999999997E-2</v>
      </c>
      <c r="P120" s="22">
        <f>IF(12&lt;=核心参数输入!$B$9*4,IF(AND(12-(核心参数输入!$B$148+核心参数输入!$B$124)&gt;0,12-(核心参数输入!$B$148+核心参数输入!$B$124)&lt;=核心参数输入!$B$16*4),INDEX(核心参数输入!$D$88:$AH$88,1,INT((12-(核心参数输入!$B$148+核心参数输入!$B$124)-1)/4)+2)*INDEX(核心参数输入!$B$128:$B$131,MOD(12-(核心参数输入!$B$148+核心参数输入!$B$124)-1,4)+1),0),0)</f>
        <v>7.4999999999999997E-2</v>
      </c>
      <c r="Q120" s="22">
        <f>IF(13&lt;=核心参数输入!$B$9*4,IF(AND(13-(核心参数输入!$B$148+核心参数输入!$B$124)&gt;0,13-(核心参数输入!$B$148+核心参数输入!$B$124)&lt;=核心参数输入!$B$16*4),INDEX(核心参数输入!$D$88:$AH$88,1,INT((13-(核心参数输入!$B$148+核心参数输入!$B$124)-1)/4)+2)*INDEX(核心参数输入!$B$128:$B$131,MOD(13-(核心参数输入!$B$148+核心参数输入!$B$124)-1,4)+1),0),0)</f>
        <v>0</v>
      </c>
      <c r="R120" s="22">
        <f>IF(14&lt;=核心参数输入!$B$9*4,IF(AND(14-(核心参数输入!$B$148+核心参数输入!$B$124)&gt;0,14-(核心参数输入!$B$148+核心参数输入!$B$124)&lt;=核心参数输入!$B$16*4),INDEX(核心参数输入!$D$88:$AH$88,1,INT((14-(核心参数输入!$B$148+核心参数输入!$B$124)-1)/4)+2)*INDEX(核心参数输入!$B$128:$B$131,MOD(14-(核心参数输入!$B$148+核心参数输入!$B$124)-1,4)+1),0),0)</f>
        <v>0</v>
      </c>
      <c r="S120" s="22">
        <f>IF(15&lt;=核心参数输入!$B$9*4,IF(AND(15-(核心参数输入!$B$148+核心参数输入!$B$124)&gt;0,15-(核心参数输入!$B$148+核心参数输入!$B$124)&lt;=核心参数输入!$B$16*4),INDEX(核心参数输入!$D$88:$AH$88,1,INT((15-(核心参数输入!$B$148+核心参数输入!$B$124)-1)/4)+2)*INDEX(核心参数输入!$B$128:$B$131,MOD(15-(核心参数输入!$B$148+核心参数输入!$B$124)-1,4)+1),0),0)</f>
        <v>0</v>
      </c>
      <c r="T120" s="22">
        <f>IF(16&lt;=核心参数输入!$B$9*4,IF(AND(16-(核心参数输入!$B$148+核心参数输入!$B$124)&gt;0,16-(核心参数输入!$B$148+核心参数输入!$B$124)&lt;=核心参数输入!$B$16*4),INDEX(核心参数输入!$D$88:$AH$88,1,INT((16-(核心参数输入!$B$148+核心参数输入!$B$124)-1)/4)+2)*INDEX(核心参数输入!$B$128:$B$131,MOD(16-(核心参数输入!$B$148+核心参数输入!$B$124)-1,4)+1),0),0)</f>
        <v>0</v>
      </c>
      <c r="U120" s="22">
        <f>IF(17&lt;=核心参数输入!$B$9*4,IF(AND(17-(核心参数输入!$B$148+核心参数输入!$B$124)&gt;0,17-(核心参数输入!$B$148+核心参数输入!$B$124)&lt;=核心参数输入!$B$16*4),INDEX(核心参数输入!$D$88:$AH$88,1,INT((17-(核心参数输入!$B$148+核心参数输入!$B$124)-1)/4)+2)*INDEX(核心参数输入!$B$128:$B$131,MOD(17-(核心参数输入!$B$148+核心参数输入!$B$124)-1,4)+1),0),0)</f>
        <v>0</v>
      </c>
      <c r="V120" s="22">
        <f>IF(18&lt;=核心参数输入!$B$9*4,IF(AND(18-(核心参数输入!$B$148+核心参数输入!$B$124)&gt;0,18-(核心参数输入!$B$148+核心参数输入!$B$124)&lt;=核心参数输入!$B$16*4),INDEX(核心参数输入!$D$88:$AH$88,1,INT((18-(核心参数输入!$B$148+核心参数输入!$B$124)-1)/4)+2)*INDEX(核心参数输入!$B$128:$B$131,MOD(18-(核心参数输入!$B$148+核心参数输入!$B$124)-1,4)+1),0),0)</f>
        <v>0</v>
      </c>
      <c r="W120" s="22">
        <f>IF(19&lt;=核心参数输入!$B$9*4,IF(AND(19-(核心参数输入!$B$148+核心参数输入!$B$124)&gt;0,19-(核心参数输入!$B$148+核心参数输入!$B$124)&lt;=核心参数输入!$B$16*4),INDEX(核心参数输入!$D$88:$AH$88,1,INT((19-(核心参数输入!$B$148+核心参数输入!$B$124)-1)/4)+2)*INDEX(核心参数输入!$B$128:$B$131,MOD(19-(核心参数输入!$B$148+核心参数输入!$B$124)-1,4)+1),0),0)</f>
        <v>0</v>
      </c>
      <c r="X120" s="22">
        <f>IF(20&lt;=核心参数输入!$B$9*4,IF(AND(20-(核心参数输入!$B$148+核心参数输入!$B$124)&gt;0,20-(核心参数输入!$B$148+核心参数输入!$B$124)&lt;=核心参数输入!$B$16*4),INDEX(核心参数输入!$D$88:$AH$88,1,INT((20-(核心参数输入!$B$148+核心参数输入!$B$124)-1)/4)+2)*INDEX(核心参数输入!$B$128:$B$131,MOD(20-(核心参数输入!$B$148+核心参数输入!$B$124)-1,4)+1),0),0)</f>
        <v>0</v>
      </c>
      <c r="Y120" s="22">
        <f>IF(21&lt;=核心参数输入!$B$9*4,IF(AND(21-(核心参数输入!$B$148+核心参数输入!$B$124)&gt;0,21-(核心参数输入!$B$148+核心参数输入!$B$124)&lt;=核心参数输入!$B$16*4),INDEX(核心参数输入!$D$88:$AH$88,1,INT((21-(核心参数输入!$B$148+核心参数输入!$B$124)-1)/4)+2)*INDEX(核心参数输入!$B$128:$B$131,MOD(21-(核心参数输入!$B$148+核心参数输入!$B$124)-1,4)+1),0),0)</f>
        <v>0</v>
      </c>
      <c r="Z120" s="22">
        <f>IF(22&lt;=核心参数输入!$B$9*4,IF(AND(22-(核心参数输入!$B$148+核心参数输入!$B$124)&gt;0,22-(核心参数输入!$B$148+核心参数输入!$B$124)&lt;=核心参数输入!$B$16*4),INDEX(核心参数输入!$D$88:$AH$88,1,INT((22-(核心参数输入!$B$148+核心参数输入!$B$124)-1)/4)+2)*INDEX(核心参数输入!$B$128:$B$131,MOD(22-(核心参数输入!$B$148+核心参数输入!$B$124)-1,4)+1),0),0)</f>
        <v>0</v>
      </c>
      <c r="AA120" s="22">
        <f>IF(23&lt;=核心参数输入!$B$9*4,IF(AND(23-(核心参数输入!$B$148+核心参数输入!$B$124)&gt;0,23-(核心参数输入!$B$148+核心参数输入!$B$124)&lt;=核心参数输入!$B$16*4),INDEX(核心参数输入!$D$88:$AH$88,1,INT((23-(核心参数输入!$B$148+核心参数输入!$B$124)-1)/4)+2)*INDEX(核心参数输入!$B$128:$B$131,MOD(23-(核心参数输入!$B$148+核心参数输入!$B$124)-1,4)+1),0),0)</f>
        <v>0</v>
      </c>
      <c r="AB120" s="22">
        <f>IF(24&lt;=核心参数输入!$B$9*4,IF(AND(24-(核心参数输入!$B$148+核心参数输入!$B$124)&gt;0,24-(核心参数输入!$B$148+核心参数输入!$B$124)&lt;=核心参数输入!$B$16*4),INDEX(核心参数输入!$D$88:$AH$88,1,INT((24-(核心参数输入!$B$148+核心参数输入!$B$124)-1)/4)+2)*INDEX(核心参数输入!$B$128:$B$131,MOD(24-(核心参数输入!$B$148+核心参数输入!$B$124)-1,4)+1),0),0)</f>
        <v>0</v>
      </c>
      <c r="AC120" s="22">
        <f>IF(25&lt;=核心参数输入!$B$9*4,IF(AND(25-(核心参数输入!$B$148+核心参数输入!$B$124)&gt;0,25-(核心参数输入!$B$148+核心参数输入!$B$124)&lt;=核心参数输入!$B$16*4),INDEX(核心参数输入!$D$88:$AH$88,1,INT((25-(核心参数输入!$B$148+核心参数输入!$B$124)-1)/4)+2)*INDEX(核心参数输入!$B$128:$B$131,MOD(25-(核心参数输入!$B$148+核心参数输入!$B$124)-1,4)+1),0),0)</f>
        <v>0</v>
      </c>
      <c r="AD120" s="22">
        <f>IF(26&lt;=核心参数输入!$B$9*4,IF(AND(26-(核心参数输入!$B$148+核心参数输入!$B$124)&gt;0,26-(核心参数输入!$B$148+核心参数输入!$B$124)&lt;=核心参数输入!$B$16*4),INDEX(核心参数输入!$D$88:$AH$88,1,INT((26-(核心参数输入!$B$148+核心参数输入!$B$124)-1)/4)+2)*INDEX(核心参数输入!$B$128:$B$131,MOD(26-(核心参数输入!$B$148+核心参数输入!$B$124)-1,4)+1),0),0)</f>
        <v>0</v>
      </c>
      <c r="AE120" s="22">
        <f>IF(27&lt;=核心参数输入!$B$9*4,IF(AND(27-(核心参数输入!$B$148+核心参数输入!$B$124)&gt;0,27-(核心参数输入!$B$148+核心参数输入!$B$124)&lt;=核心参数输入!$B$16*4),INDEX(核心参数输入!$D$88:$AH$88,1,INT((27-(核心参数输入!$B$148+核心参数输入!$B$124)-1)/4)+2)*INDEX(核心参数输入!$B$128:$B$131,MOD(27-(核心参数输入!$B$148+核心参数输入!$B$124)-1,4)+1),0),0)</f>
        <v>0</v>
      </c>
      <c r="AF120" s="22">
        <f>IF(28&lt;=核心参数输入!$B$9*4,IF(AND(28-(核心参数输入!$B$148+核心参数输入!$B$124)&gt;0,28-(核心参数输入!$B$148+核心参数输入!$B$124)&lt;=核心参数输入!$B$16*4),INDEX(核心参数输入!$D$88:$AH$88,1,INT((28-(核心参数输入!$B$148+核心参数输入!$B$124)-1)/4)+2)*INDEX(核心参数输入!$B$128:$B$131,MOD(28-(核心参数输入!$B$148+核心参数输入!$B$124)-1,4)+1),0),0)</f>
        <v>0</v>
      </c>
      <c r="AG120" s="22">
        <f>IF(29&lt;=核心参数输入!$B$9*4,IF(AND(29-(核心参数输入!$B$148+核心参数输入!$B$124)&gt;0,29-(核心参数输入!$B$148+核心参数输入!$B$124)&lt;=核心参数输入!$B$16*4),INDEX(核心参数输入!$D$88:$AH$88,1,INT((29-(核心参数输入!$B$148+核心参数输入!$B$124)-1)/4)+2)*INDEX(核心参数输入!$B$128:$B$131,MOD(29-(核心参数输入!$B$148+核心参数输入!$B$124)-1,4)+1),0),0)</f>
        <v>0</v>
      </c>
      <c r="AH120" s="22">
        <f>IF(30&lt;=核心参数输入!$B$9*4,IF(AND(30-(核心参数输入!$B$148+核心参数输入!$B$124)&gt;0,30-(核心参数输入!$B$148+核心参数输入!$B$124)&lt;=核心参数输入!$B$16*4),INDEX(核心参数输入!$D$88:$AH$88,1,INT((30-(核心参数输入!$B$148+核心参数输入!$B$124)-1)/4)+2)*INDEX(核心参数输入!$B$128:$B$131,MOD(30-(核心参数输入!$B$148+核心参数输入!$B$124)-1,4)+1),0),0)</f>
        <v>0</v>
      </c>
      <c r="AI120" s="22">
        <f>IF(31&lt;=核心参数输入!$B$9*4,IF(AND(31-(核心参数输入!$B$148+核心参数输入!$B$124)&gt;0,31-(核心参数输入!$B$148+核心参数输入!$B$124)&lt;=核心参数输入!$B$16*4),INDEX(核心参数输入!$D$88:$AH$88,1,INT((31-(核心参数输入!$B$148+核心参数输入!$B$124)-1)/4)+2)*INDEX(核心参数输入!$B$128:$B$131,MOD(31-(核心参数输入!$B$148+核心参数输入!$B$124)-1,4)+1),0),0)</f>
        <v>0</v>
      </c>
      <c r="AJ120" s="22">
        <f>IF(32&lt;=核心参数输入!$B$9*4,IF(AND(32-(核心参数输入!$B$148+核心参数输入!$B$124)&gt;0,32-(核心参数输入!$B$148+核心参数输入!$B$124)&lt;=核心参数输入!$B$16*4),INDEX(核心参数输入!$D$88:$AH$88,1,INT((32-(核心参数输入!$B$148+核心参数输入!$B$124)-1)/4)+2)*INDEX(核心参数输入!$B$128:$B$131,MOD(32-(核心参数输入!$B$148+核心参数输入!$B$124)-1,4)+1),0),0)</f>
        <v>0</v>
      </c>
      <c r="AK120" s="22">
        <f>IF(33&lt;=核心参数输入!$B$9*4,IF(AND(33-(核心参数输入!$B$148+核心参数输入!$B$124)&gt;0,33-(核心参数输入!$B$148+核心参数输入!$B$124)&lt;=核心参数输入!$B$16*4),INDEX(核心参数输入!$D$88:$AH$88,1,INT((33-(核心参数输入!$B$148+核心参数输入!$B$124)-1)/4)+2)*INDEX(核心参数输入!$B$128:$B$131,MOD(33-(核心参数输入!$B$148+核心参数输入!$B$124)-1,4)+1),0),0)</f>
        <v>0</v>
      </c>
      <c r="AL120" s="22">
        <f>IF(34&lt;=核心参数输入!$B$9*4,IF(AND(34-(核心参数输入!$B$148+核心参数输入!$B$124)&gt;0,34-(核心参数输入!$B$148+核心参数输入!$B$124)&lt;=核心参数输入!$B$16*4),INDEX(核心参数输入!$D$88:$AH$88,1,INT((34-(核心参数输入!$B$148+核心参数输入!$B$124)-1)/4)+2)*INDEX(核心参数输入!$B$128:$B$131,MOD(34-(核心参数输入!$B$148+核心参数输入!$B$124)-1,4)+1),0),0)</f>
        <v>0</v>
      </c>
      <c r="AM120" s="22">
        <f>IF(35&lt;=核心参数输入!$B$9*4,IF(AND(35-(核心参数输入!$B$148+核心参数输入!$B$124)&gt;0,35-(核心参数输入!$B$148+核心参数输入!$B$124)&lt;=核心参数输入!$B$16*4),INDEX(核心参数输入!$D$88:$AH$88,1,INT((35-(核心参数输入!$B$148+核心参数输入!$B$124)-1)/4)+2)*INDEX(核心参数输入!$B$128:$B$131,MOD(35-(核心参数输入!$B$148+核心参数输入!$B$124)-1,4)+1),0),0)</f>
        <v>0</v>
      </c>
      <c r="AN120" s="22">
        <f>IF(36&lt;=核心参数输入!$B$9*4,IF(AND(36-(核心参数输入!$B$148+核心参数输入!$B$124)&gt;0,36-(核心参数输入!$B$148+核心参数输入!$B$124)&lt;=核心参数输入!$B$16*4),INDEX(核心参数输入!$D$88:$AH$88,1,INT((36-(核心参数输入!$B$148+核心参数输入!$B$124)-1)/4)+2)*INDEX(核心参数输入!$B$128:$B$131,MOD(36-(核心参数输入!$B$148+核心参数输入!$B$124)-1,4)+1),0),0)</f>
        <v>0</v>
      </c>
      <c r="AO120" s="22">
        <f>IF(37&lt;=核心参数输入!$B$9*4,IF(AND(37-(核心参数输入!$B$148+核心参数输入!$B$124)&gt;0,37-(核心参数输入!$B$148+核心参数输入!$B$124)&lt;=核心参数输入!$B$16*4),INDEX(核心参数输入!$D$88:$AH$88,1,INT((37-(核心参数输入!$B$148+核心参数输入!$B$124)-1)/4)+2)*INDEX(核心参数输入!$B$128:$B$131,MOD(37-(核心参数输入!$B$148+核心参数输入!$B$124)-1,4)+1),0),0)</f>
        <v>0</v>
      </c>
      <c r="AP120" s="22">
        <f>IF(38&lt;=核心参数输入!$B$9*4,IF(AND(38-(核心参数输入!$B$148+核心参数输入!$B$124)&gt;0,38-(核心参数输入!$B$148+核心参数输入!$B$124)&lt;=核心参数输入!$B$16*4),INDEX(核心参数输入!$D$88:$AH$88,1,INT((38-(核心参数输入!$B$148+核心参数输入!$B$124)-1)/4)+2)*INDEX(核心参数输入!$B$128:$B$131,MOD(38-(核心参数输入!$B$148+核心参数输入!$B$124)-1,4)+1),0),0)</f>
        <v>0</v>
      </c>
      <c r="AQ120" s="22">
        <f>IF(39&lt;=核心参数输入!$B$9*4,IF(AND(39-(核心参数输入!$B$148+核心参数输入!$B$124)&gt;0,39-(核心参数输入!$B$148+核心参数输入!$B$124)&lt;=核心参数输入!$B$16*4),INDEX(核心参数输入!$D$88:$AH$88,1,INT((39-(核心参数输入!$B$148+核心参数输入!$B$124)-1)/4)+2)*INDEX(核心参数输入!$B$128:$B$131,MOD(39-(核心参数输入!$B$148+核心参数输入!$B$124)-1,4)+1),0),0)</f>
        <v>0</v>
      </c>
      <c r="AR120" s="22">
        <f>IF(40&lt;=核心参数输入!$B$9*4,IF(AND(40-(核心参数输入!$B$148+核心参数输入!$B$124)&gt;0,40-(核心参数输入!$B$148+核心参数输入!$B$124)&lt;=核心参数输入!$B$16*4),INDEX(核心参数输入!$D$88:$AH$88,1,INT((40-(核心参数输入!$B$148+核心参数输入!$B$124)-1)/4)+2)*INDEX(核心参数输入!$B$128:$B$131,MOD(40-(核心参数输入!$B$148+核心参数输入!$B$124)-1,4)+1),0),0)</f>
        <v>0</v>
      </c>
      <c r="AS120" s="22">
        <f>IF(41&lt;=核心参数输入!$B$9*4,IF(AND(41-(核心参数输入!$B$148+核心参数输入!$B$124)&gt;0,41-(核心参数输入!$B$148+核心参数输入!$B$124)&lt;=核心参数输入!$B$16*4),INDEX(核心参数输入!$D$88:$AH$88,1,INT((41-(核心参数输入!$B$148+核心参数输入!$B$124)-1)/4)+2)*INDEX(核心参数输入!$B$128:$B$131,MOD(41-(核心参数输入!$B$148+核心参数输入!$B$124)-1,4)+1),0),0)</f>
        <v>0</v>
      </c>
      <c r="AT120" s="22">
        <f>IF(42&lt;=核心参数输入!$B$9*4,IF(AND(42-(核心参数输入!$B$148+核心参数输入!$B$124)&gt;0,42-(核心参数输入!$B$148+核心参数输入!$B$124)&lt;=核心参数输入!$B$16*4),INDEX(核心参数输入!$D$88:$AH$88,1,INT((42-(核心参数输入!$B$148+核心参数输入!$B$124)-1)/4)+2)*INDEX(核心参数输入!$B$128:$B$131,MOD(42-(核心参数输入!$B$148+核心参数输入!$B$124)-1,4)+1),0),0)</f>
        <v>0</v>
      </c>
      <c r="AU120" s="22">
        <f>IF(43&lt;=核心参数输入!$B$9*4,IF(AND(43-(核心参数输入!$B$148+核心参数输入!$B$124)&gt;0,43-(核心参数输入!$B$148+核心参数输入!$B$124)&lt;=核心参数输入!$B$16*4),INDEX(核心参数输入!$D$88:$AH$88,1,INT((43-(核心参数输入!$B$148+核心参数输入!$B$124)-1)/4)+2)*INDEX(核心参数输入!$B$128:$B$131,MOD(43-(核心参数输入!$B$148+核心参数输入!$B$124)-1,4)+1),0),0)</f>
        <v>0</v>
      </c>
      <c r="AV120" s="22">
        <f>IF(44&lt;=核心参数输入!$B$9*4,IF(AND(44-(核心参数输入!$B$148+核心参数输入!$B$124)&gt;0,44-(核心参数输入!$B$148+核心参数输入!$B$124)&lt;=核心参数输入!$B$16*4),INDEX(核心参数输入!$D$88:$AH$88,1,INT((44-(核心参数输入!$B$148+核心参数输入!$B$124)-1)/4)+2)*INDEX(核心参数输入!$B$128:$B$131,MOD(44-(核心参数输入!$B$148+核心参数输入!$B$124)-1,4)+1),0),0)</f>
        <v>0</v>
      </c>
      <c r="AW120" s="22">
        <f>IF(45&lt;=核心参数输入!$B$9*4,IF(AND(45-(核心参数输入!$B$148+核心参数输入!$B$124)&gt;0,45-(核心参数输入!$B$148+核心参数输入!$B$124)&lt;=核心参数输入!$B$16*4),INDEX(核心参数输入!$D$88:$AH$88,1,INT((45-(核心参数输入!$B$148+核心参数输入!$B$124)-1)/4)+2)*INDEX(核心参数输入!$B$128:$B$131,MOD(45-(核心参数输入!$B$148+核心参数输入!$B$124)-1,4)+1),0),0)</f>
        <v>0</v>
      </c>
      <c r="AX120" s="22">
        <f>IF(46&lt;=核心参数输入!$B$9*4,IF(AND(46-(核心参数输入!$B$148+核心参数输入!$B$124)&gt;0,46-(核心参数输入!$B$148+核心参数输入!$B$124)&lt;=核心参数输入!$B$16*4),INDEX(核心参数输入!$D$88:$AH$88,1,INT((46-(核心参数输入!$B$148+核心参数输入!$B$124)-1)/4)+2)*INDEX(核心参数输入!$B$128:$B$131,MOD(46-(核心参数输入!$B$148+核心参数输入!$B$124)-1,4)+1),0),0)</f>
        <v>0</v>
      </c>
      <c r="AY120" s="22">
        <f>IF(47&lt;=核心参数输入!$B$9*4,IF(AND(47-(核心参数输入!$B$148+核心参数输入!$B$124)&gt;0,47-(核心参数输入!$B$148+核心参数输入!$B$124)&lt;=核心参数输入!$B$16*4),INDEX(核心参数输入!$D$88:$AH$88,1,INT((47-(核心参数输入!$B$148+核心参数输入!$B$124)-1)/4)+2)*INDEX(核心参数输入!$B$128:$B$131,MOD(47-(核心参数输入!$B$148+核心参数输入!$B$124)-1,4)+1),0),0)</f>
        <v>0</v>
      </c>
      <c r="AZ120" s="22">
        <f>IF(48&lt;=核心参数输入!$B$9*4,IF(AND(48-(核心参数输入!$B$148+核心参数输入!$B$124)&gt;0,48-(核心参数输入!$B$148+核心参数输入!$B$124)&lt;=核心参数输入!$B$16*4),INDEX(核心参数输入!$D$88:$AH$88,1,INT((48-(核心参数输入!$B$148+核心参数输入!$B$124)-1)/4)+2)*INDEX(核心参数输入!$B$128:$B$131,MOD(48-(核心参数输入!$B$148+核心参数输入!$B$124)-1,4)+1),0),0)</f>
        <v>0</v>
      </c>
      <c r="BA120" s="22">
        <f>IF(49&lt;=核心参数输入!$B$9*4,IF(AND(49-(核心参数输入!$B$148+核心参数输入!$B$124)&gt;0,49-(核心参数输入!$B$148+核心参数输入!$B$124)&lt;=核心参数输入!$B$16*4),INDEX(核心参数输入!$D$88:$AH$88,1,INT((49-(核心参数输入!$B$148+核心参数输入!$B$124)-1)/4)+2)*INDEX(核心参数输入!$B$128:$B$131,MOD(49-(核心参数输入!$B$148+核心参数输入!$B$124)-1,4)+1),0),0)</f>
        <v>0</v>
      </c>
      <c r="BB120" s="22">
        <f>IF(50&lt;=核心参数输入!$B$9*4,IF(AND(50-(核心参数输入!$B$148+核心参数输入!$B$124)&gt;0,50-(核心参数输入!$B$148+核心参数输入!$B$124)&lt;=核心参数输入!$B$16*4),INDEX(核心参数输入!$D$88:$AH$88,1,INT((50-(核心参数输入!$B$148+核心参数输入!$B$124)-1)/4)+2)*INDEX(核心参数输入!$B$128:$B$131,MOD(50-(核心参数输入!$B$148+核心参数输入!$B$124)-1,4)+1),0),0)</f>
        <v>0</v>
      </c>
      <c r="BC120" s="22">
        <f>IF(51&lt;=核心参数输入!$B$9*4,IF(AND(51-(核心参数输入!$B$148+核心参数输入!$B$124)&gt;0,51-(核心参数输入!$B$148+核心参数输入!$B$124)&lt;=核心参数输入!$B$16*4),INDEX(核心参数输入!$D$88:$AH$88,1,INT((51-(核心参数输入!$B$148+核心参数输入!$B$124)-1)/4)+2)*INDEX(核心参数输入!$B$128:$B$131,MOD(51-(核心参数输入!$B$148+核心参数输入!$B$124)-1,4)+1),0),0)</f>
        <v>0</v>
      </c>
      <c r="BD120" s="22">
        <f>IF(52&lt;=核心参数输入!$B$9*4,IF(AND(52-(核心参数输入!$B$148+核心参数输入!$B$124)&gt;0,52-(核心参数输入!$B$148+核心参数输入!$B$124)&lt;=核心参数输入!$B$16*4),INDEX(核心参数输入!$D$88:$AH$88,1,INT((52-(核心参数输入!$B$148+核心参数输入!$B$124)-1)/4)+2)*INDEX(核心参数输入!$B$128:$B$131,MOD(52-(核心参数输入!$B$148+核心参数输入!$B$124)-1,4)+1),0),0)</f>
        <v>0</v>
      </c>
      <c r="BE120" s="22">
        <f>IF(53&lt;=核心参数输入!$B$9*4,IF(AND(53-(核心参数输入!$B$148+核心参数输入!$B$124)&gt;0,53-(核心参数输入!$B$148+核心参数输入!$B$124)&lt;=核心参数输入!$B$16*4),INDEX(核心参数输入!$D$88:$AH$88,1,INT((53-(核心参数输入!$B$148+核心参数输入!$B$124)-1)/4)+2)*INDEX(核心参数输入!$B$128:$B$131,MOD(53-(核心参数输入!$B$148+核心参数输入!$B$124)-1,4)+1),0),0)</f>
        <v>0</v>
      </c>
      <c r="BF120" s="22">
        <f>IF(54&lt;=核心参数输入!$B$9*4,IF(AND(54-(核心参数输入!$B$148+核心参数输入!$B$124)&gt;0,54-(核心参数输入!$B$148+核心参数输入!$B$124)&lt;=核心参数输入!$B$16*4),INDEX(核心参数输入!$D$88:$AH$88,1,INT((54-(核心参数输入!$B$148+核心参数输入!$B$124)-1)/4)+2)*INDEX(核心参数输入!$B$128:$B$131,MOD(54-(核心参数输入!$B$148+核心参数输入!$B$124)-1,4)+1),0),0)</f>
        <v>0</v>
      </c>
      <c r="BG120" s="22">
        <f>IF(55&lt;=核心参数输入!$B$9*4,IF(AND(55-(核心参数输入!$B$148+核心参数输入!$B$124)&gt;0,55-(核心参数输入!$B$148+核心参数输入!$B$124)&lt;=核心参数输入!$B$16*4),INDEX(核心参数输入!$D$88:$AH$88,1,INT((55-(核心参数输入!$B$148+核心参数输入!$B$124)-1)/4)+2)*INDEX(核心参数输入!$B$128:$B$131,MOD(55-(核心参数输入!$B$148+核心参数输入!$B$124)-1,4)+1),0),0)</f>
        <v>0</v>
      </c>
      <c r="BH120" s="22">
        <f>IF(56&lt;=核心参数输入!$B$9*4,IF(AND(56-(核心参数输入!$B$148+核心参数输入!$B$124)&gt;0,56-(核心参数输入!$B$148+核心参数输入!$B$124)&lt;=核心参数输入!$B$16*4),INDEX(核心参数输入!$D$88:$AH$88,1,INT((56-(核心参数输入!$B$148+核心参数输入!$B$124)-1)/4)+2)*INDEX(核心参数输入!$B$128:$B$131,MOD(56-(核心参数输入!$B$148+核心参数输入!$B$124)-1,4)+1),0),0)</f>
        <v>0</v>
      </c>
      <c r="BI120" s="22">
        <f>IF(57&lt;=核心参数输入!$B$9*4,IF(AND(57-(核心参数输入!$B$148+核心参数输入!$B$124)&gt;0,57-(核心参数输入!$B$148+核心参数输入!$B$124)&lt;=核心参数输入!$B$16*4),INDEX(核心参数输入!$D$88:$AH$88,1,INT((57-(核心参数输入!$B$148+核心参数输入!$B$124)-1)/4)+2)*INDEX(核心参数输入!$B$128:$B$131,MOD(57-(核心参数输入!$B$148+核心参数输入!$B$124)-1,4)+1),0),0)</f>
        <v>0</v>
      </c>
      <c r="BJ120" s="22">
        <f>IF(58&lt;=核心参数输入!$B$9*4,IF(AND(58-(核心参数输入!$B$148+核心参数输入!$B$124)&gt;0,58-(核心参数输入!$B$148+核心参数输入!$B$124)&lt;=核心参数输入!$B$16*4),INDEX(核心参数输入!$D$88:$AH$88,1,INT((58-(核心参数输入!$B$148+核心参数输入!$B$124)-1)/4)+2)*INDEX(核心参数输入!$B$128:$B$131,MOD(58-(核心参数输入!$B$148+核心参数输入!$B$124)-1,4)+1),0),0)</f>
        <v>0</v>
      </c>
      <c r="BK120" s="22">
        <f>IF(59&lt;=核心参数输入!$B$9*4,IF(AND(59-(核心参数输入!$B$148+核心参数输入!$B$124)&gt;0,59-(核心参数输入!$B$148+核心参数输入!$B$124)&lt;=核心参数输入!$B$16*4),INDEX(核心参数输入!$D$88:$AH$88,1,INT((59-(核心参数输入!$B$148+核心参数输入!$B$124)-1)/4)+2)*INDEX(核心参数输入!$B$128:$B$131,MOD(59-(核心参数输入!$B$148+核心参数输入!$B$124)-1,4)+1),0),0)</f>
        <v>0</v>
      </c>
      <c r="BL120" s="22">
        <f>IF(60&lt;=核心参数输入!$B$9*4,IF(AND(60-(核心参数输入!$B$148+核心参数输入!$B$124)&gt;0,60-(核心参数输入!$B$148+核心参数输入!$B$124)&lt;=核心参数输入!$B$16*4),INDEX(核心参数输入!$D$88:$AH$88,1,INT((60-(核心参数输入!$B$148+核心参数输入!$B$124)-1)/4)+2)*INDEX(核心参数输入!$B$128:$B$131,MOD(60-(核心参数输入!$B$148+核心参数输入!$B$124)-1,4)+1),0),0)</f>
        <v>0</v>
      </c>
      <c r="BM120" s="22">
        <f>IF(61&lt;=核心参数输入!$B$9*4,IF(AND(61-(核心参数输入!$B$148+核心参数输入!$B$124)&gt;0,61-(核心参数输入!$B$148+核心参数输入!$B$124)&lt;=核心参数输入!$B$16*4),INDEX(核心参数输入!$D$88:$AH$88,1,INT((61-(核心参数输入!$B$148+核心参数输入!$B$124)-1)/4)+2)*INDEX(核心参数输入!$B$128:$B$131,MOD(61-(核心参数输入!$B$148+核心参数输入!$B$124)-1,4)+1),0),0)</f>
        <v>0</v>
      </c>
      <c r="BN120" s="22">
        <f>IF(62&lt;=核心参数输入!$B$9*4,IF(AND(62-(核心参数输入!$B$148+核心参数输入!$B$124)&gt;0,62-(核心参数输入!$B$148+核心参数输入!$B$124)&lt;=核心参数输入!$B$16*4),INDEX(核心参数输入!$D$88:$AH$88,1,INT((62-(核心参数输入!$B$148+核心参数输入!$B$124)-1)/4)+2)*INDEX(核心参数输入!$B$128:$B$131,MOD(62-(核心参数输入!$B$148+核心参数输入!$B$124)-1,4)+1),0),0)</f>
        <v>0</v>
      </c>
      <c r="BO120" s="22">
        <f>IF(63&lt;=核心参数输入!$B$9*4,IF(AND(63-(核心参数输入!$B$148+核心参数输入!$B$124)&gt;0,63-(核心参数输入!$B$148+核心参数输入!$B$124)&lt;=核心参数输入!$B$16*4),INDEX(核心参数输入!$D$88:$AH$88,1,INT((63-(核心参数输入!$B$148+核心参数输入!$B$124)-1)/4)+2)*INDEX(核心参数输入!$B$128:$B$131,MOD(63-(核心参数输入!$B$148+核心参数输入!$B$124)-1,4)+1),0),0)</f>
        <v>0</v>
      </c>
      <c r="BP120" s="22">
        <f>IF(64&lt;=核心参数输入!$B$9*4,IF(AND(64-(核心参数输入!$B$148+核心参数输入!$B$124)&gt;0,64-(核心参数输入!$B$148+核心参数输入!$B$124)&lt;=核心参数输入!$B$16*4),INDEX(核心参数输入!$D$88:$AH$88,1,INT((64-(核心参数输入!$B$148+核心参数输入!$B$124)-1)/4)+2)*INDEX(核心参数输入!$B$128:$B$131,MOD(64-(核心参数输入!$B$148+核心参数输入!$B$124)-1,4)+1),0),0)</f>
        <v>0</v>
      </c>
      <c r="BQ120" s="22">
        <f>IF(65&lt;=核心参数输入!$B$9*4,IF(AND(65-(核心参数输入!$B$148+核心参数输入!$B$124)&gt;0,65-(核心参数输入!$B$148+核心参数输入!$B$124)&lt;=核心参数输入!$B$16*4),INDEX(核心参数输入!$D$88:$AH$88,1,INT((65-(核心参数输入!$B$148+核心参数输入!$B$124)-1)/4)+2)*INDEX(核心参数输入!$B$128:$B$131,MOD(65-(核心参数输入!$B$148+核心参数输入!$B$124)-1,4)+1),0),0)</f>
        <v>0</v>
      </c>
      <c r="BR120" s="22">
        <f>IF(66&lt;=核心参数输入!$B$9*4,IF(AND(66-(核心参数输入!$B$148+核心参数输入!$B$124)&gt;0,66-(核心参数输入!$B$148+核心参数输入!$B$124)&lt;=核心参数输入!$B$16*4),INDEX(核心参数输入!$D$88:$AH$88,1,INT((66-(核心参数输入!$B$148+核心参数输入!$B$124)-1)/4)+2)*INDEX(核心参数输入!$B$128:$B$131,MOD(66-(核心参数输入!$B$148+核心参数输入!$B$124)-1,4)+1),0),0)</f>
        <v>0</v>
      </c>
      <c r="BS120" s="22">
        <f>IF(67&lt;=核心参数输入!$B$9*4,IF(AND(67-(核心参数输入!$B$148+核心参数输入!$B$124)&gt;0,67-(核心参数输入!$B$148+核心参数输入!$B$124)&lt;=核心参数输入!$B$16*4),INDEX(核心参数输入!$D$88:$AH$88,1,INT((67-(核心参数输入!$B$148+核心参数输入!$B$124)-1)/4)+2)*INDEX(核心参数输入!$B$128:$B$131,MOD(67-(核心参数输入!$B$148+核心参数输入!$B$124)-1,4)+1),0),0)</f>
        <v>0</v>
      </c>
      <c r="BT120" s="22">
        <f>IF(68&lt;=核心参数输入!$B$9*4,IF(AND(68-(核心参数输入!$B$148+核心参数输入!$B$124)&gt;0,68-(核心参数输入!$B$148+核心参数输入!$B$124)&lt;=核心参数输入!$B$16*4),INDEX(核心参数输入!$D$88:$AH$88,1,INT((68-(核心参数输入!$B$148+核心参数输入!$B$124)-1)/4)+2)*INDEX(核心参数输入!$B$128:$B$131,MOD(68-(核心参数输入!$B$148+核心参数输入!$B$124)-1,4)+1),0),0)</f>
        <v>0</v>
      </c>
      <c r="BU120" s="22">
        <f>IF(69&lt;=核心参数输入!$B$9*4,IF(AND(69-(核心参数输入!$B$148+核心参数输入!$B$124)&gt;0,69-(核心参数输入!$B$148+核心参数输入!$B$124)&lt;=核心参数输入!$B$16*4),INDEX(核心参数输入!$D$88:$AH$88,1,INT((69-(核心参数输入!$B$148+核心参数输入!$B$124)-1)/4)+2)*INDEX(核心参数输入!$B$128:$B$131,MOD(69-(核心参数输入!$B$148+核心参数输入!$B$124)-1,4)+1),0),0)</f>
        <v>0</v>
      </c>
      <c r="BV120" s="22">
        <f>IF(70&lt;=核心参数输入!$B$9*4,IF(AND(70-(核心参数输入!$B$148+核心参数输入!$B$124)&gt;0,70-(核心参数输入!$B$148+核心参数输入!$B$124)&lt;=核心参数输入!$B$16*4),INDEX(核心参数输入!$D$88:$AH$88,1,INT((70-(核心参数输入!$B$148+核心参数输入!$B$124)-1)/4)+2)*INDEX(核心参数输入!$B$128:$B$131,MOD(70-(核心参数输入!$B$148+核心参数输入!$B$124)-1,4)+1),0),0)</f>
        <v>0</v>
      </c>
      <c r="BW120" s="22">
        <f>IF(71&lt;=核心参数输入!$B$9*4,IF(AND(71-(核心参数输入!$B$148+核心参数输入!$B$124)&gt;0,71-(核心参数输入!$B$148+核心参数输入!$B$124)&lt;=核心参数输入!$B$16*4),INDEX(核心参数输入!$D$88:$AH$88,1,INT((71-(核心参数输入!$B$148+核心参数输入!$B$124)-1)/4)+2)*INDEX(核心参数输入!$B$128:$B$131,MOD(71-(核心参数输入!$B$148+核心参数输入!$B$124)-1,4)+1),0),0)</f>
        <v>0</v>
      </c>
      <c r="BX120" s="22">
        <f>IF(72&lt;=核心参数输入!$B$9*4,IF(AND(72-(核心参数输入!$B$148+核心参数输入!$B$124)&gt;0,72-(核心参数输入!$B$148+核心参数输入!$B$124)&lt;=核心参数输入!$B$16*4),INDEX(核心参数输入!$D$88:$AH$88,1,INT((72-(核心参数输入!$B$148+核心参数输入!$B$124)-1)/4)+2)*INDEX(核心参数输入!$B$128:$B$131,MOD(72-(核心参数输入!$B$148+核心参数输入!$B$124)-1,4)+1),0),0)</f>
        <v>0</v>
      </c>
      <c r="BY120" s="22">
        <f>IF(73&lt;=核心参数输入!$B$9*4,IF(AND(73-(核心参数输入!$B$148+核心参数输入!$B$124)&gt;0,73-(核心参数输入!$B$148+核心参数输入!$B$124)&lt;=核心参数输入!$B$16*4),INDEX(核心参数输入!$D$88:$AH$88,1,INT((73-(核心参数输入!$B$148+核心参数输入!$B$124)-1)/4)+2)*INDEX(核心参数输入!$B$128:$B$131,MOD(73-(核心参数输入!$B$148+核心参数输入!$B$124)-1,4)+1),0),0)</f>
        <v>0</v>
      </c>
      <c r="BZ120" s="22">
        <f>IF(74&lt;=核心参数输入!$B$9*4,IF(AND(74-(核心参数输入!$B$148+核心参数输入!$B$124)&gt;0,74-(核心参数输入!$B$148+核心参数输入!$B$124)&lt;=核心参数输入!$B$16*4),INDEX(核心参数输入!$D$88:$AH$88,1,INT((74-(核心参数输入!$B$148+核心参数输入!$B$124)-1)/4)+2)*INDEX(核心参数输入!$B$128:$B$131,MOD(74-(核心参数输入!$B$148+核心参数输入!$B$124)-1,4)+1),0),0)</f>
        <v>0</v>
      </c>
      <c r="CA120" s="22">
        <f>IF(75&lt;=核心参数输入!$B$9*4,IF(AND(75-(核心参数输入!$B$148+核心参数输入!$B$124)&gt;0,75-(核心参数输入!$B$148+核心参数输入!$B$124)&lt;=核心参数输入!$B$16*4),INDEX(核心参数输入!$D$88:$AH$88,1,INT((75-(核心参数输入!$B$148+核心参数输入!$B$124)-1)/4)+2)*INDEX(核心参数输入!$B$128:$B$131,MOD(75-(核心参数输入!$B$148+核心参数输入!$B$124)-1,4)+1),0),0)</f>
        <v>0</v>
      </c>
      <c r="CB120" s="22">
        <f>IF(76&lt;=核心参数输入!$B$9*4,IF(AND(76-(核心参数输入!$B$148+核心参数输入!$B$124)&gt;0,76-(核心参数输入!$B$148+核心参数输入!$B$124)&lt;=核心参数输入!$B$16*4),INDEX(核心参数输入!$D$88:$AH$88,1,INT((76-(核心参数输入!$B$148+核心参数输入!$B$124)-1)/4)+2)*INDEX(核心参数输入!$B$128:$B$131,MOD(76-(核心参数输入!$B$148+核心参数输入!$B$124)-1,4)+1),0),0)</f>
        <v>0</v>
      </c>
      <c r="CC120" s="22">
        <f>IF(77&lt;=核心参数输入!$B$9*4,IF(AND(77-(核心参数输入!$B$148+核心参数输入!$B$124)&gt;0,77-(核心参数输入!$B$148+核心参数输入!$B$124)&lt;=核心参数输入!$B$16*4),INDEX(核心参数输入!$D$88:$AH$88,1,INT((77-(核心参数输入!$B$148+核心参数输入!$B$124)-1)/4)+2)*INDEX(核心参数输入!$B$128:$B$131,MOD(77-(核心参数输入!$B$148+核心参数输入!$B$124)-1,4)+1),0),0)</f>
        <v>0</v>
      </c>
      <c r="CD120" s="22">
        <f>IF(78&lt;=核心参数输入!$B$9*4,IF(AND(78-(核心参数输入!$B$148+核心参数输入!$B$124)&gt;0,78-(核心参数输入!$B$148+核心参数输入!$B$124)&lt;=核心参数输入!$B$16*4),INDEX(核心参数输入!$D$88:$AH$88,1,INT((78-(核心参数输入!$B$148+核心参数输入!$B$124)-1)/4)+2)*INDEX(核心参数输入!$B$128:$B$131,MOD(78-(核心参数输入!$B$148+核心参数输入!$B$124)-1,4)+1),0),0)</f>
        <v>0</v>
      </c>
      <c r="CE120" s="22">
        <f>IF(79&lt;=核心参数输入!$B$9*4,IF(AND(79-(核心参数输入!$B$148+核心参数输入!$B$124)&gt;0,79-(核心参数输入!$B$148+核心参数输入!$B$124)&lt;=核心参数输入!$B$16*4),INDEX(核心参数输入!$D$88:$AH$88,1,INT((79-(核心参数输入!$B$148+核心参数输入!$B$124)-1)/4)+2)*INDEX(核心参数输入!$B$128:$B$131,MOD(79-(核心参数输入!$B$148+核心参数输入!$B$124)-1,4)+1),0),0)</f>
        <v>0</v>
      </c>
      <c r="CF120" s="22">
        <f>IF(80&lt;=核心参数输入!$B$9*4,IF(AND(80-(核心参数输入!$B$148+核心参数输入!$B$124)&gt;0,80-(核心参数输入!$B$148+核心参数输入!$B$124)&lt;=核心参数输入!$B$16*4),INDEX(核心参数输入!$D$88:$AH$88,1,INT((80-(核心参数输入!$B$148+核心参数输入!$B$124)-1)/4)+2)*INDEX(核心参数输入!$B$128:$B$131,MOD(80-(核心参数输入!$B$148+核心参数输入!$B$124)-1,4)+1),0),0)</f>
        <v>0</v>
      </c>
      <c r="CG120" s="22">
        <f>IF(81&lt;=核心参数输入!$B$9*4,IF(AND(81-(核心参数输入!$B$148+核心参数输入!$B$124)&gt;0,81-(核心参数输入!$B$148+核心参数输入!$B$124)&lt;=核心参数输入!$B$16*4),INDEX(核心参数输入!$D$88:$AH$88,1,INT((81-(核心参数输入!$B$148+核心参数输入!$B$124)-1)/4)+2)*INDEX(核心参数输入!$B$128:$B$131,MOD(81-(核心参数输入!$B$148+核心参数输入!$B$124)-1,4)+1),0),0)</f>
        <v>0</v>
      </c>
      <c r="CH120" s="22">
        <f>IF(82&lt;=核心参数输入!$B$9*4,IF(AND(82-(核心参数输入!$B$148+核心参数输入!$B$124)&gt;0,82-(核心参数输入!$B$148+核心参数输入!$B$124)&lt;=核心参数输入!$B$16*4),INDEX(核心参数输入!$D$88:$AH$88,1,INT((82-(核心参数输入!$B$148+核心参数输入!$B$124)-1)/4)+2)*INDEX(核心参数输入!$B$128:$B$131,MOD(82-(核心参数输入!$B$148+核心参数输入!$B$124)-1,4)+1),0),0)</f>
        <v>0</v>
      </c>
      <c r="CI120" s="22">
        <f>IF(83&lt;=核心参数输入!$B$9*4,IF(AND(83-(核心参数输入!$B$148+核心参数输入!$B$124)&gt;0,83-(核心参数输入!$B$148+核心参数输入!$B$124)&lt;=核心参数输入!$B$16*4),INDEX(核心参数输入!$D$88:$AH$88,1,INT((83-(核心参数输入!$B$148+核心参数输入!$B$124)-1)/4)+2)*INDEX(核心参数输入!$B$128:$B$131,MOD(83-(核心参数输入!$B$148+核心参数输入!$B$124)-1,4)+1),0),0)</f>
        <v>0</v>
      </c>
      <c r="CJ120" s="22">
        <f>IF(84&lt;=核心参数输入!$B$9*4,IF(AND(84-(核心参数输入!$B$148+核心参数输入!$B$124)&gt;0,84-(核心参数输入!$B$148+核心参数输入!$B$124)&lt;=核心参数输入!$B$16*4),INDEX(核心参数输入!$D$88:$AH$88,1,INT((84-(核心参数输入!$B$148+核心参数输入!$B$124)-1)/4)+2)*INDEX(核心参数输入!$B$128:$B$131,MOD(84-(核心参数输入!$B$148+核心参数输入!$B$124)-1,4)+1),0),0)</f>
        <v>0</v>
      </c>
      <c r="CK120" s="22">
        <f>IF(85&lt;=核心参数输入!$B$9*4,IF(AND(85-(核心参数输入!$B$148+核心参数输入!$B$124)&gt;0,85-(核心参数输入!$B$148+核心参数输入!$B$124)&lt;=核心参数输入!$B$16*4),INDEX(核心参数输入!$D$88:$AH$88,1,INT((85-(核心参数输入!$B$148+核心参数输入!$B$124)-1)/4)+2)*INDEX(核心参数输入!$B$128:$B$131,MOD(85-(核心参数输入!$B$148+核心参数输入!$B$124)-1,4)+1),0),0)</f>
        <v>0</v>
      </c>
      <c r="CL120" s="22">
        <f>IF(86&lt;=核心参数输入!$B$9*4,IF(AND(86-(核心参数输入!$B$148+核心参数输入!$B$124)&gt;0,86-(核心参数输入!$B$148+核心参数输入!$B$124)&lt;=核心参数输入!$B$16*4),INDEX(核心参数输入!$D$88:$AH$88,1,INT((86-(核心参数输入!$B$148+核心参数输入!$B$124)-1)/4)+2)*INDEX(核心参数输入!$B$128:$B$131,MOD(86-(核心参数输入!$B$148+核心参数输入!$B$124)-1,4)+1),0),0)</f>
        <v>0</v>
      </c>
      <c r="CM120" s="22">
        <f>IF(87&lt;=核心参数输入!$B$9*4,IF(AND(87-(核心参数输入!$B$148+核心参数输入!$B$124)&gt;0,87-(核心参数输入!$B$148+核心参数输入!$B$124)&lt;=核心参数输入!$B$16*4),INDEX(核心参数输入!$D$88:$AH$88,1,INT((87-(核心参数输入!$B$148+核心参数输入!$B$124)-1)/4)+2)*INDEX(核心参数输入!$B$128:$B$131,MOD(87-(核心参数输入!$B$148+核心参数输入!$B$124)-1,4)+1),0),0)</f>
        <v>0</v>
      </c>
      <c r="CN120" s="22">
        <f>IF(88&lt;=核心参数输入!$B$9*4,IF(AND(88-(核心参数输入!$B$148+核心参数输入!$B$124)&gt;0,88-(核心参数输入!$B$148+核心参数输入!$B$124)&lt;=核心参数输入!$B$16*4),INDEX(核心参数输入!$D$88:$AH$88,1,INT((88-(核心参数输入!$B$148+核心参数输入!$B$124)-1)/4)+2)*INDEX(核心参数输入!$B$128:$B$131,MOD(88-(核心参数输入!$B$148+核心参数输入!$B$124)-1,4)+1),0),0)</f>
        <v>0</v>
      </c>
      <c r="CO120" s="22">
        <f>IF(89&lt;=核心参数输入!$B$9*4,IF(AND(89-(核心参数输入!$B$148+核心参数输入!$B$124)&gt;0,89-(核心参数输入!$B$148+核心参数输入!$B$124)&lt;=核心参数输入!$B$16*4),INDEX(核心参数输入!$D$88:$AH$88,1,INT((89-(核心参数输入!$B$148+核心参数输入!$B$124)-1)/4)+2)*INDEX(核心参数输入!$B$128:$B$131,MOD(89-(核心参数输入!$B$148+核心参数输入!$B$124)-1,4)+1),0),0)</f>
        <v>0</v>
      </c>
      <c r="CP120" s="22">
        <f>IF(90&lt;=核心参数输入!$B$9*4,IF(AND(90-(核心参数输入!$B$148+核心参数输入!$B$124)&gt;0,90-(核心参数输入!$B$148+核心参数输入!$B$124)&lt;=核心参数输入!$B$16*4),INDEX(核心参数输入!$D$88:$AH$88,1,INT((90-(核心参数输入!$B$148+核心参数输入!$B$124)-1)/4)+2)*INDEX(核心参数输入!$B$128:$B$131,MOD(90-(核心参数输入!$B$148+核心参数输入!$B$124)-1,4)+1),0),0)</f>
        <v>0</v>
      </c>
      <c r="CQ120" s="22">
        <f>IF(91&lt;=核心参数输入!$B$9*4,IF(AND(91-(核心参数输入!$B$148+核心参数输入!$B$124)&gt;0,91-(核心参数输入!$B$148+核心参数输入!$B$124)&lt;=核心参数输入!$B$16*4),INDEX(核心参数输入!$D$88:$AH$88,1,INT((91-(核心参数输入!$B$148+核心参数输入!$B$124)-1)/4)+2)*INDEX(核心参数输入!$B$128:$B$131,MOD(91-(核心参数输入!$B$148+核心参数输入!$B$124)-1,4)+1),0),0)</f>
        <v>0</v>
      </c>
      <c r="CR120" s="22">
        <f>IF(92&lt;=核心参数输入!$B$9*4,IF(AND(92-(核心参数输入!$B$148+核心参数输入!$B$124)&gt;0,92-(核心参数输入!$B$148+核心参数输入!$B$124)&lt;=核心参数输入!$B$16*4),INDEX(核心参数输入!$D$88:$AH$88,1,INT((92-(核心参数输入!$B$148+核心参数输入!$B$124)-1)/4)+2)*INDEX(核心参数输入!$B$128:$B$131,MOD(92-(核心参数输入!$B$148+核心参数输入!$B$124)-1,4)+1),0),0)</f>
        <v>0</v>
      </c>
      <c r="CS120" s="22">
        <f>IF(93&lt;=核心参数输入!$B$9*4,IF(AND(93-(核心参数输入!$B$148+核心参数输入!$B$124)&gt;0,93-(核心参数输入!$B$148+核心参数输入!$B$124)&lt;=核心参数输入!$B$16*4),INDEX(核心参数输入!$D$88:$AH$88,1,INT((93-(核心参数输入!$B$148+核心参数输入!$B$124)-1)/4)+2)*INDEX(核心参数输入!$B$128:$B$131,MOD(93-(核心参数输入!$B$148+核心参数输入!$B$124)-1,4)+1),0),0)</f>
        <v>0</v>
      </c>
      <c r="CT120" s="22">
        <f>IF(94&lt;=核心参数输入!$B$9*4,IF(AND(94-(核心参数输入!$B$148+核心参数输入!$B$124)&gt;0,94-(核心参数输入!$B$148+核心参数输入!$B$124)&lt;=核心参数输入!$B$16*4),INDEX(核心参数输入!$D$88:$AH$88,1,INT((94-(核心参数输入!$B$148+核心参数输入!$B$124)-1)/4)+2)*INDEX(核心参数输入!$B$128:$B$131,MOD(94-(核心参数输入!$B$148+核心参数输入!$B$124)-1,4)+1),0),0)</f>
        <v>0</v>
      </c>
      <c r="CU120" s="22">
        <f>IF(95&lt;=核心参数输入!$B$9*4,IF(AND(95-(核心参数输入!$B$148+核心参数输入!$B$124)&gt;0,95-(核心参数输入!$B$148+核心参数输入!$B$124)&lt;=核心参数输入!$B$16*4),INDEX(核心参数输入!$D$88:$AH$88,1,INT((95-(核心参数输入!$B$148+核心参数输入!$B$124)-1)/4)+2)*INDEX(核心参数输入!$B$128:$B$131,MOD(95-(核心参数输入!$B$148+核心参数输入!$B$124)-1,4)+1),0),0)</f>
        <v>0</v>
      </c>
      <c r="CV120" s="22">
        <f>IF(96&lt;=核心参数输入!$B$9*4,IF(AND(96-(核心参数输入!$B$148+核心参数输入!$B$124)&gt;0,96-(核心参数输入!$B$148+核心参数输入!$B$124)&lt;=核心参数输入!$B$16*4),INDEX(核心参数输入!$D$88:$AH$88,1,INT((96-(核心参数输入!$B$148+核心参数输入!$B$124)-1)/4)+2)*INDEX(核心参数输入!$B$128:$B$131,MOD(96-(核心参数输入!$B$148+核心参数输入!$B$124)-1,4)+1),0),0)</f>
        <v>0</v>
      </c>
      <c r="CW120" s="22">
        <f>IF(97&lt;=核心参数输入!$B$9*4,IF(AND(97-(核心参数输入!$B$148+核心参数输入!$B$124)&gt;0,97-(核心参数输入!$B$148+核心参数输入!$B$124)&lt;=核心参数输入!$B$16*4),INDEX(核心参数输入!$D$88:$AH$88,1,INT((97-(核心参数输入!$B$148+核心参数输入!$B$124)-1)/4)+2)*INDEX(核心参数输入!$B$128:$B$131,MOD(97-(核心参数输入!$B$148+核心参数输入!$B$124)-1,4)+1),0),0)</f>
        <v>0</v>
      </c>
      <c r="CX120" s="22">
        <f>IF(98&lt;=核心参数输入!$B$9*4,IF(AND(98-(核心参数输入!$B$148+核心参数输入!$B$124)&gt;0,98-(核心参数输入!$B$148+核心参数输入!$B$124)&lt;=核心参数输入!$B$16*4),INDEX(核心参数输入!$D$88:$AH$88,1,INT((98-(核心参数输入!$B$148+核心参数输入!$B$124)-1)/4)+2)*INDEX(核心参数输入!$B$128:$B$131,MOD(98-(核心参数输入!$B$148+核心参数输入!$B$124)-1,4)+1),0),0)</f>
        <v>0</v>
      </c>
      <c r="CY120" s="22">
        <f>IF(99&lt;=核心参数输入!$B$9*4,IF(AND(99-(核心参数输入!$B$148+核心参数输入!$B$124)&gt;0,99-(核心参数输入!$B$148+核心参数输入!$B$124)&lt;=核心参数输入!$B$16*4),INDEX(核心参数输入!$D$88:$AH$88,1,INT((99-(核心参数输入!$B$148+核心参数输入!$B$124)-1)/4)+2)*INDEX(核心参数输入!$B$128:$B$131,MOD(99-(核心参数输入!$B$148+核心参数输入!$B$124)-1,4)+1),0),0)</f>
        <v>0</v>
      </c>
      <c r="CZ120" s="22">
        <f>IF(100&lt;=核心参数输入!$B$9*4,IF(AND(100-(核心参数输入!$B$148+核心参数输入!$B$124)&gt;0,100-(核心参数输入!$B$148+核心参数输入!$B$124)&lt;=核心参数输入!$B$16*4),INDEX(核心参数输入!$D$88:$AH$88,1,INT((100-(核心参数输入!$B$148+核心参数输入!$B$124)-1)/4)+2)*INDEX(核心参数输入!$B$128:$B$131,MOD(100-(核心参数输入!$B$148+核心参数输入!$B$124)-1,4)+1),0),0)</f>
        <v>0</v>
      </c>
      <c r="DA120" s="22">
        <f>IF(101&lt;=核心参数输入!$B$9*4,IF(AND(101-(核心参数输入!$B$148+核心参数输入!$B$124)&gt;0,101-(核心参数输入!$B$148+核心参数输入!$B$124)&lt;=核心参数输入!$B$16*4),INDEX(核心参数输入!$D$88:$AH$88,1,INT((101-(核心参数输入!$B$148+核心参数输入!$B$124)-1)/4)+2)*INDEX(核心参数输入!$B$128:$B$131,MOD(101-(核心参数输入!$B$148+核心参数输入!$B$124)-1,4)+1),0),0)</f>
        <v>0</v>
      </c>
      <c r="DB120" s="22">
        <f>IF(102&lt;=核心参数输入!$B$9*4,IF(AND(102-(核心参数输入!$B$148+核心参数输入!$B$124)&gt;0,102-(核心参数输入!$B$148+核心参数输入!$B$124)&lt;=核心参数输入!$B$16*4),INDEX(核心参数输入!$D$88:$AH$88,1,INT((102-(核心参数输入!$B$148+核心参数输入!$B$124)-1)/4)+2)*INDEX(核心参数输入!$B$128:$B$131,MOD(102-(核心参数输入!$B$148+核心参数输入!$B$124)-1,4)+1),0),0)</f>
        <v>0</v>
      </c>
      <c r="DC120" s="22">
        <f>IF(103&lt;=核心参数输入!$B$9*4,IF(AND(103-(核心参数输入!$B$148+核心参数输入!$B$124)&gt;0,103-(核心参数输入!$B$148+核心参数输入!$B$124)&lt;=核心参数输入!$B$16*4),INDEX(核心参数输入!$D$88:$AH$88,1,INT((103-(核心参数输入!$B$148+核心参数输入!$B$124)-1)/4)+2)*INDEX(核心参数输入!$B$128:$B$131,MOD(103-(核心参数输入!$B$148+核心参数输入!$B$124)-1,4)+1),0),0)</f>
        <v>0</v>
      </c>
      <c r="DD120" s="22">
        <f>IF(104&lt;=核心参数输入!$B$9*4,IF(AND(104-(核心参数输入!$B$148+核心参数输入!$B$124)&gt;0,104-(核心参数输入!$B$148+核心参数输入!$B$124)&lt;=核心参数输入!$B$16*4),INDEX(核心参数输入!$D$88:$AH$88,1,INT((104-(核心参数输入!$B$148+核心参数输入!$B$124)-1)/4)+2)*INDEX(核心参数输入!$B$128:$B$131,MOD(104-(核心参数输入!$B$148+核心参数输入!$B$124)-1,4)+1),0),0)</f>
        <v>0</v>
      </c>
      <c r="DE120" s="22">
        <f>IF(105&lt;=核心参数输入!$B$9*4,IF(AND(105-(核心参数输入!$B$148+核心参数输入!$B$124)&gt;0,105-(核心参数输入!$B$148+核心参数输入!$B$124)&lt;=核心参数输入!$B$16*4),INDEX(核心参数输入!$D$88:$AH$88,1,INT((105-(核心参数输入!$B$148+核心参数输入!$B$124)-1)/4)+2)*INDEX(核心参数输入!$B$128:$B$131,MOD(105-(核心参数输入!$B$148+核心参数输入!$B$124)-1,4)+1),0),0)</f>
        <v>0</v>
      </c>
      <c r="DF120" s="22">
        <f>IF(106&lt;=核心参数输入!$B$9*4,IF(AND(106-(核心参数输入!$B$148+核心参数输入!$B$124)&gt;0,106-(核心参数输入!$B$148+核心参数输入!$B$124)&lt;=核心参数输入!$B$16*4),INDEX(核心参数输入!$D$88:$AH$88,1,INT((106-(核心参数输入!$B$148+核心参数输入!$B$124)-1)/4)+2)*INDEX(核心参数输入!$B$128:$B$131,MOD(106-(核心参数输入!$B$148+核心参数输入!$B$124)-1,4)+1),0),0)</f>
        <v>0</v>
      </c>
      <c r="DG120" s="22">
        <f>IF(107&lt;=核心参数输入!$B$9*4,IF(AND(107-(核心参数输入!$B$148+核心参数输入!$B$124)&gt;0,107-(核心参数输入!$B$148+核心参数输入!$B$124)&lt;=核心参数输入!$B$16*4),INDEX(核心参数输入!$D$88:$AH$88,1,INT((107-(核心参数输入!$B$148+核心参数输入!$B$124)-1)/4)+2)*INDEX(核心参数输入!$B$128:$B$131,MOD(107-(核心参数输入!$B$148+核心参数输入!$B$124)-1,4)+1),0),0)</f>
        <v>0</v>
      </c>
      <c r="DH120" s="22">
        <f>IF(108&lt;=核心参数输入!$B$9*4,IF(AND(108-(核心参数输入!$B$148+核心参数输入!$B$124)&gt;0,108-(核心参数输入!$B$148+核心参数输入!$B$124)&lt;=核心参数输入!$B$16*4),INDEX(核心参数输入!$D$88:$AH$88,1,INT((108-(核心参数输入!$B$148+核心参数输入!$B$124)-1)/4)+2)*INDEX(核心参数输入!$B$128:$B$131,MOD(108-(核心参数输入!$B$148+核心参数输入!$B$124)-1,4)+1),0),0)</f>
        <v>0</v>
      </c>
      <c r="DI120" s="22">
        <f>IF(109&lt;=核心参数输入!$B$9*4,IF(AND(109-(核心参数输入!$B$148+核心参数输入!$B$124)&gt;0,109-(核心参数输入!$B$148+核心参数输入!$B$124)&lt;=核心参数输入!$B$16*4),INDEX(核心参数输入!$D$88:$AH$88,1,INT((109-(核心参数输入!$B$148+核心参数输入!$B$124)-1)/4)+2)*INDEX(核心参数输入!$B$128:$B$131,MOD(109-(核心参数输入!$B$148+核心参数输入!$B$124)-1,4)+1),0),0)</f>
        <v>0</v>
      </c>
      <c r="DJ120" s="22">
        <f>IF(110&lt;=核心参数输入!$B$9*4,IF(AND(110-(核心参数输入!$B$148+核心参数输入!$B$124)&gt;0,110-(核心参数输入!$B$148+核心参数输入!$B$124)&lt;=核心参数输入!$B$16*4),INDEX(核心参数输入!$D$88:$AH$88,1,INT((110-(核心参数输入!$B$148+核心参数输入!$B$124)-1)/4)+2)*INDEX(核心参数输入!$B$128:$B$131,MOD(110-(核心参数输入!$B$148+核心参数输入!$B$124)-1,4)+1),0),0)</f>
        <v>0</v>
      </c>
      <c r="DK120" s="22">
        <f>IF(111&lt;=核心参数输入!$B$9*4,IF(AND(111-(核心参数输入!$B$148+核心参数输入!$B$124)&gt;0,111-(核心参数输入!$B$148+核心参数输入!$B$124)&lt;=核心参数输入!$B$16*4),INDEX(核心参数输入!$D$88:$AH$88,1,INT((111-(核心参数输入!$B$148+核心参数输入!$B$124)-1)/4)+2)*INDEX(核心参数输入!$B$128:$B$131,MOD(111-(核心参数输入!$B$148+核心参数输入!$B$124)-1,4)+1),0),0)</f>
        <v>0</v>
      </c>
      <c r="DL120" s="22">
        <f>IF(112&lt;=核心参数输入!$B$9*4,IF(AND(112-(核心参数输入!$B$148+核心参数输入!$B$124)&gt;0,112-(核心参数输入!$B$148+核心参数输入!$B$124)&lt;=核心参数输入!$B$16*4),INDEX(核心参数输入!$D$88:$AH$88,1,INT((112-(核心参数输入!$B$148+核心参数输入!$B$124)-1)/4)+2)*INDEX(核心参数输入!$B$128:$B$131,MOD(112-(核心参数输入!$B$148+核心参数输入!$B$124)-1,4)+1),0),0)</f>
        <v>0</v>
      </c>
      <c r="DM120" s="22">
        <f>IF(113&lt;=核心参数输入!$B$9*4,IF(AND(113-(核心参数输入!$B$148+核心参数输入!$B$124)&gt;0,113-(核心参数输入!$B$148+核心参数输入!$B$124)&lt;=核心参数输入!$B$16*4),INDEX(核心参数输入!$D$88:$AH$88,1,INT((113-(核心参数输入!$B$148+核心参数输入!$B$124)-1)/4)+2)*INDEX(核心参数输入!$B$128:$B$131,MOD(113-(核心参数输入!$B$148+核心参数输入!$B$124)-1,4)+1),0),0)</f>
        <v>0</v>
      </c>
      <c r="DN120" s="22">
        <f>IF(114&lt;=核心参数输入!$B$9*4,IF(AND(114-(核心参数输入!$B$148+核心参数输入!$B$124)&gt;0,114-(核心参数输入!$B$148+核心参数输入!$B$124)&lt;=核心参数输入!$B$16*4),INDEX(核心参数输入!$D$88:$AH$88,1,INT((114-(核心参数输入!$B$148+核心参数输入!$B$124)-1)/4)+2)*INDEX(核心参数输入!$B$128:$B$131,MOD(114-(核心参数输入!$B$148+核心参数输入!$B$124)-1,4)+1),0),0)</f>
        <v>0</v>
      </c>
      <c r="DO120" s="22">
        <f>IF(115&lt;=核心参数输入!$B$9*4,IF(AND(115-(核心参数输入!$B$148+核心参数输入!$B$124)&gt;0,115-(核心参数输入!$B$148+核心参数输入!$B$124)&lt;=核心参数输入!$B$16*4),INDEX(核心参数输入!$D$88:$AH$88,1,INT((115-(核心参数输入!$B$148+核心参数输入!$B$124)-1)/4)+2)*INDEX(核心参数输入!$B$128:$B$131,MOD(115-(核心参数输入!$B$148+核心参数输入!$B$124)-1,4)+1),0),0)</f>
        <v>0</v>
      </c>
      <c r="DP120" s="22">
        <f>IF(116&lt;=核心参数输入!$B$9*4,IF(AND(116-(核心参数输入!$B$148+核心参数输入!$B$124)&gt;0,116-(核心参数输入!$B$148+核心参数输入!$B$124)&lt;=核心参数输入!$B$16*4),INDEX(核心参数输入!$D$88:$AH$88,1,INT((116-(核心参数输入!$B$148+核心参数输入!$B$124)-1)/4)+2)*INDEX(核心参数输入!$B$128:$B$131,MOD(116-(核心参数输入!$B$148+核心参数输入!$B$124)-1,4)+1),0),0)</f>
        <v>0</v>
      </c>
      <c r="DQ120" s="22">
        <f>IF(117&lt;=核心参数输入!$B$9*4,IF(AND(117-(核心参数输入!$B$148+核心参数输入!$B$124)&gt;0,117-(核心参数输入!$B$148+核心参数输入!$B$124)&lt;=核心参数输入!$B$16*4),INDEX(核心参数输入!$D$88:$AH$88,1,INT((117-(核心参数输入!$B$148+核心参数输入!$B$124)-1)/4)+2)*INDEX(核心参数输入!$B$128:$B$131,MOD(117-(核心参数输入!$B$148+核心参数输入!$B$124)-1,4)+1),0),0)</f>
        <v>0</v>
      </c>
      <c r="DR120" s="22">
        <f>IF(118&lt;=核心参数输入!$B$9*4,IF(AND(118-(核心参数输入!$B$148+核心参数输入!$B$124)&gt;0,118-(核心参数输入!$B$148+核心参数输入!$B$124)&lt;=核心参数输入!$B$16*4),INDEX(核心参数输入!$D$88:$AH$88,1,INT((118-(核心参数输入!$B$148+核心参数输入!$B$124)-1)/4)+2)*INDEX(核心参数输入!$B$128:$B$131,MOD(118-(核心参数输入!$B$148+核心参数输入!$B$124)-1,4)+1),0),0)</f>
        <v>0</v>
      </c>
      <c r="DS120" s="22">
        <f>IF(119&lt;=核心参数输入!$B$9*4,IF(AND(119-(核心参数输入!$B$148+核心参数输入!$B$124)&gt;0,119-(核心参数输入!$B$148+核心参数输入!$B$124)&lt;=核心参数输入!$B$16*4),INDEX(核心参数输入!$D$88:$AH$88,1,INT((119-(核心参数输入!$B$148+核心参数输入!$B$124)-1)/4)+2)*INDEX(核心参数输入!$B$128:$B$131,MOD(119-(核心参数输入!$B$148+核心参数输入!$B$124)-1,4)+1),0),0)</f>
        <v>0</v>
      </c>
      <c r="DT120" s="22">
        <f>IF(120&lt;=核心参数输入!$B$9*4,IF(AND(120-(核心参数输入!$B$148+核心参数输入!$B$124)&gt;0,120-(核心参数输入!$B$148+核心参数输入!$B$124)&lt;=核心参数输入!$B$16*4),INDEX(核心参数输入!$D$88:$AH$88,1,INT((120-(核心参数输入!$B$148+核心参数输入!$B$124)-1)/4)+2)*INDEX(核心参数输入!$B$128:$B$131,MOD(120-(核心参数输入!$B$148+核心参数输入!$B$124)-1,4)+1),0),0)</f>
        <v>0</v>
      </c>
    </row>
    <row r="121" spans="1:124" ht="21" customHeight="1">
      <c r="A121" s="8" t="s">
        <v>623</v>
      </c>
      <c r="B121" s="8" t="s">
        <v>38</v>
      </c>
      <c r="C121" s="8"/>
      <c r="D121" s="22">
        <f>IF(0&lt;=核心参数输入!$B$9*4,0,0)</f>
        <v>0</v>
      </c>
      <c r="E121" s="22">
        <f>IF(1&lt;=核心参数输入!$B$9*4,IF(AND(1-(核心参数输入!$B$148+核心参数输入!$B$124)&gt;=0,1-(核心参数输入!$B$148+核心参数输入!$B$124)&lt;=120),IF(COUNT(INDEX($D$20:$DT$20,1,MAX(1,MIN(121,1-(核心参数输入!$B$148+核心参数输入!$B$124)+1))))=1,INDEX($D$20:$DT$20,1,MAX(1,MIN(121,1-(核心参数输入!$B$148+核心参数输入!$B$124)+1))),E120),0),0)</f>
        <v>7.4999999999999997E-2</v>
      </c>
      <c r="F121" s="22">
        <f>IF(2&lt;=核心参数输入!$B$9*4,IF(AND(2-(核心参数输入!$B$148+核心参数输入!$B$124)&gt;=0,2-(核心参数输入!$B$148+核心参数输入!$B$124)&lt;=120),IF(COUNT(INDEX($D$20:$DT$20,1,MAX(1,MIN(121,2-(核心参数输入!$B$148+核心参数输入!$B$124)+1))))=1,INDEX($D$20:$DT$20,1,MAX(1,MIN(121,2-(核心参数输入!$B$148+核心参数输入!$B$124)+1))),F120),0),0)</f>
        <v>7.4999999999999997E-2</v>
      </c>
      <c r="G121" s="22">
        <f>IF(3&lt;=核心参数输入!$B$9*4,IF(AND(3-(核心参数输入!$B$148+核心参数输入!$B$124)&gt;=0,3-(核心参数输入!$B$148+核心参数输入!$B$124)&lt;=120),IF(COUNT(INDEX($D$20:$DT$20,1,MAX(1,MIN(121,3-(核心参数输入!$B$148+核心参数输入!$B$124)+1))))=1,INDEX($D$20:$DT$20,1,MAX(1,MIN(121,3-(核心参数输入!$B$148+核心参数输入!$B$124)+1))),G120),0),0)</f>
        <v>7.4999999999999997E-2</v>
      </c>
      <c r="H121" s="22">
        <f>IF(4&lt;=核心参数输入!$B$9*4,IF(AND(4-(核心参数输入!$B$148+核心参数输入!$B$124)&gt;=0,4-(核心参数输入!$B$148+核心参数输入!$B$124)&lt;=120),IF(COUNT(INDEX($D$20:$DT$20,1,MAX(1,MIN(121,4-(核心参数输入!$B$148+核心参数输入!$B$124)+1))))=1,INDEX($D$20:$DT$20,1,MAX(1,MIN(121,4-(核心参数输入!$B$148+核心参数输入!$B$124)+1))),H120),0),0)</f>
        <v>7.4999999999999997E-2</v>
      </c>
      <c r="I121" s="22">
        <f>IF(5&lt;=核心参数输入!$B$9*4,IF(AND(5-(核心参数输入!$B$148+核心参数输入!$B$124)&gt;=0,5-(核心参数输入!$B$148+核心参数输入!$B$124)&lt;=120),IF(COUNT(INDEX($D$20:$DT$20,1,MAX(1,MIN(121,5-(核心参数输入!$B$148+核心参数输入!$B$124)+1))))=1,INDEX($D$20:$DT$20,1,MAX(1,MIN(121,5-(核心参数输入!$B$148+核心参数输入!$B$124)+1))),I120),0),0)</f>
        <v>0.1</v>
      </c>
      <c r="J121" s="22">
        <f>IF(6&lt;=核心参数输入!$B$9*4,IF(AND(6-(核心参数输入!$B$148+核心参数输入!$B$124)&gt;=0,6-(核心参数输入!$B$148+核心参数输入!$B$124)&lt;=120),IF(COUNT(INDEX($D$20:$DT$20,1,MAX(1,MIN(121,6-(核心参数输入!$B$148+核心参数输入!$B$124)+1))))=1,INDEX($D$20:$DT$20,1,MAX(1,MIN(121,6-(核心参数输入!$B$148+核心参数输入!$B$124)+1))),J120),0),0)</f>
        <v>0.1</v>
      </c>
      <c r="K121" s="22">
        <f>IF(7&lt;=核心参数输入!$B$9*4,IF(AND(7-(核心参数输入!$B$148+核心参数输入!$B$124)&gt;=0,7-(核心参数输入!$B$148+核心参数输入!$B$124)&lt;=120),IF(COUNT(INDEX($D$20:$DT$20,1,MAX(1,MIN(121,7-(核心参数输入!$B$148+核心参数输入!$B$124)+1))))=1,INDEX($D$20:$DT$20,1,MAX(1,MIN(121,7-(核心参数输入!$B$148+核心参数输入!$B$124)+1))),K120),0),0)</f>
        <v>0.1</v>
      </c>
      <c r="L121" s="22">
        <f>IF(8&lt;=核心参数输入!$B$9*4,IF(AND(8-(核心参数输入!$B$148+核心参数输入!$B$124)&gt;=0,8-(核心参数输入!$B$148+核心参数输入!$B$124)&lt;=120),IF(COUNT(INDEX($D$20:$DT$20,1,MAX(1,MIN(121,8-(核心参数输入!$B$148+核心参数输入!$B$124)+1))))=1,INDEX($D$20:$DT$20,1,MAX(1,MIN(121,8-(核心参数输入!$B$148+核心参数输入!$B$124)+1))),L120),0),0)</f>
        <v>0.1</v>
      </c>
      <c r="M121" s="22">
        <f>IF(9&lt;=核心参数输入!$B$9*4,IF(AND(9-(核心参数输入!$B$148+核心参数输入!$B$124)&gt;=0,9-(核心参数输入!$B$148+核心参数输入!$B$124)&lt;=120),IF(COUNT(INDEX($D$20:$DT$20,1,MAX(1,MIN(121,9-(核心参数输入!$B$148+核心参数输入!$B$124)+1))))=1,INDEX($D$20:$DT$20,1,MAX(1,MIN(121,9-(核心参数输入!$B$148+核心参数输入!$B$124)+1))),M120),0),0)</f>
        <v>7.4999999999999997E-2</v>
      </c>
      <c r="N121" s="22">
        <f>IF(10&lt;=核心参数输入!$B$9*4,IF(AND(10-(核心参数输入!$B$148+核心参数输入!$B$124)&gt;=0,10-(核心参数输入!$B$148+核心参数输入!$B$124)&lt;=120),IF(COUNT(INDEX($D$20:$DT$20,1,MAX(1,MIN(121,10-(核心参数输入!$B$148+核心参数输入!$B$124)+1))))=1,INDEX($D$20:$DT$20,1,MAX(1,MIN(121,10-(核心参数输入!$B$148+核心参数输入!$B$124)+1))),N120),0),0)</f>
        <v>7.4999999999999997E-2</v>
      </c>
      <c r="O121" s="22">
        <f>IF(11&lt;=核心参数输入!$B$9*4,IF(AND(11-(核心参数输入!$B$148+核心参数输入!$B$124)&gt;=0,11-(核心参数输入!$B$148+核心参数输入!$B$124)&lt;=120),IF(COUNT(INDEX($D$20:$DT$20,1,MAX(1,MIN(121,11-(核心参数输入!$B$148+核心参数输入!$B$124)+1))))=1,INDEX($D$20:$DT$20,1,MAX(1,MIN(121,11-(核心参数输入!$B$148+核心参数输入!$B$124)+1))),O120),0),0)</f>
        <v>7.4999999999999997E-2</v>
      </c>
      <c r="P121" s="22">
        <f>IF(12&lt;=核心参数输入!$B$9*4,IF(AND(12-(核心参数输入!$B$148+核心参数输入!$B$124)&gt;=0,12-(核心参数输入!$B$148+核心参数输入!$B$124)&lt;=120),IF(COUNT(INDEX($D$20:$DT$20,1,MAX(1,MIN(121,12-(核心参数输入!$B$148+核心参数输入!$B$124)+1))))=1,INDEX($D$20:$DT$20,1,MAX(1,MIN(121,12-(核心参数输入!$B$148+核心参数输入!$B$124)+1))),P120),0),0)</f>
        <v>7.4999999999999997E-2</v>
      </c>
      <c r="Q121" s="22">
        <f>IF(13&lt;=核心参数输入!$B$9*4,IF(AND(13-(核心参数输入!$B$148+核心参数输入!$B$124)&gt;=0,13-(核心参数输入!$B$148+核心参数输入!$B$124)&lt;=120),IF(COUNT(INDEX($D$20:$DT$20,1,MAX(1,MIN(121,13-(核心参数输入!$B$148+核心参数输入!$B$124)+1))))=1,INDEX($D$20:$DT$20,1,MAX(1,MIN(121,13-(核心参数输入!$B$148+核心参数输入!$B$124)+1))),Q120),0),0)</f>
        <v>0</v>
      </c>
      <c r="R121" s="22">
        <f>IF(14&lt;=核心参数输入!$B$9*4,IF(AND(14-(核心参数输入!$B$148+核心参数输入!$B$124)&gt;=0,14-(核心参数输入!$B$148+核心参数输入!$B$124)&lt;=120),IF(COUNT(INDEX($D$20:$DT$20,1,MAX(1,MIN(121,14-(核心参数输入!$B$148+核心参数输入!$B$124)+1))))=1,INDEX($D$20:$DT$20,1,MAX(1,MIN(121,14-(核心参数输入!$B$148+核心参数输入!$B$124)+1))),R120),0),0)</f>
        <v>0</v>
      </c>
      <c r="S121" s="22">
        <f>IF(15&lt;=核心参数输入!$B$9*4,IF(AND(15-(核心参数输入!$B$148+核心参数输入!$B$124)&gt;=0,15-(核心参数输入!$B$148+核心参数输入!$B$124)&lt;=120),IF(COUNT(INDEX($D$20:$DT$20,1,MAX(1,MIN(121,15-(核心参数输入!$B$148+核心参数输入!$B$124)+1))))=1,INDEX($D$20:$DT$20,1,MAX(1,MIN(121,15-(核心参数输入!$B$148+核心参数输入!$B$124)+1))),S120),0),0)</f>
        <v>0</v>
      </c>
      <c r="T121" s="22">
        <f>IF(16&lt;=核心参数输入!$B$9*4,IF(AND(16-(核心参数输入!$B$148+核心参数输入!$B$124)&gt;=0,16-(核心参数输入!$B$148+核心参数输入!$B$124)&lt;=120),IF(COUNT(INDEX($D$20:$DT$20,1,MAX(1,MIN(121,16-(核心参数输入!$B$148+核心参数输入!$B$124)+1))))=1,INDEX($D$20:$DT$20,1,MAX(1,MIN(121,16-(核心参数输入!$B$148+核心参数输入!$B$124)+1))),T120),0),0)</f>
        <v>0</v>
      </c>
      <c r="U121" s="22">
        <f>IF(17&lt;=核心参数输入!$B$9*4,IF(AND(17-(核心参数输入!$B$148+核心参数输入!$B$124)&gt;=0,17-(核心参数输入!$B$148+核心参数输入!$B$124)&lt;=120),IF(COUNT(INDEX($D$20:$DT$20,1,MAX(1,MIN(121,17-(核心参数输入!$B$148+核心参数输入!$B$124)+1))))=1,INDEX($D$20:$DT$20,1,MAX(1,MIN(121,17-(核心参数输入!$B$148+核心参数输入!$B$124)+1))),U120),0),0)</f>
        <v>0</v>
      </c>
      <c r="V121" s="22">
        <f>IF(18&lt;=核心参数输入!$B$9*4,IF(AND(18-(核心参数输入!$B$148+核心参数输入!$B$124)&gt;=0,18-(核心参数输入!$B$148+核心参数输入!$B$124)&lt;=120),IF(COUNT(INDEX($D$20:$DT$20,1,MAX(1,MIN(121,18-(核心参数输入!$B$148+核心参数输入!$B$124)+1))))=1,INDEX($D$20:$DT$20,1,MAX(1,MIN(121,18-(核心参数输入!$B$148+核心参数输入!$B$124)+1))),V120),0),0)</f>
        <v>0</v>
      </c>
      <c r="W121" s="22">
        <f>IF(19&lt;=核心参数输入!$B$9*4,IF(AND(19-(核心参数输入!$B$148+核心参数输入!$B$124)&gt;=0,19-(核心参数输入!$B$148+核心参数输入!$B$124)&lt;=120),IF(COUNT(INDEX($D$20:$DT$20,1,MAX(1,MIN(121,19-(核心参数输入!$B$148+核心参数输入!$B$124)+1))))=1,INDEX($D$20:$DT$20,1,MAX(1,MIN(121,19-(核心参数输入!$B$148+核心参数输入!$B$124)+1))),W120),0),0)</f>
        <v>0</v>
      </c>
      <c r="X121" s="22">
        <f>IF(20&lt;=核心参数输入!$B$9*4,IF(AND(20-(核心参数输入!$B$148+核心参数输入!$B$124)&gt;=0,20-(核心参数输入!$B$148+核心参数输入!$B$124)&lt;=120),IF(COUNT(INDEX($D$20:$DT$20,1,MAX(1,MIN(121,20-(核心参数输入!$B$148+核心参数输入!$B$124)+1))))=1,INDEX($D$20:$DT$20,1,MAX(1,MIN(121,20-(核心参数输入!$B$148+核心参数输入!$B$124)+1))),X120),0),0)</f>
        <v>0</v>
      </c>
      <c r="Y121" s="22">
        <f>IF(21&lt;=核心参数输入!$B$9*4,IF(AND(21-(核心参数输入!$B$148+核心参数输入!$B$124)&gt;=0,21-(核心参数输入!$B$148+核心参数输入!$B$124)&lt;=120),IF(COUNT(INDEX($D$20:$DT$20,1,MAX(1,MIN(121,21-(核心参数输入!$B$148+核心参数输入!$B$124)+1))))=1,INDEX($D$20:$DT$20,1,MAX(1,MIN(121,21-(核心参数输入!$B$148+核心参数输入!$B$124)+1))),Y120),0),0)</f>
        <v>0</v>
      </c>
      <c r="Z121" s="22">
        <f>IF(22&lt;=核心参数输入!$B$9*4,IF(AND(22-(核心参数输入!$B$148+核心参数输入!$B$124)&gt;=0,22-(核心参数输入!$B$148+核心参数输入!$B$124)&lt;=120),IF(COUNT(INDEX($D$20:$DT$20,1,MAX(1,MIN(121,22-(核心参数输入!$B$148+核心参数输入!$B$124)+1))))=1,INDEX($D$20:$DT$20,1,MAX(1,MIN(121,22-(核心参数输入!$B$148+核心参数输入!$B$124)+1))),Z120),0),0)</f>
        <v>0</v>
      </c>
      <c r="AA121" s="22">
        <f>IF(23&lt;=核心参数输入!$B$9*4,IF(AND(23-(核心参数输入!$B$148+核心参数输入!$B$124)&gt;=0,23-(核心参数输入!$B$148+核心参数输入!$B$124)&lt;=120),IF(COUNT(INDEX($D$20:$DT$20,1,MAX(1,MIN(121,23-(核心参数输入!$B$148+核心参数输入!$B$124)+1))))=1,INDEX($D$20:$DT$20,1,MAX(1,MIN(121,23-(核心参数输入!$B$148+核心参数输入!$B$124)+1))),AA120),0),0)</f>
        <v>0</v>
      </c>
      <c r="AB121" s="22">
        <f>IF(24&lt;=核心参数输入!$B$9*4,IF(AND(24-(核心参数输入!$B$148+核心参数输入!$B$124)&gt;=0,24-(核心参数输入!$B$148+核心参数输入!$B$124)&lt;=120),IF(COUNT(INDEX($D$20:$DT$20,1,MAX(1,MIN(121,24-(核心参数输入!$B$148+核心参数输入!$B$124)+1))))=1,INDEX($D$20:$DT$20,1,MAX(1,MIN(121,24-(核心参数输入!$B$148+核心参数输入!$B$124)+1))),AB120),0),0)</f>
        <v>0</v>
      </c>
      <c r="AC121" s="22">
        <f>IF(25&lt;=核心参数输入!$B$9*4,IF(AND(25-(核心参数输入!$B$148+核心参数输入!$B$124)&gt;=0,25-(核心参数输入!$B$148+核心参数输入!$B$124)&lt;=120),IF(COUNT(INDEX($D$20:$DT$20,1,MAX(1,MIN(121,25-(核心参数输入!$B$148+核心参数输入!$B$124)+1))))=1,INDEX($D$20:$DT$20,1,MAX(1,MIN(121,25-(核心参数输入!$B$148+核心参数输入!$B$124)+1))),AC120),0),0)</f>
        <v>0</v>
      </c>
      <c r="AD121" s="22">
        <f>IF(26&lt;=核心参数输入!$B$9*4,IF(AND(26-(核心参数输入!$B$148+核心参数输入!$B$124)&gt;=0,26-(核心参数输入!$B$148+核心参数输入!$B$124)&lt;=120),IF(COUNT(INDEX($D$20:$DT$20,1,MAX(1,MIN(121,26-(核心参数输入!$B$148+核心参数输入!$B$124)+1))))=1,INDEX($D$20:$DT$20,1,MAX(1,MIN(121,26-(核心参数输入!$B$148+核心参数输入!$B$124)+1))),AD120),0),0)</f>
        <v>0</v>
      </c>
      <c r="AE121" s="22">
        <f>IF(27&lt;=核心参数输入!$B$9*4,IF(AND(27-(核心参数输入!$B$148+核心参数输入!$B$124)&gt;=0,27-(核心参数输入!$B$148+核心参数输入!$B$124)&lt;=120),IF(COUNT(INDEX($D$20:$DT$20,1,MAX(1,MIN(121,27-(核心参数输入!$B$148+核心参数输入!$B$124)+1))))=1,INDEX($D$20:$DT$20,1,MAX(1,MIN(121,27-(核心参数输入!$B$148+核心参数输入!$B$124)+1))),AE120),0),0)</f>
        <v>0</v>
      </c>
      <c r="AF121" s="22">
        <f>IF(28&lt;=核心参数输入!$B$9*4,IF(AND(28-(核心参数输入!$B$148+核心参数输入!$B$124)&gt;=0,28-(核心参数输入!$B$148+核心参数输入!$B$124)&lt;=120),IF(COUNT(INDEX($D$20:$DT$20,1,MAX(1,MIN(121,28-(核心参数输入!$B$148+核心参数输入!$B$124)+1))))=1,INDEX($D$20:$DT$20,1,MAX(1,MIN(121,28-(核心参数输入!$B$148+核心参数输入!$B$124)+1))),AF120),0),0)</f>
        <v>0</v>
      </c>
      <c r="AG121" s="22">
        <f>IF(29&lt;=核心参数输入!$B$9*4,IF(AND(29-(核心参数输入!$B$148+核心参数输入!$B$124)&gt;=0,29-(核心参数输入!$B$148+核心参数输入!$B$124)&lt;=120),IF(COUNT(INDEX($D$20:$DT$20,1,MAX(1,MIN(121,29-(核心参数输入!$B$148+核心参数输入!$B$124)+1))))=1,INDEX($D$20:$DT$20,1,MAX(1,MIN(121,29-(核心参数输入!$B$148+核心参数输入!$B$124)+1))),AG120),0),0)</f>
        <v>0</v>
      </c>
      <c r="AH121" s="22">
        <f>IF(30&lt;=核心参数输入!$B$9*4,IF(AND(30-(核心参数输入!$B$148+核心参数输入!$B$124)&gt;=0,30-(核心参数输入!$B$148+核心参数输入!$B$124)&lt;=120),IF(COUNT(INDEX($D$20:$DT$20,1,MAX(1,MIN(121,30-(核心参数输入!$B$148+核心参数输入!$B$124)+1))))=1,INDEX($D$20:$DT$20,1,MAX(1,MIN(121,30-(核心参数输入!$B$148+核心参数输入!$B$124)+1))),AH120),0),0)</f>
        <v>0</v>
      </c>
      <c r="AI121" s="22">
        <f>IF(31&lt;=核心参数输入!$B$9*4,IF(AND(31-(核心参数输入!$B$148+核心参数输入!$B$124)&gt;=0,31-(核心参数输入!$B$148+核心参数输入!$B$124)&lt;=120),IF(COUNT(INDEX($D$20:$DT$20,1,MAX(1,MIN(121,31-(核心参数输入!$B$148+核心参数输入!$B$124)+1))))=1,INDEX($D$20:$DT$20,1,MAX(1,MIN(121,31-(核心参数输入!$B$148+核心参数输入!$B$124)+1))),AI120),0),0)</f>
        <v>0</v>
      </c>
      <c r="AJ121" s="22">
        <f>IF(32&lt;=核心参数输入!$B$9*4,IF(AND(32-(核心参数输入!$B$148+核心参数输入!$B$124)&gt;=0,32-(核心参数输入!$B$148+核心参数输入!$B$124)&lt;=120),IF(COUNT(INDEX($D$20:$DT$20,1,MAX(1,MIN(121,32-(核心参数输入!$B$148+核心参数输入!$B$124)+1))))=1,INDEX($D$20:$DT$20,1,MAX(1,MIN(121,32-(核心参数输入!$B$148+核心参数输入!$B$124)+1))),AJ120),0),0)</f>
        <v>0</v>
      </c>
      <c r="AK121" s="22">
        <f>IF(33&lt;=核心参数输入!$B$9*4,IF(AND(33-(核心参数输入!$B$148+核心参数输入!$B$124)&gt;=0,33-(核心参数输入!$B$148+核心参数输入!$B$124)&lt;=120),IF(COUNT(INDEX($D$20:$DT$20,1,MAX(1,MIN(121,33-(核心参数输入!$B$148+核心参数输入!$B$124)+1))))=1,INDEX($D$20:$DT$20,1,MAX(1,MIN(121,33-(核心参数输入!$B$148+核心参数输入!$B$124)+1))),AK120),0),0)</f>
        <v>0</v>
      </c>
      <c r="AL121" s="22">
        <f>IF(34&lt;=核心参数输入!$B$9*4,IF(AND(34-(核心参数输入!$B$148+核心参数输入!$B$124)&gt;=0,34-(核心参数输入!$B$148+核心参数输入!$B$124)&lt;=120),IF(COUNT(INDEX($D$20:$DT$20,1,MAX(1,MIN(121,34-(核心参数输入!$B$148+核心参数输入!$B$124)+1))))=1,INDEX($D$20:$DT$20,1,MAX(1,MIN(121,34-(核心参数输入!$B$148+核心参数输入!$B$124)+1))),AL120),0),0)</f>
        <v>0</v>
      </c>
      <c r="AM121" s="22">
        <f>IF(35&lt;=核心参数输入!$B$9*4,IF(AND(35-(核心参数输入!$B$148+核心参数输入!$B$124)&gt;=0,35-(核心参数输入!$B$148+核心参数输入!$B$124)&lt;=120),IF(COUNT(INDEX($D$20:$DT$20,1,MAX(1,MIN(121,35-(核心参数输入!$B$148+核心参数输入!$B$124)+1))))=1,INDEX($D$20:$DT$20,1,MAX(1,MIN(121,35-(核心参数输入!$B$148+核心参数输入!$B$124)+1))),AM120),0),0)</f>
        <v>0</v>
      </c>
      <c r="AN121" s="22">
        <f>IF(36&lt;=核心参数输入!$B$9*4,IF(AND(36-(核心参数输入!$B$148+核心参数输入!$B$124)&gt;=0,36-(核心参数输入!$B$148+核心参数输入!$B$124)&lt;=120),IF(COUNT(INDEX($D$20:$DT$20,1,MAX(1,MIN(121,36-(核心参数输入!$B$148+核心参数输入!$B$124)+1))))=1,INDEX($D$20:$DT$20,1,MAX(1,MIN(121,36-(核心参数输入!$B$148+核心参数输入!$B$124)+1))),AN120),0),0)</f>
        <v>0</v>
      </c>
      <c r="AO121" s="22">
        <f>IF(37&lt;=核心参数输入!$B$9*4,IF(AND(37-(核心参数输入!$B$148+核心参数输入!$B$124)&gt;=0,37-(核心参数输入!$B$148+核心参数输入!$B$124)&lt;=120),IF(COUNT(INDEX($D$20:$DT$20,1,MAX(1,MIN(121,37-(核心参数输入!$B$148+核心参数输入!$B$124)+1))))=1,INDEX($D$20:$DT$20,1,MAX(1,MIN(121,37-(核心参数输入!$B$148+核心参数输入!$B$124)+1))),AO120),0),0)</f>
        <v>0</v>
      </c>
      <c r="AP121" s="22">
        <f>IF(38&lt;=核心参数输入!$B$9*4,IF(AND(38-(核心参数输入!$B$148+核心参数输入!$B$124)&gt;=0,38-(核心参数输入!$B$148+核心参数输入!$B$124)&lt;=120),IF(COUNT(INDEX($D$20:$DT$20,1,MAX(1,MIN(121,38-(核心参数输入!$B$148+核心参数输入!$B$124)+1))))=1,INDEX($D$20:$DT$20,1,MAX(1,MIN(121,38-(核心参数输入!$B$148+核心参数输入!$B$124)+1))),AP120),0),0)</f>
        <v>0</v>
      </c>
      <c r="AQ121" s="22">
        <f>IF(39&lt;=核心参数输入!$B$9*4,IF(AND(39-(核心参数输入!$B$148+核心参数输入!$B$124)&gt;=0,39-(核心参数输入!$B$148+核心参数输入!$B$124)&lt;=120),IF(COUNT(INDEX($D$20:$DT$20,1,MAX(1,MIN(121,39-(核心参数输入!$B$148+核心参数输入!$B$124)+1))))=1,INDEX($D$20:$DT$20,1,MAX(1,MIN(121,39-(核心参数输入!$B$148+核心参数输入!$B$124)+1))),AQ120),0),0)</f>
        <v>0</v>
      </c>
      <c r="AR121" s="22">
        <f>IF(40&lt;=核心参数输入!$B$9*4,IF(AND(40-(核心参数输入!$B$148+核心参数输入!$B$124)&gt;=0,40-(核心参数输入!$B$148+核心参数输入!$B$124)&lt;=120),IF(COUNT(INDEX($D$20:$DT$20,1,MAX(1,MIN(121,40-(核心参数输入!$B$148+核心参数输入!$B$124)+1))))=1,INDEX($D$20:$DT$20,1,MAX(1,MIN(121,40-(核心参数输入!$B$148+核心参数输入!$B$124)+1))),AR120),0),0)</f>
        <v>0</v>
      </c>
      <c r="AS121" s="22">
        <f>IF(41&lt;=核心参数输入!$B$9*4,IF(AND(41-(核心参数输入!$B$148+核心参数输入!$B$124)&gt;=0,41-(核心参数输入!$B$148+核心参数输入!$B$124)&lt;=120),IF(COUNT(INDEX($D$20:$DT$20,1,MAX(1,MIN(121,41-(核心参数输入!$B$148+核心参数输入!$B$124)+1))))=1,INDEX($D$20:$DT$20,1,MAX(1,MIN(121,41-(核心参数输入!$B$148+核心参数输入!$B$124)+1))),AS120),0),0)</f>
        <v>0</v>
      </c>
      <c r="AT121" s="22">
        <f>IF(42&lt;=核心参数输入!$B$9*4,IF(AND(42-(核心参数输入!$B$148+核心参数输入!$B$124)&gt;=0,42-(核心参数输入!$B$148+核心参数输入!$B$124)&lt;=120),IF(COUNT(INDEX($D$20:$DT$20,1,MAX(1,MIN(121,42-(核心参数输入!$B$148+核心参数输入!$B$124)+1))))=1,INDEX($D$20:$DT$20,1,MAX(1,MIN(121,42-(核心参数输入!$B$148+核心参数输入!$B$124)+1))),AT120),0),0)</f>
        <v>0</v>
      </c>
      <c r="AU121" s="22">
        <f>IF(43&lt;=核心参数输入!$B$9*4,IF(AND(43-(核心参数输入!$B$148+核心参数输入!$B$124)&gt;=0,43-(核心参数输入!$B$148+核心参数输入!$B$124)&lt;=120),IF(COUNT(INDEX($D$20:$DT$20,1,MAX(1,MIN(121,43-(核心参数输入!$B$148+核心参数输入!$B$124)+1))))=1,INDEX($D$20:$DT$20,1,MAX(1,MIN(121,43-(核心参数输入!$B$148+核心参数输入!$B$124)+1))),AU120),0),0)</f>
        <v>0</v>
      </c>
      <c r="AV121" s="22">
        <f>IF(44&lt;=核心参数输入!$B$9*4,IF(AND(44-(核心参数输入!$B$148+核心参数输入!$B$124)&gt;=0,44-(核心参数输入!$B$148+核心参数输入!$B$124)&lt;=120),IF(COUNT(INDEX($D$20:$DT$20,1,MAX(1,MIN(121,44-(核心参数输入!$B$148+核心参数输入!$B$124)+1))))=1,INDEX($D$20:$DT$20,1,MAX(1,MIN(121,44-(核心参数输入!$B$148+核心参数输入!$B$124)+1))),AV120),0),0)</f>
        <v>0</v>
      </c>
      <c r="AW121" s="22">
        <f>IF(45&lt;=核心参数输入!$B$9*4,IF(AND(45-(核心参数输入!$B$148+核心参数输入!$B$124)&gt;=0,45-(核心参数输入!$B$148+核心参数输入!$B$124)&lt;=120),IF(COUNT(INDEX($D$20:$DT$20,1,MAX(1,MIN(121,45-(核心参数输入!$B$148+核心参数输入!$B$124)+1))))=1,INDEX($D$20:$DT$20,1,MAX(1,MIN(121,45-(核心参数输入!$B$148+核心参数输入!$B$124)+1))),AW120),0),0)</f>
        <v>0</v>
      </c>
      <c r="AX121" s="22">
        <f>IF(46&lt;=核心参数输入!$B$9*4,IF(AND(46-(核心参数输入!$B$148+核心参数输入!$B$124)&gt;=0,46-(核心参数输入!$B$148+核心参数输入!$B$124)&lt;=120),IF(COUNT(INDEX($D$20:$DT$20,1,MAX(1,MIN(121,46-(核心参数输入!$B$148+核心参数输入!$B$124)+1))))=1,INDEX($D$20:$DT$20,1,MAX(1,MIN(121,46-(核心参数输入!$B$148+核心参数输入!$B$124)+1))),AX120),0),0)</f>
        <v>0</v>
      </c>
      <c r="AY121" s="22">
        <f>IF(47&lt;=核心参数输入!$B$9*4,IF(AND(47-(核心参数输入!$B$148+核心参数输入!$B$124)&gt;=0,47-(核心参数输入!$B$148+核心参数输入!$B$124)&lt;=120),IF(COUNT(INDEX($D$20:$DT$20,1,MAX(1,MIN(121,47-(核心参数输入!$B$148+核心参数输入!$B$124)+1))))=1,INDEX($D$20:$DT$20,1,MAX(1,MIN(121,47-(核心参数输入!$B$148+核心参数输入!$B$124)+1))),AY120),0),0)</f>
        <v>0</v>
      </c>
      <c r="AZ121" s="22">
        <f>IF(48&lt;=核心参数输入!$B$9*4,IF(AND(48-(核心参数输入!$B$148+核心参数输入!$B$124)&gt;=0,48-(核心参数输入!$B$148+核心参数输入!$B$124)&lt;=120),IF(COUNT(INDEX($D$20:$DT$20,1,MAX(1,MIN(121,48-(核心参数输入!$B$148+核心参数输入!$B$124)+1))))=1,INDEX($D$20:$DT$20,1,MAX(1,MIN(121,48-(核心参数输入!$B$148+核心参数输入!$B$124)+1))),AZ120),0),0)</f>
        <v>0</v>
      </c>
      <c r="BA121" s="22">
        <f>IF(49&lt;=核心参数输入!$B$9*4,IF(AND(49-(核心参数输入!$B$148+核心参数输入!$B$124)&gt;=0,49-(核心参数输入!$B$148+核心参数输入!$B$124)&lt;=120),IF(COUNT(INDEX($D$20:$DT$20,1,MAX(1,MIN(121,49-(核心参数输入!$B$148+核心参数输入!$B$124)+1))))=1,INDEX($D$20:$DT$20,1,MAX(1,MIN(121,49-(核心参数输入!$B$148+核心参数输入!$B$124)+1))),BA120),0),0)</f>
        <v>0</v>
      </c>
      <c r="BB121" s="22">
        <f>IF(50&lt;=核心参数输入!$B$9*4,IF(AND(50-(核心参数输入!$B$148+核心参数输入!$B$124)&gt;=0,50-(核心参数输入!$B$148+核心参数输入!$B$124)&lt;=120),IF(COUNT(INDEX($D$20:$DT$20,1,MAX(1,MIN(121,50-(核心参数输入!$B$148+核心参数输入!$B$124)+1))))=1,INDEX($D$20:$DT$20,1,MAX(1,MIN(121,50-(核心参数输入!$B$148+核心参数输入!$B$124)+1))),BB120),0),0)</f>
        <v>0</v>
      </c>
      <c r="BC121" s="22">
        <f>IF(51&lt;=核心参数输入!$B$9*4,IF(AND(51-(核心参数输入!$B$148+核心参数输入!$B$124)&gt;=0,51-(核心参数输入!$B$148+核心参数输入!$B$124)&lt;=120),IF(COUNT(INDEX($D$20:$DT$20,1,MAX(1,MIN(121,51-(核心参数输入!$B$148+核心参数输入!$B$124)+1))))=1,INDEX($D$20:$DT$20,1,MAX(1,MIN(121,51-(核心参数输入!$B$148+核心参数输入!$B$124)+1))),BC120),0),0)</f>
        <v>0</v>
      </c>
      <c r="BD121" s="22">
        <f>IF(52&lt;=核心参数输入!$B$9*4,IF(AND(52-(核心参数输入!$B$148+核心参数输入!$B$124)&gt;=0,52-(核心参数输入!$B$148+核心参数输入!$B$124)&lt;=120),IF(COUNT(INDEX($D$20:$DT$20,1,MAX(1,MIN(121,52-(核心参数输入!$B$148+核心参数输入!$B$124)+1))))=1,INDEX($D$20:$DT$20,1,MAX(1,MIN(121,52-(核心参数输入!$B$148+核心参数输入!$B$124)+1))),BD120),0),0)</f>
        <v>0</v>
      </c>
      <c r="BE121" s="22">
        <f>IF(53&lt;=核心参数输入!$B$9*4,IF(AND(53-(核心参数输入!$B$148+核心参数输入!$B$124)&gt;=0,53-(核心参数输入!$B$148+核心参数输入!$B$124)&lt;=120),IF(COUNT(INDEX($D$20:$DT$20,1,MAX(1,MIN(121,53-(核心参数输入!$B$148+核心参数输入!$B$124)+1))))=1,INDEX($D$20:$DT$20,1,MAX(1,MIN(121,53-(核心参数输入!$B$148+核心参数输入!$B$124)+1))),BE120),0),0)</f>
        <v>0</v>
      </c>
      <c r="BF121" s="22">
        <f>IF(54&lt;=核心参数输入!$B$9*4,IF(AND(54-(核心参数输入!$B$148+核心参数输入!$B$124)&gt;=0,54-(核心参数输入!$B$148+核心参数输入!$B$124)&lt;=120),IF(COUNT(INDEX($D$20:$DT$20,1,MAX(1,MIN(121,54-(核心参数输入!$B$148+核心参数输入!$B$124)+1))))=1,INDEX($D$20:$DT$20,1,MAX(1,MIN(121,54-(核心参数输入!$B$148+核心参数输入!$B$124)+1))),BF120),0),0)</f>
        <v>0</v>
      </c>
      <c r="BG121" s="22">
        <f>IF(55&lt;=核心参数输入!$B$9*4,IF(AND(55-(核心参数输入!$B$148+核心参数输入!$B$124)&gt;=0,55-(核心参数输入!$B$148+核心参数输入!$B$124)&lt;=120),IF(COUNT(INDEX($D$20:$DT$20,1,MAX(1,MIN(121,55-(核心参数输入!$B$148+核心参数输入!$B$124)+1))))=1,INDEX($D$20:$DT$20,1,MAX(1,MIN(121,55-(核心参数输入!$B$148+核心参数输入!$B$124)+1))),BG120),0),0)</f>
        <v>0</v>
      </c>
      <c r="BH121" s="22">
        <f>IF(56&lt;=核心参数输入!$B$9*4,IF(AND(56-(核心参数输入!$B$148+核心参数输入!$B$124)&gt;=0,56-(核心参数输入!$B$148+核心参数输入!$B$124)&lt;=120),IF(COUNT(INDEX($D$20:$DT$20,1,MAX(1,MIN(121,56-(核心参数输入!$B$148+核心参数输入!$B$124)+1))))=1,INDEX($D$20:$DT$20,1,MAX(1,MIN(121,56-(核心参数输入!$B$148+核心参数输入!$B$124)+1))),BH120),0),0)</f>
        <v>0</v>
      </c>
      <c r="BI121" s="22">
        <f>IF(57&lt;=核心参数输入!$B$9*4,IF(AND(57-(核心参数输入!$B$148+核心参数输入!$B$124)&gt;=0,57-(核心参数输入!$B$148+核心参数输入!$B$124)&lt;=120),IF(COUNT(INDEX($D$20:$DT$20,1,MAX(1,MIN(121,57-(核心参数输入!$B$148+核心参数输入!$B$124)+1))))=1,INDEX($D$20:$DT$20,1,MAX(1,MIN(121,57-(核心参数输入!$B$148+核心参数输入!$B$124)+1))),BI120),0),0)</f>
        <v>0</v>
      </c>
      <c r="BJ121" s="22">
        <f>IF(58&lt;=核心参数输入!$B$9*4,IF(AND(58-(核心参数输入!$B$148+核心参数输入!$B$124)&gt;=0,58-(核心参数输入!$B$148+核心参数输入!$B$124)&lt;=120),IF(COUNT(INDEX($D$20:$DT$20,1,MAX(1,MIN(121,58-(核心参数输入!$B$148+核心参数输入!$B$124)+1))))=1,INDEX($D$20:$DT$20,1,MAX(1,MIN(121,58-(核心参数输入!$B$148+核心参数输入!$B$124)+1))),BJ120),0),0)</f>
        <v>0</v>
      </c>
      <c r="BK121" s="22">
        <f>IF(59&lt;=核心参数输入!$B$9*4,IF(AND(59-(核心参数输入!$B$148+核心参数输入!$B$124)&gt;=0,59-(核心参数输入!$B$148+核心参数输入!$B$124)&lt;=120),IF(COUNT(INDEX($D$20:$DT$20,1,MAX(1,MIN(121,59-(核心参数输入!$B$148+核心参数输入!$B$124)+1))))=1,INDEX($D$20:$DT$20,1,MAX(1,MIN(121,59-(核心参数输入!$B$148+核心参数输入!$B$124)+1))),BK120),0),0)</f>
        <v>0</v>
      </c>
      <c r="BL121" s="22">
        <f>IF(60&lt;=核心参数输入!$B$9*4,IF(AND(60-(核心参数输入!$B$148+核心参数输入!$B$124)&gt;=0,60-(核心参数输入!$B$148+核心参数输入!$B$124)&lt;=120),IF(COUNT(INDEX($D$20:$DT$20,1,MAX(1,MIN(121,60-(核心参数输入!$B$148+核心参数输入!$B$124)+1))))=1,INDEX($D$20:$DT$20,1,MAX(1,MIN(121,60-(核心参数输入!$B$148+核心参数输入!$B$124)+1))),BL120),0),0)</f>
        <v>0</v>
      </c>
      <c r="BM121" s="22">
        <f>IF(61&lt;=核心参数输入!$B$9*4,IF(AND(61-(核心参数输入!$B$148+核心参数输入!$B$124)&gt;=0,61-(核心参数输入!$B$148+核心参数输入!$B$124)&lt;=120),IF(COUNT(INDEX($D$20:$DT$20,1,MAX(1,MIN(121,61-(核心参数输入!$B$148+核心参数输入!$B$124)+1))))=1,INDEX($D$20:$DT$20,1,MAX(1,MIN(121,61-(核心参数输入!$B$148+核心参数输入!$B$124)+1))),BM120),0),0)</f>
        <v>0</v>
      </c>
      <c r="BN121" s="22">
        <f>IF(62&lt;=核心参数输入!$B$9*4,IF(AND(62-(核心参数输入!$B$148+核心参数输入!$B$124)&gt;=0,62-(核心参数输入!$B$148+核心参数输入!$B$124)&lt;=120),IF(COUNT(INDEX($D$20:$DT$20,1,MAX(1,MIN(121,62-(核心参数输入!$B$148+核心参数输入!$B$124)+1))))=1,INDEX($D$20:$DT$20,1,MAX(1,MIN(121,62-(核心参数输入!$B$148+核心参数输入!$B$124)+1))),BN120),0),0)</f>
        <v>0</v>
      </c>
      <c r="BO121" s="22">
        <f>IF(63&lt;=核心参数输入!$B$9*4,IF(AND(63-(核心参数输入!$B$148+核心参数输入!$B$124)&gt;=0,63-(核心参数输入!$B$148+核心参数输入!$B$124)&lt;=120),IF(COUNT(INDEX($D$20:$DT$20,1,MAX(1,MIN(121,63-(核心参数输入!$B$148+核心参数输入!$B$124)+1))))=1,INDEX($D$20:$DT$20,1,MAX(1,MIN(121,63-(核心参数输入!$B$148+核心参数输入!$B$124)+1))),BO120),0),0)</f>
        <v>0</v>
      </c>
      <c r="BP121" s="22">
        <f>IF(64&lt;=核心参数输入!$B$9*4,IF(AND(64-(核心参数输入!$B$148+核心参数输入!$B$124)&gt;=0,64-(核心参数输入!$B$148+核心参数输入!$B$124)&lt;=120),IF(COUNT(INDEX($D$20:$DT$20,1,MAX(1,MIN(121,64-(核心参数输入!$B$148+核心参数输入!$B$124)+1))))=1,INDEX($D$20:$DT$20,1,MAX(1,MIN(121,64-(核心参数输入!$B$148+核心参数输入!$B$124)+1))),BP120),0),0)</f>
        <v>0</v>
      </c>
      <c r="BQ121" s="22">
        <f>IF(65&lt;=核心参数输入!$B$9*4,IF(AND(65-(核心参数输入!$B$148+核心参数输入!$B$124)&gt;=0,65-(核心参数输入!$B$148+核心参数输入!$B$124)&lt;=120),IF(COUNT(INDEX($D$20:$DT$20,1,MAX(1,MIN(121,65-(核心参数输入!$B$148+核心参数输入!$B$124)+1))))=1,INDEX($D$20:$DT$20,1,MAX(1,MIN(121,65-(核心参数输入!$B$148+核心参数输入!$B$124)+1))),BQ120),0),0)</f>
        <v>0</v>
      </c>
      <c r="BR121" s="22">
        <f>IF(66&lt;=核心参数输入!$B$9*4,IF(AND(66-(核心参数输入!$B$148+核心参数输入!$B$124)&gt;=0,66-(核心参数输入!$B$148+核心参数输入!$B$124)&lt;=120),IF(COUNT(INDEX($D$20:$DT$20,1,MAX(1,MIN(121,66-(核心参数输入!$B$148+核心参数输入!$B$124)+1))))=1,INDEX($D$20:$DT$20,1,MAX(1,MIN(121,66-(核心参数输入!$B$148+核心参数输入!$B$124)+1))),BR120),0),0)</f>
        <v>0</v>
      </c>
      <c r="BS121" s="22">
        <f>IF(67&lt;=核心参数输入!$B$9*4,IF(AND(67-(核心参数输入!$B$148+核心参数输入!$B$124)&gt;=0,67-(核心参数输入!$B$148+核心参数输入!$B$124)&lt;=120),IF(COUNT(INDEX($D$20:$DT$20,1,MAX(1,MIN(121,67-(核心参数输入!$B$148+核心参数输入!$B$124)+1))))=1,INDEX($D$20:$DT$20,1,MAX(1,MIN(121,67-(核心参数输入!$B$148+核心参数输入!$B$124)+1))),BS120),0),0)</f>
        <v>0</v>
      </c>
      <c r="BT121" s="22">
        <f>IF(68&lt;=核心参数输入!$B$9*4,IF(AND(68-(核心参数输入!$B$148+核心参数输入!$B$124)&gt;=0,68-(核心参数输入!$B$148+核心参数输入!$B$124)&lt;=120),IF(COUNT(INDEX($D$20:$DT$20,1,MAX(1,MIN(121,68-(核心参数输入!$B$148+核心参数输入!$B$124)+1))))=1,INDEX($D$20:$DT$20,1,MAX(1,MIN(121,68-(核心参数输入!$B$148+核心参数输入!$B$124)+1))),BT120),0),0)</f>
        <v>0</v>
      </c>
      <c r="BU121" s="22">
        <f>IF(69&lt;=核心参数输入!$B$9*4,IF(AND(69-(核心参数输入!$B$148+核心参数输入!$B$124)&gt;=0,69-(核心参数输入!$B$148+核心参数输入!$B$124)&lt;=120),IF(COUNT(INDEX($D$20:$DT$20,1,MAX(1,MIN(121,69-(核心参数输入!$B$148+核心参数输入!$B$124)+1))))=1,INDEX($D$20:$DT$20,1,MAX(1,MIN(121,69-(核心参数输入!$B$148+核心参数输入!$B$124)+1))),BU120),0),0)</f>
        <v>0</v>
      </c>
      <c r="BV121" s="22">
        <f>IF(70&lt;=核心参数输入!$B$9*4,IF(AND(70-(核心参数输入!$B$148+核心参数输入!$B$124)&gt;=0,70-(核心参数输入!$B$148+核心参数输入!$B$124)&lt;=120),IF(COUNT(INDEX($D$20:$DT$20,1,MAX(1,MIN(121,70-(核心参数输入!$B$148+核心参数输入!$B$124)+1))))=1,INDEX($D$20:$DT$20,1,MAX(1,MIN(121,70-(核心参数输入!$B$148+核心参数输入!$B$124)+1))),BV120),0),0)</f>
        <v>0</v>
      </c>
      <c r="BW121" s="22">
        <f>IF(71&lt;=核心参数输入!$B$9*4,IF(AND(71-(核心参数输入!$B$148+核心参数输入!$B$124)&gt;=0,71-(核心参数输入!$B$148+核心参数输入!$B$124)&lt;=120),IF(COUNT(INDEX($D$20:$DT$20,1,MAX(1,MIN(121,71-(核心参数输入!$B$148+核心参数输入!$B$124)+1))))=1,INDEX($D$20:$DT$20,1,MAX(1,MIN(121,71-(核心参数输入!$B$148+核心参数输入!$B$124)+1))),BW120),0),0)</f>
        <v>0</v>
      </c>
      <c r="BX121" s="22">
        <f>IF(72&lt;=核心参数输入!$B$9*4,IF(AND(72-(核心参数输入!$B$148+核心参数输入!$B$124)&gt;=0,72-(核心参数输入!$B$148+核心参数输入!$B$124)&lt;=120),IF(COUNT(INDEX($D$20:$DT$20,1,MAX(1,MIN(121,72-(核心参数输入!$B$148+核心参数输入!$B$124)+1))))=1,INDEX($D$20:$DT$20,1,MAX(1,MIN(121,72-(核心参数输入!$B$148+核心参数输入!$B$124)+1))),BX120),0),0)</f>
        <v>0</v>
      </c>
      <c r="BY121" s="22">
        <f>IF(73&lt;=核心参数输入!$B$9*4,IF(AND(73-(核心参数输入!$B$148+核心参数输入!$B$124)&gt;=0,73-(核心参数输入!$B$148+核心参数输入!$B$124)&lt;=120),IF(COUNT(INDEX($D$20:$DT$20,1,MAX(1,MIN(121,73-(核心参数输入!$B$148+核心参数输入!$B$124)+1))))=1,INDEX($D$20:$DT$20,1,MAX(1,MIN(121,73-(核心参数输入!$B$148+核心参数输入!$B$124)+1))),BY120),0),0)</f>
        <v>0</v>
      </c>
      <c r="BZ121" s="22">
        <f>IF(74&lt;=核心参数输入!$B$9*4,IF(AND(74-(核心参数输入!$B$148+核心参数输入!$B$124)&gt;=0,74-(核心参数输入!$B$148+核心参数输入!$B$124)&lt;=120),IF(COUNT(INDEX($D$20:$DT$20,1,MAX(1,MIN(121,74-(核心参数输入!$B$148+核心参数输入!$B$124)+1))))=1,INDEX($D$20:$DT$20,1,MAX(1,MIN(121,74-(核心参数输入!$B$148+核心参数输入!$B$124)+1))),BZ120),0),0)</f>
        <v>0</v>
      </c>
      <c r="CA121" s="22">
        <f>IF(75&lt;=核心参数输入!$B$9*4,IF(AND(75-(核心参数输入!$B$148+核心参数输入!$B$124)&gt;=0,75-(核心参数输入!$B$148+核心参数输入!$B$124)&lt;=120),IF(COUNT(INDEX($D$20:$DT$20,1,MAX(1,MIN(121,75-(核心参数输入!$B$148+核心参数输入!$B$124)+1))))=1,INDEX($D$20:$DT$20,1,MAX(1,MIN(121,75-(核心参数输入!$B$148+核心参数输入!$B$124)+1))),CA120),0),0)</f>
        <v>0</v>
      </c>
      <c r="CB121" s="22">
        <f>IF(76&lt;=核心参数输入!$B$9*4,IF(AND(76-(核心参数输入!$B$148+核心参数输入!$B$124)&gt;=0,76-(核心参数输入!$B$148+核心参数输入!$B$124)&lt;=120),IF(COUNT(INDEX($D$20:$DT$20,1,MAX(1,MIN(121,76-(核心参数输入!$B$148+核心参数输入!$B$124)+1))))=1,INDEX($D$20:$DT$20,1,MAX(1,MIN(121,76-(核心参数输入!$B$148+核心参数输入!$B$124)+1))),CB120),0),0)</f>
        <v>0</v>
      </c>
      <c r="CC121" s="22">
        <f>IF(77&lt;=核心参数输入!$B$9*4,IF(AND(77-(核心参数输入!$B$148+核心参数输入!$B$124)&gt;=0,77-(核心参数输入!$B$148+核心参数输入!$B$124)&lt;=120),IF(COUNT(INDEX($D$20:$DT$20,1,MAX(1,MIN(121,77-(核心参数输入!$B$148+核心参数输入!$B$124)+1))))=1,INDEX($D$20:$DT$20,1,MAX(1,MIN(121,77-(核心参数输入!$B$148+核心参数输入!$B$124)+1))),CC120),0),0)</f>
        <v>0</v>
      </c>
      <c r="CD121" s="22">
        <f>IF(78&lt;=核心参数输入!$B$9*4,IF(AND(78-(核心参数输入!$B$148+核心参数输入!$B$124)&gt;=0,78-(核心参数输入!$B$148+核心参数输入!$B$124)&lt;=120),IF(COUNT(INDEX($D$20:$DT$20,1,MAX(1,MIN(121,78-(核心参数输入!$B$148+核心参数输入!$B$124)+1))))=1,INDEX($D$20:$DT$20,1,MAX(1,MIN(121,78-(核心参数输入!$B$148+核心参数输入!$B$124)+1))),CD120),0),0)</f>
        <v>0</v>
      </c>
      <c r="CE121" s="22">
        <f>IF(79&lt;=核心参数输入!$B$9*4,IF(AND(79-(核心参数输入!$B$148+核心参数输入!$B$124)&gt;=0,79-(核心参数输入!$B$148+核心参数输入!$B$124)&lt;=120),IF(COUNT(INDEX($D$20:$DT$20,1,MAX(1,MIN(121,79-(核心参数输入!$B$148+核心参数输入!$B$124)+1))))=1,INDEX($D$20:$DT$20,1,MAX(1,MIN(121,79-(核心参数输入!$B$148+核心参数输入!$B$124)+1))),CE120),0),0)</f>
        <v>0</v>
      </c>
      <c r="CF121" s="22">
        <f>IF(80&lt;=核心参数输入!$B$9*4,IF(AND(80-(核心参数输入!$B$148+核心参数输入!$B$124)&gt;=0,80-(核心参数输入!$B$148+核心参数输入!$B$124)&lt;=120),IF(COUNT(INDEX($D$20:$DT$20,1,MAX(1,MIN(121,80-(核心参数输入!$B$148+核心参数输入!$B$124)+1))))=1,INDEX($D$20:$DT$20,1,MAX(1,MIN(121,80-(核心参数输入!$B$148+核心参数输入!$B$124)+1))),CF120),0),0)</f>
        <v>0</v>
      </c>
      <c r="CG121" s="22">
        <f>IF(81&lt;=核心参数输入!$B$9*4,IF(AND(81-(核心参数输入!$B$148+核心参数输入!$B$124)&gt;=0,81-(核心参数输入!$B$148+核心参数输入!$B$124)&lt;=120),IF(COUNT(INDEX($D$20:$DT$20,1,MAX(1,MIN(121,81-(核心参数输入!$B$148+核心参数输入!$B$124)+1))))=1,INDEX($D$20:$DT$20,1,MAX(1,MIN(121,81-(核心参数输入!$B$148+核心参数输入!$B$124)+1))),CG120),0),0)</f>
        <v>0</v>
      </c>
      <c r="CH121" s="22">
        <f>IF(82&lt;=核心参数输入!$B$9*4,IF(AND(82-(核心参数输入!$B$148+核心参数输入!$B$124)&gt;=0,82-(核心参数输入!$B$148+核心参数输入!$B$124)&lt;=120),IF(COUNT(INDEX($D$20:$DT$20,1,MAX(1,MIN(121,82-(核心参数输入!$B$148+核心参数输入!$B$124)+1))))=1,INDEX($D$20:$DT$20,1,MAX(1,MIN(121,82-(核心参数输入!$B$148+核心参数输入!$B$124)+1))),CH120),0),0)</f>
        <v>0</v>
      </c>
      <c r="CI121" s="22">
        <f>IF(83&lt;=核心参数输入!$B$9*4,IF(AND(83-(核心参数输入!$B$148+核心参数输入!$B$124)&gt;=0,83-(核心参数输入!$B$148+核心参数输入!$B$124)&lt;=120),IF(COUNT(INDEX($D$20:$DT$20,1,MAX(1,MIN(121,83-(核心参数输入!$B$148+核心参数输入!$B$124)+1))))=1,INDEX($D$20:$DT$20,1,MAX(1,MIN(121,83-(核心参数输入!$B$148+核心参数输入!$B$124)+1))),CI120),0),0)</f>
        <v>0</v>
      </c>
      <c r="CJ121" s="22">
        <f>IF(84&lt;=核心参数输入!$B$9*4,IF(AND(84-(核心参数输入!$B$148+核心参数输入!$B$124)&gt;=0,84-(核心参数输入!$B$148+核心参数输入!$B$124)&lt;=120),IF(COUNT(INDEX($D$20:$DT$20,1,MAX(1,MIN(121,84-(核心参数输入!$B$148+核心参数输入!$B$124)+1))))=1,INDEX($D$20:$DT$20,1,MAX(1,MIN(121,84-(核心参数输入!$B$148+核心参数输入!$B$124)+1))),CJ120),0),0)</f>
        <v>0</v>
      </c>
      <c r="CK121" s="22">
        <f>IF(85&lt;=核心参数输入!$B$9*4,IF(AND(85-(核心参数输入!$B$148+核心参数输入!$B$124)&gt;=0,85-(核心参数输入!$B$148+核心参数输入!$B$124)&lt;=120),IF(COUNT(INDEX($D$20:$DT$20,1,MAX(1,MIN(121,85-(核心参数输入!$B$148+核心参数输入!$B$124)+1))))=1,INDEX($D$20:$DT$20,1,MAX(1,MIN(121,85-(核心参数输入!$B$148+核心参数输入!$B$124)+1))),CK120),0),0)</f>
        <v>0</v>
      </c>
      <c r="CL121" s="22">
        <f>IF(86&lt;=核心参数输入!$B$9*4,IF(AND(86-(核心参数输入!$B$148+核心参数输入!$B$124)&gt;=0,86-(核心参数输入!$B$148+核心参数输入!$B$124)&lt;=120),IF(COUNT(INDEX($D$20:$DT$20,1,MAX(1,MIN(121,86-(核心参数输入!$B$148+核心参数输入!$B$124)+1))))=1,INDEX($D$20:$DT$20,1,MAX(1,MIN(121,86-(核心参数输入!$B$148+核心参数输入!$B$124)+1))),CL120),0),0)</f>
        <v>0</v>
      </c>
      <c r="CM121" s="22">
        <f>IF(87&lt;=核心参数输入!$B$9*4,IF(AND(87-(核心参数输入!$B$148+核心参数输入!$B$124)&gt;=0,87-(核心参数输入!$B$148+核心参数输入!$B$124)&lt;=120),IF(COUNT(INDEX($D$20:$DT$20,1,MAX(1,MIN(121,87-(核心参数输入!$B$148+核心参数输入!$B$124)+1))))=1,INDEX($D$20:$DT$20,1,MAX(1,MIN(121,87-(核心参数输入!$B$148+核心参数输入!$B$124)+1))),CM120),0),0)</f>
        <v>0</v>
      </c>
      <c r="CN121" s="22">
        <f>IF(88&lt;=核心参数输入!$B$9*4,IF(AND(88-(核心参数输入!$B$148+核心参数输入!$B$124)&gt;=0,88-(核心参数输入!$B$148+核心参数输入!$B$124)&lt;=120),IF(COUNT(INDEX($D$20:$DT$20,1,MAX(1,MIN(121,88-(核心参数输入!$B$148+核心参数输入!$B$124)+1))))=1,INDEX($D$20:$DT$20,1,MAX(1,MIN(121,88-(核心参数输入!$B$148+核心参数输入!$B$124)+1))),CN120),0),0)</f>
        <v>0</v>
      </c>
      <c r="CO121" s="22">
        <f>IF(89&lt;=核心参数输入!$B$9*4,IF(AND(89-(核心参数输入!$B$148+核心参数输入!$B$124)&gt;=0,89-(核心参数输入!$B$148+核心参数输入!$B$124)&lt;=120),IF(COUNT(INDEX($D$20:$DT$20,1,MAX(1,MIN(121,89-(核心参数输入!$B$148+核心参数输入!$B$124)+1))))=1,INDEX($D$20:$DT$20,1,MAX(1,MIN(121,89-(核心参数输入!$B$148+核心参数输入!$B$124)+1))),CO120),0),0)</f>
        <v>0</v>
      </c>
      <c r="CP121" s="22">
        <f>IF(90&lt;=核心参数输入!$B$9*4,IF(AND(90-(核心参数输入!$B$148+核心参数输入!$B$124)&gt;=0,90-(核心参数输入!$B$148+核心参数输入!$B$124)&lt;=120),IF(COUNT(INDEX($D$20:$DT$20,1,MAX(1,MIN(121,90-(核心参数输入!$B$148+核心参数输入!$B$124)+1))))=1,INDEX($D$20:$DT$20,1,MAX(1,MIN(121,90-(核心参数输入!$B$148+核心参数输入!$B$124)+1))),CP120),0),0)</f>
        <v>0</v>
      </c>
      <c r="CQ121" s="22">
        <f>IF(91&lt;=核心参数输入!$B$9*4,IF(AND(91-(核心参数输入!$B$148+核心参数输入!$B$124)&gt;=0,91-(核心参数输入!$B$148+核心参数输入!$B$124)&lt;=120),IF(COUNT(INDEX($D$20:$DT$20,1,MAX(1,MIN(121,91-(核心参数输入!$B$148+核心参数输入!$B$124)+1))))=1,INDEX($D$20:$DT$20,1,MAX(1,MIN(121,91-(核心参数输入!$B$148+核心参数输入!$B$124)+1))),CQ120),0),0)</f>
        <v>0</v>
      </c>
      <c r="CR121" s="22">
        <f>IF(92&lt;=核心参数输入!$B$9*4,IF(AND(92-(核心参数输入!$B$148+核心参数输入!$B$124)&gt;=0,92-(核心参数输入!$B$148+核心参数输入!$B$124)&lt;=120),IF(COUNT(INDEX($D$20:$DT$20,1,MAX(1,MIN(121,92-(核心参数输入!$B$148+核心参数输入!$B$124)+1))))=1,INDEX($D$20:$DT$20,1,MAX(1,MIN(121,92-(核心参数输入!$B$148+核心参数输入!$B$124)+1))),CR120),0),0)</f>
        <v>0</v>
      </c>
      <c r="CS121" s="22">
        <f>IF(93&lt;=核心参数输入!$B$9*4,IF(AND(93-(核心参数输入!$B$148+核心参数输入!$B$124)&gt;=0,93-(核心参数输入!$B$148+核心参数输入!$B$124)&lt;=120),IF(COUNT(INDEX($D$20:$DT$20,1,MAX(1,MIN(121,93-(核心参数输入!$B$148+核心参数输入!$B$124)+1))))=1,INDEX($D$20:$DT$20,1,MAX(1,MIN(121,93-(核心参数输入!$B$148+核心参数输入!$B$124)+1))),CS120),0),0)</f>
        <v>0</v>
      </c>
      <c r="CT121" s="22">
        <f>IF(94&lt;=核心参数输入!$B$9*4,IF(AND(94-(核心参数输入!$B$148+核心参数输入!$B$124)&gt;=0,94-(核心参数输入!$B$148+核心参数输入!$B$124)&lt;=120),IF(COUNT(INDEX($D$20:$DT$20,1,MAX(1,MIN(121,94-(核心参数输入!$B$148+核心参数输入!$B$124)+1))))=1,INDEX($D$20:$DT$20,1,MAX(1,MIN(121,94-(核心参数输入!$B$148+核心参数输入!$B$124)+1))),CT120),0),0)</f>
        <v>0</v>
      </c>
      <c r="CU121" s="22">
        <f>IF(95&lt;=核心参数输入!$B$9*4,IF(AND(95-(核心参数输入!$B$148+核心参数输入!$B$124)&gt;=0,95-(核心参数输入!$B$148+核心参数输入!$B$124)&lt;=120),IF(COUNT(INDEX($D$20:$DT$20,1,MAX(1,MIN(121,95-(核心参数输入!$B$148+核心参数输入!$B$124)+1))))=1,INDEX($D$20:$DT$20,1,MAX(1,MIN(121,95-(核心参数输入!$B$148+核心参数输入!$B$124)+1))),CU120),0),0)</f>
        <v>0</v>
      </c>
      <c r="CV121" s="22">
        <f>IF(96&lt;=核心参数输入!$B$9*4,IF(AND(96-(核心参数输入!$B$148+核心参数输入!$B$124)&gt;=0,96-(核心参数输入!$B$148+核心参数输入!$B$124)&lt;=120),IF(COUNT(INDEX($D$20:$DT$20,1,MAX(1,MIN(121,96-(核心参数输入!$B$148+核心参数输入!$B$124)+1))))=1,INDEX($D$20:$DT$20,1,MAX(1,MIN(121,96-(核心参数输入!$B$148+核心参数输入!$B$124)+1))),CV120),0),0)</f>
        <v>0</v>
      </c>
      <c r="CW121" s="22">
        <f>IF(97&lt;=核心参数输入!$B$9*4,IF(AND(97-(核心参数输入!$B$148+核心参数输入!$B$124)&gt;=0,97-(核心参数输入!$B$148+核心参数输入!$B$124)&lt;=120),IF(COUNT(INDEX($D$20:$DT$20,1,MAX(1,MIN(121,97-(核心参数输入!$B$148+核心参数输入!$B$124)+1))))=1,INDEX($D$20:$DT$20,1,MAX(1,MIN(121,97-(核心参数输入!$B$148+核心参数输入!$B$124)+1))),CW120),0),0)</f>
        <v>0</v>
      </c>
      <c r="CX121" s="22">
        <f>IF(98&lt;=核心参数输入!$B$9*4,IF(AND(98-(核心参数输入!$B$148+核心参数输入!$B$124)&gt;=0,98-(核心参数输入!$B$148+核心参数输入!$B$124)&lt;=120),IF(COUNT(INDEX($D$20:$DT$20,1,MAX(1,MIN(121,98-(核心参数输入!$B$148+核心参数输入!$B$124)+1))))=1,INDEX($D$20:$DT$20,1,MAX(1,MIN(121,98-(核心参数输入!$B$148+核心参数输入!$B$124)+1))),CX120),0),0)</f>
        <v>0</v>
      </c>
      <c r="CY121" s="22">
        <f>IF(99&lt;=核心参数输入!$B$9*4,IF(AND(99-(核心参数输入!$B$148+核心参数输入!$B$124)&gt;=0,99-(核心参数输入!$B$148+核心参数输入!$B$124)&lt;=120),IF(COUNT(INDEX($D$20:$DT$20,1,MAX(1,MIN(121,99-(核心参数输入!$B$148+核心参数输入!$B$124)+1))))=1,INDEX($D$20:$DT$20,1,MAX(1,MIN(121,99-(核心参数输入!$B$148+核心参数输入!$B$124)+1))),CY120),0),0)</f>
        <v>0</v>
      </c>
      <c r="CZ121" s="22">
        <f>IF(100&lt;=核心参数输入!$B$9*4,IF(AND(100-(核心参数输入!$B$148+核心参数输入!$B$124)&gt;=0,100-(核心参数输入!$B$148+核心参数输入!$B$124)&lt;=120),IF(COUNT(INDEX($D$20:$DT$20,1,MAX(1,MIN(121,100-(核心参数输入!$B$148+核心参数输入!$B$124)+1))))=1,INDEX($D$20:$DT$20,1,MAX(1,MIN(121,100-(核心参数输入!$B$148+核心参数输入!$B$124)+1))),CZ120),0),0)</f>
        <v>0</v>
      </c>
      <c r="DA121" s="22">
        <f>IF(101&lt;=核心参数输入!$B$9*4,IF(AND(101-(核心参数输入!$B$148+核心参数输入!$B$124)&gt;=0,101-(核心参数输入!$B$148+核心参数输入!$B$124)&lt;=120),IF(COUNT(INDEX($D$20:$DT$20,1,MAX(1,MIN(121,101-(核心参数输入!$B$148+核心参数输入!$B$124)+1))))=1,INDEX($D$20:$DT$20,1,MAX(1,MIN(121,101-(核心参数输入!$B$148+核心参数输入!$B$124)+1))),DA120),0),0)</f>
        <v>0</v>
      </c>
      <c r="DB121" s="22">
        <f>IF(102&lt;=核心参数输入!$B$9*4,IF(AND(102-(核心参数输入!$B$148+核心参数输入!$B$124)&gt;=0,102-(核心参数输入!$B$148+核心参数输入!$B$124)&lt;=120),IF(COUNT(INDEX($D$20:$DT$20,1,MAX(1,MIN(121,102-(核心参数输入!$B$148+核心参数输入!$B$124)+1))))=1,INDEX($D$20:$DT$20,1,MAX(1,MIN(121,102-(核心参数输入!$B$148+核心参数输入!$B$124)+1))),DB120),0),0)</f>
        <v>0</v>
      </c>
      <c r="DC121" s="22">
        <f>IF(103&lt;=核心参数输入!$B$9*4,IF(AND(103-(核心参数输入!$B$148+核心参数输入!$B$124)&gt;=0,103-(核心参数输入!$B$148+核心参数输入!$B$124)&lt;=120),IF(COUNT(INDEX($D$20:$DT$20,1,MAX(1,MIN(121,103-(核心参数输入!$B$148+核心参数输入!$B$124)+1))))=1,INDEX($D$20:$DT$20,1,MAX(1,MIN(121,103-(核心参数输入!$B$148+核心参数输入!$B$124)+1))),DC120),0),0)</f>
        <v>0</v>
      </c>
      <c r="DD121" s="22">
        <f>IF(104&lt;=核心参数输入!$B$9*4,IF(AND(104-(核心参数输入!$B$148+核心参数输入!$B$124)&gt;=0,104-(核心参数输入!$B$148+核心参数输入!$B$124)&lt;=120),IF(COUNT(INDEX($D$20:$DT$20,1,MAX(1,MIN(121,104-(核心参数输入!$B$148+核心参数输入!$B$124)+1))))=1,INDEX($D$20:$DT$20,1,MAX(1,MIN(121,104-(核心参数输入!$B$148+核心参数输入!$B$124)+1))),DD120),0),0)</f>
        <v>0</v>
      </c>
      <c r="DE121" s="22">
        <f>IF(105&lt;=核心参数输入!$B$9*4,IF(AND(105-(核心参数输入!$B$148+核心参数输入!$B$124)&gt;=0,105-(核心参数输入!$B$148+核心参数输入!$B$124)&lt;=120),IF(COUNT(INDEX($D$20:$DT$20,1,MAX(1,MIN(121,105-(核心参数输入!$B$148+核心参数输入!$B$124)+1))))=1,INDEX($D$20:$DT$20,1,MAX(1,MIN(121,105-(核心参数输入!$B$148+核心参数输入!$B$124)+1))),DE120),0),0)</f>
        <v>0</v>
      </c>
      <c r="DF121" s="22">
        <f>IF(106&lt;=核心参数输入!$B$9*4,IF(AND(106-(核心参数输入!$B$148+核心参数输入!$B$124)&gt;=0,106-(核心参数输入!$B$148+核心参数输入!$B$124)&lt;=120),IF(COUNT(INDEX($D$20:$DT$20,1,MAX(1,MIN(121,106-(核心参数输入!$B$148+核心参数输入!$B$124)+1))))=1,INDEX($D$20:$DT$20,1,MAX(1,MIN(121,106-(核心参数输入!$B$148+核心参数输入!$B$124)+1))),DF120),0),0)</f>
        <v>0</v>
      </c>
      <c r="DG121" s="22">
        <f>IF(107&lt;=核心参数输入!$B$9*4,IF(AND(107-(核心参数输入!$B$148+核心参数输入!$B$124)&gt;=0,107-(核心参数输入!$B$148+核心参数输入!$B$124)&lt;=120),IF(COUNT(INDEX($D$20:$DT$20,1,MAX(1,MIN(121,107-(核心参数输入!$B$148+核心参数输入!$B$124)+1))))=1,INDEX($D$20:$DT$20,1,MAX(1,MIN(121,107-(核心参数输入!$B$148+核心参数输入!$B$124)+1))),DG120),0),0)</f>
        <v>0</v>
      </c>
      <c r="DH121" s="22">
        <f>IF(108&lt;=核心参数输入!$B$9*4,IF(AND(108-(核心参数输入!$B$148+核心参数输入!$B$124)&gt;=0,108-(核心参数输入!$B$148+核心参数输入!$B$124)&lt;=120),IF(COUNT(INDEX($D$20:$DT$20,1,MAX(1,MIN(121,108-(核心参数输入!$B$148+核心参数输入!$B$124)+1))))=1,INDEX($D$20:$DT$20,1,MAX(1,MIN(121,108-(核心参数输入!$B$148+核心参数输入!$B$124)+1))),DH120),0),0)</f>
        <v>0</v>
      </c>
      <c r="DI121" s="22">
        <f>IF(109&lt;=核心参数输入!$B$9*4,IF(AND(109-(核心参数输入!$B$148+核心参数输入!$B$124)&gt;=0,109-(核心参数输入!$B$148+核心参数输入!$B$124)&lt;=120),IF(COUNT(INDEX($D$20:$DT$20,1,MAX(1,MIN(121,109-(核心参数输入!$B$148+核心参数输入!$B$124)+1))))=1,INDEX($D$20:$DT$20,1,MAX(1,MIN(121,109-(核心参数输入!$B$148+核心参数输入!$B$124)+1))),DI120),0),0)</f>
        <v>0</v>
      </c>
      <c r="DJ121" s="22">
        <f>IF(110&lt;=核心参数输入!$B$9*4,IF(AND(110-(核心参数输入!$B$148+核心参数输入!$B$124)&gt;=0,110-(核心参数输入!$B$148+核心参数输入!$B$124)&lt;=120),IF(COUNT(INDEX($D$20:$DT$20,1,MAX(1,MIN(121,110-(核心参数输入!$B$148+核心参数输入!$B$124)+1))))=1,INDEX($D$20:$DT$20,1,MAX(1,MIN(121,110-(核心参数输入!$B$148+核心参数输入!$B$124)+1))),DJ120),0),0)</f>
        <v>0</v>
      </c>
      <c r="DK121" s="22">
        <f>IF(111&lt;=核心参数输入!$B$9*4,IF(AND(111-(核心参数输入!$B$148+核心参数输入!$B$124)&gt;=0,111-(核心参数输入!$B$148+核心参数输入!$B$124)&lt;=120),IF(COUNT(INDEX($D$20:$DT$20,1,MAX(1,MIN(121,111-(核心参数输入!$B$148+核心参数输入!$B$124)+1))))=1,INDEX($D$20:$DT$20,1,MAX(1,MIN(121,111-(核心参数输入!$B$148+核心参数输入!$B$124)+1))),DK120),0),0)</f>
        <v>0</v>
      </c>
      <c r="DL121" s="22">
        <f>IF(112&lt;=核心参数输入!$B$9*4,IF(AND(112-(核心参数输入!$B$148+核心参数输入!$B$124)&gt;=0,112-(核心参数输入!$B$148+核心参数输入!$B$124)&lt;=120),IF(COUNT(INDEX($D$20:$DT$20,1,MAX(1,MIN(121,112-(核心参数输入!$B$148+核心参数输入!$B$124)+1))))=1,INDEX($D$20:$DT$20,1,MAX(1,MIN(121,112-(核心参数输入!$B$148+核心参数输入!$B$124)+1))),DL120),0),0)</f>
        <v>0</v>
      </c>
      <c r="DM121" s="22">
        <f>IF(113&lt;=核心参数输入!$B$9*4,IF(AND(113-(核心参数输入!$B$148+核心参数输入!$B$124)&gt;=0,113-(核心参数输入!$B$148+核心参数输入!$B$124)&lt;=120),IF(COUNT(INDEX($D$20:$DT$20,1,MAX(1,MIN(121,113-(核心参数输入!$B$148+核心参数输入!$B$124)+1))))=1,INDEX($D$20:$DT$20,1,MAX(1,MIN(121,113-(核心参数输入!$B$148+核心参数输入!$B$124)+1))),DM120),0),0)</f>
        <v>0</v>
      </c>
      <c r="DN121" s="22">
        <f>IF(114&lt;=核心参数输入!$B$9*4,IF(AND(114-(核心参数输入!$B$148+核心参数输入!$B$124)&gt;=0,114-(核心参数输入!$B$148+核心参数输入!$B$124)&lt;=120),IF(COUNT(INDEX($D$20:$DT$20,1,MAX(1,MIN(121,114-(核心参数输入!$B$148+核心参数输入!$B$124)+1))))=1,INDEX($D$20:$DT$20,1,MAX(1,MIN(121,114-(核心参数输入!$B$148+核心参数输入!$B$124)+1))),DN120),0),0)</f>
        <v>0</v>
      </c>
      <c r="DO121" s="22">
        <f>IF(115&lt;=核心参数输入!$B$9*4,IF(AND(115-(核心参数输入!$B$148+核心参数输入!$B$124)&gt;=0,115-(核心参数输入!$B$148+核心参数输入!$B$124)&lt;=120),IF(COUNT(INDEX($D$20:$DT$20,1,MAX(1,MIN(121,115-(核心参数输入!$B$148+核心参数输入!$B$124)+1))))=1,INDEX($D$20:$DT$20,1,MAX(1,MIN(121,115-(核心参数输入!$B$148+核心参数输入!$B$124)+1))),DO120),0),0)</f>
        <v>0</v>
      </c>
      <c r="DP121" s="22">
        <f>IF(116&lt;=核心参数输入!$B$9*4,IF(AND(116-(核心参数输入!$B$148+核心参数输入!$B$124)&gt;=0,116-(核心参数输入!$B$148+核心参数输入!$B$124)&lt;=120),IF(COUNT(INDEX($D$20:$DT$20,1,MAX(1,MIN(121,116-(核心参数输入!$B$148+核心参数输入!$B$124)+1))))=1,INDEX($D$20:$DT$20,1,MAX(1,MIN(121,116-(核心参数输入!$B$148+核心参数输入!$B$124)+1))),DP120),0),0)</f>
        <v>0</v>
      </c>
      <c r="DQ121" s="22">
        <f>IF(117&lt;=核心参数输入!$B$9*4,IF(AND(117-(核心参数输入!$B$148+核心参数输入!$B$124)&gt;=0,117-(核心参数输入!$B$148+核心参数输入!$B$124)&lt;=120),IF(COUNT(INDEX($D$20:$DT$20,1,MAX(1,MIN(121,117-(核心参数输入!$B$148+核心参数输入!$B$124)+1))))=1,INDEX($D$20:$DT$20,1,MAX(1,MIN(121,117-(核心参数输入!$B$148+核心参数输入!$B$124)+1))),DQ120),0),0)</f>
        <v>0</v>
      </c>
      <c r="DR121" s="22">
        <f>IF(118&lt;=核心参数输入!$B$9*4,IF(AND(118-(核心参数输入!$B$148+核心参数输入!$B$124)&gt;=0,118-(核心参数输入!$B$148+核心参数输入!$B$124)&lt;=120),IF(COUNT(INDEX($D$20:$DT$20,1,MAX(1,MIN(121,118-(核心参数输入!$B$148+核心参数输入!$B$124)+1))))=1,INDEX($D$20:$DT$20,1,MAX(1,MIN(121,118-(核心参数输入!$B$148+核心参数输入!$B$124)+1))),DR120),0),0)</f>
        <v>0</v>
      </c>
      <c r="DS121" s="22">
        <f>IF(119&lt;=核心参数输入!$B$9*4,IF(AND(119-(核心参数输入!$B$148+核心参数输入!$B$124)&gt;=0,119-(核心参数输入!$B$148+核心参数输入!$B$124)&lt;=120),IF(COUNT(INDEX($D$20:$DT$20,1,MAX(1,MIN(121,119-(核心参数输入!$B$148+核心参数输入!$B$124)+1))))=1,INDEX($D$20:$DT$20,1,MAX(1,MIN(121,119-(核心参数输入!$B$148+核心参数输入!$B$124)+1))),DS120),0),0)</f>
        <v>0</v>
      </c>
      <c r="DT121" s="22">
        <f>IF(120&lt;=核心参数输入!$B$9*4,IF(AND(120-(核心参数输入!$B$148+核心参数输入!$B$124)&gt;=0,120-(核心参数输入!$B$148+核心参数输入!$B$124)&lt;=120),IF(COUNT(INDEX($D$20:$DT$20,1,MAX(1,MIN(121,120-(核心参数输入!$B$148+核心参数输入!$B$124)+1))))=1,INDEX($D$20:$DT$20,1,MAX(1,MIN(121,120-(核心参数输入!$B$148+核心参数输入!$B$124)+1))),DT120),0),0)</f>
        <v>0</v>
      </c>
    </row>
    <row r="122" spans="1:124" ht="21" customHeight="1">
      <c r="A122" s="8" t="s">
        <v>624</v>
      </c>
      <c r="B122" s="8" t="s">
        <v>38</v>
      </c>
      <c r="C122" s="8"/>
      <c r="D122" s="22">
        <f>IF(0&lt;=核心参数输入!$B$9*4,0,0)</f>
        <v>0</v>
      </c>
      <c r="E122" s="22">
        <f>IF(1&lt;=核心参数输入!$B$9*4,IF(AND(1-(核心参数输入!$B$148+核心参数输入!$B$124)&gt;=0,1-(核心参数输入!$B$148+核心参数输入!$B$124)&lt;=120),IF(COUNT(INDEX($D$21:$DT$21,1,MAX(1,MIN(121,1-(核心参数输入!$B$148+核心参数输入!$B$124)+1))))=1,INDEX($D$21:$DT$21,1,MAX(1,MIN(121,1-(核心参数输入!$B$148+核心参数输入!$B$124)+1))),IF(AND(1-核心参数输入!$B$105&gt;=0,1-核心参数输入!$B$105&lt;=120),INDEX(季度计划!$D$121:$DT$121,1,MAX(1,MIN(121,1-核心参数输入!$B$105+1))),0)),0),0)</f>
        <v>7.4999999999999997E-2</v>
      </c>
      <c r="F122" s="22">
        <f>IF(2&lt;=核心参数输入!$B$9*4,IF(AND(2-(核心参数输入!$B$148+核心参数输入!$B$124)&gt;=0,2-(核心参数输入!$B$148+核心参数输入!$B$124)&lt;=120),IF(COUNT(INDEX($D$21:$DT$21,1,MAX(1,MIN(121,2-(核心参数输入!$B$148+核心参数输入!$B$124)+1))))=1,INDEX($D$21:$DT$21,1,MAX(1,MIN(121,2-(核心参数输入!$B$148+核心参数输入!$B$124)+1))),IF(AND(2-核心参数输入!$B$105&gt;=0,2-核心参数输入!$B$105&lt;=120),INDEX(季度计划!$D$121:$DT$121,1,MAX(1,MIN(121,2-核心参数输入!$B$105+1))),0)),0),0)</f>
        <v>7.4999999999999997E-2</v>
      </c>
      <c r="G122" s="22">
        <f>IF(3&lt;=核心参数输入!$B$9*4,IF(AND(3-(核心参数输入!$B$148+核心参数输入!$B$124)&gt;=0,3-(核心参数输入!$B$148+核心参数输入!$B$124)&lt;=120),IF(COUNT(INDEX($D$21:$DT$21,1,MAX(1,MIN(121,3-(核心参数输入!$B$148+核心参数输入!$B$124)+1))))=1,INDEX($D$21:$DT$21,1,MAX(1,MIN(121,3-(核心参数输入!$B$148+核心参数输入!$B$124)+1))),IF(AND(3-核心参数输入!$B$105&gt;=0,3-核心参数输入!$B$105&lt;=120),INDEX(季度计划!$D$121:$DT$121,1,MAX(1,MIN(121,3-核心参数输入!$B$105+1))),0)),0),0)</f>
        <v>7.4999999999999997E-2</v>
      </c>
      <c r="H122" s="22">
        <f>IF(4&lt;=核心参数输入!$B$9*4,IF(AND(4-(核心参数输入!$B$148+核心参数输入!$B$124)&gt;=0,4-(核心参数输入!$B$148+核心参数输入!$B$124)&lt;=120),IF(COUNT(INDEX($D$21:$DT$21,1,MAX(1,MIN(121,4-(核心参数输入!$B$148+核心参数输入!$B$124)+1))))=1,INDEX($D$21:$DT$21,1,MAX(1,MIN(121,4-(核心参数输入!$B$148+核心参数输入!$B$124)+1))),IF(AND(4-核心参数输入!$B$105&gt;=0,4-核心参数输入!$B$105&lt;=120),INDEX(季度计划!$D$121:$DT$121,1,MAX(1,MIN(121,4-核心参数输入!$B$105+1))),0)),0),0)</f>
        <v>7.4999999999999997E-2</v>
      </c>
      <c r="I122" s="22">
        <f>IF(5&lt;=核心参数输入!$B$9*4,IF(AND(5-(核心参数输入!$B$148+核心参数输入!$B$124)&gt;=0,5-(核心参数输入!$B$148+核心参数输入!$B$124)&lt;=120),IF(COUNT(INDEX($D$21:$DT$21,1,MAX(1,MIN(121,5-(核心参数输入!$B$148+核心参数输入!$B$124)+1))))=1,INDEX($D$21:$DT$21,1,MAX(1,MIN(121,5-(核心参数输入!$B$148+核心参数输入!$B$124)+1))),IF(AND(5-核心参数输入!$B$105&gt;=0,5-核心参数输入!$B$105&lt;=120),INDEX(季度计划!$D$121:$DT$121,1,MAX(1,MIN(121,5-核心参数输入!$B$105+1))),0)),0),0)</f>
        <v>0.1</v>
      </c>
      <c r="J122" s="22">
        <f>IF(6&lt;=核心参数输入!$B$9*4,IF(AND(6-(核心参数输入!$B$148+核心参数输入!$B$124)&gt;=0,6-(核心参数输入!$B$148+核心参数输入!$B$124)&lt;=120),IF(COUNT(INDEX($D$21:$DT$21,1,MAX(1,MIN(121,6-(核心参数输入!$B$148+核心参数输入!$B$124)+1))))=1,INDEX($D$21:$DT$21,1,MAX(1,MIN(121,6-(核心参数输入!$B$148+核心参数输入!$B$124)+1))),IF(AND(6-核心参数输入!$B$105&gt;=0,6-核心参数输入!$B$105&lt;=120),INDEX(季度计划!$D$121:$DT$121,1,MAX(1,MIN(121,6-核心参数输入!$B$105+1))),0)),0),0)</f>
        <v>0.1</v>
      </c>
      <c r="K122" s="22">
        <f>IF(7&lt;=核心参数输入!$B$9*4,IF(AND(7-(核心参数输入!$B$148+核心参数输入!$B$124)&gt;=0,7-(核心参数输入!$B$148+核心参数输入!$B$124)&lt;=120),IF(COUNT(INDEX($D$21:$DT$21,1,MAX(1,MIN(121,7-(核心参数输入!$B$148+核心参数输入!$B$124)+1))))=1,INDEX($D$21:$DT$21,1,MAX(1,MIN(121,7-(核心参数输入!$B$148+核心参数输入!$B$124)+1))),IF(AND(7-核心参数输入!$B$105&gt;=0,7-核心参数输入!$B$105&lt;=120),INDEX(季度计划!$D$121:$DT$121,1,MAX(1,MIN(121,7-核心参数输入!$B$105+1))),0)),0),0)</f>
        <v>0.1</v>
      </c>
      <c r="L122" s="22">
        <f>IF(8&lt;=核心参数输入!$B$9*4,IF(AND(8-(核心参数输入!$B$148+核心参数输入!$B$124)&gt;=0,8-(核心参数输入!$B$148+核心参数输入!$B$124)&lt;=120),IF(COUNT(INDEX($D$21:$DT$21,1,MAX(1,MIN(121,8-(核心参数输入!$B$148+核心参数输入!$B$124)+1))))=1,INDEX($D$21:$DT$21,1,MAX(1,MIN(121,8-(核心参数输入!$B$148+核心参数输入!$B$124)+1))),IF(AND(8-核心参数输入!$B$105&gt;=0,8-核心参数输入!$B$105&lt;=120),INDEX(季度计划!$D$121:$DT$121,1,MAX(1,MIN(121,8-核心参数输入!$B$105+1))),0)),0),0)</f>
        <v>0.1</v>
      </c>
      <c r="M122" s="22">
        <f>IF(9&lt;=核心参数输入!$B$9*4,IF(AND(9-(核心参数输入!$B$148+核心参数输入!$B$124)&gt;=0,9-(核心参数输入!$B$148+核心参数输入!$B$124)&lt;=120),IF(COUNT(INDEX($D$21:$DT$21,1,MAX(1,MIN(121,9-(核心参数输入!$B$148+核心参数输入!$B$124)+1))))=1,INDEX($D$21:$DT$21,1,MAX(1,MIN(121,9-(核心参数输入!$B$148+核心参数输入!$B$124)+1))),IF(AND(9-核心参数输入!$B$105&gt;=0,9-核心参数输入!$B$105&lt;=120),INDEX(季度计划!$D$121:$DT$121,1,MAX(1,MIN(121,9-核心参数输入!$B$105+1))),0)),0),0)</f>
        <v>7.4999999999999997E-2</v>
      </c>
      <c r="N122" s="22">
        <f>IF(10&lt;=核心参数输入!$B$9*4,IF(AND(10-(核心参数输入!$B$148+核心参数输入!$B$124)&gt;=0,10-(核心参数输入!$B$148+核心参数输入!$B$124)&lt;=120),IF(COUNT(INDEX($D$21:$DT$21,1,MAX(1,MIN(121,10-(核心参数输入!$B$148+核心参数输入!$B$124)+1))))=1,INDEX($D$21:$DT$21,1,MAX(1,MIN(121,10-(核心参数输入!$B$148+核心参数输入!$B$124)+1))),IF(AND(10-核心参数输入!$B$105&gt;=0,10-核心参数输入!$B$105&lt;=120),INDEX(季度计划!$D$121:$DT$121,1,MAX(1,MIN(121,10-核心参数输入!$B$105+1))),0)),0),0)</f>
        <v>7.4999999999999997E-2</v>
      </c>
      <c r="O122" s="22">
        <f>IF(11&lt;=核心参数输入!$B$9*4,IF(AND(11-(核心参数输入!$B$148+核心参数输入!$B$124)&gt;=0,11-(核心参数输入!$B$148+核心参数输入!$B$124)&lt;=120),IF(COUNT(INDEX($D$21:$DT$21,1,MAX(1,MIN(121,11-(核心参数输入!$B$148+核心参数输入!$B$124)+1))))=1,INDEX($D$21:$DT$21,1,MAX(1,MIN(121,11-(核心参数输入!$B$148+核心参数输入!$B$124)+1))),IF(AND(11-核心参数输入!$B$105&gt;=0,11-核心参数输入!$B$105&lt;=120),INDEX(季度计划!$D$121:$DT$121,1,MAX(1,MIN(121,11-核心参数输入!$B$105+1))),0)),0),0)</f>
        <v>7.4999999999999997E-2</v>
      </c>
      <c r="P122" s="22">
        <f>IF(12&lt;=核心参数输入!$B$9*4,IF(AND(12-(核心参数输入!$B$148+核心参数输入!$B$124)&gt;=0,12-(核心参数输入!$B$148+核心参数输入!$B$124)&lt;=120),IF(COUNT(INDEX($D$21:$DT$21,1,MAX(1,MIN(121,12-(核心参数输入!$B$148+核心参数输入!$B$124)+1))))=1,INDEX($D$21:$DT$21,1,MAX(1,MIN(121,12-(核心参数输入!$B$148+核心参数输入!$B$124)+1))),IF(AND(12-核心参数输入!$B$105&gt;=0,12-核心参数输入!$B$105&lt;=120),INDEX(季度计划!$D$121:$DT$121,1,MAX(1,MIN(121,12-核心参数输入!$B$105+1))),0)),0),0)</f>
        <v>7.4999999999999997E-2</v>
      </c>
      <c r="Q122" s="22">
        <f>IF(13&lt;=核心参数输入!$B$9*4,IF(AND(13-(核心参数输入!$B$148+核心参数输入!$B$124)&gt;=0,13-(核心参数输入!$B$148+核心参数输入!$B$124)&lt;=120),IF(COUNT(INDEX($D$21:$DT$21,1,MAX(1,MIN(121,13-(核心参数输入!$B$148+核心参数输入!$B$124)+1))))=1,INDEX($D$21:$DT$21,1,MAX(1,MIN(121,13-(核心参数输入!$B$148+核心参数输入!$B$124)+1))),IF(AND(13-核心参数输入!$B$105&gt;=0,13-核心参数输入!$B$105&lt;=120),INDEX(季度计划!$D$121:$DT$121,1,MAX(1,MIN(121,13-核心参数输入!$B$105+1))),0)),0),0)</f>
        <v>0</v>
      </c>
      <c r="R122" s="22">
        <f>IF(14&lt;=核心参数输入!$B$9*4,IF(AND(14-(核心参数输入!$B$148+核心参数输入!$B$124)&gt;=0,14-(核心参数输入!$B$148+核心参数输入!$B$124)&lt;=120),IF(COUNT(INDEX($D$21:$DT$21,1,MAX(1,MIN(121,14-(核心参数输入!$B$148+核心参数输入!$B$124)+1))))=1,INDEX($D$21:$DT$21,1,MAX(1,MIN(121,14-(核心参数输入!$B$148+核心参数输入!$B$124)+1))),IF(AND(14-核心参数输入!$B$105&gt;=0,14-核心参数输入!$B$105&lt;=120),INDEX(季度计划!$D$121:$DT$121,1,MAX(1,MIN(121,14-核心参数输入!$B$105+1))),0)),0),0)</f>
        <v>0</v>
      </c>
      <c r="S122" s="22">
        <f>IF(15&lt;=核心参数输入!$B$9*4,IF(AND(15-(核心参数输入!$B$148+核心参数输入!$B$124)&gt;=0,15-(核心参数输入!$B$148+核心参数输入!$B$124)&lt;=120),IF(COUNT(INDEX($D$21:$DT$21,1,MAX(1,MIN(121,15-(核心参数输入!$B$148+核心参数输入!$B$124)+1))))=1,INDEX($D$21:$DT$21,1,MAX(1,MIN(121,15-(核心参数输入!$B$148+核心参数输入!$B$124)+1))),IF(AND(15-核心参数输入!$B$105&gt;=0,15-核心参数输入!$B$105&lt;=120),INDEX(季度计划!$D$121:$DT$121,1,MAX(1,MIN(121,15-核心参数输入!$B$105+1))),0)),0),0)</f>
        <v>0</v>
      </c>
      <c r="T122" s="22">
        <f>IF(16&lt;=核心参数输入!$B$9*4,IF(AND(16-(核心参数输入!$B$148+核心参数输入!$B$124)&gt;=0,16-(核心参数输入!$B$148+核心参数输入!$B$124)&lt;=120),IF(COUNT(INDEX($D$21:$DT$21,1,MAX(1,MIN(121,16-(核心参数输入!$B$148+核心参数输入!$B$124)+1))))=1,INDEX($D$21:$DT$21,1,MAX(1,MIN(121,16-(核心参数输入!$B$148+核心参数输入!$B$124)+1))),IF(AND(16-核心参数输入!$B$105&gt;=0,16-核心参数输入!$B$105&lt;=120),INDEX(季度计划!$D$121:$DT$121,1,MAX(1,MIN(121,16-核心参数输入!$B$105+1))),0)),0),0)</f>
        <v>0</v>
      </c>
      <c r="U122" s="22">
        <f>IF(17&lt;=核心参数输入!$B$9*4,IF(AND(17-(核心参数输入!$B$148+核心参数输入!$B$124)&gt;=0,17-(核心参数输入!$B$148+核心参数输入!$B$124)&lt;=120),IF(COUNT(INDEX($D$21:$DT$21,1,MAX(1,MIN(121,17-(核心参数输入!$B$148+核心参数输入!$B$124)+1))))=1,INDEX($D$21:$DT$21,1,MAX(1,MIN(121,17-(核心参数输入!$B$148+核心参数输入!$B$124)+1))),IF(AND(17-核心参数输入!$B$105&gt;=0,17-核心参数输入!$B$105&lt;=120),INDEX(季度计划!$D$121:$DT$121,1,MAX(1,MIN(121,17-核心参数输入!$B$105+1))),0)),0),0)</f>
        <v>0</v>
      </c>
      <c r="V122" s="22">
        <f>IF(18&lt;=核心参数输入!$B$9*4,IF(AND(18-(核心参数输入!$B$148+核心参数输入!$B$124)&gt;=0,18-(核心参数输入!$B$148+核心参数输入!$B$124)&lt;=120),IF(COUNT(INDEX($D$21:$DT$21,1,MAX(1,MIN(121,18-(核心参数输入!$B$148+核心参数输入!$B$124)+1))))=1,INDEX($D$21:$DT$21,1,MAX(1,MIN(121,18-(核心参数输入!$B$148+核心参数输入!$B$124)+1))),IF(AND(18-核心参数输入!$B$105&gt;=0,18-核心参数输入!$B$105&lt;=120),INDEX(季度计划!$D$121:$DT$121,1,MAX(1,MIN(121,18-核心参数输入!$B$105+1))),0)),0),0)</f>
        <v>0</v>
      </c>
      <c r="W122" s="22">
        <f>IF(19&lt;=核心参数输入!$B$9*4,IF(AND(19-(核心参数输入!$B$148+核心参数输入!$B$124)&gt;=0,19-(核心参数输入!$B$148+核心参数输入!$B$124)&lt;=120),IF(COUNT(INDEX($D$21:$DT$21,1,MAX(1,MIN(121,19-(核心参数输入!$B$148+核心参数输入!$B$124)+1))))=1,INDEX($D$21:$DT$21,1,MAX(1,MIN(121,19-(核心参数输入!$B$148+核心参数输入!$B$124)+1))),IF(AND(19-核心参数输入!$B$105&gt;=0,19-核心参数输入!$B$105&lt;=120),INDEX(季度计划!$D$121:$DT$121,1,MAX(1,MIN(121,19-核心参数输入!$B$105+1))),0)),0),0)</f>
        <v>0</v>
      </c>
      <c r="X122" s="22">
        <f>IF(20&lt;=核心参数输入!$B$9*4,IF(AND(20-(核心参数输入!$B$148+核心参数输入!$B$124)&gt;=0,20-(核心参数输入!$B$148+核心参数输入!$B$124)&lt;=120),IF(COUNT(INDEX($D$21:$DT$21,1,MAX(1,MIN(121,20-(核心参数输入!$B$148+核心参数输入!$B$124)+1))))=1,INDEX($D$21:$DT$21,1,MAX(1,MIN(121,20-(核心参数输入!$B$148+核心参数输入!$B$124)+1))),IF(AND(20-核心参数输入!$B$105&gt;=0,20-核心参数输入!$B$105&lt;=120),INDEX(季度计划!$D$121:$DT$121,1,MAX(1,MIN(121,20-核心参数输入!$B$105+1))),0)),0),0)</f>
        <v>0</v>
      </c>
      <c r="Y122" s="22">
        <f>IF(21&lt;=核心参数输入!$B$9*4,IF(AND(21-(核心参数输入!$B$148+核心参数输入!$B$124)&gt;=0,21-(核心参数输入!$B$148+核心参数输入!$B$124)&lt;=120),IF(COUNT(INDEX($D$21:$DT$21,1,MAX(1,MIN(121,21-(核心参数输入!$B$148+核心参数输入!$B$124)+1))))=1,INDEX($D$21:$DT$21,1,MAX(1,MIN(121,21-(核心参数输入!$B$148+核心参数输入!$B$124)+1))),IF(AND(21-核心参数输入!$B$105&gt;=0,21-核心参数输入!$B$105&lt;=120),INDEX(季度计划!$D$121:$DT$121,1,MAX(1,MIN(121,21-核心参数输入!$B$105+1))),0)),0),0)</f>
        <v>0</v>
      </c>
      <c r="Z122" s="22">
        <f>IF(22&lt;=核心参数输入!$B$9*4,IF(AND(22-(核心参数输入!$B$148+核心参数输入!$B$124)&gt;=0,22-(核心参数输入!$B$148+核心参数输入!$B$124)&lt;=120),IF(COUNT(INDEX($D$21:$DT$21,1,MAX(1,MIN(121,22-(核心参数输入!$B$148+核心参数输入!$B$124)+1))))=1,INDEX($D$21:$DT$21,1,MAX(1,MIN(121,22-(核心参数输入!$B$148+核心参数输入!$B$124)+1))),IF(AND(22-核心参数输入!$B$105&gt;=0,22-核心参数输入!$B$105&lt;=120),INDEX(季度计划!$D$121:$DT$121,1,MAX(1,MIN(121,22-核心参数输入!$B$105+1))),0)),0),0)</f>
        <v>0</v>
      </c>
      <c r="AA122" s="22">
        <f>IF(23&lt;=核心参数输入!$B$9*4,IF(AND(23-(核心参数输入!$B$148+核心参数输入!$B$124)&gt;=0,23-(核心参数输入!$B$148+核心参数输入!$B$124)&lt;=120),IF(COUNT(INDEX($D$21:$DT$21,1,MAX(1,MIN(121,23-(核心参数输入!$B$148+核心参数输入!$B$124)+1))))=1,INDEX($D$21:$DT$21,1,MAX(1,MIN(121,23-(核心参数输入!$B$148+核心参数输入!$B$124)+1))),IF(AND(23-核心参数输入!$B$105&gt;=0,23-核心参数输入!$B$105&lt;=120),INDEX(季度计划!$D$121:$DT$121,1,MAX(1,MIN(121,23-核心参数输入!$B$105+1))),0)),0),0)</f>
        <v>0</v>
      </c>
      <c r="AB122" s="22">
        <f>IF(24&lt;=核心参数输入!$B$9*4,IF(AND(24-(核心参数输入!$B$148+核心参数输入!$B$124)&gt;=0,24-(核心参数输入!$B$148+核心参数输入!$B$124)&lt;=120),IF(COUNT(INDEX($D$21:$DT$21,1,MAX(1,MIN(121,24-(核心参数输入!$B$148+核心参数输入!$B$124)+1))))=1,INDEX($D$21:$DT$21,1,MAX(1,MIN(121,24-(核心参数输入!$B$148+核心参数输入!$B$124)+1))),IF(AND(24-核心参数输入!$B$105&gt;=0,24-核心参数输入!$B$105&lt;=120),INDEX(季度计划!$D$121:$DT$121,1,MAX(1,MIN(121,24-核心参数输入!$B$105+1))),0)),0),0)</f>
        <v>0</v>
      </c>
      <c r="AC122" s="22">
        <f>IF(25&lt;=核心参数输入!$B$9*4,IF(AND(25-(核心参数输入!$B$148+核心参数输入!$B$124)&gt;=0,25-(核心参数输入!$B$148+核心参数输入!$B$124)&lt;=120),IF(COUNT(INDEX($D$21:$DT$21,1,MAX(1,MIN(121,25-(核心参数输入!$B$148+核心参数输入!$B$124)+1))))=1,INDEX($D$21:$DT$21,1,MAX(1,MIN(121,25-(核心参数输入!$B$148+核心参数输入!$B$124)+1))),IF(AND(25-核心参数输入!$B$105&gt;=0,25-核心参数输入!$B$105&lt;=120),INDEX(季度计划!$D$121:$DT$121,1,MAX(1,MIN(121,25-核心参数输入!$B$105+1))),0)),0),0)</f>
        <v>0</v>
      </c>
      <c r="AD122" s="22">
        <f>IF(26&lt;=核心参数输入!$B$9*4,IF(AND(26-(核心参数输入!$B$148+核心参数输入!$B$124)&gt;=0,26-(核心参数输入!$B$148+核心参数输入!$B$124)&lt;=120),IF(COUNT(INDEX($D$21:$DT$21,1,MAX(1,MIN(121,26-(核心参数输入!$B$148+核心参数输入!$B$124)+1))))=1,INDEX($D$21:$DT$21,1,MAX(1,MIN(121,26-(核心参数输入!$B$148+核心参数输入!$B$124)+1))),IF(AND(26-核心参数输入!$B$105&gt;=0,26-核心参数输入!$B$105&lt;=120),INDEX(季度计划!$D$121:$DT$121,1,MAX(1,MIN(121,26-核心参数输入!$B$105+1))),0)),0),0)</f>
        <v>0</v>
      </c>
      <c r="AE122" s="22">
        <f>IF(27&lt;=核心参数输入!$B$9*4,IF(AND(27-(核心参数输入!$B$148+核心参数输入!$B$124)&gt;=0,27-(核心参数输入!$B$148+核心参数输入!$B$124)&lt;=120),IF(COUNT(INDEX($D$21:$DT$21,1,MAX(1,MIN(121,27-(核心参数输入!$B$148+核心参数输入!$B$124)+1))))=1,INDEX($D$21:$DT$21,1,MAX(1,MIN(121,27-(核心参数输入!$B$148+核心参数输入!$B$124)+1))),IF(AND(27-核心参数输入!$B$105&gt;=0,27-核心参数输入!$B$105&lt;=120),INDEX(季度计划!$D$121:$DT$121,1,MAX(1,MIN(121,27-核心参数输入!$B$105+1))),0)),0),0)</f>
        <v>0</v>
      </c>
      <c r="AF122" s="22">
        <f>IF(28&lt;=核心参数输入!$B$9*4,IF(AND(28-(核心参数输入!$B$148+核心参数输入!$B$124)&gt;=0,28-(核心参数输入!$B$148+核心参数输入!$B$124)&lt;=120),IF(COUNT(INDEX($D$21:$DT$21,1,MAX(1,MIN(121,28-(核心参数输入!$B$148+核心参数输入!$B$124)+1))))=1,INDEX($D$21:$DT$21,1,MAX(1,MIN(121,28-(核心参数输入!$B$148+核心参数输入!$B$124)+1))),IF(AND(28-核心参数输入!$B$105&gt;=0,28-核心参数输入!$B$105&lt;=120),INDEX(季度计划!$D$121:$DT$121,1,MAX(1,MIN(121,28-核心参数输入!$B$105+1))),0)),0),0)</f>
        <v>0</v>
      </c>
      <c r="AG122" s="22">
        <f>IF(29&lt;=核心参数输入!$B$9*4,IF(AND(29-(核心参数输入!$B$148+核心参数输入!$B$124)&gt;=0,29-(核心参数输入!$B$148+核心参数输入!$B$124)&lt;=120),IF(COUNT(INDEX($D$21:$DT$21,1,MAX(1,MIN(121,29-(核心参数输入!$B$148+核心参数输入!$B$124)+1))))=1,INDEX($D$21:$DT$21,1,MAX(1,MIN(121,29-(核心参数输入!$B$148+核心参数输入!$B$124)+1))),IF(AND(29-核心参数输入!$B$105&gt;=0,29-核心参数输入!$B$105&lt;=120),INDEX(季度计划!$D$121:$DT$121,1,MAX(1,MIN(121,29-核心参数输入!$B$105+1))),0)),0),0)</f>
        <v>0</v>
      </c>
      <c r="AH122" s="22">
        <f>IF(30&lt;=核心参数输入!$B$9*4,IF(AND(30-(核心参数输入!$B$148+核心参数输入!$B$124)&gt;=0,30-(核心参数输入!$B$148+核心参数输入!$B$124)&lt;=120),IF(COUNT(INDEX($D$21:$DT$21,1,MAX(1,MIN(121,30-(核心参数输入!$B$148+核心参数输入!$B$124)+1))))=1,INDEX($D$21:$DT$21,1,MAX(1,MIN(121,30-(核心参数输入!$B$148+核心参数输入!$B$124)+1))),IF(AND(30-核心参数输入!$B$105&gt;=0,30-核心参数输入!$B$105&lt;=120),INDEX(季度计划!$D$121:$DT$121,1,MAX(1,MIN(121,30-核心参数输入!$B$105+1))),0)),0),0)</f>
        <v>0</v>
      </c>
      <c r="AI122" s="22">
        <f>IF(31&lt;=核心参数输入!$B$9*4,IF(AND(31-(核心参数输入!$B$148+核心参数输入!$B$124)&gt;=0,31-(核心参数输入!$B$148+核心参数输入!$B$124)&lt;=120),IF(COUNT(INDEX($D$21:$DT$21,1,MAX(1,MIN(121,31-(核心参数输入!$B$148+核心参数输入!$B$124)+1))))=1,INDEX($D$21:$DT$21,1,MAX(1,MIN(121,31-(核心参数输入!$B$148+核心参数输入!$B$124)+1))),IF(AND(31-核心参数输入!$B$105&gt;=0,31-核心参数输入!$B$105&lt;=120),INDEX(季度计划!$D$121:$DT$121,1,MAX(1,MIN(121,31-核心参数输入!$B$105+1))),0)),0),0)</f>
        <v>0</v>
      </c>
      <c r="AJ122" s="22">
        <f>IF(32&lt;=核心参数输入!$B$9*4,IF(AND(32-(核心参数输入!$B$148+核心参数输入!$B$124)&gt;=0,32-(核心参数输入!$B$148+核心参数输入!$B$124)&lt;=120),IF(COUNT(INDEX($D$21:$DT$21,1,MAX(1,MIN(121,32-(核心参数输入!$B$148+核心参数输入!$B$124)+1))))=1,INDEX($D$21:$DT$21,1,MAX(1,MIN(121,32-(核心参数输入!$B$148+核心参数输入!$B$124)+1))),IF(AND(32-核心参数输入!$B$105&gt;=0,32-核心参数输入!$B$105&lt;=120),INDEX(季度计划!$D$121:$DT$121,1,MAX(1,MIN(121,32-核心参数输入!$B$105+1))),0)),0),0)</f>
        <v>0</v>
      </c>
      <c r="AK122" s="22">
        <f>IF(33&lt;=核心参数输入!$B$9*4,IF(AND(33-(核心参数输入!$B$148+核心参数输入!$B$124)&gt;=0,33-(核心参数输入!$B$148+核心参数输入!$B$124)&lt;=120),IF(COUNT(INDEX($D$21:$DT$21,1,MAX(1,MIN(121,33-(核心参数输入!$B$148+核心参数输入!$B$124)+1))))=1,INDEX($D$21:$DT$21,1,MAX(1,MIN(121,33-(核心参数输入!$B$148+核心参数输入!$B$124)+1))),IF(AND(33-核心参数输入!$B$105&gt;=0,33-核心参数输入!$B$105&lt;=120),INDEX(季度计划!$D$121:$DT$121,1,MAX(1,MIN(121,33-核心参数输入!$B$105+1))),0)),0),0)</f>
        <v>0</v>
      </c>
      <c r="AL122" s="22">
        <f>IF(34&lt;=核心参数输入!$B$9*4,IF(AND(34-(核心参数输入!$B$148+核心参数输入!$B$124)&gt;=0,34-(核心参数输入!$B$148+核心参数输入!$B$124)&lt;=120),IF(COUNT(INDEX($D$21:$DT$21,1,MAX(1,MIN(121,34-(核心参数输入!$B$148+核心参数输入!$B$124)+1))))=1,INDEX($D$21:$DT$21,1,MAX(1,MIN(121,34-(核心参数输入!$B$148+核心参数输入!$B$124)+1))),IF(AND(34-核心参数输入!$B$105&gt;=0,34-核心参数输入!$B$105&lt;=120),INDEX(季度计划!$D$121:$DT$121,1,MAX(1,MIN(121,34-核心参数输入!$B$105+1))),0)),0),0)</f>
        <v>0</v>
      </c>
      <c r="AM122" s="22">
        <f>IF(35&lt;=核心参数输入!$B$9*4,IF(AND(35-(核心参数输入!$B$148+核心参数输入!$B$124)&gt;=0,35-(核心参数输入!$B$148+核心参数输入!$B$124)&lt;=120),IF(COUNT(INDEX($D$21:$DT$21,1,MAX(1,MIN(121,35-(核心参数输入!$B$148+核心参数输入!$B$124)+1))))=1,INDEX($D$21:$DT$21,1,MAX(1,MIN(121,35-(核心参数输入!$B$148+核心参数输入!$B$124)+1))),IF(AND(35-核心参数输入!$B$105&gt;=0,35-核心参数输入!$B$105&lt;=120),INDEX(季度计划!$D$121:$DT$121,1,MAX(1,MIN(121,35-核心参数输入!$B$105+1))),0)),0),0)</f>
        <v>0</v>
      </c>
      <c r="AN122" s="22">
        <f>IF(36&lt;=核心参数输入!$B$9*4,IF(AND(36-(核心参数输入!$B$148+核心参数输入!$B$124)&gt;=0,36-(核心参数输入!$B$148+核心参数输入!$B$124)&lt;=120),IF(COUNT(INDEX($D$21:$DT$21,1,MAX(1,MIN(121,36-(核心参数输入!$B$148+核心参数输入!$B$124)+1))))=1,INDEX($D$21:$DT$21,1,MAX(1,MIN(121,36-(核心参数输入!$B$148+核心参数输入!$B$124)+1))),IF(AND(36-核心参数输入!$B$105&gt;=0,36-核心参数输入!$B$105&lt;=120),INDEX(季度计划!$D$121:$DT$121,1,MAX(1,MIN(121,36-核心参数输入!$B$105+1))),0)),0),0)</f>
        <v>0</v>
      </c>
      <c r="AO122" s="22">
        <f>IF(37&lt;=核心参数输入!$B$9*4,IF(AND(37-(核心参数输入!$B$148+核心参数输入!$B$124)&gt;=0,37-(核心参数输入!$B$148+核心参数输入!$B$124)&lt;=120),IF(COUNT(INDEX($D$21:$DT$21,1,MAX(1,MIN(121,37-(核心参数输入!$B$148+核心参数输入!$B$124)+1))))=1,INDEX($D$21:$DT$21,1,MAX(1,MIN(121,37-(核心参数输入!$B$148+核心参数输入!$B$124)+1))),IF(AND(37-核心参数输入!$B$105&gt;=0,37-核心参数输入!$B$105&lt;=120),INDEX(季度计划!$D$121:$DT$121,1,MAX(1,MIN(121,37-核心参数输入!$B$105+1))),0)),0),0)</f>
        <v>0</v>
      </c>
      <c r="AP122" s="22">
        <f>IF(38&lt;=核心参数输入!$B$9*4,IF(AND(38-(核心参数输入!$B$148+核心参数输入!$B$124)&gt;=0,38-(核心参数输入!$B$148+核心参数输入!$B$124)&lt;=120),IF(COUNT(INDEX($D$21:$DT$21,1,MAX(1,MIN(121,38-(核心参数输入!$B$148+核心参数输入!$B$124)+1))))=1,INDEX($D$21:$DT$21,1,MAX(1,MIN(121,38-(核心参数输入!$B$148+核心参数输入!$B$124)+1))),IF(AND(38-核心参数输入!$B$105&gt;=0,38-核心参数输入!$B$105&lt;=120),INDEX(季度计划!$D$121:$DT$121,1,MAX(1,MIN(121,38-核心参数输入!$B$105+1))),0)),0),0)</f>
        <v>0</v>
      </c>
      <c r="AQ122" s="22">
        <f>IF(39&lt;=核心参数输入!$B$9*4,IF(AND(39-(核心参数输入!$B$148+核心参数输入!$B$124)&gt;=0,39-(核心参数输入!$B$148+核心参数输入!$B$124)&lt;=120),IF(COUNT(INDEX($D$21:$DT$21,1,MAX(1,MIN(121,39-(核心参数输入!$B$148+核心参数输入!$B$124)+1))))=1,INDEX($D$21:$DT$21,1,MAX(1,MIN(121,39-(核心参数输入!$B$148+核心参数输入!$B$124)+1))),IF(AND(39-核心参数输入!$B$105&gt;=0,39-核心参数输入!$B$105&lt;=120),INDEX(季度计划!$D$121:$DT$121,1,MAX(1,MIN(121,39-核心参数输入!$B$105+1))),0)),0),0)</f>
        <v>0</v>
      </c>
      <c r="AR122" s="22">
        <f>IF(40&lt;=核心参数输入!$B$9*4,IF(AND(40-(核心参数输入!$B$148+核心参数输入!$B$124)&gt;=0,40-(核心参数输入!$B$148+核心参数输入!$B$124)&lt;=120),IF(COUNT(INDEX($D$21:$DT$21,1,MAX(1,MIN(121,40-(核心参数输入!$B$148+核心参数输入!$B$124)+1))))=1,INDEX($D$21:$DT$21,1,MAX(1,MIN(121,40-(核心参数输入!$B$148+核心参数输入!$B$124)+1))),IF(AND(40-核心参数输入!$B$105&gt;=0,40-核心参数输入!$B$105&lt;=120),INDEX(季度计划!$D$121:$DT$121,1,MAX(1,MIN(121,40-核心参数输入!$B$105+1))),0)),0),0)</f>
        <v>0</v>
      </c>
      <c r="AS122" s="22">
        <f>IF(41&lt;=核心参数输入!$B$9*4,IF(AND(41-(核心参数输入!$B$148+核心参数输入!$B$124)&gt;=0,41-(核心参数输入!$B$148+核心参数输入!$B$124)&lt;=120),IF(COUNT(INDEX($D$21:$DT$21,1,MAX(1,MIN(121,41-(核心参数输入!$B$148+核心参数输入!$B$124)+1))))=1,INDEX($D$21:$DT$21,1,MAX(1,MIN(121,41-(核心参数输入!$B$148+核心参数输入!$B$124)+1))),IF(AND(41-核心参数输入!$B$105&gt;=0,41-核心参数输入!$B$105&lt;=120),INDEX(季度计划!$D$121:$DT$121,1,MAX(1,MIN(121,41-核心参数输入!$B$105+1))),0)),0),0)</f>
        <v>0</v>
      </c>
      <c r="AT122" s="22">
        <f>IF(42&lt;=核心参数输入!$B$9*4,IF(AND(42-(核心参数输入!$B$148+核心参数输入!$B$124)&gt;=0,42-(核心参数输入!$B$148+核心参数输入!$B$124)&lt;=120),IF(COUNT(INDEX($D$21:$DT$21,1,MAX(1,MIN(121,42-(核心参数输入!$B$148+核心参数输入!$B$124)+1))))=1,INDEX($D$21:$DT$21,1,MAX(1,MIN(121,42-(核心参数输入!$B$148+核心参数输入!$B$124)+1))),IF(AND(42-核心参数输入!$B$105&gt;=0,42-核心参数输入!$B$105&lt;=120),INDEX(季度计划!$D$121:$DT$121,1,MAX(1,MIN(121,42-核心参数输入!$B$105+1))),0)),0),0)</f>
        <v>0</v>
      </c>
      <c r="AU122" s="22">
        <f>IF(43&lt;=核心参数输入!$B$9*4,IF(AND(43-(核心参数输入!$B$148+核心参数输入!$B$124)&gt;=0,43-(核心参数输入!$B$148+核心参数输入!$B$124)&lt;=120),IF(COUNT(INDEX($D$21:$DT$21,1,MAX(1,MIN(121,43-(核心参数输入!$B$148+核心参数输入!$B$124)+1))))=1,INDEX($D$21:$DT$21,1,MAX(1,MIN(121,43-(核心参数输入!$B$148+核心参数输入!$B$124)+1))),IF(AND(43-核心参数输入!$B$105&gt;=0,43-核心参数输入!$B$105&lt;=120),INDEX(季度计划!$D$121:$DT$121,1,MAX(1,MIN(121,43-核心参数输入!$B$105+1))),0)),0),0)</f>
        <v>0</v>
      </c>
      <c r="AV122" s="22">
        <f>IF(44&lt;=核心参数输入!$B$9*4,IF(AND(44-(核心参数输入!$B$148+核心参数输入!$B$124)&gt;=0,44-(核心参数输入!$B$148+核心参数输入!$B$124)&lt;=120),IF(COUNT(INDEX($D$21:$DT$21,1,MAX(1,MIN(121,44-(核心参数输入!$B$148+核心参数输入!$B$124)+1))))=1,INDEX($D$21:$DT$21,1,MAX(1,MIN(121,44-(核心参数输入!$B$148+核心参数输入!$B$124)+1))),IF(AND(44-核心参数输入!$B$105&gt;=0,44-核心参数输入!$B$105&lt;=120),INDEX(季度计划!$D$121:$DT$121,1,MAX(1,MIN(121,44-核心参数输入!$B$105+1))),0)),0),0)</f>
        <v>0</v>
      </c>
      <c r="AW122" s="22">
        <f>IF(45&lt;=核心参数输入!$B$9*4,IF(AND(45-(核心参数输入!$B$148+核心参数输入!$B$124)&gt;=0,45-(核心参数输入!$B$148+核心参数输入!$B$124)&lt;=120),IF(COUNT(INDEX($D$21:$DT$21,1,MAX(1,MIN(121,45-(核心参数输入!$B$148+核心参数输入!$B$124)+1))))=1,INDEX($D$21:$DT$21,1,MAX(1,MIN(121,45-(核心参数输入!$B$148+核心参数输入!$B$124)+1))),IF(AND(45-核心参数输入!$B$105&gt;=0,45-核心参数输入!$B$105&lt;=120),INDEX(季度计划!$D$121:$DT$121,1,MAX(1,MIN(121,45-核心参数输入!$B$105+1))),0)),0),0)</f>
        <v>0</v>
      </c>
      <c r="AX122" s="22">
        <f>IF(46&lt;=核心参数输入!$B$9*4,IF(AND(46-(核心参数输入!$B$148+核心参数输入!$B$124)&gt;=0,46-(核心参数输入!$B$148+核心参数输入!$B$124)&lt;=120),IF(COUNT(INDEX($D$21:$DT$21,1,MAX(1,MIN(121,46-(核心参数输入!$B$148+核心参数输入!$B$124)+1))))=1,INDEX($D$21:$DT$21,1,MAX(1,MIN(121,46-(核心参数输入!$B$148+核心参数输入!$B$124)+1))),IF(AND(46-核心参数输入!$B$105&gt;=0,46-核心参数输入!$B$105&lt;=120),INDEX(季度计划!$D$121:$DT$121,1,MAX(1,MIN(121,46-核心参数输入!$B$105+1))),0)),0),0)</f>
        <v>0</v>
      </c>
      <c r="AY122" s="22">
        <f>IF(47&lt;=核心参数输入!$B$9*4,IF(AND(47-(核心参数输入!$B$148+核心参数输入!$B$124)&gt;=0,47-(核心参数输入!$B$148+核心参数输入!$B$124)&lt;=120),IF(COUNT(INDEX($D$21:$DT$21,1,MAX(1,MIN(121,47-(核心参数输入!$B$148+核心参数输入!$B$124)+1))))=1,INDEX($D$21:$DT$21,1,MAX(1,MIN(121,47-(核心参数输入!$B$148+核心参数输入!$B$124)+1))),IF(AND(47-核心参数输入!$B$105&gt;=0,47-核心参数输入!$B$105&lt;=120),INDEX(季度计划!$D$121:$DT$121,1,MAX(1,MIN(121,47-核心参数输入!$B$105+1))),0)),0),0)</f>
        <v>0</v>
      </c>
      <c r="AZ122" s="22">
        <f>IF(48&lt;=核心参数输入!$B$9*4,IF(AND(48-(核心参数输入!$B$148+核心参数输入!$B$124)&gt;=0,48-(核心参数输入!$B$148+核心参数输入!$B$124)&lt;=120),IF(COUNT(INDEX($D$21:$DT$21,1,MAX(1,MIN(121,48-(核心参数输入!$B$148+核心参数输入!$B$124)+1))))=1,INDEX($D$21:$DT$21,1,MAX(1,MIN(121,48-(核心参数输入!$B$148+核心参数输入!$B$124)+1))),IF(AND(48-核心参数输入!$B$105&gt;=0,48-核心参数输入!$B$105&lt;=120),INDEX(季度计划!$D$121:$DT$121,1,MAX(1,MIN(121,48-核心参数输入!$B$105+1))),0)),0),0)</f>
        <v>0</v>
      </c>
      <c r="BA122" s="22">
        <f>IF(49&lt;=核心参数输入!$B$9*4,IF(AND(49-(核心参数输入!$B$148+核心参数输入!$B$124)&gt;=0,49-(核心参数输入!$B$148+核心参数输入!$B$124)&lt;=120),IF(COUNT(INDEX($D$21:$DT$21,1,MAX(1,MIN(121,49-(核心参数输入!$B$148+核心参数输入!$B$124)+1))))=1,INDEX($D$21:$DT$21,1,MAX(1,MIN(121,49-(核心参数输入!$B$148+核心参数输入!$B$124)+1))),IF(AND(49-核心参数输入!$B$105&gt;=0,49-核心参数输入!$B$105&lt;=120),INDEX(季度计划!$D$121:$DT$121,1,MAX(1,MIN(121,49-核心参数输入!$B$105+1))),0)),0),0)</f>
        <v>0</v>
      </c>
      <c r="BB122" s="22">
        <f>IF(50&lt;=核心参数输入!$B$9*4,IF(AND(50-(核心参数输入!$B$148+核心参数输入!$B$124)&gt;=0,50-(核心参数输入!$B$148+核心参数输入!$B$124)&lt;=120),IF(COUNT(INDEX($D$21:$DT$21,1,MAX(1,MIN(121,50-(核心参数输入!$B$148+核心参数输入!$B$124)+1))))=1,INDEX($D$21:$DT$21,1,MAX(1,MIN(121,50-(核心参数输入!$B$148+核心参数输入!$B$124)+1))),IF(AND(50-核心参数输入!$B$105&gt;=0,50-核心参数输入!$B$105&lt;=120),INDEX(季度计划!$D$121:$DT$121,1,MAX(1,MIN(121,50-核心参数输入!$B$105+1))),0)),0),0)</f>
        <v>0</v>
      </c>
      <c r="BC122" s="22">
        <f>IF(51&lt;=核心参数输入!$B$9*4,IF(AND(51-(核心参数输入!$B$148+核心参数输入!$B$124)&gt;=0,51-(核心参数输入!$B$148+核心参数输入!$B$124)&lt;=120),IF(COUNT(INDEX($D$21:$DT$21,1,MAX(1,MIN(121,51-(核心参数输入!$B$148+核心参数输入!$B$124)+1))))=1,INDEX($D$21:$DT$21,1,MAX(1,MIN(121,51-(核心参数输入!$B$148+核心参数输入!$B$124)+1))),IF(AND(51-核心参数输入!$B$105&gt;=0,51-核心参数输入!$B$105&lt;=120),INDEX(季度计划!$D$121:$DT$121,1,MAX(1,MIN(121,51-核心参数输入!$B$105+1))),0)),0),0)</f>
        <v>0</v>
      </c>
      <c r="BD122" s="22">
        <f>IF(52&lt;=核心参数输入!$B$9*4,IF(AND(52-(核心参数输入!$B$148+核心参数输入!$B$124)&gt;=0,52-(核心参数输入!$B$148+核心参数输入!$B$124)&lt;=120),IF(COUNT(INDEX($D$21:$DT$21,1,MAX(1,MIN(121,52-(核心参数输入!$B$148+核心参数输入!$B$124)+1))))=1,INDEX($D$21:$DT$21,1,MAX(1,MIN(121,52-(核心参数输入!$B$148+核心参数输入!$B$124)+1))),IF(AND(52-核心参数输入!$B$105&gt;=0,52-核心参数输入!$B$105&lt;=120),INDEX(季度计划!$D$121:$DT$121,1,MAX(1,MIN(121,52-核心参数输入!$B$105+1))),0)),0),0)</f>
        <v>0</v>
      </c>
      <c r="BE122" s="22">
        <f>IF(53&lt;=核心参数输入!$B$9*4,IF(AND(53-(核心参数输入!$B$148+核心参数输入!$B$124)&gt;=0,53-(核心参数输入!$B$148+核心参数输入!$B$124)&lt;=120),IF(COUNT(INDEX($D$21:$DT$21,1,MAX(1,MIN(121,53-(核心参数输入!$B$148+核心参数输入!$B$124)+1))))=1,INDEX($D$21:$DT$21,1,MAX(1,MIN(121,53-(核心参数输入!$B$148+核心参数输入!$B$124)+1))),IF(AND(53-核心参数输入!$B$105&gt;=0,53-核心参数输入!$B$105&lt;=120),INDEX(季度计划!$D$121:$DT$121,1,MAX(1,MIN(121,53-核心参数输入!$B$105+1))),0)),0),0)</f>
        <v>0</v>
      </c>
      <c r="BF122" s="22">
        <f>IF(54&lt;=核心参数输入!$B$9*4,IF(AND(54-(核心参数输入!$B$148+核心参数输入!$B$124)&gt;=0,54-(核心参数输入!$B$148+核心参数输入!$B$124)&lt;=120),IF(COUNT(INDEX($D$21:$DT$21,1,MAX(1,MIN(121,54-(核心参数输入!$B$148+核心参数输入!$B$124)+1))))=1,INDEX($D$21:$DT$21,1,MAX(1,MIN(121,54-(核心参数输入!$B$148+核心参数输入!$B$124)+1))),IF(AND(54-核心参数输入!$B$105&gt;=0,54-核心参数输入!$B$105&lt;=120),INDEX(季度计划!$D$121:$DT$121,1,MAX(1,MIN(121,54-核心参数输入!$B$105+1))),0)),0),0)</f>
        <v>0</v>
      </c>
      <c r="BG122" s="22">
        <f>IF(55&lt;=核心参数输入!$B$9*4,IF(AND(55-(核心参数输入!$B$148+核心参数输入!$B$124)&gt;=0,55-(核心参数输入!$B$148+核心参数输入!$B$124)&lt;=120),IF(COUNT(INDEX($D$21:$DT$21,1,MAX(1,MIN(121,55-(核心参数输入!$B$148+核心参数输入!$B$124)+1))))=1,INDEX($D$21:$DT$21,1,MAX(1,MIN(121,55-(核心参数输入!$B$148+核心参数输入!$B$124)+1))),IF(AND(55-核心参数输入!$B$105&gt;=0,55-核心参数输入!$B$105&lt;=120),INDEX(季度计划!$D$121:$DT$121,1,MAX(1,MIN(121,55-核心参数输入!$B$105+1))),0)),0),0)</f>
        <v>0</v>
      </c>
      <c r="BH122" s="22">
        <f>IF(56&lt;=核心参数输入!$B$9*4,IF(AND(56-(核心参数输入!$B$148+核心参数输入!$B$124)&gt;=0,56-(核心参数输入!$B$148+核心参数输入!$B$124)&lt;=120),IF(COUNT(INDEX($D$21:$DT$21,1,MAX(1,MIN(121,56-(核心参数输入!$B$148+核心参数输入!$B$124)+1))))=1,INDEX($D$21:$DT$21,1,MAX(1,MIN(121,56-(核心参数输入!$B$148+核心参数输入!$B$124)+1))),IF(AND(56-核心参数输入!$B$105&gt;=0,56-核心参数输入!$B$105&lt;=120),INDEX(季度计划!$D$121:$DT$121,1,MAX(1,MIN(121,56-核心参数输入!$B$105+1))),0)),0),0)</f>
        <v>0</v>
      </c>
      <c r="BI122" s="22">
        <f>IF(57&lt;=核心参数输入!$B$9*4,IF(AND(57-(核心参数输入!$B$148+核心参数输入!$B$124)&gt;=0,57-(核心参数输入!$B$148+核心参数输入!$B$124)&lt;=120),IF(COUNT(INDEX($D$21:$DT$21,1,MAX(1,MIN(121,57-(核心参数输入!$B$148+核心参数输入!$B$124)+1))))=1,INDEX($D$21:$DT$21,1,MAX(1,MIN(121,57-(核心参数输入!$B$148+核心参数输入!$B$124)+1))),IF(AND(57-核心参数输入!$B$105&gt;=0,57-核心参数输入!$B$105&lt;=120),INDEX(季度计划!$D$121:$DT$121,1,MAX(1,MIN(121,57-核心参数输入!$B$105+1))),0)),0),0)</f>
        <v>0</v>
      </c>
      <c r="BJ122" s="22">
        <f>IF(58&lt;=核心参数输入!$B$9*4,IF(AND(58-(核心参数输入!$B$148+核心参数输入!$B$124)&gt;=0,58-(核心参数输入!$B$148+核心参数输入!$B$124)&lt;=120),IF(COUNT(INDEX($D$21:$DT$21,1,MAX(1,MIN(121,58-(核心参数输入!$B$148+核心参数输入!$B$124)+1))))=1,INDEX($D$21:$DT$21,1,MAX(1,MIN(121,58-(核心参数输入!$B$148+核心参数输入!$B$124)+1))),IF(AND(58-核心参数输入!$B$105&gt;=0,58-核心参数输入!$B$105&lt;=120),INDEX(季度计划!$D$121:$DT$121,1,MAX(1,MIN(121,58-核心参数输入!$B$105+1))),0)),0),0)</f>
        <v>0</v>
      </c>
      <c r="BK122" s="22">
        <f>IF(59&lt;=核心参数输入!$B$9*4,IF(AND(59-(核心参数输入!$B$148+核心参数输入!$B$124)&gt;=0,59-(核心参数输入!$B$148+核心参数输入!$B$124)&lt;=120),IF(COUNT(INDEX($D$21:$DT$21,1,MAX(1,MIN(121,59-(核心参数输入!$B$148+核心参数输入!$B$124)+1))))=1,INDEX($D$21:$DT$21,1,MAX(1,MIN(121,59-(核心参数输入!$B$148+核心参数输入!$B$124)+1))),IF(AND(59-核心参数输入!$B$105&gt;=0,59-核心参数输入!$B$105&lt;=120),INDEX(季度计划!$D$121:$DT$121,1,MAX(1,MIN(121,59-核心参数输入!$B$105+1))),0)),0),0)</f>
        <v>0</v>
      </c>
      <c r="BL122" s="22">
        <f>IF(60&lt;=核心参数输入!$B$9*4,IF(AND(60-(核心参数输入!$B$148+核心参数输入!$B$124)&gt;=0,60-(核心参数输入!$B$148+核心参数输入!$B$124)&lt;=120),IF(COUNT(INDEX($D$21:$DT$21,1,MAX(1,MIN(121,60-(核心参数输入!$B$148+核心参数输入!$B$124)+1))))=1,INDEX($D$21:$DT$21,1,MAX(1,MIN(121,60-(核心参数输入!$B$148+核心参数输入!$B$124)+1))),IF(AND(60-核心参数输入!$B$105&gt;=0,60-核心参数输入!$B$105&lt;=120),INDEX(季度计划!$D$121:$DT$121,1,MAX(1,MIN(121,60-核心参数输入!$B$105+1))),0)),0),0)</f>
        <v>0</v>
      </c>
      <c r="BM122" s="22">
        <f>IF(61&lt;=核心参数输入!$B$9*4,IF(AND(61-(核心参数输入!$B$148+核心参数输入!$B$124)&gt;=0,61-(核心参数输入!$B$148+核心参数输入!$B$124)&lt;=120),IF(COUNT(INDEX($D$21:$DT$21,1,MAX(1,MIN(121,61-(核心参数输入!$B$148+核心参数输入!$B$124)+1))))=1,INDEX($D$21:$DT$21,1,MAX(1,MIN(121,61-(核心参数输入!$B$148+核心参数输入!$B$124)+1))),IF(AND(61-核心参数输入!$B$105&gt;=0,61-核心参数输入!$B$105&lt;=120),INDEX(季度计划!$D$121:$DT$121,1,MAX(1,MIN(121,61-核心参数输入!$B$105+1))),0)),0),0)</f>
        <v>0</v>
      </c>
      <c r="BN122" s="22">
        <f>IF(62&lt;=核心参数输入!$B$9*4,IF(AND(62-(核心参数输入!$B$148+核心参数输入!$B$124)&gt;=0,62-(核心参数输入!$B$148+核心参数输入!$B$124)&lt;=120),IF(COUNT(INDEX($D$21:$DT$21,1,MAX(1,MIN(121,62-(核心参数输入!$B$148+核心参数输入!$B$124)+1))))=1,INDEX($D$21:$DT$21,1,MAX(1,MIN(121,62-(核心参数输入!$B$148+核心参数输入!$B$124)+1))),IF(AND(62-核心参数输入!$B$105&gt;=0,62-核心参数输入!$B$105&lt;=120),INDEX(季度计划!$D$121:$DT$121,1,MAX(1,MIN(121,62-核心参数输入!$B$105+1))),0)),0),0)</f>
        <v>0</v>
      </c>
      <c r="BO122" s="22">
        <f>IF(63&lt;=核心参数输入!$B$9*4,IF(AND(63-(核心参数输入!$B$148+核心参数输入!$B$124)&gt;=0,63-(核心参数输入!$B$148+核心参数输入!$B$124)&lt;=120),IF(COUNT(INDEX($D$21:$DT$21,1,MAX(1,MIN(121,63-(核心参数输入!$B$148+核心参数输入!$B$124)+1))))=1,INDEX($D$21:$DT$21,1,MAX(1,MIN(121,63-(核心参数输入!$B$148+核心参数输入!$B$124)+1))),IF(AND(63-核心参数输入!$B$105&gt;=0,63-核心参数输入!$B$105&lt;=120),INDEX(季度计划!$D$121:$DT$121,1,MAX(1,MIN(121,63-核心参数输入!$B$105+1))),0)),0),0)</f>
        <v>0</v>
      </c>
      <c r="BP122" s="22">
        <f>IF(64&lt;=核心参数输入!$B$9*4,IF(AND(64-(核心参数输入!$B$148+核心参数输入!$B$124)&gt;=0,64-(核心参数输入!$B$148+核心参数输入!$B$124)&lt;=120),IF(COUNT(INDEX($D$21:$DT$21,1,MAX(1,MIN(121,64-(核心参数输入!$B$148+核心参数输入!$B$124)+1))))=1,INDEX($D$21:$DT$21,1,MAX(1,MIN(121,64-(核心参数输入!$B$148+核心参数输入!$B$124)+1))),IF(AND(64-核心参数输入!$B$105&gt;=0,64-核心参数输入!$B$105&lt;=120),INDEX(季度计划!$D$121:$DT$121,1,MAX(1,MIN(121,64-核心参数输入!$B$105+1))),0)),0),0)</f>
        <v>0</v>
      </c>
      <c r="BQ122" s="22">
        <f>IF(65&lt;=核心参数输入!$B$9*4,IF(AND(65-(核心参数输入!$B$148+核心参数输入!$B$124)&gt;=0,65-(核心参数输入!$B$148+核心参数输入!$B$124)&lt;=120),IF(COUNT(INDEX($D$21:$DT$21,1,MAX(1,MIN(121,65-(核心参数输入!$B$148+核心参数输入!$B$124)+1))))=1,INDEX($D$21:$DT$21,1,MAX(1,MIN(121,65-(核心参数输入!$B$148+核心参数输入!$B$124)+1))),IF(AND(65-核心参数输入!$B$105&gt;=0,65-核心参数输入!$B$105&lt;=120),INDEX(季度计划!$D$121:$DT$121,1,MAX(1,MIN(121,65-核心参数输入!$B$105+1))),0)),0),0)</f>
        <v>0</v>
      </c>
      <c r="BR122" s="22">
        <f>IF(66&lt;=核心参数输入!$B$9*4,IF(AND(66-(核心参数输入!$B$148+核心参数输入!$B$124)&gt;=0,66-(核心参数输入!$B$148+核心参数输入!$B$124)&lt;=120),IF(COUNT(INDEX($D$21:$DT$21,1,MAX(1,MIN(121,66-(核心参数输入!$B$148+核心参数输入!$B$124)+1))))=1,INDEX($D$21:$DT$21,1,MAX(1,MIN(121,66-(核心参数输入!$B$148+核心参数输入!$B$124)+1))),IF(AND(66-核心参数输入!$B$105&gt;=0,66-核心参数输入!$B$105&lt;=120),INDEX(季度计划!$D$121:$DT$121,1,MAX(1,MIN(121,66-核心参数输入!$B$105+1))),0)),0),0)</f>
        <v>0</v>
      </c>
      <c r="BS122" s="22">
        <f>IF(67&lt;=核心参数输入!$B$9*4,IF(AND(67-(核心参数输入!$B$148+核心参数输入!$B$124)&gt;=0,67-(核心参数输入!$B$148+核心参数输入!$B$124)&lt;=120),IF(COUNT(INDEX($D$21:$DT$21,1,MAX(1,MIN(121,67-(核心参数输入!$B$148+核心参数输入!$B$124)+1))))=1,INDEX($D$21:$DT$21,1,MAX(1,MIN(121,67-(核心参数输入!$B$148+核心参数输入!$B$124)+1))),IF(AND(67-核心参数输入!$B$105&gt;=0,67-核心参数输入!$B$105&lt;=120),INDEX(季度计划!$D$121:$DT$121,1,MAX(1,MIN(121,67-核心参数输入!$B$105+1))),0)),0),0)</f>
        <v>0</v>
      </c>
      <c r="BT122" s="22">
        <f>IF(68&lt;=核心参数输入!$B$9*4,IF(AND(68-(核心参数输入!$B$148+核心参数输入!$B$124)&gt;=0,68-(核心参数输入!$B$148+核心参数输入!$B$124)&lt;=120),IF(COUNT(INDEX($D$21:$DT$21,1,MAX(1,MIN(121,68-(核心参数输入!$B$148+核心参数输入!$B$124)+1))))=1,INDEX($D$21:$DT$21,1,MAX(1,MIN(121,68-(核心参数输入!$B$148+核心参数输入!$B$124)+1))),IF(AND(68-核心参数输入!$B$105&gt;=0,68-核心参数输入!$B$105&lt;=120),INDEX(季度计划!$D$121:$DT$121,1,MAX(1,MIN(121,68-核心参数输入!$B$105+1))),0)),0),0)</f>
        <v>0</v>
      </c>
      <c r="BU122" s="22">
        <f>IF(69&lt;=核心参数输入!$B$9*4,IF(AND(69-(核心参数输入!$B$148+核心参数输入!$B$124)&gt;=0,69-(核心参数输入!$B$148+核心参数输入!$B$124)&lt;=120),IF(COUNT(INDEX($D$21:$DT$21,1,MAX(1,MIN(121,69-(核心参数输入!$B$148+核心参数输入!$B$124)+1))))=1,INDEX($D$21:$DT$21,1,MAX(1,MIN(121,69-(核心参数输入!$B$148+核心参数输入!$B$124)+1))),IF(AND(69-核心参数输入!$B$105&gt;=0,69-核心参数输入!$B$105&lt;=120),INDEX(季度计划!$D$121:$DT$121,1,MAX(1,MIN(121,69-核心参数输入!$B$105+1))),0)),0),0)</f>
        <v>0</v>
      </c>
      <c r="BV122" s="22">
        <f>IF(70&lt;=核心参数输入!$B$9*4,IF(AND(70-(核心参数输入!$B$148+核心参数输入!$B$124)&gt;=0,70-(核心参数输入!$B$148+核心参数输入!$B$124)&lt;=120),IF(COUNT(INDEX($D$21:$DT$21,1,MAX(1,MIN(121,70-(核心参数输入!$B$148+核心参数输入!$B$124)+1))))=1,INDEX($D$21:$DT$21,1,MAX(1,MIN(121,70-(核心参数输入!$B$148+核心参数输入!$B$124)+1))),IF(AND(70-核心参数输入!$B$105&gt;=0,70-核心参数输入!$B$105&lt;=120),INDEX(季度计划!$D$121:$DT$121,1,MAX(1,MIN(121,70-核心参数输入!$B$105+1))),0)),0),0)</f>
        <v>0</v>
      </c>
      <c r="BW122" s="22">
        <f>IF(71&lt;=核心参数输入!$B$9*4,IF(AND(71-(核心参数输入!$B$148+核心参数输入!$B$124)&gt;=0,71-(核心参数输入!$B$148+核心参数输入!$B$124)&lt;=120),IF(COUNT(INDEX($D$21:$DT$21,1,MAX(1,MIN(121,71-(核心参数输入!$B$148+核心参数输入!$B$124)+1))))=1,INDEX($D$21:$DT$21,1,MAX(1,MIN(121,71-(核心参数输入!$B$148+核心参数输入!$B$124)+1))),IF(AND(71-核心参数输入!$B$105&gt;=0,71-核心参数输入!$B$105&lt;=120),INDEX(季度计划!$D$121:$DT$121,1,MAX(1,MIN(121,71-核心参数输入!$B$105+1))),0)),0),0)</f>
        <v>0</v>
      </c>
      <c r="BX122" s="22">
        <f>IF(72&lt;=核心参数输入!$B$9*4,IF(AND(72-(核心参数输入!$B$148+核心参数输入!$B$124)&gt;=0,72-(核心参数输入!$B$148+核心参数输入!$B$124)&lt;=120),IF(COUNT(INDEX($D$21:$DT$21,1,MAX(1,MIN(121,72-(核心参数输入!$B$148+核心参数输入!$B$124)+1))))=1,INDEX($D$21:$DT$21,1,MAX(1,MIN(121,72-(核心参数输入!$B$148+核心参数输入!$B$124)+1))),IF(AND(72-核心参数输入!$B$105&gt;=0,72-核心参数输入!$B$105&lt;=120),INDEX(季度计划!$D$121:$DT$121,1,MAX(1,MIN(121,72-核心参数输入!$B$105+1))),0)),0),0)</f>
        <v>0</v>
      </c>
      <c r="BY122" s="22">
        <f>IF(73&lt;=核心参数输入!$B$9*4,IF(AND(73-(核心参数输入!$B$148+核心参数输入!$B$124)&gt;=0,73-(核心参数输入!$B$148+核心参数输入!$B$124)&lt;=120),IF(COUNT(INDEX($D$21:$DT$21,1,MAX(1,MIN(121,73-(核心参数输入!$B$148+核心参数输入!$B$124)+1))))=1,INDEX($D$21:$DT$21,1,MAX(1,MIN(121,73-(核心参数输入!$B$148+核心参数输入!$B$124)+1))),IF(AND(73-核心参数输入!$B$105&gt;=0,73-核心参数输入!$B$105&lt;=120),INDEX(季度计划!$D$121:$DT$121,1,MAX(1,MIN(121,73-核心参数输入!$B$105+1))),0)),0),0)</f>
        <v>0</v>
      </c>
      <c r="BZ122" s="22">
        <f>IF(74&lt;=核心参数输入!$B$9*4,IF(AND(74-(核心参数输入!$B$148+核心参数输入!$B$124)&gt;=0,74-(核心参数输入!$B$148+核心参数输入!$B$124)&lt;=120),IF(COUNT(INDEX($D$21:$DT$21,1,MAX(1,MIN(121,74-(核心参数输入!$B$148+核心参数输入!$B$124)+1))))=1,INDEX($D$21:$DT$21,1,MAX(1,MIN(121,74-(核心参数输入!$B$148+核心参数输入!$B$124)+1))),IF(AND(74-核心参数输入!$B$105&gt;=0,74-核心参数输入!$B$105&lt;=120),INDEX(季度计划!$D$121:$DT$121,1,MAX(1,MIN(121,74-核心参数输入!$B$105+1))),0)),0),0)</f>
        <v>0</v>
      </c>
      <c r="CA122" s="22">
        <f>IF(75&lt;=核心参数输入!$B$9*4,IF(AND(75-(核心参数输入!$B$148+核心参数输入!$B$124)&gt;=0,75-(核心参数输入!$B$148+核心参数输入!$B$124)&lt;=120),IF(COUNT(INDEX($D$21:$DT$21,1,MAX(1,MIN(121,75-(核心参数输入!$B$148+核心参数输入!$B$124)+1))))=1,INDEX($D$21:$DT$21,1,MAX(1,MIN(121,75-(核心参数输入!$B$148+核心参数输入!$B$124)+1))),IF(AND(75-核心参数输入!$B$105&gt;=0,75-核心参数输入!$B$105&lt;=120),INDEX(季度计划!$D$121:$DT$121,1,MAX(1,MIN(121,75-核心参数输入!$B$105+1))),0)),0),0)</f>
        <v>0</v>
      </c>
      <c r="CB122" s="22">
        <f>IF(76&lt;=核心参数输入!$B$9*4,IF(AND(76-(核心参数输入!$B$148+核心参数输入!$B$124)&gt;=0,76-(核心参数输入!$B$148+核心参数输入!$B$124)&lt;=120),IF(COUNT(INDEX($D$21:$DT$21,1,MAX(1,MIN(121,76-(核心参数输入!$B$148+核心参数输入!$B$124)+1))))=1,INDEX($D$21:$DT$21,1,MAX(1,MIN(121,76-(核心参数输入!$B$148+核心参数输入!$B$124)+1))),IF(AND(76-核心参数输入!$B$105&gt;=0,76-核心参数输入!$B$105&lt;=120),INDEX(季度计划!$D$121:$DT$121,1,MAX(1,MIN(121,76-核心参数输入!$B$105+1))),0)),0),0)</f>
        <v>0</v>
      </c>
      <c r="CC122" s="22">
        <f>IF(77&lt;=核心参数输入!$B$9*4,IF(AND(77-(核心参数输入!$B$148+核心参数输入!$B$124)&gt;=0,77-(核心参数输入!$B$148+核心参数输入!$B$124)&lt;=120),IF(COUNT(INDEX($D$21:$DT$21,1,MAX(1,MIN(121,77-(核心参数输入!$B$148+核心参数输入!$B$124)+1))))=1,INDEX($D$21:$DT$21,1,MAX(1,MIN(121,77-(核心参数输入!$B$148+核心参数输入!$B$124)+1))),IF(AND(77-核心参数输入!$B$105&gt;=0,77-核心参数输入!$B$105&lt;=120),INDEX(季度计划!$D$121:$DT$121,1,MAX(1,MIN(121,77-核心参数输入!$B$105+1))),0)),0),0)</f>
        <v>0</v>
      </c>
      <c r="CD122" s="22">
        <f>IF(78&lt;=核心参数输入!$B$9*4,IF(AND(78-(核心参数输入!$B$148+核心参数输入!$B$124)&gt;=0,78-(核心参数输入!$B$148+核心参数输入!$B$124)&lt;=120),IF(COUNT(INDEX($D$21:$DT$21,1,MAX(1,MIN(121,78-(核心参数输入!$B$148+核心参数输入!$B$124)+1))))=1,INDEX($D$21:$DT$21,1,MAX(1,MIN(121,78-(核心参数输入!$B$148+核心参数输入!$B$124)+1))),IF(AND(78-核心参数输入!$B$105&gt;=0,78-核心参数输入!$B$105&lt;=120),INDEX(季度计划!$D$121:$DT$121,1,MAX(1,MIN(121,78-核心参数输入!$B$105+1))),0)),0),0)</f>
        <v>0</v>
      </c>
      <c r="CE122" s="22">
        <f>IF(79&lt;=核心参数输入!$B$9*4,IF(AND(79-(核心参数输入!$B$148+核心参数输入!$B$124)&gt;=0,79-(核心参数输入!$B$148+核心参数输入!$B$124)&lt;=120),IF(COUNT(INDEX($D$21:$DT$21,1,MAX(1,MIN(121,79-(核心参数输入!$B$148+核心参数输入!$B$124)+1))))=1,INDEX($D$21:$DT$21,1,MAX(1,MIN(121,79-(核心参数输入!$B$148+核心参数输入!$B$124)+1))),IF(AND(79-核心参数输入!$B$105&gt;=0,79-核心参数输入!$B$105&lt;=120),INDEX(季度计划!$D$121:$DT$121,1,MAX(1,MIN(121,79-核心参数输入!$B$105+1))),0)),0),0)</f>
        <v>0</v>
      </c>
      <c r="CF122" s="22">
        <f>IF(80&lt;=核心参数输入!$B$9*4,IF(AND(80-(核心参数输入!$B$148+核心参数输入!$B$124)&gt;=0,80-(核心参数输入!$B$148+核心参数输入!$B$124)&lt;=120),IF(COUNT(INDEX($D$21:$DT$21,1,MAX(1,MIN(121,80-(核心参数输入!$B$148+核心参数输入!$B$124)+1))))=1,INDEX($D$21:$DT$21,1,MAX(1,MIN(121,80-(核心参数输入!$B$148+核心参数输入!$B$124)+1))),IF(AND(80-核心参数输入!$B$105&gt;=0,80-核心参数输入!$B$105&lt;=120),INDEX(季度计划!$D$121:$DT$121,1,MAX(1,MIN(121,80-核心参数输入!$B$105+1))),0)),0),0)</f>
        <v>0</v>
      </c>
      <c r="CG122" s="22">
        <f>IF(81&lt;=核心参数输入!$B$9*4,IF(AND(81-(核心参数输入!$B$148+核心参数输入!$B$124)&gt;=0,81-(核心参数输入!$B$148+核心参数输入!$B$124)&lt;=120),IF(COUNT(INDEX($D$21:$DT$21,1,MAX(1,MIN(121,81-(核心参数输入!$B$148+核心参数输入!$B$124)+1))))=1,INDEX($D$21:$DT$21,1,MAX(1,MIN(121,81-(核心参数输入!$B$148+核心参数输入!$B$124)+1))),IF(AND(81-核心参数输入!$B$105&gt;=0,81-核心参数输入!$B$105&lt;=120),INDEX(季度计划!$D$121:$DT$121,1,MAX(1,MIN(121,81-核心参数输入!$B$105+1))),0)),0),0)</f>
        <v>0</v>
      </c>
      <c r="CH122" s="22">
        <f>IF(82&lt;=核心参数输入!$B$9*4,IF(AND(82-(核心参数输入!$B$148+核心参数输入!$B$124)&gt;=0,82-(核心参数输入!$B$148+核心参数输入!$B$124)&lt;=120),IF(COUNT(INDEX($D$21:$DT$21,1,MAX(1,MIN(121,82-(核心参数输入!$B$148+核心参数输入!$B$124)+1))))=1,INDEX($D$21:$DT$21,1,MAX(1,MIN(121,82-(核心参数输入!$B$148+核心参数输入!$B$124)+1))),IF(AND(82-核心参数输入!$B$105&gt;=0,82-核心参数输入!$B$105&lt;=120),INDEX(季度计划!$D$121:$DT$121,1,MAX(1,MIN(121,82-核心参数输入!$B$105+1))),0)),0),0)</f>
        <v>0</v>
      </c>
      <c r="CI122" s="22">
        <f>IF(83&lt;=核心参数输入!$B$9*4,IF(AND(83-(核心参数输入!$B$148+核心参数输入!$B$124)&gt;=0,83-(核心参数输入!$B$148+核心参数输入!$B$124)&lt;=120),IF(COUNT(INDEX($D$21:$DT$21,1,MAX(1,MIN(121,83-(核心参数输入!$B$148+核心参数输入!$B$124)+1))))=1,INDEX($D$21:$DT$21,1,MAX(1,MIN(121,83-(核心参数输入!$B$148+核心参数输入!$B$124)+1))),IF(AND(83-核心参数输入!$B$105&gt;=0,83-核心参数输入!$B$105&lt;=120),INDEX(季度计划!$D$121:$DT$121,1,MAX(1,MIN(121,83-核心参数输入!$B$105+1))),0)),0),0)</f>
        <v>0</v>
      </c>
      <c r="CJ122" s="22">
        <f>IF(84&lt;=核心参数输入!$B$9*4,IF(AND(84-(核心参数输入!$B$148+核心参数输入!$B$124)&gt;=0,84-(核心参数输入!$B$148+核心参数输入!$B$124)&lt;=120),IF(COUNT(INDEX($D$21:$DT$21,1,MAX(1,MIN(121,84-(核心参数输入!$B$148+核心参数输入!$B$124)+1))))=1,INDEX($D$21:$DT$21,1,MAX(1,MIN(121,84-(核心参数输入!$B$148+核心参数输入!$B$124)+1))),IF(AND(84-核心参数输入!$B$105&gt;=0,84-核心参数输入!$B$105&lt;=120),INDEX(季度计划!$D$121:$DT$121,1,MAX(1,MIN(121,84-核心参数输入!$B$105+1))),0)),0),0)</f>
        <v>0</v>
      </c>
      <c r="CK122" s="22">
        <f>IF(85&lt;=核心参数输入!$B$9*4,IF(AND(85-(核心参数输入!$B$148+核心参数输入!$B$124)&gt;=0,85-(核心参数输入!$B$148+核心参数输入!$B$124)&lt;=120),IF(COUNT(INDEX($D$21:$DT$21,1,MAX(1,MIN(121,85-(核心参数输入!$B$148+核心参数输入!$B$124)+1))))=1,INDEX($D$21:$DT$21,1,MAX(1,MIN(121,85-(核心参数输入!$B$148+核心参数输入!$B$124)+1))),IF(AND(85-核心参数输入!$B$105&gt;=0,85-核心参数输入!$B$105&lt;=120),INDEX(季度计划!$D$121:$DT$121,1,MAX(1,MIN(121,85-核心参数输入!$B$105+1))),0)),0),0)</f>
        <v>0</v>
      </c>
      <c r="CL122" s="22">
        <f>IF(86&lt;=核心参数输入!$B$9*4,IF(AND(86-(核心参数输入!$B$148+核心参数输入!$B$124)&gt;=0,86-(核心参数输入!$B$148+核心参数输入!$B$124)&lt;=120),IF(COUNT(INDEX($D$21:$DT$21,1,MAX(1,MIN(121,86-(核心参数输入!$B$148+核心参数输入!$B$124)+1))))=1,INDEX($D$21:$DT$21,1,MAX(1,MIN(121,86-(核心参数输入!$B$148+核心参数输入!$B$124)+1))),IF(AND(86-核心参数输入!$B$105&gt;=0,86-核心参数输入!$B$105&lt;=120),INDEX(季度计划!$D$121:$DT$121,1,MAX(1,MIN(121,86-核心参数输入!$B$105+1))),0)),0),0)</f>
        <v>0</v>
      </c>
      <c r="CM122" s="22">
        <f>IF(87&lt;=核心参数输入!$B$9*4,IF(AND(87-(核心参数输入!$B$148+核心参数输入!$B$124)&gt;=0,87-(核心参数输入!$B$148+核心参数输入!$B$124)&lt;=120),IF(COUNT(INDEX($D$21:$DT$21,1,MAX(1,MIN(121,87-(核心参数输入!$B$148+核心参数输入!$B$124)+1))))=1,INDEX($D$21:$DT$21,1,MAX(1,MIN(121,87-(核心参数输入!$B$148+核心参数输入!$B$124)+1))),IF(AND(87-核心参数输入!$B$105&gt;=0,87-核心参数输入!$B$105&lt;=120),INDEX(季度计划!$D$121:$DT$121,1,MAX(1,MIN(121,87-核心参数输入!$B$105+1))),0)),0),0)</f>
        <v>0</v>
      </c>
      <c r="CN122" s="22">
        <f>IF(88&lt;=核心参数输入!$B$9*4,IF(AND(88-(核心参数输入!$B$148+核心参数输入!$B$124)&gt;=0,88-(核心参数输入!$B$148+核心参数输入!$B$124)&lt;=120),IF(COUNT(INDEX($D$21:$DT$21,1,MAX(1,MIN(121,88-(核心参数输入!$B$148+核心参数输入!$B$124)+1))))=1,INDEX($D$21:$DT$21,1,MAX(1,MIN(121,88-(核心参数输入!$B$148+核心参数输入!$B$124)+1))),IF(AND(88-核心参数输入!$B$105&gt;=0,88-核心参数输入!$B$105&lt;=120),INDEX(季度计划!$D$121:$DT$121,1,MAX(1,MIN(121,88-核心参数输入!$B$105+1))),0)),0),0)</f>
        <v>0</v>
      </c>
      <c r="CO122" s="22">
        <f>IF(89&lt;=核心参数输入!$B$9*4,IF(AND(89-(核心参数输入!$B$148+核心参数输入!$B$124)&gt;=0,89-(核心参数输入!$B$148+核心参数输入!$B$124)&lt;=120),IF(COUNT(INDEX($D$21:$DT$21,1,MAX(1,MIN(121,89-(核心参数输入!$B$148+核心参数输入!$B$124)+1))))=1,INDEX($D$21:$DT$21,1,MAX(1,MIN(121,89-(核心参数输入!$B$148+核心参数输入!$B$124)+1))),IF(AND(89-核心参数输入!$B$105&gt;=0,89-核心参数输入!$B$105&lt;=120),INDEX(季度计划!$D$121:$DT$121,1,MAX(1,MIN(121,89-核心参数输入!$B$105+1))),0)),0),0)</f>
        <v>0</v>
      </c>
      <c r="CP122" s="22">
        <f>IF(90&lt;=核心参数输入!$B$9*4,IF(AND(90-(核心参数输入!$B$148+核心参数输入!$B$124)&gt;=0,90-(核心参数输入!$B$148+核心参数输入!$B$124)&lt;=120),IF(COUNT(INDEX($D$21:$DT$21,1,MAX(1,MIN(121,90-(核心参数输入!$B$148+核心参数输入!$B$124)+1))))=1,INDEX($D$21:$DT$21,1,MAX(1,MIN(121,90-(核心参数输入!$B$148+核心参数输入!$B$124)+1))),IF(AND(90-核心参数输入!$B$105&gt;=0,90-核心参数输入!$B$105&lt;=120),INDEX(季度计划!$D$121:$DT$121,1,MAX(1,MIN(121,90-核心参数输入!$B$105+1))),0)),0),0)</f>
        <v>0</v>
      </c>
      <c r="CQ122" s="22">
        <f>IF(91&lt;=核心参数输入!$B$9*4,IF(AND(91-(核心参数输入!$B$148+核心参数输入!$B$124)&gt;=0,91-(核心参数输入!$B$148+核心参数输入!$B$124)&lt;=120),IF(COUNT(INDEX($D$21:$DT$21,1,MAX(1,MIN(121,91-(核心参数输入!$B$148+核心参数输入!$B$124)+1))))=1,INDEX($D$21:$DT$21,1,MAX(1,MIN(121,91-(核心参数输入!$B$148+核心参数输入!$B$124)+1))),IF(AND(91-核心参数输入!$B$105&gt;=0,91-核心参数输入!$B$105&lt;=120),INDEX(季度计划!$D$121:$DT$121,1,MAX(1,MIN(121,91-核心参数输入!$B$105+1))),0)),0),0)</f>
        <v>0</v>
      </c>
      <c r="CR122" s="22">
        <f>IF(92&lt;=核心参数输入!$B$9*4,IF(AND(92-(核心参数输入!$B$148+核心参数输入!$B$124)&gt;=0,92-(核心参数输入!$B$148+核心参数输入!$B$124)&lt;=120),IF(COUNT(INDEX($D$21:$DT$21,1,MAX(1,MIN(121,92-(核心参数输入!$B$148+核心参数输入!$B$124)+1))))=1,INDEX($D$21:$DT$21,1,MAX(1,MIN(121,92-(核心参数输入!$B$148+核心参数输入!$B$124)+1))),IF(AND(92-核心参数输入!$B$105&gt;=0,92-核心参数输入!$B$105&lt;=120),INDEX(季度计划!$D$121:$DT$121,1,MAX(1,MIN(121,92-核心参数输入!$B$105+1))),0)),0),0)</f>
        <v>0</v>
      </c>
      <c r="CS122" s="22">
        <f>IF(93&lt;=核心参数输入!$B$9*4,IF(AND(93-(核心参数输入!$B$148+核心参数输入!$B$124)&gt;=0,93-(核心参数输入!$B$148+核心参数输入!$B$124)&lt;=120),IF(COUNT(INDEX($D$21:$DT$21,1,MAX(1,MIN(121,93-(核心参数输入!$B$148+核心参数输入!$B$124)+1))))=1,INDEX($D$21:$DT$21,1,MAX(1,MIN(121,93-(核心参数输入!$B$148+核心参数输入!$B$124)+1))),IF(AND(93-核心参数输入!$B$105&gt;=0,93-核心参数输入!$B$105&lt;=120),INDEX(季度计划!$D$121:$DT$121,1,MAX(1,MIN(121,93-核心参数输入!$B$105+1))),0)),0),0)</f>
        <v>0</v>
      </c>
      <c r="CT122" s="22">
        <f>IF(94&lt;=核心参数输入!$B$9*4,IF(AND(94-(核心参数输入!$B$148+核心参数输入!$B$124)&gt;=0,94-(核心参数输入!$B$148+核心参数输入!$B$124)&lt;=120),IF(COUNT(INDEX($D$21:$DT$21,1,MAX(1,MIN(121,94-(核心参数输入!$B$148+核心参数输入!$B$124)+1))))=1,INDEX($D$21:$DT$21,1,MAX(1,MIN(121,94-(核心参数输入!$B$148+核心参数输入!$B$124)+1))),IF(AND(94-核心参数输入!$B$105&gt;=0,94-核心参数输入!$B$105&lt;=120),INDEX(季度计划!$D$121:$DT$121,1,MAX(1,MIN(121,94-核心参数输入!$B$105+1))),0)),0),0)</f>
        <v>0</v>
      </c>
      <c r="CU122" s="22">
        <f>IF(95&lt;=核心参数输入!$B$9*4,IF(AND(95-(核心参数输入!$B$148+核心参数输入!$B$124)&gt;=0,95-(核心参数输入!$B$148+核心参数输入!$B$124)&lt;=120),IF(COUNT(INDEX($D$21:$DT$21,1,MAX(1,MIN(121,95-(核心参数输入!$B$148+核心参数输入!$B$124)+1))))=1,INDEX($D$21:$DT$21,1,MAX(1,MIN(121,95-(核心参数输入!$B$148+核心参数输入!$B$124)+1))),IF(AND(95-核心参数输入!$B$105&gt;=0,95-核心参数输入!$B$105&lt;=120),INDEX(季度计划!$D$121:$DT$121,1,MAX(1,MIN(121,95-核心参数输入!$B$105+1))),0)),0),0)</f>
        <v>0</v>
      </c>
      <c r="CV122" s="22">
        <f>IF(96&lt;=核心参数输入!$B$9*4,IF(AND(96-(核心参数输入!$B$148+核心参数输入!$B$124)&gt;=0,96-(核心参数输入!$B$148+核心参数输入!$B$124)&lt;=120),IF(COUNT(INDEX($D$21:$DT$21,1,MAX(1,MIN(121,96-(核心参数输入!$B$148+核心参数输入!$B$124)+1))))=1,INDEX($D$21:$DT$21,1,MAX(1,MIN(121,96-(核心参数输入!$B$148+核心参数输入!$B$124)+1))),IF(AND(96-核心参数输入!$B$105&gt;=0,96-核心参数输入!$B$105&lt;=120),INDEX(季度计划!$D$121:$DT$121,1,MAX(1,MIN(121,96-核心参数输入!$B$105+1))),0)),0),0)</f>
        <v>0</v>
      </c>
      <c r="CW122" s="22">
        <f>IF(97&lt;=核心参数输入!$B$9*4,IF(AND(97-(核心参数输入!$B$148+核心参数输入!$B$124)&gt;=0,97-(核心参数输入!$B$148+核心参数输入!$B$124)&lt;=120),IF(COUNT(INDEX($D$21:$DT$21,1,MAX(1,MIN(121,97-(核心参数输入!$B$148+核心参数输入!$B$124)+1))))=1,INDEX($D$21:$DT$21,1,MAX(1,MIN(121,97-(核心参数输入!$B$148+核心参数输入!$B$124)+1))),IF(AND(97-核心参数输入!$B$105&gt;=0,97-核心参数输入!$B$105&lt;=120),INDEX(季度计划!$D$121:$DT$121,1,MAX(1,MIN(121,97-核心参数输入!$B$105+1))),0)),0),0)</f>
        <v>0</v>
      </c>
      <c r="CX122" s="22">
        <f>IF(98&lt;=核心参数输入!$B$9*4,IF(AND(98-(核心参数输入!$B$148+核心参数输入!$B$124)&gt;=0,98-(核心参数输入!$B$148+核心参数输入!$B$124)&lt;=120),IF(COUNT(INDEX($D$21:$DT$21,1,MAX(1,MIN(121,98-(核心参数输入!$B$148+核心参数输入!$B$124)+1))))=1,INDEX($D$21:$DT$21,1,MAX(1,MIN(121,98-(核心参数输入!$B$148+核心参数输入!$B$124)+1))),IF(AND(98-核心参数输入!$B$105&gt;=0,98-核心参数输入!$B$105&lt;=120),INDEX(季度计划!$D$121:$DT$121,1,MAX(1,MIN(121,98-核心参数输入!$B$105+1))),0)),0),0)</f>
        <v>0</v>
      </c>
      <c r="CY122" s="22">
        <f>IF(99&lt;=核心参数输入!$B$9*4,IF(AND(99-(核心参数输入!$B$148+核心参数输入!$B$124)&gt;=0,99-(核心参数输入!$B$148+核心参数输入!$B$124)&lt;=120),IF(COUNT(INDEX($D$21:$DT$21,1,MAX(1,MIN(121,99-(核心参数输入!$B$148+核心参数输入!$B$124)+1))))=1,INDEX($D$21:$DT$21,1,MAX(1,MIN(121,99-(核心参数输入!$B$148+核心参数输入!$B$124)+1))),IF(AND(99-核心参数输入!$B$105&gt;=0,99-核心参数输入!$B$105&lt;=120),INDEX(季度计划!$D$121:$DT$121,1,MAX(1,MIN(121,99-核心参数输入!$B$105+1))),0)),0),0)</f>
        <v>0</v>
      </c>
      <c r="CZ122" s="22">
        <f>IF(100&lt;=核心参数输入!$B$9*4,IF(AND(100-(核心参数输入!$B$148+核心参数输入!$B$124)&gt;=0,100-(核心参数输入!$B$148+核心参数输入!$B$124)&lt;=120),IF(COUNT(INDEX($D$21:$DT$21,1,MAX(1,MIN(121,100-(核心参数输入!$B$148+核心参数输入!$B$124)+1))))=1,INDEX($D$21:$DT$21,1,MAX(1,MIN(121,100-(核心参数输入!$B$148+核心参数输入!$B$124)+1))),IF(AND(100-核心参数输入!$B$105&gt;=0,100-核心参数输入!$B$105&lt;=120),INDEX(季度计划!$D$121:$DT$121,1,MAX(1,MIN(121,100-核心参数输入!$B$105+1))),0)),0),0)</f>
        <v>0</v>
      </c>
      <c r="DA122" s="22">
        <f>IF(101&lt;=核心参数输入!$B$9*4,IF(AND(101-(核心参数输入!$B$148+核心参数输入!$B$124)&gt;=0,101-(核心参数输入!$B$148+核心参数输入!$B$124)&lt;=120),IF(COUNT(INDEX($D$21:$DT$21,1,MAX(1,MIN(121,101-(核心参数输入!$B$148+核心参数输入!$B$124)+1))))=1,INDEX($D$21:$DT$21,1,MAX(1,MIN(121,101-(核心参数输入!$B$148+核心参数输入!$B$124)+1))),IF(AND(101-核心参数输入!$B$105&gt;=0,101-核心参数输入!$B$105&lt;=120),INDEX(季度计划!$D$121:$DT$121,1,MAX(1,MIN(121,101-核心参数输入!$B$105+1))),0)),0),0)</f>
        <v>0</v>
      </c>
      <c r="DB122" s="22">
        <f>IF(102&lt;=核心参数输入!$B$9*4,IF(AND(102-(核心参数输入!$B$148+核心参数输入!$B$124)&gt;=0,102-(核心参数输入!$B$148+核心参数输入!$B$124)&lt;=120),IF(COUNT(INDEX($D$21:$DT$21,1,MAX(1,MIN(121,102-(核心参数输入!$B$148+核心参数输入!$B$124)+1))))=1,INDEX($D$21:$DT$21,1,MAX(1,MIN(121,102-(核心参数输入!$B$148+核心参数输入!$B$124)+1))),IF(AND(102-核心参数输入!$B$105&gt;=0,102-核心参数输入!$B$105&lt;=120),INDEX(季度计划!$D$121:$DT$121,1,MAX(1,MIN(121,102-核心参数输入!$B$105+1))),0)),0),0)</f>
        <v>0</v>
      </c>
      <c r="DC122" s="22">
        <f>IF(103&lt;=核心参数输入!$B$9*4,IF(AND(103-(核心参数输入!$B$148+核心参数输入!$B$124)&gt;=0,103-(核心参数输入!$B$148+核心参数输入!$B$124)&lt;=120),IF(COUNT(INDEX($D$21:$DT$21,1,MAX(1,MIN(121,103-(核心参数输入!$B$148+核心参数输入!$B$124)+1))))=1,INDEX($D$21:$DT$21,1,MAX(1,MIN(121,103-(核心参数输入!$B$148+核心参数输入!$B$124)+1))),IF(AND(103-核心参数输入!$B$105&gt;=0,103-核心参数输入!$B$105&lt;=120),INDEX(季度计划!$D$121:$DT$121,1,MAX(1,MIN(121,103-核心参数输入!$B$105+1))),0)),0),0)</f>
        <v>0</v>
      </c>
      <c r="DD122" s="22">
        <f>IF(104&lt;=核心参数输入!$B$9*4,IF(AND(104-(核心参数输入!$B$148+核心参数输入!$B$124)&gt;=0,104-(核心参数输入!$B$148+核心参数输入!$B$124)&lt;=120),IF(COUNT(INDEX($D$21:$DT$21,1,MAX(1,MIN(121,104-(核心参数输入!$B$148+核心参数输入!$B$124)+1))))=1,INDEX($D$21:$DT$21,1,MAX(1,MIN(121,104-(核心参数输入!$B$148+核心参数输入!$B$124)+1))),IF(AND(104-核心参数输入!$B$105&gt;=0,104-核心参数输入!$B$105&lt;=120),INDEX(季度计划!$D$121:$DT$121,1,MAX(1,MIN(121,104-核心参数输入!$B$105+1))),0)),0),0)</f>
        <v>0</v>
      </c>
      <c r="DE122" s="22">
        <f>IF(105&lt;=核心参数输入!$B$9*4,IF(AND(105-(核心参数输入!$B$148+核心参数输入!$B$124)&gt;=0,105-(核心参数输入!$B$148+核心参数输入!$B$124)&lt;=120),IF(COUNT(INDEX($D$21:$DT$21,1,MAX(1,MIN(121,105-(核心参数输入!$B$148+核心参数输入!$B$124)+1))))=1,INDEX($D$21:$DT$21,1,MAX(1,MIN(121,105-(核心参数输入!$B$148+核心参数输入!$B$124)+1))),IF(AND(105-核心参数输入!$B$105&gt;=0,105-核心参数输入!$B$105&lt;=120),INDEX(季度计划!$D$121:$DT$121,1,MAX(1,MIN(121,105-核心参数输入!$B$105+1))),0)),0),0)</f>
        <v>0</v>
      </c>
      <c r="DF122" s="22">
        <f>IF(106&lt;=核心参数输入!$B$9*4,IF(AND(106-(核心参数输入!$B$148+核心参数输入!$B$124)&gt;=0,106-(核心参数输入!$B$148+核心参数输入!$B$124)&lt;=120),IF(COUNT(INDEX($D$21:$DT$21,1,MAX(1,MIN(121,106-(核心参数输入!$B$148+核心参数输入!$B$124)+1))))=1,INDEX($D$21:$DT$21,1,MAX(1,MIN(121,106-(核心参数输入!$B$148+核心参数输入!$B$124)+1))),IF(AND(106-核心参数输入!$B$105&gt;=0,106-核心参数输入!$B$105&lt;=120),INDEX(季度计划!$D$121:$DT$121,1,MAX(1,MIN(121,106-核心参数输入!$B$105+1))),0)),0),0)</f>
        <v>0</v>
      </c>
      <c r="DG122" s="22">
        <f>IF(107&lt;=核心参数输入!$B$9*4,IF(AND(107-(核心参数输入!$B$148+核心参数输入!$B$124)&gt;=0,107-(核心参数输入!$B$148+核心参数输入!$B$124)&lt;=120),IF(COUNT(INDEX($D$21:$DT$21,1,MAX(1,MIN(121,107-(核心参数输入!$B$148+核心参数输入!$B$124)+1))))=1,INDEX($D$21:$DT$21,1,MAX(1,MIN(121,107-(核心参数输入!$B$148+核心参数输入!$B$124)+1))),IF(AND(107-核心参数输入!$B$105&gt;=0,107-核心参数输入!$B$105&lt;=120),INDEX(季度计划!$D$121:$DT$121,1,MAX(1,MIN(121,107-核心参数输入!$B$105+1))),0)),0),0)</f>
        <v>0</v>
      </c>
      <c r="DH122" s="22">
        <f>IF(108&lt;=核心参数输入!$B$9*4,IF(AND(108-(核心参数输入!$B$148+核心参数输入!$B$124)&gt;=0,108-(核心参数输入!$B$148+核心参数输入!$B$124)&lt;=120),IF(COUNT(INDEX($D$21:$DT$21,1,MAX(1,MIN(121,108-(核心参数输入!$B$148+核心参数输入!$B$124)+1))))=1,INDEX($D$21:$DT$21,1,MAX(1,MIN(121,108-(核心参数输入!$B$148+核心参数输入!$B$124)+1))),IF(AND(108-核心参数输入!$B$105&gt;=0,108-核心参数输入!$B$105&lt;=120),INDEX(季度计划!$D$121:$DT$121,1,MAX(1,MIN(121,108-核心参数输入!$B$105+1))),0)),0),0)</f>
        <v>0</v>
      </c>
      <c r="DI122" s="22">
        <f>IF(109&lt;=核心参数输入!$B$9*4,IF(AND(109-(核心参数输入!$B$148+核心参数输入!$B$124)&gt;=0,109-(核心参数输入!$B$148+核心参数输入!$B$124)&lt;=120),IF(COUNT(INDEX($D$21:$DT$21,1,MAX(1,MIN(121,109-(核心参数输入!$B$148+核心参数输入!$B$124)+1))))=1,INDEX($D$21:$DT$21,1,MAX(1,MIN(121,109-(核心参数输入!$B$148+核心参数输入!$B$124)+1))),IF(AND(109-核心参数输入!$B$105&gt;=0,109-核心参数输入!$B$105&lt;=120),INDEX(季度计划!$D$121:$DT$121,1,MAX(1,MIN(121,109-核心参数输入!$B$105+1))),0)),0),0)</f>
        <v>0</v>
      </c>
      <c r="DJ122" s="22">
        <f>IF(110&lt;=核心参数输入!$B$9*4,IF(AND(110-(核心参数输入!$B$148+核心参数输入!$B$124)&gt;=0,110-(核心参数输入!$B$148+核心参数输入!$B$124)&lt;=120),IF(COUNT(INDEX($D$21:$DT$21,1,MAX(1,MIN(121,110-(核心参数输入!$B$148+核心参数输入!$B$124)+1))))=1,INDEX($D$21:$DT$21,1,MAX(1,MIN(121,110-(核心参数输入!$B$148+核心参数输入!$B$124)+1))),IF(AND(110-核心参数输入!$B$105&gt;=0,110-核心参数输入!$B$105&lt;=120),INDEX(季度计划!$D$121:$DT$121,1,MAX(1,MIN(121,110-核心参数输入!$B$105+1))),0)),0),0)</f>
        <v>0</v>
      </c>
      <c r="DK122" s="22">
        <f>IF(111&lt;=核心参数输入!$B$9*4,IF(AND(111-(核心参数输入!$B$148+核心参数输入!$B$124)&gt;=0,111-(核心参数输入!$B$148+核心参数输入!$B$124)&lt;=120),IF(COUNT(INDEX($D$21:$DT$21,1,MAX(1,MIN(121,111-(核心参数输入!$B$148+核心参数输入!$B$124)+1))))=1,INDEX($D$21:$DT$21,1,MAX(1,MIN(121,111-(核心参数输入!$B$148+核心参数输入!$B$124)+1))),IF(AND(111-核心参数输入!$B$105&gt;=0,111-核心参数输入!$B$105&lt;=120),INDEX(季度计划!$D$121:$DT$121,1,MAX(1,MIN(121,111-核心参数输入!$B$105+1))),0)),0),0)</f>
        <v>0</v>
      </c>
      <c r="DL122" s="22">
        <f>IF(112&lt;=核心参数输入!$B$9*4,IF(AND(112-(核心参数输入!$B$148+核心参数输入!$B$124)&gt;=0,112-(核心参数输入!$B$148+核心参数输入!$B$124)&lt;=120),IF(COUNT(INDEX($D$21:$DT$21,1,MAX(1,MIN(121,112-(核心参数输入!$B$148+核心参数输入!$B$124)+1))))=1,INDEX($D$21:$DT$21,1,MAX(1,MIN(121,112-(核心参数输入!$B$148+核心参数输入!$B$124)+1))),IF(AND(112-核心参数输入!$B$105&gt;=0,112-核心参数输入!$B$105&lt;=120),INDEX(季度计划!$D$121:$DT$121,1,MAX(1,MIN(121,112-核心参数输入!$B$105+1))),0)),0),0)</f>
        <v>0</v>
      </c>
      <c r="DM122" s="22">
        <f>IF(113&lt;=核心参数输入!$B$9*4,IF(AND(113-(核心参数输入!$B$148+核心参数输入!$B$124)&gt;=0,113-(核心参数输入!$B$148+核心参数输入!$B$124)&lt;=120),IF(COUNT(INDEX($D$21:$DT$21,1,MAX(1,MIN(121,113-(核心参数输入!$B$148+核心参数输入!$B$124)+1))))=1,INDEX($D$21:$DT$21,1,MAX(1,MIN(121,113-(核心参数输入!$B$148+核心参数输入!$B$124)+1))),IF(AND(113-核心参数输入!$B$105&gt;=0,113-核心参数输入!$B$105&lt;=120),INDEX(季度计划!$D$121:$DT$121,1,MAX(1,MIN(121,113-核心参数输入!$B$105+1))),0)),0),0)</f>
        <v>0</v>
      </c>
      <c r="DN122" s="22">
        <f>IF(114&lt;=核心参数输入!$B$9*4,IF(AND(114-(核心参数输入!$B$148+核心参数输入!$B$124)&gt;=0,114-(核心参数输入!$B$148+核心参数输入!$B$124)&lt;=120),IF(COUNT(INDEX($D$21:$DT$21,1,MAX(1,MIN(121,114-(核心参数输入!$B$148+核心参数输入!$B$124)+1))))=1,INDEX($D$21:$DT$21,1,MAX(1,MIN(121,114-(核心参数输入!$B$148+核心参数输入!$B$124)+1))),IF(AND(114-核心参数输入!$B$105&gt;=0,114-核心参数输入!$B$105&lt;=120),INDEX(季度计划!$D$121:$DT$121,1,MAX(1,MIN(121,114-核心参数输入!$B$105+1))),0)),0),0)</f>
        <v>0</v>
      </c>
      <c r="DO122" s="22">
        <f>IF(115&lt;=核心参数输入!$B$9*4,IF(AND(115-(核心参数输入!$B$148+核心参数输入!$B$124)&gt;=0,115-(核心参数输入!$B$148+核心参数输入!$B$124)&lt;=120),IF(COUNT(INDEX($D$21:$DT$21,1,MAX(1,MIN(121,115-(核心参数输入!$B$148+核心参数输入!$B$124)+1))))=1,INDEX($D$21:$DT$21,1,MAX(1,MIN(121,115-(核心参数输入!$B$148+核心参数输入!$B$124)+1))),IF(AND(115-核心参数输入!$B$105&gt;=0,115-核心参数输入!$B$105&lt;=120),INDEX(季度计划!$D$121:$DT$121,1,MAX(1,MIN(121,115-核心参数输入!$B$105+1))),0)),0),0)</f>
        <v>0</v>
      </c>
      <c r="DP122" s="22">
        <f>IF(116&lt;=核心参数输入!$B$9*4,IF(AND(116-(核心参数输入!$B$148+核心参数输入!$B$124)&gt;=0,116-(核心参数输入!$B$148+核心参数输入!$B$124)&lt;=120),IF(COUNT(INDEX($D$21:$DT$21,1,MAX(1,MIN(121,116-(核心参数输入!$B$148+核心参数输入!$B$124)+1))))=1,INDEX($D$21:$DT$21,1,MAX(1,MIN(121,116-(核心参数输入!$B$148+核心参数输入!$B$124)+1))),IF(AND(116-核心参数输入!$B$105&gt;=0,116-核心参数输入!$B$105&lt;=120),INDEX(季度计划!$D$121:$DT$121,1,MAX(1,MIN(121,116-核心参数输入!$B$105+1))),0)),0),0)</f>
        <v>0</v>
      </c>
      <c r="DQ122" s="22">
        <f>IF(117&lt;=核心参数输入!$B$9*4,IF(AND(117-(核心参数输入!$B$148+核心参数输入!$B$124)&gt;=0,117-(核心参数输入!$B$148+核心参数输入!$B$124)&lt;=120),IF(COUNT(INDEX($D$21:$DT$21,1,MAX(1,MIN(121,117-(核心参数输入!$B$148+核心参数输入!$B$124)+1))))=1,INDEX($D$21:$DT$21,1,MAX(1,MIN(121,117-(核心参数输入!$B$148+核心参数输入!$B$124)+1))),IF(AND(117-核心参数输入!$B$105&gt;=0,117-核心参数输入!$B$105&lt;=120),INDEX(季度计划!$D$121:$DT$121,1,MAX(1,MIN(121,117-核心参数输入!$B$105+1))),0)),0),0)</f>
        <v>0</v>
      </c>
      <c r="DR122" s="22">
        <f>IF(118&lt;=核心参数输入!$B$9*4,IF(AND(118-(核心参数输入!$B$148+核心参数输入!$B$124)&gt;=0,118-(核心参数输入!$B$148+核心参数输入!$B$124)&lt;=120),IF(COUNT(INDEX($D$21:$DT$21,1,MAX(1,MIN(121,118-(核心参数输入!$B$148+核心参数输入!$B$124)+1))))=1,INDEX($D$21:$DT$21,1,MAX(1,MIN(121,118-(核心参数输入!$B$148+核心参数输入!$B$124)+1))),IF(AND(118-核心参数输入!$B$105&gt;=0,118-核心参数输入!$B$105&lt;=120),INDEX(季度计划!$D$121:$DT$121,1,MAX(1,MIN(121,118-核心参数输入!$B$105+1))),0)),0),0)</f>
        <v>0</v>
      </c>
      <c r="DS122" s="22">
        <f>IF(119&lt;=核心参数输入!$B$9*4,IF(AND(119-(核心参数输入!$B$148+核心参数输入!$B$124)&gt;=0,119-(核心参数输入!$B$148+核心参数输入!$B$124)&lt;=120),IF(COUNT(INDEX($D$21:$DT$21,1,MAX(1,MIN(121,119-(核心参数输入!$B$148+核心参数输入!$B$124)+1))))=1,INDEX($D$21:$DT$21,1,MAX(1,MIN(121,119-(核心参数输入!$B$148+核心参数输入!$B$124)+1))),IF(AND(119-核心参数输入!$B$105&gt;=0,119-核心参数输入!$B$105&lt;=120),INDEX(季度计划!$D$121:$DT$121,1,MAX(1,MIN(121,119-核心参数输入!$B$105+1))),0)),0),0)</f>
        <v>0</v>
      </c>
      <c r="DT122" s="22">
        <f>IF(120&lt;=核心参数输入!$B$9*4,IF(AND(120-(核心参数输入!$B$148+核心参数输入!$B$124)&gt;=0,120-(核心参数输入!$B$148+核心参数输入!$B$124)&lt;=120),IF(COUNT(INDEX($D$21:$DT$21,1,MAX(1,MIN(121,120-(核心参数输入!$B$148+核心参数输入!$B$124)+1))))=1,INDEX($D$21:$DT$21,1,MAX(1,MIN(121,120-(核心参数输入!$B$148+核心参数输入!$B$124)+1))),IF(AND(120-核心参数输入!$B$105&gt;=0,120-核心参数输入!$B$105&lt;=120),INDEX(季度计划!$D$121:$DT$121,1,MAX(1,MIN(121,120-核心参数输入!$B$105+1))),0)),0),0)</f>
        <v>0</v>
      </c>
    </row>
    <row r="123" spans="1:124" ht="21" customHeight="1">
      <c r="A123" s="8" t="s">
        <v>625</v>
      </c>
      <c r="B123" s="8" t="s">
        <v>38</v>
      </c>
      <c r="C123" s="8"/>
      <c r="D123" s="22">
        <f>IF(0&lt;=核心参数输入!$B$9*4,0,0)</f>
        <v>0</v>
      </c>
      <c r="E123" s="22">
        <f>IF(1&lt;=核心参数输入!$B$9*4,IF(AND(1-(核心参数输入!$B$148+核心参数输入!$B$124)&gt;=0,1-(核心参数输入!$B$148+核心参数输入!$B$124)&lt;=120),IF(COUNT(INDEX($D$22:$DT$22,1,MAX(1,MIN(121,1-(核心参数输入!$B$148+核心参数输入!$B$124)+1))))=1,INDEX($D$22:$DT$22,1,MAX(1,MIN(121,1-(核心参数输入!$B$148+核心参数输入!$B$124)+1))),IF(AND(1-核心参数输入!$B$106&gt;=0,1-核心参数输入!$B$106&lt;=120),INDEX(季度计划!$D$122:$DT$122,1,MAX(1,MIN(121,1-核心参数输入!$B$106+1))),0)),0),0)</f>
        <v>7.4999999999999997E-2</v>
      </c>
      <c r="F123" s="22">
        <f>IF(2&lt;=核心参数输入!$B$9*4,IF(AND(2-(核心参数输入!$B$148+核心参数输入!$B$124)&gt;=0,2-(核心参数输入!$B$148+核心参数输入!$B$124)&lt;=120),IF(COUNT(INDEX($D$22:$DT$22,1,MAX(1,MIN(121,2-(核心参数输入!$B$148+核心参数输入!$B$124)+1))))=1,INDEX($D$22:$DT$22,1,MAX(1,MIN(121,2-(核心参数输入!$B$148+核心参数输入!$B$124)+1))),IF(AND(2-核心参数输入!$B$106&gt;=0,2-核心参数输入!$B$106&lt;=120),INDEX(季度计划!$D$122:$DT$122,1,MAX(1,MIN(121,2-核心参数输入!$B$106+1))),0)),0),0)</f>
        <v>7.4999999999999997E-2</v>
      </c>
      <c r="G123" s="22">
        <f>IF(3&lt;=核心参数输入!$B$9*4,IF(AND(3-(核心参数输入!$B$148+核心参数输入!$B$124)&gt;=0,3-(核心参数输入!$B$148+核心参数输入!$B$124)&lt;=120),IF(COUNT(INDEX($D$22:$DT$22,1,MAX(1,MIN(121,3-(核心参数输入!$B$148+核心参数输入!$B$124)+1))))=1,INDEX($D$22:$DT$22,1,MAX(1,MIN(121,3-(核心参数输入!$B$148+核心参数输入!$B$124)+1))),IF(AND(3-核心参数输入!$B$106&gt;=0,3-核心参数输入!$B$106&lt;=120),INDEX(季度计划!$D$122:$DT$122,1,MAX(1,MIN(121,3-核心参数输入!$B$106+1))),0)),0),0)</f>
        <v>7.4999999999999997E-2</v>
      </c>
      <c r="H123" s="22">
        <f>IF(4&lt;=核心参数输入!$B$9*4,IF(AND(4-(核心参数输入!$B$148+核心参数输入!$B$124)&gt;=0,4-(核心参数输入!$B$148+核心参数输入!$B$124)&lt;=120),IF(COUNT(INDEX($D$22:$DT$22,1,MAX(1,MIN(121,4-(核心参数输入!$B$148+核心参数输入!$B$124)+1))))=1,INDEX($D$22:$DT$22,1,MAX(1,MIN(121,4-(核心参数输入!$B$148+核心参数输入!$B$124)+1))),IF(AND(4-核心参数输入!$B$106&gt;=0,4-核心参数输入!$B$106&lt;=120),INDEX(季度计划!$D$122:$DT$122,1,MAX(1,MIN(121,4-核心参数输入!$B$106+1))),0)),0),0)</f>
        <v>7.4999999999999997E-2</v>
      </c>
      <c r="I123" s="22">
        <f>IF(5&lt;=核心参数输入!$B$9*4,IF(AND(5-(核心参数输入!$B$148+核心参数输入!$B$124)&gt;=0,5-(核心参数输入!$B$148+核心参数输入!$B$124)&lt;=120),IF(COUNT(INDEX($D$22:$DT$22,1,MAX(1,MIN(121,5-(核心参数输入!$B$148+核心参数输入!$B$124)+1))))=1,INDEX($D$22:$DT$22,1,MAX(1,MIN(121,5-(核心参数输入!$B$148+核心参数输入!$B$124)+1))),IF(AND(5-核心参数输入!$B$106&gt;=0,5-核心参数输入!$B$106&lt;=120),INDEX(季度计划!$D$122:$DT$122,1,MAX(1,MIN(121,5-核心参数输入!$B$106+1))),0)),0),0)</f>
        <v>0.1</v>
      </c>
      <c r="J123" s="22">
        <f>IF(6&lt;=核心参数输入!$B$9*4,IF(AND(6-(核心参数输入!$B$148+核心参数输入!$B$124)&gt;=0,6-(核心参数输入!$B$148+核心参数输入!$B$124)&lt;=120),IF(COUNT(INDEX($D$22:$DT$22,1,MAX(1,MIN(121,6-(核心参数输入!$B$148+核心参数输入!$B$124)+1))))=1,INDEX($D$22:$DT$22,1,MAX(1,MIN(121,6-(核心参数输入!$B$148+核心参数输入!$B$124)+1))),IF(AND(6-核心参数输入!$B$106&gt;=0,6-核心参数输入!$B$106&lt;=120),INDEX(季度计划!$D$122:$DT$122,1,MAX(1,MIN(121,6-核心参数输入!$B$106+1))),0)),0),0)</f>
        <v>0.1</v>
      </c>
      <c r="K123" s="22">
        <f>IF(7&lt;=核心参数输入!$B$9*4,IF(AND(7-(核心参数输入!$B$148+核心参数输入!$B$124)&gt;=0,7-(核心参数输入!$B$148+核心参数输入!$B$124)&lt;=120),IF(COUNT(INDEX($D$22:$DT$22,1,MAX(1,MIN(121,7-(核心参数输入!$B$148+核心参数输入!$B$124)+1))))=1,INDEX($D$22:$DT$22,1,MAX(1,MIN(121,7-(核心参数输入!$B$148+核心参数输入!$B$124)+1))),IF(AND(7-核心参数输入!$B$106&gt;=0,7-核心参数输入!$B$106&lt;=120),INDEX(季度计划!$D$122:$DT$122,1,MAX(1,MIN(121,7-核心参数输入!$B$106+1))),0)),0),0)</f>
        <v>0.1</v>
      </c>
      <c r="L123" s="22">
        <f>IF(8&lt;=核心参数输入!$B$9*4,IF(AND(8-(核心参数输入!$B$148+核心参数输入!$B$124)&gt;=0,8-(核心参数输入!$B$148+核心参数输入!$B$124)&lt;=120),IF(COUNT(INDEX($D$22:$DT$22,1,MAX(1,MIN(121,8-(核心参数输入!$B$148+核心参数输入!$B$124)+1))))=1,INDEX($D$22:$DT$22,1,MAX(1,MIN(121,8-(核心参数输入!$B$148+核心参数输入!$B$124)+1))),IF(AND(8-核心参数输入!$B$106&gt;=0,8-核心参数输入!$B$106&lt;=120),INDEX(季度计划!$D$122:$DT$122,1,MAX(1,MIN(121,8-核心参数输入!$B$106+1))),0)),0),0)</f>
        <v>0.1</v>
      </c>
      <c r="M123" s="22">
        <f>IF(9&lt;=核心参数输入!$B$9*4,IF(AND(9-(核心参数输入!$B$148+核心参数输入!$B$124)&gt;=0,9-(核心参数输入!$B$148+核心参数输入!$B$124)&lt;=120),IF(COUNT(INDEX($D$22:$DT$22,1,MAX(1,MIN(121,9-(核心参数输入!$B$148+核心参数输入!$B$124)+1))))=1,INDEX($D$22:$DT$22,1,MAX(1,MIN(121,9-(核心参数输入!$B$148+核心参数输入!$B$124)+1))),IF(AND(9-核心参数输入!$B$106&gt;=0,9-核心参数输入!$B$106&lt;=120),INDEX(季度计划!$D$122:$DT$122,1,MAX(1,MIN(121,9-核心参数输入!$B$106+1))),0)),0),0)</f>
        <v>7.4999999999999997E-2</v>
      </c>
      <c r="N123" s="22">
        <f>IF(10&lt;=核心参数输入!$B$9*4,IF(AND(10-(核心参数输入!$B$148+核心参数输入!$B$124)&gt;=0,10-(核心参数输入!$B$148+核心参数输入!$B$124)&lt;=120),IF(COUNT(INDEX($D$22:$DT$22,1,MAX(1,MIN(121,10-(核心参数输入!$B$148+核心参数输入!$B$124)+1))))=1,INDEX($D$22:$DT$22,1,MAX(1,MIN(121,10-(核心参数输入!$B$148+核心参数输入!$B$124)+1))),IF(AND(10-核心参数输入!$B$106&gt;=0,10-核心参数输入!$B$106&lt;=120),INDEX(季度计划!$D$122:$DT$122,1,MAX(1,MIN(121,10-核心参数输入!$B$106+1))),0)),0),0)</f>
        <v>7.4999999999999997E-2</v>
      </c>
      <c r="O123" s="22">
        <f>IF(11&lt;=核心参数输入!$B$9*4,IF(AND(11-(核心参数输入!$B$148+核心参数输入!$B$124)&gt;=0,11-(核心参数输入!$B$148+核心参数输入!$B$124)&lt;=120),IF(COUNT(INDEX($D$22:$DT$22,1,MAX(1,MIN(121,11-(核心参数输入!$B$148+核心参数输入!$B$124)+1))))=1,INDEX($D$22:$DT$22,1,MAX(1,MIN(121,11-(核心参数输入!$B$148+核心参数输入!$B$124)+1))),IF(AND(11-核心参数输入!$B$106&gt;=0,11-核心参数输入!$B$106&lt;=120),INDEX(季度计划!$D$122:$DT$122,1,MAX(1,MIN(121,11-核心参数输入!$B$106+1))),0)),0),0)</f>
        <v>7.4999999999999997E-2</v>
      </c>
      <c r="P123" s="22">
        <f>IF(12&lt;=核心参数输入!$B$9*4,IF(AND(12-(核心参数输入!$B$148+核心参数输入!$B$124)&gt;=0,12-(核心参数输入!$B$148+核心参数输入!$B$124)&lt;=120),IF(COUNT(INDEX($D$22:$DT$22,1,MAX(1,MIN(121,12-(核心参数输入!$B$148+核心参数输入!$B$124)+1))))=1,INDEX($D$22:$DT$22,1,MAX(1,MIN(121,12-(核心参数输入!$B$148+核心参数输入!$B$124)+1))),IF(AND(12-核心参数输入!$B$106&gt;=0,12-核心参数输入!$B$106&lt;=120),INDEX(季度计划!$D$122:$DT$122,1,MAX(1,MIN(121,12-核心参数输入!$B$106+1))),0)),0),0)</f>
        <v>7.4999999999999997E-2</v>
      </c>
      <c r="Q123" s="22">
        <f>IF(13&lt;=核心参数输入!$B$9*4,IF(AND(13-(核心参数输入!$B$148+核心参数输入!$B$124)&gt;=0,13-(核心参数输入!$B$148+核心参数输入!$B$124)&lt;=120),IF(COUNT(INDEX($D$22:$DT$22,1,MAX(1,MIN(121,13-(核心参数输入!$B$148+核心参数输入!$B$124)+1))))=1,INDEX($D$22:$DT$22,1,MAX(1,MIN(121,13-(核心参数输入!$B$148+核心参数输入!$B$124)+1))),IF(AND(13-核心参数输入!$B$106&gt;=0,13-核心参数输入!$B$106&lt;=120),INDEX(季度计划!$D$122:$DT$122,1,MAX(1,MIN(121,13-核心参数输入!$B$106+1))),0)),0),0)</f>
        <v>0</v>
      </c>
      <c r="R123" s="22">
        <f>IF(14&lt;=核心参数输入!$B$9*4,IF(AND(14-(核心参数输入!$B$148+核心参数输入!$B$124)&gt;=0,14-(核心参数输入!$B$148+核心参数输入!$B$124)&lt;=120),IF(COUNT(INDEX($D$22:$DT$22,1,MAX(1,MIN(121,14-(核心参数输入!$B$148+核心参数输入!$B$124)+1))))=1,INDEX($D$22:$DT$22,1,MAX(1,MIN(121,14-(核心参数输入!$B$148+核心参数输入!$B$124)+1))),IF(AND(14-核心参数输入!$B$106&gt;=0,14-核心参数输入!$B$106&lt;=120),INDEX(季度计划!$D$122:$DT$122,1,MAX(1,MIN(121,14-核心参数输入!$B$106+1))),0)),0),0)</f>
        <v>0</v>
      </c>
      <c r="S123" s="22">
        <f>IF(15&lt;=核心参数输入!$B$9*4,IF(AND(15-(核心参数输入!$B$148+核心参数输入!$B$124)&gt;=0,15-(核心参数输入!$B$148+核心参数输入!$B$124)&lt;=120),IF(COUNT(INDEX($D$22:$DT$22,1,MAX(1,MIN(121,15-(核心参数输入!$B$148+核心参数输入!$B$124)+1))))=1,INDEX($D$22:$DT$22,1,MAX(1,MIN(121,15-(核心参数输入!$B$148+核心参数输入!$B$124)+1))),IF(AND(15-核心参数输入!$B$106&gt;=0,15-核心参数输入!$B$106&lt;=120),INDEX(季度计划!$D$122:$DT$122,1,MAX(1,MIN(121,15-核心参数输入!$B$106+1))),0)),0),0)</f>
        <v>0</v>
      </c>
      <c r="T123" s="22">
        <f>IF(16&lt;=核心参数输入!$B$9*4,IF(AND(16-(核心参数输入!$B$148+核心参数输入!$B$124)&gt;=0,16-(核心参数输入!$B$148+核心参数输入!$B$124)&lt;=120),IF(COUNT(INDEX($D$22:$DT$22,1,MAX(1,MIN(121,16-(核心参数输入!$B$148+核心参数输入!$B$124)+1))))=1,INDEX($D$22:$DT$22,1,MAX(1,MIN(121,16-(核心参数输入!$B$148+核心参数输入!$B$124)+1))),IF(AND(16-核心参数输入!$B$106&gt;=0,16-核心参数输入!$B$106&lt;=120),INDEX(季度计划!$D$122:$DT$122,1,MAX(1,MIN(121,16-核心参数输入!$B$106+1))),0)),0),0)</f>
        <v>0</v>
      </c>
      <c r="U123" s="22">
        <f>IF(17&lt;=核心参数输入!$B$9*4,IF(AND(17-(核心参数输入!$B$148+核心参数输入!$B$124)&gt;=0,17-(核心参数输入!$B$148+核心参数输入!$B$124)&lt;=120),IF(COUNT(INDEX($D$22:$DT$22,1,MAX(1,MIN(121,17-(核心参数输入!$B$148+核心参数输入!$B$124)+1))))=1,INDEX($D$22:$DT$22,1,MAX(1,MIN(121,17-(核心参数输入!$B$148+核心参数输入!$B$124)+1))),IF(AND(17-核心参数输入!$B$106&gt;=0,17-核心参数输入!$B$106&lt;=120),INDEX(季度计划!$D$122:$DT$122,1,MAX(1,MIN(121,17-核心参数输入!$B$106+1))),0)),0),0)</f>
        <v>0</v>
      </c>
      <c r="V123" s="22">
        <f>IF(18&lt;=核心参数输入!$B$9*4,IF(AND(18-(核心参数输入!$B$148+核心参数输入!$B$124)&gt;=0,18-(核心参数输入!$B$148+核心参数输入!$B$124)&lt;=120),IF(COUNT(INDEX($D$22:$DT$22,1,MAX(1,MIN(121,18-(核心参数输入!$B$148+核心参数输入!$B$124)+1))))=1,INDEX($D$22:$DT$22,1,MAX(1,MIN(121,18-(核心参数输入!$B$148+核心参数输入!$B$124)+1))),IF(AND(18-核心参数输入!$B$106&gt;=0,18-核心参数输入!$B$106&lt;=120),INDEX(季度计划!$D$122:$DT$122,1,MAX(1,MIN(121,18-核心参数输入!$B$106+1))),0)),0),0)</f>
        <v>0</v>
      </c>
      <c r="W123" s="22">
        <f>IF(19&lt;=核心参数输入!$B$9*4,IF(AND(19-(核心参数输入!$B$148+核心参数输入!$B$124)&gt;=0,19-(核心参数输入!$B$148+核心参数输入!$B$124)&lt;=120),IF(COUNT(INDEX($D$22:$DT$22,1,MAX(1,MIN(121,19-(核心参数输入!$B$148+核心参数输入!$B$124)+1))))=1,INDEX($D$22:$DT$22,1,MAX(1,MIN(121,19-(核心参数输入!$B$148+核心参数输入!$B$124)+1))),IF(AND(19-核心参数输入!$B$106&gt;=0,19-核心参数输入!$B$106&lt;=120),INDEX(季度计划!$D$122:$DT$122,1,MAX(1,MIN(121,19-核心参数输入!$B$106+1))),0)),0),0)</f>
        <v>0</v>
      </c>
      <c r="X123" s="22">
        <f>IF(20&lt;=核心参数输入!$B$9*4,IF(AND(20-(核心参数输入!$B$148+核心参数输入!$B$124)&gt;=0,20-(核心参数输入!$B$148+核心参数输入!$B$124)&lt;=120),IF(COUNT(INDEX($D$22:$DT$22,1,MAX(1,MIN(121,20-(核心参数输入!$B$148+核心参数输入!$B$124)+1))))=1,INDEX($D$22:$DT$22,1,MAX(1,MIN(121,20-(核心参数输入!$B$148+核心参数输入!$B$124)+1))),IF(AND(20-核心参数输入!$B$106&gt;=0,20-核心参数输入!$B$106&lt;=120),INDEX(季度计划!$D$122:$DT$122,1,MAX(1,MIN(121,20-核心参数输入!$B$106+1))),0)),0),0)</f>
        <v>0</v>
      </c>
      <c r="Y123" s="22">
        <f>IF(21&lt;=核心参数输入!$B$9*4,IF(AND(21-(核心参数输入!$B$148+核心参数输入!$B$124)&gt;=0,21-(核心参数输入!$B$148+核心参数输入!$B$124)&lt;=120),IF(COUNT(INDEX($D$22:$DT$22,1,MAX(1,MIN(121,21-(核心参数输入!$B$148+核心参数输入!$B$124)+1))))=1,INDEX($D$22:$DT$22,1,MAX(1,MIN(121,21-(核心参数输入!$B$148+核心参数输入!$B$124)+1))),IF(AND(21-核心参数输入!$B$106&gt;=0,21-核心参数输入!$B$106&lt;=120),INDEX(季度计划!$D$122:$DT$122,1,MAX(1,MIN(121,21-核心参数输入!$B$106+1))),0)),0),0)</f>
        <v>0</v>
      </c>
      <c r="Z123" s="22">
        <f>IF(22&lt;=核心参数输入!$B$9*4,IF(AND(22-(核心参数输入!$B$148+核心参数输入!$B$124)&gt;=0,22-(核心参数输入!$B$148+核心参数输入!$B$124)&lt;=120),IF(COUNT(INDEX($D$22:$DT$22,1,MAX(1,MIN(121,22-(核心参数输入!$B$148+核心参数输入!$B$124)+1))))=1,INDEX($D$22:$DT$22,1,MAX(1,MIN(121,22-(核心参数输入!$B$148+核心参数输入!$B$124)+1))),IF(AND(22-核心参数输入!$B$106&gt;=0,22-核心参数输入!$B$106&lt;=120),INDEX(季度计划!$D$122:$DT$122,1,MAX(1,MIN(121,22-核心参数输入!$B$106+1))),0)),0),0)</f>
        <v>0</v>
      </c>
      <c r="AA123" s="22">
        <f>IF(23&lt;=核心参数输入!$B$9*4,IF(AND(23-(核心参数输入!$B$148+核心参数输入!$B$124)&gt;=0,23-(核心参数输入!$B$148+核心参数输入!$B$124)&lt;=120),IF(COUNT(INDEX($D$22:$DT$22,1,MAX(1,MIN(121,23-(核心参数输入!$B$148+核心参数输入!$B$124)+1))))=1,INDEX($D$22:$DT$22,1,MAX(1,MIN(121,23-(核心参数输入!$B$148+核心参数输入!$B$124)+1))),IF(AND(23-核心参数输入!$B$106&gt;=0,23-核心参数输入!$B$106&lt;=120),INDEX(季度计划!$D$122:$DT$122,1,MAX(1,MIN(121,23-核心参数输入!$B$106+1))),0)),0),0)</f>
        <v>0</v>
      </c>
      <c r="AB123" s="22">
        <f>IF(24&lt;=核心参数输入!$B$9*4,IF(AND(24-(核心参数输入!$B$148+核心参数输入!$B$124)&gt;=0,24-(核心参数输入!$B$148+核心参数输入!$B$124)&lt;=120),IF(COUNT(INDEX($D$22:$DT$22,1,MAX(1,MIN(121,24-(核心参数输入!$B$148+核心参数输入!$B$124)+1))))=1,INDEX($D$22:$DT$22,1,MAX(1,MIN(121,24-(核心参数输入!$B$148+核心参数输入!$B$124)+1))),IF(AND(24-核心参数输入!$B$106&gt;=0,24-核心参数输入!$B$106&lt;=120),INDEX(季度计划!$D$122:$DT$122,1,MAX(1,MIN(121,24-核心参数输入!$B$106+1))),0)),0),0)</f>
        <v>0</v>
      </c>
      <c r="AC123" s="22">
        <f>IF(25&lt;=核心参数输入!$B$9*4,IF(AND(25-(核心参数输入!$B$148+核心参数输入!$B$124)&gt;=0,25-(核心参数输入!$B$148+核心参数输入!$B$124)&lt;=120),IF(COUNT(INDEX($D$22:$DT$22,1,MAX(1,MIN(121,25-(核心参数输入!$B$148+核心参数输入!$B$124)+1))))=1,INDEX($D$22:$DT$22,1,MAX(1,MIN(121,25-(核心参数输入!$B$148+核心参数输入!$B$124)+1))),IF(AND(25-核心参数输入!$B$106&gt;=0,25-核心参数输入!$B$106&lt;=120),INDEX(季度计划!$D$122:$DT$122,1,MAX(1,MIN(121,25-核心参数输入!$B$106+1))),0)),0),0)</f>
        <v>0</v>
      </c>
      <c r="AD123" s="22">
        <f>IF(26&lt;=核心参数输入!$B$9*4,IF(AND(26-(核心参数输入!$B$148+核心参数输入!$B$124)&gt;=0,26-(核心参数输入!$B$148+核心参数输入!$B$124)&lt;=120),IF(COUNT(INDEX($D$22:$DT$22,1,MAX(1,MIN(121,26-(核心参数输入!$B$148+核心参数输入!$B$124)+1))))=1,INDEX($D$22:$DT$22,1,MAX(1,MIN(121,26-(核心参数输入!$B$148+核心参数输入!$B$124)+1))),IF(AND(26-核心参数输入!$B$106&gt;=0,26-核心参数输入!$B$106&lt;=120),INDEX(季度计划!$D$122:$DT$122,1,MAX(1,MIN(121,26-核心参数输入!$B$106+1))),0)),0),0)</f>
        <v>0</v>
      </c>
      <c r="AE123" s="22">
        <f>IF(27&lt;=核心参数输入!$B$9*4,IF(AND(27-(核心参数输入!$B$148+核心参数输入!$B$124)&gt;=0,27-(核心参数输入!$B$148+核心参数输入!$B$124)&lt;=120),IF(COUNT(INDEX($D$22:$DT$22,1,MAX(1,MIN(121,27-(核心参数输入!$B$148+核心参数输入!$B$124)+1))))=1,INDEX($D$22:$DT$22,1,MAX(1,MIN(121,27-(核心参数输入!$B$148+核心参数输入!$B$124)+1))),IF(AND(27-核心参数输入!$B$106&gt;=0,27-核心参数输入!$B$106&lt;=120),INDEX(季度计划!$D$122:$DT$122,1,MAX(1,MIN(121,27-核心参数输入!$B$106+1))),0)),0),0)</f>
        <v>0</v>
      </c>
      <c r="AF123" s="22">
        <f>IF(28&lt;=核心参数输入!$B$9*4,IF(AND(28-(核心参数输入!$B$148+核心参数输入!$B$124)&gt;=0,28-(核心参数输入!$B$148+核心参数输入!$B$124)&lt;=120),IF(COUNT(INDEX($D$22:$DT$22,1,MAX(1,MIN(121,28-(核心参数输入!$B$148+核心参数输入!$B$124)+1))))=1,INDEX($D$22:$DT$22,1,MAX(1,MIN(121,28-(核心参数输入!$B$148+核心参数输入!$B$124)+1))),IF(AND(28-核心参数输入!$B$106&gt;=0,28-核心参数输入!$B$106&lt;=120),INDEX(季度计划!$D$122:$DT$122,1,MAX(1,MIN(121,28-核心参数输入!$B$106+1))),0)),0),0)</f>
        <v>0</v>
      </c>
      <c r="AG123" s="22">
        <f>IF(29&lt;=核心参数输入!$B$9*4,IF(AND(29-(核心参数输入!$B$148+核心参数输入!$B$124)&gt;=0,29-(核心参数输入!$B$148+核心参数输入!$B$124)&lt;=120),IF(COUNT(INDEX($D$22:$DT$22,1,MAX(1,MIN(121,29-(核心参数输入!$B$148+核心参数输入!$B$124)+1))))=1,INDEX($D$22:$DT$22,1,MAX(1,MIN(121,29-(核心参数输入!$B$148+核心参数输入!$B$124)+1))),IF(AND(29-核心参数输入!$B$106&gt;=0,29-核心参数输入!$B$106&lt;=120),INDEX(季度计划!$D$122:$DT$122,1,MAX(1,MIN(121,29-核心参数输入!$B$106+1))),0)),0),0)</f>
        <v>0</v>
      </c>
      <c r="AH123" s="22">
        <f>IF(30&lt;=核心参数输入!$B$9*4,IF(AND(30-(核心参数输入!$B$148+核心参数输入!$B$124)&gt;=0,30-(核心参数输入!$B$148+核心参数输入!$B$124)&lt;=120),IF(COUNT(INDEX($D$22:$DT$22,1,MAX(1,MIN(121,30-(核心参数输入!$B$148+核心参数输入!$B$124)+1))))=1,INDEX($D$22:$DT$22,1,MAX(1,MIN(121,30-(核心参数输入!$B$148+核心参数输入!$B$124)+1))),IF(AND(30-核心参数输入!$B$106&gt;=0,30-核心参数输入!$B$106&lt;=120),INDEX(季度计划!$D$122:$DT$122,1,MAX(1,MIN(121,30-核心参数输入!$B$106+1))),0)),0),0)</f>
        <v>0</v>
      </c>
      <c r="AI123" s="22">
        <f>IF(31&lt;=核心参数输入!$B$9*4,IF(AND(31-(核心参数输入!$B$148+核心参数输入!$B$124)&gt;=0,31-(核心参数输入!$B$148+核心参数输入!$B$124)&lt;=120),IF(COUNT(INDEX($D$22:$DT$22,1,MAX(1,MIN(121,31-(核心参数输入!$B$148+核心参数输入!$B$124)+1))))=1,INDEX($D$22:$DT$22,1,MAX(1,MIN(121,31-(核心参数输入!$B$148+核心参数输入!$B$124)+1))),IF(AND(31-核心参数输入!$B$106&gt;=0,31-核心参数输入!$B$106&lt;=120),INDEX(季度计划!$D$122:$DT$122,1,MAX(1,MIN(121,31-核心参数输入!$B$106+1))),0)),0),0)</f>
        <v>0</v>
      </c>
      <c r="AJ123" s="22">
        <f>IF(32&lt;=核心参数输入!$B$9*4,IF(AND(32-(核心参数输入!$B$148+核心参数输入!$B$124)&gt;=0,32-(核心参数输入!$B$148+核心参数输入!$B$124)&lt;=120),IF(COUNT(INDEX($D$22:$DT$22,1,MAX(1,MIN(121,32-(核心参数输入!$B$148+核心参数输入!$B$124)+1))))=1,INDEX($D$22:$DT$22,1,MAX(1,MIN(121,32-(核心参数输入!$B$148+核心参数输入!$B$124)+1))),IF(AND(32-核心参数输入!$B$106&gt;=0,32-核心参数输入!$B$106&lt;=120),INDEX(季度计划!$D$122:$DT$122,1,MAX(1,MIN(121,32-核心参数输入!$B$106+1))),0)),0),0)</f>
        <v>0</v>
      </c>
      <c r="AK123" s="22">
        <f>IF(33&lt;=核心参数输入!$B$9*4,IF(AND(33-(核心参数输入!$B$148+核心参数输入!$B$124)&gt;=0,33-(核心参数输入!$B$148+核心参数输入!$B$124)&lt;=120),IF(COUNT(INDEX($D$22:$DT$22,1,MAX(1,MIN(121,33-(核心参数输入!$B$148+核心参数输入!$B$124)+1))))=1,INDEX($D$22:$DT$22,1,MAX(1,MIN(121,33-(核心参数输入!$B$148+核心参数输入!$B$124)+1))),IF(AND(33-核心参数输入!$B$106&gt;=0,33-核心参数输入!$B$106&lt;=120),INDEX(季度计划!$D$122:$DT$122,1,MAX(1,MIN(121,33-核心参数输入!$B$106+1))),0)),0),0)</f>
        <v>0</v>
      </c>
      <c r="AL123" s="22">
        <f>IF(34&lt;=核心参数输入!$B$9*4,IF(AND(34-(核心参数输入!$B$148+核心参数输入!$B$124)&gt;=0,34-(核心参数输入!$B$148+核心参数输入!$B$124)&lt;=120),IF(COUNT(INDEX($D$22:$DT$22,1,MAX(1,MIN(121,34-(核心参数输入!$B$148+核心参数输入!$B$124)+1))))=1,INDEX($D$22:$DT$22,1,MAX(1,MIN(121,34-(核心参数输入!$B$148+核心参数输入!$B$124)+1))),IF(AND(34-核心参数输入!$B$106&gt;=0,34-核心参数输入!$B$106&lt;=120),INDEX(季度计划!$D$122:$DT$122,1,MAX(1,MIN(121,34-核心参数输入!$B$106+1))),0)),0),0)</f>
        <v>0</v>
      </c>
      <c r="AM123" s="22">
        <f>IF(35&lt;=核心参数输入!$B$9*4,IF(AND(35-(核心参数输入!$B$148+核心参数输入!$B$124)&gt;=0,35-(核心参数输入!$B$148+核心参数输入!$B$124)&lt;=120),IF(COUNT(INDEX($D$22:$DT$22,1,MAX(1,MIN(121,35-(核心参数输入!$B$148+核心参数输入!$B$124)+1))))=1,INDEX($D$22:$DT$22,1,MAX(1,MIN(121,35-(核心参数输入!$B$148+核心参数输入!$B$124)+1))),IF(AND(35-核心参数输入!$B$106&gt;=0,35-核心参数输入!$B$106&lt;=120),INDEX(季度计划!$D$122:$DT$122,1,MAX(1,MIN(121,35-核心参数输入!$B$106+1))),0)),0),0)</f>
        <v>0</v>
      </c>
      <c r="AN123" s="22">
        <f>IF(36&lt;=核心参数输入!$B$9*4,IF(AND(36-(核心参数输入!$B$148+核心参数输入!$B$124)&gt;=0,36-(核心参数输入!$B$148+核心参数输入!$B$124)&lt;=120),IF(COUNT(INDEX($D$22:$DT$22,1,MAX(1,MIN(121,36-(核心参数输入!$B$148+核心参数输入!$B$124)+1))))=1,INDEX($D$22:$DT$22,1,MAX(1,MIN(121,36-(核心参数输入!$B$148+核心参数输入!$B$124)+1))),IF(AND(36-核心参数输入!$B$106&gt;=0,36-核心参数输入!$B$106&lt;=120),INDEX(季度计划!$D$122:$DT$122,1,MAX(1,MIN(121,36-核心参数输入!$B$106+1))),0)),0),0)</f>
        <v>0</v>
      </c>
      <c r="AO123" s="22">
        <f>IF(37&lt;=核心参数输入!$B$9*4,IF(AND(37-(核心参数输入!$B$148+核心参数输入!$B$124)&gt;=0,37-(核心参数输入!$B$148+核心参数输入!$B$124)&lt;=120),IF(COUNT(INDEX($D$22:$DT$22,1,MAX(1,MIN(121,37-(核心参数输入!$B$148+核心参数输入!$B$124)+1))))=1,INDEX($D$22:$DT$22,1,MAX(1,MIN(121,37-(核心参数输入!$B$148+核心参数输入!$B$124)+1))),IF(AND(37-核心参数输入!$B$106&gt;=0,37-核心参数输入!$B$106&lt;=120),INDEX(季度计划!$D$122:$DT$122,1,MAX(1,MIN(121,37-核心参数输入!$B$106+1))),0)),0),0)</f>
        <v>0</v>
      </c>
      <c r="AP123" s="22">
        <f>IF(38&lt;=核心参数输入!$B$9*4,IF(AND(38-(核心参数输入!$B$148+核心参数输入!$B$124)&gt;=0,38-(核心参数输入!$B$148+核心参数输入!$B$124)&lt;=120),IF(COUNT(INDEX($D$22:$DT$22,1,MAX(1,MIN(121,38-(核心参数输入!$B$148+核心参数输入!$B$124)+1))))=1,INDEX($D$22:$DT$22,1,MAX(1,MIN(121,38-(核心参数输入!$B$148+核心参数输入!$B$124)+1))),IF(AND(38-核心参数输入!$B$106&gt;=0,38-核心参数输入!$B$106&lt;=120),INDEX(季度计划!$D$122:$DT$122,1,MAX(1,MIN(121,38-核心参数输入!$B$106+1))),0)),0),0)</f>
        <v>0</v>
      </c>
      <c r="AQ123" s="22">
        <f>IF(39&lt;=核心参数输入!$B$9*4,IF(AND(39-(核心参数输入!$B$148+核心参数输入!$B$124)&gt;=0,39-(核心参数输入!$B$148+核心参数输入!$B$124)&lt;=120),IF(COUNT(INDEX($D$22:$DT$22,1,MAX(1,MIN(121,39-(核心参数输入!$B$148+核心参数输入!$B$124)+1))))=1,INDEX($D$22:$DT$22,1,MAX(1,MIN(121,39-(核心参数输入!$B$148+核心参数输入!$B$124)+1))),IF(AND(39-核心参数输入!$B$106&gt;=0,39-核心参数输入!$B$106&lt;=120),INDEX(季度计划!$D$122:$DT$122,1,MAX(1,MIN(121,39-核心参数输入!$B$106+1))),0)),0),0)</f>
        <v>0</v>
      </c>
      <c r="AR123" s="22">
        <f>IF(40&lt;=核心参数输入!$B$9*4,IF(AND(40-(核心参数输入!$B$148+核心参数输入!$B$124)&gt;=0,40-(核心参数输入!$B$148+核心参数输入!$B$124)&lt;=120),IF(COUNT(INDEX($D$22:$DT$22,1,MAX(1,MIN(121,40-(核心参数输入!$B$148+核心参数输入!$B$124)+1))))=1,INDEX($D$22:$DT$22,1,MAX(1,MIN(121,40-(核心参数输入!$B$148+核心参数输入!$B$124)+1))),IF(AND(40-核心参数输入!$B$106&gt;=0,40-核心参数输入!$B$106&lt;=120),INDEX(季度计划!$D$122:$DT$122,1,MAX(1,MIN(121,40-核心参数输入!$B$106+1))),0)),0),0)</f>
        <v>0</v>
      </c>
      <c r="AS123" s="22">
        <f>IF(41&lt;=核心参数输入!$B$9*4,IF(AND(41-(核心参数输入!$B$148+核心参数输入!$B$124)&gt;=0,41-(核心参数输入!$B$148+核心参数输入!$B$124)&lt;=120),IF(COUNT(INDEX($D$22:$DT$22,1,MAX(1,MIN(121,41-(核心参数输入!$B$148+核心参数输入!$B$124)+1))))=1,INDEX($D$22:$DT$22,1,MAX(1,MIN(121,41-(核心参数输入!$B$148+核心参数输入!$B$124)+1))),IF(AND(41-核心参数输入!$B$106&gt;=0,41-核心参数输入!$B$106&lt;=120),INDEX(季度计划!$D$122:$DT$122,1,MAX(1,MIN(121,41-核心参数输入!$B$106+1))),0)),0),0)</f>
        <v>0</v>
      </c>
      <c r="AT123" s="22">
        <f>IF(42&lt;=核心参数输入!$B$9*4,IF(AND(42-(核心参数输入!$B$148+核心参数输入!$B$124)&gt;=0,42-(核心参数输入!$B$148+核心参数输入!$B$124)&lt;=120),IF(COUNT(INDEX($D$22:$DT$22,1,MAX(1,MIN(121,42-(核心参数输入!$B$148+核心参数输入!$B$124)+1))))=1,INDEX($D$22:$DT$22,1,MAX(1,MIN(121,42-(核心参数输入!$B$148+核心参数输入!$B$124)+1))),IF(AND(42-核心参数输入!$B$106&gt;=0,42-核心参数输入!$B$106&lt;=120),INDEX(季度计划!$D$122:$DT$122,1,MAX(1,MIN(121,42-核心参数输入!$B$106+1))),0)),0),0)</f>
        <v>0</v>
      </c>
      <c r="AU123" s="22">
        <f>IF(43&lt;=核心参数输入!$B$9*4,IF(AND(43-(核心参数输入!$B$148+核心参数输入!$B$124)&gt;=0,43-(核心参数输入!$B$148+核心参数输入!$B$124)&lt;=120),IF(COUNT(INDEX($D$22:$DT$22,1,MAX(1,MIN(121,43-(核心参数输入!$B$148+核心参数输入!$B$124)+1))))=1,INDEX($D$22:$DT$22,1,MAX(1,MIN(121,43-(核心参数输入!$B$148+核心参数输入!$B$124)+1))),IF(AND(43-核心参数输入!$B$106&gt;=0,43-核心参数输入!$B$106&lt;=120),INDEX(季度计划!$D$122:$DT$122,1,MAX(1,MIN(121,43-核心参数输入!$B$106+1))),0)),0),0)</f>
        <v>0</v>
      </c>
      <c r="AV123" s="22">
        <f>IF(44&lt;=核心参数输入!$B$9*4,IF(AND(44-(核心参数输入!$B$148+核心参数输入!$B$124)&gt;=0,44-(核心参数输入!$B$148+核心参数输入!$B$124)&lt;=120),IF(COUNT(INDEX($D$22:$DT$22,1,MAX(1,MIN(121,44-(核心参数输入!$B$148+核心参数输入!$B$124)+1))))=1,INDEX($D$22:$DT$22,1,MAX(1,MIN(121,44-(核心参数输入!$B$148+核心参数输入!$B$124)+1))),IF(AND(44-核心参数输入!$B$106&gt;=0,44-核心参数输入!$B$106&lt;=120),INDEX(季度计划!$D$122:$DT$122,1,MAX(1,MIN(121,44-核心参数输入!$B$106+1))),0)),0),0)</f>
        <v>0</v>
      </c>
      <c r="AW123" s="22">
        <f>IF(45&lt;=核心参数输入!$B$9*4,IF(AND(45-(核心参数输入!$B$148+核心参数输入!$B$124)&gt;=0,45-(核心参数输入!$B$148+核心参数输入!$B$124)&lt;=120),IF(COUNT(INDEX($D$22:$DT$22,1,MAX(1,MIN(121,45-(核心参数输入!$B$148+核心参数输入!$B$124)+1))))=1,INDEX($D$22:$DT$22,1,MAX(1,MIN(121,45-(核心参数输入!$B$148+核心参数输入!$B$124)+1))),IF(AND(45-核心参数输入!$B$106&gt;=0,45-核心参数输入!$B$106&lt;=120),INDEX(季度计划!$D$122:$DT$122,1,MAX(1,MIN(121,45-核心参数输入!$B$106+1))),0)),0),0)</f>
        <v>0</v>
      </c>
      <c r="AX123" s="22">
        <f>IF(46&lt;=核心参数输入!$B$9*4,IF(AND(46-(核心参数输入!$B$148+核心参数输入!$B$124)&gt;=0,46-(核心参数输入!$B$148+核心参数输入!$B$124)&lt;=120),IF(COUNT(INDEX($D$22:$DT$22,1,MAX(1,MIN(121,46-(核心参数输入!$B$148+核心参数输入!$B$124)+1))))=1,INDEX($D$22:$DT$22,1,MAX(1,MIN(121,46-(核心参数输入!$B$148+核心参数输入!$B$124)+1))),IF(AND(46-核心参数输入!$B$106&gt;=0,46-核心参数输入!$B$106&lt;=120),INDEX(季度计划!$D$122:$DT$122,1,MAX(1,MIN(121,46-核心参数输入!$B$106+1))),0)),0),0)</f>
        <v>0</v>
      </c>
      <c r="AY123" s="22">
        <f>IF(47&lt;=核心参数输入!$B$9*4,IF(AND(47-(核心参数输入!$B$148+核心参数输入!$B$124)&gt;=0,47-(核心参数输入!$B$148+核心参数输入!$B$124)&lt;=120),IF(COUNT(INDEX($D$22:$DT$22,1,MAX(1,MIN(121,47-(核心参数输入!$B$148+核心参数输入!$B$124)+1))))=1,INDEX($D$22:$DT$22,1,MAX(1,MIN(121,47-(核心参数输入!$B$148+核心参数输入!$B$124)+1))),IF(AND(47-核心参数输入!$B$106&gt;=0,47-核心参数输入!$B$106&lt;=120),INDEX(季度计划!$D$122:$DT$122,1,MAX(1,MIN(121,47-核心参数输入!$B$106+1))),0)),0),0)</f>
        <v>0</v>
      </c>
      <c r="AZ123" s="22">
        <f>IF(48&lt;=核心参数输入!$B$9*4,IF(AND(48-(核心参数输入!$B$148+核心参数输入!$B$124)&gt;=0,48-(核心参数输入!$B$148+核心参数输入!$B$124)&lt;=120),IF(COUNT(INDEX($D$22:$DT$22,1,MAX(1,MIN(121,48-(核心参数输入!$B$148+核心参数输入!$B$124)+1))))=1,INDEX($D$22:$DT$22,1,MAX(1,MIN(121,48-(核心参数输入!$B$148+核心参数输入!$B$124)+1))),IF(AND(48-核心参数输入!$B$106&gt;=0,48-核心参数输入!$B$106&lt;=120),INDEX(季度计划!$D$122:$DT$122,1,MAX(1,MIN(121,48-核心参数输入!$B$106+1))),0)),0),0)</f>
        <v>0</v>
      </c>
      <c r="BA123" s="22">
        <f>IF(49&lt;=核心参数输入!$B$9*4,IF(AND(49-(核心参数输入!$B$148+核心参数输入!$B$124)&gt;=0,49-(核心参数输入!$B$148+核心参数输入!$B$124)&lt;=120),IF(COUNT(INDEX($D$22:$DT$22,1,MAX(1,MIN(121,49-(核心参数输入!$B$148+核心参数输入!$B$124)+1))))=1,INDEX($D$22:$DT$22,1,MAX(1,MIN(121,49-(核心参数输入!$B$148+核心参数输入!$B$124)+1))),IF(AND(49-核心参数输入!$B$106&gt;=0,49-核心参数输入!$B$106&lt;=120),INDEX(季度计划!$D$122:$DT$122,1,MAX(1,MIN(121,49-核心参数输入!$B$106+1))),0)),0),0)</f>
        <v>0</v>
      </c>
      <c r="BB123" s="22">
        <f>IF(50&lt;=核心参数输入!$B$9*4,IF(AND(50-(核心参数输入!$B$148+核心参数输入!$B$124)&gt;=0,50-(核心参数输入!$B$148+核心参数输入!$B$124)&lt;=120),IF(COUNT(INDEX($D$22:$DT$22,1,MAX(1,MIN(121,50-(核心参数输入!$B$148+核心参数输入!$B$124)+1))))=1,INDEX($D$22:$DT$22,1,MAX(1,MIN(121,50-(核心参数输入!$B$148+核心参数输入!$B$124)+1))),IF(AND(50-核心参数输入!$B$106&gt;=0,50-核心参数输入!$B$106&lt;=120),INDEX(季度计划!$D$122:$DT$122,1,MAX(1,MIN(121,50-核心参数输入!$B$106+1))),0)),0),0)</f>
        <v>0</v>
      </c>
      <c r="BC123" s="22">
        <f>IF(51&lt;=核心参数输入!$B$9*4,IF(AND(51-(核心参数输入!$B$148+核心参数输入!$B$124)&gt;=0,51-(核心参数输入!$B$148+核心参数输入!$B$124)&lt;=120),IF(COUNT(INDEX($D$22:$DT$22,1,MAX(1,MIN(121,51-(核心参数输入!$B$148+核心参数输入!$B$124)+1))))=1,INDEX($D$22:$DT$22,1,MAX(1,MIN(121,51-(核心参数输入!$B$148+核心参数输入!$B$124)+1))),IF(AND(51-核心参数输入!$B$106&gt;=0,51-核心参数输入!$B$106&lt;=120),INDEX(季度计划!$D$122:$DT$122,1,MAX(1,MIN(121,51-核心参数输入!$B$106+1))),0)),0),0)</f>
        <v>0</v>
      </c>
      <c r="BD123" s="22">
        <f>IF(52&lt;=核心参数输入!$B$9*4,IF(AND(52-(核心参数输入!$B$148+核心参数输入!$B$124)&gt;=0,52-(核心参数输入!$B$148+核心参数输入!$B$124)&lt;=120),IF(COUNT(INDEX($D$22:$DT$22,1,MAX(1,MIN(121,52-(核心参数输入!$B$148+核心参数输入!$B$124)+1))))=1,INDEX($D$22:$DT$22,1,MAX(1,MIN(121,52-(核心参数输入!$B$148+核心参数输入!$B$124)+1))),IF(AND(52-核心参数输入!$B$106&gt;=0,52-核心参数输入!$B$106&lt;=120),INDEX(季度计划!$D$122:$DT$122,1,MAX(1,MIN(121,52-核心参数输入!$B$106+1))),0)),0),0)</f>
        <v>0</v>
      </c>
      <c r="BE123" s="22">
        <f>IF(53&lt;=核心参数输入!$B$9*4,IF(AND(53-(核心参数输入!$B$148+核心参数输入!$B$124)&gt;=0,53-(核心参数输入!$B$148+核心参数输入!$B$124)&lt;=120),IF(COUNT(INDEX($D$22:$DT$22,1,MAX(1,MIN(121,53-(核心参数输入!$B$148+核心参数输入!$B$124)+1))))=1,INDEX($D$22:$DT$22,1,MAX(1,MIN(121,53-(核心参数输入!$B$148+核心参数输入!$B$124)+1))),IF(AND(53-核心参数输入!$B$106&gt;=0,53-核心参数输入!$B$106&lt;=120),INDEX(季度计划!$D$122:$DT$122,1,MAX(1,MIN(121,53-核心参数输入!$B$106+1))),0)),0),0)</f>
        <v>0</v>
      </c>
      <c r="BF123" s="22">
        <f>IF(54&lt;=核心参数输入!$B$9*4,IF(AND(54-(核心参数输入!$B$148+核心参数输入!$B$124)&gt;=0,54-(核心参数输入!$B$148+核心参数输入!$B$124)&lt;=120),IF(COUNT(INDEX($D$22:$DT$22,1,MAX(1,MIN(121,54-(核心参数输入!$B$148+核心参数输入!$B$124)+1))))=1,INDEX($D$22:$DT$22,1,MAX(1,MIN(121,54-(核心参数输入!$B$148+核心参数输入!$B$124)+1))),IF(AND(54-核心参数输入!$B$106&gt;=0,54-核心参数输入!$B$106&lt;=120),INDEX(季度计划!$D$122:$DT$122,1,MAX(1,MIN(121,54-核心参数输入!$B$106+1))),0)),0),0)</f>
        <v>0</v>
      </c>
      <c r="BG123" s="22">
        <f>IF(55&lt;=核心参数输入!$B$9*4,IF(AND(55-(核心参数输入!$B$148+核心参数输入!$B$124)&gt;=0,55-(核心参数输入!$B$148+核心参数输入!$B$124)&lt;=120),IF(COUNT(INDEX($D$22:$DT$22,1,MAX(1,MIN(121,55-(核心参数输入!$B$148+核心参数输入!$B$124)+1))))=1,INDEX($D$22:$DT$22,1,MAX(1,MIN(121,55-(核心参数输入!$B$148+核心参数输入!$B$124)+1))),IF(AND(55-核心参数输入!$B$106&gt;=0,55-核心参数输入!$B$106&lt;=120),INDEX(季度计划!$D$122:$DT$122,1,MAX(1,MIN(121,55-核心参数输入!$B$106+1))),0)),0),0)</f>
        <v>0</v>
      </c>
      <c r="BH123" s="22">
        <f>IF(56&lt;=核心参数输入!$B$9*4,IF(AND(56-(核心参数输入!$B$148+核心参数输入!$B$124)&gt;=0,56-(核心参数输入!$B$148+核心参数输入!$B$124)&lt;=120),IF(COUNT(INDEX($D$22:$DT$22,1,MAX(1,MIN(121,56-(核心参数输入!$B$148+核心参数输入!$B$124)+1))))=1,INDEX($D$22:$DT$22,1,MAX(1,MIN(121,56-(核心参数输入!$B$148+核心参数输入!$B$124)+1))),IF(AND(56-核心参数输入!$B$106&gt;=0,56-核心参数输入!$B$106&lt;=120),INDEX(季度计划!$D$122:$DT$122,1,MAX(1,MIN(121,56-核心参数输入!$B$106+1))),0)),0),0)</f>
        <v>0</v>
      </c>
      <c r="BI123" s="22">
        <f>IF(57&lt;=核心参数输入!$B$9*4,IF(AND(57-(核心参数输入!$B$148+核心参数输入!$B$124)&gt;=0,57-(核心参数输入!$B$148+核心参数输入!$B$124)&lt;=120),IF(COUNT(INDEX($D$22:$DT$22,1,MAX(1,MIN(121,57-(核心参数输入!$B$148+核心参数输入!$B$124)+1))))=1,INDEX($D$22:$DT$22,1,MAX(1,MIN(121,57-(核心参数输入!$B$148+核心参数输入!$B$124)+1))),IF(AND(57-核心参数输入!$B$106&gt;=0,57-核心参数输入!$B$106&lt;=120),INDEX(季度计划!$D$122:$DT$122,1,MAX(1,MIN(121,57-核心参数输入!$B$106+1))),0)),0),0)</f>
        <v>0</v>
      </c>
      <c r="BJ123" s="22">
        <f>IF(58&lt;=核心参数输入!$B$9*4,IF(AND(58-(核心参数输入!$B$148+核心参数输入!$B$124)&gt;=0,58-(核心参数输入!$B$148+核心参数输入!$B$124)&lt;=120),IF(COUNT(INDEX($D$22:$DT$22,1,MAX(1,MIN(121,58-(核心参数输入!$B$148+核心参数输入!$B$124)+1))))=1,INDEX($D$22:$DT$22,1,MAX(1,MIN(121,58-(核心参数输入!$B$148+核心参数输入!$B$124)+1))),IF(AND(58-核心参数输入!$B$106&gt;=0,58-核心参数输入!$B$106&lt;=120),INDEX(季度计划!$D$122:$DT$122,1,MAX(1,MIN(121,58-核心参数输入!$B$106+1))),0)),0),0)</f>
        <v>0</v>
      </c>
      <c r="BK123" s="22">
        <f>IF(59&lt;=核心参数输入!$B$9*4,IF(AND(59-(核心参数输入!$B$148+核心参数输入!$B$124)&gt;=0,59-(核心参数输入!$B$148+核心参数输入!$B$124)&lt;=120),IF(COUNT(INDEX($D$22:$DT$22,1,MAX(1,MIN(121,59-(核心参数输入!$B$148+核心参数输入!$B$124)+1))))=1,INDEX($D$22:$DT$22,1,MAX(1,MIN(121,59-(核心参数输入!$B$148+核心参数输入!$B$124)+1))),IF(AND(59-核心参数输入!$B$106&gt;=0,59-核心参数输入!$B$106&lt;=120),INDEX(季度计划!$D$122:$DT$122,1,MAX(1,MIN(121,59-核心参数输入!$B$106+1))),0)),0),0)</f>
        <v>0</v>
      </c>
      <c r="BL123" s="22">
        <f>IF(60&lt;=核心参数输入!$B$9*4,IF(AND(60-(核心参数输入!$B$148+核心参数输入!$B$124)&gt;=0,60-(核心参数输入!$B$148+核心参数输入!$B$124)&lt;=120),IF(COUNT(INDEX($D$22:$DT$22,1,MAX(1,MIN(121,60-(核心参数输入!$B$148+核心参数输入!$B$124)+1))))=1,INDEX($D$22:$DT$22,1,MAX(1,MIN(121,60-(核心参数输入!$B$148+核心参数输入!$B$124)+1))),IF(AND(60-核心参数输入!$B$106&gt;=0,60-核心参数输入!$B$106&lt;=120),INDEX(季度计划!$D$122:$DT$122,1,MAX(1,MIN(121,60-核心参数输入!$B$106+1))),0)),0),0)</f>
        <v>0</v>
      </c>
      <c r="BM123" s="22">
        <f>IF(61&lt;=核心参数输入!$B$9*4,IF(AND(61-(核心参数输入!$B$148+核心参数输入!$B$124)&gt;=0,61-(核心参数输入!$B$148+核心参数输入!$B$124)&lt;=120),IF(COUNT(INDEX($D$22:$DT$22,1,MAX(1,MIN(121,61-(核心参数输入!$B$148+核心参数输入!$B$124)+1))))=1,INDEX($D$22:$DT$22,1,MAX(1,MIN(121,61-(核心参数输入!$B$148+核心参数输入!$B$124)+1))),IF(AND(61-核心参数输入!$B$106&gt;=0,61-核心参数输入!$B$106&lt;=120),INDEX(季度计划!$D$122:$DT$122,1,MAX(1,MIN(121,61-核心参数输入!$B$106+1))),0)),0),0)</f>
        <v>0</v>
      </c>
      <c r="BN123" s="22">
        <f>IF(62&lt;=核心参数输入!$B$9*4,IF(AND(62-(核心参数输入!$B$148+核心参数输入!$B$124)&gt;=0,62-(核心参数输入!$B$148+核心参数输入!$B$124)&lt;=120),IF(COUNT(INDEX($D$22:$DT$22,1,MAX(1,MIN(121,62-(核心参数输入!$B$148+核心参数输入!$B$124)+1))))=1,INDEX($D$22:$DT$22,1,MAX(1,MIN(121,62-(核心参数输入!$B$148+核心参数输入!$B$124)+1))),IF(AND(62-核心参数输入!$B$106&gt;=0,62-核心参数输入!$B$106&lt;=120),INDEX(季度计划!$D$122:$DT$122,1,MAX(1,MIN(121,62-核心参数输入!$B$106+1))),0)),0),0)</f>
        <v>0</v>
      </c>
      <c r="BO123" s="22">
        <f>IF(63&lt;=核心参数输入!$B$9*4,IF(AND(63-(核心参数输入!$B$148+核心参数输入!$B$124)&gt;=0,63-(核心参数输入!$B$148+核心参数输入!$B$124)&lt;=120),IF(COUNT(INDEX($D$22:$DT$22,1,MAX(1,MIN(121,63-(核心参数输入!$B$148+核心参数输入!$B$124)+1))))=1,INDEX($D$22:$DT$22,1,MAX(1,MIN(121,63-(核心参数输入!$B$148+核心参数输入!$B$124)+1))),IF(AND(63-核心参数输入!$B$106&gt;=0,63-核心参数输入!$B$106&lt;=120),INDEX(季度计划!$D$122:$DT$122,1,MAX(1,MIN(121,63-核心参数输入!$B$106+1))),0)),0),0)</f>
        <v>0</v>
      </c>
      <c r="BP123" s="22">
        <f>IF(64&lt;=核心参数输入!$B$9*4,IF(AND(64-(核心参数输入!$B$148+核心参数输入!$B$124)&gt;=0,64-(核心参数输入!$B$148+核心参数输入!$B$124)&lt;=120),IF(COUNT(INDEX($D$22:$DT$22,1,MAX(1,MIN(121,64-(核心参数输入!$B$148+核心参数输入!$B$124)+1))))=1,INDEX($D$22:$DT$22,1,MAX(1,MIN(121,64-(核心参数输入!$B$148+核心参数输入!$B$124)+1))),IF(AND(64-核心参数输入!$B$106&gt;=0,64-核心参数输入!$B$106&lt;=120),INDEX(季度计划!$D$122:$DT$122,1,MAX(1,MIN(121,64-核心参数输入!$B$106+1))),0)),0),0)</f>
        <v>0</v>
      </c>
      <c r="BQ123" s="22">
        <f>IF(65&lt;=核心参数输入!$B$9*4,IF(AND(65-(核心参数输入!$B$148+核心参数输入!$B$124)&gt;=0,65-(核心参数输入!$B$148+核心参数输入!$B$124)&lt;=120),IF(COUNT(INDEX($D$22:$DT$22,1,MAX(1,MIN(121,65-(核心参数输入!$B$148+核心参数输入!$B$124)+1))))=1,INDEX($D$22:$DT$22,1,MAX(1,MIN(121,65-(核心参数输入!$B$148+核心参数输入!$B$124)+1))),IF(AND(65-核心参数输入!$B$106&gt;=0,65-核心参数输入!$B$106&lt;=120),INDEX(季度计划!$D$122:$DT$122,1,MAX(1,MIN(121,65-核心参数输入!$B$106+1))),0)),0),0)</f>
        <v>0</v>
      </c>
      <c r="BR123" s="22">
        <f>IF(66&lt;=核心参数输入!$B$9*4,IF(AND(66-(核心参数输入!$B$148+核心参数输入!$B$124)&gt;=0,66-(核心参数输入!$B$148+核心参数输入!$B$124)&lt;=120),IF(COUNT(INDEX($D$22:$DT$22,1,MAX(1,MIN(121,66-(核心参数输入!$B$148+核心参数输入!$B$124)+1))))=1,INDEX($D$22:$DT$22,1,MAX(1,MIN(121,66-(核心参数输入!$B$148+核心参数输入!$B$124)+1))),IF(AND(66-核心参数输入!$B$106&gt;=0,66-核心参数输入!$B$106&lt;=120),INDEX(季度计划!$D$122:$DT$122,1,MAX(1,MIN(121,66-核心参数输入!$B$106+1))),0)),0),0)</f>
        <v>0</v>
      </c>
      <c r="BS123" s="22">
        <f>IF(67&lt;=核心参数输入!$B$9*4,IF(AND(67-(核心参数输入!$B$148+核心参数输入!$B$124)&gt;=0,67-(核心参数输入!$B$148+核心参数输入!$B$124)&lt;=120),IF(COUNT(INDEX($D$22:$DT$22,1,MAX(1,MIN(121,67-(核心参数输入!$B$148+核心参数输入!$B$124)+1))))=1,INDEX($D$22:$DT$22,1,MAX(1,MIN(121,67-(核心参数输入!$B$148+核心参数输入!$B$124)+1))),IF(AND(67-核心参数输入!$B$106&gt;=0,67-核心参数输入!$B$106&lt;=120),INDEX(季度计划!$D$122:$DT$122,1,MAX(1,MIN(121,67-核心参数输入!$B$106+1))),0)),0),0)</f>
        <v>0</v>
      </c>
      <c r="BT123" s="22">
        <f>IF(68&lt;=核心参数输入!$B$9*4,IF(AND(68-(核心参数输入!$B$148+核心参数输入!$B$124)&gt;=0,68-(核心参数输入!$B$148+核心参数输入!$B$124)&lt;=120),IF(COUNT(INDEX($D$22:$DT$22,1,MAX(1,MIN(121,68-(核心参数输入!$B$148+核心参数输入!$B$124)+1))))=1,INDEX($D$22:$DT$22,1,MAX(1,MIN(121,68-(核心参数输入!$B$148+核心参数输入!$B$124)+1))),IF(AND(68-核心参数输入!$B$106&gt;=0,68-核心参数输入!$B$106&lt;=120),INDEX(季度计划!$D$122:$DT$122,1,MAX(1,MIN(121,68-核心参数输入!$B$106+1))),0)),0),0)</f>
        <v>0</v>
      </c>
      <c r="BU123" s="22">
        <f>IF(69&lt;=核心参数输入!$B$9*4,IF(AND(69-(核心参数输入!$B$148+核心参数输入!$B$124)&gt;=0,69-(核心参数输入!$B$148+核心参数输入!$B$124)&lt;=120),IF(COUNT(INDEX($D$22:$DT$22,1,MAX(1,MIN(121,69-(核心参数输入!$B$148+核心参数输入!$B$124)+1))))=1,INDEX($D$22:$DT$22,1,MAX(1,MIN(121,69-(核心参数输入!$B$148+核心参数输入!$B$124)+1))),IF(AND(69-核心参数输入!$B$106&gt;=0,69-核心参数输入!$B$106&lt;=120),INDEX(季度计划!$D$122:$DT$122,1,MAX(1,MIN(121,69-核心参数输入!$B$106+1))),0)),0),0)</f>
        <v>0</v>
      </c>
      <c r="BV123" s="22">
        <f>IF(70&lt;=核心参数输入!$B$9*4,IF(AND(70-(核心参数输入!$B$148+核心参数输入!$B$124)&gt;=0,70-(核心参数输入!$B$148+核心参数输入!$B$124)&lt;=120),IF(COUNT(INDEX($D$22:$DT$22,1,MAX(1,MIN(121,70-(核心参数输入!$B$148+核心参数输入!$B$124)+1))))=1,INDEX($D$22:$DT$22,1,MAX(1,MIN(121,70-(核心参数输入!$B$148+核心参数输入!$B$124)+1))),IF(AND(70-核心参数输入!$B$106&gt;=0,70-核心参数输入!$B$106&lt;=120),INDEX(季度计划!$D$122:$DT$122,1,MAX(1,MIN(121,70-核心参数输入!$B$106+1))),0)),0),0)</f>
        <v>0</v>
      </c>
      <c r="BW123" s="22">
        <f>IF(71&lt;=核心参数输入!$B$9*4,IF(AND(71-(核心参数输入!$B$148+核心参数输入!$B$124)&gt;=0,71-(核心参数输入!$B$148+核心参数输入!$B$124)&lt;=120),IF(COUNT(INDEX($D$22:$DT$22,1,MAX(1,MIN(121,71-(核心参数输入!$B$148+核心参数输入!$B$124)+1))))=1,INDEX($D$22:$DT$22,1,MAX(1,MIN(121,71-(核心参数输入!$B$148+核心参数输入!$B$124)+1))),IF(AND(71-核心参数输入!$B$106&gt;=0,71-核心参数输入!$B$106&lt;=120),INDEX(季度计划!$D$122:$DT$122,1,MAX(1,MIN(121,71-核心参数输入!$B$106+1))),0)),0),0)</f>
        <v>0</v>
      </c>
      <c r="BX123" s="22">
        <f>IF(72&lt;=核心参数输入!$B$9*4,IF(AND(72-(核心参数输入!$B$148+核心参数输入!$B$124)&gt;=0,72-(核心参数输入!$B$148+核心参数输入!$B$124)&lt;=120),IF(COUNT(INDEX($D$22:$DT$22,1,MAX(1,MIN(121,72-(核心参数输入!$B$148+核心参数输入!$B$124)+1))))=1,INDEX($D$22:$DT$22,1,MAX(1,MIN(121,72-(核心参数输入!$B$148+核心参数输入!$B$124)+1))),IF(AND(72-核心参数输入!$B$106&gt;=0,72-核心参数输入!$B$106&lt;=120),INDEX(季度计划!$D$122:$DT$122,1,MAX(1,MIN(121,72-核心参数输入!$B$106+1))),0)),0),0)</f>
        <v>0</v>
      </c>
      <c r="BY123" s="22">
        <f>IF(73&lt;=核心参数输入!$B$9*4,IF(AND(73-(核心参数输入!$B$148+核心参数输入!$B$124)&gt;=0,73-(核心参数输入!$B$148+核心参数输入!$B$124)&lt;=120),IF(COUNT(INDEX($D$22:$DT$22,1,MAX(1,MIN(121,73-(核心参数输入!$B$148+核心参数输入!$B$124)+1))))=1,INDEX($D$22:$DT$22,1,MAX(1,MIN(121,73-(核心参数输入!$B$148+核心参数输入!$B$124)+1))),IF(AND(73-核心参数输入!$B$106&gt;=0,73-核心参数输入!$B$106&lt;=120),INDEX(季度计划!$D$122:$DT$122,1,MAX(1,MIN(121,73-核心参数输入!$B$106+1))),0)),0),0)</f>
        <v>0</v>
      </c>
      <c r="BZ123" s="22">
        <f>IF(74&lt;=核心参数输入!$B$9*4,IF(AND(74-(核心参数输入!$B$148+核心参数输入!$B$124)&gt;=0,74-(核心参数输入!$B$148+核心参数输入!$B$124)&lt;=120),IF(COUNT(INDEX($D$22:$DT$22,1,MAX(1,MIN(121,74-(核心参数输入!$B$148+核心参数输入!$B$124)+1))))=1,INDEX($D$22:$DT$22,1,MAX(1,MIN(121,74-(核心参数输入!$B$148+核心参数输入!$B$124)+1))),IF(AND(74-核心参数输入!$B$106&gt;=0,74-核心参数输入!$B$106&lt;=120),INDEX(季度计划!$D$122:$DT$122,1,MAX(1,MIN(121,74-核心参数输入!$B$106+1))),0)),0),0)</f>
        <v>0</v>
      </c>
      <c r="CA123" s="22">
        <f>IF(75&lt;=核心参数输入!$B$9*4,IF(AND(75-(核心参数输入!$B$148+核心参数输入!$B$124)&gt;=0,75-(核心参数输入!$B$148+核心参数输入!$B$124)&lt;=120),IF(COUNT(INDEX($D$22:$DT$22,1,MAX(1,MIN(121,75-(核心参数输入!$B$148+核心参数输入!$B$124)+1))))=1,INDEX($D$22:$DT$22,1,MAX(1,MIN(121,75-(核心参数输入!$B$148+核心参数输入!$B$124)+1))),IF(AND(75-核心参数输入!$B$106&gt;=0,75-核心参数输入!$B$106&lt;=120),INDEX(季度计划!$D$122:$DT$122,1,MAX(1,MIN(121,75-核心参数输入!$B$106+1))),0)),0),0)</f>
        <v>0</v>
      </c>
      <c r="CB123" s="22">
        <f>IF(76&lt;=核心参数输入!$B$9*4,IF(AND(76-(核心参数输入!$B$148+核心参数输入!$B$124)&gt;=0,76-(核心参数输入!$B$148+核心参数输入!$B$124)&lt;=120),IF(COUNT(INDEX($D$22:$DT$22,1,MAX(1,MIN(121,76-(核心参数输入!$B$148+核心参数输入!$B$124)+1))))=1,INDEX($D$22:$DT$22,1,MAX(1,MIN(121,76-(核心参数输入!$B$148+核心参数输入!$B$124)+1))),IF(AND(76-核心参数输入!$B$106&gt;=0,76-核心参数输入!$B$106&lt;=120),INDEX(季度计划!$D$122:$DT$122,1,MAX(1,MIN(121,76-核心参数输入!$B$106+1))),0)),0),0)</f>
        <v>0</v>
      </c>
      <c r="CC123" s="22">
        <f>IF(77&lt;=核心参数输入!$B$9*4,IF(AND(77-(核心参数输入!$B$148+核心参数输入!$B$124)&gt;=0,77-(核心参数输入!$B$148+核心参数输入!$B$124)&lt;=120),IF(COUNT(INDEX($D$22:$DT$22,1,MAX(1,MIN(121,77-(核心参数输入!$B$148+核心参数输入!$B$124)+1))))=1,INDEX($D$22:$DT$22,1,MAX(1,MIN(121,77-(核心参数输入!$B$148+核心参数输入!$B$124)+1))),IF(AND(77-核心参数输入!$B$106&gt;=0,77-核心参数输入!$B$106&lt;=120),INDEX(季度计划!$D$122:$DT$122,1,MAX(1,MIN(121,77-核心参数输入!$B$106+1))),0)),0),0)</f>
        <v>0</v>
      </c>
      <c r="CD123" s="22">
        <f>IF(78&lt;=核心参数输入!$B$9*4,IF(AND(78-(核心参数输入!$B$148+核心参数输入!$B$124)&gt;=0,78-(核心参数输入!$B$148+核心参数输入!$B$124)&lt;=120),IF(COUNT(INDEX($D$22:$DT$22,1,MAX(1,MIN(121,78-(核心参数输入!$B$148+核心参数输入!$B$124)+1))))=1,INDEX($D$22:$DT$22,1,MAX(1,MIN(121,78-(核心参数输入!$B$148+核心参数输入!$B$124)+1))),IF(AND(78-核心参数输入!$B$106&gt;=0,78-核心参数输入!$B$106&lt;=120),INDEX(季度计划!$D$122:$DT$122,1,MAX(1,MIN(121,78-核心参数输入!$B$106+1))),0)),0),0)</f>
        <v>0</v>
      </c>
      <c r="CE123" s="22">
        <f>IF(79&lt;=核心参数输入!$B$9*4,IF(AND(79-(核心参数输入!$B$148+核心参数输入!$B$124)&gt;=0,79-(核心参数输入!$B$148+核心参数输入!$B$124)&lt;=120),IF(COUNT(INDEX($D$22:$DT$22,1,MAX(1,MIN(121,79-(核心参数输入!$B$148+核心参数输入!$B$124)+1))))=1,INDEX($D$22:$DT$22,1,MAX(1,MIN(121,79-(核心参数输入!$B$148+核心参数输入!$B$124)+1))),IF(AND(79-核心参数输入!$B$106&gt;=0,79-核心参数输入!$B$106&lt;=120),INDEX(季度计划!$D$122:$DT$122,1,MAX(1,MIN(121,79-核心参数输入!$B$106+1))),0)),0),0)</f>
        <v>0</v>
      </c>
      <c r="CF123" s="22">
        <f>IF(80&lt;=核心参数输入!$B$9*4,IF(AND(80-(核心参数输入!$B$148+核心参数输入!$B$124)&gt;=0,80-(核心参数输入!$B$148+核心参数输入!$B$124)&lt;=120),IF(COUNT(INDEX($D$22:$DT$22,1,MAX(1,MIN(121,80-(核心参数输入!$B$148+核心参数输入!$B$124)+1))))=1,INDEX($D$22:$DT$22,1,MAX(1,MIN(121,80-(核心参数输入!$B$148+核心参数输入!$B$124)+1))),IF(AND(80-核心参数输入!$B$106&gt;=0,80-核心参数输入!$B$106&lt;=120),INDEX(季度计划!$D$122:$DT$122,1,MAX(1,MIN(121,80-核心参数输入!$B$106+1))),0)),0),0)</f>
        <v>0</v>
      </c>
      <c r="CG123" s="22">
        <f>IF(81&lt;=核心参数输入!$B$9*4,IF(AND(81-(核心参数输入!$B$148+核心参数输入!$B$124)&gt;=0,81-(核心参数输入!$B$148+核心参数输入!$B$124)&lt;=120),IF(COUNT(INDEX($D$22:$DT$22,1,MAX(1,MIN(121,81-(核心参数输入!$B$148+核心参数输入!$B$124)+1))))=1,INDEX($D$22:$DT$22,1,MAX(1,MIN(121,81-(核心参数输入!$B$148+核心参数输入!$B$124)+1))),IF(AND(81-核心参数输入!$B$106&gt;=0,81-核心参数输入!$B$106&lt;=120),INDEX(季度计划!$D$122:$DT$122,1,MAX(1,MIN(121,81-核心参数输入!$B$106+1))),0)),0),0)</f>
        <v>0</v>
      </c>
      <c r="CH123" s="22">
        <f>IF(82&lt;=核心参数输入!$B$9*4,IF(AND(82-(核心参数输入!$B$148+核心参数输入!$B$124)&gt;=0,82-(核心参数输入!$B$148+核心参数输入!$B$124)&lt;=120),IF(COUNT(INDEX($D$22:$DT$22,1,MAX(1,MIN(121,82-(核心参数输入!$B$148+核心参数输入!$B$124)+1))))=1,INDEX($D$22:$DT$22,1,MAX(1,MIN(121,82-(核心参数输入!$B$148+核心参数输入!$B$124)+1))),IF(AND(82-核心参数输入!$B$106&gt;=0,82-核心参数输入!$B$106&lt;=120),INDEX(季度计划!$D$122:$DT$122,1,MAX(1,MIN(121,82-核心参数输入!$B$106+1))),0)),0),0)</f>
        <v>0</v>
      </c>
      <c r="CI123" s="22">
        <f>IF(83&lt;=核心参数输入!$B$9*4,IF(AND(83-(核心参数输入!$B$148+核心参数输入!$B$124)&gt;=0,83-(核心参数输入!$B$148+核心参数输入!$B$124)&lt;=120),IF(COUNT(INDEX($D$22:$DT$22,1,MAX(1,MIN(121,83-(核心参数输入!$B$148+核心参数输入!$B$124)+1))))=1,INDEX($D$22:$DT$22,1,MAX(1,MIN(121,83-(核心参数输入!$B$148+核心参数输入!$B$124)+1))),IF(AND(83-核心参数输入!$B$106&gt;=0,83-核心参数输入!$B$106&lt;=120),INDEX(季度计划!$D$122:$DT$122,1,MAX(1,MIN(121,83-核心参数输入!$B$106+1))),0)),0),0)</f>
        <v>0</v>
      </c>
      <c r="CJ123" s="22">
        <f>IF(84&lt;=核心参数输入!$B$9*4,IF(AND(84-(核心参数输入!$B$148+核心参数输入!$B$124)&gt;=0,84-(核心参数输入!$B$148+核心参数输入!$B$124)&lt;=120),IF(COUNT(INDEX($D$22:$DT$22,1,MAX(1,MIN(121,84-(核心参数输入!$B$148+核心参数输入!$B$124)+1))))=1,INDEX($D$22:$DT$22,1,MAX(1,MIN(121,84-(核心参数输入!$B$148+核心参数输入!$B$124)+1))),IF(AND(84-核心参数输入!$B$106&gt;=0,84-核心参数输入!$B$106&lt;=120),INDEX(季度计划!$D$122:$DT$122,1,MAX(1,MIN(121,84-核心参数输入!$B$106+1))),0)),0),0)</f>
        <v>0</v>
      </c>
      <c r="CK123" s="22">
        <f>IF(85&lt;=核心参数输入!$B$9*4,IF(AND(85-(核心参数输入!$B$148+核心参数输入!$B$124)&gt;=0,85-(核心参数输入!$B$148+核心参数输入!$B$124)&lt;=120),IF(COUNT(INDEX($D$22:$DT$22,1,MAX(1,MIN(121,85-(核心参数输入!$B$148+核心参数输入!$B$124)+1))))=1,INDEX($D$22:$DT$22,1,MAX(1,MIN(121,85-(核心参数输入!$B$148+核心参数输入!$B$124)+1))),IF(AND(85-核心参数输入!$B$106&gt;=0,85-核心参数输入!$B$106&lt;=120),INDEX(季度计划!$D$122:$DT$122,1,MAX(1,MIN(121,85-核心参数输入!$B$106+1))),0)),0),0)</f>
        <v>0</v>
      </c>
      <c r="CL123" s="22">
        <f>IF(86&lt;=核心参数输入!$B$9*4,IF(AND(86-(核心参数输入!$B$148+核心参数输入!$B$124)&gt;=0,86-(核心参数输入!$B$148+核心参数输入!$B$124)&lt;=120),IF(COUNT(INDEX($D$22:$DT$22,1,MAX(1,MIN(121,86-(核心参数输入!$B$148+核心参数输入!$B$124)+1))))=1,INDEX($D$22:$DT$22,1,MAX(1,MIN(121,86-(核心参数输入!$B$148+核心参数输入!$B$124)+1))),IF(AND(86-核心参数输入!$B$106&gt;=0,86-核心参数输入!$B$106&lt;=120),INDEX(季度计划!$D$122:$DT$122,1,MAX(1,MIN(121,86-核心参数输入!$B$106+1))),0)),0),0)</f>
        <v>0</v>
      </c>
      <c r="CM123" s="22">
        <f>IF(87&lt;=核心参数输入!$B$9*4,IF(AND(87-(核心参数输入!$B$148+核心参数输入!$B$124)&gt;=0,87-(核心参数输入!$B$148+核心参数输入!$B$124)&lt;=120),IF(COUNT(INDEX($D$22:$DT$22,1,MAX(1,MIN(121,87-(核心参数输入!$B$148+核心参数输入!$B$124)+1))))=1,INDEX($D$22:$DT$22,1,MAX(1,MIN(121,87-(核心参数输入!$B$148+核心参数输入!$B$124)+1))),IF(AND(87-核心参数输入!$B$106&gt;=0,87-核心参数输入!$B$106&lt;=120),INDEX(季度计划!$D$122:$DT$122,1,MAX(1,MIN(121,87-核心参数输入!$B$106+1))),0)),0),0)</f>
        <v>0</v>
      </c>
      <c r="CN123" s="22">
        <f>IF(88&lt;=核心参数输入!$B$9*4,IF(AND(88-(核心参数输入!$B$148+核心参数输入!$B$124)&gt;=0,88-(核心参数输入!$B$148+核心参数输入!$B$124)&lt;=120),IF(COUNT(INDEX($D$22:$DT$22,1,MAX(1,MIN(121,88-(核心参数输入!$B$148+核心参数输入!$B$124)+1))))=1,INDEX($D$22:$DT$22,1,MAX(1,MIN(121,88-(核心参数输入!$B$148+核心参数输入!$B$124)+1))),IF(AND(88-核心参数输入!$B$106&gt;=0,88-核心参数输入!$B$106&lt;=120),INDEX(季度计划!$D$122:$DT$122,1,MAX(1,MIN(121,88-核心参数输入!$B$106+1))),0)),0),0)</f>
        <v>0</v>
      </c>
      <c r="CO123" s="22">
        <f>IF(89&lt;=核心参数输入!$B$9*4,IF(AND(89-(核心参数输入!$B$148+核心参数输入!$B$124)&gt;=0,89-(核心参数输入!$B$148+核心参数输入!$B$124)&lt;=120),IF(COUNT(INDEX($D$22:$DT$22,1,MAX(1,MIN(121,89-(核心参数输入!$B$148+核心参数输入!$B$124)+1))))=1,INDEX($D$22:$DT$22,1,MAX(1,MIN(121,89-(核心参数输入!$B$148+核心参数输入!$B$124)+1))),IF(AND(89-核心参数输入!$B$106&gt;=0,89-核心参数输入!$B$106&lt;=120),INDEX(季度计划!$D$122:$DT$122,1,MAX(1,MIN(121,89-核心参数输入!$B$106+1))),0)),0),0)</f>
        <v>0</v>
      </c>
      <c r="CP123" s="22">
        <f>IF(90&lt;=核心参数输入!$B$9*4,IF(AND(90-(核心参数输入!$B$148+核心参数输入!$B$124)&gt;=0,90-(核心参数输入!$B$148+核心参数输入!$B$124)&lt;=120),IF(COUNT(INDEX($D$22:$DT$22,1,MAX(1,MIN(121,90-(核心参数输入!$B$148+核心参数输入!$B$124)+1))))=1,INDEX($D$22:$DT$22,1,MAX(1,MIN(121,90-(核心参数输入!$B$148+核心参数输入!$B$124)+1))),IF(AND(90-核心参数输入!$B$106&gt;=0,90-核心参数输入!$B$106&lt;=120),INDEX(季度计划!$D$122:$DT$122,1,MAX(1,MIN(121,90-核心参数输入!$B$106+1))),0)),0),0)</f>
        <v>0</v>
      </c>
      <c r="CQ123" s="22">
        <f>IF(91&lt;=核心参数输入!$B$9*4,IF(AND(91-(核心参数输入!$B$148+核心参数输入!$B$124)&gt;=0,91-(核心参数输入!$B$148+核心参数输入!$B$124)&lt;=120),IF(COUNT(INDEX($D$22:$DT$22,1,MAX(1,MIN(121,91-(核心参数输入!$B$148+核心参数输入!$B$124)+1))))=1,INDEX($D$22:$DT$22,1,MAX(1,MIN(121,91-(核心参数输入!$B$148+核心参数输入!$B$124)+1))),IF(AND(91-核心参数输入!$B$106&gt;=0,91-核心参数输入!$B$106&lt;=120),INDEX(季度计划!$D$122:$DT$122,1,MAX(1,MIN(121,91-核心参数输入!$B$106+1))),0)),0),0)</f>
        <v>0</v>
      </c>
      <c r="CR123" s="22">
        <f>IF(92&lt;=核心参数输入!$B$9*4,IF(AND(92-(核心参数输入!$B$148+核心参数输入!$B$124)&gt;=0,92-(核心参数输入!$B$148+核心参数输入!$B$124)&lt;=120),IF(COUNT(INDEX($D$22:$DT$22,1,MAX(1,MIN(121,92-(核心参数输入!$B$148+核心参数输入!$B$124)+1))))=1,INDEX($D$22:$DT$22,1,MAX(1,MIN(121,92-(核心参数输入!$B$148+核心参数输入!$B$124)+1))),IF(AND(92-核心参数输入!$B$106&gt;=0,92-核心参数输入!$B$106&lt;=120),INDEX(季度计划!$D$122:$DT$122,1,MAX(1,MIN(121,92-核心参数输入!$B$106+1))),0)),0),0)</f>
        <v>0</v>
      </c>
      <c r="CS123" s="22">
        <f>IF(93&lt;=核心参数输入!$B$9*4,IF(AND(93-(核心参数输入!$B$148+核心参数输入!$B$124)&gt;=0,93-(核心参数输入!$B$148+核心参数输入!$B$124)&lt;=120),IF(COUNT(INDEX($D$22:$DT$22,1,MAX(1,MIN(121,93-(核心参数输入!$B$148+核心参数输入!$B$124)+1))))=1,INDEX($D$22:$DT$22,1,MAX(1,MIN(121,93-(核心参数输入!$B$148+核心参数输入!$B$124)+1))),IF(AND(93-核心参数输入!$B$106&gt;=0,93-核心参数输入!$B$106&lt;=120),INDEX(季度计划!$D$122:$DT$122,1,MAX(1,MIN(121,93-核心参数输入!$B$106+1))),0)),0),0)</f>
        <v>0</v>
      </c>
      <c r="CT123" s="22">
        <f>IF(94&lt;=核心参数输入!$B$9*4,IF(AND(94-(核心参数输入!$B$148+核心参数输入!$B$124)&gt;=0,94-(核心参数输入!$B$148+核心参数输入!$B$124)&lt;=120),IF(COUNT(INDEX($D$22:$DT$22,1,MAX(1,MIN(121,94-(核心参数输入!$B$148+核心参数输入!$B$124)+1))))=1,INDEX($D$22:$DT$22,1,MAX(1,MIN(121,94-(核心参数输入!$B$148+核心参数输入!$B$124)+1))),IF(AND(94-核心参数输入!$B$106&gt;=0,94-核心参数输入!$B$106&lt;=120),INDEX(季度计划!$D$122:$DT$122,1,MAX(1,MIN(121,94-核心参数输入!$B$106+1))),0)),0),0)</f>
        <v>0</v>
      </c>
      <c r="CU123" s="22">
        <f>IF(95&lt;=核心参数输入!$B$9*4,IF(AND(95-(核心参数输入!$B$148+核心参数输入!$B$124)&gt;=0,95-(核心参数输入!$B$148+核心参数输入!$B$124)&lt;=120),IF(COUNT(INDEX($D$22:$DT$22,1,MAX(1,MIN(121,95-(核心参数输入!$B$148+核心参数输入!$B$124)+1))))=1,INDEX($D$22:$DT$22,1,MAX(1,MIN(121,95-(核心参数输入!$B$148+核心参数输入!$B$124)+1))),IF(AND(95-核心参数输入!$B$106&gt;=0,95-核心参数输入!$B$106&lt;=120),INDEX(季度计划!$D$122:$DT$122,1,MAX(1,MIN(121,95-核心参数输入!$B$106+1))),0)),0),0)</f>
        <v>0</v>
      </c>
      <c r="CV123" s="22">
        <f>IF(96&lt;=核心参数输入!$B$9*4,IF(AND(96-(核心参数输入!$B$148+核心参数输入!$B$124)&gt;=0,96-(核心参数输入!$B$148+核心参数输入!$B$124)&lt;=120),IF(COUNT(INDEX($D$22:$DT$22,1,MAX(1,MIN(121,96-(核心参数输入!$B$148+核心参数输入!$B$124)+1))))=1,INDEX($D$22:$DT$22,1,MAX(1,MIN(121,96-(核心参数输入!$B$148+核心参数输入!$B$124)+1))),IF(AND(96-核心参数输入!$B$106&gt;=0,96-核心参数输入!$B$106&lt;=120),INDEX(季度计划!$D$122:$DT$122,1,MAX(1,MIN(121,96-核心参数输入!$B$106+1))),0)),0),0)</f>
        <v>0</v>
      </c>
      <c r="CW123" s="22">
        <f>IF(97&lt;=核心参数输入!$B$9*4,IF(AND(97-(核心参数输入!$B$148+核心参数输入!$B$124)&gt;=0,97-(核心参数输入!$B$148+核心参数输入!$B$124)&lt;=120),IF(COUNT(INDEX($D$22:$DT$22,1,MAX(1,MIN(121,97-(核心参数输入!$B$148+核心参数输入!$B$124)+1))))=1,INDEX($D$22:$DT$22,1,MAX(1,MIN(121,97-(核心参数输入!$B$148+核心参数输入!$B$124)+1))),IF(AND(97-核心参数输入!$B$106&gt;=0,97-核心参数输入!$B$106&lt;=120),INDEX(季度计划!$D$122:$DT$122,1,MAX(1,MIN(121,97-核心参数输入!$B$106+1))),0)),0),0)</f>
        <v>0</v>
      </c>
      <c r="CX123" s="22">
        <f>IF(98&lt;=核心参数输入!$B$9*4,IF(AND(98-(核心参数输入!$B$148+核心参数输入!$B$124)&gt;=0,98-(核心参数输入!$B$148+核心参数输入!$B$124)&lt;=120),IF(COUNT(INDEX($D$22:$DT$22,1,MAX(1,MIN(121,98-(核心参数输入!$B$148+核心参数输入!$B$124)+1))))=1,INDEX($D$22:$DT$22,1,MAX(1,MIN(121,98-(核心参数输入!$B$148+核心参数输入!$B$124)+1))),IF(AND(98-核心参数输入!$B$106&gt;=0,98-核心参数输入!$B$106&lt;=120),INDEX(季度计划!$D$122:$DT$122,1,MAX(1,MIN(121,98-核心参数输入!$B$106+1))),0)),0),0)</f>
        <v>0</v>
      </c>
      <c r="CY123" s="22">
        <f>IF(99&lt;=核心参数输入!$B$9*4,IF(AND(99-(核心参数输入!$B$148+核心参数输入!$B$124)&gt;=0,99-(核心参数输入!$B$148+核心参数输入!$B$124)&lt;=120),IF(COUNT(INDEX($D$22:$DT$22,1,MAX(1,MIN(121,99-(核心参数输入!$B$148+核心参数输入!$B$124)+1))))=1,INDEX($D$22:$DT$22,1,MAX(1,MIN(121,99-(核心参数输入!$B$148+核心参数输入!$B$124)+1))),IF(AND(99-核心参数输入!$B$106&gt;=0,99-核心参数输入!$B$106&lt;=120),INDEX(季度计划!$D$122:$DT$122,1,MAX(1,MIN(121,99-核心参数输入!$B$106+1))),0)),0),0)</f>
        <v>0</v>
      </c>
      <c r="CZ123" s="22">
        <f>IF(100&lt;=核心参数输入!$B$9*4,IF(AND(100-(核心参数输入!$B$148+核心参数输入!$B$124)&gt;=0,100-(核心参数输入!$B$148+核心参数输入!$B$124)&lt;=120),IF(COUNT(INDEX($D$22:$DT$22,1,MAX(1,MIN(121,100-(核心参数输入!$B$148+核心参数输入!$B$124)+1))))=1,INDEX($D$22:$DT$22,1,MAX(1,MIN(121,100-(核心参数输入!$B$148+核心参数输入!$B$124)+1))),IF(AND(100-核心参数输入!$B$106&gt;=0,100-核心参数输入!$B$106&lt;=120),INDEX(季度计划!$D$122:$DT$122,1,MAX(1,MIN(121,100-核心参数输入!$B$106+1))),0)),0),0)</f>
        <v>0</v>
      </c>
      <c r="DA123" s="22">
        <f>IF(101&lt;=核心参数输入!$B$9*4,IF(AND(101-(核心参数输入!$B$148+核心参数输入!$B$124)&gt;=0,101-(核心参数输入!$B$148+核心参数输入!$B$124)&lt;=120),IF(COUNT(INDEX($D$22:$DT$22,1,MAX(1,MIN(121,101-(核心参数输入!$B$148+核心参数输入!$B$124)+1))))=1,INDEX($D$22:$DT$22,1,MAX(1,MIN(121,101-(核心参数输入!$B$148+核心参数输入!$B$124)+1))),IF(AND(101-核心参数输入!$B$106&gt;=0,101-核心参数输入!$B$106&lt;=120),INDEX(季度计划!$D$122:$DT$122,1,MAX(1,MIN(121,101-核心参数输入!$B$106+1))),0)),0),0)</f>
        <v>0</v>
      </c>
      <c r="DB123" s="22">
        <f>IF(102&lt;=核心参数输入!$B$9*4,IF(AND(102-(核心参数输入!$B$148+核心参数输入!$B$124)&gt;=0,102-(核心参数输入!$B$148+核心参数输入!$B$124)&lt;=120),IF(COUNT(INDEX($D$22:$DT$22,1,MAX(1,MIN(121,102-(核心参数输入!$B$148+核心参数输入!$B$124)+1))))=1,INDEX($D$22:$DT$22,1,MAX(1,MIN(121,102-(核心参数输入!$B$148+核心参数输入!$B$124)+1))),IF(AND(102-核心参数输入!$B$106&gt;=0,102-核心参数输入!$B$106&lt;=120),INDEX(季度计划!$D$122:$DT$122,1,MAX(1,MIN(121,102-核心参数输入!$B$106+1))),0)),0),0)</f>
        <v>0</v>
      </c>
      <c r="DC123" s="22">
        <f>IF(103&lt;=核心参数输入!$B$9*4,IF(AND(103-(核心参数输入!$B$148+核心参数输入!$B$124)&gt;=0,103-(核心参数输入!$B$148+核心参数输入!$B$124)&lt;=120),IF(COUNT(INDEX($D$22:$DT$22,1,MAX(1,MIN(121,103-(核心参数输入!$B$148+核心参数输入!$B$124)+1))))=1,INDEX($D$22:$DT$22,1,MAX(1,MIN(121,103-(核心参数输入!$B$148+核心参数输入!$B$124)+1))),IF(AND(103-核心参数输入!$B$106&gt;=0,103-核心参数输入!$B$106&lt;=120),INDEX(季度计划!$D$122:$DT$122,1,MAX(1,MIN(121,103-核心参数输入!$B$106+1))),0)),0),0)</f>
        <v>0</v>
      </c>
      <c r="DD123" s="22">
        <f>IF(104&lt;=核心参数输入!$B$9*4,IF(AND(104-(核心参数输入!$B$148+核心参数输入!$B$124)&gt;=0,104-(核心参数输入!$B$148+核心参数输入!$B$124)&lt;=120),IF(COUNT(INDEX($D$22:$DT$22,1,MAX(1,MIN(121,104-(核心参数输入!$B$148+核心参数输入!$B$124)+1))))=1,INDEX($D$22:$DT$22,1,MAX(1,MIN(121,104-(核心参数输入!$B$148+核心参数输入!$B$124)+1))),IF(AND(104-核心参数输入!$B$106&gt;=0,104-核心参数输入!$B$106&lt;=120),INDEX(季度计划!$D$122:$DT$122,1,MAX(1,MIN(121,104-核心参数输入!$B$106+1))),0)),0),0)</f>
        <v>0</v>
      </c>
      <c r="DE123" s="22">
        <f>IF(105&lt;=核心参数输入!$B$9*4,IF(AND(105-(核心参数输入!$B$148+核心参数输入!$B$124)&gt;=0,105-(核心参数输入!$B$148+核心参数输入!$B$124)&lt;=120),IF(COUNT(INDEX($D$22:$DT$22,1,MAX(1,MIN(121,105-(核心参数输入!$B$148+核心参数输入!$B$124)+1))))=1,INDEX($D$22:$DT$22,1,MAX(1,MIN(121,105-(核心参数输入!$B$148+核心参数输入!$B$124)+1))),IF(AND(105-核心参数输入!$B$106&gt;=0,105-核心参数输入!$B$106&lt;=120),INDEX(季度计划!$D$122:$DT$122,1,MAX(1,MIN(121,105-核心参数输入!$B$106+1))),0)),0),0)</f>
        <v>0</v>
      </c>
      <c r="DF123" s="22">
        <f>IF(106&lt;=核心参数输入!$B$9*4,IF(AND(106-(核心参数输入!$B$148+核心参数输入!$B$124)&gt;=0,106-(核心参数输入!$B$148+核心参数输入!$B$124)&lt;=120),IF(COUNT(INDEX($D$22:$DT$22,1,MAX(1,MIN(121,106-(核心参数输入!$B$148+核心参数输入!$B$124)+1))))=1,INDEX($D$22:$DT$22,1,MAX(1,MIN(121,106-(核心参数输入!$B$148+核心参数输入!$B$124)+1))),IF(AND(106-核心参数输入!$B$106&gt;=0,106-核心参数输入!$B$106&lt;=120),INDEX(季度计划!$D$122:$DT$122,1,MAX(1,MIN(121,106-核心参数输入!$B$106+1))),0)),0),0)</f>
        <v>0</v>
      </c>
      <c r="DG123" s="22">
        <f>IF(107&lt;=核心参数输入!$B$9*4,IF(AND(107-(核心参数输入!$B$148+核心参数输入!$B$124)&gt;=0,107-(核心参数输入!$B$148+核心参数输入!$B$124)&lt;=120),IF(COUNT(INDEX($D$22:$DT$22,1,MAX(1,MIN(121,107-(核心参数输入!$B$148+核心参数输入!$B$124)+1))))=1,INDEX($D$22:$DT$22,1,MAX(1,MIN(121,107-(核心参数输入!$B$148+核心参数输入!$B$124)+1))),IF(AND(107-核心参数输入!$B$106&gt;=0,107-核心参数输入!$B$106&lt;=120),INDEX(季度计划!$D$122:$DT$122,1,MAX(1,MIN(121,107-核心参数输入!$B$106+1))),0)),0),0)</f>
        <v>0</v>
      </c>
      <c r="DH123" s="22">
        <f>IF(108&lt;=核心参数输入!$B$9*4,IF(AND(108-(核心参数输入!$B$148+核心参数输入!$B$124)&gt;=0,108-(核心参数输入!$B$148+核心参数输入!$B$124)&lt;=120),IF(COUNT(INDEX($D$22:$DT$22,1,MAX(1,MIN(121,108-(核心参数输入!$B$148+核心参数输入!$B$124)+1))))=1,INDEX($D$22:$DT$22,1,MAX(1,MIN(121,108-(核心参数输入!$B$148+核心参数输入!$B$124)+1))),IF(AND(108-核心参数输入!$B$106&gt;=0,108-核心参数输入!$B$106&lt;=120),INDEX(季度计划!$D$122:$DT$122,1,MAX(1,MIN(121,108-核心参数输入!$B$106+1))),0)),0),0)</f>
        <v>0</v>
      </c>
      <c r="DI123" s="22">
        <f>IF(109&lt;=核心参数输入!$B$9*4,IF(AND(109-(核心参数输入!$B$148+核心参数输入!$B$124)&gt;=0,109-(核心参数输入!$B$148+核心参数输入!$B$124)&lt;=120),IF(COUNT(INDEX($D$22:$DT$22,1,MAX(1,MIN(121,109-(核心参数输入!$B$148+核心参数输入!$B$124)+1))))=1,INDEX($D$22:$DT$22,1,MAX(1,MIN(121,109-(核心参数输入!$B$148+核心参数输入!$B$124)+1))),IF(AND(109-核心参数输入!$B$106&gt;=0,109-核心参数输入!$B$106&lt;=120),INDEX(季度计划!$D$122:$DT$122,1,MAX(1,MIN(121,109-核心参数输入!$B$106+1))),0)),0),0)</f>
        <v>0</v>
      </c>
      <c r="DJ123" s="22">
        <f>IF(110&lt;=核心参数输入!$B$9*4,IF(AND(110-(核心参数输入!$B$148+核心参数输入!$B$124)&gt;=0,110-(核心参数输入!$B$148+核心参数输入!$B$124)&lt;=120),IF(COUNT(INDEX($D$22:$DT$22,1,MAX(1,MIN(121,110-(核心参数输入!$B$148+核心参数输入!$B$124)+1))))=1,INDEX($D$22:$DT$22,1,MAX(1,MIN(121,110-(核心参数输入!$B$148+核心参数输入!$B$124)+1))),IF(AND(110-核心参数输入!$B$106&gt;=0,110-核心参数输入!$B$106&lt;=120),INDEX(季度计划!$D$122:$DT$122,1,MAX(1,MIN(121,110-核心参数输入!$B$106+1))),0)),0),0)</f>
        <v>0</v>
      </c>
      <c r="DK123" s="22">
        <f>IF(111&lt;=核心参数输入!$B$9*4,IF(AND(111-(核心参数输入!$B$148+核心参数输入!$B$124)&gt;=0,111-(核心参数输入!$B$148+核心参数输入!$B$124)&lt;=120),IF(COUNT(INDEX($D$22:$DT$22,1,MAX(1,MIN(121,111-(核心参数输入!$B$148+核心参数输入!$B$124)+1))))=1,INDEX($D$22:$DT$22,1,MAX(1,MIN(121,111-(核心参数输入!$B$148+核心参数输入!$B$124)+1))),IF(AND(111-核心参数输入!$B$106&gt;=0,111-核心参数输入!$B$106&lt;=120),INDEX(季度计划!$D$122:$DT$122,1,MAX(1,MIN(121,111-核心参数输入!$B$106+1))),0)),0),0)</f>
        <v>0</v>
      </c>
      <c r="DL123" s="22">
        <f>IF(112&lt;=核心参数输入!$B$9*4,IF(AND(112-(核心参数输入!$B$148+核心参数输入!$B$124)&gt;=0,112-(核心参数输入!$B$148+核心参数输入!$B$124)&lt;=120),IF(COUNT(INDEX($D$22:$DT$22,1,MAX(1,MIN(121,112-(核心参数输入!$B$148+核心参数输入!$B$124)+1))))=1,INDEX($D$22:$DT$22,1,MAX(1,MIN(121,112-(核心参数输入!$B$148+核心参数输入!$B$124)+1))),IF(AND(112-核心参数输入!$B$106&gt;=0,112-核心参数输入!$B$106&lt;=120),INDEX(季度计划!$D$122:$DT$122,1,MAX(1,MIN(121,112-核心参数输入!$B$106+1))),0)),0),0)</f>
        <v>0</v>
      </c>
      <c r="DM123" s="22">
        <f>IF(113&lt;=核心参数输入!$B$9*4,IF(AND(113-(核心参数输入!$B$148+核心参数输入!$B$124)&gt;=0,113-(核心参数输入!$B$148+核心参数输入!$B$124)&lt;=120),IF(COUNT(INDEX($D$22:$DT$22,1,MAX(1,MIN(121,113-(核心参数输入!$B$148+核心参数输入!$B$124)+1))))=1,INDEX($D$22:$DT$22,1,MAX(1,MIN(121,113-(核心参数输入!$B$148+核心参数输入!$B$124)+1))),IF(AND(113-核心参数输入!$B$106&gt;=0,113-核心参数输入!$B$106&lt;=120),INDEX(季度计划!$D$122:$DT$122,1,MAX(1,MIN(121,113-核心参数输入!$B$106+1))),0)),0),0)</f>
        <v>0</v>
      </c>
      <c r="DN123" s="22">
        <f>IF(114&lt;=核心参数输入!$B$9*4,IF(AND(114-(核心参数输入!$B$148+核心参数输入!$B$124)&gt;=0,114-(核心参数输入!$B$148+核心参数输入!$B$124)&lt;=120),IF(COUNT(INDEX($D$22:$DT$22,1,MAX(1,MIN(121,114-(核心参数输入!$B$148+核心参数输入!$B$124)+1))))=1,INDEX($D$22:$DT$22,1,MAX(1,MIN(121,114-(核心参数输入!$B$148+核心参数输入!$B$124)+1))),IF(AND(114-核心参数输入!$B$106&gt;=0,114-核心参数输入!$B$106&lt;=120),INDEX(季度计划!$D$122:$DT$122,1,MAX(1,MIN(121,114-核心参数输入!$B$106+1))),0)),0),0)</f>
        <v>0</v>
      </c>
      <c r="DO123" s="22">
        <f>IF(115&lt;=核心参数输入!$B$9*4,IF(AND(115-(核心参数输入!$B$148+核心参数输入!$B$124)&gt;=0,115-(核心参数输入!$B$148+核心参数输入!$B$124)&lt;=120),IF(COUNT(INDEX($D$22:$DT$22,1,MAX(1,MIN(121,115-(核心参数输入!$B$148+核心参数输入!$B$124)+1))))=1,INDEX($D$22:$DT$22,1,MAX(1,MIN(121,115-(核心参数输入!$B$148+核心参数输入!$B$124)+1))),IF(AND(115-核心参数输入!$B$106&gt;=0,115-核心参数输入!$B$106&lt;=120),INDEX(季度计划!$D$122:$DT$122,1,MAX(1,MIN(121,115-核心参数输入!$B$106+1))),0)),0),0)</f>
        <v>0</v>
      </c>
      <c r="DP123" s="22">
        <f>IF(116&lt;=核心参数输入!$B$9*4,IF(AND(116-(核心参数输入!$B$148+核心参数输入!$B$124)&gt;=0,116-(核心参数输入!$B$148+核心参数输入!$B$124)&lt;=120),IF(COUNT(INDEX($D$22:$DT$22,1,MAX(1,MIN(121,116-(核心参数输入!$B$148+核心参数输入!$B$124)+1))))=1,INDEX($D$22:$DT$22,1,MAX(1,MIN(121,116-(核心参数输入!$B$148+核心参数输入!$B$124)+1))),IF(AND(116-核心参数输入!$B$106&gt;=0,116-核心参数输入!$B$106&lt;=120),INDEX(季度计划!$D$122:$DT$122,1,MAX(1,MIN(121,116-核心参数输入!$B$106+1))),0)),0),0)</f>
        <v>0</v>
      </c>
      <c r="DQ123" s="22">
        <f>IF(117&lt;=核心参数输入!$B$9*4,IF(AND(117-(核心参数输入!$B$148+核心参数输入!$B$124)&gt;=0,117-(核心参数输入!$B$148+核心参数输入!$B$124)&lt;=120),IF(COUNT(INDEX($D$22:$DT$22,1,MAX(1,MIN(121,117-(核心参数输入!$B$148+核心参数输入!$B$124)+1))))=1,INDEX($D$22:$DT$22,1,MAX(1,MIN(121,117-(核心参数输入!$B$148+核心参数输入!$B$124)+1))),IF(AND(117-核心参数输入!$B$106&gt;=0,117-核心参数输入!$B$106&lt;=120),INDEX(季度计划!$D$122:$DT$122,1,MAX(1,MIN(121,117-核心参数输入!$B$106+1))),0)),0),0)</f>
        <v>0</v>
      </c>
      <c r="DR123" s="22">
        <f>IF(118&lt;=核心参数输入!$B$9*4,IF(AND(118-(核心参数输入!$B$148+核心参数输入!$B$124)&gt;=0,118-(核心参数输入!$B$148+核心参数输入!$B$124)&lt;=120),IF(COUNT(INDEX($D$22:$DT$22,1,MAX(1,MIN(121,118-(核心参数输入!$B$148+核心参数输入!$B$124)+1))))=1,INDEX($D$22:$DT$22,1,MAX(1,MIN(121,118-(核心参数输入!$B$148+核心参数输入!$B$124)+1))),IF(AND(118-核心参数输入!$B$106&gt;=0,118-核心参数输入!$B$106&lt;=120),INDEX(季度计划!$D$122:$DT$122,1,MAX(1,MIN(121,118-核心参数输入!$B$106+1))),0)),0),0)</f>
        <v>0</v>
      </c>
      <c r="DS123" s="22">
        <f>IF(119&lt;=核心参数输入!$B$9*4,IF(AND(119-(核心参数输入!$B$148+核心参数输入!$B$124)&gt;=0,119-(核心参数输入!$B$148+核心参数输入!$B$124)&lt;=120),IF(COUNT(INDEX($D$22:$DT$22,1,MAX(1,MIN(121,119-(核心参数输入!$B$148+核心参数输入!$B$124)+1))))=1,INDEX($D$22:$DT$22,1,MAX(1,MIN(121,119-(核心参数输入!$B$148+核心参数输入!$B$124)+1))),IF(AND(119-核心参数输入!$B$106&gt;=0,119-核心参数输入!$B$106&lt;=120),INDEX(季度计划!$D$122:$DT$122,1,MAX(1,MIN(121,119-核心参数输入!$B$106+1))),0)),0),0)</f>
        <v>0</v>
      </c>
      <c r="DT123" s="22">
        <f>IF(120&lt;=核心参数输入!$B$9*4,IF(AND(120-(核心参数输入!$B$148+核心参数输入!$B$124)&gt;=0,120-(核心参数输入!$B$148+核心参数输入!$B$124)&lt;=120),IF(COUNT(INDEX($D$22:$DT$22,1,MAX(1,MIN(121,120-(核心参数输入!$B$148+核心参数输入!$B$124)+1))))=1,INDEX($D$22:$DT$22,1,MAX(1,MIN(121,120-(核心参数输入!$B$148+核心参数输入!$B$124)+1))),IF(AND(120-核心参数输入!$B$106&gt;=0,120-核心参数输入!$B$106&lt;=120),INDEX(季度计划!$D$122:$DT$122,1,MAX(1,MIN(121,120-核心参数输入!$B$106+1))),0)),0),0)</f>
        <v>0</v>
      </c>
    </row>
    <row r="124" spans="1:124" ht="21" customHeight="1">
      <c r="A124" s="8" t="s">
        <v>626</v>
      </c>
      <c r="B124" s="8" t="s">
        <v>38</v>
      </c>
      <c r="C124" s="8"/>
      <c r="D124" s="22">
        <f>IF(0&lt;=核心参数输入!$B$9*4,0,0)</f>
        <v>0</v>
      </c>
      <c r="E124" s="22">
        <f>IF(1&lt;=核心参数输入!$B$9*4,IF(核心参数输入!$B$142=0,0,IF(AND(1-(核心参数输入!$B$148+核心参数输入!$B$124)&gt;0,1-(核心参数输入!$B$148+核心参数输入!$B$124)&lt;=120),IF(COUNT(INDEX($D$23:$DT$23,1,MAX(1,MIN(121,1-(核心参数输入!$B$148+核心参数输入!$B$124)+1))))=1,INDEX($D$23:$DT$23,1,MAX(1,MIN(121,1-(核心参数输入!$B$148+核心参数输入!$B$124)+1))),INDEX(核心参数输入!$D$89:$AH$89,1,INT((1-(核心参数输入!$B$148+核心参数输入!$B$124)-1)/4)+2)*INDEX(核心参数输入!$B$128:$B$131,MOD(1-(核心参数输入!$B$148+核心参数输入!$B$124)-1,4)+1)),0)),0)</f>
        <v>0</v>
      </c>
      <c r="F124" s="22">
        <f>IF(2&lt;=核心参数输入!$B$9*4,IF(核心参数输入!$B$142=0,0,IF(AND(2-(核心参数输入!$B$148+核心参数输入!$B$124)&gt;0,2-(核心参数输入!$B$148+核心参数输入!$B$124)&lt;=120),IF(COUNT(INDEX($D$23:$DT$23,1,MAX(1,MIN(121,2-(核心参数输入!$B$148+核心参数输入!$B$124)+1))))=1,INDEX($D$23:$DT$23,1,MAX(1,MIN(121,2-(核心参数输入!$B$148+核心参数输入!$B$124)+1))),INDEX(核心参数输入!$D$89:$AH$89,1,INT((2-(核心参数输入!$B$148+核心参数输入!$B$124)-1)/4)+2)*INDEX(核心参数输入!$B$128:$B$131,MOD(2-(核心参数输入!$B$148+核心参数输入!$B$124)-1,4)+1)),0)),0)</f>
        <v>0</v>
      </c>
      <c r="G124" s="22">
        <f>IF(3&lt;=核心参数输入!$B$9*4,IF(核心参数输入!$B$142=0,0,IF(AND(3-(核心参数输入!$B$148+核心参数输入!$B$124)&gt;0,3-(核心参数输入!$B$148+核心参数输入!$B$124)&lt;=120),IF(COUNT(INDEX($D$23:$DT$23,1,MAX(1,MIN(121,3-(核心参数输入!$B$148+核心参数输入!$B$124)+1))))=1,INDEX($D$23:$DT$23,1,MAX(1,MIN(121,3-(核心参数输入!$B$148+核心参数输入!$B$124)+1))),INDEX(核心参数输入!$D$89:$AH$89,1,INT((3-(核心参数输入!$B$148+核心参数输入!$B$124)-1)/4)+2)*INDEX(核心参数输入!$B$128:$B$131,MOD(3-(核心参数输入!$B$148+核心参数输入!$B$124)-1,4)+1)),0)),0)</f>
        <v>0</v>
      </c>
      <c r="H124" s="22">
        <f>IF(4&lt;=核心参数输入!$B$9*4,IF(核心参数输入!$B$142=0,0,IF(AND(4-(核心参数输入!$B$148+核心参数输入!$B$124)&gt;0,4-(核心参数输入!$B$148+核心参数输入!$B$124)&lt;=120),IF(COUNT(INDEX($D$23:$DT$23,1,MAX(1,MIN(121,4-(核心参数输入!$B$148+核心参数输入!$B$124)+1))))=1,INDEX($D$23:$DT$23,1,MAX(1,MIN(121,4-(核心参数输入!$B$148+核心参数输入!$B$124)+1))),INDEX(核心参数输入!$D$89:$AH$89,1,INT((4-(核心参数输入!$B$148+核心参数输入!$B$124)-1)/4)+2)*INDEX(核心参数输入!$B$128:$B$131,MOD(4-(核心参数输入!$B$148+核心参数输入!$B$124)-1,4)+1)),0)),0)</f>
        <v>0</v>
      </c>
      <c r="I124" s="22">
        <f>IF(5&lt;=核心参数输入!$B$9*4,IF(核心参数输入!$B$142=0,0,IF(AND(5-(核心参数输入!$B$148+核心参数输入!$B$124)&gt;0,5-(核心参数输入!$B$148+核心参数输入!$B$124)&lt;=120),IF(COUNT(INDEX($D$23:$DT$23,1,MAX(1,MIN(121,5-(核心参数输入!$B$148+核心参数输入!$B$124)+1))))=1,INDEX($D$23:$DT$23,1,MAX(1,MIN(121,5-(核心参数输入!$B$148+核心参数输入!$B$124)+1))),INDEX(核心参数输入!$D$89:$AH$89,1,INT((5-(核心参数输入!$B$148+核心参数输入!$B$124)-1)/4)+2)*INDEX(核心参数输入!$B$128:$B$131,MOD(5-(核心参数输入!$B$148+核心参数输入!$B$124)-1,4)+1)),0)),0)</f>
        <v>0</v>
      </c>
      <c r="J124" s="22">
        <f>IF(6&lt;=核心参数输入!$B$9*4,IF(核心参数输入!$B$142=0,0,IF(AND(6-(核心参数输入!$B$148+核心参数输入!$B$124)&gt;0,6-(核心参数输入!$B$148+核心参数输入!$B$124)&lt;=120),IF(COUNT(INDEX($D$23:$DT$23,1,MAX(1,MIN(121,6-(核心参数输入!$B$148+核心参数输入!$B$124)+1))))=1,INDEX($D$23:$DT$23,1,MAX(1,MIN(121,6-(核心参数输入!$B$148+核心参数输入!$B$124)+1))),INDEX(核心参数输入!$D$89:$AH$89,1,INT((6-(核心参数输入!$B$148+核心参数输入!$B$124)-1)/4)+2)*INDEX(核心参数输入!$B$128:$B$131,MOD(6-(核心参数输入!$B$148+核心参数输入!$B$124)-1,4)+1)),0)),0)</f>
        <v>0</v>
      </c>
      <c r="K124" s="22">
        <f>IF(7&lt;=核心参数输入!$B$9*4,IF(核心参数输入!$B$142=0,0,IF(AND(7-(核心参数输入!$B$148+核心参数输入!$B$124)&gt;0,7-(核心参数输入!$B$148+核心参数输入!$B$124)&lt;=120),IF(COUNT(INDEX($D$23:$DT$23,1,MAX(1,MIN(121,7-(核心参数输入!$B$148+核心参数输入!$B$124)+1))))=1,INDEX($D$23:$DT$23,1,MAX(1,MIN(121,7-(核心参数输入!$B$148+核心参数输入!$B$124)+1))),INDEX(核心参数输入!$D$89:$AH$89,1,INT((7-(核心参数输入!$B$148+核心参数输入!$B$124)-1)/4)+2)*INDEX(核心参数输入!$B$128:$B$131,MOD(7-(核心参数输入!$B$148+核心参数输入!$B$124)-1,4)+1)),0)),0)</f>
        <v>0</v>
      </c>
      <c r="L124" s="22">
        <f>IF(8&lt;=核心参数输入!$B$9*4,IF(核心参数输入!$B$142=0,0,IF(AND(8-(核心参数输入!$B$148+核心参数输入!$B$124)&gt;0,8-(核心参数输入!$B$148+核心参数输入!$B$124)&lt;=120),IF(COUNT(INDEX($D$23:$DT$23,1,MAX(1,MIN(121,8-(核心参数输入!$B$148+核心参数输入!$B$124)+1))))=1,INDEX($D$23:$DT$23,1,MAX(1,MIN(121,8-(核心参数输入!$B$148+核心参数输入!$B$124)+1))),INDEX(核心参数输入!$D$89:$AH$89,1,INT((8-(核心参数输入!$B$148+核心参数输入!$B$124)-1)/4)+2)*INDEX(核心参数输入!$B$128:$B$131,MOD(8-(核心参数输入!$B$148+核心参数输入!$B$124)-1,4)+1)),0)),0)</f>
        <v>0</v>
      </c>
      <c r="M124" s="22">
        <f>IF(9&lt;=核心参数输入!$B$9*4,IF(核心参数输入!$B$142=0,0,IF(AND(9-(核心参数输入!$B$148+核心参数输入!$B$124)&gt;0,9-(核心参数输入!$B$148+核心参数输入!$B$124)&lt;=120),IF(COUNT(INDEX($D$23:$DT$23,1,MAX(1,MIN(121,9-(核心参数输入!$B$148+核心参数输入!$B$124)+1))))=1,INDEX($D$23:$DT$23,1,MAX(1,MIN(121,9-(核心参数输入!$B$148+核心参数输入!$B$124)+1))),INDEX(核心参数输入!$D$89:$AH$89,1,INT((9-(核心参数输入!$B$148+核心参数输入!$B$124)-1)/4)+2)*INDEX(核心参数输入!$B$128:$B$131,MOD(9-(核心参数输入!$B$148+核心参数输入!$B$124)-1,4)+1)),0)),0)</f>
        <v>0</v>
      </c>
      <c r="N124" s="22">
        <f>IF(10&lt;=核心参数输入!$B$9*4,IF(核心参数输入!$B$142=0,0,IF(AND(10-(核心参数输入!$B$148+核心参数输入!$B$124)&gt;0,10-(核心参数输入!$B$148+核心参数输入!$B$124)&lt;=120),IF(COUNT(INDEX($D$23:$DT$23,1,MAX(1,MIN(121,10-(核心参数输入!$B$148+核心参数输入!$B$124)+1))))=1,INDEX($D$23:$DT$23,1,MAX(1,MIN(121,10-(核心参数输入!$B$148+核心参数输入!$B$124)+1))),INDEX(核心参数输入!$D$89:$AH$89,1,INT((10-(核心参数输入!$B$148+核心参数输入!$B$124)-1)/4)+2)*INDEX(核心参数输入!$B$128:$B$131,MOD(10-(核心参数输入!$B$148+核心参数输入!$B$124)-1,4)+1)),0)),0)</f>
        <v>0</v>
      </c>
      <c r="O124" s="22">
        <f>IF(11&lt;=核心参数输入!$B$9*4,IF(核心参数输入!$B$142=0,0,IF(AND(11-(核心参数输入!$B$148+核心参数输入!$B$124)&gt;0,11-(核心参数输入!$B$148+核心参数输入!$B$124)&lt;=120),IF(COUNT(INDEX($D$23:$DT$23,1,MAX(1,MIN(121,11-(核心参数输入!$B$148+核心参数输入!$B$124)+1))))=1,INDEX($D$23:$DT$23,1,MAX(1,MIN(121,11-(核心参数输入!$B$148+核心参数输入!$B$124)+1))),INDEX(核心参数输入!$D$89:$AH$89,1,INT((11-(核心参数输入!$B$148+核心参数输入!$B$124)-1)/4)+2)*INDEX(核心参数输入!$B$128:$B$131,MOD(11-(核心参数输入!$B$148+核心参数输入!$B$124)-1,4)+1)),0)),0)</f>
        <v>0</v>
      </c>
      <c r="P124" s="22">
        <f>IF(12&lt;=核心参数输入!$B$9*4,IF(核心参数输入!$B$142=0,0,IF(AND(12-(核心参数输入!$B$148+核心参数输入!$B$124)&gt;0,12-(核心参数输入!$B$148+核心参数输入!$B$124)&lt;=120),IF(COUNT(INDEX($D$23:$DT$23,1,MAX(1,MIN(121,12-(核心参数输入!$B$148+核心参数输入!$B$124)+1))))=1,INDEX($D$23:$DT$23,1,MAX(1,MIN(121,12-(核心参数输入!$B$148+核心参数输入!$B$124)+1))),INDEX(核心参数输入!$D$89:$AH$89,1,INT((12-(核心参数输入!$B$148+核心参数输入!$B$124)-1)/4)+2)*INDEX(核心参数输入!$B$128:$B$131,MOD(12-(核心参数输入!$B$148+核心参数输入!$B$124)-1,4)+1)),0)),0)</f>
        <v>0</v>
      </c>
      <c r="Q124" s="22">
        <f>IF(13&lt;=核心参数输入!$B$9*4,IF(核心参数输入!$B$142=0,0,IF(AND(13-(核心参数输入!$B$148+核心参数输入!$B$124)&gt;0,13-(核心参数输入!$B$148+核心参数输入!$B$124)&lt;=120),IF(COUNT(INDEX($D$23:$DT$23,1,MAX(1,MIN(121,13-(核心参数输入!$B$148+核心参数输入!$B$124)+1))))=1,INDEX($D$23:$DT$23,1,MAX(1,MIN(121,13-(核心参数输入!$B$148+核心参数输入!$B$124)+1))),INDEX(核心参数输入!$D$89:$AH$89,1,INT((13-(核心参数输入!$B$148+核心参数输入!$B$124)-1)/4)+2)*INDEX(核心参数输入!$B$128:$B$131,MOD(13-(核心参数输入!$B$148+核心参数输入!$B$124)-1,4)+1)),0)),0)</f>
        <v>7.4999999999999997E-2</v>
      </c>
      <c r="R124" s="22">
        <f>IF(14&lt;=核心参数输入!$B$9*4,IF(核心参数输入!$B$142=0,0,IF(AND(14-(核心参数输入!$B$148+核心参数输入!$B$124)&gt;0,14-(核心参数输入!$B$148+核心参数输入!$B$124)&lt;=120),IF(COUNT(INDEX($D$23:$DT$23,1,MAX(1,MIN(121,14-(核心参数输入!$B$148+核心参数输入!$B$124)+1))))=1,INDEX($D$23:$DT$23,1,MAX(1,MIN(121,14-(核心参数输入!$B$148+核心参数输入!$B$124)+1))),INDEX(核心参数输入!$D$89:$AH$89,1,INT((14-(核心参数输入!$B$148+核心参数输入!$B$124)-1)/4)+2)*INDEX(核心参数输入!$B$128:$B$131,MOD(14-(核心参数输入!$B$148+核心参数输入!$B$124)-1,4)+1)),0)),0)</f>
        <v>7.4999999999999997E-2</v>
      </c>
      <c r="S124" s="22">
        <f>IF(15&lt;=核心参数输入!$B$9*4,IF(核心参数输入!$B$142=0,0,IF(AND(15-(核心参数输入!$B$148+核心参数输入!$B$124)&gt;0,15-(核心参数输入!$B$148+核心参数输入!$B$124)&lt;=120),IF(COUNT(INDEX($D$23:$DT$23,1,MAX(1,MIN(121,15-(核心参数输入!$B$148+核心参数输入!$B$124)+1))))=1,INDEX($D$23:$DT$23,1,MAX(1,MIN(121,15-(核心参数输入!$B$148+核心参数输入!$B$124)+1))),INDEX(核心参数输入!$D$89:$AH$89,1,INT((15-(核心参数输入!$B$148+核心参数输入!$B$124)-1)/4)+2)*INDEX(核心参数输入!$B$128:$B$131,MOD(15-(核心参数输入!$B$148+核心参数输入!$B$124)-1,4)+1)),0)),0)</f>
        <v>7.4999999999999997E-2</v>
      </c>
      <c r="T124" s="22">
        <f>IF(16&lt;=核心参数输入!$B$9*4,IF(核心参数输入!$B$142=0,0,IF(AND(16-(核心参数输入!$B$148+核心参数输入!$B$124)&gt;0,16-(核心参数输入!$B$148+核心参数输入!$B$124)&lt;=120),IF(COUNT(INDEX($D$23:$DT$23,1,MAX(1,MIN(121,16-(核心参数输入!$B$148+核心参数输入!$B$124)+1))))=1,INDEX($D$23:$DT$23,1,MAX(1,MIN(121,16-(核心参数输入!$B$148+核心参数输入!$B$124)+1))),INDEX(核心参数输入!$D$89:$AH$89,1,INT((16-(核心参数输入!$B$148+核心参数输入!$B$124)-1)/4)+2)*INDEX(核心参数输入!$B$128:$B$131,MOD(16-(核心参数输入!$B$148+核心参数输入!$B$124)-1,4)+1)),0)),0)</f>
        <v>7.4999999999999997E-2</v>
      </c>
      <c r="U124" s="22">
        <f>IF(17&lt;=核心参数输入!$B$9*4,IF(核心参数输入!$B$142=0,0,IF(AND(17-(核心参数输入!$B$148+核心参数输入!$B$124)&gt;0,17-(核心参数输入!$B$148+核心参数输入!$B$124)&lt;=120),IF(COUNT(INDEX($D$23:$DT$23,1,MAX(1,MIN(121,17-(核心参数输入!$B$148+核心参数输入!$B$124)+1))))=1,INDEX($D$23:$DT$23,1,MAX(1,MIN(121,17-(核心参数输入!$B$148+核心参数输入!$B$124)+1))),INDEX(核心参数输入!$D$89:$AH$89,1,INT((17-(核心参数输入!$B$148+核心参数输入!$B$124)-1)/4)+2)*INDEX(核心参数输入!$B$128:$B$131,MOD(17-(核心参数输入!$B$148+核心参数输入!$B$124)-1,4)+1)),0)),0)</f>
        <v>0.1</v>
      </c>
      <c r="V124" s="22">
        <f>IF(18&lt;=核心参数输入!$B$9*4,IF(核心参数输入!$B$142=0,0,IF(AND(18-(核心参数输入!$B$148+核心参数输入!$B$124)&gt;0,18-(核心参数输入!$B$148+核心参数输入!$B$124)&lt;=120),IF(COUNT(INDEX($D$23:$DT$23,1,MAX(1,MIN(121,18-(核心参数输入!$B$148+核心参数输入!$B$124)+1))))=1,INDEX($D$23:$DT$23,1,MAX(1,MIN(121,18-(核心参数输入!$B$148+核心参数输入!$B$124)+1))),INDEX(核心参数输入!$D$89:$AH$89,1,INT((18-(核心参数输入!$B$148+核心参数输入!$B$124)-1)/4)+2)*INDEX(核心参数输入!$B$128:$B$131,MOD(18-(核心参数输入!$B$148+核心参数输入!$B$124)-1,4)+1)),0)),0)</f>
        <v>0.1</v>
      </c>
      <c r="W124" s="22">
        <f>IF(19&lt;=核心参数输入!$B$9*4,IF(核心参数输入!$B$142=0,0,IF(AND(19-(核心参数输入!$B$148+核心参数输入!$B$124)&gt;0,19-(核心参数输入!$B$148+核心参数输入!$B$124)&lt;=120),IF(COUNT(INDEX($D$23:$DT$23,1,MAX(1,MIN(121,19-(核心参数输入!$B$148+核心参数输入!$B$124)+1))))=1,INDEX($D$23:$DT$23,1,MAX(1,MIN(121,19-(核心参数输入!$B$148+核心参数输入!$B$124)+1))),INDEX(核心参数输入!$D$89:$AH$89,1,INT((19-(核心参数输入!$B$148+核心参数输入!$B$124)-1)/4)+2)*INDEX(核心参数输入!$B$128:$B$131,MOD(19-(核心参数输入!$B$148+核心参数输入!$B$124)-1,4)+1)),0)),0)</f>
        <v>0.1</v>
      </c>
      <c r="X124" s="22">
        <f>IF(20&lt;=核心参数输入!$B$9*4,IF(核心参数输入!$B$142=0,0,IF(AND(20-(核心参数输入!$B$148+核心参数输入!$B$124)&gt;0,20-(核心参数输入!$B$148+核心参数输入!$B$124)&lt;=120),IF(COUNT(INDEX($D$23:$DT$23,1,MAX(1,MIN(121,20-(核心参数输入!$B$148+核心参数输入!$B$124)+1))))=1,INDEX($D$23:$DT$23,1,MAX(1,MIN(121,20-(核心参数输入!$B$148+核心参数输入!$B$124)+1))),INDEX(核心参数输入!$D$89:$AH$89,1,INT((20-(核心参数输入!$B$148+核心参数输入!$B$124)-1)/4)+2)*INDEX(核心参数输入!$B$128:$B$131,MOD(20-(核心参数输入!$B$148+核心参数输入!$B$124)-1,4)+1)),0)),0)</f>
        <v>0.1</v>
      </c>
      <c r="Y124" s="22">
        <f>IF(21&lt;=核心参数输入!$B$9*4,IF(核心参数输入!$B$142=0,0,IF(AND(21-(核心参数输入!$B$148+核心参数输入!$B$124)&gt;0,21-(核心参数输入!$B$148+核心参数输入!$B$124)&lt;=120),IF(COUNT(INDEX($D$23:$DT$23,1,MAX(1,MIN(121,21-(核心参数输入!$B$148+核心参数输入!$B$124)+1))))=1,INDEX($D$23:$DT$23,1,MAX(1,MIN(121,21-(核心参数输入!$B$148+核心参数输入!$B$124)+1))),INDEX(核心参数输入!$D$89:$AH$89,1,INT((21-(核心参数输入!$B$148+核心参数输入!$B$124)-1)/4)+2)*INDEX(核心参数输入!$B$128:$B$131,MOD(21-(核心参数输入!$B$148+核心参数输入!$B$124)-1,4)+1)),0)),0)</f>
        <v>7.4999999999999997E-2</v>
      </c>
      <c r="Z124" s="22">
        <f>IF(22&lt;=核心参数输入!$B$9*4,IF(核心参数输入!$B$142=0,0,IF(AND(22-(核心参数输入!$B$148+核心参数输入!$B$124)&gt;0,22-(核心参数输入!$B$148+核心参数输入!$B$124)&lt;=120),IF(COUNT(INDEX($D$23:$DT$23,1,MAX(1,MIN(121,22-(核心参数输入!$B$148+核心参数输入!$B$124)+1))))=1,INDEX($D$23:$DT$23,1,MAX(1,MIN(121,22-(核心参数输入!$B$148+核心参数输入!$B$124)+1))),INDEX(核心参数输入!$D$89:$AH$89,1,INT((22-(核心参数输入!$B$148+核心参数输入!$B$124)-1)/4)+2)*INDEX(核心参数输入!$B$128:$B$131,MOD(22-(核心参数输入!$B$148+核心参数输入!$B$124)-1,4)+1)),0)),0)</f>
        <v>7.4999999999999997E-2</v>
      </c>
      <c r="AA124" s="22">
        <f>IF(23&lt;=核心参数输入!$B$9*4,IF(核心参数输入!$B$142=0,0,IF(AND(23-(核心参数输入!$B$148+核心参数输入!$B$124)&gt;0,23-(核心参数输入!$B$148+核心参数输入!$B$124)&lt;=120),IF(COUNT(INDEX($D$23:$DT$23,1,MAX(1,MIN(121,23-(核心参数输入!$B$148+核心参数输入!$B$124)+1))))=1,INDEX($D$23:$DT$23,1,MAX(1,MIN(121,23-(核心参数输入!$B$148+核心参数输入!$B$124)+1))),INDEX(核心参数输入!$D$89:$AH$89,1,INT((23-(核心参数输入!$B$148+核心参数输入!$B$124)-1)/4)+2)*INDEX(核心参数输入!$B$128:$B$131,MOD(23-(核心参数输入!$B$148+核心参数输入!$B$124)-1,4)+1)),0)),0)</f>
        <v>7.4999999999999997E-2</v>
      </c>
      <c r="AB124" s="22">
        <f>IF(24&lt;=核心参数输入!$B$9*4,IF(核心参数输入!$B$142=0,0,IF(AND(24-(核心参数输入!$B$148+核心参数输入!$B$124)&gt;0,24-(核心参数输入!$B$148+核心参数输入!$B$124)&lt;=120),IF(COUNT(INDEX($D$23:$DT$23,1,MAX(1,MIN(121,24-(核心参数输入!$B$148+核心参数输入!$B$124)+1))))=1,INDEX($D$23:$DT$23,1,MAX(1,MIN(121,24-(核心参数输入!$B$148+核心参数输入!$B$124)+1))),INDEX(核心参数输入!$D$89:$AH$89,1,INT((24-(核心参数输入!$B$148+核心参数输入!$B$124)-1)/4)+2)*INDEX(核心参数输入!$B$128:$B$131,MOD(24-(核心参数输入!$B$148+核心参数输入!$B$124)-1,4)+1)),0)),0)</f>
        <v>7.4999999999999997E-2</v>
      </c>
      <c r="AC124" s="22">
        <f>IF(25&lt;=核心参数输入!$B$9*4,IF(核心参数输入!$B$142=0,0,IF(AND(25-(核心参数输入!$B$148+核心参数输入!$B$124)&gt;0,25-(核心参数输入!$B$148+核心参数输入!$B$124)&lt;=120),IF(COUNT(INDEX($D$23:$DT$23,1,MAX(1,MIN(121,25-(核心参数输入!$B$148+核心参数输入!$B$124)+1))))=1,INDEX($D$23:$DT$23,1,MAX(1,MIN(121,25-(核心参数输入!$B$148+核心参数输入!$B$124)+1))),INDEX(核心参数输入!$D$89:$AH$89,1,INT((25-(核心参数输入!$B$148+核心参数输入!$B$124)-1)/4)+2)*INDEX(核心参数输入!$B$128:$B$131,MOD(25-(核心参数输入!$B$148+核心参数输入!$B$124)-1,4)+1)),0)),0)</f>
        <v>0</v>
      </c>
      <c r="AD124" s="22">
        <f>IF(26&lt;=核心参数输入!$B$9*4,IF(核心参数输入!$B$142=0,0,IF(AND(26-(核心参数输入!$B$148+核心参数输入!$B$124)&gt;0,26-(核心参数输入!$B$148+核心参数输入!$B$124)&lt;=120),IF(COUNT(INDEX($D$23:$DT$23,1,MAX(1,MIN(121,26-(核心参数输入!$B$148+核心参数输入!$B$124)+1))))=1,INDEX($D$23:$DT$23,1,MAX(1,MIN(121,26-(核心参数输入!$B$148+核心参数输入!$B$124)+1))),INDEX(核心参数输入!$D$89:$AH$89,1,INT((26-(核心参数输入!$B$148+核心参数输入!$B$124)-1)/4)+2)*INDEX(核心参数输入!$B$128:$B$131,MOD(26-(核心参数输入!$B$148+核心参数输入!$B$124)-1,4)+1)),0)),0)</f>
        <v>0</v>
      </c>
      <c r="AE124" s="22">
        <f>IF(27&lt;=核心参数输入!$B$9*4,IF(核心参数输入!$B$142=0,0,IF(AND(27-(核心参数输入!$B$148+核心参数输入!$B$124)&gt;0,27-(核心参数输入!$B$148+核心参数输入!$B$124)&lt;=120),IF(COUNT(INDEX($D$23:$DT$23,1,MAX(1,MIN(121,27-(核心参数输入!$B$148+核心参数输入!$B$124)+1))))=1,INDEX($D$23:$DT$23,1,MAX(1,MIN(121,27-(核心参数输入!$B$148+核心参数输入!$B$124)+1))),INDEX(核心参数输入!$D$89:$AH$89,1,INT((27-(核心参数输入!$B$148+核心参数输入!$B$124)-1)/4)+2)*INDEX(核心参数输入!$B$128:$B$131,MOD(27-(核心参数输入!$B$148+核心参数输入!$B$124)-1,4)+1)),0)),0)</f>
        <v>0</v>
      </c>
      <c r="AF124" s="22">
        <f>IF(28&lt;=核心参数输入!$B$9*4,IF(核心参数输入!$B$142=0,0,IF(AND(28-(核心参数输入!$B$148+核心参数输入!$B$124)&gt;0,28-(核心参数输入!$B$148+核心参数输入!$B$124)&lt;=120),IF(COUNT(INDEX($D$23:$DT$23,1,MAX(1,MIN(121,28-(核心参数输入!$B$148+核心参数输入!$B$124)+1))))=1,INDEX($D$23:$DT$23,1,MAX(1,MIN(121,28-(核心参数输入!$B$148+核心参数输入!$B$124)+1))),INDEX(核心参数输入!$D$89:$AH$89,1,INT((28-(核心参数输入!$B$148+核心参数输入!$B$124)-1)/4)+2)*INDEX(核心参数输入!$B$128:$B$131,MOD(28-(核心参数输入!$B$148+核心参数输入!$B$124)-1,4)+1)),0)),0)</f>
        <v>0</v>
      </c>
      <c r="AG124" s="22">
        <f>IF(29&lt;=核心参数输入!$B$9*4,IF(核心参数输入!$B$142=0,0,IF(AND(29-(核心参数输入!$B$148+核心参数输入!$B$124)&gt;0,29-(核心参数输入!$B$148+核心参数输入!$B$124)&lt;=120),IF(COUNT(INDEX($D$23:$DT$23,1,MAX(1,MIN(121,29-(核心参数输入!$B$148+核心参数输入!$B$124)+1))))=1,INDEX($D$23:$DT$23,1,MAX(1,MIN(121,29-(核心参数输入!$B$148+核心参数输入!$B$124)+1))),INDEX(核心参数输入!$D$89:$AH$89,1,INT((29-(核心参数输入!$B$148+核心参数输入!$B$124)-1)/4)+2)*INDEX(核心参数输入!$B$128:$B$131,MOD(29-(核心参数输入!$B$148+核心参数输入!$B$124)-1,4)+1)),0)),0)</f>
        <v>0</v>
      </c>
      <c r="AH124" s="22">
        <f>IF(30&lt;=核心参数输入!$B$9*4,IF(核心参数输入!$B$142=0,0,IF(AND(30-(核心参数输入!$B$148+核心参数输入!$B$124)&gt;0,30-(核心参数输入!$B$148+核心参数输入!$B$124)&lt;=120),IF(COUNT(INDEX($D$23:$DT$23,1,MAX(1,MIN(121,30-(核心参数输入!$B$148+核心参数输入!$B$124)+1))))=1,INDEX($D$23:$DT$23,1,MAX(1,MIN(121,30-(核心参数输入!$B$148+核心参数输入!$B$124)+1))),INDEX(核心参数输入!$D$89:$AH$89,1,INT((30-(核心参数输入!$B$148+核心参数输入!$B$124)-1)/4)+2)*INDEX(核心参数输入!$B$128:$B$131,MOD(30-(核心参数输入!$B$148+核心参数输入!$B$124)-1,4)+1)),0)),0)</f>
        <v>0</v>
      </c>
      <c r="AI124" s="22">
        <f>IF(31&lt;=核心参数输入!$B$9*4,IF(核心参数输入!$B$142=0,0,IF(AND(31-(核心参数输入!$B$148+核心参数输入!$B$124)&gt;0,31-(核心参数输入!$B$148+核心参数输入!$B$124)&lt;=120),IF(COUNT(INDEX($D$23:$DT$23,1,MAX(1,MIN(121,31-(核心参数输入!$B$148+核心参数输入!$B$124)+1))))=1,INDEX($D$23:$DT$23,1,MAX(1,MIN(121,31-(核心参数输入!$B$148+核心参数输入!$B$124)+1))),INDEX(核心参数输入!$D$89:$AH$89,1,INT((31-(核心参数输入!$B$148+核心参数输入!$B$124)-1)/4)+2)*INDEX(核心参数输入!$B$128:$B$131,MOD(31-(核心参数输入!$B$148+核心参数输入!$B$124)-1,4)+1)),0)),0)</f>
        <v>0</v>
      </c>
      <c r="AJ124" s="22">
        <f>IF(32&lt;=核心参数输入!$B$9*4,IF(核心参数输入!$B$142=0,0,IF(AND(32-(核心参数输入!$B$148+核心参数输入!$B$124)&gt;0,32-(核心参数输入!$B$148+核心参数输入!$B$124)&lt;=120),IF(COUNT(INDEX($D$23:$DT$23,1,MAX(1,MIN(121,32-(核心参数输入!$B$148+核心参数输入!$B$124)+1))))=1,INDEX($D$23:$DT$23,1,MAX(1,MIN(121,32-(核心参数输入!$B$148+核心参数输入!$B$124)+1))),INDEX(核心参数输入!$D$89:$AH$89,1,INT((32-(核心参数输入!$B$148+核心参数输入!$B$124)-1)/4)+2)*INDEX(核心参数输入!$B$128:$B$131,MOD(32-(核心参数输入!$B$148+核心参数输入!$B$124)-1,4)+1)),0)),0)</f>
        <v>0</v>
      </c>
      <c r="AK124" s="22">
        <f>IF(33&lt;=核心参数输入!$B$9*4,IF(核心参数输入!$B$142=0,0,IF(AND(33-(核心参数输入!$B$148+核心参数输入!$B$124)&gt;0,33-(核心参数输入!$B$148+核心参数输入!$B$124)&lt;=120),IF(COUNT(INDEX($D$23:$DT$23,1,MAX(1,MIN(121,33-(核心参数输入!$B$148+核心参数输入!$B$124)+1))))=1,INDEX($D$23:$DT$23,1,MAX(1,MIN(121,33-(核心参数输入!$B$148+核心参数输入!$B$124)+1))),INDEX(核心参数输入!$D$89:$AH$89,1,INT((33-(核心参数输入!$B$148+核心参数输入!$B$124)-1)/4)+2)*INDEX(核心参数输入!$B$128:$B$131,MOD(33-(核心参数输入!$B$148+核心参数输入!$B$124)-1,4)+1)),0)),0)</f>
        <v>0</v>
      </c>
      <c r="AL124" s="22">
        <f>IF(34&lt;=核心参数输入!$B$9*4,IF(核心参数输入!$B$142=0,0,IF(AND(34-(核心参数输入!$B$148+核心参数输入!$B$124)&gt;0,34-(核心参数输入!$B$148+核心参数输入!$B$124)&lt;=120),IF(COUNT(INDEX($D$23:$DT$23,1,MAX(1,MIN(121,34-(核心参数输入!$B$148+核心参数输入!$B$124)+1))))=1,INDEX($D$23:$DT$23,1,MAX(1,MIN(121,34-(核心参数输入!$B$148+核心参数输入!$B$124)+1))),INDEX(核心参数输入!$D$89:$AH$89,1,INT((34-(核心参数输入!$B$148+核心参数输入!$B$124)-1)/4)+2)*INDEX(核心参数输入!$B$128:$B$131,MOD(34-(核心参数输入!$B$148+核心参数输入!$B$124)-1,4)+1)),0)),0)</f>
        <v>0</v>
      </c>
      <c r="AM124" s="22">
        <f>IF(35&lt;=核心参数输入!$B$9*4,IF(核心参数输入!$B$142=0,0,IF(AND(35-(核心参数输入!$B$148+核心参数输入!$B$124)&gt;0,35-(核心参数输入!$B$148+核心参数输入!$B$124)&lt;=120),IF(COUNT(INDEX($D$23:$DT$23,1,MAX(1,MIN(121,35-(核心参数输入!$B$148+核心参数输入!$B$124)+1))))=1,INDEX($D$23:$DT$23,1,MAX(1,MIN(121,35-(核心参数输入!$B$148+核心参数输入!$B$124)+1))),INDEX(核心参数输入!$D$89:$AH$89,1,INT((35-(核心参数输入!$B$148+核心参数输入!$B$124)-1)/4)+2)*INDEX(核心参数输入!$B$128:$B$131,MOD(35-(核心参数输入!$B$148+核心参数输入!$B$124)-1,4)+1)),0)),0)</f>
        <v>0</v>
      </c>
      <c r="AN124" s="22">
        <f>IF(36&lt;=核心参数输入!$B$9*4,IF(核心参数输入!$B$142=0,0,IF(AND(36-(核心参数输入!$B$148+核心参数输入!$B$124)&gt;0,36-(核心参数输入!$B$148+核心参数输入!$B$124)&lt;=120),IF(COUNT(INDEX($D$23:$DT$23,1,MAX(1,MIN(121,36-(核心参数输入!$B$148+核心参数输入!$B$124)+1))))=1,INDEX($D$23:$DT$23,1,MAX(1,MIN(121,36-(核心参数输入!$B$148+核心参数输入!$B$124)+1))),INDEX(核心参数输入!$D$89:$AH$89,1,INT((36-(核心参数输入!$B$148+核心参数输入!$B$124)-1)/4)+2)*INDEX(核心参数输入!$B$128:$B$131,MOD(36-(核心参数输入!$B$148+核心参数输入!$B$124)-1,4)+1)),0)),0)</f>
        <v>0</v>
      </c>
      <c r="AO124" s="22">
        <f>IF(37&lt;=核心参数输入!$B$9*4,IF(核心参数输入!$B$142=0,0,IF(AND(37-(核心参数输入!$B$148+核心参数输入!$B$124)&gt;0,37-(核心参数输入!$B$148+核心参数输入!$B$124)&lt;=120),IF(COUNT(INDEX($D$23:$DT$23,1,MAX(1,MIN(121,37-(核心参数输入!$B$148+核心参数输入!$B$124)+1))))=1,INDEX($D$23:$DT$23,1,MAX(1,MIN(121,37-(核心参数输入!$B$148+核心参数输入!$B$124)+1))),INDEX(核心参数输入!$D$89:$AH$89,1,INT((37-(核心参数输入!$B$148+核心参数输入!$B$124)-1)/4)+2)*INDEX(核心参数输入!$B$128:$B$131,MOD(37-(核心参数输入!$B$148+核心参数输入!$B$124)-1,4)+1)),0)),0)</f>
        <v>0</v>
      </c>
      <c r="AP124" s="22">
        <f>IF(38&lt;=核心参数输入!$B$9*4,IF(核心参数输入!$B$142=0,0,IF(AND(38-(核心参数输入!$B$148+核心参数输入!$B$124)&gt;0,38-(核心参数输入!$B$148+核心参数输入!$B$124)&lt;=120),IF(COUNT(INDEX($D$23:$DT$23,1,MAX(1,MIN(121,38-(核心参数输入!$B$148+核心参数输入!$B$124)+1))))=1,INDEX($D$23:$DT$23,1,MAX(1,MIN(121,38-(核心参数输入!$B$148+核心参数输入!$B$124)+1))),INDEX(核心参数输入!$D$89:$AH$89,1,INT((38-(核心参数输入!$B$148+核心参数输入!$B$124)-1)/4)+2)*INDEX(核心参数输入!$B$128:$B$131,MOD(38-(核心参数输入!$B$148+核心参数输入!$B$124)-1,4)+1)),0)),0)</f>
        <v>0</v>
      </c>
      <c r="AQ124" s="22">
        <f>IF(39&lt;=核心参数输入!$B$9*4,IF(核心参数输入!$B$142=0,0,IF(AND(39-(核心参数输入!$B$148+核心参数输入!$B$124)&gt;0,39-(核心参数输入!$B$148+核心参数输入!$B$124)&lt;=120),IF(COUNT(INDEX($D$23:$DT$23,1,MAX(1,MIN(121,39-(核心参数输入!$B$148+核心参数输入!$B$124)+1))))=1,INDEX($D$23:$DT$23,1,MAX(1,MIN(121,39-(核心参数输入!$B$148+核心参数输入!$B$124)+1))),INDEX(核心参数输入!$D$89:$AH$89,1,INT((39-(核心参数输入!$B$148+核心参数输入!$B$124)-1)/4)+2)*INDEX(核心参数输入!$B$128:$B$131,MOD(39-(核心参数输入!$B$148+核心参数输入!$B$124)-1,4)+1)),0)),0)</f>
        <v>0</v>
      </c>
      <c r="AR124" s="22">
        <f>IF(40&lt;=核心参数输入!$B$9*4,IF(核心参数输入!$B$142=0,0,IF(AND(40-(核心参数输入!$B$148+核心参数输入!$B$124)&gt;0,40-(核心参数输入!$B$148+核心参数输入!$B$124)&lt;=120),IF(COUNT(INDEX($D$23:$DT$23,1,MAX(1,MIN(121,40-(核心参数输入!$B$148+核心参数输入!$B$124)+1))))=1,INDEX($D$23:$DT$23,1,MAX(1,MIN(121,40-(核心参数输入!$B$148+核心参数输入!$B$124)+1))),INDEX(核心参数输入!$D$89:$AH$89,1,INT((40-(核心参数输入!$B$148+核心参数输入!$B$124)-1)/4)+2)*INDEX(核心参数输入!$B$128:$B$131,MOD(40-(核心参数输入!$B$148+核心参数输入!$B$124)-1,4)+1)),0)),0)</f>
        <v>0</v>
      </c>
      <c r="AS124" s="22">
        <f>IF(41&lt;=核心参数输入!$B$9*4,IF(核心参数输入!$B$142=0,0,IF(AND(41-(核心参数输入!$B$148+核心参数输入!$B$124)&gt;0,41-(核心参数输入!$B$148+核心参数输入!$B$124)&lt;=120),IF(COUNT(INDEX($D$23:$DT$23,1,MAX(1,MIN(121,41-(核心参数输入!$B$148+核心参数输入!$B$124)+1))))=1,INDEX($D$23:$DT$23,1,MAX(1,MIN(121,41-(核心参数输入!$B$148+核心参数输入!$B$124)+1))),INDEX(核心参数输入!$D$89:$AH$89,1,INT((41-(核心参数输入!$B$148+核心参数输入!$B$124)-1)/4)+2)*INDEX(核心参数输入!$B$128:$B$131,MOD(41-(核心参数输入!$B$148+核心参数输入!$B$124)-1,4)+1)),0)),0)</f>
        <v>0</v>
      </c>
      <c r="AT124" s="22">
        <f>IF(42&lt;=核心参数输入!$B$9*4,IF(核心参数输入!$B$142=0,0,IF(AND(42-(核心参数输入!$B$148+核心参数输入!$B$124)&gt;0,42-(核心参数输入!$B$148+核心参数输入!$B$124)&lt;=120),IF(COUNT(INDEX($D$23:$DT$23,1,MAX(1,MIN(121,42-(核心参数输入!$B$148+核心参数输入!$B$124)+1))))=1,INDEX($D$23:$DT$23,1,MAX(1,MIN(121,42-(核心参数输入!$B$148+核心参数输入!$B$124)+1))),INDEX(核心参数输入!$D$89:$AH$89,1,INT((42-(核心参数输入!$B$148+核心参数输入!$B$124)-1)/4)+2)*INDEX(核心参数输入!$B$128:$B$131,MOD(42-(核心参数输入!$B$148+核心参数输入!$B$124)-1,4)+1)),0)),0)</f>
        <v>0</v>
      </c>
      <c r="AU124" s="22">
        <f>IF(43&lt;=核心参数输入!$B$9*4,IF(核心参数输入!$B$142=0,0,IF(AND(43-(核心参数输入!$B$148+核心参数输入!$B$124)&gt;0,43-(核心参数输入!$B$148+核心参数输入!$B$124)&lt;=120),IF(COUNT(INDEX($D$23:$DT$23,1,MAX(1,MIN(121,43-(核心参数输入!$B$148+核心参数输入!$B$124)+1))))=1,INDEX($D$23:$DT$23,1,MAX(1,MIN(121,43-(核心参数输入!$B$148+核心参数输入!$B$124)+1))),INDEX(核心参数输入!$D$89:$AH$89,1,INT((43-(核心参数输入!$B$148+核心参数输入!$B$124)-1)/4)+2)*INDEX(核心参数输入!$B$128:$B$131,MOD(43-(核心参数输入!$B$148+核心参数输入!$B$124)-1,4)+1)),0)),0)</f>
        <v>0</v>
      </c>
      <c r="AV124" s="22">
        <f>IF(44&lt;=核心参数输入!$B$9*4,IF(核心参数输入!$B$142=0,0,IF(AND(44-(核心参数输入!$B$148+核心参数输入!$B$124)&gt;0,44-(核心参数输入!$B$148+核心参数输入!$B$124)&lt;=120),IF(COUNT(INDEX($D$23:$DT$23,1,MAX(1,MIN(121,44-(核心参数输入!$B$148+核心参数输入!$B$124)+1))))=1,INDEX($D$23:$DT$23,1,MAX(1,MIN(121,44-(核心参数输入!$B$148+核心参数输入!$B$124)+1))),INDEX(核心参数输入!$D$89:$AH$89,1,INT((44-(核心参数输入!$B$148+核心参数输入!$B$124)-1)/4)+2)*INDEX(核心参数输入!$B$128:$B$131,MOD(44-(核心参数输入!$B$148+核心参数输入!$B$124)-1,4)+1)),0)),0)</f>
        <v>0</v>
      </c>
      <c r="AW124" s="22">
        <f>IF(45&lt;=核心参数输入!$B$9*4,IF(核心参数输入!$B$142=0,0,IF(AND(45-(核心参数输入!$B$148+核心参数输入!$B$124)&gt;0,45-(核心参数输入!$B$148+核心参数输入!$B$124)&lt;=120),IF(COUNT(INDEX($D$23:$DT$23,1,MAX(1,MIN(121,45-(核心参数输入!$B$148+核心参数输入!$B$124)+1))))=1,INDEX($D$23:$DT$23,1,MAX(1,MIN(121,45-(核心参数输入!$B$148+核心参数输入!$B$124)+1))),INDEX(核心参数输入!$D$89:$AH$89,1,INT((45-(核心参数输入!$B$148+核心参数输入!$B$124)-1)/4)+2)*INDEX(核心参数输入!$B$128:$B$131,MOD(45-(核心参数输入!$B$148+核心参数输入!$B$124)-1,4)+1)),0)),0)</f>
        <v>0</v>
      </c>
      <c r="AX124" s="22">
        <f>IF(46&lt;=核心参数输入!$B$9*4,IF(核心参数输入!$B$142=0,0,IF(AND(46-(核心参数输入!$B$148+核心参数输入!$B$124)&gt;0,46-(核心参数输入!$B$148+核心参数输入!$B$124)&lt;=120),IF(COUNT(INDEX($D$23:$DT$23,1,MAX(1,MIN(121,46-(核心参数输入!$B$148+核心参数输入!$B$124)+1))))=1,INDEX($D$23:$DT$23,1,MAX(1,MIN(121,46-(核心参数输入!$B$148+核心参数输入!$B$124)+1))),INDEX(核心参数输入!$D$89:$AH$89,1,INT((46-(核心参数输入!$B$148+核心参数输入!$B$124)-1)/4)+2)*INDEX(核心参数输入!$B$128:$B$131,MOD(46-(核心参数输入!$B$148+核心参数输入!$B$124)-1,4)+1)),0)),0)</f>
        <v>0</v>
      </c>
      <c r="AY124" s="22">
        <f>IF(47&lt;=核心参数输入!$B$9*4,IF(核心参数输入!$B$142=0,0,IF(AND(47-(核心参数输入!$B$148+核心参数输入!$B$124)&gt;0,47-(核心参数输入!$B$148+核心参数输入!$B$124)&lt;=120),IF(COUNT(INDEX($D$23:$DT$23,1,MAX(1,MIN(121,47-(核心参数输入!$B$148+核心参数输入!$B$124)+1))))=1,INDEX($D$23:$DT$23,1,MAX(1,MIN(121,47-(核心参数输入!$B$148+核心参数输入!$B$124)+1))),INDEX(核心参数输入!$D$89:$AH$89,1,INT((47-(核心参数输入!$B$148+核心参数输入!$B$124)-1)/4)+2)*INDEX(核心参数输入!$B$128:$B$131,MOD(47-(核心参数输入!$B$148+核心参数输入!$B$124)-1,4)+1)),0)),0)</f>
        <v>0</v>
      </c>
      <c r="AZ124" s="22">
        <f>IF(48&lt;=核心参数输入!$B$9*4,IF(核心参数输入!$B$142=0,0,IF(AND(48-(核心参数输入!$B$148+核心参数输入!$B$124)&gt;0,48-(核心参数输入!$B$148+核心参数输入!$B$124)&lt;=120),IF(COUNT(INDEX($D$23:$DT$23,1,MAX(1,MIN(121,48-(核心参数输入!$B$148+核心参数输入!$B$124)+1))))=1,INDEX($D$23:$DT$23,1,MAX(1,MIN(121,48-(核心参数输入!$B$148+核心参数输入!$B$124)+1))),INDEX(核心参数输入!$D$89:$AH$89,1,INT((48-(核心参数输入!$B$148+核心参数输入!$B$124)-1)/4)+2)*INDEX(核心参数输入!$B$128:$B$131,MOD(48-(核心参数输入!$B$148+核心参数输入!$B$124)-1,4)+1)),0)),0)</f>
        <v>0</v>
      </c>
      <c r="BA124" s="22">
        <f>IF(49&lt;=核心参数输入!$B$9*4,IF(核心参数输入!$B$142=0,0,IF(AND(49-(核心参数输入!$B$148+核心参数输入!$B$124)&gt;0,49-(核心参数输入!$B$148+核心参数输入!$B$124)&lt;=120),IF(COUNT(INDEX($D$23:$DT$23,1,MAX(1,MIN(121,49-(核心参数输入!$B$148+核心参数输入!$B$124)+1))))=1,INDEX($D$23:$DT$23,1,MAX(1,MIN(121,49-(核心参数输入!$B$148+核心参数输入!$B$124)+1))),INDEX(核心参数输入!$D$89:$AH$89,1,INT((49-(核心参数输入!$B$148+核心参数输入!$B$124)-1)/4)+2)*INDEX(核心参数输入!$B$128:$B$131,MOD(49-(核心参数输入!$B$148+核心参数输入!$B$124)-1,4)+1)),0)),0)</f>
        <v>0</v>
      </c>
      <c r="BB124" s="22">
        <f>IF(50&lt;=核心参数输入!$B$9*4,IF(核心参数输入!$B$142=0,0,IF(AND(50-(核心参数输入!$B$148+核心参数输入!$B$124)&gt;0,50-(核心参数输入!$B$148+核心参数输入!$B$124)&lt;=120),IF(COUNT(INDEX($D$23:$DT$23,1,MAX(1,MIN(121,50-(核心参数输入!$B$148+核心参数输入!$B$124)+1))))=1,INDEX($D$23:$DT$23,1,MAX(1,MIN(121,50-(核心参数输入!$B$148+核心参数输入!$B$124)+1))),INDEX(核心参数输入!$D$89:$AH$89,1,INT((50-(核心参数输入!$B$148+核心参数输入!$B$124)-1)/4)+2)*INDEX(核心参数输入!$B$128:$B$131,MOD(50-(核心参数输入!$B$148+核心参数输入!$B$124)-1,4)+1)),0)),0)</f>
        <v>0</v>
      </c>
      <c r="BC124" s="22">
        <f>IF(51&lt;=核心参数输入!$B$9*4,IF(核心参数输入!$B$142=0,0,IF(AND(51-(核心参数输入!$B$148+核心参数输入!$B$124)&gt;0,51-(核心参数输入!$B$148+核心参数输入!$B$124)&lt;=120),IF(COUNT(INDEX($D$23:$DT$23,1,MAX(1,MIN(121,51-(核心参数输入!$B$148+核心参数输入!$B$124)+1))))=1,INDEX($D$23:$DT$23,1,MAX(1,MIN(121,51-(核心参数输入!$B$148+核心参数输入!$B$124)+1))),INDEX(核心参数输入!$D$89:$AH$89,1,INT((51-(核心参数输入!$B$148+核心参数输入!$B$124)-1)/4)+2)*INDEX(核心参数输入!$B$128:$B$131,MOD(51-(核心参数输入!$B$148+核心参数输入!$B$124)-1,4)+1)),0)),0)</f>
        <v>0</v>
      </c>
      <c r="BD124" s="22">
        <f>IF(52&lt;=核心参数输入!$B$9*4,IF(核心参数输入!$B$142=0,0,IF(AND(52-(核心参数输入!$B$148+核心参数输入!$B$124)&gt;0,52-(核心参数输入!$B$148+核心参数输入!$B$124)&lt;=120),IF(COUNT(INDEX($D$23:$DT$23,1,MAX(1,MIN(121,52-(核心参数输入!$B$148+核心参数输入!$B$124)+1))))=1,INDEX($D$23:$DT$23,1,MAX(1,MIN(121,52-(核心参数输入!$B$148+核心参数输入!$B$124)+1))),INDEX(核心参数输入!$D$89:$AH$89,1,INT((52-(核心参数输入!$B$148+核心参数输入!$B$124)-1)/4)+2)*INDEX(核心参数输入!$B$128:$B$131,MOD(52-(核心参数输入!$B$148+核心参数输入!$B$124)-1,4)+1)),0)),0)</f>
        <v>0</v>
      </c>
      <c r="BE124" s="22">
        <f>IF(53&lt;=核心参数输入!$B$9*4,IF(核心参数输入!$B$142=0,0,IF(AND(53-(核心参数输入!$B$148+核心参数输入!$B$124)&gt;0,53-(核心参数输入!$B$148+核心参数输入!$B$124)&lt;=120),IF(COUNT(INDEX($D$23:$DT$23,1,MAX(1,MIN(121,53-(核心参数输入!$B$148+核心参数输入!$B$124)+1))))=1,INDEX($D$23:$DT$23,1,MAX(1,MIN(121,53-(核心参数输入!$B$148+核心参数输入!$B$124)+1))),INDEX(核心参数输入!$D$89:$AH$89,1,INT((53-(核心参数输入!$B$148+核心参数输入!$B$124)-1)/4)+2)*INDEX(核心参数输入!$B$128:$B$131,MOD(53-(核心参数输入!$B$148+核心参数输入!$B$124)-1,4)+1)),0)),0)</f>
        <v>0</v>
      </c>
      <c r="BF124" s="22">
        <f>IF(54&lt;=核心参数输入!$B$9*4,IF(核心参数输入!$B$142=0,0,IF(AND(54-(核心参数输入!$B$148+核心参数输入!$B$124)&gt;0,54-(核心参数输入!$B$148+核心参数输入!$B$124)&lt;=120),IF(COUNT(INDEX($D$23:$DT$23,1,MAX(1,MIN(121,54-(核心参数输入!$B$148+核心参数输入!$B$124)+1))))=1,INDEX($D$23:$DT$23,1,MAX(1,MIN(121,54-(核心参数输入!$B$148+核心参数输入!$B$124)+1))),INDEX(核心参数输入!$D$89:$AH$89,1,INT((54-(核心参数输入!$B$148+核心参数输入!$B$124)-1)/4)+2)*INDEX(核心参数输入!$B$128:$B$131,MOD(54-(核心参数输入!$B$148+核心参数输入!$B$124)-1,4)+1)),0)),0)</f>
        <v>0</v>
      </c>
      <c r="BG124" s="22">
        <f>IF(55&lt;=核心参数输入!$B$9*4,IF(核心参数输入!$B$142=0,0,IF(AND(55-(核心参数输入!$B$148+核心参数输入!$B$124)&gt;0,55-(核心参数输入!$B$148+核心参数输入!$B$124)&lt;=120),IF(COUNT(INDEX($D$23:$DT$23,1,MAX(1,MIN(121,55-(核心参数输入!$B$148+核心参数输入!$B$124)+1))))=1,INDEX($D$23:$DT$23,1,MAX(1,MIN(121,55-(核心参数输入!$B$148+核心参数输入!$B$124)+1))),INDEX(核心参数输入!$D$89:$AH$89,1,INT((55-(核心参数输入!$B$148+核心参数输入!$B$124)-1)/4)+2)*INDEX(核心参数输入!$B$128:$B$131,MOD(55-(核心参数输入!$B$148+核心参数输入!$B$124)-1,4)+1)),0)),0)</f>
        <v>0</v>
      </c>
      <c r="BH124" s="22">
        <f>IF(56&lt;=核心参数输入!$B$9*4,IF(核心参数输入!$B$142=0,0,IF(AND(56-(核心参数输入!$B$148+核心参数输入!$B$124)&gt;0,56-(核心参数输入!$B$148+核心参数输入!$B$124)&lt;=120),IF(COUNT(INDEX($D$23:$DT$23,1,MAX(1,MIN(121,56-(核心参数输入!$B$148+核心参数输入!$B$124)+1))))=1,INDEX($D$23:$DT$23,1,MAX(1,MIN(121,56-(核心参数输入!$B$148+核心参数输入!$B$124)+1))),INDEX(核心参数输入!$D$89:$AH$89,1,INT((56-(核心参数输入!$B$148+核心参数输入!$B$124)-1)/4)+2)*INDEX(核心参数输入!$B$128:$B$131,MOD(56-(核心参数输入!$B$148+核心参数输入!$B$124)-1,4)+1)),0)),0)</f>
        <v>0</v>
      </c>
      <c r="BI124" s="22">
        <f>IF(57&lt;=核心参数输入!$B$9*4,IF(核心参数输入!$B$142=0,0,IF(AND(57-(核心参数输入!$B$148+核心参数输入!$B$124)&gt;0,57-(核心参数输入!$B$148+核心参数输入!$B$124)&lt;=120),IF(COUNT(INDEX($D$23:$DT$23,1,MAX(1,MIN(121,57-(核心参数输入!$B$148+核心参数输入!$B$124)+1))))=1,INDEX($D$23:$DT$23,1,MAX(1,MIN(121,57-(核心参数输入!$B$148+核心参数输入!$B$124)+1))),INDEX(核心参数输入!$D$89:$AH$89,1,INT((57-(核心参数输入!$B$148+核心参数输入!$B$124)-1)/4)+2)*INDEX(核心参数输入!$B$128:$B$131,MOD(57-(核心参数输入!$B$148+核心参数输入!$B$124)-1,4)+1)),0)),0)</f>
        <v>0</v>
      </c>
      <c r="BJ124" s="22">
        <f>IF(58&lt;=核心参数输入!$B$9*4,IF(核心参数输入!$B$142=0,0,IF(AND(58-(核心参数输入!$B$148+核心参数输入!$B$124)&gt;0,58-(核心参数输入!$B$148+核心参数输入!$B$124)&lt;=120),IF(COUNT(INDEX($D$23:$DT$23,1,MAX(1,MIN(121,58-(核心参数输入!$B$148+核心参数输入!$B$124)+1))))=1,INDEX($D$23:$DT$23,1,MAX(1,MIN(121,58-(核心参数输入!$B$148+核心参数输入!$B$124)+1))),INDEX(核心参数输入!$D$89:$AH$89,1,INT((58-(核心参数输入!$B$148+核心参数输入!$B$124)-1)/4)+2)*INDEX(核心参数输入!$B$128:$B$131,MOD(58-(核心参数输入!$B$148+核心参数输入!$B$124)-1,4)+1)),0)),0)</f>
        <v>0</v>
      </c>
      <c r="BK124" s="22">
        <f>IF(59&lt;=核心参数输入!$B$9*4,IF(核心参数输入!$B$142=0,0,IF(AND(59-(核心参数输入!$B$148+核心参数输入!$B$124)&gt;0,59-(核心参数输入!$B$148+核心参数输入!$B$124)&lt;=120),IF(COUNT(INDEX($D$23:$DT$23,1,MAX(1,MIN(121,59-(核心参数输入!$B$148+核心参数输入!$B$124)+1))))=1,INDEX($D$23:$DT$23,1,MAX(1,MIN(121,59-(核心参数输入!$B$148+核心参数输入!$B$124)+1))),INDEX(核心参数输入!$D$89:$AH$89,1,INT((59-(核心参数输入!$B$148+核心参数输入!$B$124)-1)/4)+2)*INDEX(核心参数输入!$B$128:$B$131,MOD(59-(核心参数输入!$B$148+核心参数输入!$B$124)-1,4)+1)),0)),0)</f>
        <v>0</v>
      </c>
      <c r="BL124" s="22">
        <f>IF(60&lt;=核心参数输入!$B$9*4,IF(核心参数输入!$B$142=0,0,IF(AND(60-(核心参数输入!$B$148+核心参数输入!$B$124)&gt;0,60-(核心参数输入!$B$148+核心参数输入!$B$124)&lt;=120),IF(COUNT(INDEX($D$23:$DT$23,1,MAX(1,MIN(121,60-(核心参数输入!$B$148+核心参数输入!$B$124)+1))))=1,INDEX($D$23:$DT$23,1,MAX(1,MIN(121,60-(核心参数输入!$B$148+核心参数输入!$B$124)+1))),INDEX(核心参数输入!$D$89:$AH$89,1,INT((60-(核心参数输入!$B$148+核心参数输入!$B$124)-1)/4)+2)*INDEX(核心参数输入!$B$128:$B$131,MOD(60-(核心参数输入!$B$148+核心参数输入!$B$124)-1,4)+1)),0)),0)</f>
        <v>0</v>
      </c>
      <c r="BM124" s="22">
        <f>IF(61&lt;=核心参数输入!$B$9*4,IF(核心参数输入!$B$142=0,0,IF(AND(61-(核心参数输入!$B$148+核心参数输入!$B$124)&gt;0,61-(核心参数输入!$B$148+核心参数输入!$B$124)&lt;=120),IF(COUNT(INDEX($D$23:$DT$23,1,MAX(1,MIN(121,61-(核心参数输入!$B$148+核心参数输入!$B$124)+1))))=1,INDEX($D$23:$DT$23,1,MAX(1,MIN(121,61-(核心参数输入!$B$148+核心参数输入!$B$124)+1))),INDEX(核心参数输入!$D$89:$AH$89,1,INT((61-(核心参数输入!$B$148+核心参数输入!$B$124)-1)/4)+2)*INDEX(核心参数输入!$B$128:$B$131,MOD(61-(核心参数输入!$B$148+核心参数输入!$B$124)-1,4)+1)),0)),0)</f>
        <v>0</v>
      </c>
      <c r="BN124" s="22">
        <f>IF(62&lt;=核心参数输入!$B$9*4,IF(核心参数输入!$B$142=0,0,IF(AND(62-(核心参数输入!$B$148+核心参数输入!$B$124)&gt;0,62-(核心参数输入!$B$148+核心参数输入!$B$124)&lt;=120),IF(COUNT(INDEX($D$23:$DT$23,1,MAX(1,MIN(121,62-(核心参数输入!$B$148+核心参数输入!$B$124)+1))))=1,INDEX($D$23:$DT$23,1,MAX(1,MIN(121,62-(核心参数输入!$B$148+核心参数输入!$B$124)+1))),INDEX(核心参数输入!$D$89:$AH$89,1,INT((62-(核心参数输入!$B$148+核心参数输入!$B$124)-1)/4)+2)*INDEX(核心参数输入!$B$128:$B$131,MOD(62-(核心参数输入!$B$148+核心参数输入!$B$124)-1,4)+1)),0)),0)</f>
        <v>0</v>
      </c>
      <c r="BO124" s="22">
        <f>IF(63&lt;=核心参数输入!$B$9*4,IF(核心参数输入!$B$142=0,0,IF(AND(63-(核心参数输入!$B$148+核心参数输入!$B$124)&gt;0,63-(核心参数输入!$B$148+核心参数输入!$B$124)&lt;=120),IF(COUNT(INDEX($D$23:$DT$23,1,MAX(1,MIN(121,63-(核心参数输入!$B$148+核心参数输入!$B$124)+1))))=1,INDEX($D$23:$DT$23,1,MAX(1,MIN(121,63-(核心参数输入!$B$148+核心参数输入!$B$124)+1))),INDEX(核心参数输入!$D$89:$AH$89,1,INT((63-(核心参数输入!$B$148+核心参数输入!$B$124)-1)/4)+2)*INDEX(核心参数输入!$B$128:$B$131,MOD(63-(核心参数输入!$B$148+核心参数输入!$B$124)-1,4)+1)),0)),0)</f>
        <v>0</v>
      </c>
      <c r="BP124" s="22">
        <f>IF(64&lt;=核心参数输入!$B$9*4,IF(核心参数输入!$B$142=0,0,IF(AND(64-(核心参数输入!$B$148+核心参数输入!$B$124)&gt;0,64-(核心参数输入!$B$148+核心参数输入!$B$124)&lt;=120),IF(COUNT(INDEX($D$23:$DT$23,1,MAX(1,MIN(121,64-(核心参数输入!$B$148+核心参数输入!$B$124)+1))))=1,INDEX($D$23:$DT$23,1,MAX(1,MIN(121,64-(核心参数输入!$B$148+核心参数输入!$B$124)+1))),INDEX(核心参数输入!$D$89:$AH$89,1,INT((64-(核心参数输入!$B$148+核心参数输入!$B$124)-1)/4)+2)*INDEX(核心参数输入!$B$128:$B$131,MOD(64-(核心参数输入!$B$148+核心参数输入!$B$124)-1,4)+1)),0)),0)</f>
        <v>0</v>
      </c>
      <c r="BQ124" s="22">
        <f>IF(65&lt;=核心参数输入!$B$9*4,IF(核心参数输入!$B$142=0,0,IF(AND(65-(核心参数输入!$B$148+核心参数输入!$B$124)&gt;0,65-(核心参数输入!$B$148+核心参数输入!$B$124)&lt;=120),IF(COUNT(INDEX($D$23:$DT$23,1,MAX(1,MIN(121,65-(核心参数输入!$B$148+核心参数输入!$B$124)+1))))=1,INDEX($D$23:$DT$23,1,MAX(1,MIN(121,65-(核心参数输入!$B$148+核心参数输入!$B$124)+1))),INDEX(核心参数输入!$D$89:$AH$89,1,INT((65-(核心参数输入!$B$148+核心参数输入!$B$124)-1)/4)+2)*INDEX(核心参数输入!$B$128:$B$131,MOD(65-(核心参数输入!$B$148+核心参数输入!$B$124)-1,4)+1)),0)),0)</f>
        <v>0</v>
      </c>
      <c r="BR124" s="22">
        <f>IF(66&lt;=核心参数输入!$B$9*4,IF(核心参数输入!$B$142=0,0,IF(AND(66-(核心参数输入!$B$148+核心参数输入!$B$124)&gt;0,66-(核心参数输入!$B$148+核心参数输入!$B$124)&lt;=120),IF(COUNT(INDEX($D$23:$DT$23,1,MAX(1,MIN(121,66-(核心参数输入!$B$148+核心参数输入!$B$124)+1))))=1,INDEX($D$23:$DT$23,1,MAX(1,MIN(121,66-(核心参数输入!$B$148+核心参数输入!$B$124)+1))),INDEX(核心参数输入!$D$89:$AH$89,1,INT((66-(核心参数输入!$B$148+核心参数输入!$B$124)-1)/4)+2)*INDEX(核心参数输入!$B$128:$B$131,MOD(66-(核心参数输入!$B$148+核心参数输入!$B$124)-1,4)+1)),0)),0)</f>
        <v>0</v>
      </c>
      <c r="BS124" s="22">
        <f>IF(67&lt;=核心参数输入!$B$9*4,IF(核心参数输入!$B$142=0,0,IF(AND(67-(核心参数输入!$B$148+核心参数输入!$B$124)&gt;0,67-(核心参数输入!$B$148+核心参数输入!$B$124)&lt;=120),IF(COUNT(INDEX($D$23:$DT$23,1,MAX(1,MIN(121,67-(核心参数输入!$B$148+核心参数输入!$B$124)+1))))=1,INDEX($D$23:$DT$23,1,MAX(1,MIN(121,67-(核心参数输入!$B$148+核心参数输入!$B$124)+1))),INDEX(核心参数输入!$D$89:$AH$89,1,INT((67-(核心参数输入!$B$148+核心参数输入!$B$124)-1)/4)+2)*INDEX(核心参数输入!$B$128:$B$131,MOD(67-(核心参数输入!$B$148+核心参数输入!$B$124)-1,4)+1)),0)),0)</f>
        <v>0</v>
      </c>
      <c r="BT124" s="22">
        <f>IF(68&lt;=核心参数输入!$B$9*4,IF(核心参数输入!$B$142=0,0,IF(AND(68-(核心参数输入!$B$148+核心参数输入!$B$124)&gt;0,68-(核心参数输入!$B$148+核心参数输入!$B$124)&lt;=120),IF(COUNT(INDEX($D$23:$DT$23,1,MAX(1,MIN(121,68-(核心参数输入!$B$148+核心参数输入!$B$124)+1))))=1,INDEX($D$23:$DT$23,1,MAX(1,MIN(121,68-(核心参数输入!$B$148+核心参数输入!$B$124)+1))),INDEX(核心参数输入!$D$89:$AH$89,1,INT((68-(核心参数输入!$B$148+核心参数输入!$B$124)-1)/4)+2)*INDEX(核心参数输入!$B$128:$B$131,MOD(68-(核心参数输入!$B$148+核心参数输入!$B$124)-1,4)+1)),0)),0)</f>
        <v>0</v>
      </c>
      <c r="BU124" s="22">
        <f>IF(69&lt;=核心参数输入!$B$9*4,IF(核心参数输入!$B$142=0,0,IF(AND(69-(核心参数输入!$B$148+核心参数输入!$B$124)&gt;0,69-(核心参数输入!$B$148+核心参数输入!$B$124)&lt;=120),IF(COUNT(INDEX($D$23:$DT$23,1,MAX(1,MIN(121,69-(核心参数输入!$B$148+核心参数输入!$B$124)+1))))=1,INDEX($D$23:$DT$23,1,MAX(1,MIN(121,69-(核心参数输入!$B$148+核心参数输入!$B$124)+1))),INDEX(核心参数输入!$D$89:$AH$89,1,INT((69-(核心参数输入!$B$148+核心参数输入!$B$124)-1)/4)+2)*INDEX(核心参数输入!$B$128:$B$131,MOD(69-(核心参数输入!$B$148+核心参数输入!$B$124)-1,4)+1)),0)),0)</f>
        <v>0</v>
      </c>
      <c r="BV124" s="22">
        <f>IF(70&lt;=核心参数输入!$B$9*4,IF(核心参数输入!$B$142=0,0,IF(AND(70-(核心参数输入!$B$148+核心参数输入!$B$124)&gt;0,70-(核心参数输入!$B$148+核心参数输入!$B$124)&lt;=120),IF(COUNT(INDEX($D$23:$DT$23,1,MAX(1,MIN(121,70-(核心参数输入!$B$148+核心参数输入!$B$124)+1))))=1,INDEX($D$23:$DT$23,1,MAX(1,MIN(121,70-(核心参数输入!$B$148+核心参数输入!$B$124)+1))),INDEX(核心参数输入!$D$89:$AH$89,1,INT((70-(核心参数输入!$B$148+核心参数输入!$B$124)-1)/4)+2)*INDEX(核心参数输入!$B$128:$B$131,MOD(70-(核心参数输入!$B$148+核心参数输入!$B$124)-1,4)+1)),0)),0)</f>
        <v>0</v>
      </c>
      <c r="BW124" s="22">
        <f>IF(71&lt;=核心参数输入!$B$9*4,IF(核心参数输入!$B$142=0,0,IF(AND(71-(核心参数输入!$B$148+核心参数输入!$B$124)&gt;0,71-(核心参数输入!$B$148+核心参数输入!$B$124)&lt;=120),IF(COUNT(INDEX($D$23:$DT$23,1,MAX(1,MIN(121,71-(核心参数输入!$B$148+核心参数输入!$B$124)+1))))=1,INDEX($D$23:$DT$23,1,MAX(1,MIN(121,71-(核心参数输入!$B$148+核心参数输入!$B$124)+1))),INDEX(核心参数输入!$D$89:$AH$89,1,INT((71-(核心参数输入!$B$148+核心参数输入!$B$124)-1)/4)+2)*INDEX(核心参数输入!$B$128:$B$131,MOD(71-(核心参数输入!$B$148+核心参数输入!$B$124)-1,4)+1)),0)),0)</f>
        <v>0</v>
      </c>
      <c r="BX124" s="22">
        <f>IF(72&lt;=核心参数输入!$B$9*4,IF(核心参数输入!$B$142=0,0,IF(AND(72-(核心参数输入!$B$148+核心参数输入!$B$124)&gt;0,72-(核心参数输入!$B$148+核心参数输入!$B$124)&lt;=120),IF(COUNT(INDEX($D$23:$DT$23,1,MAX(1,MIN(121,72-(核心参数输入!$B$148+核心参数输入!$B$124)+1))))=1,INDEX($D$23:$DT$23,1,MAX(1,MIN(121,72-(核心参数输入!$B$148+核心参数输入!$B$124)+1))),INDEX(核心参数输入!$D$89:$AH$89,1,INT((72-(核心参数输入!$B$148+核心参数输入!$B$124)-1)/4)+2)*INDEX(核心参数输入!$B$128:$B$131,MOD(72-(核心参数输入!$B$148+核心参数输入!$B$124)-1,4)+1)),0)),0)</f>
        <v>0</v>
      </c>
      <c r="BY124" s="22">
        <f>IF(73&lt;=核心参数输入!$B$9*4,IF(核心参数输入!$B$142=0,0,IF(AND(73-(核心参数输入!$B$148+核心参数输入!$B$124)&gt;0,73-(核心参数输入!$B$148+核心参数输入!$B$124)&lt;=120),IF(COUNT(INDEX($D$23:$DT$23,1,MAX(1,MIN(121,73-(核心参数输入!$B$148+核心参数输入!$B$124)+1))))=1,INDEX($D$23:$DT$23,1,MAX(1,MIN(121,73-(核心参数输入!$B$148+核心参数输入!$B$124)+1))),INDEX(核心参数输入!$D$89:$AH$89,1,INT((73-(核心参数输入!$B$148+核心参数输入!$B$124)-1)/4)+2)*INDEX(核心参数输入!$B$128:$B$131,MOD(73-(核心参数输入!$B$148+核心参数输入!$B$124)-1,4)+1)),0)),0)</f>
        <v>0</v>
      </c>
      <c r="BZ124" s="22">
        <f>IF(74&lt;=核心参数输入!$B$9*4,IF(核心参数输入!$B$142=0,0,IF(AND(74-(核心参数输入!$B$148+核心参数输入!$B$124)&gt;0,74-(核心参数输入!$B$148+核心参数输入!$B$124)&lt;=120),IF(COUNT(INDEX($D$23:$DT$23,1,MAX(1,MIN(121,74-(核心参数输入!$B$148+核心参数输入!$B$124)+1))))=1,INDEX($D$23:$DT$23,1,MAX(1,MIN(121,74-(核心参数输入!$B$148+核心参数输入!$B$124)+1))),INDEX(核心参数输入!$D$89:$AH$89,1,INT((74-(核心参数输入!$B$148+核心参数输入!$B$124)-1)/4)+2)*INDEX(核心参数输入!$B$128:$B$131,MOD(74-(核心参数输入!$B$148+核心参数输入!$B$124)-1,4)+1)),0)),0)</f>
        <v>0</v>
      </c>
      <c r="CA124" s="22">
        <f>IF(75&lt;=核心参数输入!$B$9*4,IF(核心参数输入!$B$142=0,0,IF(AND(75-(核心参数输入!$B$148+核心参数输入!$B$124)&gt;0,75-(核心参数输入!$B$148+核心参数输入!$B$124)&lt;=120),IF(COUNT(INDEX($D$23:$DT$23,1,MAX(1,MIN(121,75-(核心参数输入!$B$148+核心参数输入!$B$124)+1))))=1,INDEX($D$23:$DT$23,1,MAX(1,MIN(121,75-(核心参数输入!$B$148+核心参数输入!$B$124)+1))),INDEX(核心参数输入!$D$89:$AH$89,1,INT((75-(核心参数输入!$B$148+核心参数输入!$B$124)-1)/4)+2)*INDEX(核心参数输入!$B$128:$B$131,MOD(75-(核心参数输入!$B$148+核心参数输入!$B$124)-1,4)+1)),0)),0)</f>
        <v>0</v>
      </c>
      <c r="CB124" s="22">
        <f>IF(76&lt;=核心参数输入!$B$9*4,IF(核心参数输入!$B$142=0,0,IF(AND(76-(核心参数输入!$B$148+核心参数输入!$B$124)&gt;0,76-(核心参数输入!$B$148+核心参数输入!$B$124)&lt;=120),IF(COUNT(INDEX($D$23:$DT$23,1,MAX(1,MIN(121,76-(核心参数输入!$B$148+核心参数输入!$B$124)+1))))=1,INDEX($D$23:$DT$23,1,MAX(1,MIN(121,76-(核心参数输入!$B$148+核心参数输入!$B$124)+1))),INDEX(核心参数输入!$D$89:$AH$89,1,INT((76-(核心参数输入!$B$148+核心参数输入!$B$124)-1)/4)+2)*INDEX(核心参数输入!$B$128:$B$131,MOD(76-(核心参数输入!$B$148+核心参数输入!$B$124)-1,4)+1)),0)),0)</f>
        <v>0</v>
      </c>
      <c r="CC124" s="22">
        <f>IF(77&lt;=核心参数输入!$B$9*4,IF(核心参数输入!$B$142=0,0,IF(AND(77-(核心参数输入!$B$148+核心参数输入!$B$124)&gt;0,77-(核心参数输入!$B$148+核心参数输入!$B$124)&lt;=120),IF(COUNT(INDEX($D$23:$DT$23,1,MAX(1,MIN(121,77-(核心参数输入!$B$148+核心参数输入!$B$124)+1))))=1,INDEX($D$23:$DT$23,1,MAX(1,MIN(121,77-(核心参数输入!$B$148+核心参数输入!$B$124)+1))),INDEX(核心参数输入!$D$89:$AH$89,1,INT((77-(核心参数输入!$B$148+核心参数输入!$B$124)-1)/4)+2)*INDEX(核心参数输入!$B$128:$B$131,MOD(77-(核心参数输入!$B$148+核心参数输入!$B$124)-1,4)+1)),0)),0)</f>
        <v>0</v>
      </c>
      <c r="CD124" s="22">
        <f>IF(78&lt;=核心参数输入!$B$9*4,IF(核心参数输入!$B$142=0,0,IF(AND(78-(核心参数输入!$B$148+核心参数输入!$B$124)&gt;0,78-(核心参数输入!$B$148+核心参数输入!$B$124)&lt;=120),IF(COUNT(INDEX($D$23:$DT$23,1,MAX(1,MIN(121,78-(核心参数输入!$B$148+核心参数输入!$B$124)+1))))=1,INDEX($D$23:$DT$23,1,MAX(1,MIN(121,78-(核心参数输入!$B$148+核心参数输入!$B$124)+1))),INDEX(核心参数输入!$D$89:$AH$89,1,INT((78-(核心参数输入!$B$148+核心参数输入!$B$124)-1)/4)+2)*INDEX(核心参数输入!$B$128:$B$131,MOD(78-(核心参数输入!$B$148+核心参数输入!$B$124)-1,4)+1)),0)),0)</f>
        <v>0</v>
      </c>
      <c r="CE124" s="22">
        <f>IF(79&lt;=核心参数输入!$B$9*4,IF(核心参数输入!$B$142=0,0,IF(AND(79-(核心参数输入!$B$148+核心参数输入!$B$124)&gt;0,79-(核心参数输入!$B$148+核心参数输入!$B$124)&lt;=120),IF(COUNT(INDEX($D$23:$DT$23,1,MAX(1,MIN(121,79-(核心参数输入!$B$148+核心参数输入!$B$124)+1))))=1,INDEX($D$23:$DT$23,1,MAX(1,MIN(121,79-(核心参数输入!$B$148+核心参数输入!$B$124)+1))),INDEX(核心参数输入!$D$89:$AH$89,1,INT((79-(核心参数输入!$B$148+核心参数输入!$B$124)-1)/4)+2)*INDEX(核心参数输入!$B$128:$B$131,MOD(79-(核心参数输入!$B$148+核心参数输入!$B$124)-1,4)+1)),0)),0)</f>
        <v>0</v>
      </c>
      <c r="CF124" s="22">
        <f>IF(80&lt;=核心参数输入!$B$9*4,IF(核心参数输入!$B$142=0,0,IF(AND(80-(核心参数输入!$B$148+核心参数输入!$B$124)&gt;0,80-(核心参数输入!$B$148+核心参数输入!$B$124)&lt;=120),IF(COUNT(INDEX($D$23:$DT$23,1,MAX(1,MIN(121,80-(核心参数输入!$B$148+核心参数输入!$B$124)+1))))=1,INDEX($D$23:$DT$23,1,MAX(1,MIN(121,80-(核心参数输入!$B$148+核心参数输入!$B$124)+1))),INDEX(核心参数输入!$D$89:$AH$89,1,INT((80-(核心参数输入!$B$148+核心参数输入!$B$124)-1)/4)+2)*INDEX(核心参数输入!$B$128:$B$131,MOD(80-(核心参数输入!$B$148+核心参数输入!$B$124)-1,4)+1)),0)),0)</f>
        <v>0</v>
      </c>
      <c r="CG124" s="22">
        <f>IF(81&lt;=核心参数输入!$B$9*4,IF(核心参数输入!$B$142=0,0,IF(AND(81-(核心参数输入!$B$148+核心参数输入!$B$124)&gt;0,81-(核心参数输入!$B$148+核心参数输入!$B$124)&lt;=120),IF(COUNT(INDEX($D$23:$DT$23,1,MAX(1,MIN(121,81-(核心参数输入!$B$148+核心参数输入!$B$124)+1))))=1,INDEX($D$23:$DT$23,1,MAX(1,MIN(121,81-(核心参数输入!$B$148+核心参数输入!$B$124)+1))),INDEX(核心参数输入!$D$89:$AH$89,1,INT((81-(核心参数输入!$B$148+核心参数输入!$B$124)-1)/4)+2)*INDEX(核心参数输入!$B$128:$B$131,MOD(81-(核心参数输入!$B$148+核心参数输入!$B$124)-1,4)+1)),0)),0)</f>
        <v>0</v>
      </c>
      <c r="CH124" s="22">
        <f>IF(82&lt;=核心参数输入!$B$9*4,IF(核心参数输入!$B$142=0,0,IF(AND(82-(核心参数输入!$B$148+核心参数输入!$B$124)&gt;0,82-(核心参数输入!$B$148+核心参数输入!$B$124)&lt;=120),IF(COUNT(INDEX($D$23:$DT$23,1,MAX(1,MIN(121,82-(核心参数输入!$B$148+核心参数输入!$B$124)+1))))=1,INDEX($D$23:$DT$23,1,MAX(1,MIN(121,82-(核心参数输入!$B$148+核心参数输入!$B$124)+1))),INDEX(核心参数输入!$D$89:$AH$89,1,INT((82-(核心参数输入!$B$148+核心参数输入!$B$124)-1)/4)+2)*INDEX(核心参数输入!$B$128:$B$131,MOD(82-(核心参数输入!$B$148+核心参数输入!$B$124)-1,4)+1)),0)),0)</f>
        <v>0</v>
      </c>
      <c r="CI124" s="22">
        <f>IF(83&lt;=核心参数输入!$B$9*4,IF(核心参数输入!$B$142=0,0,IF(AND(83-(核心参数输入!$B$148+核心参数输入!$B$124)&gt;0,83-(核心参数输入!$B$148+核心参数输入!$B$124)&lt;=120),IF(COUNT(INDEX($D$23:$DT$23,1,MAX(1,MIN(121,83-(核心参数输入!$B$148+核心参数输入!$B$124)+1))))=1,INDEX($D$23:$DT$23,1,MAX(1,MIN(121,83-(核心参数输入!$B$148+核心参数输入!$B$124)+1))),INDEX(核心参数输入!$D$89:$AH$89,1,INT((83-(核心参数输入!$B$148+核心参数输入!$B$124)-1)/4)+2)*INDEX(核心参数输入!$B$128:$B$131,MOD(83-(核心参数输入!$B$148+核心参数输入!$B$124)-1,4)+1)),0)),0)</f>
        <v>0</v>
      </c>
      <c r="CJ124" s="22">
        <f>IF(84&lt;=核心参数输入!$B$9*4,IF(核心参数输入!$B$142=0,0,IF(AND(84-(核心参数输入!$B$148+核心参数输入!$B$124)&gt;0,84-(核心参数输入!$B$148+核心参数输入!$B$124)&lt;=120),IF(COUNT(INDEX($D$23:$DT$23,1,MAX(1,MIN(121,84-(核心参数输入!$B$148+核心参数输入!$B$124)+1))))=1,INDEX($D$23:$DT$23,1,MAX(1,MIN(121,84-(核心参数输入!$B$148+核心参数输入!$B$124)+1))),INDEX(核心参数输入!$D$89:$AH$89,1,INT((84-(核心参数输入!$B$148+核心参数输入!$B$124)-1)/4)+2)*INDEX(核心参数输入!$B$128:$B$131,MOD(84-(核心参数输入!$B$148+核心参数输入!$B$124)-1,4)+1)),0)),0)</f>
        <v>0</v>
      </c>
      <c r="CK124" s="22">
        <f>IF(85&lt;=核心参数输入!$B$9*4,IF(核心参数输入!$B$142=0,0,IF(AND(85-(核心参数输入!$B$148+核心参数输入!$B$124)&gt;0,85-(核心参数输入!$B$148+核心参数输入!$B$124)&lt;=120),IF(COUNT(INDEX($D$23:$DT$23,1,MAX(1,MIN(121,85-(核心参数输入!$B$148+核心参数输入!$B$124)+1))))=1,INDEX($D$23:$DT$23,1,MAX(1,MIN(121,85-(核心参数输入!$B$148+核心参数输入!$B$124)+1))),INDEX(核心参数输入!$D$89:$AH$89,1,INT((85-(核心参数输入!$B$148+核心参数输入!$B$124)-1)/4)+2)*INDEX(核心参数输入!$B$128:$B$131,MOD(85-(核心参数输入!$B$148+核心参数输入!$B$124)-1,4)+1)),0)),0)</f>
        <v>0</v>
      </c>
      <c r="CL124" s="22">
        <f>IF(86&lt;=核心参数输入!$B$9*4,IF(核心参数输入!$B$142=0,0,IF(AND(86-(核心参数输入!$B$148+核心参数输入!$B$124)&gt;0,86-(核心参数输入!$B$148+核心参数输入!$B$124)&lt;=120),IF(COUNT(INDEX($D$23:$DT$23,1,MAX(1,MIN(121,86-(核心参数输入!$B$148+核心参数输入!$B$124)+1))))=1,INDEX($D$23:$DT$23,1,MAX(1,MIN(121,86-(核心参数输入!$B$148+核心参数输入!$B$124)+1))),INDEX(核心参数输入!$D$89:$AH$89,1,INT((86-(核心参数输入!$B$148+核心参数输入!$B$124)-1)/4)+2)*INDEX(核心参数输入!$B$128:$B$131,MOD(86-(核心参数输入!$B$148+核心参数输入!$B$124)-1,4)+1)),0)),0)</f>
        <v>0</v>
      </c>
      <c r="CM124" s="22">
        <f>IF(87&lt;=核心参数输入!$B$9*4,IF(核心参数输入!$B$142=0,0,IF(AND(87-(核心参数输入!$B$148+核心参数输入!$B$124)&gt;0,87-(核心参数输入!$B$148+核心参数输入!$B$124)&lt;=120),IF(COUNT(INDEX($D$23:$DT$23,1,MAX(1,MIN(121,87-(核心参数输入!$B$148+核心参数输入!$B$124)+1))))=1,INDEX($D$23:$DT$23,1,MAX(1,MIN(121,87-(核心参数输入!$B$148+核心参数输入!$B$124)+1))),INDEX(核心参数输入!$D$89:$AH$89,1,INT((87-(核心参数输入!$B$148+核心参数输入!$B$124)-1)/4)+2)*INDEX(核心参数输入!$B$128:$B$131,MOD(87-(核心参数输入!$B$148+核心参数输入!$B$124)-1,4)+1)),0)),0)</f>
        <v>0</v>
      </c>
      <c r="CN124" s="22">
        <f>IF(88&lt;=核心参数输入!$B$9*4,IF(核心参数输入!$B$142=0,0,IF(AND(88-(核心参数输入!$B$148+核心参数输入!$B$124)&gt;0,88-(核心参数输入!$B$148+核心参数输入!$B$124)&lt;=120),IF(COUNT(INDEX($D$23:$DT$23,1,MAX(1,MIN(121,88-(核心参数输入!$B$148+核心参数输入!$B$124)+1))))=1,INDEX($D$23:$DT$23,1,MAX(1,MIN(121,88-(核心参数输入!$B$148+核心参数输入!$B$124)+1))),INDEX(核心参数输入!$D$89:$AH$89,1,INT((88-(核心参数输入!$B$148+核心参数输入!$B$124)-1)/4)+2)*INDEX(核心参数输入!$B$128:$B$131,MOD(88-(核心参数输入!$B$148+核心参数输入!$B$124)-1,4)+1)),0)),0)</f>
        <v>0</v>
      </c>
      <c r="CO124" s="22">
        <f>IF(89&lt;=核心参数输入!$B$9*4,IF(核心参数输入!$B$142=0,0,IF(AND(89-(核心参数输入!$B$148+核心参数输入!$B$124)&gt;0,89-(核心参数输入!$B$148+核心参数输入!$B$124)&lt;=120),IF(COUNT(INDEX($D$23:$DT$23,1,MAX(1,MIN(121,89-(核心参数输入!$B$148+核心参数输入!$B$124)+1))))=1,INDEX($D$23:$DT$23,1,MAX(1,MIN(121,89-(核心参数输入!$B$148+核心参数输入!$B$124)+1))),INDEX(核心参数输入!$D$89:$AH$89,1,INT((89-(核心参数输入!$B$148+核心参数输入!$B$124)-1)/4)+2)*INDEX(核心参数输入!$B$128:$B$131,MOD(89-(核心参数输入!$B$148+核心参数输入!$B$124)-1,4)+1)),0)),0)</f>
        <v>0</v>
      </c>
      <c r="CP124" s="22">
        <f>IF(90&lt;=核心参数输入!$B$9*4,IF(核心参数输入!$B$142=0,0,IF(AND(90-(核心参数输入!$B$148+核心参数输入!$B$124)&gt;0,90-(核心参数输入!$B$148+核心参数输入!$B$124)&lt;=120),IF(COUNT(INDEX($D$23:$DT$23,1,MAX(1,MIN(121,90-(核心参数输入!$B$148+核心参数输入!$B$124)+1))))=1,INDEX($D$23:$DT$23,1,MAX(1,MIN(121,90-(核心参数输入!$B$148+核心参数输入!$B$124)+1))),INDEX(核心参数输入!$D$89:$AH$89,1,INT((90-(核心参数输入!$B$148+核心参数输入!$B$124)-1)/4)+2)*INDEX(核心参数输入!$B$128:$B$131,MOD(90-(核心参数输入!$B$148+核心参数输入!$B$124)-1,4)+1)),0)),0)</f>
        <v>0</v>
      </c>
      <c r="CQ124" s="22">
        <f>IF(91&lt;=核心参数输入!$B$9*4,IF(核心参数输入!$B$142=0,0,IF(AND(91-(核心参数输入!$B$148+核心参数输入!$B$124)&gt;0,91-(核心参数输入!$B$148+核心参数输入!$B$124)&lt;=120),IF(COUNT(INDEX($D$23:$DT$23,1,MAX(1,MIN(121,91-(核心参数输入!$B$148+核心参数输入!$B$124)+1))))=1,INDEX($D$23:$DT$23,1,MAX(1,MIN(121,91-(核心参数输入!$B$148+核心参数输入!$B$124)+1))),INDEX(核心参数输入!$D$89:$AH$89,1,INT((91-(核心参数输入!$B$148+核心参数输入!$B$124)-1)/4)+2)*INDEX(核心参数输入!$B$128:$B$131,MOD(91-(核心参数输入!$B$148+核心参数输入!$B$124)-1,4)+1)),0)),0)</f>
        <v>0</v>
      </c>
      <c r="CR124" s="22">
        <f>IF(92&lt;=核心参数输入!$B$9*4,IF(核心参数输入!$B$142=0,0,IF(AND(92-(核心参数输入!$B$148+核心参数输入!$B$124)&gt;0,92-(核心参数输入!$B$148+核心参数输入!$B$124)&lt;=120),IF(COUNT(INDEX($D$23:$DT$23,1,MAX(1,MIN(121,92-(核心参数输入!$B$148+核心参数输入!$B$124)+1))))=1,INDEX($D$23:$DT$23,1,MAX(1,MIN(121,92-(核心参数输入!$B$148+核心参数输入!$B$124)+1))),INDEX(核心参数输入!$D$89:$AH$89,1,INT((92-(核心参数输入!$B$148+核心参数输入!$B$124)-1)/4)+2)*INDEX(核心参数输入!$B$128:$B$131,MOD(92-(核心参数输入!$B$148+核心参数输入!$B$124)-1,4)+1)),0)),0)</f>
        <v>0</v>
      </c>
      <c r="CS124" s="22">
        <f>IF(93&lt;=核心参数输入!$B$9*4,IF(核心参数输入!$B$142=0,0,IF(AND(93-(核心参数输入!$B$148+核心参数输入!$B$124)&gt;0,93-(核心参数输入!$B$148+核心参数输入!$B$124)&lt;=120),IF(COUNT(INDEX($D$23:$DT$23,1,MAX(1,MIN(121,93-(核心参数输入!$B$148+核心参数输入!$B$124)+1))))=1,INDEX($D$23:$DT$23,1,MAX(1,MIN(121,93-(核心参数输入!$B$148+核心参数输入!$B$124)+1))),INDEX(核心参数输入!$D$89:$AH$89,1,INT((93-(核心参数输入!$B$148+核心参数输入!$B$124)-1)/4)+2)*INDEX(核心参数输入!$B$128:$B$131,MOD(93-(核心参数输入!$B$148+核心参数输入!$B$124)-1,4)+1)),0)),0)</f>
        <v>0</v>
      </c>
      <c r="CT124" s="22">
        <f>IF(94&lt;=核心参数输入!$B$9*4,IF(核心参数输入!$B$142=0,0,IF(AND(94-(核心参数输入!$B$148+核心参数输入!$B$124)&gt;0,94-(核心参数输入!$B$148+核心参数输入!$B$124)&lt;=120),IF(COUNT(INDEX($D$23:$DT$23,1,MAX(1,MIN(121,94-(核心参数输入!$B$148+核心参数输入!$B$124)+1))))=1,INDEX($D$23:$DT$23,1,MAX(1,MIN(121,94-(核心参数输入!$B$148+核心参数输入!$B$124)+1))),INDEX(核心参数输入!$D$89:$AH$89,1,INT((94-(核心参数输入!$B$148+核心参数输入!$B$124)-1)/4)+2)*INDEX(核心参数输入!$B$128:$B$131,MOD(94-(核心参数输入!$B$148+核心参数输入!$B$124)-1,4)+1)),0)),0)</f>
        <v>0</v>
      </c>
      <c r="CU124" s="22">
        <f>IF(95&lt;=核心参数输入!$B$9*4,IF(核心参数输入!$B$142=0,0,IF(AND(95-(核心参数输入!$B$148+核心参数输入!$B$124)&gt;0,95-(核心参数输入!$B$148+核心参数输入!$B$124)&lt;=120),IF(COUNT(INDEX($D$23:$DT$23,1,MAX(1,MIN(121,95-(核心参数输入!$B$148+核心参数输入!$B$124)+1))))=1,INDEX($D$23:$DT$23,1,MAX(1,MIN(121,95-(核心参数输入!$B$148+核心参数输入!$B$124)+1))),INDEX(核心参数输入!$D$89:$AH$89,1,INT((95-(核心参数输入!$B$148+核心参数输入!$B$124)-1)/4)+2)*INDEX(核心参数输入!$B$128:$B$131,MOD(95-(核心参数输入!$B$148+核心参数输入!$B$124)-1,4)+1)),0)),0)</f>
        <v>0</v>
      </c>
      <c r="CV124" s="22">
        <f>IF(96&lt;=核心参数输入!$B$9*4,IF(核心参数输入!$B$142=0,0,IF(AND(96-(核心参数输入!$B$148+核心参数输入!$B$124)&gt;0,96-(核心参数输入!$B$148+核心参数输入!$B$124)&lt;=120),IF(COUNT(INDEX($D$23:$DT$23,1,MAX(1,MIN(121,96-(核心参数输入!$B$148+核心参数输入!$B$124)+1))))=1,INDEX($D$23:$DT$23,1,MAX(1,MIN(121,96-(核心参数输入!$B$148+核心参数输入!$B$124)+1))),INDEX(核心参数输入!$D$89:$AH$89,1,INT((96-(核心参数输入!$B$148+核心参数输入!$B$124)-1)/4)+2)*INDEX(核心参数输入!$B$128:$B$131,MOD(96-(核心参数输入!$B$148+核心参数输入!$B$124)-1,4)+1)),0)),0)</f>
        <v>0</v>
      </c>
      <c r="CW124" s="22">
        <f>IF(97&lt;=核心参数输入!$B$9*4,IF(核心参数输入!$B$142=0,0,IF(AND(97-(核心参数输入!$B$148+核心参数输入!$B$124)&gt;0,97-(核心参数输入!$B$148+核心参数输入!$B$124)&lt;=120),IF(COUNT(INDEX($D$23:$DT$23,1,MAX(1,MIN(121,97-(核心参数输入!$B$148+核心参数输入!$B$124)+1))))=1,INDEX($D$23:$DT$23,1,MAX(1,MIN(121,97-(核心参数输入!$B$148+核心参数输入!$B$124)+1))),INDEX(核心参数输入!$D$89:$AH$89,1,INT((97-(核心参数输入!$B$148+核心参数输入!$B$124)-1)/4)+2)*INDEX(核心参数输入!$B$128:$B$131,MOD(97-(核心参数输入!$B$148+核心参数输入!$B$124)-1,4)+1)),0)),0)</f>
        <v>0</v>
      </c>
      <c r="CX124" s="22">
        <f>IF(98&lt;=核心参数输入!$B$9*4,IF(核心参数输入!$B$142=0,0,IF(AND(98-(核心参数输入!$B$148+核心参数输入!$B$124)&gt;0,98-(核心参数输入!$B$148+核心参数输入!$B$124)&lt;=120),IF(COUNT(INDEX($D$23:$DT$23,1,MAX(1,MIN(121,98-(核心参数输入!$B$148+核心参数输入!$B$124)+1))))=1,INDEX($D$23:$DT$23,1,MAX(1,MIN(121,98-(核心参数输入!$B$148+核心参数输入!$B$124)+1))),INDEX(核心参数输入!$D$89:$AH$89,1,INT((98-(核心参数输入!$B$148+核心参数输入!$B$124)-1)/4)+2)*INDEX(核心参数输入!$B$128:$B$131,MOD(98-(核心参数输入!$B$148+核心参数输入!$B$124)-1,4)+1)),0)),0)</f>
        <v>0</v>
      </c>
      <c r="CY124" s="22">
        <f>IF(99&lt;=核心参数输入!$B$9*4,IF(核心参数输入!$B$142=0,0,IF(AND(99-(核心参数输入!$B$148+核心参数输入!$B$124)&gt;0,99-(核心参数输入!$B$148+核心参数输入!$B$124)&lt;=120),IF(COUNT(INDEX($D$23:$DT$23,1,MAX(1,MIN(121,99-(核心参数输入!$B$148+核心参数输入!$B$124)+1))))=1,INDEX($D$23:$DT$23,1,MAX(1,MIN(121,99-(核心参数输入!$B$148+核心参数输入!$B$124)+1))),INDEX(核心参数输入!$D$89:$AH$89,1,INT((99-(核心参数输入!$B$148+核心参数输入!$B$124)-1)/4)+2)*INDEX(核心参数输入!$B$128:$B$131,MOD(99-(核心参数输入!$B$148+核心参数输入!$B$124)-1,4)+1)),0)),0)</f>
        <v>0</v>
      </c>
      <c r="CZ124" s="22">
        <f>IF(100&lt;=核心参数输入!$B$9*4,IF(核心参数输入!$B$142=0,0,IF(AND(100-(核心参数输入!$B$148+核心参数输入!$B$124)&gt;0,100-(核心参数输入!$B$148+核心参数输入!$B$124)&lt;=120),IF(COUNT(INDEX($D$23:$DT$23,1,MAX(1,MIN(121,100-(核心参数输入!$B$148+核心参数输入!$B$124)+1))))=1,INDEX($D$23:$DT$23,1,MAX(1,MIN(121,100-(核心参数输入!$B$148+核心参数输入!$B$124)+1))),INDEX(核心参数输入!$D$89:$AH$89,1,INT((100-(核心参数输入!$B$148+核心参数输入!$B$124)-1)/4)+2)*INDEX(核心参数输入!$B$128:$B$131,MOD(100-(核心参数输入!$B$148+核心参数输入!$B$124)-1,4)+1)),0)),0)</f>
        <v>0</v>
      </c>
      <c r="DA124" s="22">
        <f>IF(101&lt;=核心参数输入!$B$9*4,IF(核心参数输入!$B$142=0,0,IF(AND(101-(核心参数输入!$B$148+核心参数输入!$B$124)&gt;0,101-(核心参数输入!$B$148+核心参数输入!$B$124)&lt;=120),IF(COUNT(INDEX($D$23:$DT$23,1,MAX(1,MIN(121,101-(核心参数输入!$B$148+核心参数输入!$B$124)+1))))=1,INDEX($D$23:$DT$23,1,MAX(1,MIN(121,101-(核心参数输入!$B$148+核心参数输入!$B$124)+1))),INDEX(核心参数输入!$D$89:$AH$89,1,INT((101-(核心参数输入!$B$148+核心参数输入!$B$124)-1)/4)+2)*INDEX(核心参数输入!$B$128:$B$131,MOD(101-(核心参数输入!$B$148+核心参数输入!$B$124)-1,4)+1)),0)),0)</f>
        <v>0</v>
      </c>
      <c r="DB124" s="22">
        <f>IF(102&lt;=核心参数输入!$B$9*4,IF(核心参数输入!$B$142=0,0,IF(AND(102-(核心参数输入!$B$148+核心参数输入!$B$124)&gt;0,102-(核心参数输入!$B$148+核心参数输入!$B$124)&lt;=120),IF(COUNT(INDEX($D$23:$DT$23,1,MAX(1,MIN(121,102-(核心参数输入!$B$148+核心参数输入!$B$124)+1))))=1,INDEX($D$23:$DT$23,1,MAX(1,MIN(121,102-(核心参数输入!$B$148+核心参数输入!$B$124)+1))),INDEX(核心参数输入!$D$89:$AH$89,1,INT((102-(核心参数输入!$B$148+核心参数输入!$B$124)-1)/4)+2)*INDEX(核心参数输入!$B$128:$B$131,MOD(102-(核心参数输入!$B$148+核心参数输入!$B$124)-1,4)+1)),0)),0)</f>
        <v>0</v>
      </c>
      <c r="DC124" s="22">
        <f>IF(103&lt;=核心参数输入!$B$9*4,IF(核心参数输入!$B$142=0,0,IF(AND(103-(核心参数输入!$B$148+核心参数输入!$B$124)&gt;0,103-(核心参数输入!$B$148+核心参数输入!$B$124)&lt;=120),IF(COUNT(INDEX($D$23:$DT$23,1,MAX(1,MIN(121,103-(核心参数输入!$B$148+核心参数输入!$B$124)+1))))=1,INDEX($D$23:$DT$23,1,MAX(1,MIN(121,103-(核心参数输入!$B$148+核心参数输入!$B$124)+1))),INDEX(核心参数输入!$D$89:$AH$89,1,INT((103-(核心参数输入!$B$148+核心参数输入!$B$124)-1)/4)+2)*INDEX(核心参数输入!$B$128:$B$131,MOD(103-(核心参数输入!$B$148+核心参数输入!$B$124)-1,4)+1)),0)),0)</f>
        <v>0</v>
      </c>
      <c r="DD124" s="22">
        <f>IF(104&lt;=核心参数输入!$B$9*4,IF(核心参数输入!$B$142=0,0,IF(AND(104-(核心参数输入!$B$148+核心参数输入!$B$124)&gt;0,104-(核心参数输入!$B$148+核心参数输入!$B$124)&lt;=120),IF(COUNT(INDEX($D$23:$DT$23,1,MAX(1,MIN(121,104-(核心参数输入!$B$148+核心参数输入!$B$124)+1))))=1,INDEX($D$23:$DT$23,1,MAX(1,MIN(121,104-(核心参数输入!$B$148+核心参数输入!$B$124)+1))),INDEX(核心参数输入!$D$89:$AH$89,1,INT((104-(核心参数输入!$B$148+核心参数输入!$B$124)-1)/4)+2)*INDEX(核心参数输入!$B$128:$B$131,MOD(104-(核心参数输入!$B$148+核心参数输入!$B$124)-1,4)+1)),0)),0)</f>
        <v>0</v>
      </c>
      <c r="DE124" s="22">
        <f>IF(105&lt;=核心参数输入!$B$9*4,IF(核心参数输入!$B$142=0,0,IF(AND(105-(核心参数输入!$B$148+核心参数输入!$B$124)&gt;0,105-(核心参数输入!$B$148+核心参数输入!$B$124)&lt;=120),IF(COUNT(INDEX($D$23:$DT$23,1,MAX(1,MIN(121,105-(核心参数输入!$B$148+核心参数输入!$B$124)+1))))=1,INDEX($D$23:$DT$23,1,MAX(1,MIN(121,105-(核心参数输入!$B$148+核心参数输入!$B$124)+1))),INDEX(核心参数输入!$D$89:$AH$89,1,INT((105-(核心参数输入!$B$148+核心参数输入!$B$124)-1)/4)+2)*INDEX(核心参数输入!$B$128:$B$131,MOD(105-(核心参数输入!$B$148+核心参数输入!$B$124)-1,4)+1)),0)),0)</f>
        <v>0</v>
      </c>
      <c r="DF124" s="22">
        <f>IF(106&lt;=核心参数输入!$B$9*4,IF(核心参数输入!$B$142=0,0,IF(AND(106-(核心参数输入!$B$148+核心参数输入!$B$124)&gt;0,106-(核心参数输入!$B$148+核心参数输入!$B$124)&lt;=120),IF(COUNT(INDEX($D$23:$DT$23,1,MAX(1,MIN(121,106-(核心参数输入!$B$148+核心参数输入!$B$124)+1))))=1,INDEX($D$23:$DT$23,1,MAX(1,MIN(121,106-(核心参数输入!$B$148+核心参数输入!$B$124)+1))),INDEX(核心参数输入!$D$89:$AH$89,1,INT((106-(核心参数输入!$B$148+核心参数输入!$B$124)-1)/4)+2)*INDEX(核心参数输入!$B$128:$B$131,MOD(106-(核心参数输入!$B$148+核心参数输入!$B$124)-1,4)+1)),0)),0)</f>
        <v>0</v>
      </c>
      <c r="DG124" s="22">
        <f>IF(107&lt;=核心参数输入!$B$9*4,IF(核心参数输入!$B$142=0,0,IF(AND(107-(核心参数输入!$B$148+核心参数输入!$B$124)&gt;0,107-(核心参数输入!$B$148+核心参数输入!$B$124)&lt;=120),IF(COUNT(INDEX($D$23:$DT$23,1,MAX(1,MIN(121,107-(核心参数输入!$B$148+核心参数输入!$B$124)+1))))=1,INDEX($D$23:$DT$23,1,MAX(1,MIN(121,107-(核心参数输入!$B$148+核心参数输入!$B$124)+1))),INDEX(核心参数输入!$D$89:$AH$89,1,INT((107-(核心参数输入!$B$148+核心参数输入!$B$124)-1)/4)+2)*INDEX(核心参数输入!$B$128:$B$131,MOD(107-(核心参数输入!$B$148+核心参数输入!$B$124)-1,4)+1)),0)),0)</f>
        <v>0</v>
      </c>
      <c r="DH124" s="22">
        <f>IF(108&lt;=核心参数输入!$B$9*4,IF(核心参数输入!$B$142=0,0,IF(AND(108-(核心参数输入!$B$148+核心参数输入!$B$124)&gt;0,108-(核心参数输入!$B$148+核心参数输入!$B$124)&lt;=120),IF(COUNT(INDEX($D$23:$DT$23,1,MAX(1,MIN(121,108-(核心参数输入!$B$148+核心参数输入!$B$124)+1))))=1,INDEX($D$23:$DT$23,1,MAX(1,MIN(121,108-(核心参数输入!$B$148+核心参数输入!$B$124)+1))),INDEX(核心参数输入!$D$89:$AH$89,1,INT((108-(核心参数输入!$B$148+核心参数输入!$B$124)-1)/4)+2)*INDEX(核心参数输入!$B$128:$B$131,MOD(108-(核心参数输入!$B$148+核心参数输入!$B$124)-1,4)+1)),0)),0)</f>
        <v>0</v>
      </c>
      <c r="DI124" s="22">
        <f>IF(109&lt;=核心参数输入!$B$9*4,IF(核心参数输入!$B$142=0,0,IF(AND(109-(核心参数输入!$B$148+核心参数输入!$B$124)&gt;0,109-(核心参数输入!$B$148+核心参数输入!$B$124)&lt;=120),IF(COUNT(INDEX($D$23:$DT$23,1,MAX(1,MIN(121,109-(核心参数输入!$B$148+核心参数输入!$B$124)+1))))=1,INDEX($D$23:$DT$23,1,MAX(1,MIN(121,109-(核心参数输入!$B$148+核心参数输入!$B$124)+1))),INDEX(核心参数输入!$D$89:$AH$89,1,INT((109-(核心参数输入!$B$148+核心参数输入!$B$124)-1)/4)+2)*INDEX(核心参数输入!$B$128:$B$131,MOD(109-(核心参数输入!$B$148+核心参数输入!$B$124)-1,4)+1)),0)),0)</f>
        <v>0</v>
      </c>
      <c r="DJ124" s="22">
        <f>IF(110&lt;=核心参数输入!$B$9*4,IF(核心参数输入!$B$142=0,0,IF(AND(110-(核心参数输入!$B$148+核心参数输入!$B$124)&gt;0,110-(核心参数输入!$B$148+核心参数输入!$B$124)&lt;=120),IF(COUNT(INDEX($D$23:$DT$23,1,MAX(1,MIN(121,110-(核心参数输入!$B$148+核心参数输入!$B$124)+1))))=1,INDEX($D$23:$DT$23,1,MAX(1,MIN(121,110-(核心参数输入!$B$148+核心参数输入!$B$124)+1))),INDEX(核心参数输入!$D$89:$AH$89,1,INT((110-(核心参数输入!$B$148+核心参数输入!$B$124)-1)/4)+2)*INDEX(核心参数输入!$B$128:$B$131,MOD(110-(核心参数输入!$B$148+核心参数输入!$B$124)-1,4)+1)),0)),0)</f>
        <v>0</v>
      </c>
      <c r="DK124" s="22">
        <f>IF(111&lt;=核心参数输入!$B$9*4,IF(核心参数输入!$B$142=0,0,IF(AND(111-(核心参数输入!$B$148+核心参数输入!$B$124)&gt;0,111-(核心参数输入!$B$148+核心参数输入!$B$124)&lt;=120),IF(COUNT(INDEX($D$23:$DT$23,1,MAX(1,MIN(121,111-(核心参数输入!$B$148+核心参数输入!$B$124)+1))))=1,INDEX($D$23:$DT$23,1,MAX(1,MIN(121,111-(核心参数输入!$B$148+核心参数输入!$B$124)+1))),INDEX(核心参数输入!$D$89:$AH$89,1,INT((111-(核心参数输入!$B$148+核心参数输入!$B$124)-1)/4)+2)*INDEX(核心参数输入!$B$128:$B$131,MOD(111-(核心参数输入!$B$148+核心参数输入!$B$124)-1,4)+1)),0)),0)</f>
        <v>0</v>
      </c>
      <c r="DL124" s="22">
        <f>IF(112&lt;=核心参数输入!$B$9*4,IF(核心参数输入!$B$142=0,0,IF(AND(112-(核心参数输入!$B$148+核心参数输入!$B$124)&gt;0,112-(核心参数输入!$B$148+核心参数输入!$B$124)&lt;=120),IF(COUNT(INDEX($D$23:$DT$23,1,MAX(1,MIN(121,112-(核心参数输入!$B$148+核心参数输入!$B$124)+1))))=1,INDEX($D$23:$DT$23,1,MAX(1,MIN(121,112-(核心参数输入!$B$148+核心参数输入!$B$124)+1))),INDEX(核心参数输入!$D$89:$AH$89,1,INT((112-(核心参数输入!$B$148+核心参数输入!$B$124)-1)/4)+2)*INDEX(核心参数输入!$B$128:$B$131,MOD(112-(核心参数输入!$B$148+核心参数输入!$B$124)-1,4)+1)),0)),0)</f>
        <v>0</v>
      </c>
      <c r="DM124" s="22">
        <f>IF(113&lt;=核心参数输入!$B$9*4,IF(核心参数输入!$B$142=0,0,IF(AND(113-(核心参数输入!$B$148+核心参数输入!$B$124)&gt;0,113-(核心参数输入!$B$148+核心参数输入!$B$124)&lt;=120),IF(COUNT(INDEX($D$23:$DT$23,1,MAX(1,MIN(121,113-(核心参数输入!$B$148+核心参数输入!$B$124)+1))))=1,INDEX($D$23:$DT$23,1,MAX(1,MIN(121,113-(核心参数输入!$B$148+核心参数输入!$B$124)+1))),INDEX(核心参数输入!$D$89:$AH$89,1,INT((113-(核心参数输入!$B$148+核心参数输入!$B$124)-1)/4)+2)*INDEX(核心参数输入!$B$128:$B$131,MOD(113-(核心参数输入!$B$148+核心参数输入!$B$124)-1,4)+1)),0)),0)</f>
        <v>0</v>
      </c>
      <c r="DN124" s="22">
        <f>IF(114&lt;=核心参数输入!$B$9*4,IF(核心参数输入!$B$142=0,0,IF(AND(114-(核心参数输入!$B$148+核心参数输入!$B$124)&gt;0,114-(核心参数输入!$B$148+核心参数输入!$B$124)&lt;=120),IF(COUNT(INDEX($D$23:$DT$23,1,MAX(1,MIN(121,114-(核心参数输入!$B$148+核心参数输入!$B$124)+1))))=1,INDEX($D$23:$DT$23,1,MAX(1,MIN(121,114-(核心参数输入!$B$148+核心参数输入!$B$124)+1))),INDEX(核心参数输入!$D$89:$AH$89,1,INT((114-(核心参数输入!$B$148+核心参数输入!$B$124)-1)/4)+2)*INDEX(核心参数输入!$B$128:$B$131,MOD(114-(核心参数输入!$B$148+核心参数输入!$B$124)-1,4)+1)),0)),0)</f>
        <v>0</v>
      </c>
      <c r="DO124" s="22">
        <f>IF(115&lt;=核心参数输入!$B$9*4,IF(核心参数输入!$B$142=0,0,IF(AND(115-(核心参数输入!$B$148+核心参数输入!$B$124)&gt;0,115-(核心参数输入!$B$148+核心参数输入!$B$124)&lt;=120),IF(COUNT(INDEX($D$23:$DT$23,1,MAX(1,MIN(121,115-(核心参数输入!$B$148+核心参数输入!$B$124)+1))))=1,INDEX($D$23:$DT$23,1,MAX(1,MIN(121,115-(核心参数输入!$B$148+核心参数输入!$B$124)+1))),INDEX(核心参数输入!$D$89:$AH$89,1,INT((115-(核心参数输入!$B$148+核心参数输入!$B$124)-1)/4)+2)*INDEX(核心参数输入!$B$128:$B$131,MOD(115-(核心参数输入!$B$148+核心参数输入!$B$124)-1,4)+1)),0)),0)</f>
        <v>0</v>
      </c>
      <c r="DP124" s="22">
        <f>IF(116&lt;=核心参数输入!$B$9*4,IF(核心参数输入!$B$142=0,0,IF(AND(116-(核心参数输入!$B$148+核心参数输入!$B$124)&gt;0,116-(核心参数输入!$B$148+核心参数输入!$B$124)&lt;=120),IF(COUNT(INDEX($D$23:$DT$23,1,MAX(1,MIN(121,116-(核心参数输入!$B$148+核心参数输入!$B$124)+1))))=1,INDEX($D$23:$DT$23,1,MAX(1,MIN(121,116-(核心参数输入!$B$148+核心参数输入!$B$124)+1))),INDEX(核心参数输入!$D$89:$AH$89,1,INT((116-(核心参数输入!$B$148+核心参数输入!$B$124)-1)/4)+2)*INDEX(核心参数输入!$B$128:$B$131,MOD(116-(核心参数输入!$B$148+核心参数输入!$B$124)-1,4)+1)),0)),0)</f>
        <v>0</v>
      </c>
      <c r="DQ124" s="22">
        <f>IF(117&lt;=核心参数输入!$B$9*4,IF(核心参数输入!$B$142=0,0,IF(AND(117-(核心参数输入!$B$148+核心参数输入!$B$124)&gt;0,117-(核心参数输入!$B$148+核心参数输入!$B$124)&lt;=120),IF(COUNT(INDEX($D$23:$DT$23,1,MAX(1,MIN(121,117-(核心参数输入!$B$148+核心参数输入!$B$124)+1))))=1,INDEX($D$23:$DT$23,1,MAX(1,MIN(121,117-(核心参数输入!$B$148+核心参数输入!$B$124)+1))),INDEX(核心参数输入!$D$89:$AH$89,1,INT((117-(核心参数输入!$B$148+核心参数输入!$B$124)-1)/4)+2)*INDEX(核心参数输入!$B$128:$B$131,MOD(117-(核心参数输入!$B$148+核心参数输入!$B$124)-1,4)+1)),0)),0)</f>
        <v>0</v>
      </c>
      <c r="DR124" s="22">
        <f>IF(118&lt;=核心参数输入!$B$9*4,IF(核心参数输入!$B$142=0,0,IF(AND(118-(核心参数输入!$B$148+核心参数输入!$B$124)&gt;0,118-(核心参数输入!$B$148+核心参数输入!$B$124)&lt;=120),IF(COUNT(INDEX($D$23:$DT$23,1,MAX(1,MIN(121,118-(核心参数输入!$B$148+核心参数输入!$B$124)+1))))=1,INDEX($D$23:$DT$23,1,MAX(1,MIN(121,118-(核心参数输入!$B$148+核心参数输入!$B$124)+1))),INDEX(核心参数输入!$D$89:$AH$89,1,INT((118-(核心参数输入!$B$148+核心参数输入!$B$124)-1)/4)+2)*INDEX(核心参数输入!$B$128:$B$131,MOD(118-(核心参数输入!$B$148+核心参数输入!$B$124)-1,4)+1)),0)),0)</f>
        <v>0</v>
      </c>
      <c r="DS124" s="22">
        <f>IF(119&lt;=核心参数输入!$B$9*4,IF(核心参数输入!$B$142=0,0,IF(AND(119-(核心参数输入!$B$148+核心参数输入!$B$124)&gt;0,119-(核心参数输入!$B$148+核心参数输入!$B$124)&lt;=120),IF(COUNT(INDEX($D$23:$DT$23,1,MAX(1,MIN(121,119-(核心参数输入!$B$148+核心参数输入!$B$124)+1))))=1,INDEX($D$23:$DT$23,1,MAX(1,MIN(121,119-(核心参数输入!$B$148+核心参数输入!$B$124)+1))),INDEX(核心参数输入!$D$89:$AH$89,1,INT((119-(核心参数输入!$B$148+核心参数输入!$B$124)-1)/4)+2)*INDEX(核心参数输入!$B$128:$B$131,MOD(119-(核心参数输入!$B$148+核心参数输入!$B$124)-1,4)+1)),0)),0)</f>
        <v>0</v>
      </c>
      <c r="DT124" s="22">
        <f>IF(120&lt;=核心参数输入!$B$9*4,IF(核心参数输入!$B$142=0,0,IF(AND(120-(核心参数输入!$B$148+核心参数输入!$B$124)&gt;0,120-(核心参数输入!$B$148+核心参数输入!$B$124)&lt;=120),IF(COUNT(INDEX($D$23:$DT$23,1,MAX(1,MIN(121,120-(核心参数输入!$B$148+核心参数输入!$B$124)+1))))=1,INDEX($D$23:$DT$23,1,MAX(1,MIN(121,120-(核心参数输入!$B$148+核心参数输入!$B$124)+1))),INDEX(核心参数输入!$D$89:$AH$89,1,INT((120-(核心参数输入!$B$148+核心参数输入!$B$124)-1)/4)+2)*INDEX(核心参数输入!$B$128:$B$131,MOD(120-(核心参数输入!$B$148+核心参数输入!$B$124)-1,4)+1)),0)),0)</f>
        <v>0</v>
      </c>
    </row>
    <row r="125" spans="1:124" ht="21" customHeight="1">
      <c r="A125" s="8" t="s">
        <v>627</v>
      </c>
      <c r="B125" s="8" t="s">
        <v>38</v>
      </c>
      <c r="C125" s="8"/>
      <c r="D125" s="22">
        <f>IF(0&lt;=核心参数输入!$B$9*4,IF(AND(0-核心参数输入!$B$126&gt;=0,0-核心参数输入!$B$126&lt;=120),INDEX(季度计划!$D$124:$DT$124,1,MAX(1,MIN(121,0-核心参数输入!$B$126+1))),0),0)</f>
        <v>0</v>
      </c>
      <c r="E125" s="22">
        <f>IF(1&lt;=核心参数输入!$B$9*4,IF(AND(1-核心参数输入!$B$126&gt;=0,1-核心参数输入!$B$126&lt;=120),INDEX(季度计划!$D$124:$DT$124,1,MAX(1,MIN(121,1-核心参数输入!$B$126+1))),0),0)</f>
        <v>0</v>
      </c>
      <c r="F125" s="22">
        <f>IF(2&lt;=核心参数输入!$B$9*4,IF(AND(2-核心参数输入!$B$126&gt;=0,2-核心参数输入!$B$126&lt;=120),INDEX(季度计划!$D$124:$DT$124,1,MAX(1,MIN(121,2-核心参数输入!$B$126+1))),0),0)</f>
        <v>0</v>
      </c>
      <c r="G125" s="22">
        <f>IF(3&lt;=核心参数输入!$B$9*4,IF(AND(3-核心参数输入!$B$126&gt;=0,3-核心参数输入!$B$126&lt;=120),INDEX(季度计划!$D$124:$DT$124,1,MAX(1,MIN(121,3-核心参数输入!$B$126+1))),0),0)</f>
        <v>0</v>
      </c>
      <c r="H125" s="22">
        <f>IF(4&lt;=核心参数输入!$B$9*4,IF(AND(4-核心参数输入!$B$126&gt;=0,4-核心参数输入!$B$126&lt;=120),INDEX(季度计划!$D$124:$DT$124,1,MAX(1,MIN(121,4-核心参数输入!$B$126+1))),0),0)</f>
        <v>0</v>
      </c>
      <c r="I125" s="22">
        <f>IF(5&lt;=核心参数输入!$B$9*4,IF(AND(5-核心参数输入!$B$126&gt;=0,5-核心参数输入!$B$126&lt;=120),INDEX(季度计划!$D$124:$DT$124,1,MAX(1,MIN(121,5-核心参数输入!$B$126+1))),0),0)</f>
        <v>0</v>
      </c>
      <c r="J125" s="22">
        <f>IF(6&lt;=核心参数输入!$B$9*4,IF(AND(6-核心参数输入!$B$126&gt;=0,6-核心参数输入!$B$126&lt;=120),INDEX(季度计划!$D$124:$DT$124,1,MAX(1,MIN(121,6-核心参数输入!$B$126+1))),0),0)</f>
        <v>0</v>
      </c>
      <c r="K125" s="22">
        <f>IF(7&lt;=核心参数输入!$B$9*4,IF(AND(7-核心参数输入!$B$126&gt;=0,7-核心参数输入!$B$126&lt;=120),INDEX(季度计划!$D$124:$DT$124,1,MAX(1,MIN(121,7-核心参数输入!$B$126+1))),0),0)</f>
        <v>0</v>
      </c>
      <c r="L125" s="22">
        <f>IF(8&lt;=核心参数输入!$B$9*4,IF(AND(8-核心参数输入!$B$126&gt;=0,8-核心参数输入!$B$126&lt;=120),INDEX(季度计划!$D$124:$DT$124,1,MAX(1,MIN(121,8-核心参数输入!$B$126+1))),0),0)</f>
        <v>0</v>
      </c>
      <c r="M125" s="22">
        <f>IF(9&lt;=核心参数输入!$B$9*4,IF(AND(9-核心参数输入!$B$126&gt;=0,9-核心参数输入!$B$126&lt;=120),INDEX(季度计划!$D$124:$DT$124,1,MAX(1,MIN(121,9-核心参数输入!$B$126+1))),0),0)</f>
        <v>0</v>
      </c>
      <c r="N125" s="22">
        <f>IF(10&lt;=核心参数输入!$B$9*4,IF(AND(10-核心参数输入!$B$126&gt;=0,10-核心参数输入!$B$126&lt;=120),INDEX(季度计划!$D$124:$DT$124,1,MAX(1,MIN(121,10-核心参数输入!$B$126+1))),0),0)</f>
        <v>0</v>
      </c>
      <c r="O125" s="22">
        <f>IF(11&lt;=核心参数输入!$B$9*4,IF(AND(11-核心参数输入!$B$126&gt;=0,11-核心参数输入!$B$126&lt;=120),INDEX(季度计划!$D$124:$DT$124,1,MAX(1,MIN(121,11-核心参数输入!$B$126+1))),0),0)</f>
        <v>0</v>
      </c>
      <c r="P125" s="22">
        <f>IF(12&lt;=核心参数输入!$B$9*4,IF(AND(12-核心参数输入!$B$126&gt;=0,12-核心参数输入!$B$126&lt;=120),INDEX(季度计划!$D$124:$DT$124,1,MAX(1,MIN(121,12-核心参数输入!$B$126+1))),0),0)</f>
        <v>0</v>
      </c>
      <c r="Q125" s="22">
        <f>IF(13&lt;=核心参数输入!$B$9*4,IF(AND(13-核心参数输入!$B$126&gt;=0,13-核心参数输入!$B$126&lt;=120),INDEX(季度计划!$D$124:$DT$124,1,MAX(1,MIN(121,13-核心参数输入!$B$126+1))),0),0)</f>
        <v>7.4999999999999997E-2</v>
      </c>
      <c r="R125" s="22">
        <f>IF(14&lt;=核心参数输入!$B$9*4,IF(AND(14-核心参数输入!$B$126&gt;=0,14-核心参数输入!$B$126&lt;=120),INDEX(季度计划!$D$124:$DT$124,1,MAX(1,MIN(121,14-核心参数输入!$B$126+1))),0),0)</f>
        <v>7.4999999999999997E-2</v>
      </c>
      <c r="S125" s="22">
        <f>IF(15&lt;=核心参数输入!$B$9*4,IF(AND(15-核心参数输入!$B$126&gt;=0,15-核心参数输入!$B$126&lt;=120),INDEX(季度计划!$D$124:$DT$124,1,MAX(1,MIN(121,15-核心参数输入!$B$126+1))),0),0)</f>
        <v>7.4999999999999997E-2</v>
      </c>
      <c r="T125" s="22">
        <f>IF(16&lt;=核心参数输入!$B$9*4,IF(AND(16-核心参数输入!$B$126&gt;=0,16-核心参数输入!$B$126&lt;=120),INDEX(季度计划!$D$124:$DT$124,1,MAX(1,MIN(121,16-核心参数输入!$B$126+1))),0),0)</f>
        <v>7.4999999999999997E-2</v>
      </c>
      <c r="U125" s="22">
        <f>IF(17&lt;=核心参数输入!$B$9*4,IF(AND(17-核心参数输入!$B$126&gt;=0,17-核心参数输入!$B$126&lt;=120),INDEX(季度计划!$D$124:$DT$124,1,MAX(1,MIN(121,17-核心参数输入!$B$126+1))),0),0)</f>
        <v>0.1</v>
      </c>
      <c r="V125" s="22">
        <f>IF(18&lt;=核心参数输入!$B$9*4,IF(AND(18-核心参数输入!$B$126&gt;=0,18-核心参数输入!$B$126&lt;=120),INDEX(季度计划!$D$124:$DT$124,1,MAX(1,MIN(121,18-核心参数输入!$B$126+1))),0),0)</f>
        <v>0.1</v>
      </c>
      <c r="W125" s="22">
        <f>IF(19&lt;=核心参数输入!$B$9*4,IF(AND(19-核心参数输入!$B$126&gt;=0,19-核心参数输入!$B$126&lt;=120),INDEX(季度计划!$D$124:$DT$124,1,MAX(1,MIN(121,19-核心参数输入!$B$126+1))),0),0)</f>
        <v>0.1</v>
      </c>
      <c r="X125" s="22">
        <f>IF(20&lt;=核心参数输入!$B$9*4,IF(AND(20-核心参数输入!$B$126&gt;=0,20-核心参数输入!$B$126&lt;=120),INDEX(季度计划!$D$124:$DT$124,1,MAX(1,MIN(121,20-核心参数输入!$B$126+1))),0),0)</f>
        <v>0.1</v>
      </c>
      <c r="Y125" s="22">
        <f>IF(21&lt;=核心参数输入!$B$9*4,IF(AND(21-核心参数输入!$B$126&gt;=0,21-核心参数输入!$B$126&lt;=120),INDEX(季度计划!$D$124:$DT$124,1,MAX(1,MIN(121,21-核心参数输入!$B$126+1))),0),0)</f>
        <v>7.4999999999999997E-2</v>
      </c>
      <c r="Z125" s="22">
        <f>IF(22&lt;=核心参数输入!$B$9*4,IF(AND(22-核心参数输入!$B$126&gt;=0,22-核心参数输入!$B$126&lt;=120),INDEX(季度计划!$D$124:$DT$124,1,MAX(1,MIN(121,22-核心参数输入!$B$126+1))),0),0)</f>
        <v>7.4999999999999997E-2</v>
      </c>
      <c r="AA125" s="22">
        <f>IF(23&lt;=核心参数输入!$B$9*4,IF(AND(23-核心参数输入!$B$126&gt;=0,23-核心参数输入!$B$126&lt;=120),INDEX(季度计划!$D$124:$DT$124,1,MAX(1,MIN(121,23-核心参数输入!$B$126+1))),0),0)</f>
        <v>7.4999999999999997E-2</v>
      </c>
      <c r="AB125" s="22">
        <f>IF(24&lt;=核心参数输入!$B$9*4,IF(AND(24-核心参数输入!$B$126&gt;=0,24-核心参数输入!$B$126&lt;=120),INDEX(季度计划!$D$124:$DT$124,1,MAX(1,MIN(121,24-核心参数输入!$B$126+1))),0),0)</f>
        <v>7.4999999999999997E-2</v>
      </c>
      <c r="AC125" s="22">
        <f>IF(25&lt;=核心参数输入!$B$9*4,IF(AND(25-核心参数输入!$B$126&gt;=0,25-核心参数输入!$B$126&lt;=120),INDEX(季度计划!$D$124:$DT$124,1,MAX(1,MIN(121,25-核心参数输入!$B$126+1))),0),0)</f>
        <v>0</v>
      </c>
      <c r="AD125" s="22">
        <f>IF(26&lt;=核心参数输入!$B$9*4,IF(AND(26-核心参数输入!$B$126&gt;=0,26-核心参数输入!$B$126&lt;=120),INDEX(季度计划!$D$124:$DT$124,1,MAX(1,MIN(121,26-核心参数输入!$B$126+1))),0),0)</f>
        <v>0</v>
      </c>
      <c r="AE125" s="22">
        <f>IF(27&lt;=核心参数输入!$B$9*4,IF(AND(27-核心参数输入!$B$126&gt;=0,27-核心参数输入!$B$126&lt;=120),INDEX(季度计划!$D$124:$DT$124,1,MAX(1,MIN(121,27-核心参数输入!$B$126+1))),0),0)</f>
        <v>0</v>
      </c>
      <c r="AF125" s="22">
        <f>IF(28&lt;=核心参数输入!$B$9*4,IF(AND(28-核心参数输入!$B$126&gt;=0,28-核心参数输入!$B$126&lt;=120),INDEX(季度计划!$D$124:$DT$124,1,MAX(1,MIN(121,28-核心参数输入!$B$126+1))),0),0)</f>
        <v>0</v>
      </c>
      <c r="AG125" s="22">
        <f>IF(29&lt;=核心参数输入!$B$9*4,IF(AND(29-核心参数输入!$B$126&gt;=0,29-核心参数输入!$B$126&lt;=120),INDEX(季度计划!$D$124:$DT$124,1,MAX(1,MIN(121,29-核心参数输入!$B$126+1))),0),0)</f>
        <v>0</v>
      </c>
      <c r="AH125" s="22">
        <f>IF(30&lt;=核心参数输入!$B$9*4,IF(AND(30-核心参数输入!$B$126&gt;=0,30-核心参数输入!$B$126&lt;=120),INDEX(季度计划!$D$124:$DT$124,1,MAX(1,MIN(121,30-核心参数输入!$B$126+1))),0),0)</f>
        <v>0</v>
      </c>
      <c r="AI125" s="22">
        <f>IF(31&lt;=核心参数输入!$B$9*4,IF(AND(31-核心参数输入!$B$126&gt;=0,31-核心参数输入!$B$126&lt;=120),INDEX(季度计划!$D$124:$DT$124,1,MAX(1,MIN(121,31-核心参数输入!$B$126+1))),0),0)</f>
        <v>0</v>
      </c>
      <c r="AJ125" s="22">
        <f>IF(32&lt;=核心参数输入!$B$9*4,IF(AND(32-核心参数输入!$B$126&gt;=0,32-核心参数输入!$B$126&lt;=120),INDEX(季度计划!$D$124:$DT$124,1,MAX(1,MIN(121,32-核心参数输入!$B$126+1))),0),0)</f>
        <v>0</v>
      </c>
      <c r="AK125" s="22">
        <f>IF(33&lt;=核心参数输入!$B$9*4,IF(AND(33-核心参数输入!$B$126&gt;=0,33-核心参数输入!$B$126&lt;=120),INDEX(季度计划!$D$124:$DT$124,1,MAX(1,MIN(121,33-核心参数输入!$B$126+1))),0),0)</f>
        <v>0</v>
      </c>
      <c r="AL125" s="22">
        <f>IF(34&lt;=核心参数输入!$B$9*4,IF(AND(34-核心参数输入!$B$126&gt;=0,34-核心参数输入!$B$126&lt;=120),INDEX(季度计划!$D$124:$DT$124,1,MAX(1,MIN(121,34-核心参数输入!$B$126+1))),0),0)</f>
        <v>0</v>
      </c>
      <c r="AM125" s="22">
        <f>IF(35&lt;=核心参数输入!$B$9*4,IF(AND(35-核心参数输入!$B$126&gt;=0,35-核心参数输入!$B$126&lt;=120),INDEX(季度计划!$D$124:$DT$124,1,MAX(1,MIN(121,35-核心参数输入!$B$126+1))),0),0)</f>
        <v>0</v>
      </c>
      <c r="AN125" s="22">
        <f>IF(36&lt;=核心参数输入!$B$9*4,IF(AND(36-核心参数输入!$B$126&gt;=0,36-核心参数输入!$B$126&lt;=120),INDEX(季度计划!$D$124:$DT$124,1,MAX(1,MIN(121,36-核心参数输入!$B$126+1))),0),0)</f>
        <v>0</v>
      </c>
      <c r="AO125" s="22">
        <f>IF(37&lt;=核心参数输入!$B$9*4,IF(AND(37-核心参数输入!$B$126&gt;=0,37-核心参数输入!$B$126&lt;=120),INDEX(季度计划!$D$124:$DT$124,1,MAX(1,MIN(121,37-核心参数输入!$B$126+1))),0),0)</f>
        <v>0</v>
      </c>
      <c r="AP125" s="22">
        <f>IF(38&lt;=核心参数输入!$B$9*4,IF(AND(38-核心参数输入!$B$126&gt;=0,38-核心参数输入!$B$126&lt;=120),INDEX(季度计划!$D$124:$DT$124,1,MAX(1,MIN(121,38-核心参数输入!$B$126+1))),0),0)</f>
        <v>0</v>
      </c>
      <c r="AQ125" s="22">
        <f>IF(39&lt;=核心参数输入!$B$9*4,IF(AND(39-核心参数输入!$B$126&gt;=0,39-核心参数输入!$B$126&lt;=120),INDEX(季度计划!$D$124:$DT$124,1,MAX(1,MIN(121,39-核心参数输入!$B$126+1))),0),0)</f>
        <v>0</v>
      </c>
      <c r="AR125" s="22">
        <f>IF(40&lt;=核心参数输入!$B$9*4,IF(AND(40-核心参数输入!$B$126&gt;=0,40-核心参数输入!$B$126&lt;=120),INDEX(季度计划!$D$124:$DT$124,1,MAX(1,MIN(121,40-核心参数输入!$B$126+1))),0),0)</f>
        <v>0</v>
      </c>
      <c r="AS125" s="22">
        <f>IF(41&lt;=核心参数输入!$B$9*4,IF(AND(41-核心参数输入!$B$126&gt;=0,41-核心参数输入!$B$126&lt;=120),INDEX(季度计划!$D$124:$DT$124,1,MAX(1,MIN(121,41-核心参数输入!$B$126+1))),0),0)</f>
        <v>0</v>
      </c>
      <c r="AT125" s="22">
        <f>IF(42&lt;=核心参数输入!$B$9*4,IF(AND(42-核心参数输入!$B$126&gt;=0,42-核心参数输入!$B$126&lt;=120),INDEX(季度计划!$D$124:$DT$124,1,MAX(1,MIN(121,42-核心参数输入!$B$126+1))),0),0)</f>
        <v>0</v>
      </c>
      <c r="AU125" s="22">
        <f>IF(43&lt;=核心参数输入!$B$9*4,IF(AND(43-核心参数输入!$B$126&gt;=0,43-核心参数输入!$B$126&lt;=120),INDEX(季度计划!$D$124:$DT$124,1,MAX(1,MIN(121,43-核心参数输入!$B$126+1))),0),0)</f>
        <v>0</v>
      </c>
      <c r="AV125" s="22">
        <f>IF(44&lt;=核心参数输入!$B$9*4,IF(AND(44-核心参数输入!$B$126&gt;=0,44-核心参数输入!$B$126&lt;=120),INDEX(季度计划!$D$124:$DT$124,1,MAX(1,MIN(121,44-核心参数输入!$B$126+1))),0),0)</f>
        <v>0</v>
      </c>
      <c r="AW125" s="22">
        <f>IF(45&lt;=核心参数输入!$B$9*4,IF(AND(45-核心参数输入!$B$126&gt;=0,45-核心参数输入!$B$126&lt;=120),INDEX(季度计划!$D$124:$DT$124,1,MAX(1,MIN(121,45-核心参数输入!$B$126+1))),0),0)</f>
        <v>0</v>
      </c>
      <c r="AX125" s="22">
        <f>IF(46&lt;=核心参数输入!$B$9*4,IF(AND(46-核心参数输入!$B$126&gt;=0,46-核心参数输入!$B$126&lt;=120),INDEX(季度计划!$D$124:$DT$124,1,MAX(1,MIN(121,46-核心参数输入!$B$126+1))),0),0)</f>
        <v>0</v>
      </c>
      <c r="AY125" s="22">
        <f>IF(47&lt;=核心参数输入!$B$9*4,IF(AND(47-核心参数输入!$B$126&gt;=0,47-核心参数输入!$B$126&lt;=120),INDEX(季度计划!$D$124:$DT$124,1,MAX(1,MIN(121,47-核心参数输入!$B$126+1))),0),0)</f>
        <v>0</v>
      </c>
      <c r="AZ125" s="22">
        <f>IF(48&lt;=核心参数输入!$B$9*4,IF(AND(48-核心参数输入!$B$126&gt;=0,48-核心参数输入!$B$126&lt;=120),INDEX(季度计划!$D$124:$DT$124,1,MAX(1,MIN(121,48-核心参数输入!$B$126+1))),0),0)</f>
        <v>0</v>
      </c>
      <c r="BA125" s="22">
        <f>IF(49&lt;=核心参数输入!$B$9*4,IF(AND(49-核心参数输入!$B$126&gt;=0,49-核心参数输入!$B$126&lt;=120),INDEX(季度计划!$D$124:$DT$124,1,MAX(1,MIN(121,49-核心参数输入!$B$126+1))),0),0)</f>
        <v>0</v>
      </c>
      <c r="BB125" s="22">
        <f>IF(50&lt;=核心参数输入!$B$9*4,IF(AND(50-核心参数输入!$B$126&gt;=0,50-核心参数输入!$B$126&lt;=120),INDEX(季度计划!$D$124:$DT$124,1,MAX(1,MIN(121,50-核心参数输入!$B$126+1))),0),0)</f>
        <v>0</v>
      </c>
      <c r="BC125" s="22">
        <f>IF(51&lt;=核心参数输入!$B$9*4,IF(AND(51-核心参数输入!$B$126&gt;=0,51-核心参数输入!$B$126&lt;=120),INDEX(季度计划!$D$124:$DT$124,1,MAX(1,MIN(121,51-核心参数输入!$B$126+1))),0),0)</f>
        <v>0</v>
      </c>
      <c r="BD125" s="22">
        <f>IF(52&lt;=核心参数输入!$B$9*4,IF(AND(52-核心参数输入!$B$126&gt;=0,52-核心参数输入!$B$126&lt;=120),INDEX(季度计划!$D$124:$DT$124,1,MAX(1,MIN(121,52-核心参数输入!$B$126+1))),0),0)</f>
        <v>0</v>
      </c>
      <c r="BE125" s="22">
        <f>IF(53&lt;=核心参数输入!$B$9*4,IF(AND(53-核心参数输入!$B$126&gt;=0,53-核心参数输入!$B$126&lt;=120),INDEX(季度计划!$D$124:$DT$124,1,MAX(1,MIN(121,53-核心参数输入!$B$126+1))),0),0)</f>
        <v>0</v>
      </c>
      <c r="BF125" s="22">
        <f>IF(54&lt;=核心参数输入!$B$9*4,IF(AND(54-核心参数输入!$B$126&gt;=0,54-核心参数输入!$B$126&lt;=120),INDEX(季度计划!$D$124:$DT$124,1,MAX(1,MIN(121,54-核心参数输入!$B$126+1))),0),0)</f>
        <v>0</v>
      </c>
      <c r="BG125" s="22">
        <f>IF(55&lt;=核心参数输入!$B$9*4,IF(AND(55-核心参数输入!$B$126&gt;=0,55-核心参数输入!$B$126&lt;=120),INDEX(季度计划!$D$124:$DT$124,1,MAX(1,MIN(121,55-核心参数输入!$B$126+1))),0),0)</f>
        <v>0</v>
      </c>
      <c r="BH125" s="22">
        <f>IF(56&lt;=核心参数输入!$B$9*4,IF(AND(56-核心参数输入!$B$126&gt;=0,56-核心参数输入!$B$126&lt;=120),INDEX(季度计划!$D$124:$DT$124,1,MAX(1,MIN(121,56-核心参数输入!$B$126+1))),0),0)</f>
        <v>0</v>
      </c>
      <c r="BI125" s="22">
        <f>IF(57&lt;=核心参数输入!$B$9*4,IF(AND(57-核心参数输入!$B$126&gt;=0,57-核心参数输入!$B$126&lt;=120),INDEX(季度计划!$D$124:$DT$124,1,MAX(1,MIN(121,57-核心参数输入!$B$126+1))),0),0)</f>
        <v>0</v>
      </c>
      <c r="BJ125" s="22">
        <f>IF(58&lt;=核心参数输入!$B$9*4,IF(AND(58-核心参数输入!$B$126&gt;=0,58-核心参数输入!$B$126&lt;=120),INDEX(季度计划!$D$124:$DT$124,1,MAX(1,MIN(121,58-核心参数输入!$B$126+1))),0),0)</f>
        <v>0</v>
      </c>
      <c r="BK125" s="22">
        <f>IF(59&lt;=核心参数输入!$B$9*4,IF(AND(59-核心参数输入!$B$126&gt;=0,59-核心参数输入!$B$126&lt;=120),INDEX(季度计划!$D$124:$DT$124,1,MAX(1,MIN(121,59-核心参数输入!$B$126+1))),0),0)</f>
        <v>0</v>
      </c>
      <c r="BL125" s="22">
        <f>IF(60&lt;=核心参数输入!$B$9*4,IF(AND(60-核心参数输入!$B$126&gt;=0,60-核心参数输入!$B$126&lt;=120),INDEX(季度计划!$D$124:$DT$124,1,MAX(1,MIN(121,60-核心参数输入!$B$126+1))),0),0)</f>
        <v>0</v>
      </c>
      <c r="BM125" s="22">
        <f>IF(61&lt;=核心参数输入!$B$9*4,IF(AND(61-核心参数输入!$B$126&gt;=0,61-核心参数输入!$B$126&lt;=120),INDEX(季度计划!$D$124:$DT$124,1,MAX(1,MIN(121,61-核心参数输入!$B$126+1))),0),0)</f>
        <v>0</v>
      </c>
      <c r="BN125" s="22">
        <f>IF(62&lt;=核心参数输入!$B$9*4,IF(AND(62-核心参数输入!$B$126&gt;=0,62-核心参数输入!$B$126&lt;=120),INDEX(季度计划!$D$124:$DT$124,1,MAX(1,MIN(121,62-核心参数输入!$B$126+1))),0),0)</f>
        <v>0</v>
      </c>
      <c r="BO125" s="22">
        <f>IF(63&lt;=核心参数输入!$B$9*4,IF(AND(63-核心参数输入!$B$126&gt;=0,63-核心参数输入!$B$126&lt;=120),INDEX(季度计划!$D$124:$DT$124,1,MAX(1,MIN(121,63-核心参数输入!$B$126+1))),0),0)</f>
        <v>0</v>
      </c>
      <c r="BP125" s="22">
        <f>IF(64&lt;=核心参数输入!$B$9*4,IF(AND(64-核心参数输入!$B$126&gt;=0,64-核心参数输入!$B$126&lt;=120),INDEX(季度计划!$D$124:$DT$124,1,MAX(1,MIN(121,64-核心参数输入!$B$126+1))),0),0)</f>
        <v>0</v>
      </c>
      <c r="BQ125" s="22">
        <f>IF(65&lt;=核心参数输入!$B$9*4,IF(AND(65-核心参数输入!$B$126&gt;=0,65-核心参数输入!$B$126&lt;=120),INDEX(季度计划!$D$124:$DT$124,1,MAX(1,MIN(121,65-核心参数输入!$B$126+1))),0),0)</f>
        <v>0</v>
      </c>
      <c r="BR125" s="22">
        <f>IF(66&lt;=核心参数输入!$B$9*4,IF(AND(66-核心参数输入!$B$126&gt;=0,66-核心参数输入!$B$126&lt;=120),INDEX(季度计划!$D$124:$DT$124,1,MAX(1,MIN(121,66-核心参数输入!$B$126+1))),0),0)</f>
        <v>0</v>
      </c>
      <c r="BS125" s="22">
        <f>IF(67&lt;=核心参数输入!$B$9*4,IF(AND(67-核心参数输入!$B$126&gt;=0,67-核心参数输入!$B$126&lt;=120),INDEX(季度计划!$D$124:$DT$124,1,MAX(1,MIN(121,67-核心参数输入!$B$126+1))),0),0)</f>
        <v>0</v>
      </c>
      <c r="BT125" s="22">
        <f>IF(68&lt;=核心参数输入!$B$9*4,IF(AND(68-核心参数输入!$B$126&gt;=0,68-核心参数输入!$B$126&lt;=120),INDEX(季度计划!$D$124:$DT$124,1,MAX(1,MIN(121,68-核心参数输入!$B$126+1))),0),0)</f>
        <v>0</v>
      </c>
      <c r="BU125" s="22">
        <f>IF(69&lt;=核心参数输入!$B$9*4,IF(AND(69-核心参数输入!$B$126&gt;=0,69-核心参数输入!$B$126&lt;=120),INDEX(季度计划!$D$124:$DT$124,1,MAX(1,MIN(121,69-核心参数输入!$B$126+1))),0),0)</f>
        <v>0</v>
      </c>
      <c r="BV125" s="22">
        <f>IF(70&lt;=核心参数输入!$B$9*4,IF(AND(70-核心参数输入!$B$126&gt;=0,70-核心参数输入!$B$126&lt;=120),INDEX(季度计划!$D$124:$DT$124,1,MAX(1,MIN(121,70-核心参数输入!$B$126+1))),0),0)</f>
        <v>0</v>
      </c>
      <c r="BW125" s="22">
        <f>IF(71&lt;=核心参数输入!$B$9*4,IF(AND(71-核心参数输入!$B$126&gt;=0,71-核心参数输入!$B$126&lt;=120),INDEX(季度计划!$D$124:$DT$124,1,MAX(1,MIN(121,71-核心参数输入!$B$126+1))),0),0)</f>
        <v>0</v>
      </c>
      <c r="BX125" s="22">
        <f>IF(72&lt;=核心参数输入!$B$9*4,IF(AND(72-核心参数输入!$B$126&gt;=0,72-核心参数输入!$B$126&lt;=120),INDEX(季度计划!$D$124:$DT$124,1,MAX(1,MIN(121,72-核心参数输入!$B$126+1))),0),0)</f>
        <v>0</v>
      </c>
      <c r="BY125" s="22">
        <f>IF(73&lt;=核心参数输入!$B$9*4,IF(AND(73-核心参数输入!$B$126&gt;=0,73-核心参数输入!$B$126&lt;=120),INDEX(季度计划!$D$124:$DT$124,1,MAX(1,MIN(121,73-核心参数输入!$B$126+1))),0),0)</f>
        <v>0</v>
      </c>
      <c r="BZ125" s="22">
        <f>IF(74&lt;=核心参数输入!$B$9*4,IF(AND(74-核心参数输入!$B$126&gt;=0,74-核心参数输入!$B$126&lt;=120),INDEX(季度计划!$D$124:$DT$124,1,MAX(1,MIN(121,74-核心参数输入!$B$126+1))),0),0)</f>
        <v>0</v>
      </c>
      <c r="CA125" s="22">
        <f>IF(75&lt;=核心参数输入!$B$9*4,IF(AND(75-核心参数输入!$B$126&gt;=0,75-核心参数输入!$B$126&lt;=120),INDEX(季度计划!$D$124:$DT$124,1,MAX(1,MIN(121,75-核心参数输入!$B$126+1))),0),0)</f>
        <v>0</v>
      </c>
      <c r="CB125" s="22">
        <f>IF(76&lt;=核心参数输入!$B$9*4,IF(AND(76-核心参数输入!$B$126&gt;=0,76-核心参数输入!$B$126&lt;=120),INDEX(季度计划!$D$124:$DT$124,1,MAX(1,MIN(121,76-核心参数输入!$B$126+1))),0),0)</f>
        <v>0</v>
      </c>
      <c r="CC125" s="22">
        <f>IF(77&lt;=核心参数输入!$B$9*4,IF(AND(77-核心参数输入!$B$126&gt;=0,77-核心参数输入!$B$126&lt;=120),INDEX(季度计划!$D$124:$DT$124,1,MAX(1,MIN(121,77-核心参数输入!$B$126+1))),0),0)</f>
        <v>0</v>
      </c>
      <c r="CD125" s="22">
        <f>IF(78&lt;=核心参数输入!$B$9*4,IF(AND(78-核心参数输入!$B$126&gt;=0,78-核心参数输入!$B$126&lt;=120),INDEX(季度计划!$D$124:$DT$124,1,MAX(1,MIN(121,78-核心参数输入!$B$126+1))),0),0)</f>
        <v>0</v>
      </c>
      <c r="CE125" s="22">
        <f>IF(79&lt;=核心参数输入!$B$9*4,IF(AND(79-核心参数输入!$B$126&gt;=0,79-核心参数输入!$B$126&lt;=120),INDEX(季度计划!$D$124:$DT$124,1,MAX(1,MIN(121,79-核心参数输入!$B$126+1))),0),0)</f>
        <v>0</v>
      </c>
      <c r="CF125" s="22">
        <f>IF(80&lt;=核心参数输入!$B$9*4,IF(AND(80-核心参数输入!$B$126&gt;=0,80-核心参数输入!$B$126&lt;=120),INDEX(季度计划!$D$124:$DT$124,1,MAX(1,MIN(121,80-核心参数输入!$B$126+1))),0),0)</f>
        <v>0</v>
      </c>
      <c r="CG125" s="22">
        <f>IF(81&lt;=核心参数输入!$B$9*4,IF(AND(81-核心参数输入!$B$126&gt;=0,81-核心参数输入!$B$126&lt;=120),INDEX(季度计划!$D$124:$DT$124,1,MAX(1,MIN(121,81-核心参数输入!$B$126+1))),0),0)</f>
        <v>0</v>
      </c>
      <c r="CH125" s="22">
        <f>IF(82&lt;=核心参数输入!$B$9*4,IF(AND(82-核心参数输入!$B$126&gt;=0,82-核心参数输入!$B$126&lt;=120),INDEX(季度计划!$D$124:$DT$124,1,MAX(1,MIN(121,82-核心参数输入!$B$126+1))),0),0)</f>
        <v>0</v>
      </c>
      <c r="CI125" s="22">
        <f>IF(83&lt;=核心参数输入!$B$9*4,IF(AND(83-核心参数输入!$B$126&gt;=0,83-核心参数输入!$B$126&lt;=120),INDEX(季度计划!$D$124:$DT$124,1,MAX(1,MIN(121,83-核心参数输入!$B$126+1))),0),0)</f>
        <v>0</v>
      </c>
      <c r="CJ125" s="22">
        <f>IF(84&lt;=核心参数输入!$B$9*4,IF(AND(84-核心参数输入!$B$126&gt;=0,84-核心参数输入!$B$126&lt;=120),INDEX(季度计划!$D$124:$DT$124,1,MAX(1,MIN(121,84-核心参数输入!$B$126+1))),0),0)</f>
        <v>0</v>
      </c>
      <c r="CK125" s="22">
        <f>IF(85&lt;=核心参数输入!$B$9*4,IF(AND(85-核心参数输入!$B$126&gt;=0,85-核心参数输入!$B$126&lt;=120),INDEX(季度计划!$D$124:$DT$124,1,MAX(1,MIN(121,85-核心参数输入!$B$126+1))),0),0)</f>
        <v>0</v>
      </c>
      <c r="CL125" s="22">
        <f>IF(86&lt;=核心参数输入!$B$9*4,IF(AND(86-核心参数输入!$B$126&gt;=0,86-核心参数输入!$B$126&lt;=120),INDEX(季度计划!$D$124:$DT$124,1,MAX(1,MIN(121,86-核心参数输入!$B$126+1))),0),0)</f>
        <v>0</v>
      </c>
      <c r="CM125" s="22">
        <f>IF(87&lt;=核心参数输入!$B$9*4,IF(AND(87-核心参数输入!$B$126&gt;=0,87-核心参数输入!$B$126&lt;=120),INDEX(季度计划!$D$124:$DT$124,1,MAX(1,MIN(121,87-核心参数输入!$B$126+1))),0),0)</f>
        <v>0</v>
      </c>
      <c r="CN125" s="22">
        <f>IF(88&lt;=核心参数输入!$B$9*4,IF(AND(88-核心参数输入!$B$126&gt;=0,88-核心参数输入!$B$126&lt;=120),INDEX(季度计划!$D$124:$DT$124,1,MAX(1,MIN(121,88-核心参数输入!$B$126+1))),0),0)</f>
        <v>0</v>
      </c>
      <c r="CO125" s="22">
        <f>IF(89&lt;=核心参数输入!$B$9*4,IF(AND(89-核心参数输入!$B$126&gt;=0,89-核心参数输入!$B$126&lt;=120),INDEX(季度计划!$D$124:$DT$124,1,MAX(1,MIN(121,89-核心参数输入!$B$126+1))),0),0)</f>
        <v>0</v>
      </c>
      <c r="CP125" s="22">
        <f>IF(90&lt;=核心参数输入!$B$9*4,IF(AND(90-核心参数输入!$B$126&gt;=0,90-核心参数输入!$B$126&lt;=120),INDEX(季度计划!$D$124:$DT$124,1,MAX(1,MIN(121,90-核心参数输入!$B$126+1))),0),0)</f>
        <v>0</v>
      </c>
      <c r="CQ125" s="22">
        <f>IF(91&lt;=核心参数输入!$B$9*4,IF(AND(91-核心参数输入!$B$126&gt;=0,91-核心参数输入!$B$126&lt;=120),INDEX(季度计划!$D$124:$DT$124,1,MAX(1,MIN(121,91-核心参数输入!$B$126+1))),0),0)</f>
        <v>0</v>
      </c>
      <c r="CR125" s="22">
        <f>IF(92&lt;=核心参数输入!$B$9*4,IF(AND(92-核心参数输入!$B$126&gt;=0,92-核心参数输入!$B$126&lt;=120),INDEX(季度计划!$D$124:$DT$124,1,MAX(1,MIN(121,92-核心参数输入!$B$126+1))),0),0)</f>
        <v>0</v>
      </c>
      <c r="CS125" s="22">
        <f>IF(93&lt;=核心参数输入!$B$9*4,IF(AND(93-核心参数输入!$B$126&gt;=0,93-核心参数输入!$B$126&lt;=120),INDEX(季度计划!$D$124:$DT$124,1,MAX(1,MIN(121,93-核心参数输入!$B$126+1))),0),0)</f>
        <v>0</v>
      </c>
      <c r="CT125" s="22">
        <f>IF(94&lt;=核心参数输入!$B$9*4,IF(AND(94-核心参数输入!$B$126&gt;=0,94-核心参数输入!$B$126&lt;=120),INDEX(季度计划!$D$124:$DT$124,1,MAX(1,MIN(121,94-核心参数输入!$B$126+1))),0),0)</f>
        <v>0</v>
      </c>
      <c r="CU125" s="22">
        <f>IF(95&lt;=核心参数输入!$B$9*4,IF(AND(95-核心参数输入!$B$126&gt;=0,95-核心参数输入!$B$126&lt;=120),INDEX(季度计划!$D$124:$DT$124,1,MAX(1,MIN(121,95-核心参数输入!$B$126+1))),0),0)</f>
        <v>0</v>
      </c>
      <c r="CV125" s="22">
        <f>IF(96&lt;=核心参数输入!$B$9*4,IF(AND(96-核心参数输入!$B$126&gt;=0,96-核心参数输入!$B$126&lt;=120),INDEX(季度计划!$D$124:$DT$124,1,MAX(1,MIN(121,96-核心参数输入!$B$126+1))),0),0)</f>
        <v>0</v>
      </c>
      <c r="CW125" s="22">
        <f>IF(97&lt;=核心参数输入!$B$9*4,IF(AND(97-核心参数输入!$B$126&gt;=0,97-核心参数输入!$B$126&lt;=120),INDEX(季度计划!$D$124:$DT$124,1,MAX(1,MIN(121,97-核心参数输入!$B$126+1))),0),0)</f>
        <v>0</v>
      </c>
      <c r="CX125" s="22">
        <f>IF(98&lt;=核心参数输入!$B$9*4,IF(AND(98-核心参数输入!$B$126&gt;=0,98-核心参数输入!$B$126&lt;=120),INDEX(季度计划!$D$124:$DT$124,1,MAX(1,MIN(121,98-核心参数输入!$B$126+1))),0),0)</f>
        <v>0</v>
      </c>
      <c r="CY125" s="22">
        <f>IF(99&lt;=核心参数输入!$B$9*4,IF(AND(99-核心参数输入!$B$126&gt;=0,99-核心参数输入!$B$126&lt;=120),INDEX(季度计划!$D$124:$DT$124,1,MAX(1,MIN(121,99-核心参数输入!$B$126+1))),0),0)</f>
        <v>0</v>
      </c>
      <c r="CZ125" s="22">
        <f>IF(100&lt;=核心参数输入!$B$9*4,IF(AND(100-核心参数输入!$B$126&gt;=0,100-核心参数输入!$B$126&lt;=120),INDEX(季度计划!$D$124:$DT$124,1,MAX(1,MIN(121,100-核心参数输入!$B$126+1))),0),0)</f>
        <v>0</v>
      </c>
      <c r="DA125" s="22">
        <f>IF(101&lt;=核心参数输入!$B$9*4,IF(AND(101-核心参数输入!$B$126&gt;=0,101-核心参数输入!$B$126&lt;=120),INDEX(季度计划!$D$124:$DT$124,1,MAX(1,MIN(121,101-核心参数输入!$B$126+1))),0),0)</f>
        <v>0</v>
      </c>
      <c r="DB125" s="22">
        <f>IF(102&lt;=核心参数输入!$B$9*4,IF(AND(102-核心参数输入!$B$126&gt;=0,102-核心参数输入!$B$126&lt;=120),INDEX(季度计划!$D$124:$DT$124,1,MAX(1,MIN(121,102-核心参数输入!$B$126+1))),0),0)</f>
        <v>0</v>
      </c>
      <c r="DC125" s="22">
        <f>IF(103&lt;=核心参数输入!$B$9*4,IF(AND(103-核心参数输入!$B$126&gt;=0,103-核心参数输入!$B$126&lt;=120),INDEX(季度计划!$D$124:$DT$124,1,MAX(1,MIN(121,103-核心参数输入!$B$126+1))),0),0)</f>
        <v>0</v>
      </c>
      <c r="DD125" s="22">
        <f>IF(104&lt;=核心参数输入!$B$9*4,IF(AND(104-核心参数输入!$B$126&gt;=0,104-核心参数输入!$B$126&lt;=120),INDEX(季度计划!$D$124:$DT$124,1,MAX(1,MIN(121,104-核心参数输入!$B$126+1))),0),0)</f>
        <v>0</v>
      </c>
      <c r="DE125" s="22">
        <f>IF(105&lt;=核心参数输入!$B$9*4,IF(AND(105-核心参数输入!$B$126&gt;=0,105-核心参数输入!$B$126&lt;=120),INDEX(季度计划!$D$124:$DT$124,1,MAX(1,MIN(121,105-核心参数输入!$B$126+1))),0),0)</f>
        <v>0</v>
      </c>
      <c r="DF125" s="22">
        <f>IF(106&lt;=核心参数输入!$B$9*4,IF(AND(106-核心参数输入!$B$126&gt;=0,106-核心参数输入!$B$126&lt;=120),INDEX(季度计划!$D$124:$DT$124,1,MAX(1,MIN(121,106-核心参数输入!$B$126+1))),0),0)</f>
        <v>0</v>
      </c>
      <c r="DG125" s="22">
        <f>IF(107&lt;=核心参数输入!$B$9*4,IF(AND(107-核心参数输入!$B$126&gt;=0,107-核心参数输入!$B$126&lt;=120),INDEX(季度计划!$D$124:$DT$124,1,MAX(1,MIN(121,107-核心参数输入!$B$126+1))),0),0)</f>
        <v>0</v>
      </c>
      <c r="DH125" s="22">
        <f>IF(108&lt;=核心参数输入!$B$9*4,IF(AND(108-核心参数输入!$B$126&gt;=0,108-核心参数输入!$B$126&lt;=120),INDEX(季度计划!$D$124:$DT$124,1,MAX(1,MIN(121,108-核心参数输入!$B$126+1))),0),0)</f>
        <v>0</v>
      </c>
      <c r="DI125" s="22">
        <f>IF(109&lt;=核心参数输入!$B$9*4,IF(AND(109-核心参数输入!$B$126&gt;=0,109-核心参数输入!$B$126&lt;=120),INDEX(季度计划!$D$124:$DT$124,1,MAX(1,MIN(121,109-核心参数输入!$B$126+1))),0),0)</f>
        <v>0</v>
      </c>
      <c r="DJ125" s="22">
        <f>IF(110&lt;=核心参数输入!$B$9*4,IF(AND(110-核心参数输入!$B$126&gt;=0,110-核心参数输入!$B$126&lt;=120),INDEX(季度计划!$D$124:$DT$124,1,MAX(1,MIN(121,110-核心参数输入!$B$126+1))),0),0)</f>
        <v>0</v>
      </c>
      <c r="DK125" s="22">
        <f>IF(111&lt;=核心参数输入!$B$9*4,IF(AND(111-核心参数输入!$B$126&gt;=0,111-核心参数输入!$B$126&lt;=120),INDEX(季度计划!$D$124:$DT$124,1,MAX(1,MIN(121,111-核心参数输入!$B$126+1))),0),0)</f>
        <v>0</v>
      </c>
      <c r="DL125" s="22">
        <f>IF(112&lt;=核心参数输入!$B$9*4,IF(AND(112-核心参数输入!$B$126&gt;=0,112-核心参数输入!$B$126&lt;=120),INDEX(季度计划!$D$124:$DT$124,1,MAX(1,MIN(121,112-核心参数输入!$B$126+1))),0),0)</f>
        <v>0</v>
      </c>
      <c r="DM125" s="22">
        <f>IF(113&lt;=核心参数输入!$B$9*4,IF(AND(113-核心参数输入!$B$126&gt;=0,113-核心参数输入!$B$126&lt;=120),INDEX(季度计划!$D$124:$DT$124,1,MAX(1,MIN(121,113-核心参数输入!$B$126+1))),0),0)</f>
        <v>0</v>
      </c>
      <c r="DN125" s="22">
        <f>IF(114&lt;=核心参数输入!$B$9*4,IF(AND(114-核心参数输入!$B$126&gt;=0,114-核心参数输入!$B$126&lt;=120),INDEX(季度计划!$D$124:$DT$124,1,MAX(1,MIN(121,114-核心参数输入!$B$126+1))),0),0)</f>
        <v>0</v>
      </c>
      <c r="DO125" s="22">
        <f>IF(115&lt;=核心参数输入!$B$9*4,IF(AND(115-核心参数输入!$B$126&gt;=0,115-核心参数输入!$B$126&lt;=120),INDEX(季度计划!$D$124:$DT$124,1,MAX(1,MIN(121,115-核心参数输入!$B$126+1))),0),0)</f>
        <v>0</v>
      </c>
      <c r="DP125" s="22">
        <f>IF(116&lt;=核心参数输入!$B$9*4,IF(AND(116-核心参数输入!$B$126&gt;=0,116-核心参数输入!$B$126&lt;=120),INDEX(季度计划!$D$124:$DT$124,1,MAX(1,MIN(121,116-核心参数输入!$B$126+1))),0),0)</f>
        <v>0</v>
      </c>
      <c r="DQ125" s="22">
        <f>IF(117&lt;=核心参数输入!$B$9*4,IF(AND(117-核心参数输入!$B$126&gt;=0,117-核心参数输入!$B$126&lt;=120),INDEX(季度计划!$D$124:$DT$124,1,MAX(1,MIN(121,117-核心参数输入!$B$126+1))),0),0)</f>
        <v>0</v>
      </c>
      <c r="DR125" s="22">
        <f>IF(118&lt;=核心参数输入!$B$9*4,IF(AND(118-核心参数输入!$B$126&gt;=0,118-核心参数输入!$B$126&lt;=120),INDEX(季度计划!$D$124:$DT$124,1,MAX(1,MIN(121,118-核心参数输入!$B$126+1))),0),0)</f>
        <v>0</v>
      </c>
      <c r="DS125" s="22">
        <f>IF(119&lt;=核心参数输入!$B$9*4,IF(AND(119-核心参数输入!$B$126&gt;=0,119-核心参数输入!$B$126&lt;=120),INDEX(季度计划!$D$124:$DT$124,1,MAX(1,MIN(121,119-核心参数输入!$B$126+1))),0),0)</f>
        <v>0</v>
      </c>
      <c r="DT125" s="22">
        <f>IF(120&lt;=核心参数输入!$B$9*4,IF(AND(120-核心参数输入!$B$126&gt;=0,120-核心参数输入!$B$126&lt;=120),INDEX(季度计划!$D$124:$DT$124,1,MAX(1,MIN(121,120-核心参数输入!$B$126+1))),0),0)</f>
        <v>0</v>
      </c>
    </row>
    <row r="126" spans="1:124" ht="21" customHeight="1">
      <c r="A126" s="8" t="s">
        <v>628</v>
      </c>
      <c r="B126" s="8" t="s">
        <v>223</v>
      </c>
      <c r="C126" s="8"/>
      <c r="D126" s="9">
        <f>IF(0&lt;=核心参数输入!$B$9*4,MAX(0,0-((核心参数输入!$B$18-1)*4+(核心参数输入!$B$148+核心参数输入!$B$124))),0)</f>
        <v>0</v>
      </c>
      <c r="E126" s="9">
        <f>IF(1&lt;=核心参数输入!$B$9*4,MAX(0,1-((核心参数输入!$B$18-1)*4+(核心参数输入!$B$148+核心参数输入!$B$124))),0)</f>
        <v>0</v>
      </c>
      <c r="F126" s="9">
        <f>IF(2&lt;=核心参数输入!$B$9*4,MAX(0,2-((核心参数输入!$B$18-1)*4+(核心参数输入!$B$148+核心参数输入!$B$124))),0)</f>
        <v>0</v>
      </c>
      <c r="G126" s="9">
        <f>IF(3&lt;=核心参数输入!$B$9*4,MAX(0,3-((核心参数输入!$B$18-1)*4+(核心参数输入!$B$148+核心参数输入!$B$124))),0)</f>
        <v>0</v>
      </c>
      <c r="H126" s="9">
        <f>IF(4&lt;=核心参数输入!$B$9*4,MAX(0,4-((核心参数输入!$B$18-1)*4+(核心参数输入!$B$148+核心参数输入!$B$124))),0)</f>
        <v>0</v>
      </c>
      <c r="I126" s="9">
        <f>IF(5&lt;=核心参数输入!$B$9*4,MAX(0,5-((核心参数输入!$B$18-1)*4+(核心参数输入!$B$148+核心参数输入!$B$124))),0)</f>
        <v>0</v>
      </c>
      <c r="J126" s="9">
        <f>IF(6&lt;=核心参数输入!$B$9*4,MAX(0,6-((核心参数输入!$B$18-1)*4+(核心参数输入!$B$148+核心参数输入!$B$124))),0)</f>
        <v>0</v>
      </c>
      <c r="K126" s="9">
        <f>IF(7&lt;=核心参数输入!$B$9*4,MAX(0,7-((核心参数输入!$B$18-1)*4+(核心参数输入!$B$148+核心参数输入!$B$124))),0)</f>
        <v>0</v>
      </c>
      <c r="L126" s="9">
        <f>IF(8&lt;=核心参数输入!$B$9*4,MAX(0,8-((核心参数输入!$B$18-1)*4+(核心参数输入!$B$148+核心参数输入!$B$124))),0)</f>
        <v>0</v>
      </c>
      <c r="M126" s="9">
        <f>IF(9&lt;=核心参数输入!$B$9*4,MAX(0,9-((核心参数输入!$B$18-1)*4+(核心参数输入!$B$148+核心参数输入!$B$124))),0)</f>
        <v>0</v>
      </c>
      <c r="N126" s="9">
        <f>IF(10&lt;=核心参数输入!$B$9*4,MAX(0,10-((核心参数输入!$B$18-1)*4+(核心参数输入!$B$148+核心参数输入!$B$124))),0)</f>
        <v>0</v>
      </c>
      <c r="O126" s="9">
        <f>IF(11&lt;=核心参数输入!$B$9*4,MAX(0,11-((核心参数输入!$B$18-1)*4+(核心参数输入!$B$148+核心参数输入!$B$124))),0)</f>
        <v>0</v>
      </c>
      <c r="P126" s="9">
        <f>IF(12&lt;=核心参数输入!$B$9*4,MAX(0,12-((核心参数输入!$B$18-1)*4+(核心参数输入!$B$148+核心参数输入!$B$124))),0)</f>
        <v>0</v>
      </c>
      <c r="Q126" s="9">
        <f>IF(13&lt;=核心参数输入!$B$9*4,MAX(0,13-((核心参数输入!$B$18-1)*4+(核心参数输入!$B$148+核心参数输入!$B$124))),0)</f>
        <v>1</v>
      </c>
      <c r="R126" s="9">
        <f>IF(14&lt;=核心参数输入!$B$9*4,MAX(0,14-((核心参数输入!$B$18-1)*4+(核心参数输入!$B$148+核心参数输入!$B$124))),0)</f>
        <v>2</v>
      </c>
      <c r="S126" s="9">
        <f>IF(15&lt;=核心参数输入!$B$9*4,MAX(0,15-((核心参数输入!$B$18-1)*4+(核心参数输入!$B$148+核心参数输入!$B$124))),0)</f>
        <v>3</v>
      </c>
      <c r="T126" s="9">
        <f>IF(16&lt;=核心参数输入!$B$9*4,MAX(0,16-((核心参数输入!$B$18-1)*4+(核心参数输入!$B$148+核心参数输入!$B$124))),0)</f>
        <v>4</v>
      </c>
      <c r="U126" s="9">
        <f>IF(17&lt;=核心参数输入!$B$9*4,MAX(0,17-((核心参数输入!$B$18-1)*4+(核心参数输入!$B$148+核心参数输入!$B$124))),0)</f>
        <v>5</v>
      </c>
      <c r="V126" s="9">
        <f>IF(18&lt;=核心参数输入!$B$9*4,MAX(0,18-((核心参数输入!$B$18-1)*4+(核心参数输入!$B$148+核心参数输入!$B$124))),0)</f>
        <v>6</v>
      </c>
      <c r="W126" s="9">
        <f>IF(19&lt;=核心参数输入!$B$9*4,MAX(0,19-((核心参数输入!$B$18-1)*4+(核心参数输入!$B$148+核心参数输入!$B$124))),0)</f>
        <v>7</v>
      </c>
      <c r="X126" s="9">
        <f>IF(20&lt;=核心参数输入!$B$9*4,MAX(0,20-((核心参数输入!$B$18-1)*4+(核心参数输入!$B$148+核心参数输入!$B$124))),0)</f>
        <v>8</v>
      </c>
      <c r="Y126" s="9">
        <f>IF(21&lt;=核心参数输入!$B$9*4,MAX(0,21-((核心参数输入!$B$18-1)*4+(核心参数输入!$B$148+核心参数输入!$B$124))),0)</f>
        <v>9</v>
      </c>
      <c r="Z126" s="9">
        <f>IF(22&lt;=核心参数输入!$B$9*4,MAX(0,22-((核心参数输入!$B$18-1)*4+(核心参数输入!$B$148+核心参数输入!$B$124))),0)</f>
        <v>10</v>
      </c>
      <c r="AA126" s="9">
        <f>IF(23&lt;=核心参数输入!$B$9*4,MAX(0,23-((核心参数输入!$B$18-1)*4+(核心参数输入!$B$148+核心参数输入!$B$124))),0)</f>
        <v>11</v>
      </c>
      <c r="AB126" s="9">
        <f>IF(24&lt;=核心参数输入!$B$9*4,MAX(0,24-((核心参数输入!$B$18-1)*4+(核心参数输入!$B$148+核心参数输入!$B$124))),0)</f>
        <v>12</v>
      </c>
      <c r="AC126" s="9">
        <f>IF(25&lt;=核心参数输入!$B$9*4,MAX(0,25-((核心参数输入!$B$18-1)*4+(核心参数输入!$B$148+核心参数输入!$B$124))),0)</f>
        <v>13</v>
      </c>
      <c r="AD126" s="9">
        <f>IF(26&lt;=核心参数输入!$B$9*4,MAX(0,26-((核心参数输入!$B$18-1)*4+(核心参数输入!$B$148+核心参数输入!$B$124))),0)</f>
        <v>14</v>
      </c>
      <c r="AE126" s="9">
        <f>IF(27&lt;=核心参数输入!$B$9*4,MAX(0,27-((核心参数输入!$B$18-1)*4+(核心参数输入!$B$148+核心参数输入!$B$124))),0)</f>
        <v>15</v>
      </c>
      <c r="AF126" s="9">
        <f>IF(28&lt;=核心参数输入!$B$9*4,MAX(0,28-((核心参数输入!$B$18-1)*4+(核心参数输入!$B$148+核心参数输入!$B$124))),0)</f>
        <v>16</v>
      </c>
      <c r="AG126" s="9">
        <f>IF(29&lt;=核心参数输入!$B$9*4,MAX(0,29-((核心参数输入!$B$18-1)*4+(核心参数输入!$B$148+核心参数输入!$B$124))),0)</f>
        <v>17</v>
      </c>
      <c r="AH126" s="9">
        <f>IF(30&lt;=核心参数输入!$B$9*4,MAX(0,30-((核心参数输入!$B$18-1)*4+(核心参数输入!$B$148+核心参数输入!$B$124))),0)</f>
        <v>18</v>
      </c>
      <c r="AI126" s="9">
        <f>IF(31&lt;=核心参数输入!$B$9*4,MAX(0,31-((核心参数输入!$B$18-1)*4+(核心参数输入!$B$148+核心参数输入!$B$124))),0)</f>
        <v>19</v>
      </c>
      <c r="AJ126" s="9">
        <f>IF(32&lt;=核心参数输入!$B$9*4,MAX(0,32-((核心参数输入!$B$18-1)*4+(核心参数输入!$B$148+核心参数输入!$B$124))),0)</f>
        <v>20</v>
      </c>
      <c r="AK126" s="9">
        <f>IF(33&lt;=核心参数输入!$B$9*4,MAX(0,33-((核心参数输入!$B$18-1)*4+(核心参数输入!$B$148+核心参数输入!$B$124))),0)</f>
        <v>21</v>
      </c>
      <c r="AL126" s="9">
        <f>IF(34&lt;=核心参数输入!$B$9*4,MAX(0,34-((核心参数输入!$B$18-1)*4+(核心参数输入!$B$148+核心参数输入!$B$124))),0)</f>
        <v>22</v>
      </c>
      <c r="AM126" s="9">
        <f>IF(35&lt;=核心参数输入!$B$9*4,MAX(0,35-((核心参数输入!$B$18-1)*4+(核心参数输入!$B$148+核心参数输入!$B$124))),0)</f>
        <v>23</v>
      </c>
      <c r="AN126" s="9">
        <f>IF(36&lt;=核心参数输入!$B$9*4,MAX(0,36-((核心参数输入!$B$18-1)*4+(核心参数输入!$B$148+核心参数输入!$B$124))),0)</f>
        <v>24</v>
      </c>
      <c r="AO126" s="9">
        <f>IF(37&lt;=核心参数输入!$B$9*4,MAX(0,37-((核心参数输入!$B$18-1)*4+(核心参数输入!$B$148+核心参数输入!$B$124))),0)</f>
        <v>25</v>
      </c>
      <c r="AP126" s="9">
        <f>IF(38&lt;=核心参数输入!$B$9*4,MAX(0,38-((核心参数输入!$B$18-1)*4+(核心参数输入!$B$148+核心参数输入!$B$124))),0)</f>
        <v>26</v>
      </c>
      <c r="AQ126" s="9">
        <f>IF(39&lt;=核心参数输入!$B$9*4,MAX(0,39-((核心参数输入!$B$18-1)*4+(核心参数输入!$B$148+核心参数输入!$B$124))),0)</f>
        <v>27</v>
      </c>
      <c r="AR126" s="9">
        <f>IF(40&lt;=核心参数输入!$B$9*4,MAX(0,40-((核心参数输入!$B$18-1)*4+(核心参数输入!$B$148+核心参数输入!$B$124))),0)</f>
        <v>28</v>
      </c>
      <c r="AS126" s="9">
        <f>IF(41&lt;=核心参数输入!$B$9*4,MAX(0,41-((核心参数输入!$B$18-1)*4+(核心参数输入!$B$148+核心参数输入!$B$124))),0)</f>
        <v>29</v>
      </c>
      <c r="AT126" s="9">
        <f>IF(42&lt;=核心参数输入!$B$9*4,MAX(0,42-((核心参数输入!$B$18-1)*4+(核心参数输入!$B$148+核心参数输入!$B$124))),0)</f>
        <v>30</v>
      </c>
      <c r="AU126" s="9">
        <f>IF(43&lt;=核心参数输入!$B$9*4,MAX(0,43-((核心参数输入!$B$18-1)*4+(核心参数输入!$B$148+核心参数输入!$B$124))),0)</f>
        <v>31</v>
      </c>
      <c r="AV126" s="9">
        <f>IF(44&lt;=核心参数输入!$B$9*4,MAX(0,44-((核心参数输入!$B$18-1)*4+(核心参数输入!$B$148+核心参数输入!$B$124))),0)</f>
        <v>32</v>
      </c>
      <c r="AW126" s="9">
        <f>IF(45&lt;=核心参数输入!$B$9*4,MAX(0,45-((核心参数输入!$B$18-1)*4+(核心参数输入!$B$148+核心参数输入!$B$124))),0)</f>
        <v>33</v>
      </c>
      <c r="AX126" s="9">
        <f>IF(46&lt;=核心参数输入!$B$9*4,MAX(0,46-((核心参数输入!$B$18-1)*4+(核心参数输入!$B$148+核心参数输入!$B$124))),0)</f>
        <v>34</v>
      </c>
      <c r="AY126" s="9">
        <f>IF(47&lt;=核心参数输入!$B$9*4,MAX(0,47-((核心参数输入!$B$18-1)*4+(核心参数输入!$B$148+核心参数输入!$B$124))),0)</f>
        <v>35</v>
      </c>
      <c r="AZ126" s="9">
        <f>IF(48&lt;=核心参数输入!$B$9*4,MAX(0,48-((核心参数输入!$B$18-1)*4+(核心参数输入!$B$148+核心参数输入!$B$124))),0)</f>
        <v>36</v>
      </c>
      <c r="BA126" s="9">
        <f>IF(49&lt;=核心参数输入!$B$9*4,MAX(0,49-((核心参数输入!$B$18-1)*4+(核心参数输入!$B$148+核心参数输入!$B$124))),0)</f>
        <v>37</v>
      </c>
      <c r="BB126" s="9">
        <f>IF(50&lt;=核心参数输入!$B$9*4,MAX(0,50-((核心参数输入!$B$18-1)*4+(核心参数输入!$B$148+核心参数输入!$B$124))),0)</f>
        <v>38</v>
      </c>
      <c r="BC126" s="9">
        <f>IF(51&lt;=核心参数输入!$B$9*4,MAX(0,51-((核心参数输入!$B$18-1)*4+(核心参数输入!$B$148+核心参数输入!$B$124))),0)</f>
        <v>39</v>
      </c>
      <c r="BD126" s="9">
        <f>IF(52&lt;=核心参数输入!$B$9*4,MAX(0,52-((核心参数输入!$B$18-1)*4+(核心参数输入!$B$148+核心参数输入!$B$124))),0)</f>
        <v>40</v>
      </c>
      <c r="BE126" s="9">
        <f>IF(53&lt;=核心参数输入!$B$9*4,MAX(0,53-((核心参数输入!$B$18-1)*4+(核心参数输入!$B$148+核心参数输入!$B$124))),0)</f>
        <v>41</v>
      </c>
      <c r="BF126" s="9">
        <f>IF(54&lt;=核心参数输入!$B$9*4,MAX(0,54-((核心参数输入!$B$18-1)*4+(核心参数输入!$B$148+核心参数输入!$B$124))),0)</f>
        <v>42</v>
      </c>
      <c r="BG126" s="9">
        <f>IF(55&lt;=核心参数输入!$B$9*4,MAX(0,55-((核心参数输入!$B$18-1)*4+(核心参数输入!$B$148+核心参数输入!$B$124))),0)</f>
        <v>43</v>
      </c>
      <c r="BH126" s="9">
        <f>IF(56&lt;=核心参数输入!$B$9*4,MAX(0,56-((核心参数输入!$B$18-1)*4+(核心参数输入!$B$148+核心参数输入!$B$124))),0)</f>
        <v>44</v>
      </c>
      <c r="BI126" s="9">
        <f>IF(57&lt;=核心参数输入!$B$9*4,MAX(0,57-((核心参数输入!$B$18-1)*4+(核心参数输入!$B$148+核心参数输入!$B$124))),0)</f>
        <v>45</v>
      </c>
      <c r="BJ126" s="9">
        <f>IF(58&lt;=核心参数输入!$B$9*4,MAX(0,58-((核心参数输入!$B$18-1)*4+(核心参数输入!$B$148+核心参数输入!$B$124))),0)</f>
        <v>46</v>
      </c>
      <c r="BK126" s="9">
        <f>IF(59&lt;=核心参数输入!$B$9*4,MAX(0,59-((核心参数输入!$B$18-1)*4+(核心参数输入!$B$148+核心参数输入!$B$124))),0)</f>
        <v>47</v>
      </c>
      <c r="BL126" s="9">
        <f>IF(60&lt;=核心参数输入!$B$9*4,MAX(0,60-((核心参数输入!$B$18-1)*4+(核心参数输入!$B$148+核心参数输入!$B$124))),0)</f>
        <v>48</v>
      </c>
      <c r="BM126" s="9">
        <f>IF(61&lt;=核心参数输入!$B$9*4,MAX(0,61-((核心参数输入!$B$18-1)*4+(核心参数输入!$B$148+核心参数输入!$B$124))),0)</f>
        <v>49</v>
      </c>
      <c r="BN126" s="9">
        <f>IF(62&lt;=核心参数输入!$B$9*4,MAX(0,62-((核心参数输入!$B$18-1)*4+(核心参数输入!$B$148+核心参数输入!$B$124))),0)</f>
        <v>50</v>
      </c>
      <c r="BO126" s="9">
        <f>IF(63&lt;=核心参数输入!$B$9*4,MAX(0,63-((核心参数输入!$B$18-1)*4+(核心参数输入!$B$148+核心参数输入!$B$124))),0)</f>
        <v>51</v>
      </c>
      <c r="BP126" s="9">
        <f>IF(64&lt;=核心参数输入!$B$9*4,MAX(0,64-((核心参数输入!$B$18-1)*4+(核心参数输入!$B$148+核心参数输入!$B$124))),0)</f>
        <v>52</v>
      </c>
      <c r="BQ126" s="9">
        <f>IF(65&lt;=核心参数输入!$B$9*4,MAX(0,65-((核心参数输入!$B$18-1)*4+(核心参数输入!$B$148+核心参数输入!$B$124))),0)</f>
        <v>53</v>
      </c>
      <c r="BR126" s="9">
        <f>IF(66&lt;=核心参数输入!$B$9*4,MAX(0,66-((核心参数输入!$B$18-1)*4+(核心参数输入!$B$148+核心参数输入!$B$124))),0)</f>
        <v>54</v>
      </c>
      <c r="BS126" s="9">
        <f>IF(67&lt;=核心参数输入!$B$9*4,MAX(0,67-((核心参数输入!$B$18-1)*4+(核心参数输入!$B$148+核心参数输入!$B$124))),0)</f>
        <v>55</v>
      </c>
      <c r="BT126" s="9">
        <f>IF(68&lt;=核心参数输入!$B$9*4,MAX(0,68-((核心参数输入!$B$18-1)*4+(核心参数输入!$B$148+核心参数输入!$B$124))),0)</f>
        <v>56</v>
      </c>
      <c r="BU126" s="9">
        <f>IF(69&lt;=核心参数输入!$B$9*4,MAX(0,69-((核心参数输入!$B$18-1)*4+(核心参数输入!$B$148+核心参数输入!$B$124))),0)</f>
        <v>57</v>
      </c>
      <c r="BV126" s="9">
        <f>IF(70&lt;=核心参数输入!$B$9*4,MAX(0,70-((核心参数输入!$B$18-1)*4+(核心参数输入!$B$148+核心参数输入!$B$124))),0)</f>
        <v>58</v>
      </c>
      <c r="BW126" s="9">
        <f>IF(71&lt;=核心参数输入!$B$9*4,MAX(0,71-((核心参数输入!$B$18-1)*4+(核心参数输入!$B$148+核心参数输入!$B$124))),0)</f>
        <v>59</v>
      </c>
      <c r="BX126" s="9">
        <f>IF(72&lt;=核心参数输入!$B$9*4,MAX(0,72-((核心参数输入!$B$18-1)*4+(核心参数输入!$B$148+核心参数输入!$B$124))),0)</f>
        <v>60</v>
      </c>
      <c r="BY126" s="9">
        <f>IF(73&lt;=核心参数输入!$B$9*4,MAX(0,73-((核心参数输入!$B$18-1)*4+(核心参数输入!$B$148+核心参数输入!$B$124))),0)</f>
        <v>61</v>
      </c>
      <c r="BZ126" s="9">
        <f>IF(74&lt;=核心参数输入!$B$9*4,MAX(0,74-((核心参数输入!$B$18-1)*4+(核心参数输入!$B$148+核心参数输入!$B$124))),0)</f>
        <v>62</v>
      </c>
      <c r="CA126" s="9">
        <f>IF(75&lt;=核心参数输入!$B$9*4,MAX(0,75-((核心参数输入!$B$18-1)*4+(核心参数输入!$B$148+核心参数输入!$B$124))),0)</f>
        <v>63</v>
      </c>
      <c r="CB126" s="9">
        <f>IF(76&lt;=核心参数输入!$B$9*4,MAX(0,76-((核心参数输入!$B$18-1)*4+(核心参数输入!$B$148+核心参数输入!$B$124))),0)</f>
        <v>64</v>
      </c>
      <c r="CC126" s="9">
        <f>IF(77&lt;=核心参数输入!$B$9*4,MAX(0,77-((核心参数输入!$B$18-1)*4+(核心参数输入!$B$148+核心参数输入!$B$124))),0)</f>
        <v>65</v>
      </c>
      <c r="CD126" s="9">
        <f>IF(78&lt;=核心参数输入!$B$9*4,MAX(0,78-((核心参数输入!$B$18-1)*4+(核心参数输入!$B$148+核心参数输入!$B$124))),0)</f>
        <v>66</v>
      </c>
      <c r="CE126" s="9">
        <f>IF(79&lt;=核心参数输入!$B$9*4,MAX(0,79-((核心参数输入!$B$18-1)*4+(核心参数输入!$B$148+核心参数输入!$B$124))),0)</f>
        <v>67</v>
      </c>
      <c r="CF126" s="9">
        <f>IF(80&lt;=核心参数输入!$B$9*4,MAX(0,80-((核心参数输入!$B$18-1)*4+(核心参数输入!$B$148+核心参数输入!$B$124))),0)</f>
        <v>68</v>
      </c>
      <c r="CG126" s="9">
        <f>IF(81&lt;=核心参数输入!$B$9*4,MAX(0,81-((核心参数输入!$B$18-1)*4+(核心参数输入!$B$148+核心参数输入!$B$124))),0)</f>
        <v>0</v>
      </c>
      <c r="CH126" s="9">
        <f>IF(82&lt;=核心参数输入!$B$9*4,MAX(0,82-((核心参数输入!$B$18-1)*4+(核心参数输入!$B$148+核心参数输入!$B$124))),0)</f>
        <v>0</v>
      </c>
      <c r="CI126" s="9">
        <f>IF(83&lt;=核心参数输入!$B$9*4,MAX(0,83-((核心参数输入!$B$18-1)*4+(核心参数输入!$B$148+核心参数输入!$B$124))),0)</f>
        <v>0</v>
      </c>
      <c r="CJ126" s="9">
        <f>IF(84&lt;=核心参数输入!$B$9*4,MAX(0,84-((核心参数输入!$B$18-1)*4+(核心参数输入!$B$148+核心参数输入!$B$124))),0)</f>
        <v>0</v>
      </c>
      <c r="CK126" s="9">
        <f>IF(85&lt;=核心参数输入!$B$9*4,MAX(0,85-((核心参数输入!$B$18-1)*4+(核心参数输入!$B$148+核心参数输入!$B$124))),0)</f>
        <v>0</v>
      </c>
      <c r="CL126" s="9">
        <f>IF(86&lt;=核心参数输入!$B$9*4,MAX(0,86-((核心参数输入!$B$18-1)*4+(核心参数输入!$B$148+核心参数输入!$B$124))),0)</f>
        <v>0</v>
      </c>
      <c r="CM126" s="9">
        <f>IF(87&lt;=核心参数输入!$B$9*4,MAX(0,87-((核心参数输入!$B$18-1)*4+(核心参数输入!$B$148+核心参数输入!$B$124))),0)</f>
        <v>0</v>
      </c>
      <c r="CN126" s="9">
        <f>IF(88&lt;=核心参数输入!$B$9*4,MAX(0,88-((核心参数输入!$B$18-1)*4+(核心参数输入!$B$148+核心参数输入!$B$124))),0)</f>
        <v>0</v>
      </c>
      <c r="CO126" s="9">
        <f>IF(89&lt;=核心参数输入!$B$9*4,MAX(0,89-((核心参数输入!$B$18-1)*4+(核心参数输入!$B$148+核心参数输入!$B$124))),0)</f>
        <v>0</v>
      </c>
      <c r="CP126" s="9">
        <f>IF(90&lt;=核心参数输入!$B$9*4,MAX(0,90-((核心参数输入!$B$18-1)*4+(核心参数输入!$B$148+核心参数输入!$B$124))),0)</f>
        <v>0</v>
      </c>
      <c r="CQ126" s="9">
        <f>IF(91&lt;=核心参数输入!$B$9*4,MAX(0,91-((核心参数输入!$B$18-1)*4+(核心参数输入!$B$148+核心参数输入!$B$124))),0)</f>
        <v>0</v>
      </c>
      <c r="CR126" s="9">
        <f>IF(92&lt;=核心参数输入!$B$9*4,MAX(0,92-((核心参数输入!$B$18-1)*4+(核心参数输入!$B$148+核心参数输入!$B$124))),0)</f>
        <v>0</v>
      </c>
      <c r="CS126" s="9">
        <f>IF(93&lt;=核心参数输入!$B$9*4,MAX(0,93-((核心参数输入!$B$18-1)*4+(核心参数输入!$B$148+核心参数输入!$B$124))),0)</f>
        <v>0</v>
      </c>
      <c r="CT126" s="9">
        <f>IF(94&lt;=核心参数输入!$B$9*4,MAX(0,94-((核心参数输入!$B$18-1)*4+(核心参数输入!$B$148+核心参数输入!$B$124))),0)</f>
        <v>0</v>
      </c>
      <c r="CU126" s="9">
        <f>IF(95&lt;=核心参数输入!$B$9*4,MAX(0,95-((核心参数输入!$B$18-1)*4+(核心参数输入!$B$148+核心参数输入!$B$124))),0)</f>
        <v>0</v>
      </c>
      <c r="CV126" s="9">
        <f>IF(96&lt;=核心参数输入!$B$9*4,MAX(0,96-((核心参数输入!$B$18-1)*4+(核心参数输入!$B$148+核心参数输入!$B$124))),0)</f>
        <v>0</v>
      </c>
      <c r="CW126" s="9">
        <f>IF(97&lt;=核心参数输入!$B$9*4,MAX(0,97-((核心参数输入!$B$18-1)*4+(核心参数输入!$B$148+核心参数输入!$B$124))),0)</f>
        <v>0</v>
      </c>
      <c r="CX126" s="9">
        <f>IF(98&lt;=核心参数输入!$B$9*4,MAX(0,98-((核心参数输入!$B$18-1)*4+(核心参数输入!$B$148+核心参数输入!$B$124))),0)</f>
        <v>0</v>
      </c>
      <c r="CY126" s="9">
        <f>IF(99&lt;=核心参数输入!$B$9*4,MAX(0,99-((核心参数输入!$B$18-1)*4+(核心参数输入!$B$148+核心参数输入!$B$124))),0)</f>
        <v>0</v>
      </c>
      <c r="CZ126" s="9">
        <f>IF(100&lt;=核心参数输入!$B$9*4,MAX(0,100-((核心参数输入!$B$18-1)*4+(核心参数输入!$B$148+核心参数输入!$B$124))),0)</f>
        <v>0</v>
      </c>
      <c r="DA126" s="9">
        <f>IF(101&lt;=核心参数输入!$B$9*4,MAX(0,101-((核心参数输入!$B$18-1)*4+(核心参数输入!$B$148+核心参数输入!$B$124))),0)</f>
        <v>0</v>
      </c>
      <c r="DB126" s="9">
        <f>IF(102&lt;=核心参数输入!$B$9*4,MAX(0,102-((核心参数输入!$B$18-1)*4+(核心参数输入!$B$148+核心参数输入!$B$124))),0)</f>
        <v>0</v>
      </c>
      <c r="DC126" s="9">
        <f>IF(103&lt;=核心参数输入!$B$9*4,MAX(0,103-((核心参数输入!$B$18-1)*4+(核心参数输入!$B$148+核心参数输入!$B$124))),0)</f>
        <v>0</v>
      </c>
      <c r="DD126" s="9">
        <f>IF(104&lt;=核心参数输入!$B$9*4,MAX(0,104-((核心参数输入!$B$18-1)*4+(核心参数输入!$B$148+核心参数输入!$B$124))),0)</f>
        <v>0</v>
      </c>
      <c r="DE126" s="9">
        <f>IF(105&lt;=核心参数输入!$B$9*4,MAX(0,105-((核心参数输入!$B$18-1)*4+(核心参数输入!$B$148+核心参数输入!$B$124))),0)</f>
        <v>0</v>
      </c>
      <c r="DF126" s="9">
        <f>IF(106&lt;=核心参数输入!$B$9*4,MAX(0,106-((核心参数输入!$B$18-1)*4+(核心参数输入!$B$148+核心参数输入!$B$124))),0)</f>
        <v>0</v>
      </c>
      <c r="DG126" s="9">
        <f>IF(107&lt;=核心参数输入!$B$9*4,MAX(0,107-((核心参数输入!$B$18-1)*4+(核心参数输入!$B$148+核心参数输入!$B$124))),0)</f>
        <v>0</v>
      </c>
      <c r="DH126" s="9">
        <f>IF(108&lt;=核心参数输入!$B$9*4,MAX(0,108-((核心参数输入!$B$18-1)*4+(核心参数输入!$B$148+核心参数输入!$B$124))),0)</f>
        <v>0</v>
      </c>
      <c r="DI126" s="9">
        <f>IF(109&lt;=核心参数输入!$B$9*4,MAX(0,109-((核心参数输入!$B$18-1)*4+(核心参数输入!$B$148+核心参数输入!$B$124))),0)</f>
        <v>0</v>
      </c>
      <c r="DJ126" s="9">
        <f>IF(110&lt;=核心参数输入!$B$9*4,MAX(0,110-((核心参数输入!$B$18-1)*4+(核心参数输入!$B$148+核心参数输入!$B$124))),0)</f>
        <v>0</v>
      </c>
      <c r="DK126" s="9">
        <f>IF(111&lt;=核心参数输入!$B$9*4,MAX(0,111-((核心参数输入!$B$18-1)*4+(核心参数输入!$B$148+核心参数输入!$B$124))),0)</f>
        <v>0</v>
      </c>
      <c r="DL126" s="9">
        <f>IF(112&lt;=核心参数输入!$B$9*4,MAX(0,112-((核心参数输入!$B$18-1)*4+(核心参数输入!$B$148+核心参数输入!$B$124))),0)</f>
        <v>0</v>
      </c>
      <c r="DM126" s="9">
        <f>IF(113&lt;=核心参数输入!$B$9*4,MAX(0,113-((核心参数输入!$B$18-1)*4+(核心参数输入!$B$148+核心参数输入!$B$124))),0)</f>
        <v>0</v>
      </c>
      <c r="DN126" s="9">
        <f>IF(114&lt;=核心参数输入!$B$9*4,MAX(0,114-((核心参数输入!$B$18-1)*4+(核心参数输入!$B$148+核心参数输入!$B$124))),0)</f>
        <v>0</v>
      </c>
      <c r="DO126" s="9">
        <f>IF(115&lt;=核心参数输入!$B$9*4,MAX(0,115-((核心参数输入!$B$18-1)*4+(核心参数输入!$B$148+核心参数输入!$B$124))),0)</f>
        <v>0</v>
      </c>
      <c r="DP126" s="9">
        <f>IF(116&lt;=核心参数输入!$B$9*4,MAX(0,116-((核心参数输入!$B$18-1)*4+(核心参数输入!$B$148+核心参数输入!$B$124))),0)</f>
        <v>0</v>
      </c>
      <c r="DQ126" s="9">
        <f>IF(117&lt;=核心参数输入!$B$9*4,MAX(0,117-((核心参数输入!$B$18-1)*4+(核心参数输入!$B$148+核心参数输入!$B$124))),0)</f>
        <v>0</v>
      </c>
      <c r="DR126" s="9">
        <f>IF(118&lt;=核心参数输入!$B$9*4,MAX(0,118-((核心参数输入!$B$18-1)*4+(核心参数输入!$B$148+核心参数输入!$B$124))),0)</f>
        <v>0</v>
      </c>
      <c r="DS126" s="9">
        <f>IF(119&lt;=核心参数输入!$B$9*4,MAX(0,119-((核心参数输入!$B$18-1)*4+(核心参数输入!$B$148+核心参数输入!$B$124))),0)</f>
        <v>0</v>
      </c>
      <c r="DT126" s="9">
        <f>IF(120&lt;=核心参数输入!$B$9*4,MAX(0,120-((核心参数输入!$B$18-1)*4+(核心参数输入!$B$148+核心参数输入!$B$124))),0)</f>
        <v>0</v>
      </c>
    </row>
    <row r="127" spans="1:124" ht="21" customHeight="1">
      <c r="A127" s="8" t="s">
        <v>629</v>
      </c>
      <c r="B127" s="8" t="s">
        <v>223</v>
      </c>
      <c r="C127" s="8"/>
      <c r="D127" s="9">
        <f>IF(0&lt;=核心参数输入!$B$9*4,核心参数输入!$B$16*4+(核心参数输入!$B$148+核心参数输入!$B$124),0)</f>
        <v>12</v>
      </c>
      <c r="E127" s="9">
        <f>IF(1&lt;=核心参数输入!$B$9*4,核心参数输入!$B$16*4+(核心参数输入!$B$148+核心参数输入!$B$124),0)</f>
        <v>12</v>
      </c>
      <c r="F127" s="9">
        <f>IF(2&lt;=核心参数输入!$B$9*4,核心参数输入!$B$16*4+(核心参数输入!$B$148+核心参数输入!$B$124),0)</f>
        <v>12</v>
      </c>
      <c r="G127" s="9">
        <f>IF(3&lt;=核心参数输入!$B$9*4,核心参数输入!$B$16*4+(核心参数输入!$B$148+核心参数输入!$B$124),0)</f>
        <v>12</v>
      </c>
      <c r="H127" s="9">
        <f>IF(4&lt;=核心参数输入!$B$9*4,核心参数输入!$B$16*4+(核心参数输入!$B$148+核心参数输入!$B$124),0)</f>
        <v>12</v>
      </c>
      <c r="I127" s="9">
        <f>IF(5&lt;=核心参数输入!$B$9*4,核心参数输入!$B$16*4+(核心参数输入!$B$148+核心参数输入!$B$124),0)</f>
        <v>12</v>
      </c>
      <c r="J127" s="9">
        <f>IF(6&lt;=核心参数输入!$B$9*4,核心参数输入!$B$16*4+(核心参数输入!$B$148+核心参数输入!$B$124),0)</f>
        <v>12</v>
      </c>
      <c r="K127" s="9">
        <f>IF(7&lt;=核心参数输入!$B$9*4,核心参数输入!$B$16*4+(核心参数输入!$B$148+核心参数输入!$B$124),0)</f>
        <v>12</v>
      </c>
      <c r="L127" s="9">
        <f>IF(8&lt;=核心参数输入!$B$9*4,核心参数输入!$B$16*4+(核心参数输入!$B$148+核心参数输入!$B$124),0)</f>
        <v>12</v>
      </c>
      <c r="M127" s="9">
        <f>IF(9&lt;=核心参数输入!$B$9*4,核心参数输入!$B$16*4+(核心参数输入!$B$148+核心参数输入!$B$124),0)</f>
        <v>12</v>
      </c>
      <c r="N127" s="9">
        <f>IF(10&lt;=核心参数输入!$B$9*4,核心参数输入!$B$16*4+(核心参数输入!$B$148+核心参数输入!$B$124),0)</f>
        <v>12</v>
      </c>
      <c r="O127" s="9">
        <f>IF(11&lt;=核心参数输入!$B$9*4,核心参数输入!$B$16*4+(核心参数输入!$B$148+核心参数输入!$B$124),0)</f>
        <v>12</v>
      </c>
      <c r="P127" s="9">
        <f>IF(12&lt;=核心参数输入!$B$9*4,核心参数输入!$B$16*4+(核心参数输入!$B$148+核心参数输入!$B$124),0)</f>
        <v>12</v>
      </c>
      <c r="Q127" s="9">
        <f>IF(13&lt;=核心参数输入!$B$9*4,核心参数输入!$B$16*4+(核心参数输入!$B$148+核心参数输入!$B$124),0)</f>
        <v>12</v>
      </c>
      <c r="R127" s="9">
        <f>IF(14&lt;=核心参数输入!$B$9*4,核心参数输入!$B$16*4+(核心参数输入!$B$148+核心参数输入!$B$124),0)</f>
        <v>12</v>
      </c>
      <c r="S127" s="9">
        <f>IF(15&lt;=核心参数输入!$B$9*4,核心参数输入!$B$16*4+(核心参数输入!$B$148+核心参数输入!$B$124),0)</f>
        <v>12</v>
      </c>
      <c r="T127" s="9">
        <f>IF(16&lt;=核心参数输入!$B$9*4,核心参数输入!$B$16*4+(核心参数输入!$B$148+核心参数输入!$B$124),0)</f>
        <v>12</v>
      </c>
      <c r="U127" s="9">
        <f>IF(17&lt;=核心参数输入!$B$9*4,核心参数输入!$B$16*4+(核心参数输入!$B$148+核心参数输入!$B$124),0)</f>
        <v>12</v>
      </c>
      <c r="V127" s="9">
        <f>IF(18&lt;=核心参数输入!$B$9*4,核心参数输入!$B$16*4+(核心参数输入!$B$148+核心参数输入!$B$124),0)</f>
        <v>12</v>
      </c>
      <c r="W127" s="9">
        <f>IF(19&lt;=核心参数输入!$B$9*4,核心参数输入!$B$16*4+(核心参数输入!$B$148+核心参数输入!$B$124),0)</f>
        <v>12</v>
      </c>
      <c r="X127" s="9">
        <f>IF(20&lt;=核心参数输入!$B$9*4,核心参数输入!$B$16*4+(核心参数输入!$B$148+核心参数输入!$B$124),0)</f>
        <v>12</v>
      </c>
      <c r="Y127" s="9">
        <f>IF(21&lt;=核心参数输入!$B$9*4,核心参数输入!$B$16*4+(核心参数输入!$B$148+核心参数输入!$B$124),0)</f>
        <v>12</v>
      </c>
      <c r="Z127" s="9">
        <f>IF(22&lt;=核心参数输入!$B$9*4,核心参数输入!$B$16*4+(核心参数输入!$B$148+核心参数输入!$B$124),0)</f>
        <v>12</v>
      </c>
      <c r="AA127" s="9">
        <f>IF(23&lt;=核心参数输入!$B$9*4,核心参数输入!$B$16*4+(核心参数输入!$B$148+核心参数输入!$B$124),0)</f>
        <v>12</v>
      </c>
      <c r="AB127" s="9">
        <f>IF(24&lt;=核心参数输入!$B$9*4,核心参数输入!$B$16*4+(核心参数输入!$B$148+核心参数输入!$B$124),0)</f>
        <v>12</v>
      </c>
      <c r="AC127" s="9">
        <f>IF(25&lt;=核心参数输入!$B$9*4,核心参数输入!$B$16*4+(核心参数输入!$B$148+核心参数输入!$B$124),0)</f>
        <v>12</v>
      </c>
      <c r="AD127" s="9">
        <f>IF(26&lt;=核心参数输入!$B$9*4,核心参数输入!$B$16*4+(核心参数输入!$B$148+核心参数输入!$B$124),0)</f>
        <v>12</v>
      </c>
      <c r="AE127" s="9">
        <f>IF(27&lt;=核心参数输入!$B$9*4,核心参数输入!$B$16*4+(核心参数输入!$B$148+核心参数输入!$B$124),0)</f>
        <v>12</v>
      </c>
      <c r="AF127" s="9">
        <f>IF(28&lt;=核心参数输入!$B$9*4,核心参数输入!$B$16*4+(核心参数输入!$B$148+核心参数输入!$B$124),0)</f>
        <v>12</v>
      </c>
      <c r="AG127" s="9">
        <f>IF(29&lt;=核心参数输入!$B$9*4,核心参数输入!$B$16*4+(核心参数输入!$B$148+核心参数输入!$B$124),0)</f>
        <v>12</v>
      </c>
      <c r="AH127" s="9">
        <f>IF(30&lt;=核心参数输入!$B$9*4,核心参数输入!$B$16*4+(核心参数输入!$B$148+核心参数输入!$B$124),0)</f>
        <v>12</v>
      </c>
      <c r="AI127" s="9">
        <f>IF(31&lt;=核心参数输入!$B$9*4,核心参数输入!$B$16*4+(核心参数输入!$B$148+核心参数输入!$B$124),0)</f>
        <v>12</v>
      </c>
      <c r="AJ127" s="9">
        <f>IF(32&lt;=核心参数输入!$B$9*4,核心参数输入!$B$16*4+(核心参数输入!$B$148+核心参数输入!$B$124),0)</f>
        <v>12</v>
      </c>
      <c r="AK127" s="9">
        <f>IF(33&lt;=核心参数输入!$B$9*4,核心参数输入!$B$16*4+(核心参数输入!$B$148+核心参数输入!$B$124),0)</f>
        <v>12</v>
      </c>
      <c r="AL127" s="9">
        <f>IF(34&lt;=核心参数输入!$B$9*4,核心参数输入!$B$16*4+(核心参数输入!$B$148+核心参数输入!$B$124),0)</f>
        <v>12</v>
      </c>
      <c r="AM127" s="9">
        <f>IF(35&lt;=核心参数输入!$B$9*4,核心参数输入!$B$16*4+(核心参数输入!$B$148+核心参数输入!$B$124),0)</f>
        <v>12</v>
      </c>
      <c r="AN127" s="9">
        <f>IF(36&lt;=核心参数输入!$B$9*4,核心参数输入!$B$16*4+(核心参数输入!$B$148+核心参数输入!$B$124),0)</f>
        <v>12</v>
      </c>
      <c r="AO127" s="9">
        <f>IF(37&lt;=核心参数输入!$B$9*4,核心参数输入!$B$16*4+(核心参数输入!$B$148+核心参数输入!$B$124),0)</f>
        <v>12</v>
      </c>
      <c r="AP127" s="9">
        <f>IF(38&lt;=核心参数输入!$B$9*4,核心参数输入!$B$16*4+(核心参数输入!$B$148+核心参数输入!$B$124),0)</f>
        <v>12</v>
      </c>
      <c r="AQ127" s="9">
        <f>IF(39&lt;=核心参数输入!$B$9*4,核心参数输入!$B$16*4+(核心参数输入!$B$148+核心参数输入!$B$124),0)</f>
        <v>12</v>
      </c>
      <c r="AR127" s="9">
        <f>IF(40&lt;=核心参数输入!$B$9*4,核心参数输入!$B$16*4+(核心参数输入!$B$148+核心参数输入!$B$124),0)</f>
        <v>12</v>
      </c>
      <c r="AS127" s="9">
        <f>IF(41&lt;=核心参数输入!$B$9*4,核心参数输入!$B$16*4+(核心参数输入!$B$148+核心参数输入!$B$124),0)</f>
        <v>12</v>
      </c>
      <c r="AT127" s="9">
        <f>IF(42&lt;=核心参数输入!$B$9*4,核心参数输入!$B$16*4+(核心参数输入!$B$148+核心参数输入!$B$124),0)</f>
        <v>12</v>
      </c>
      <c r="AU127" s="9">
        <f>IF(43&lt;=核心参数输入!$B$9*4,核心参数输入!$B$16*4+(核心参数输入!$B$148+核心参数输入!$B$124),0)</f>
        <v>12</v>
      </c>
      <c r="AV127" s="9">
        <f>IF(44&lt;=核心参数输入!$B$9*4,核心参数输入!$B$16*4+(核心参数输入!$B$148+核心参数输入!$B$124),0)</f>
        <v>12</v>
      </c>
      <c r="AW127" s="9">
        <f>IF(45&lt;=核心参数输入!$B$9*4,核心参数输入!$B$16*4+(核心参数输入!$B$148+核心参数输入!$B$124),0)</f>
        <v>12</v>
      </c>
      <c r="AX127" s="9">
        <f>IF(46&lt;=核心参数输入!$B$9*4,核心参数输入!$B$16*4+(核心参数输入!$B$148+核心参数输入!$B$124),0)</f>
        <v>12</v>
      </c>
      <c r="AY127" s="9">
        <f>IF(47&lt;=核心参数输入!$B$9*4,核心参数输入!$B$16*4+(核心参数输入!$B$148+核心参数输入!$B$124),0)</f>
        <v>12</v>
      </c>
      <c r="AZ127" s="9">
        <f>IF(48&lt;=核心参数输入!$B$9*4,核心参数输入!$B$16*4+(核心参数输入!$B$148+核心参数输入!$B$124),0)</f>
        <v>12</v>
      </c>
      <c r="BA127" s="9">
        <f>IF(49&lt;=核心参数输入!$B$9*4,核心参数输入!$B$16*4+(核心参数输入!$B$148+核心参数输入!$B$124),0)</f>
        <v>12</v>
      </c>
      <c r="BB127" s="9">
        <f>IF(50&lt;=核心参数输入!$B$9*4,核心参数输入!$B$16*4+(核心参数输入!$B$148+核心参数输入!$B$124),0)</f>
        <v>12</v>
      </c>
      <c r="BC127" s="9">
        <f>IF(51&lt;=核心参数输入!$B$9*4,核心参数输入!$B$16*4+(核心参数输入!$B$148+核心参数输入!$B$124),0)</f>
        <v>12</v>
      </c>
      <c r="BD127" s="9">
        <f>IF(52&lt;=核心参数输入!$B$9*4,核心参数输入!$B$16*4+(核心参数输入!$B$148+核心参数输入!$B$124),0)</f>
        <v>12</v>
      </c>
      <c r="BE127" s="9">
        <f>IF(53&lt;=核心参数输入!$B$9*4,核心参数输入!$B$16*4+(核心参数输入!$B$148+核心参数输入!$B$124),0)</f>
        <v>12</v>
      </c>
      <c r="BF127" s="9">
        <f>IF(54&lt;=核心参数输入!$B$9*4,核心参数输入!$B$16*4+(核心参数输入!$B$148+核心参数输入!$B$124),0)</f>
        <v>12</v>
      </c>
      <c r="BG127" s="9">
        <f>IF(55&lt;=核心参数输入!$B$9*4,核心参数输入!$B$16*4+(核心参数输入!$B$148+核心参数输入!$B$124),0)</f>
        <v>12</v>
      </c>
      <c r="BH127" s="9">
        <f>IF(56&lt;=核心参数输入!$B$9*4,核心参数输入!$B$16*4+(核心参数输入!$B$148+核心参数输入!$B$124),0)</f>
        <v>12</v>
      </c>
      <c r="BI127" s="9">
        <f>IF(57&lt;=核心参数输入!$B$9*4,核心参数输入!$B$16*4+(核心参数输入!$B$148+核心参数输入!$B$124),0)</f>
        <v>12</v>
      </c>
      <c r="BJ127" s="9">
        <f>IF(58&lt;=核心参数输入!$B$9*4,核心参数输入!$B$16*4+(核心参数输入!$B$148+核心参数输入!$B$124),0)</f>
        <v>12</v>
      </c>
      <c r="BK127" s="9">
        <f>IF(59&lt;=核心参数输入!$B$9*4,核心参数输入!$B$16*4+(核心参数输入!$B$148+核心参数输入!$B$124),0)</f>
        <v>12</v>
      </c>
      <c r="BL127" s="9">
        <f>IF(60&lt;=核心参数输入!$B$9*4,核心参数输入!$B$16*4+(核心参数输入!$B$148+核心参数输入!$B$124),0)</f>
        <v>12</v>
      </c>
      <c r="BM127" s="9">
        <f>IF(61&lt;=核心参数输入!$B$9*4,核心参数输入!$B$16*4+(核心参数输入!$B$148+核心参数输入!$B$124),0)</f>
        <v>12</v>
      </c>
      <c r="BN127" s="9">
        <f>IF(62&lt;=核心参数输入!$B$9*4,核心参数输入!$B$16*4+(核心参数输入!$B$148+核心参数输入!$B$124),0)</f>
        <v>12</v>
      </c>
      <c r="BO127" s="9">
        <f>IF(63&lt;=核心参数输入!$B$9*4,核心参数输入!$B$16*4+(核心参数输入!$B$148+核心参数输入!$B$124),0)</f>
        <v>12</v>
      </c>
      <c r="BP127" s="9">
        <f>IF(64&lt;=核心参数输入!$B$9*4,核心参数输入!$B$16*4+(核心参数输入!$B$148+核心参数输入!$B$124),0)</f>
        <v>12</v>
      </c>
      <c r="BQ127" s="9">
        <f>IF(65&lt;=核心参数输入!$B$9*4,核心参数输入!$B$16*4+(核心参数输入!$B$148+核心参数输入!$B$124),0)</f>
        <v>12</v>
      </c>
      <c r="BR127" s="9">
        <f>IF(66&lt;=核心参数输入!$B$9*4,核心参数输入!$B$16*4+(核心参数输入!$B$148+核心参数输入!$B$124),0)</f>
        <v>12</v>
      </c>
      <c r="BS127" s="9">
        <f>IF(67&lt;=核心参数输入!$B$9*4,核心参数输入!$B$16*4+(核心参数输入!$B$148+核心参数输入!$B$124),0)</f>
        <v>12</v>
      </c>
      <c r="BT127" s="9">
        <f>IF(68&lt;=核心参数输入!$B$9*4,核心参数输入!$B$16*4+(核心参数输入!$B$148+核心参数输入!$B$124),0)</f>
        <v>12</v>
      </c>
      <c r="BU127" s="9">
        <f>IF(69&lt;=核心参数输入!$B$9*4,核心参数输入!$B$16*4+(核心参数输入!$B$148+核心参数输入!$B$124),0)</f>
        <v>12</v>
      </c>
      <c r="BV127" s="9">
        <f>IF(70&lt;=核心参数输入!$B$9*4,核心参数输入!$B$16*4+(核心参数输入!$B$148+核心参数输入!$B$124),0)</f>
        <v>12</v>
      </c>
      <c r="BW127" s="9">
        <f>IF(71&lt;=核心参数输入!$B$9*4,核心参数输入!$B$16*4+(核心参数输入!$B$148+核心参数输入!$B$124),0)</f>
        <v>12</v>
      </c>
      <c r="BX127" s="9">
        <f>IF(72&lt;=核心参数输入!$B$9*4,核心参数输入!$B$16*4+(核心参数输入!$B$148+核心参数输入!$B$124),0)</f>
        <v>12</v>
      </c>
      <c r="BY127" s="9">
        <f>IF(73&lt;=核心参数输入!$B$9*4,核心参数输入!$B$16*4+(核心参数输入!$B$148+核心参数输入!$B$124),0)</f>
        <v>12</v>
      </c>
      <c r="BZ127" s="9">
        <f>IF(74&lt;=核心参数输入!$B$9*4,核心参数输入!$B$16*4+(核心参数输入!$B$148+核心参数输入!$B$124),0)</f>
        <v>12</v>
      </c>
      <c r="CA127" s="9">
        <f>IF(75&lt;=核心参数输入!$B$9*4,核心参数输入!$B$16*4+(核心参数输入!$B$148+核心参数输入!$B$124),0)</f>
        <v>12</v>
      </c>
      <c r="CB127" s="9">
        <f>IF(76&lt;=核心参数输入!$B$9*4,核心参数输入!$B$16*4+(核心参数输入!$B$148+核心参数输入!$B$124),0)</f>
        <v>12</v>
      </c>
      <c r="CC127" s="9">
        <f>IF(77&lt;=核心参数输入!$B$9*4,核心参数输入!$B$16*4+(核心参数输入!$B$148+核心参数输入!$B$124),0)</f>
        <v>12</v>
      </c>
      <c r="CD127" s="9">
        <f>IF(78&lt;=核心参数输入!$B$9*4,核心参数输入!$B$16*4+(核心参数输入!$B$148+核心参数输入!$B$124),0)</f>
        <v>12</v>
      </c>
      <c r="CE127" s="9">
        <f>IF(79&lt;=核心参数输入!$B$9*4,核心参数输入!$B$16*4+(核心参数输入!$B$148+核心参数输入!$B$124),0)</f>
        <v>12</v>
      </c>
      <c r="CF127" s="9">
        <f>IF(80&lt;=核心参数输入!$B$9*4,核心参数输入!$B$16*4+(核心参数输入!$B$148+核心参数输入!$B$124),0)</f>
        <v>12</v>
      </c>
      <c r="CG127" s="9">
        <f>IF(81&lt;=核心参数输入!$B$9*4,核心参数输入!$B$16*4+(核心参数输入!$B$148+核心参数输入!$B$124),0)</f>
        <v>0</v>
      </c>
      <c r="CH127" s="9">
        <f>IF(82&lt;=核心参数输入!$B$9*4,核心参数输入!$B$16*4+(核心参数输入!$B$148+核心参数输入!$B$124),0)</f>
        <v>0</v>
      </c>
      <c r="CI127" s="9">
        <f>IF(83&lt;=核心参数输入!$B$9*4,核心参数输入!$B$16*4+(核心参数输入!$B$148+核心参数输入!$B$124),0)</f>
        <v>0</v>
      </c>
      <c r="CJ127" s="9">
        <f>IF(84&lt;=核心参数输入!$B$9*4,核心参数输入!$B$16*4+(核心参数输入!$B$148+核心参数输入!$B$124),0)</f>
        <v>0</v>
      </c>
      <c r="CK127" s="9">
        <f>IF(85&lt;=核心参数输入!$B$9*4,核心参数输入!$B$16*4+(核心参数输入!$B$148+核心参数输入!$B$124),0)</f>
        <v>0</v>
      </c>
      <c r="CL127" s="9">
        <f>IF(86&lt;=核心参数输入!$B$9*4,核心参数输入!$B$16*4+(核心参数输入!$B$148+核心参数输入!$B$124),0)</f>
        <v>0</v>
      </c>
      <c r="CM127" s="9">
        <f>IF(87&lt;=核心参数输入!$B$9*4,核心参数输入!$B$16*4+(核心参数输入!$B$148+核心参数输入!$B$124),0)</f>
        <v>0</v>
      </c>
      <c r="CN127" s="9">
        <f>IF(88&lt;=核心参数输入!$B$9*4,核心参数输入!$B$16*4+(核心参数输入!$B$148+核心参数输入!$B$124),0)</f>
        <v>0</v>
      </c>
      <c r="CO127" s="9">
        <f>IF(89&lt;=核心参数输入!$B$9*4,核心参数输入!$B$16*4+(核心参数输入!$B$148+核心参数输入!$B$124),0)</f>
        <v>0</v>
      </c>
      <c r="CP127" s="9">
        <f>IF(90&lt;=核心参数输入!$B$9*4,核心参数输入!$B$16*4+(核心参数输入!$B$148+核心参数输入!$B$124),0)</f>
        <v>0</v>
      </c>
      <c r="CQ127" s="9">
        <f>IF(91&lt;=核心参数输入!$B$9*4,核心参数输入!$B$16*4+(核心参数输入!$B$148+核心参数输入!$B$124),0)</f>
        <v>0</v>
      </c>
      <c r="CR127" s="9">
        <f>IF(92&lt;=核心参数输入!$B$9*4,核心参数输入!$B$16*4+(核心参数输入!$B$148+核心参数输入!$B$124),0)</f>
        <v>0</v>
      </c>
      <c r="CS127" s="9">
        <f>IF(93&lt;=核心参数输入!$B$9*4,核心参数输入!$B$16*4+(核心参数输入!$B$148+核心参数输入!$B$124),0)</f>
        <v>0</v>
      </c>
      <c r="CT127" s="9">
        <f>IF(94&lt;=核心参数输入!$B$9*4,核心参数输入!$B$16*4+(核心参数输入!$B$148+核心参数输入!$B$124),0)</f>
        <v>0</v>
      </c>
      <c r="CU127" s="9">
        <f>IF(95&lt;=核心参数输入!$B$9*4,核心参数输入!$B$16*4+(核心参数输入!$B$148+核心参数输入!$B$124),0)</f>
        <v>0</v>
      </c>
      <c r="CV127" s="9">
        <f>IF(96&lt;=核心参数输入!$B$9*4,核心参数输入!$B$16*4+(核心参数输入!$B$148+核心参数输入!$B$124),0)</f>
        <v>0</v>
      </c>
      <c r="CW127" s="9">
        <f>IF(97&lt;=核心参数输入!$B$9*4,核心参数输入!$B$16*4+(核心参数输入!$B$148+核心参数输入!$B$124),0)</f>
        <v>0</v>
      </c>
      <c r="CX127" s="9">
        <f>IF(98&lt;=核心参数输入!$B$9*4,核心参数输入!$B$16*4+(核心参数输入!$B$148+核心参数输入!$B$124),0)</f>
        <v>0</v>
      </c>
      <c r="CY127" s="9">
        <f>IF(99&lt;=核心参数输入!$B$9*4,核心参数输入!$B$16*4+(核心参数输入!$B$148+核心参数输入!$B$124),0)</f>
        <v>0</v>
      </c>
      <c r="CZ127" s="9">
        <f>IF(100&lt;=核心参数输入!$B$9*4,核心参数输入!$B$16*4+(核心参数输入!$B$148+核心参数输入!$B$124),0)</f>
        <v>0</v>
      </c>
      <c r="DA127" s="9">
        <f>IF(101&lt;=核心参数输入!$B$9*4,核心参数输入!$B$16*4+(核心参数输入!$B$148+核心参数输入!$B$124),0)</f>
        <v>0</v>
      </c>
      <c r="DB127" s="9">
        <f>IF(102&lt;=核心参数输入!$B$9*4,核心参数输入!$B$16*4+(核心参数输入!$B$148+核心参数输入!$B$124),0)</f>
        <v>0</v>
      </c>
      <c r="DC127" s="9">
        <f>IF(103&lt;=核心参数输入!$B$9*4,核心参数输入!$B$16*4+(核心参数输入!$B$148+核心参数输入!$B$124),0)</f>
        <v>0</v>
      </c>
      <c r="DD127" s="9">
        <f>IF(104&lt;=核心参数输入!$B$9*4,核心参数输入!$B$16*4+(核心参数输入!$B$148+核心参数输入!$B$124),0)</f>
        <v>0</v>
      </c>
      <c r="DE127" s="9">
        <f>IF(105&lt;=核心参数输入!$B$9*4,核心参数输入!$B$16*4+(核心参数输入!$B$148+核心参数输入!$B$124),0)</f>
        <v>0</v>
      </c>
      <c r="DF127" s="9">
        <f>IF(106&lt;=核心参数输入!$B$9*4,核心参数输入!$B$16*4+(核心参数输入!$B$148+核心参数输入!$B$124),0)</f>
        <v>0</v>
      </c>
      <c r="DG127" s="9">
        <f>IF(107&lt;=核心参数输入!$B$9*4,核心参数输入!$B$16*4+(核心参数输入!$B$148+核心参数输入!$B$124),0)</f>
        <v>0</v>
      </c>
      <c r="DH127" s="9">
        <f>IF(108&lt;=核心参数输入!$B$9*4,核心参数输入!$B$16*4+(核心参数输入!$B$148+核心参数输入!$B$124),0)</f>
        <v>0</v>
      </c>
      <c r="DI127" s="9">
        <f>IF(109&lt;=核心参数输入!$B$9*4,核心参数输入!$B$16*4+(核心参数输入!$B$148+核心参数输入!$B$124),0)</f>
        <v>0</v>
      </c>
      <c r="DJ127" s="9">
        <f>IF(110&lt;=核心参数输入!$B$9*4,核心参数输入!$B$16*4+(核心参数输入!$B$148+核心参数输入!$B$124),0)</f>
        <v>0</v>
      </c>
      <c r="DK127" s="9">
        <f>IF(111&lt;=核心参数输入!$B$9*4,核心参数输入!$B$16*4+(核心参数输入!$B$148+核心参数输入!$B$124),0)</f>
        <v>0</v>
      </c>
      <c r="DL127" s="9">
        <f>IF(112&lt;=核心参数输入!$B$9*4,核心参数输入!$B$16*4+(核心参数输入!$B$148+核心参数输入!$B$124),0)</f>
        <v>0</v>
      </c>
      <c r="DM127" s="9">
        <f>IF(113&lt;=核心参数输入!$B$9*4,核心参数输入!$B$16*4+(核心参数输入!$B$148+核心参数输入!$B$124),0)</f>
        <v>0</v>
      </c>
      <c r="DN127" s="9">
        <f>IF(114&lt;=核心参数输入!$B$9*4,核心参数输入!$B$16*4+(核心参数输入!$B$148+核心参数输入!$B$124),0)</f>
        <v>0</v>
      </c>
      <c r="DO127" s="9">
        <f>IF(115&lt;=核心参数输入!$B$9*4,核心参数输入!$B$16*4+(核心参数输入!$B$148+核心参数输入!$B$124),0)</f>
        <v>0</v>
      </c>
      <c r="DP127" s="9">
        <f>IF(116&lt;=核心参数输入!$B$9*4,核心参数输入!$B$16*4+(核心参数输入!$B$148+核心参数输入!$B$124),0)</f>
        <v>0</v>
      </c>
      <c r="DQ127" s="9">
        <f>IF(117&lt;=核心参数输入!$B$9*4,核心参数输入!$B$16*4+(核心参数输入!$B$148+核心参数输入!$B$124),0)</f>
        <v>0</v>
      </c>
      <c r="DR127" s="9">
        <f>IF(118&lt;=核心参数输入!$B$9*4,核心参数输入!$B$16*4+(核心参数输入!$B$148+核心参数输入!$B$124),0)</f>
        <v>0</v>
      </c>
      <c r="DS127" s="9">
        <f>IF(119&lt;=核心参数输入!$B$9*4,核心参数输入!$B$16*4+(核心参数输入!$B$148+核心参数输入!$B$124),0)</f>
        <v>0</v>
      </c>
      <c r="DT127" s="9">
        <f>IF(120&lt;=核心参数输入!$B$9*4,核心参数输入!$B$16*4+(核心参数输入!$B$148+核心参数输入!$B$124),0)</f>
        <v>0</v>
      </c>
    </row>
    <row r="128" spans="1:124" ht="21" customHeight="1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</row>
    <row r="129" spans="1:124" ht="21" customHeight="1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</row>
    <row r="130" spans="1:124" ht="21" customHeight="1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</row>
    <row r="131" spans="1:124" ht="21" customHeight="1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</row>
    <row r="132" spans="1:124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</row>
    <row r="133" spans="1:124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</row>
    <row r="134" spans="1:124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</row>
    <row r="135" spans="1:124" ht="21" customHeight="1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</row>
    <row r="136" spans="1:124" ht="21" customHeight="1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</row>
    <row r="137" spans="1:124" ht="21" customHeight="1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</row>
    <row r="138" spans="1:124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</row>
    <row r="139" spans="1:124" ht="21" customHeight="1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</row>
    <row r="140" spans="1:124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</row>
    <row r="141" spans="1:124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</row>
    <row r="142" spans="1:124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</row>
    <row r="143" spans="1:124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</row>
    <row r="144" spans="1:124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</row>
    <row r="145" spans="1:124" ht="21" customHeight="1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</row>
    <row r="146" spans="1:124" ht="21" customHeight="1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</row>
    <row r="147" spans="1:124" ht="21" customHeight="1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</row>
    <row r="148" spans="1:124" ht="21" customHeight="1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</row>
    <row r="149" spans="1:124" ht="21" customHeight="1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</row>
    <row r="150" spans="1:124" ht="21" customHeight="1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</row>
    <row r="151" spans="1:124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</row>
    <row r="152" spans="1:124" ht="21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</row>
    <row r="153" spans="1:124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</row>
    <row r="154" spans="1:124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</row>
    <row r="155" spans="1:124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</row>
    <row r="156" spans="1:124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</row>
    <row r="157" spans="1:124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</row>
    <row r="158" spans="1:124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</row>
    <row r="159" spans="1:124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</row>
    <row r="160" spans="1:124" ht="21" customHeight="1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</row>
    <row r="161" spans="1:124" ht="21" customHeight="1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</row>
    <row r="162" spans="1:124" ht="21" customHeight="1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</row>
    <row r="163" spans="1:124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</row>
    <row r="164" spans="1:124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</row>
    <row r="165" spans="1:124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</row>
    <row r="166" spans="1:124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</row>
    <row r="167" spans="1:124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</row>
    <row r="168" spans="1:124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</row>
    <row r="169" spans="1:124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</row>
    <row r="170" spans="1:124" ht="21" customHeight="1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</row>
    <row r="171" spans="1:124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</row>
    <row r="172" spans="1:124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</row>
    <row r="173" spans="1:124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</row>
    <row r="174" spans="1:124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</row>
    <row r="175" spans="1:124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</row>
    <row r="176" spans="1:124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</row>
    <row r="177" spans="1:124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</row>
    <row r="178" spans="1:124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</row>
    <row r="179" spans="1:124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</row>
    <row r="180" spans="1:124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</row>
  </sheetData>
  <sheetProtection sheet="1" objects="1" scenarios="1"/>
  <phoneticPr fontId="11" type="noConversion"/>
  <dataValidations count="1">
    <dataValidation type="decimal" sqref="D20:DT23" xr:uid="{00000000-0002-0000-0800-000000000000}">
      <formula1>0</formula1>
      <formula2>1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45" style="10" customWidth="1"/>
    <col min="2" max="2" width="28" style="10" customWidth="1"/>
    <col min="3" max="3" width="17" style="10" customWidth="1"/>
    <col min="4" max="12" width="16" style="10" customWidth="1"/>
    <col min="13" max="16384" width="9" style="10"/>
  </cols>
  <sheetData>
    <row r="1" spans="1:12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</row>
    <row r="2" spans="1:12" ht="30" customHeight="1">
      <c r="A2" s="11" t="s">
        <v>638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</row>
    <row r="3" spans="1:12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</row>
    <row r="4" spans="1:12" ht="21" customHeight="1">
      <c r="A4" s="8"/>
      <c r="B4" s="8"/>
      <c r="C4" s="8"/>
      <c r="D4" s="9"/>
      <c r="E4" s="9"/>
      <c r="F4" s="9"/>
      <c r="G4" s="9"/>
      <c r="H4" s="9"/>
      <c r="I4" s="9"/>
      <c r="J4" s="9"/>
      <c r="K4" s="9"/>
      <c r="L4" s="9"/>
    </row>
    <row r="5" spans="1:12" ht="21" customHeight="1">
      <c r="A5" s="8"/>
      <c r="B5" s="8"/>
      <c r="C5" s="8"/>
      <c r="D5" s="9"/>
      <c r="E5" s="9"/>
      <c r="F5" s="9"/>
      <c r="G5" s="9"/>
      <c r="H5" s="9"/>
      <c r="I5" s="9"/>
      <c r="J5" s="9"/>
      <c r="K5" s="9"/>
      <c r="L5" s="9"/>
    </row>
    <row r="6" spans="1:12" ht="21" customHeight="1">
      <c r="A6" s="8" t="s">
        <v>639</v>
      </c>
      <c r="B6" s="3"/>
      <c r="C6" s="8"/>
      <c r="D6" s="9" t="s">
        <v>640</v>
      </c>
      <c r="E6" s="9"/>
      <c r="F6" s="9"/>
      <c r="G6" s="9"/>
      <c r="H6" s="9"/>
      <c r="I6" s="9"/>
      <c r="J6" s="9"/>
      <c r="K6" s="9"/>
      <c r="L6" s="9"/>
    </row>
    <row r="7" spans="1:12" ht="21" customHeight="1">
      <c r="A7" s="8" t="s">
        <v>641</v>
      </c>
      <c r="B7" s="3"/>
      <c r="C7" s="8"/>
      <c r="D7" s="9"/>
      <c r="E7" s="9"/>
      <c r="F7" s="9"/>
      <c r="G7" s="9"/>
      <c r="H7" s="9"/>
      <c r="I7" s="9"/>
      <c r="J7" s="9"/>
      <c r="K7" s="9"/>
      <c r="L7" s="9"/>
    </row>
    <row r="8" spans="1:12" ht="21" customHeight="1">
      <c r="A8" s="8" t="s">
        <v>642</v>
      </c>
      <c r="B8" s="3"/>
      <c r="C8" s="8"/>
      <c r="D8" s="9" t="s">
        <v>643</v>
      </c>
      <c r="E8" s="9"/>
      <c r="F8" s="9"/>
      <c r="G8" s="9"/>
      <c r="H8" s="9"/>
      <c r="I8" s="9"/>
      <c r="J8" s="9"/>
      <c r="K8" s="9"/>
      <c r="L8" s="9"/>
    </row>
    <row r="9" spans="1:12" ht="21" customHeight="1">
      <c r="A9" s="8" t="s">
        <v>644</v>
      </c>
      <c r="B9" s="3"/>
      <c r="C9" s="8"/>
      <c r="D9" s="9"/>
      <c r="E9" s="9"/>
      <c r="F9" s="9"/>
      <c r="G9" s="9"/>
      <c r="H9" s="9"/>
      <c r="I9" s="9"/>
      <c r="J9" s="9"/>
      <c r="K9" s="9"/>
      <c r="L9" s="9"/>
    </row>
    <row r="10" spans="1:12" ht="21" customHeight="1">
      <c r="A10" s="8" t="s">
        <v>645</v>
      </c>
      <c r="B10" s="3"/>
      <c r="C10" s="8"/>
      <c r="D10" s="9"/>
      <c r="E10" s="9"/>
      <c r="F10" s="9"/>
      <c r="G10" s="9"/>
      <c r="H10" s="9"/>
      <c r="I10" s="9"/>
      <c r="J10" s="9"/>
      <c r="K10" s="9"/>
      <c r="L10" s="9"/>
    </row>
    <row r="11" spans="1:12" ht="21" customHeight="1">
      <c r="A11" s="8"/>
      <c r="B11" s="8"/>
      <c r="C11" s="8"/>
      <c r="D11" s="9"/>
      <c r="E11" s="9"/>
      <c r="F11" s="9"/>
      <c r="G11" s="9"/>
      <c r="H11" s="9"/>
      <c r="I11" s="9"/>
      <c r="J11" s="9"/>
      <c r="K11" s="9"/>
      <c r="L11" s="9"/>
    </row>
    <row r="12" spans="1:12" ht="21" customHeight="1">
      <c r="A12" s="8"/>
      <c r="B12" s="8"/>
      <c r="C12" s="8"/>
      <c r="D12" s="9"/>
      <c r="E12" s="9"/>
      <c r="F12" s="9"/>
      <c r="G12" s="9"/>
      <c r="H12" s="9"/>
      <c r="I12" s="9"/>
      <c r="J12" s="9"/>
      <c r="K12" s="9"/>
      <c r="L12" s="9"/>
    </row>
    <row r="13" spans="1:12" ht="24" customHeight="1">
      <c r="A13" s="23" t="s">
        <v>646</v>
      </c>
      <c r="B13" s="23"/>
      <c r="C13" s="23"/>
      <c r="D13" s="24"/>
      <c r="E13" s="24"/>
      <c r="F13" s="24"/>
      <c r="G13" s="24"/>
      <c r="H13" s="24"/>
      <c r="I13" s="24"/>
      <c r="J13" s="24"/>
      <c r="K13" s="9"/>
      <c r="L13" s="9"/>
    </row>
    <row r="14" spans="1:12" ht="21" customHeight="1">
      <c r="A14" s="8"/>
      <c r="B14" s="8"/>
      <c r="C14" s="8"/>
      <c r="D14" s="9"/>
      <c r="E14" s="9"/>
      <c r="F14" s="9"/>
      <c r="G14" s="9"/>
      <c r="H14" s="9"/>
      <c r="I14" s="9"/>
      <c r="J14" s="9"/>
      <c r="K14" s="9"/>
      <c r="L14" s="9"/>
    </row>
    <row r="15" spans="1:12" ht="21" customHeight="1">
      <c r="A15" s="8"/>
      <c r="B15" s="8"/>
      <c r="C15" s="8"/>
      <c r="D15" s="33">
        <f>指标与情景!B8</f>
        <v>-20406.095478339281</v>
      </c>
      <c r="E15" s="33">
        <f>核心参数输入!$B$31*0.8</f>
        <v>5200</v>
      </c>
      <c r="F15" s="33">
        <f>核心参数输入!$B$31*0.9</f>
        <v>5850</v>
      </c>
      <c r="G15" s="33">
        <f>核心参数输入!$B$31*1</f>
        <v>6500</v>
      </c>
      <c r="H15" s="33">
        <f>核心参数输入!$B$31*1.1</f>
        <v>7150.0000000000009</v>
      </c>
      <c r="I15" s="33">
        <f>核心参数输入!$B$31*1.2</f>
        <v>7800</v>
      </c>
      <c r="J15" s="9"/>
      <c r="K15" s="9"/>
      <c r="L15" s="9"/>
    </row>
    <row r="16" spans="1:12" ht="21" customHeight="1">
      <c r="A16" s="8"/>
      <c r="B16" s="8"/>
      <c r="C16" s="8"/>
      <c r="D16" s="33">
        <f>核心参数输入!$B$36*0.8</f>
        <v>20.8</v>
      </c>
      <c r="E16" s="9">
        <f t="dataTable" ref="E16:I20" dt2D="1" dtr="1" r1="B7" r2="B8" ca="1"/>
        <v>-26778.376279493965</v>
      </c>
      <c r="F16" s="9">
        <v>-24314.992249595176</v>
      </c>
      <c r="G16" s="9">
        <v>-22038.674576907699</v>
      </c>
      <c r="H16" s="9">
        <v>-19762.356904220178</v>
      </c>
      <c r="I16" s="9">
        <v>-17486.039231532697</v>
      </c>
      <c r="J16" s="9"/>
      <c r="K16" s="9"/>
      <c r="L16" s="9"/>
    </row>
    <row r="17" spans="1:12" ht="21" customHeight="1">
      <c r="A17" s="8"/>
      <c r="B17" s="8"/>
      <c r="C17" s="8"/>
      <c r="D17" s="33">
        <f>核心参数输入!$B$36*0.9</f>
        <v>23.400000000000002</v>
      </c>
      <c r="E17" s="9">
        <v>-25862.928265962037</v>
      </c>
      <c r="F17" s="9">
        <v>-23457.308545189215</v>
      </c>
      <c r="G17" s="9">
        <v>-21180.990872501716</v>
      </c>
      <c r="H17" s="9">
        <v>-18904.67319981422</v>
      </c>
      <c r="I17" s="9">
        <v>-16628.355527126725</v>
      </c>
      <c r="J17" s="9"/>
      <c r="K17" s="9"/>
      <c r="L17" s="9"/>
    </row>
    <row r="18" spans="1:12" ht="21" customHeight="1">
      <c r="A18" s="8"/>
      <c r="B18" s="8"/>
      <c r="C18" s="8"/>
      <c r="D18" s="33">
        <f>核心参数输入!$B$36*1</f>
        <v>26</v>
      </c>
      <c r="E18" s="9">
        <v>-24999.265228094762</v>
      </c>
      <c r="F18" s="9">
        <v>-22682.413151026791</v>
      </c>
      <c r="G18" s="9">
        <v>-20406.095478339281</v>
      </c>
      <c r="H18" s="9">
        <v>-18129.777805651782</v>
      </c>
      <c r="I18" s="9">
        <v>-15853.460132964279</v>
      </c>
      <c r="J18" s="9"/>
      <c r="K18" s="9"/>
      <c r="L18" s="9"/>
    </row>
    <row r="19" spans="1:12" ht="21" customHeight="1">
      <c r="A19" s="8"/>
      <c r="B19" s="8"/>
      <c r="C19" s="8"/>
      <c r="D19" s="33">
        <f>核心参数输入!$B$36*1.1</f>
        <v>28.6</v>
      </c>
      <c r="E19" s="9">
        <v>-24207.766289759296</v>
      </c>
      <c r="F19" s="9">
        <v>-21907.872719754509</v>
      </c>
      <c r="G19" s="9">
        <v>-19631.555047066999</v>
      </c>
      <c r="H19" s="9">
        <v>-17355.237374379503</v>
      </c>
      <c r="I19" s="9">
        <v>-15078.919701692012</v>
      </c>
      <c r="J19" s="9"/>
      <c r="K19" s="9"/>
      <c r="L19" s="9"/>
    </row>
    <row r="20" spans="1:12" ht="21" customHeight="1">
      <c r="A20" s="8"/>
      <c r="B20" s="8"/>
      <c r="C20" s="8"/>
      <c r="D20" s="33">
        <f>核心参数输入!$B$36*1.2</f>
        <v>31.2</v>
      </c>
      <c r="E20" s="9">
        <v>-23427.868982642321</v>
      </c>
      <c r="F20" s="9">
        <v>-21133.332288482241</v>
      </c>
      <c r="G20" s="9">
        <v>-18857.014615794724</v>
      </c>
      <c r="H20" s="9">
        <v>-16580.696943107221</v>
      </c>
      <c r="I20" s="9">
        <v>-14304.379270419729</v>
      </c>
      <c r="J20" s="9"/>
      <c r="K20" s="9"/>
      <c r="L20" s="9"/>
    </row>
    <row r="21" spans="1:12" ht="21" customHeight="1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</row>
    <row r="22" spans="1:12" ht="21" customHeight="1">
      <c r="A22" s="8"/>
      <c r="B22" s="8"/>
      <c r="C22" s="8"/>
      <c r="D22" s="9"/>
      <c r="E22" s="9"/>
      <c r="F22" s="9"/>
      <c r="G22" s="9"/>
      <c r="H22" s="9"/>
      <c r="I22" s="9"/>
      <c r="J22" s="9"/>
      <c r="K22" s="9"/>
      <c r="L22" s="9"/>
    </row>
    <row r="23" spans="1:12" ht="24" customHeight="1">
      <c r="A23" s="23" t="s">
        <v>647</v>
      </c>
      <c r="B23" s="23"/>
      <c r="C23" s="23"/>
      <c r="D23" s="24"/>
      <c r="E23" s="24"/>
      <c r="F23" s="24"/>
      <c r="G23" s="24"/>
      <c r="H23" s="24"/>
      <c r="I23" s="24"/>
      <c r="J23" s="24"/>
      <c r="K23" s="9"/>
      <c r="L23" s="9"/>
    </row>
    <row r="24" spans="1:12" ht="21" customHeight="1">
      <c r="A24" s="8"/>
      <c r="B24" s="8"/>
      <c r="C24" s="8"/>
      <c r="D24" s="9"/>
      <c r="E24" s="9"/>
      <c r="F24" s="9"/>
      <c r="G24" s="9"/>
      <c r="H24" s="9"/>
      <c r="I24" s="9"/>
      <c r="J24" s="9"/>
      <c r="K24" s="9"/>
      <c r="L24" s="9"/>
    </row>
    <row r="25" spans="1:12" ht="21" customHeight="1">
      <c r="A25" s="8"/>
      <c r="B25" s="8"/>
      <c r="C25" s="8"/>
      <c r="D25" s="33">
        <f>指标与情景!B50</f>
        <v>0</v>
      </c>
      <c r="E25" s="33">
        <f>核心参数输入!$B$31*0.8</f>
        <v>5200</v>
      </c>
      <c r="F25" s="33">
        <f>核心参数输入!$B$31*0.9</f>
        <v>5850</v>
      </c>
      <c r="G25" s="33">
        <f>核心参数输入!$B$31*1</f>
        <v>6500</v>
      </c>
      <c r="H25" s="33">
        <f>核心参数输入!$B$31*1.1</f>
        <v>7150.0000000000009</v>
      </c>
      <c r="I25" s="33">
        <f>核心参数输入!$B$31*1.2</f>
        <v>7800</v>
      </c>
      <c r="J25" s="9"/>
      <c r="K25" s="9"/>
      <c r="L25" s="9"/>
    </row>
    <row r="26" spans="1:12" ht="21" customHeight="1">
      <c r="A26" s="8"/>
      <c r="B26" s="8"/>
      <c r="C26" s="8"/>
      <c r="D26" s="33">
        <f>核心参数输入!$B$36*0.8</f>
        <v>20.8</v>
      </c>
      <c r="E26" s="25">
        <f t="dataTable" ref="E26:I30" dt2D="1" dtr="1" r1="B7" r2="B8" ca="1"/>
        <v>0</v>
      </c>
      <c r="F26" s="25">
        <v>0</v>
      </c>
      <c r="G26" s="25">
        <v>0</v>
      </c>
      <c r="H26" s="25">
        <v>0</v>
      </c>
      <c r="I26" s="25">
        <v>0</v>
      </c>
      <c r="J26" s="9"/>
      <c r="K26" s="9"/>
      <c r="L26" s="9"/>
    </row>
    <row r="27" spans="1:12" ht="21" customHeight="1">
      <c r="A27" s="8"/>
      <c r="B27" s="8"/>
      <c r="C27" s="8"/>
      <c r="D27" s="33">
        <f>核心参数输入!$B$36*0.9</f>
        <v>23.400000000000002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9"/>
      <c r="K27" s="9"/>
      <c r="L27" s="9"/>
    </row>
    <row r="28" spans="1:12" ht="21" customHeight="1">
      <c r="A28" s="8"/>
      <c r="B28" s="8"/>
      <c r="C28" s="8"/>
      <c r="D28" s="33">
        <f>核心参数输入!$B$36*1</f>
        <v>26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9"/>
      <c r="K28" s="9"/>
      <c r="L28" s="9"/>
    </row>
    <row r="29" spans="1:12" ht="21" customHeight="1">
      <c r="A29" s="8"/>
      <c r="B29" s="8"/>
      <c r="C29" s="8"/>
      <c r="D29" s="33">
        <f>核心参数输入!$B$36*1.1</f>
        <v>28.6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9"/>
      <c r="K29" s="9"/>
      <c r="L29" s="9"/>
    </row>
    <row r="30" spans="1:12" ht="21" customHeight="1">
      <c r="A30" s="8"/>
      <c r="B30" s="8"/>
      <c r="C30" s="8"/>
      <c r="D30" s="33">
        <f>核心参数输入!$B$36*1.2</f>
        <v>31.2</v>
      </c>
      <c r="E30" s="25">
        <v>0</v>
      </c>
      <c r="F30" s="25">
        <v>0</v>
      </c>
      <c r="G30" s="25">
        <v>0</v>
      </c>
      <c r="H30" s="25">
        <v>0</v>
      </c>
      <c r="I30" s="25">
        <v>0</v>
      </c>
      <c r="J30" s="9"/>
      <c r="K30" s="9"/>
      <c r="L30" s="9"/>
    </row>
    <row r="31" spans="1:12" ht="21" customHeight="1">
      <c r="A31" s="8"/>
      <c r="B31" s="8"/>
      <c r="C31" s="8"/>
      <c r="D31" s="9"/>
      <c r="E31" s="9"/>
      <c r="F31" s="9"/>
      <c r="G31" s="9"/>
      <c r="H31" s="9"/>
      <c r="I31" s="9"/>
      <c r="J31" s="9"/>
      <c r="K31" s="9"/>
      <c r="L31" s="9"/>
    </row>
    <row r="32" spans="1:12" ht="21" customHeight="1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</row>
    <row r="33" spans="1:12" ht="24" customHeight="1">
      <c r="A33" s="23" t="s">
        <v>648</v>
      </c>
      <c r="B33" s="23"/>
      <c r="C33" s="23"/>
      <c r="D33" s="24"/>
      <c r="E33" s="24"/>
      <c r="F33" s="24"/>
      <c r="G33" s="24"/>
      <c r="H33" s="24"/>
      <c r="I33" s="24"/>
      <c r="J33" s="24"/>
      <c r="K33" s="9"/>
      <c r="L33" s="9"/>
    </row>
    <row r="34" spans="1:12" ht="21" customHeight="1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</row>
    <row r="35" spans="1:12" ht="21" customHeight="1">
      <c r="A35" s="8"/>
      <c r="B35" s="8"/>
      <c r="C35" s="8"/>
      <c r="D35" s="33">
        <f>指标与情景!B8</f>
        <v>-20406.095478339281</v>
      </c>
      <c r="E35" s="33">
        <f>0.8</f>
        <v>0.8</v>
      </c>
      <c r="F35" s="33">
        <f>0.9</f>
        <v>0.9</v>
      </c>
      <c r="G35" s="33">
        <f>1</f>
        <v>1</v>
      </c>
      <c r="H35" s="33">
        <f>1.1</f>
        <v>1.1000000000000001</v>
      </c>
      <c r="I35" s="33">
        <f>1.2</f>
        <v>1.2</v>
      </c>
      <c r="J35" s="9"/>
      <c r="K35" s="9"/>
      <c r="L35" s="9"/>
    </row>
    <row r="36" spans="1:12" ht="21" customHeight="1">
      <c r="A36" s="8"/>
      <c r="B36" s="8"/>
      <c r="C36" s="8"/>
      <c r="D36" s="33">
        <f>核心参数输入!$B$21*0</f>
        <v>0</v>
      </c>
      <c r="E36" s="9">
        <f t="dataTable" ref="E36:I40" dt2D="1" dtr="1" r1="B9" r2="B6" ca="1"/>
        <v>-5193.1078344213629</v>
      </c>
      <c r="F36" s="9">
        <v>-9239.7573276566764</v>
      </c>
      <c r="G36" s="9">
        <v>-13286.406820892018</v>
      </c>
      <c r="H36" s="9">
        <v>-17333.056314127341</v>
      </c>
      <c r="I36" s="9">
        <v>-21379.705807362661</v>
      </c>
      <c r="J36" s="9"/>
      <c r="K36" s="9"/>
      <c r="L36" s="9"/>
    </row>
    <row r="37" spans="1:12" ht="21" customHeight="1">
      <c r="A37" s="8"/>
      <c r="B37" s="8"/>
      <c r="C37" s="8"/>
      <c r="D37" s="33">
        <f>核心参数输入!$B$21*0.5</f>
        <v>400</v>
      </c>
      <c r="E37" s="9">
        <v>-8752.9521631449988</v>
      </c>
      <c r="F37" s="9">
        <v>-12799.60165638031</v>
      </c>
      <c r="G37" s="9">
        <v>-16846.251149615648</v>
      </c>
      <c r="H37" s="9">
        <v>-20892.900642850967</v>
      </c>
      <c r="I37" s="9">
        <v>-24939.595076094483</v>
      </c>
      <c r="J37" s="9"/>
      <c r="K37" s="9"/>
      <c r="L37" s="9"/>
    </row>
    <row r="38" spans="1:12" ht="21" customHeight="1">
      <c r="A38" s="8"/>
      <c r="B38" s="8"/>
      <c r="C38" s="8"/>
      <c r="D38" s="33">
        <f>核心参数输入!$B$21*1</f>
        <v>800</v>
      </c>
      <c r="E38" s="9">
        <v>-12312.796491868634</v>
      </c>
      <c r="F38" s="9">
        <v>-16359.445985103946</v>
      </c>
      <c r="G38" s="9">
        <v>-20406.095478339281</v>
      </c>
      <c r="H38" s="9">
        <v>-24452.744971574601</v>
      </c>
      <c r="I38" s="9">
        <v>-28500.808832278904</v>
      </c>
      <c r="J38" s="9"/>
      <c r="K38" s="9"/>
      <c r="L38" s="9"/>
    </row>
    <row r="39" spans="1:12" ht="21" customHeight="1">
      <c r="A39" s="8"/>
      <c r="B39" s="8"/>
      <c r="C39" s="8"/>
      <c r="D39" s="33">
        <f>核心参数输入!$B$21*1.5</f>
        <v>1200</v>
      </c>
      <c r="E39" s="9">
        <v>-15872.640820592267</v>
      </c>
      <c r="F39" s="9">
        <v>-19919.290313827587</v>
      </c>
      <c r="G39" s="9">
        <v>-23965.939807062918</v>
      </c>
      <c r="H39" s="9">
        <v>-28012.59738316312</v>
      </c>
      <c r="I39" s="9">
        <v>-32159.183661167837</v>
      </c>
      <c r="J39" s="9"/>
      <c r="K39" s="9"/>
      <c r="L39" s="9"/>
    </row>
    <row r="40" spans="1:12" ht="21" customHeight="1">
      <c r="A40" s="8"/>
      <c r="B40" s="8"/>
      <c r="C40" s="8"/>
      <c r="D40" s="33">
        <f>核心参数输入!$B$21*2</f>
        <v>1600</v>
      </c>
      <c r="E40" s="9">
        <v>-19432.485149315904</v>
      </c>
      <c r="F40" s="9">
        <v>-23479.134642551224</v>
      </c>
      <c r="G40" s="9">
        <v>-27525.784135786547</v>
      </c>
      <c r="H40" s="9">
        <v>-31581.702911553224</v>
      </c>
      <c r="I40" s="9">
        <v>-36124.920711940176</v>
      </c>
      <c r="J40" s="9"/>
      <c r="K40" s="9"/>
      <c r="L40" s="9"/>
    </row>
    <row r="41" spans="1:12" ht="21" customHeight="1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</row>
    <row r="42" spans="1:12" ht="21" customHeight="1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</row>
    <row r="43" spans="1:12" ht="24" customHeight="1">
      <c r="A43" s="23" t="s">
        <v>649</v>
      </c>
      <c r="B43" s="23"/>
      <c r="C43" s="23"/>
      <c r="D43" s="24"/>
      <c r="E43" s="24"/>
      <c r="F43" s="24"/>
      <c r="G43" s="24"/>
      <c r="H43" s="24"/>
      <c r="I43" s="24"/>
      <c r="J43" s="24"/>
      <c r="K43" s="9"/>
      <c r="L43" s="9"/>
    </row>
    <row r="44" spans="1:12" ht="21" customHeight="1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</row>
    <row r="45" spans="1:12" ht="21" customHeight="1">
      <c r="A45" s="8"/>
      <c r="B45" s="8"/>
      <c r="C45" s="8"/>
      <c r="D45" s="33">
        <f>指标与情景!B13</f>
        <v>32810</v>
      </c>
      <c r="E45" s="33">
        <f>0.8</f>
        <v>0.8</v>
      </c>
      <c r="F45" s="33">
        <f>0.9</f>
        <v>0.9</v>
      </c>
      <c r="G45" s="33">
        <f>1</f>
        <v>1</v>
      </c>
      <c r="H45" s="33">
        <f>1.1</f>
        <v>1.1000000000000001</v>
      </c>
      <c r="I45" s="33">
        <f>1.2</f>
        <v>1.2</v>
      </c>
      <c r="J45" s="9"/>
      <c r="K45" s="9"/>
      <c r="L45" s="9"/>
    </row>
    <row r="46" spans="1:12" ht="21" customHeight="1">
      <c r="A46" s="8"/>
      <c r="B46" s="8"/>
      <c r="C46" s="8"/>
      <c r="D46" s="33">
        <f>核心参数输入!$B$21*0</f>
        <v>0</v>
      </c>
      <c r="E46" s="9">
        <f t="dataTable" ref="E46:I50" dt2D="1" dtr="1" r1="B9" r2="B6" ca="1"/>
        <v>14226.000000000004</v>
      </c>
      <c r="F46" s="9">
        <v>19517.999999999996</v>
      </c>
      <c r="G46" s="9">
        <v>24810</v>
      </c>
      <c r="H46" s="9">
        <v>30102.000000000007</v>
      </c>
      <c r="I46" s="9">
        <v>35394.000000000007</v>
      </c>
      <c r="J46" s="9"/>
      <c r="K46" s="9"/>
      <c r="L46" s="9"/>
    </row>
    <row r="47" spans="1:12" ht="21" customHeight="1">
      <c r="A47" s="8"/>
      <c r="B47" s="8"/>
      <c r="C47" s="8"/>
      <c r="D47" s="33">
        <f>核心参数输入!$B$21*0.5</f>
        <v>400</v>
      </c>
      <c r="E47" s="9">
        <v>18226.000000000004</v>
      </c>
      <c r="F47" s="9">
        <v>23517.999999999993</v>
      </c>
      <c r="G47" s="9">
        <v>28810</v>
      </c>
      <c r="H47" s="9">
        <v>34102.000000000007</v>
      </c>
      <c r="I47" s="9">
        <v>39394.000000000015</v>
      </c>
      <c r="J47" s="9"/>
      <c r="K47" s="9"/>
      <c r="L47" s="9"/>
    </row>
    <row r="48" spans="1:12" ht="21" customHeight="1">
      <c r="A48" s="8"/>
      <c r="B48" s="8"/>
      <c r="C48" s="8"/>
      <c r="D48" s="33">
        <f>核心参数输入!$B$21*1</f>
        <v>800</v>
      </c>
      <c r="E48" s="9">
        <v>22226.000000000007</v>
      </c>
      <c r="F48" s="9">
        <v>27517.999999999993</v>
      </c>
      <c r="G48" s="9">
        <v>32810</v>
      </c>
      <c r="H48" s="9">
        <v>38102.000000000007</v>
      </c>
      <c r="I48" s="9">
        <v>43394.000000000015</v>
      </c>
      <c r="J48" s="9"/>
      <c r="K48" s="9"/>
      <c r="L48" s="9"/>
    </row>
    <row r="49" spans="1:12" ht="21" customHeight="1">
      <c r="A49" s="8"/>
      <c r="B49" s="8"/>
      <c r="C49" s="8"/>
      <c r="D49" s="33">
        <f>核心参数输入!$B$21*1.5</f>
        <v>1200</v>
      </c>
      <c r="E49" s="9">
        <v>26226</v>
      </c>
      <c r="F49" s="9">
        <v>31517.999999999993</v>
      </c>
      <c r="G49" s="9">
        <v>36810</v>
      </c>
      <c r="H49" s="9">
        <v>42102.000000000007</v>
      </c>
      <c r="I49" s="9">
        <v>47394.000000000015</v>
      </c>
      <c r="J49" s="9"/>
      <c r="K49" s="9"/>
      <c r="L49" s="9"/>
    </row>
    <row r="50" spans="1:12" ht="21" customHeight="1">
      <c r="A50" s="8"/>
      <c r="B50" s="8"/>
      <c r="C50" s="8"/>
      <c r="D50" s="33">
        <f>核心参数输入!$B$21*2</f>
        <v>1600</v>
      </c>
      <c r="E50" s="9">
        <v>30226</v>
      </c>
      <c r="F50" s="9">
        <v>35517.999999999985</v>
      </c>
      <c r="G50" s="9">
        <v>40810</v>
      </c>
      <c r="H50" s="9">
        <v>46102.000000000015</v>
      </c>
      <c r="I50" s="9">
        <v>51394.000000000015</v>
      </c>
      <c r="J50" s="9"/>
      <c r="K50" s="9"/>
      <c r="L50" s="9"/>
    </row>
    <row r="51" spans="1:12" ht="21" customHeight="1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</row>
    <row r="52" spans="1:12" ht="21" customHeight="1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</row>
    <row r="53" spans="1:12" ht="24" customHeight="1">
      <c r="A53" s="23" t="s">
        <v>650</v>
      </c>
      <c r="B53" s="23"/>
      <c r="C53" s="23"/>
      <c r="D53" s="24"/>
      <c r="E53" s="24"/>
      <c r="F53" s="24"/>
      <c r="G53" s="24"/>
      <c r="H53" s="24"/>
      <c r="I53" s="24"/>
      <c r="J53" s="24"/>
      <c r="K53" s="9"/>
      <c r="L53" s="9"/>
    </row>
    <row r="54" spans="1:12" ht="21" customHeight="1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</row>
    <row r="55" spans="1:12" ht="21" customHeight="1">
      <c r="A55" s="8"/>
      <c r="B55" s="8"/>
      <c r="C55" s="8"/>
      <c r="D55" s="33">
        <f>指标与情景!B8</f>
        <v>-20406.095478339281</v>
      </c>
      <c r="E55" s="33">
        <f>核心参数输入!$B$31*0.9</f>
        <v>5850</v>
      </c>
      <c r="F55" s="33">
        <f>核心参数输入!$B$31</f>
        <v>6500</v>
      </c>
      <c r="G55" s="33">
        <f>核心参数输入!$B$31*1.1</f>
        <v>7150.0000000000009</v>
      </c>
      <c r="H55" s="9"/>
      <c r="I55" s="9"/>
      <c r="J55" s="9"/>
      <c r="K55" s="9"/>
      <c r="L55" s="9"/>
    </row>
    <row r="56" spans="1:12" ht="21" customHeight="1">
      <c r="A56" s="8"/>
      <c r="B56" s="8"/>
      <c r="C56" s="8"/>
      <c r="D56" s="33">
        <f>0</f>
        <v>0</v>
      </c>
      <c r="E56" s="9">
        <f t="dataTable" ref="E56:G59" dt2D="1" dtr="1" r1="B7" r2="B10"/>
        <v>-22682.413151026791</v>
      </c>
      <c r="F56" s="9">
        <v>-20406.095478339281</v>
      </c>
      <c r="G56" s="9">
        <v>-18129.777805651782</v>
      </c>
      <c r="H56" s="9"/>
      <c r="I56" s="9"/>
      <c r="J56" s="9"/>
      <c r="K56" s="9"/>
      <c r="L56" s="9"/>
    </row>
    <row r="57" spans="1:12" ht="21" customHeight="1">
      <c r="A57" s="8"/>
      <c r="B57" s="8"/>
      <c r="C57" s="8"/>
      <c r="D57" s="33">
        <f>1</f>
        <v>1</v>
      </c>
      <c r="E57" s="9">
        <v>-22461.17653909776</v>
      </c>
      <c r="F57" s="9">
        <v>-20228.633144863241</v>
      </c>
      <c r="G57" s="9">
        <v>-17996.0897506287</v>
      </c>
      <c r="H57" s="9"/>
      <c r="I57" s="9"/>
      <c r="J57" s="9"/>
      <c r="K57" s="9"/>
      <c r="L57" s="9"/>
    </row>
    <row r="58" spans="1:12" ht="21" customHeight="1">
      <c r="A58" s="8"/>
      <c r="B58" s="8"/>
      <c r="C58" s="8"/>
      <c r="D58" s="33">
        <f>2</f>
        <v>2</v>
      </c>
      <c r="E58" s="9">
        <v>-22244.857715985541</v>
      </c>
      <c r="F58" s="9">
        <v>-20054.994603038576</v>
      </c>
      <c r="G58" s="9">
        <v>-17865.131490091611</v>
      </c>
      <c r="H58" s="9"/>
      <c r="I58" s="9"/>
      <c r="J58" s="9"/>
      <c r="K58" s="9"/>
      <c r="L58" s="9"/>
    </row>
    <row r="59" spans="1:12" ht="21" customHeight="1">
      <c r="A59" s="8"/>
      <c r="B59" s="8"/>
      <c r="C59" s="8"/>
      <c r="D59" s="33">
        <f>4</f>
        <v>4</v>
      </c>
      <c r="E59" s="9">
        <v>-21826.653961812146</v>
      </c>
      <c r="F59" s="9">
        <v>-19718.952413027429</v>
      </c>
      <c r="G59" s="9">
        <v>-17611.250864242706</v>
      </c>
      <c r="H59" s="9"/>
      <c r="I59" s="9"/>
      <c r="J59" s="9"/>
      <c r="K59" s="9"/>
      <c r="L59" s="9"/>
    </row>
    <row r="60" spans="1:12" ht="21" customHeight="1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</row>
    <row r="61" spans="1:12" ht="21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</row>
    <row r="62" spans="1:12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</row>
    <row r="63" spans="1:12" ht="21" customHeight="1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</row>
    <row r="64" spans="1:12" ht="24" customHeight="1">
      <c r="A64" s="23" t="s">
        <v>651</v>
      </c>
      <c r="B64" s="23"/>
      <c r="C64" s="23"/>
      <c r="D64" s="24"/>
      <c r="E64" s="24"/>
      <c r="F64" s="24"/>
      <c r="G64" s="24"/>
      <c r="H64" s="24"/>
      <c r="I64" s="24"/>
      <c r="J64" s="24"/>
      <c r="K64" s="24"/>
      <c r="L64" s="24"/>
    </row>
    <row r="65" spans="1:12" ht="21" customHeight="1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</row>
    <row r="66" spans="1:12" ht="21" customHeight="1">
      <c r="A66" s="8" t="s">
        <v>652</v>
      </c>
      <c r="B66" s="8" t="str">
        <f>IF(B68=B69,"与当前参数一致","参数已变化，需运行刷新工具")</f>
        <v>与当前参数一致</v>
      </c>
      <c r="C66" s="8"/>
      <c r="D66" s="9"/>
      <c r="E66" s="9"/>
      <c r="F66" s="9"/>
      <c r="G66" s="9"/>
      <c r="H66" s="9"/>
      <c r="I66" s="9"/>
      <c r="J66" s="9"/>
      <c r="K66" s="9"/>
      <c r="L66" s="9"/>
    </row>
    <row r="67" spans="1:12" ht="21" customHeight="1">
      <c r="A67" s="8" t="s">
        <v>653</v>
      </c>
      <c r="B67" s="34">
        <v>46312.781643518516</v>
      </c>
      <c r="C67" s="8"/>
      <c r="D67" s="9"/>
      <c r="E67" s="9"/>
      <c r="F67" s="9"/>
      <c r="G67" s="9"/>
      <c r="H67" s="9"/>
      <c r="I67" s="9"/>
      <c r="J67" s="9"/>
      <c r="K67" s="9"/>
      <c r="L67" s="9"/>
    </row>
    <row r="68" spans="1:12" ht="21" customHeight="1">
      <c r="A68" s="8" t="s">
        <v>654</v>
      </c>
      <c r="B68" s="35" t="str">
        <f>B105&amp;"|"&amp;B106&amp;"|"&amp;B107&amp;"|"&amp;B108&amp;"|"&amp;B109&amp;"|"&amp;B110&amp;"|"&amp;B111&amp;"|"&amp;B112&amp;"|"&amp;B113&amp;"|"&amp;B114&amp;"|"&amp;IF(B6="","_",B6)&amp;"|"&amp;IF(B7="","_",B7)&amp;"|"&amp;IF(B8="","_",B8)&amp;"|"&amp;IF(B9="","_",B9)&amp;"|"&amp;IF(B10="","_",B10)</f>
        <v>模拟产业园 · 租售结合|2026|20|100000|1.5|0.9|15000|0.55|3|4|4|800|2400|3000|4500|1800|2200|0.08|500|6500|0.025|0.08|26|0.015|0.5|0.7|0.85|0.9|3|0.98|0.05|300|0.02|0.12|180|0.06|0.25|30|0.05|30000|0.042|10|4|33000|0|30000|0.03|0.08|0.1|0.08|0.1|15|20|1.2|0.1|0.1|10|0.1|0|1|1|0|1|50|1|5|0.7|1|0|0|0|0|60750|0|1|0|0|0|0|0|10|0|0|0|0|0|0|0|0|0.5|0|4|0.25|0.25|0.25|0.25|3200|26000|208|2|8|1|1|0|0.3|0.4|0.3|0|0|0|0|0|0|0|0|0|0|0|0|0|0|0|0|0|0|0|0|0|0|0|0|0|0|0|0|0|0|0|0.3|0.4|0.3|0|0|0|0|0|0|0|0|0|0|0|0|0|0|0|0|0|0|0|0|0|0|0|0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|_</v>
      </c>
      <c r="C68" s="8"/>
      <c r="D68" s="9"/>
      <c r="E68" s="9"/>
      <c r="F68" s="9"/>
      <c r="G68" s="9"/>
      <c r="H68" s="9"/>
      <c r="I68" s="9"/>
      <c r="J68" s="9"/>
      <c r="K68" s="9"/>
      <c r="L68" s="9"/>
    </row>
    <row r="69" spans="1:12" ht="21" customHeight="1">
      <c r="A69" s="8" t="s">
        <v>655</v>
      </c>
      <c r="B69" s="35" t="s">
        <v>787</v>
      </c>
      <c r="C69" s="8"/>
      <c r="D69" s="9"/>
      <c r="E69" s="9"/>
      <c r="F69" s="9"/>
      <c r="G69" s="9"/>
      <c r="H69" s="9"/>
      <c r="I69" s="9"/>
      <c r="J69" s="9"/>
      <c r="K69" s="9"/>
      <c r="L69" s="9"/>
    </row>
    <row r="70" spans="1:12" ht="21" customHeight="1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</row>
    <row r="71" spans="1:12" ht="21" customHeight="1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</row>
    <row r="72" spans="1:12" ht="21" customHeight="1">
      <c r="A72" s="8" t="s">
        <v>656</v>
      </c>
      <c r="B72" s="8" t="s">
        <v>657</v>
      </c>
      <c r="C72" s="8" t="s">
        <v>17</v>
      </c>
      <c r="D72" s="9" t="s">
        <v>658</v>
      </c>
      <c r="E72" s="9"/>
      <c r="F72" s="9"/>
      <c r="G72" s="9"/>
      <c r="H72" s="9"/>
      <c r="I72" s="9"/>
      <c r="J72" s="9"/>
      <c r="K72" s="9"/>
      <c r="L72" s="9"/>
    </row>
    <row r="73" spans="1:12" ht="33.950000000000003" customHeight="1">
      <c r="A73" s="8" t="s">
        <v>659</v>
      </c>
      <c r="B73" s="36" t="s">
        <v>784</v>
      </c>
      <c r="C73" s="8" t="s">
        <v>92</v>
      </c>
      <c r="D73" s="37" t="s">
        <v>785</v>
      </c>
      <c r="E73" s="37"/>
      <c r="F73" s="37"/>
      <c r="G73" s="37"/>
      <c r="H73" s="9"/>
      <c r="I73" s="9"/>
      <c r="J73" s="9"/>
      <c r="K73" s="9"/>
      <c r="L73" s="9"/>
    </row>
    <row r="74" spans="1:12" ht="33.950000000000003" customHeight="1">
      <c r="A74" s="8" t="s">
        <v>660</v>
      </c>
      <c r="B74" s="36" t="s">
        <v>784</v>
      </c>
      <c r="C74" s="8" t="s">
        <v>92</v>
      </c>
      <c r="D74" s="37" t="s">
        <v>785</v>
      </c>
      <c r="E74" s="37"/>
      <c r="F74" s="37"/>
      <c r="G74" s="37"/>
      <c r="H74" s="9"/>
      <c r="I74" s="9"/>
      <c r="J74" s="9"/>
      <c r="K74" s="9"/>
      <c r="L74" s="9"/>
    </row>
    <row r="75" spans="1:12" ht="33.950000000000003" customHeight="1">
      <c r="A75" s="8" t="s">
        <v>661</v>
      </c>
      <c r="B75" s="36">
        <v>12326.938062906265</v>
      </c>
      <c r="C75" s="8" t="s">
        <v>92</v>
      </c>
      <c r="D75" s="37" t="s">
        <v>786</v>
      </c>
      <c r="E75" s="37"/>
      <c r="F75" s="37"/>
      <c r="G75" s="37"/>
      <c r="H75" s="9"/>
      <c r="I75" s="9"/>
      <c r="J75" s="9"/>
      <c r="K75" s="9"/>
      <c r="L75" s="9"/>
    </row>
    <row r="76" spans="1:12" ht="33.950000000000003" customHeight="1">
      <c r="A76" s="8" t="s">
        <v>662</v>
      </c>
      <c r="B76" s="36" t="s">
        <v>784</v>
      </c>
      <c r="C76" s="8" t="s">
        <v>92</v>
      </c>
      <c r="D76" s="37" t="s">
        <v>785</v>
      </c>
      <c r="E76" s="37"/>
      <c r="F76" s="37"/>
      <c r="G76" s="37"/>
      <c r="H76" s="9"/>
      <c r="I76" s="9"/>
      <c r="J76" s="9"/>
      <c r="K76" s="9"/>
      <c r="L76" s="9"/>
    </row>
    <row r="77" spans="1:12" ht="33.950000000000003" customHeight="1">
      <c r="A77" s="8" t="s">
        <v>663</v>
      </c>
      <c r="B77" s="36">
        <v>94.49977895617485</v>
      </c>
      <c r="C77" s="8" t="s">
        <v>117</v>
      </c>
      <c r="D77" s="37" t="s">
        <v>786</v>
      </c>
      <c r="E77" s="37"/>
      <c r="F77" s="37"/>
      <c r="G77" s="37"/>
      <c r="H77" s="9"/>
      <c r="I77" s="9"/>
      <c r="J77" s="9"/>
      <c r="K77" s="9"/>
      <c r="L77" s="9"/>
    </row>
    <row r="78" spans="1:12" ht="33.950000000000003" customHeight="1">
      <c r="A78" s="8" t="s">
        <v>664</v>
      </c>
      <c r="B78" s="36">
        <v>132.02576747536659</v>
      </c>
      <c r="C78" s="8" t="s">
        <v>117</v>
      </c>
      <c r="D78" s="37" t="s">
        <v>786</v>
      </c>
      <c r="E78" s="37"/>
      <c r="F78" s="37"/>
      <c r="G78" s="37"/>
      <c r="H78" s="9"/>
      <c r="I78" s="9"/>
      <c r="J78" s="9"/>
      <c r="K78" s="9"/>
      <c r="L78" s="9"/>
    </row>
    <row r="79" spans="1:12" ht="33.950000000000003" customHeight="1">
      <c r="A79" s="8" t="s">
        <v>665</v>
      </c>
      <c r="B79" s="38" t="s">
        <v>784</v>
      </c>
      <c r="C79" s="8" t="s">
        <v>38</v>
      </c>
      <c r="D79" s="37" t="s">
        <v>785</v>
      </c>
      <c r="E79" s="37"/>
      <c r="F79" s="37"/>
      <c r="G79" s="37"/>
      <c r="H79" s="9"/>
      <c r="I79" s="9"/>
      <c r="J79" s="9"/>
      <c r="K79" s="9"/>
      <c r="L79" s="9"/>
    </row>
    <row r="80" spans="1:12" ht="33.950000000000003" customHeight="1">
      <c r="A80" s="8" t="s">
        <v>666</v>
      </c>
      <c r="B80" s="36" t="s">
        <v>784</v>
      </c>
      <c r="C80" s="8" t="s">
        <v>73</v>
      </c>
      <c r="D80" s="37" t="s">
        <v>785</v>
      </c>
      <c r="E80" s="37"/>
      <c r="F80" s="37"/>
      <c r="G80" s="37"/>
      <c r="H80" s="9"/>
      <c r="I80" s="9"/>
      <c r="J80" s="9"/>
      <c r="K80" s="9"/>
      <c r="L80" s="9"/>
    </row>
    <row r="81" spans="1:12" ht="33.950000000000003" customHeight="1">
      <c r="A81" s="8" t="s">
        <v>667</v>
      </c>
      <c r="B81" s="25" t="s">
        <v>784</v>
      </c>
      <c r="C81" s="8" t="s">
        <v>223</v>
      </c>
      <c r="D81" s="37" t="s">
        <v>785</v>
      </c>
      <c r="E81" s="37"/>
      <c r="F81" s="37"/>
      <c r="G81" s="37"/>
      <c r="H81" s="9"/>
      <c r="I81" s="9"/>
      <c r="J81" s="9"/>
      <c r="K81" s="9"/>
      <c r="L81" s="9"/>
    </row>
    <row r="82" spans="1:12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</row>
    <row r="83" spans="1:12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</row>
    <row r="84" spans="1:12" ht="33.950000000000003" customHeight="1">
      <c r="A84" s="8" t="s">
        <v>668</v>
      </c>
      <c r="B84" s="8"/>
      <c r="C84" s="8"/>
      <c r="D84" s="37" t="s">
        <v>669</v>
      </c>
      <c r="E84" s="37"/>
      <c r="F84" s="37"/>
      <c r="G84" s="37"/>
      <c r="H84" s="9"/>
      <c r="I84" s="9"/>
      <c r="J84" s="9"/>
      <c r="K84" s="9"/>
      <c r="L84" s="9"/>
    </row>
    <row r="85" spans="1:12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</row>
    <row r="86" spans="1:12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</row>
    <row r="87" spans="1:12" ht="21" customHeigh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</row>
    <row r="88" spans="1:12" ht="21" customHeight="1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</row>
    <row r="89" spans="1:12" ht="21" customHeight="1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</row>
    <row r="90" spans="1:12" ht="21" customHeight="1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</row>
    <row r="91" spans="1:12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</row>
    <row r="92" spans="1:12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</row>
    <row r="93" spans="1:12" ht="21" customHeight="1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</row>
    <row r="94" spans="1:12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</row>
    <row r="95" spans="1:12" ht="21" customHeight="1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</row>
    <row r="96" spans="1:12" ht="21" customHeight="1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</row>
    <row r="97" spans="1:12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</row>
    <row r="98" spans="1:12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</row>
    <row r="99" spans="1:12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</row>
    <row r="100" spans="1:12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21" hidden="1" customHeight="1">
      <c r="A105" s="8"/>
      <c r="B105" s="35" t="str">
        <f>IF(核心参数输入!$B$7="","_",核心参数输入!$B$7)&amp;"|"&amp;IF(核心参数输入!$B$8="","_",核心参数输入!$B$8)&amp;"|"&amp;IF(核心参数输入!$B$9="","_",核心参数输入!$B$9)&amp;"|"&amp;IF(核心参数输入!$B$10="","_",核心参数输入!$B$10)&amp;"|"&amp;IF(核心参数输入!$B$11="","_",核心参数输入!$B$11)&amp;"|"&amp;IF(核心参数输入!$B$12="","_",核心参数输入!$B$12)&amp;"|"&amp;IF(核心参数输入!$B$13="","_",核心参数输入!$B$13)&amp;"|"&amp;IF(核心参数输入!$B$14="","_",核心参数输入!$B$14)&amp;"|"&amp;IF(核心参数输入!$B$16="","_",核心参数输入!$B$16)&amp;"|"&amp;IF(核心参数输入!$B$17="","_",核心参数输入!$B$17)&amp;"|"&amp;IF(核心参数输入!$B$18="","_",核心参数输入!$B$18)&amp;"|"&amp;IF(核心参数输入!$B$21="","_",核心参数输入!$B$21)&amp;"|"&amp;IF(核心参数输入!$B$22="","_",核心参数输入!$B$22)&amp;"|"&amp;IF(核心参数输入!$B$23="","_",核心参数输入!$B$23)&amp;"|"&amp;IF(核心参数输入!$B$24="","_",核心参数输入!$B$24)&amp;"|"&amp;IF(核心参数输入!$B$25="","_",核心参数输入!$B$25)&amp;"|"&amp;IF(核心参数输入!$B$26="","_",核心参数输入!$B$26)&amp;"|"&amp;IF(核心参数输入!$B$27="","_",核心参数输入!$B$27)&amp;"|"&amp;IF(核心参数输入!$B$28="","_",核心参数输入!$B$28)&amp;"|"&amp;IF(核心参数输入!$B$31="","_",核心参数输入!$B$31)&amp;"|"&amp;IF(核心参数输入!$B$32="","_",核心参数输入!$B$32)&amp;"|"&amp;IF(核心参数输入!$B$33="","_",核心参数输入!$B$33)&amp;"|"&amp;IF(核心参数输入!$B$36="","_",核心参数输入!$B$36)&amp;"|"&amp;IF(核心参数输入!$B$37="","_",核心参数输入!$B$37)&amp;"|"&amp;IF(核心参数输入!$B$38="","_",核心参数输入!$B$38)&amp;"|"&amp;IF(核心参数输入!$B$39="","_",核心参数输入!$B$39)&amp;"|"&amp;IF(核心参数输入!$B$40="","_",核心参数输入!$B$40)&amp;"|"&amp;IF(核心参数输入!$B$41="","_",核心参数输入!$B$41)&amp;"|"&amp;IF(核心参数输入!$B$42="","_",核心参数输入!$B$42)&amp;"|"&amp;IF(核心参数输入!$B$43="","_",核心参数输入!$B$43)&amp;"|"&amp;IF(核心参数输入!$B$44="","_",核心参数输入!$B$44)&amp;"|"&amp;IF(核心参数输入!$B$47="","_",核心参数输入!$B$47)&amp;"|"&amp;IF(核心参数输入!$B$48="","_",核心参数输入!$B$48)&amp;"|"&amp;IF(核心参数输入!$B$49="","_",核心参数输入!$B$49)&amp;"|"&amp;IF(核心参数输入!$B$50="","_",核心参数输入!$B$50)&amp;"|"&amp;IF(核心参数输入!$B$51="","_",核心参数输入!$B$51)&amp;"|"&amp;IF(核心参数输入!$B$52="","_",核心参数输入!$B$52)&amp;"|"&amp;IF(核心参数输入!$B$53="","_",核心参数输入!$B$53)&amp;"|"&amp;IF(核心参数输入!$B$54="","_",核心参数输入!$B$54)&amp;"|"&amp;IF(核心参数输入!$B$57="","_",核心参数输入!$B$57)&amp;"|"&amp;IF(核心参数输入!$B$58="","_",核心参数输入!$B$58)&amp;"|"&amp;IF(核心参数输入!$B$59="","_",核心参数输入!$B$59)&amp;"|"&amp;IF(核心参数输入!$B$60="","_",核心参数输入!$B$60)&amp;"|"&amp;IF(核心参数输入!$B$61="","_",核心参数输入!$B$61)&amp;"|"&amp;IF(核心参数输入!$B$64="","_",核心参数输入!$B$64)&amp;"|"&amp;IF(核心参数输入!$B$65="","_",核心参数输入!$B$65)&amp;"|"&amp;IF(核心参数输入!$B$66="","_",核心参数输入!$B$66)&amp;"|"&amp;IF(核心参数输入!$B$69="","_",核心参数输入!$B$69)&amp;"|"&amp;IF(核心参数输入!$B$70="","_",核心参数输入!$B$70)&amp;"|"&amp;IF(核心参数输入!$B$71="","_",核心参数输入!$B$71)&amp;"|"&amp;IF(核心参数输入!$B$72="","_",核心参数输入!$B$72)&amp;"|"&amp;IF(核心参数输入!$B$73="","_",核心参数输入!$B$73)&amp;"|"&amp;IF(核心参数输入!$B$74="","_",核心参数输入!$B$74)&amp;"|"&amp;IF(核心参数输入!$B$75="","_",核心参数输入!$B$75)&amp;"|"&amp;IF(核心参数输入!$B$78="","_",核心参数输入!$B$78)&amp;"|"&amp;IF(核心参数输入!$B$79="","_",核心参数输入!$B$79)&amp;"|"&amp;IF(核心参数输入!$B$80="","_",核心参数输入!$B$80)&amp;"|"&amp;IF(核心参数输入!$B$81="","_",核心参数输入!$B$81)&amp;"|"&amp;IF(核心参数输入!$B$82="","_",核心参数输入!$B$82)&amp;"|"&amp;IF(核心参数输入!$B$95="","_",核心参数输入!$B$95)&amp;"|"&amp;IF(核心参数输入!$B$96="","_",核心参数输入!$B$96)&amp;"|"&amp;IF(核心参数输入!$B$97="","_",核心参数输入!$B$97)&amp;"|"&amp;IF(核心参数输入!$B$98="","_",核心参数输入!$B$98)&amp;"|"&amp;IF(核心参数输入!$B$99="","_",核心参数输入!$B$99)&amp;"|"&amp;IF(核心参数输入!$B$100="","_",核心参数输入!$B$100)&amp;"|"&amp;IF(核心参数输入!$B$101="","_",核心参数输入!$B$101)&amp;"|"&amp;IF(核心参数输入!$B$102="","_",核心参数输入!$B$102)&amp;"|"&amp;IF(核心参数输入!$B$103="","_",核心参数输入!$B$103)&amp;"|"&amp;IF(核心参数输入!$B$104="","_",核心参数输入!$B$104)&amp;"|"&amp;IF(核心参数输入!$B$105="","_",核心参数输入!$B$105)</f>
        <v>模拟产业园 · 租售结合|2026|20|100000|1.5|0.9|15000|0.55|3|4|4|800|2400|3000|4500|1800|2200|0.08|500|6500|0.025|0.08|26|0.015|0.5|0.7|0.85|0.9|3|0.98|0.05|300|0.02|0.12|180|0.06|0.25|30|0.05|30000|0.042|10|4|33000|0|30000|0.03|0.08|0.1|0.08|0.1|15|20|1.2|0.1|0.1|10|0.1|0|1|1|0|1|50|1|5|0.7|1|0|0</v>
      </c>
      <c r="C105" s="8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21" hidden="1" customHeight="1">
      <c r="A106" s="8"/>
      <c r="B106" s="35" t="str">
        <f>IF(核心参数输入!$B$106="","_",核心参数输入!$B$106)&amp;"|"&amp;IF(核心参数输入!$B$107="","_",核心参数输入!$B$107)&amp;"|"&amp;IF(核心参数输入!$B$108="","_",核心参数输入!$B$108)&amp;"|"&amp;IF(核心参数输入!$B$109="","_",核心参数输入!$B$109)&amp;"|"&amp;IF(核心参数输入!$B$110="","_",核心参数输入!$B$110)&amp;"|"&amp;IF(核心参数输入!$B$111="","_",核心参数输入!$B$111)&amp;"|"&amp;IF(核心参数输入!$B$112="","_",核心参数输入!$B$112)&amp;"|"&amp;IF(核心参数输入!$B$113="","_",核心参数输入!$B$113)&amp;"|"&amp;IF(核心参数输入!$B$114="","_",核心参数输入!$B$114)&amp;"|"&amp;IF(核心参数输入!$B$115="","_",核心参数输入!$B$115)&amp;"|"&amp;IF(核心参数输入!$B$116="","_",核心参数输入!$B$116)&amp;"|"&amp;IF(核心参数输入!$B$117="","_",核心参数输入!$B$117)&amp;"|"&amp;IF(核心参数输入!$B$118="","_",核心参数输入!$B$118)&amp;"|"&amp;IF(核心参数输入!$B$119="","_",核心参数输入!$B$119)&amp;"|"&amp;IF(核心参数输入!$B$120="","_",核心参数输入!$B$120)&amp;"|"&amp;IF(核心参数输入!$B$121="","_",核心参数输入!$B$121)&amp;"|"&amp;IF(核心参数输入!$B$122="","_",核心参数输入!$B$122)&amp;"|"&amp;IF(核心参数输入!$B$123="","_",核心参数输入!$B$123)&amp;"|"&amp;IF(核心参数输入!$B$124="","_",核心参数输入!$B$124)&amp;"|"&amp;IF(核心参数输入!$B$125="","_",核心参数输入!$B$125)&amp;"|"&amp;IF(核心参数输入!$B$126="","_",核心参数输入!$B$126)&amp;"|"&amp;IF(核心参数输入!$B$127="","_",核心参数输入!$B$127)&amp;"|"&amp;IF(核心参数输入!$B$128="","_",核心参数输入!$B$128)&amp;"|"&amp;IF(核心参数输入!$B$129="","_",核心参数输入!$B$129)&amp;"|"&amp;IF(核心参数输入!$B$130="","_",核心参数输入!$B$130)&amp;"|"&amp;IF(核心参数输入!$B$131="","_",核心参数输入!$B$131)&amp;"|"&amp;IF(核心参数输入!$B$132="","_",核心参数输入!$B$132)&amp;"|"&amp;IF(核心参数输入!$B$133="","_",核心参数输入!$B$133)&amp;"|"&amp;IF(核心参数输入!$B$134="","_",核心参数输入!$B$134)&amp;"|"&amp;IF(核心参数输入!$B$135="","_",核心参数输入!$B$135)&amp;"|"&amp;IF(核心参数输入!$B$136="","_",核心参数输入!$B$136)&amp;"|"&amp;IF(核心参数输入!$B$137="","_",核心参数输入!$B$137)&amp;"|"&amp;IF(核心参数输入!$B$139="","_",核心参数输入!$B$139)&amp;"|"&amp;IF(核心参数输入!D88="","_",核心参数输入!D88)&amp;"|"&amp;IF(核心参数输入!E88="","_",核心参数输入!E88)&amp;"|"&amp;IF(核心参数输入!F88="","_",核心参数输入!F88)&amp;"|"&amp;IF(核心参数输入!G88="","_",核心参数输入!G88)&amp;"|"&amp;IF(核心参数输入!H88="","_",核心参数输入!H88)&amp;"|"&amp;IF(核心参数输入!I88="","_",核心参数输入!I88)&amp;"|"&amp;IF(核心参数输入!J88="","_",核心参数输入!J88)&amp;"|"&amp;IF(核心参数输入!K88="","_",核心参数输入!K88)&amp;"|"&amp;IF(核心参数输入!L88="","_",核心参数输入!L88)&amp;"|"&amp;IF(核心参数输入!M88="","_",核心参数输入!M88)&amp;"|"&amp;IF(核心参数输入!N88="","_",核心参数输入!N88)&amp;"|"&amp;IF(核心参数输入!O88="","_",核心参数输入!O88)&amp;"|"&amp;IF(核心参数输入!P88="","_",核心参数输入!P88)&amp;"|"&amp;IF(核心参数输入!Q88="","_",核心参数输入!Q88)&amp;"|"&amp;IF(核心参数输入!R88="","_",核心参数输入!R88)&amp;"|"&amp;IF(核心参数输入!S88="","_",核心参数输入!S88)&amp;"|"&amp;IF(核心参数输入!T88="","_",核心参数输入!T88)&amp;"|"&amp;IF(核心参数输入!U88="","_",核心参数输入!U88)&amp;"|"&amp;IF(核心参数输入!V88="","_",核心参数输入!V88)&amp;"|"&amp;IF(核心参数输入!W88="","_",核心参数输入!W88)&amp;"|"&amp;IF(核心参数输入!X88="","_",核心参数输入!X88)&amp;"|"&amp;IF(核心参数输入!Y88="","_",核心参数输入!Y88)&amp;"|"&amp;IF(核心参数输入!Z88="","_",核心参数输入!Z88)&amp;"|"&amp;IF(核心参数输入!AA88="","_",核心参数输入!AA88)&amp;"|"&amp;IF(核心参数输入!AB88="","_",核心参数输入!AB88)&amp;"|"&amp;IF(核心参数输入!AC88="","_",核心参数输入!AC88)&amp;"|"&amp;IF(核心参数输入!AD88="","_",核心参数输入!AD88)&amp;"|"&amp;IF(核心参数输入!AE88="","_",核心参数输入!AE88)&amp;"|"&amp;IF(核心参数输入!AF88="","_",核心参数输入!AF88)&amp;"|"&amp;IF(核心参数输入!AG88="","_",核心参数输入!AG88)&amp;"|"&amp;IF(核心参数输入!AH88="","_",核心参数输入!AH88)&amp;"|"&amp;IF(核心参数输入!D89="","_",核心参数输入!D89)&amp;"|"&amp;IF(核心参数输入!E89="","_",核心参数输入!E89)&amp;"|"&amp;IF(核心参数输入!F89="","_",核心参数输入!F89)&amp;"|"&amp;IF(核心参数输入!G89="","_",核心参数输入!G89)&amp;"|"&amp;IF(核心参数输入!H89="","_",核心参数输入!H89)&amp;"|"&amp;IF(核心参数输入!I89="","_",核心参数输入!I89)</f>
        <v>0|0|60750|0|1|0|0|0|0|0|10|0|0|0|0|0|0|0|0|0.5|0|4|0.25|0.25|0.25|0.25|3200|26000|208|2|8|1|1|0|0.3|0.4|0.3|0|0|0|0|0|0|0|0|0|0|0|0|0|0|0|0|0|0|0|0|0|0|0|0|0|0|0|0|0|0|0|0.3|0.4</v>
      </c>
      <c r="C106" s="8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21" hidden="1" customHeight="1">
      <c r="A107" s="8"/>
      <c r="B107" s="35" t="str">
        <f>IF(核心参数输入!J89="","_",核心参数输入!J89)&amp;"|"&amp;IF(核心参数输入!K89="","_",核心参数输入!K89)&amp;"|"&amp;IF(核心参数输入!L89="","_",核心参数输入!L89)&amp;"|"&amp;IF(核心参数输入!M89="","_",核心参数输入!M89)&amp;"|"&amp;IF(核心参数输入!N89="","_",核心参数输入!N89)&amp;"|"&amp;IF(核心参数输入!O89="","_",核心参数输入!O89)&amp;"|"&amp;IF(核心参数输入!P89="","_",核心参数输入!P89)&amp;"|"&amp;IF(核心参数输入!Q89="","_",核心参数输入!Q89)&amp;"|"&amp;IF(核心参数输入!R89="","_",核心参数输入!R89)&amp;"|"&amp;IF(核心参数输入!S89="","_",核心参数输入!S89)&amp;"|"&amp;IF(核心参数输入!T89="","_",核心参数输入!T89)&amp;"|"&amp;IF(核心参数输入!U89="","_",核心参数输入!U89)&amp;"|"&amp;IF(核心参数输入!V89="","_",核心参数输入!V89)&amp;"|"&amp;IF(核心参数输入!W89="","_",核心参数输入!W89)&amp;"|"&amp;IF(核心参数输入!X89="","_",核心参数输入!X89)&amp;"|"&amp;IF(核心参数输入!Y89="","_",核心参数输入!Y89)&amp;"|"&amp;IF(核心参数输入!Z89="","_",核心参数输入!Z89)&amp;"|"&amp;IF(核心参数输入!AA89="","_",核心参数输入!AA89)&amp;"|"&amp;IF(核心参数输入!AB89="","_",核心参数输入!AB89)&amp;"|"&amp;IF(核心参数输入!AC89="","_",核心参数输入!AC89)&amp;"|"&amp;IF(核心参数输入!AD89="","_",核心参数输入!AD89)&amp;"|"&amp;IF(核心参数输入!AE89="","_",核心参数输入!AE89)&amp;"|"&amp;IF(核心参数输入!AF89="","_",核心参数输入!AF89)&amp;"|"&amp;IF(核心参数输入!AG89="","_",核心参数输入!AG89)&amp;"|"&amp;IF(核心参数输入!AH89="","_",核心参数输入!AH89)&amp;"|"&amp;IF(季度计划!D20="","_",季度计划!D20)&amp;"|"&amp;IF(季度计划!E20="","_",季度计划!E20)&amp;"|"&amp;IF(季度计划!F20="","_",季度计划!F20)&amp;"|"&amp;IF(季度计划!G20="","_",季度计划!G20)&amp;"|"&amp;IF(季度计划!H20="","_",季度计划!H20)&amp;"|"&amp;IF(季度计划!I20="","_",季度计划!I20)&amp;"|"&amp;IF(季度计划!J20="","_",季度计划!J20)&amp;"|"&amp;IF(季度计划!K20="","_",季度计划!K20)&amp;"|"&amp;IF(季度计划!L20="","_",季度计划!L20)&amp;"|"&amp;IF(季度计划!M20="","_",季度计划!M20)&amp;"|"&amp;IF(季度计划!N20="","_",季度计划!N20)&amp;"|"&amp;IF(季度计划!O20="","_",季度计划!O20)&amp;"|"&amp;IF(季度计划!P20="","_",季度计划!P20)&amp;"|"&amp;IF(季度计划!Q20="","_",季度计划!Q20)&amp;"|"&amp;IF(季度计划!R20="","_",季度计划!R20)&amp;"|"&amp;IF(季度计划!S20="","_",季度计划!S20)&amp;"|"&amp;IF(季度计划!T20="","_",季度计划!T20)&amp;"|"&amp;IF(季度计划!U20="","_",季度计划!U20)&amp;"|"&amp;IF(季度计划!V20="","_",季度计划!V20)&amp;"|"&amp;IF(季度计划!W20="","_",季度计划!W20)&amp;"|"&amp;IF(季度计划!X20="","_",季度计划!X20)&amp;"|"&amp;IF(季度计划!Y20="","_",季度计划!Y20)&amp;"|"&amp;IF(季度计划!Z20="","_",季度计划!Z20)&amp;"|"&amp;IF(季度计划!AA20="","_",季度计划!AA20)&amp;"|"&amp;IF(季度计划!AB20="","_",季度计划!AB20)&amp;"|"&amp;IF(季度计划!AC20="","_",季度计划!AC20)&amp;"|"&amp;IF(季度计划!AD20="","_",季度计划!AD20)&amp;"|"&amp;IF(季度计划!AE20="","_",季度计划!AE20)&amp;"|"&amp;IF(季度计划!AF20="","_",季度计划!AF20)&amp;"|"&amp;IF(季度计划!AG20="","_",季度计划!AG20)&amp;"|"&amp;IF(季度计划!AH20="","_",季度计划!AH20)&amp;"|"&amp;IF(季度计划!AI20="","_",季度计划!AI20)&amp;"|"&amp;IF(季度计划!AJ20="","_",季度计划!AJ20)&amp;"|"&amp;IF(季度计划!AK20="","_",季度计划!AK20)&amp;"|"&amp;IF(季度计划!AL20="","_",季度计划!AL20)&amp;"|"&amp;IF(季度计划!AM20="","_",季度计划!AM20)&amp;"|"&amp;IF(季度计划!AN20="","_",季度计划!AN20)&amp;"|"&amp;IF(季度计划!AO20="","_",季度计划!AO20)&amp;"|"&amp;IF(季度计划!AP20="","_",季度计划!AP20)&amp;"|"&amp;IF(季度计划!AQ20="","_",季度计划!AQ20)&amp;"|"&amp;IF(季度计划!AR20="","_",季度计划!AR20)&amp;"|"&amp;IF(季度计划!AS20="","_",季度计划!AS20)&amp;"|"&amp;IF(季度计划!AT20="","_",季度计划!AT20)&amp;"|"&amp;IF(季度计划!AU20="","_",季度计划!AU20)&amp;"|"&amp;IF(季度计划!AV20="","_",季度计划!AV20)</f>
        <v>0.3|0|0|0|0|0|0|0|0|0|0|0|0|0|0|0|0|0|0|0|0|0|0|0|0|_|_|_|_|_|_|_|_|_|_|_|_|_|_|_|_|_|_|_|_|_|_|_|_|_|_|_|_|_|_|_|_|_|_|_|_|_|_|_|_|_|_|_|_|_</v>
      </c>
      <c r="C107" s="8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21" hidden="1" customHeight="1">
      <c r="A108" s="8"/>
      <c r="B108" s="35" t="str">
        <f>IF(季度计划!AW20="","_",季度计划!AW20)&amp;"|"&amp;IF(季度计划!AX20="","_",季度计划!AX20)&amp;"|"&amp;IF(季度计划!AY20="","_",季度计划!AY20)&amp;"|"&amp;IF(季度计划!AZ20="","_",季度计划!AZ20)&amp;"|"&amp;IF(季度计划!BA20="","_",季度计划!BA20)&amp;"|"&amp;IF(季度计划!BB20="","_",季度计划!BB20)&amp;"|"&amp;IF(季度计划!BC20="","_",季度计划!BC20)&amp;"|"&amp;IF(季度计划!BD20="","_",季度计划!BD20)&amp;"|"&amp;IF(季度计划!BE20="","_",季度计划!BE20)&amp;"|"&amp;IF(季度计划!BF20="","_",季度计划!BF20)&amp;"|"&amp;IF(季度计划!BG20="","_",季度计划!BG20)&amp;"|"&amp;IF(季度计划!BH20="","_",季度计划!BH20)&amp;"|"&amp;IF(季度计划!BI20="","_",季度计划!BI20)&amp;"|"&amp;IF(季度计划!BJ20="","_",季度计划!BJ20)&amp;"|"&amp;IF(季度计划!BK20="","_",季度计划!BK20)&amp;"|"&amp;IF(季度计划!BL20="","_",季度计划!BL20)&amp;"|"&amp;IF(季度计划!BM20="","_",季度计划!BM20)&amp;"|"&amp;IF(季度计划!BN20="","_",季度计划!BN20)&amp;"|"&amp;IF(季度计划!BO20="","_",季度计划!BO20)&amp;"|"&amp;IF(季度计划!BP20="","_",季度计划!BP20)&amp;"|"&amp;IF(季度计划!BQ20="","_",季度计划!BQ20)&amp;"|"&amp;IF(季度计划!BR20="","_",季度计划!BR20)&amp;"|"&amp;IF(季度计划!BS20="","_",季度计划!BS20)&amp;"|"&amp;IF(季度计划!BT20="","_",季度计划!BT20)&amp;"|"&amp;IF(季度计划!BU20="","_",季度计划!BU20)&amp;"|"&amp;IF(季度计划!BV20="","_",季度计划!BV20)&amp;"|"&amp;IF(季度计划!BW20="","_",季度计划!BW20)&amp;"|"&amp;IF(季度计划!BX20="","_",季度计划!BX20)&amp;"|"&amp;IF(季度计划!BY20="","_",季度计划!BY20)&amp;"|"&amp;IF(季度计划!BZ20="","_",季度计划!BZ20)&amp;"|"&amp;IF(季度计划!CA20="","_",季度计划!CA20)&amp;"|"&amp;IF(季度计划!CB20="","_",季度计划!CB20)&amp;"|"&amp;IF(季度计划!CC20="","_",季度计划!CC20)&amp;"|"&amp;IF(季度计划!CD20="","_",季度计划!CD20)&amp;"|"&amp;IF(季度计划!CE20="","_",季度计划!CE20)&amp;"|"&amp;IF(季度计划!CF20="","_",季度计划!CF20)&amp;"|"&amp;IF(季度计划!CG20="","_",季度计划!CG20)&amp;"|"&amp;IF(季度计划!CH20="","_",季度计划!CH20)&amp;"|"&amp;IF(季度计划!CI20="","_",季度计划!CI20)&amp;"|"&amp;IF(季度计划!CJ20="","_",季度计划!CJ20)&amp;"|"&amp;IF(季度计划!CK20="","_",季度计划!CK20)&amp;"|"&amp;IF(季度计划!CL20="","_",季度计划!CL20)&amp;"|"&amp;IF(季度计划!CM20="","_",季度计划!CM20)&amp;"|"&amp;IF(季度计划!CN20="","_",季度计划!CN20)&amp;"|"&amp;IF(季度计划!CO20="","_",季度计划!CO20)&amp;"|"&amp;IF(季度计划!CP20="","_",季度计划!CP20)&amp;"|"&amp;IF(季度计划!CQ20="","_",季度计划!CQ20)&amp;"|"&amp;IF(季度计划!CR20="","_",季度计划!CR20)&amp;"|"&amp;IF(季度计划!CS20="","_",季度计划!CS20)&amp;"|"&amp;IF(季度计划!CT20="","_",季度计划!CT20)&amp;"|"&amp;IF(季度计划!CU20="","_",季度计划!CU20)&amp;"|"&amp;IF(季度计划!CV20="","_",季度计划!CV20)&amp;"|"&amp;IF(季度计划!CW20="","_",季度计划!CW20)&amp;"|"&amp;IF(季度计划!CX20="","_",季度计划!CX20)&amp;"|"&amp;IF(季度计划!CY20="","_",季度计划!CY20)&amp;"|"&amp;IF(季度计划!CZ20="","_",季度计划!CZ20)&amp;"|"&amp;IF(季度计划!DA20="","_",季度计划!DA20)&amp;"|"&amp;IF(季度计划!DB20="","_",季度计划!DB20)&amp;"|"&amp;IF(季度计划!DC20="","_",季度计划!DC20)&amp;"|"&amp;IF(季度计划!DD20="","_",季度计划!DD20)&amp;"|"&amp;IF(季度计划!DE20="","_",季度计划!DE20)&amp;"|"&amp;IF(季度计划!DF20="","_",季度计划!DF20)&amp;"|"&amp;IF(季度计划!DG20="","_",季度计划!DG20)&amp;"|"&amp;IF(季度计划!DH20="","_",季度计划!DH20)&amp;"|"&amp;IF(季度计划!DI20="","_",季度计划!DI20)&amp;"|"&amp;IF(季度计划!DJ20="","_",季度计划!DJ20)&amp;"|"&amp;IF(季度计划!DK20="","_",季度计划!DK20)&amp;"|"&amp;IF(季度计划!DL20="","_",季度计划!DL20)&amp;"|"&amp;IF(季度计划!DM20="","_",季度计划!DM20)&amp;"|"&amp;IF(季度计划!DN20="","_",季度计划!DN20)</f>
        <v>_|_|_|_|_|_|_|_|_|_|_|_|_|_|_|_|_|_|_|_|_|_|_|_|_|_|_|_|_|_|_|_|_|_|_|_|_|_|_|_|_|_|_|_|_|_|_|_|_|_|_|_|_|_|_|_|_|_|_|_|_|_|_|_|_|_|_|_|_|_</v>
      </c>
      <c r="C108" s="8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21" hidden="1" customHeight="1">
      <c r="A109" s="8"/>
      <c r="B109" s="35" t="str">
        <f>IF(季度计划!DO20="","_",季度计划!DO20)&amp;"|"&amp;IF(季度计划!DP20="","_",季度计划!DP20)&amp;"|"&amp;IF(季度计划!DQ20="","_",季度计划!DQ20)&amp;"|"&amp;IF(季度计划!DR20="","_",季度计划!DR20)&amp;"|"&amp;IF(季度计划!DS20="","_",季度计划!DS20)&amp;"|"&amp;IF(季度计划!DT20="","_",季度计划!DT20)&amp;"|"&amp;IF(季度计划!D21="","_",季度计划!D21)&amp;"|"&amp;IF(季度计划!E21="","_",季度计划!E21)&amp;"|"&amp;IF(季度计划!F21="","_",季度计划!F21)&amp;"|"&amp;IF(季度计划!G21="","_",季度计划!G21)&amp;"|"&amp;IF(季度计划!H21="","_",季度计划!H21)&amp;"|"&amp;IF(季度计划!I21="","_",季度计划!I21)&amp;"|"&amp;IF(季度计划!J21="","_",季度计划!J21)&amp;"|"&amp;IF(季度计划!K21="","_",季度计划!K21)&amp;"|"&amp;IF(季度计划!L21="","_",季度计划!L21)&amp;"|"&amp;IF(季度计划!M21="","_",季度计划!M21)&amp;"|"&amp;IF(季度计划!N21="","_",季度计划!N21)&amp;"|"&amp;IF(季度计划!O21="","_",季度计划!O21)&amp;"|"&amp;IF(季度计划!P21="","_",季度计划!P21)&amp;"|"&amp;IF(季度计划!Q21="","_",季度计划!Q21)&amp;"|"&amp;IF(季度计划!R21="","_",季度计划!R21)&amp;"|"&amp;IF(季度计划!S21="","_",季度计划!S21)&amp;"|"&amp;IF(季度计划!T21="","_",季度计划!T21)&amp;"|"&amp;IF(季度计划!U21="","_",季度计划!U21)&amp;"|"&amp;IF(季度计划!V21="","_",季度计划!V21)&amp;"|"&amp;IF(季度计划!W21="","_",季度计划!W21)&amp;"|"&amp;IF(季度计划!X21="","_",季度计划!X21)&amp;"|"&amp;IF(季度计划!Y21="","_",季度计划!Y21)&amp;"|"&amp;IF(季度计划!Z21="","_",季度计划!Z21)&amp;"|"&amp;IF(季度计划!AA21="","_",季度计划!AA21)&amp;"|"&amp;IF(季度计划!AB21="","_",季度计划!AB21)&amp;"|"&amp;IF(季度计划!AC21="","_",季度计划!AC21)&amp;"|"&amp;IF(季度计划!AD21="","_",季度计划!AD21)&amp;"|"&amp;IF(季度计划!AE21="","_",季度计划!AE21)&amp;"|"&amp;IF(季度计划!AF21="","_",季度计划!AF21)&amp;"|"&amp;IF(季度计划!AG21="","_",季度计划!AG21)&amp;"|"&amp;IF(季度计划!AH21="","_",季度计划!AH21)&amp;"|"&amp;IF(季度计划!AI21="","_",季度计划!AI21)&amp;"|"&amp;IF(季度计划!AJ21="","_",季度计划!AJ21)&amp;"|"&amp;IF(季度计划!AK21="","_",季度计划!AK21)&amp;"|"&amp;IF(季度计划!AL21="","_",季度计划!AL21)&amp;"|"&amp;IF(季度计划!AM21="","_",季度计划!AM21)&amp;"|"&amp;IF(季度计划!AN21="","_",季度计划!AN21)&amp;"|"&amp;IF(季度计划!AO21="","_",季度计划!AO21)&amp;"|"&amp;IF(季度计划!AP21="","_",季度计划!AP21)&amp;"|"&amp;IF(季度计划!AQ21="","_",季度计划!AQ21)&amp;"|"&amp;IF(季度计划!AR21="","_",季度计划!AR21)&amp;"|"&amp;IF(季度计划!AS21="","_",季度计划!AS21)&amp;"|"&amp;IF(季度计划!AT21="","_",季度计划!AT21)&amp;"|"&amp;IF(季度计划!AU21="","_",季度计划!AU21)&amp;"|"&amp;IF(季度计划!AV21="","_",季度计划!AV21)&amp;"|"&amp;IF(季度计划!AW21="","_",季度计划!AW21)&amp;"|"&amp;IF(季度计划!AX21="","_",季度计划!AX21)&amp;"|"&amp;IF(季度计划!AY21="","_",季度计划!AY21)&amp;"|"&amp;IF(季度计划!AZ21="","_",季度计划!AZ21)&amp;"|"&amp;IF(季度计划!BA21="","_",季度计划!BA21)&amp;"|"&amp;IF(季度计划!BB21="","_",季度计划!BB21)&amp;"|"&amp;IF(季度计划!BC21="","_",季度计划!BC21)&amp;"|"&amp;IF(季度计划!BD21="","_",季度计划!BD21)&amp;"|"&amp;IF(季度计划!BE21="","_",季度计划!BE21)&amp;"|"&amp;IF(季度计划!BF21="","_",季度计划!BF21)&amp;"|"&amp;IF(季度计划!BG21="","_",季度计划!BG21)&amp;"|"&amp;IF(季度计划!BH21="","_",季度计划!BH21)&amp;"|"&amp;IF(季度计划!BI21="","_",季度计划!BI21)&amp;"|"&amp;IF(季度计划!BJ21="","_",季度计划!BJ21)&amp;"|"&amp;IF(季度计划!BK21="","_",季度计划!BK21)&amp;"|"&amp;IF(季度计划!BL21="","_",季度计划!BL21)&amp;"|"&amp;IF(季度计划!BM21="","_",季度计划!BM21)&amp;"|"&amp;IF(季度计划!BN21="","_",季度计划!BN21)&amp;"|"&amp;IF(季度计划!BO21="","_",季度计划!BO21)</f>
        <v>_|_|_|_|_|_|_|_|_|_|_|_|_|_|_|_|_|_|_|_|_|_|_|_|_|_|_|_|_|_|_|_|_|_|_|_|_|_|_|_|_|_|_|_|_|_|_|_|_|_|_|_|_|_|_|_|_|_|_|_|_|_|_|_|_|_|_|_|_|_</v>
      </c>
      <c r="C109" s="8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21" hidden="1" customHeight="1">
      <c r="A110" s="8"/>
      <c r="B110" s="35" t="str">
        <f>IF(季度计划!BP21="","_",季度计划!BP21)&amp;"|"&amp;IF(季度计划!BQ21="","_",季度计划!BQ21)&amp;"|"&amp;IF(季度计划!BR21="","_",季度计划!BR21)&amp;"|"&amp;IF(季度计划!BS21="","_",季度计划!BS21)&amp;"|"&amp;IF(季度计划!BT21="","_",季度计划!BT21)&amp;"|"&amp;IF(季度计划!BU21="","_",季度计划!BU21)&amp;"|"&amp;IF(季度计划!BV21="","_",季度计划!BV21)&amp;"|"&amp;IF(季度计划!BW21="","_",季度计划!BW21)&amp;"|"&amp;IF(季度计划!BX21="","_",季度计划!BX21)&amp;"|"&amp;IF(季度计划!BY21="","_",季度计划!BY21)&amp;"|"&amp;IF(季度计划!BZ21="","_",季度计划!BZ21)&amp;"|"&amp;IF(季度计划!CA21="","_",季度计划!CA21)&amp;"|"&amp;IF(季度计划!CB21="","_",季度计划!CB21)&amp;"|"&amp;IF(季度计划!CC21="","_",季度计划!CC21)&amp;"|"&amp;IF(季度计划!CD21="","_",季度计划!CD21)&amp;"|"&amp;IF(季度计划!CE21="","_",季度计划!CE21)&amp;"|"&amp;IF(季度计划!CF21="","_",季度计划!CF21)&amp;"|"&amp;IF(季度计划!CG21="","_",季度计划!CG21)&amp;"|"&amp;IF(季度计划!CH21="","_",季度计划!CH21)&amp;"|"&amp;IF(季度计划!CI21="","_",季度计划!CI21)&amp;"|"&amp;IF(季度计划!CJ21="","_",季度计划!CJ21)&amp;"|"&amp;IF(季度计划!CK21="","_",季度计划!CK21)&amp;"|"&amp;IF(季度计划!CL21="","_",季度计划!CL21)&amp;"|"&amp;IF(季度计划!CM21="","_",季度计划!CM21)&amp;"|"&amp;IF(季度计划!CN21="","_",季度计划!CN21)&amp;"|"&amp;IF(季度计划!CO21="","_",季度计划!CO21)&amp;"|"&amp;IF(季度计划!CP21="","_",季度计划!CP21)&amp;"|"&amp;IF(季度计划!CQ21="","_",季度计划!CQ21)&amp;"|"&amp;IF(季度计划!CR21="","_",季度计划!CR21)&amp;"|"&amp;IF(季度计划!CS21="","_",季度计划!CS21)&amp;"|"&amp;IF(季度计划!CT21="","_",季度计划!CT21)&amp;"|"&amp;IF(季度计划!CU21="","_",季度计划!CU21)&amp;"|"&amp;IF(季度计划!CV21="","_",季度计划!CV21)&amp;"|"&amp;IF(季度计划!CW21="","_",季度计划!CW21)&amp;"|"&amp;IF(季度计划!CX21="","_",季度计划!CX21)&amp;"|"&amp;IF(季度计划!CY21="","_",季度计划!CY21)&amp;"|"&amp;IF(季度计划!CZ21="","_",季度计划!CZ21)&amp;"|"&amp;IF(季度计划!DA21="","_",季度计划!DA21)&amp;"|"&amp;IF(季度计划!DB21="","_",季度计划!DB21)&amp;"|"&amp;IF(季度计划!DC21="","_",季度计划!DC21)&amp;"|"&amp;IF(季度计划!DD21="","_",季度计划!DD21)&amp;"|"&amp;IF(季度计划!DE21="","_",季度计划!DE21)&amp;"|"&amp;IF(季度计划!DF21="","_",季度计划!DF21)&amp;"|"&amp;IF(季度计划!DG21="","_",季度计划!DG21)&amp;"|"&amp;IF(季度计划!DH21="","_",季度计划!DH21)&amp;"|"&amp;IF(季度计划!DI21="","_",季度计划!DI21)&amp;"|"&amp;IF(季度计划!DJ21="","_",季度计划!DJ21)&amp;"|"&amp;IF(季度计划!DK21="","_",季度计划!DK21)&amp;"|"&amp;IF(季度计划!DL21="","_",季度计划!DL21)&amp;"|"&amp;IF(季度计划!DM21="","_",季度计划!DM21)&amp;"|"&amp;IF(季度计划!DN21="","_",季度计划!DN21)&amp;"|"&amp;IF(季度计划!DO21="","_",季度计划!DO21)&amp;"|"&amp;IF(季度计划!DP21="","_",季度计划!DP21)&amp;"|"&amp;IF(季度计划!DQ21="","_",季度计划!DQ21)&amp;"|"&amp;IF(季度计划!DR21="","_",季度计划!DR21)&amp;"|"&amp;IF(季度计划!DS21="","_",季度计划!DS21)&amp;"|"&amp;IF(季度计划!DT21="","_",季度计划!DT21)&amp;"|"&amp;IF(季度计划!D22="","_",季度计划!D22)&amp;"|"&amp;IF(季度计划!E22="","_",季度计划!E22)&amp;"|"&amp;IF(季度计划!F22="","_",季度计划!F22)&amp;"|"&amp;IF(季度计划!G22="","_",季度计划!G22)&amp;"|"&amp;IF(季度计划!H22="","_",季度计划!H22)&amp;"|"&amp;IF(季度计划!I22="","_",季度计划!I22)&amp;"|"&amp;IF(季度计划!J22="","_",季度计划!J22)&amp;"|"&amp;IF(季度计划!K22="","_",季度计划!K22)&amp;"|"&amp;IF(季度计划!L22="","_",季度计划!L22)&amp;"|"&amp;IF(季度计划!M22="","_",季度计划!M22)&amp;"|"&amp;IF(季度计划!N22="","_",季度计划!N22)&amp;"|"&amp;IF(季度计划!O22="","_",季度计划!O22)&amp;"|"&amp;IF(季度计划!P22="","_",季度计划!P22)</f>
        <v>_|_|_|_|_|_|_|_|_|_|_|_|_|_|_|_|_|_|_|_|_|_|_|_|_|_|_|_|_|_|_|_|_|_|_|_|_|_|_|_|_|_|_|_|_|_|_|_|_|_|_|_|_|_|_|_|_|_|_|_|_|_|_|_|_|_|_|_|_|_</v>
      </c>
      <c r="C110" s="8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21" hidden="1" customHeight="1">
      <c r="A111" s="8"/>
      <c r="B111" s="35" t="str">
        <f>IF(季度计划!Q22="","_",季度计划!Q22)&amp;"|"&amp;IF(季度计划!R22="","_",季度计划!R22)&amp;"|"&amp;IF(季度计划!S22="","_",季度计划!S22)&amp;"|"&amp;IF(季度计划!T22="","_",季度计划!T22)&amp;"|"&amp;IF(季度计划!U22="","_",季度计划!U22)&amp;"|"&amp;IF(季度计划!V22="","_",季度计划!V22)&amp;"|"&amp;IF(季度计划!W22="","_",季度计划!W22)&amp;"|"&amp;IF(季度计划!X22="","_",季度计划!X22)&amp;"|"&amp;IF(季度计划!Y22="","_",季度计划!Y22)&amp;"|"&amp;IF(季度计划!Z22="","_",季度计划!Z22)&amp;"|"&amp;IF(季度计划!AA22="","_",季度计划!AA22)&amp;"|"&amp;IF(季度计划!AB22="","_",季度计划!AB22)&amp;"|"&amp;IF(季度计划!AC22="","_",季度计划!AC22)&amp;"|"&amp;IF(季度计划!AD22="","_",季度计划!AD22)&amp;"|"&amp;IF(季度计划!AE22="","_",季度计划!AE22)&amp;"|"&amp;IF(季度计划!AF22="","_",季度计划!AF22)&amp;"|"&amp;IF(季度计划!AG22="","_",季度计划!AG22)&amp;"|"&amp;IF(季度计划!AH22="","_",季度计划!AH22)&amp;"|"&amp;IF(季度计划!AI22="","_",季度计划!AI22)&amp;"|"&amp;IF(季度计划!AJ22="","_",季度计划!AJ22)&amp;"|"&amp;IF(季度计划!AK22="","_",季度计划!AK22)&amp;"|"&amp;IF(季度计划!AL22="","_",季度计划!AL22)&amp;"|"&amp;IF(季度计划!AM22="","_",季度计划!AM22)&amp;"|"&amp;IF(季度计划!AN22="","_",季度计划!AN22)&amp;"|"&amp;IF(季度计划!AO22="","_",季度计划!AO22)&amp;"|"&amp;IF(季度计划!AP22="","_",季度计划!AP22)&amp;"|"&amp;IF(季度计划!AQ22="","_",季度计划!AQ22)&amp;"|"&amp;IF(季度计划!AR22="","_",季度计划!AR22)&amp;"|"&amp;IF(季度计划!AS22="","_",季度计划!AS22)&amp;"|"&amp;IF(季度计划!AT22="","_",季度计划!AT22)&amp;"|"&amp;IF(季度计划!AU22="","_",季度计划!AU22)&amp;"|"&amp;IF(季度计划!AV22="","_",季度计划!AV22)&amp;"|"&amp;IF(季度计划!AW22="","_",季度计划!AW22)&amp;"|"&amp;IF(季度计划!AX22="","_",季度计划!AX22)&amp;"|"&amp;IF(季度计划!AY22="","_",季度计划!AY22)&amp;"|"&amp;IF(季度计划!AZ22="","_",季度计划!AZ22)&amp;"|"&amp;IF(季度计划!BA22="","_",季度计划!BA22)&amp;"|"&amp;IF(季度计划!BB22="","_",季度计划!BB22)&amp;"|"&amp;IF(季度计划!BC22="","_",季度计划!BC22)&amp;"|"&amp;IF(季度计划!BD22="","_",季度计划!BD22)&amp;"|"&amp;IF(季度计划!BE22="","_",季度计划!BE22)&amp;"|"&amp;IF(季度计划!BF22="","_",季度计划!BF22)&amp;"|"&amp;IF(季度计划!BG22="","_",季度计划!BG22)&amp;"|"&amp;IF(季度计划!BH22="","_",季度计划!BH22)&amp;"|"&amp;IF(季度计划!BI22="","_",季度计划!BI22)&amp;"|"&amp;IF(季度计划!BJ22="","_",季度计划!BJ22)&amp;"|"&amp;IF(季度计划!BK22="","_",季度计划!BK22)&amp;"|"&amp;IF(季度计划!BL22="","_",季度计划!BL22)&amp;"|"&amp;IF(季度计划!BM22="","_",季度计划!BM22)&amp;"|"&amp;IF(季度计划!BN22="","_",季度计划!BN22)&amp;"|"&amp;IF(季度计划!BO22="","_",季度计划!BO22)&amp;"|"&amp;IF(季度计划!BP22="","_",季度计划!BP22)&amp;"|"&amp;IF(季度计划!BQ22="","_",季度计划!BQ22)&amp;"|"&amp;IF(季度计划!BR22="","_",季度计划!BR22)&amp;"|"&amp;IF(季度计划!BS22="","_",季度计划!BS22)&amp;"|"&amp;IF(季度计划!BT22="","_",季度计划!BT22)&amp;"|"&amp;IF(季度计划!BU22="","_",季度计划!BU22)&amp;"|"&amp;IF(季度计划!BV22="","_",季度计划!BV22)&amp;"|"&amp;IF(季度计划!BW22="","_",季度计划!BW22)&amp;"|"&amp;IF(季度计划!BX22="","_",季度计划!BX22)&amp;"|"&amp;IF(季度计划!BY22="","_",季度计划!BY22)&amp;"|"&amp;IF(季度计划!BZ22="","_",季度计划!BZ22)&amp;"|"&amp;IF(季度计划!CA22="","_",季度计划!CA22)&amp;"|"&amp;IF(季度计划!CB22="","_",季度计划!CB22)&amp;"|"&amp;IF(季度计划!CC22="","_",季度计划!CC22)&amp;"|"&amp;IF(季度计划!CD22="","_",季度计划!CD22)&amp;"|"&amp;IF(季度计划!CE22="","_",季度计划!CE22)&amp;"|"&amp;IF(季度计划!CF22="","_",季度计划!CF22)&amp;"|"&amp;IF(季度计划!CG22="","_",季度计划!CG22)&amp;"|"&amp;IF(季度计划!CH22="","_",季度计划!CH22)</f>
        <v>_|_|_|_|_|_|_|_|_|_|_|_|_|_|_|_|_|_|_|_|_|_|_|_|_|_|_|_|_|_|_|_|_|_|_|_|_|_|_|_|_|_|_|_|_|_|_|_|_|_|_|_|_|_|_|_|_|_|_|_|_|_|_|_|_|_|_|_|_|_</v>
      </c>
      <c r="C111" s="8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21" hidden="1" customHeight="1">
      <c r="A112" s="8"/>
      <c r="B112" s="35" t="str">
        <f>IF(季度计划!CI22="","_",季度计划!CI22)&amp;"|"&amp;IF(季度计划!CJ22="","_",季度计划!CJ22)&amp;"|"&amp;IF(季度计划!CK22="","_",季度计划!CK22)&amp;"|"&amp;IF(季度计划!CL22="","_",季度计划!CL22)&amp;"|"&amp;IF(季度计划!CM22="","_",季度计划!CM22)&amp;"|"&amp;IF(季度计划!CN22="","_",季度计划!CN22)&amp;"|"&amp;IF(季度计划!CO22="","_",季度计划!CO22)&amp;"|"&amp;IF(季度计划!CP22="","_",季度计划!CP22)&amp;"|"&amp;IF(季度计划!CQ22="","_",季度计划!CQ22)&amp;"|"&amp;IF(季度计划!CR22="","_",季度计划!CR22)&amp;"|"&amp;IF(季度计划!CS22="","_",季度计划!CS22)&amp;"|"&amp;IF(季度计划!CT22="","_",季度计划!CT22)&amp;"|"&amp;IF(季度计划!CU22="","_",季度计划!CU22)&amp;"|"&amp;IF(季度计划!CV22="","_",季度计划!CV22)&amp;"|"&amp;IF(季度计划!CW22="","_",季度计划!CW22)&amp;"|"&amp;IF(季度计划!CX22="","_",季度计划!CX22)&amp;"|"&amp;IF(季度计划!CY22="","_",季度计划!CY22)&amp;"|"&amp;IF(季度计划!CZ22="","_",季度计划!CZ22)&amp;"|"&amp;IF(季度计划!DA22="","_",季度计划!DA22)&amp;"|"&amp;IF(季度计划!DB22="","_",季度计划!DB22)&amp;"|"&amp;IF(季度计划!DC22="","_",季度计划!DC22)&amp;"|"&amp;IF(季度计划!DD22="","_",季度计划!DD22)&amp;"|"&amp;IF(季度计划!DE22="","_",季度计划!DE22)&amp;"|"&amp;IF(季度计划!DF22="","_",季度计划!DF22)&amp;"|"&amp;IF(季度计划!DG22="","_",季度计划!DG22)&amp;"|"&amp;IF(季度计划!DH22="","_",季度计划!DH22)&amp;"|"&amp;IF(季度计划!DI22="","_",季度计划!DI22)&amp;"|"&amp;IF(季度计划!DJ22="","_",季度计划!DJ22)&amp;"|"&amp;IF(季度计划!DK22="","_",季度计划!DK22)&amp;"|"&amp;IF(季度计划!DL22="","_",季度计划!DL22)&amp;"|"&amp;IF(季度计划!DM22="","_",季度计划!DM22)&amp;"|"&amp;IF(季度计划!DN22="","_",季度计划!DN22)&amp;"|"&amp;IF(季度计划!DO22="","_",季度计划!DO22)&amp;"|"&amp;IF(季度计划!DP22="","_",季度计划!DP22)&amp;"|"&amp;IF(季度计划!DQ22="","_",季度计划!DQ22)&amp;"|"&amp;IF(季度计划!DR22="","_",季度计划!DR22)&amp;"|"&amp;IF(季度计划!DS22="","_",季度计划!DS22)&amp;"|"&amp;IF(季度计划!DT22="","_",季度计划!DT22)&amp;"|"&amp;IF(季度计划!D23="","_",季度计划!D23)&amp;"|"&amp;IF(季度计划!E23="","_",季度计划!E23)&amp;"|"&amp;IF(季度计划!F23="","_",季度计划!F23)&amp;"|"&amp;IF(季度计划!G23="","_",季度计划!G23)&amp;"|"&amp;IF(季度计划!H23="","_",季度计划!H23)&amp;"|"&amp;IF(季度计划!I23="","_",季度计划!I23)&amp;"|"&amp;IF(季度计划!J23="","_",季度计划!J23)&amp;"|"&amp;IF(季度计划!K23="","_",季度计划!K23)&amp;"|"&amp;IF(季度计划!L23="","_",季度计划!L23)&amp;"|"&amp;IF(季度计划!M23="","_",季度计划!M23)&amp;"|"&amp;IF(季度计划!N23="","_",季度计划!N23)&amp;"|"&amp;IF(季度计划!O23="","_",季度计划!O23)&amp;"|"&amp;IF(季度计划!P23="","_",季度计划!P23)&amp;"|"&amp;IF(季度计划!Q23="","_",季度计划!Q23)&amp;"|"&amp;IF(季度计划!R23="","_",季度计划!R23)&amp;"|"&amp;IF(季度计划!S23="","_",季度计划!S23)&amp;"|"&amp;IF(季度计划!T23="","_",季度计划!T23)&amp;"|"&amp;IF(季度计划!U23="","_",季度计划!U23)&amp;"|"&amp;IF(季度计划!V23="","_",季度计划!V23)&amp;"|"&amp;IF(季度计划!W23="","_",季度计划!W23)&amp;"|"&amp;IF(季度计划!X23="","_",季度计划!X23)&amp;"|"&amp;IF(季度计划!Y23="","_",季度计划!Y23)&amp;"|"&amp;IF(季度计划!Z23="","_",季度计划!Z23)&amp;"|"&amp;IF(季度计划!AA23="","_",季度计划!AA23)&amp;"|"&amp;IF(季度计划!AB23="","_",季度计划!AB23)&amp;"|"&amp;IF(季度计划!AC23="","_",季度计划!AC23)&amp;"|"&amp;IF(季度计划!AD23="","_",季度计划!AD23)&amp;"|"&amp;IF(季度计划!AE23="","_",季度计划!AE23)&amp;"|"&amp;IF(季度计划!AF23="","_",季度计划!AF23)&amp;"|"&amp;IF(季度计划!AG23="","_",季度计划!AG23)&amp;"|"&amp;IF(季度计划!AH23="","_",季度计划!AH23)&amp;"|"&amp;IF(季度计划!AI23="","_",季度计划!AI23)</f>
        <v>_|_|_|_|_|_|_|_|_|_|_|_|_|_|_|_|_|_|_|_|_|_|_|_|_|_|_|_|_|_|_|_|_|_|_|_|_|_|_|_|_|_|_|_|_|_|_|_|_|_|_|_|_|_|_|_|_|_|_|_|_|_|_|_|_|_|_|_|_|_</v>
      </c>
      <c r="C112" s="8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21" hidden="1" customHeight="1">
      <c r="A113" s="8"/>
      <c r="B113" s="35" t="str">
        <f>IF(季度计划!AJ23="","_",季度计划!AJ23)&amp;"|"&amp;IF(季度计划!AK23="","_",季度计划!AK23)&amp;"|"&amp;IF(季度计划!AL23="","_",季度计划!AL23)&amp;"|"&amp;IF(季度计划!AM23="","_",季度计划!AM23)&amp;"|"&amp;IF(季度计划!AN23="","_",季度计划!AN23)&amp;"|"&amp;IF(季度计划!AO23="","_",季度计划!AO23)&amp;"|"&amp;IF(季度计划!AP23="","_",季度计划!AP23)&amp;"|"&amp;IF(季度计划!AQ23="","_",季度计划!AQ23)&amp;"|"&amp;IF(季度计划!AR23="","_",季度计划!AR23)&amp;"|"&amp;IF(季度计划!AS23="","_",季度计划!AS23)&amp;"|"&amp;IF(季度计划!AT23="","_",季度计划!AT23)&amp;"|"&amp;IF(季度计划!AU23="","_",季度计划!AU23)&amp;"|"&amp;IF(季度计划!AV23="","_",季度计划!AV23)&amp;"|"&amp;IF(季度计划!AW23="","_",季度计划!AW23)&amp;"|"&amp;IF(季度计划!AX23="","_",季度计划!AX23)&amp;"|"&amp;IF(季度计划!AY23="","_",季度计划!AY23)&amp;"|"&amp;IF(季度计划!AZ23="","_",季度计划!AZ23)&amp;"|"&amp;IF(季度计划!BA23="","_",季度计划!BA23)&amp;"|"&amp;IF(季度计划!BB23="","_",季度计划!BB23)&amp;"|"&amp;IF(季度计划!BC23="","_",季度计划!BC23)&amp;"|"&amp;IF(季度计划!BD23="","_",季度计划!BD23)&amp;"|"&amp;IF(季度计划!BE23="","_",季度计划!BE23)&amp;"|"&amp;IF(季度计划!BF23="","_",季度计划!BF23)&amp;"|"&amp;IF(季度计划!BG23="","_",季度计划!BG23)&amp;"|"&amp;IF(季度计划!BH23="","_",季度计划!BH23)&amp;"|"&amp;IF(季度计划!BI23="","_",季度计划!BI23)&amp;"|"&amp;IF(季度计划!BJ23="","_",季度计划!BJ23)&amp;"|"&amp;IF(季度计划!BK23="","_",季度计划!BK23)&amp;"|"&amp;IF(季度计划!BL23="","_",季度计划!BL23)&amp;"|"&amp;IF(季度计划!BM23="","_",季度计划!BM23)&amp;"|"&amp;IF(季度计划!BN23="","_",季度计划!BN23)&amp;"|"&amp;IF(季度计划!BO23="","_",季度计划!BO23)&amp;"|"&amp;IF(季度计划!BP23="","_",季度计划!BP23)&amp;"|"&amp;IF(季度计划!BQ23="","_",季度计划!BQ23)&amp;"|"&amp;IF(季度计划!BR23="","_",季度计划!BR23)&amp;"|"&amp;IF(季度计划!BS23="","_",季度计划!BS23)&amp;"|"&amp;IF(季度计划!BT23="","_",季度计划!BT23)&amp;"|"&amp;IF(季度计划!BU23="","_",季度计划!BU23)&amp;"|"&amp;IF(季度计划!BV23="","_",季度计划!BV23)&amp;"|"&amp;IF(季度计划!BW23="","_",季度计划!BW23)&amp;"|"&amp;IF(季度计划!BX23="","_",季度计划!BX23)&amp;"|"&amp;IF(季度计划!BY23="","_",季度计划!BY23)&amp;"|"&amp;IF(季度计划!BZ23="","_",季度计划!BZ23)&amp;"|"&amp;IF(季度计划!CA23="","_",季度计划!CA23)&amp;"|"&amp;IF(季度计划!CB23="","_",季度计划!CB23)&amp;"|"&amp;IF(季度计划!CC23="","_",季度计划!CC23)&amp;"|"&amp;IF(季度计划!CD23="","_",季度计划!CD23)&amp;"|"&amp;IF(季度计划!CE23="","_",季度计划!CE23)&amp;"|"&amp;IF(季度计划!CF23="","_",季度计划!CF23)&amp;"|"&amp;IF(季度计划!CG23="","_",季度计划!CG23)&amp;"|"&amp;IF(季度计划!CH23="","_",季度计划!CH23)&amp;"|"&amp;IF(季度计划!CI23="","_",季度计划!CI23)&amp;"|"&amp;IF(季度计划!CJ23="","_",季度计划!CJ23)&amp;"|"&amp;IF(季度计划!CK23="","_",季度计划!CK23)&amp;"|"&amp;IF(季度计划!CL23="","_",季度计划!CL23)&amp;"|"&amp;IF(季度计划!CM23="","_",季度计划!CM23)&amp;"|"&amp;IF(季度计划!CN23="","_",季度计划!CN23)&amp;"|"&amp;IF(季度计划!CO23="","_",季度计划!CO23)&amp;"|"&amp;IF(季度计划!CP23="","_",季度计划!CP23)&amp;"|"&amp;IF(季度计划!CQ23="","_",季度计划!CQ23)&amp;"|"&amp;IF(季度计划!CR23="","_",季度计划!CR23)&amp;"|"&amp;IF(季度计划!CS23="","_",季度计划!CS23)&amp;"|"&amp;IF(季度计划!CT23="","_",季度计划!CT23)&amp;"|"&amp;IF(季度计划!CU23="","_",季度计划!CU23)&amp;"|"&amp;IF(季度计划!CV23="","_",季度计划!CV23)&amp;"|"&amp;IF(季度计划!CW23="","_",季度计划!CW23)&amp;"|"&amp;IF(季度计划!CX23="","_",季度计划!CX23)&amp;"|"&amp;IF(季度计划!CY23="","_",季度计划!CY23)&amp;"|"&amp;IF(季度计划!CZ23="","_",季度计划!CZ23)&amp;"|"&amp;IF(季度计划!DA23="","_",季度计划!DA23)</f>
        <v>_|_|_|_|_|_|_|_|_|_|_|_|_|_|_|_|_|_|_|_|_|_|_|_|_|_|_|_|_|_|_|_|_|_|_|_|_|_|_|_|_|_|_|_|_|_|_|_|_|_|_|_|_|_|_|_|_|_|_|_|_|_|_|_|_|_|_|_|_|_</v>
      </c>
      <c r="C113" s="8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21" hidden="1" customHeight="1">
      <c r="A114" s="8"/>
      <c r="B114" s="35" t="str">
        <f>IF(季度计划!DB23="","_",季度计划!DB23)&amp;"|"&amp;IF(季度计划!DC23="","_",季度计划!DC23)&amp;"|"&amp;IF(季度计划!DD23="","_",季度计划!DD23)&amp;"|"&amp;IF(季度计划!DE23="","_",季度计划!DE23)&amp;"|"&amp;IF(季度计划!DF23="","_",季度计划!DF23)&amp;"|"&amp;IF(季度计划!DG23="","_",季度计划!DG23)&amp;"|"&amp;IF(季度计划!DH23="","_",季度计划!DH23)&amp;"|"&amp;IF(季度计划!DI23="","_",季度计划!DI23)&amp;"|"&amp;IF(季度计划!DJ23="","_",季度计划!DJ23)&amp;"|"&amp;IF(季度计划!DK23="","_",季度计划!DK23)&amp;"|"&amp;IF(季度计划!DL23="","_",季度计划!DL23)&amp;"|"&amp;IF(季度计划!DM23="","_",季度计划!DM23)&amp;"|"&amp;IF(季度计划!DN23="","_",季度计划!DN23)&amp;"|"&amp;IF(季度计划!DO23="","_",季度计划!DO23)&amp;"|"&amp;IF(季度计划!DP23="","_",季度计划!DP23)&amp;"|"&amp;IF(季度计划!DQ23="","_",季度计划!DQ23)&amp;"|"&amp;IF(季度计划!DR23="","_",季度计划!DR23)&amp;"|"&amp;IF(季度计划!DS23="","_",季度计划!DS23)&amp;"|"&amp;IF(季度计划!DT23="","_",季度计划!DT23)</f>
        <v>_|_|_|_|_|_|_|_|_|_|_|_|_|_|_|_|_|_|_</v>
      </c>
      <c r="C114" s="8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21" hidden="1" customHeight="1">
      <c r="A115" s="8"/>
      <c r="B115" s="35"/>
      <c r="C115" s="8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21" customHeight="1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21" customHeight="1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21" customHeight="1">
      <c r="A121" s="8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21" customHeight="1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21" customHeight="1">
      <c r="A123" s="8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21" customHeight="1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21" customHeight="1">
      <c r="A125" s="8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21" customHeight="1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21" customHeight="1">
      <c r="A127" s="8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21" customHeight="1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21" customHeight="1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21" customHeight="1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21" customHeight="1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21" customHeight="1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21" customHeight="1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21" customHeight="1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21" customHeight="1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21" customHeight="1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21" customHeight="1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21" customHeight="1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21" customHeight="1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21" customHeight="1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21" customHeight="1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21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21" customHeight="1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21" customHeight="1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21" customHeight="1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21" customHeight="1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</row>
  </sheetData>
  <sheetProtection sheet="1" objects="1" scenarios="1"/>
  <mergeCells count="10">
    <mergeCell ref="D79:G79"/>
    <mergeCell ref="D80:G80"/>
    <mergeCell ref="D81:G81"/>
    <mergeCell ref="D84:G84"/>
    <mergeCell ref="D73:G73"/>
    <mergeCell ref="D74:G74"/>
    <mergeCell ref="D75:G75"/>
    <mergeCell ref="D76:G76"/>
    <mergeCell ref="D77:G77"/>
    <mergeCell ref="D78:G78"/>
  </mergeCells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8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RowHeight="14.25"/>
  <cols>
    <col min="1" max="1" width="39" style="10" customWidth="1"/>
    <col min="2" max="2" width="18" style="10" customWidth="1"/>
    <col min="3" max="3" width="13" style="10" customWidth="1"/>
    <col min="4" max="4" width="16" style="10" customWidth="1"/>
    <col min="5" max="5" width="70" style="10" customWidth="1"/>
    <col min="6" max="12" width="16" style="10" customWidth="1"/>
    <col min="13" max="16384" width="9" style="10"/>
  </cols>
  <sheetData>
    <row r="1" spans="1:12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</row>
    <row r="2" spans="1:12" ht="30" customHeight="1">
      <c r="A2" s="11" t="s">
        <v>670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</row>
    <row r="3" spans="1:12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</row>
    <row r="4" spans="1:12" ht="21" customHeight="1">
      <c r="A4" s="8"/>
      <c r="B4" s="8"/>
      <c r="C4" s="8"/>
      <c r="D4" s="9"/>
      <c r="E4" s="9"/>
      <c r="F4" s="9"/>
      <c r="G4" s="9"/>
      <c r="H4" s="9"/>
      <c r="I4" s="9"/>
      <c r="J4" s="9"/>
      <c r="K4" s="9"/>
      <c r="L4" s="9"/>
    </row>
    <row r="5" spans="1:12" ht="21" customHeight="1">
      <c r="A5" s="20" t="s">
        <v>671</v>
      </c>
      <c r="B5" s="20" t="s">
        <v>672</v>
      </c>
      <c r="C5" s="20" t="s">
        <v>673</v>
      </c>
      <c r="D5" s="21" t="s">
        <v>674</v>
      </c>
      <c r="E5" s="21" t="s">
        <v>36</v>
      </c>
      <c r="F5" s="9"/>
      <c r="G5" s="9"/>
      <c r="H5" s="9"/>
      <c r="I5" s="9"/>
      <c r="J5" s="9"/>
      <c r="K5" s="9"/>
      <c r="L5" s="9"/>
    </row>
    <row r="6" spans="1:12" ht="21" customHeight="1">
      <c r="A6" s="8"/>
      <c r="B6" s="8"/>
      <c r="C6" s="8"/>
      <c r="D6" s="9"/>
      <c r="E6" s="9"/>
      <c r="F6" s="9"/>
      <c r="G6" s="9"/>
      <c r="H6" s="9"/>
      <c r="I6" s="9"/>
      <c r="J6" s="9"/>
      <c r="K6" s="9"/>
      <c r="L6" s="9"/>
    </row>
    <row r="7" spans="1:12" ht="21" customHeight="1">
      <c r="A7" s="8" t="s">
        <v>675</v>
      </c>
      <c r="B7" s="39">
        <f>核心参数输入!$B$150</f>
        <v>1</v>
      </c>
      <c r="C7" s="39">
        <f>核心参数输入!$B$150</f>
        <v>1</v>
      </c>
      <c r="D7" s="9" t="str">
        <f>IF(AND(B7=1,C7=1),"通过","未通过")</f>
        <v>通过</v>
      </c>
      <c r="E7" s="9" t="s">
        <v>676</v>
      </c>
      <c r="F7" s="9"/>
      <c r="G7" s="9"/>
      <c r="H7" s="9"/>
      <c r="I7" s="9"/>
      <c r="J7" s="9"/>
      <c r="K7" s="9"/>
      <c r="L7" s="9"/>
    </row>
    <row r="8" spans="1:12" ht="21" customHeight="1">
      <c r="A8" s="8" t="s">
        <v>677</v>
      </c>
      <c r="B8" s="39">
        <f>季度计划!$B$30</f>
        <v>1</v>
      </c>
      <c r="C8" s="39">
        <f>季度计划!$B$30</f>
        <v>1</v>
      </c>
      <c r="D8" s="9" t="str">
        <f>IF(AND(B8=1,C8=1),"通过","未通过")</f>
        <v>通过</v>
      </c>
      <c r="E8" s="9" t="s">
        <v>678</v>
      </c>
      <c r="F8" s="9"/>
      <c r="G8" s="9"/>
      <c r="H8" s="9"/>
      <c r="I8" s="9"/>
      <c r="J8" s="9"/>
      <c r="K8" s="9"/>
      <c r="L8" s="9"/>
    </row>
    <row r="9" spans="1:12" ht="21" customHeight="1">
      <c r="A9" s="8" t="s">
        <v>679</v>
      </c>
      <c r="B9" s="39">
        <f>季度投融资!$B$33</f>
        <v>1</v>
      </c>
      <c r="C9" s="39">
        <f>季度投融资!$B$33</f>
        <v>1</v>
      </c>
      <c r="D9" s="9" t="str">
        <f>IF(AND(B9=1,C9=1),"通过","未通过")</f>
        <v>通过</v>
      </c>
      <c r="E9" s="9" t="s">
        <v>680</v>
      </c>
      <c r="F9" s="9"/>
      <c r="G9" s="9"/>
      <c r="H9" s="9"/>
      <c r="I9" s="9"/>
      <c r="J9" s="9"/>
      <c r="K9" s="9"/>
      <c r="L9" s="9"/>
    </row>
    <row r="10" spans="1:12" ht="21" customHeight="1">
      <c r="A10" s="8" t="s">
        <v>681</v>
      </c>
      <c r="B10" s="39">
        <f>(核心参数输入!$B$10*核心参数输入!$B$11*核心参数输入!$B$12*核心参数输入!$B$142)+(核心参数输入!$B$10*核心参数输入!$B$11*核心参数输入!$B$12*核心参数输入!$B$143)-核心参数输入!$B$10*核心参数输入!$B$11*核心参数输入!$B$12</f>
        <v>0</v>
      </c>
      <c r="C10" s="39">
        <f>(核心参数输入!$B$10*核心参数输入!$B$11*核心参数输入!$B$12*核心参数输入!$B$142)+(核心参数输入!$B$10*核心参数输入!$B$11*核心参数输入!$B$12*核心参数输入!$B$143)-核心参数输入!$B$10*核心参数输入!$B$11*核心参数输入!$B$12</f>
        <v>0</v>
      </c>
      <c r="D10" s="9" t="str">
        <f t="shared" ref="D10:D31" si="0">IF(AND(ISNUMBER(B10),ISNUMBER(C10),ABS(B10)&lt;=0.01,ABS(C10)&lt;=0.01),"通过","未通过")</f>
        <v>通过</v>
      </c>
      <c r="E10" s="9" t="s">
        <v>682</v>
      </c>
      <c r="F10" s="9"/>
      <c r="G10" s="9"/>
      <c r="H10" s="9"/>
      <c r="I10" s="9"/>
      <c r="J10" s="9"/>
      <c r="K10" s="9"/>
      <c r="L10" s="9"/>
    </row>
    <row r="11" spans="1:12" ht="21" customHeight="1">
      <c r="A11" s="8" t="s">
        <v>683</v>
      </c>
      <c r="B11" s="39">
        <f>SUM(季度投融资!$D$35:$DT$35)-季度投融资!$B$17</f>
        <v>0</v>
      </c>
      <c r="C11" s="39">
        <f>SUM(季度投融资!$D$145:$DT$145)-季度投融资!$E$17</f>
        <v>0</v>
      </c>
      <c r="D11" s="9" t="str">
        <f t="shared" si="0"/>
        <v>通过</v>
      </c>
      <c r="E11" s="9" t="s">
        <v>682</v>
      </c>
      <c r="F11" s="9"/>
      <c r="G11" s="9"/>
      <c r="H11" s="9"/>
      <c r="I11" s="9"/>
      <c r="J11" s="9"/>
      <c r="K11" s="9"/>
      <c r="L11" s="9"/>
    </row>
    <row r="12" spans="1:12" ht="21" customHeight="1">
      <c r="A12" s="8" t="s">
        <v>684</v>
      </c>
      <c r="B12" s="39">
        <f>SUM(季度投融资!$D$37:$DT$37)-季度投融资!$B$17</f>
        <v>0</v>
      </c>
      <c r="C12" s="39">
        <f>SUM(季度投融资!$D$147:$DT$147)-季度投融资!$E$17</f>
        <v>0</v>
      </c>
      <c r="D12" s="9" t="str">
        <f t="shared" si="0"/>
        <v>通过</v>
      </c>
      <c r="E12" s="9" t="s">
        <v>682</v>
      </c>
      <c r="F12" s="9"/>
      <c r="G12" s="9"/>
      <c r="H12" s="9"/>
      <c r="I12" s="9"/>
      <c r="J12" s="9"/>
      <c r="K12" s="9"/>
      <c r="L12" s="9"/>
    </row>
    <row r="13" spans="1:12" ht="21" customHeight="1">
      <c r="A13" s="8" t="s">
        <v>685</v>
      </c>
      <c r="B13" s="39">
        <f>SUM(季度投融资!$D$48:$DT$48)-季度投融资!$B$21</f>
        <v>0</v>
      </c>
      <c r="C13" s="39">
        <f>SUM(季度投融资!$D$158:$DT$158)-季度投融资!$E$21</f>
        <v>0</v>
      </c>
      <c r="D13" s="9" t="str">
        <f t="shared" si="0"/>
        <v>通过</v>
      </c>
      <c r="E13" s="9" t="s">
        <v>682</v>
      </c>
      <c r="F13" s="9"/>
      <c r="G13" s="9"/>
      <c r="H13" s="9"/>
      <c r="I13" s="9"/>
      <c r="J13" s="9"/>
      <c r="K13" s="9"/>
      <c r="L13" s="9"/>
    </row>
    <row r="14" spans="1:12" ht="21" customHeight="1">
      <c r="A14" s="8" t="s">
        <v>686</v>
      </c>
      <c r="B14" s="39">
        <f>SUM(季度投融资!$D$39:$DT$39)-核心参数输入!$B$57</f>
        <v>0</v>
      </c>
      <c r="C14" s="39">
        <f>SUM(季度投融资!$D$149:$DT$149)-核心参数输入!$B$57</f>
        <v>0</v>
      </c>
      <c r="D14" s="9" t="str">
        <f t="shared" si="0"/>
        <v>通过</v>
      </c>
      <c r="E14" s="9" t="s">
        <v>682</v>
      </c>
      <c r="F14" s="9"/>
      <c r="G14" s="9"/>
      <c r="H14" s="9"/>
      <c r="I14" s="9"/>
      <c r="J14" s="9"/>
      <c r="K14" s="9"/>
      <c r="L14" s="9"/>
    </row>
    <row r="15" spans="1:12" ht="21" customHeight="1">
      <c r="A15" s="8" t="s">
        <v>687</v>
      </c>
      <c r="B15" s="39">
        <f>SUM(季度投融资!$D$39:$DT$39)-SUM(季度投融资!$D$41:$DT$41)-INDEX(季度投融资!$D$43:$DT$43,1,核心参数输入!$B$9*4+1)</f>
        <v>3.637978807091713E-12</v>
      </c>
      <c r="C15" s="39">
        <f>SUM(季度投融资!$D$149:$DT$149)-SUM(季度投融资!$D$151:$DT$151)-INDEX(季度投融资!$D$153:$DT$153,1,核心参数输入!$B$9*4+1)</f>
        <v>3.637978807091713E-12</v>
      </c>
      <c r="D15" s="9" t="str">
        <f t="shared" si="0"/>
        <v>通过</v>
      </c>
      <c r="E15" s="9" t="s">
        <v>682</v>
      </c>
      <c r="F15" s="9"/>
      <c r="G15" s="9"/>
      <c r="H15" s="9"/>
      <c r="I15" s="9"/>
      <c r="J15" s="9"/>
      <c r="K15" s="9"/>
      <c r="L15" s="9"/>
    </row>
    <row r="16" spans="1:12" ht="21" customHeight="1">
      <c r="A16" s="8" t="s">
        <v>688</v>
      </c>
      <c r="B16" s="39">
        <f>SUMPRODUCT(ABS(季度现金流!$D$32:$DT$32))</f>
        <v>0</v>
      </c>
      <c r="C16" s="39">
        <f>SUMPRODUCT(ABS(季度现金流!$D$142:$DT$142))</f>
        <v>0</v>
      </c>
      <c r="D16" s="9" t="str">
        <f t="shared" si="0"/>
        <v>通过</v>
      </c>
      <c r="E16" s="9" t="s">
        <v>682</v>
      </c>
      <c r="F16" s="9"/>
      <c r="G16" s="9"/>
      <c r="H16" s="9"/>
      <c r="I16" s="9"/>
      <c r="J16" s="9"/>
      <c r="K16" s="9"/>
      <c r="L16" s="9"/>
    </row>
    <row r="17" spans="1:12" ht="21" customHeight="1">
      <c r="A17" s="8" t="s">
        <v>689</v>
      </c>
      <c r="B17" s="39">
        <f>SUMPRODUCT(ABS(季度现金流!$D$42:$DT$42))</f>
        <v>0</v>
      </c>
      <c r="C17" s="39">
        <f>SUMPRODUCT(ABS(季度现金流!$D$152:$DT$152))</f>
        <v>0</v>
      </c>
      <c r="D17" s="9" t="str">
        <f t="shared" si="0"/>
        <v>通过</v>
      </c>
      <c r="E17" s="9" t="s">
        <v>682</v>
      </c>
      <c r="F17" s="9"/>
      <c r="G17" s="9"/>
      <c r="H17" s="9"/>
      <c r="I17" s="9"/>
      <c r="J17" s="9"/>
      <c r="K17" s="9"/>
      <c r="L17" s="9"/>
    </row>
    <row r="18" spans="1:12" ht="21" customHeight="1">
      <c r="A18" s="8" t="s">
        <v>690</v>
      </c>
      <c r="B18" s="39">
        <f>SUMPRODUCT(ABS(季度现金流!$D$61:$DT$61))</f>
        <v>0</v>
      </c>
      <c r="C18" s="39">
        <f>SUMPRODUCT(ABS(季度现金流!$D$171:$DT$171))</f>
        <v>0</v>
      </c>
      <c r="D18" s="9" t="str">
        <f t="shared" si="0"/>
        <v>通过</v>
      </c>
      <c r="E18" s="9" t="s">
        <v>682</v>
      </c>
      <c r="F18" s="9"/>
      <c r="G18" s="9"/>
      <c r="H18" s="9"/>
      <c r="I18" s="9"/>
      <c r="J18" s="9"/>
      <c r="K18" s="9"/>
      <c r="L18" s="9"/>
    </row>
    <row r="19" spans="1:12" ht="21" customHeight="1">
      <c r="A19" s="8" t="s">
        <v>691</v>
      </c>
      <c r="B19" s="39">
        <f>MAX(0,SUM(季度现金流!$D$55:$DT$55)-核心参数输入!$B$61)</f>
        <v>0</v>
      </c>
      <c r="C19" s="39">
        <f>MAX(0,SUM(季度现金流!$D$165:$DT$165)-核心参数输入!$B$61)</f>
        <v>0</v>
      </c>
      <c r="D19" s="9" t="str">
        <f t="shared" si="0"/>
        <v>通过</v>
      </c>
      <c r="E19" s="9" t="s">
        <v>682</v>
      </c>
      <c r="F19" s="9"/>
      <c r="G19" s="9"/>
      <c r="H19" s="9"/>
      <c r="I19" s="9"/>
      <c r="J19" s="9"/>
      <c r="K19" s="9"/>
      <c r="L19" s="9"/>
    </row>
    <row r="20" spans="1:12" ht="21" customHeight="1">
      <c r="A20" s="8" t="s">
        <v>692</v>
      </c>
      <c r="B20" s="39">
        <f>SUM(季度现金流!$D$16:$DT$16)-季度投融资!$B$20*核心参数输入!$B$109</f>
        <v>0</v>
      </c>
      <c r="C20" s="39">
        <f>SUM(季度现金流!$D$126:$DT$126)-季度投融资!$E$20*核心参数输入!$B$109</f>
        <v>0</v>
      </c>
      <c r="D20" s="9" t="str">
        <f t="shared" si="0"/>
        <v>通过</v>
      </c>
      <c r="E20" s="9" t="s">
        <v>682</v>
      </c>
      <c r="F20" s="9"/>
      <c r="G20" s="9"/>
      <c r="H20" s="9"/>
      <c r="I20" s="9"/>
      <c r="J20" s="9"/>
      <c r="K20" s="9"/>
      <c r="L20" s="9"/>
    </row>
    <row r="21" spans="1:12" ht="21" customHeight="1">
      <c r="A21" s="8" t="s">
        <v>693</v>
      </c>
      <c r="B21" s="39">
        <f>SUMPRODUCT(ABS(季度现金流!$D$16:$DT$16),--(季度现金流!$D$4:$DT$4&lt;&gt;核心参数输入!$B$9*4))</f>
        <v>0</v>
      </c>
      <c r="C21" s="39">
        <f>SUMPRODUCT(ABS(季度现金流!$D$126:$DT$126),--(季度现金流!$D$4:$DT$4&lt;&gt;核心参数输入!$B$9*4))</f>
        <v>0</v>
      </c>
      <c r="D21" s="9" t="str">
        <f t="shared" si="0"/>
        <v>通过</v>
      </c>
      <c r="E21" s="9" t="s">
        <v>682</v>
      </c>
      <c r="F21" s="9"/>
      <c r="G21" s="9"/>
      <c r="H21" s="9"/>
      <c r="I21" s="9"/>
      <c r="J21" s="9"/>
      <c r="K21" s="9"/>
      <c r="L21" s="9"/>
    </row>
    <row r="22" spans="1:12" ht="21" customHeight="1">
      <c r="A22" s="8" t="s">
        <v>694</v>
      </c>
      <c r="B22" s="39">
        <f>INDEX(季度现金流!$D$16:$DT$16,1,核心参数输入!$B$9*4+1)-季度投融资!$B$20*核心参数输入!$B$109</f>
        <v>0</v>
      </c>
      <c r="C22" s="39">
        <f>INDEX(季度现金流!$D$126:$DT$126,1,核心参数输入!$B$9*4+1)-季度投融资!$E$20*核心参数输入!$B$109</f>
        <v>0</v>
      </c>
      <c r="D22" s="9" t="str">
        <f t="shared" si="0"/>
        <v>通过</v>
      </c>
      <c r="E22" s="9" t="s">
        <v>682</v>
      </c>
      <c r="F22" s="9"/>
      <c r="G22" s="9"/>
      <c r="H22" s="9"/>
      <c r="I22" s="9"/>
      <c r="J22" s="9"/>
      <c r="K22" s="9"/>
      <c r="L22" s="9"/>
    </row>
    <row r="23" spans="1:12" ht="21" customHeight="1">
      <c r="A23" s="8" t="s">
        <v>695</v>
      </c>
      <c r="B23" s="39">
        <f>SUM(季度现金流!$D$17:$DT$17)-季度投融资!$B$20*核心参数输入!$B$110</f>
        <v>0</v>
      </c>
      <c r="C23" s="39">
        <f>SUM(季度现金流!$D$127:$DT$127)-季度投融资!$E$20*核心参数输入!$B$110</f>
        <v>0</v>
      </c>
      <c r="D23" s="9" t="str">
        <f t="shared" si="0"/>
        <v>通过</v>
      </c>
      <c r="E23" s="9" t="s">
        <v>682</v>
      </c>
      <c r="F23" s="9"/>
      <c r="G23" s="9"/>
      <c r="H23" s="9"/>
      <c r="I23" s="9"/>
      <c r="J23" s="9"/>
      <c r="K23" s="9"/>
      <c r="L23" s="9"/>
    </row>
    <row r="24" spans="1:12" ht="21" customHeight="1">
      <c r="A24" s="8" t="s">
        <v>696</v>
      </c>
      <c r="B24" s="39">
        <f>SUMPRODUCT(ABS(季度现金流!$D$17:$DT$17),--(季度现金流!$D$4:$DT$4&lt;&gt;核心参数输入!$B$9*4))</f>
        <v>0</v>
      </c>
      <c r="C24" s="39">
        <f>SUMPRODUCT(ABS(季度现金流!$D$127:$DT$127),--(季度现金流!$D$4:$DT$4&lt;&gt;核心参数输入!$B$9*4))</f>
        <v>0</v>
      </c>
      <c r="D24" s="9" t="str">
        <f t="shared" si="0"/>
        <v>通过</v>
      </c>
      <c r="E24" s="9" t="s">
        <v>682</v>
      </c>
      <c r="F24" s="9"/>
      <c r="G24" s="9"/>
      <c r="H24" s="9"/>
      <c r="I24" s="9"/>
      <c r="J24" s="9"/>
      <c r="K24" s="9"/>
      <c r="L24" s="9"/>
    </row>
    <row r="25" spans="1:12" ht="21" customHeight="1">
      <c r="A25" s="8" t="s">
        <v>697</v>
      </c>
      <c r="B25" s="39">
        <f>INDEX(季度现金流!$D$17:$DT$17,1,核心参数输入!$B$9*4+1)-季度投融资!$B$20*核心参数输入!$B$110</f>
        <v>0</v>
      </c>
      <c r="C25" s="39">
        <f>INDEX(季度现金流!$D$127:$DT$127,1,核心参数输入!$B$9*4+1)-季度投融资!$E$20*核心参数输入!$B$110</f>
        <v>0</v>
      </c>
      <c r="D25" s="9" t="str">
        <f t="shared" si="0"/>
        <v>通过</v>
      </c>
      <c r="E25" s="9" t="s">
        <v>682</v>
      </c>
      <c r="F25" s="9"/>
      <c r="G25" s="9"/>
      <c r="H25" s="9"/>
      <c r="I25" s="9"/>
      <c r="J25" s="9"/>
      <c r="K25" s="9"/>
      <c r="L25" s="9"/>
    </row>
    <row r="26" spans="1:12" ht="21" customHeight="1">
      <c r="A26" s="8" t="s">
        <v>698</v>
      </c>
      <c r="B26" s="39">
        <f>SUMPRODUCT(ABS(季度经营税费!$D$58:$DT$58),--(季度经营税费!$D$4:$DT$4&lt;&gt;核心参数输入!$B$9*4))</f>
        <v>0</v>
      </c>
      <c r="C26" s="39">
        <f>SUMPRODUCT(ABS(季度经营税费!$D$168:$DT$168),--(季度经营税费!$D$4:$DT$4&lt;&gt;核心参数输入!$B$9*4))</f>
        <v>0</v>
      </c>
      <c r="D26" s="9" t="str">
        <f t="shared" si="0"/>
        <v>通过</v>
      </c>
      <c r="E26" s="9" t="s">
        <v>682</v>
      </c>
      <c r="F26" s="9"/>
      <c r="G26" s="9"/>
      <c r="H26" s="9"/>
      <c r="I26" s="9"/>
      <c r="J26" s="9"/>
      <c r="K26" s="9"/>
      <c r="L26" s="9"/>
    </row>
    <row r="27" spans="1:12" ht="21" customHeight="1">
      <c r="A27" s="8" t="s">
        <v>699</v>
      </c>
      <c r="B27" s="39">
        <f>SUM(季度经营税费!$D$58:$DT$58)-IF((核心参数输入!$B$10*核心参数输入!$B$11*核心参数输入!$B$12*核心参数输入!$B$143)&gt;0,核心参数输入!$B$65,0)</f>
        <v>0</v>
      </c>
      <c r="C27" s="39">
        <f>SUM(季度经营税费!$D$168:$DT$168)-IF((核心参数输入!$B$10*核心参数输入!$B$11*核心参数输入!$B$12*核心参数输入!$B$143)&gt;0,核心参数输入!$B$65*核心参数输入!$B$139,0)</f>
        <v>0</v>
      </c>
      <c r="D27" s="9" t="str">
        <f t="shared" si="0"/>
        <v>通过</v>
      </c>
      <c r="E27" s="9" t="s">
        <v>682</v>
      </c>
      <c r="F27" s="9"/>
      <c r="G27" s="9"/>
      <c r="H27" s="9"/>
      <c r="I27" s="9"/>
      <c r="J27" s="9"/>
      <c r="K27" s="9"/>
      <c r="L27" s="9"/>
    </row>
    <row r="28" spans="1:12" ht="21" customHeight="1">
      <c r="A28" s="8" t="s">
        <v>700</v>
      </c>
      <c r="B28" s="39">
        <f>SUM(季度经营税费!$D$11:$DT$11)-SUM(季度经营税费!$D$12:$DT$12)-INDEX(季度经营税费!$D$13:$DT$13,1,核心参数输入!$B$9*4+1)</f>
        <v>0</v>
      </c>
      <c r="C28" s="39">
        <f>SUM(季度经营税费!$D$121:$DT$121)-SUM(季度经营税费!$D$122:$DT$122)-INDEX(季度经营税费!$D$123:$DT$123,1,核心参数输入!$B$9*4+1)</f>
        <v>0</v>
      </c>
      <c r="D28" s="9" t="str">
        <f t="shared" si="0"/>
        <v>通过</v>
      </c>
      <c r="E28" s="9" t="s">
        <v>682</v>
      </c>
      <c r="F28" s="9"/>
      <c r="G28" s="9"/>
      <c r="H28" s="9"/>
      <c r="I28" s="9"/>
      <c r="J28" s="9"/>
      <c r="K28" s="9"/>
      <c r="L28" s="9"/>
    </row>
    <row r="29" spans="1:12" ht="21" customHeight="1">
      <c r="A29" s="8" t="s">
        <v>701</v>
      </c>
      <c r="B29" s="39">
        <f>季度投融资!$B$25+季度投融资!$B$26+季度投融资!$B$24-(季度投融资!$B$7+季度投融资!$B$17*(1-IF(核心参数输入!$B$96=2,核心参数输入!$B$120,0))+季度投融资!$B$18+季度投融资!$B$19)</f>
        <v>0</v>
      </c>
      <c r="C29" s="39">
        <f>季度投融资!$E$25+季度投融资!$E$26+季度投融资!$E$24-(季度投融资!$E$7+季度投融资!$E$17*(1-IF(核心参数输入!$B$96=2,核心参数输入!$B$120,0))+季度投融资!$E$18+季度投融资!$E$19)</f>
        <v>0</v>
      </c>
      <c r="D29" s="9" t="str">
        <f t="shared" si="0"/>
        <v>通过</v>
      </c>
      <c r="E29" s="9" t="s">
        <v>682</v>
      </c>
      <c r="F29" s="9"/>
      <c r="G29" s="9"/>
      <c r="H29" s="9"/>
      <c r="I29" s="9"/>
      <c r="J29" s="9"/>
      <c r="K29" s="9"/>
      <c r="L29" s="9"/>
    </row>
    <row r="30" spans="1:12" ht="21" customHeight="1">
      <c r="A30" s="8" t="s">
        <v>702</v>
      </c>
      <c r="B30" s="39">
        <f>IF(核心参数输入!$B$143=0,SUM(季度经营税费!$D$37:$DT$37)+SUM(季度经营税费!$D$39:$DT$39)+SUM(季度投融资!$D$38:$DT$38),0)</f>
        <v>0</v>
      </c>
      <c r="C30" s="39">
        <f>IF(核心参数输入!$B$143=0,SUM(季度经营税费!$D$147:$DT$147)+SUM(季度经营税费!$D$149:$DT$149)+SUM(季度投融资!$D$148:$DT$148),0)</f>
        <v>0</v>
      </c>
      <c r="D30" s="9" t="str">
        <f t="shared" si="0"/>
        <v>通过</v>
      </c>
      <c r="E30" s="9" t="s">
        <v>682</v>
      </c>
      <c r="F30" s="9"/>
      <c r="G30" s="9"/>
      <c r="H30" s="9"/>
      <c r="I30" s="9"/>
      <c r="J30" s="9"/>
      <c r="K30" s="9"/>
      <c r="L30" s="9"/>
    </row>
    <row r="31" spans="1:12" ht="21" customHeight="1">
      <c r="A31" s="8" t="s">
        <v>703</v>
      </c>
      <c r="B31" s="39">
        <f>IF(核心参数输入!$B$142=0,SUM(季度经营税费!$D$11:$DT$11),0)</f>
        <v>0</v>
      </c>
      <c r="C31" s="39">
        <f>IF(核心参数输入!$B$142=0,SUM(季度经营税费!$D$121:$DT$121),0)</f>
        <v>0</v>
      </c>
      <c r="D31" s="9" t="str">
        <f t="shared" si="0"/>
        <v>通过</v>
      </c>
      <c r="E31" s="9" t="s">
        <v>682</v>
      </c>
      <c r="F31" s="9"/>
      <c r="G31" s="9"/>
      <c r="H31" s="9"/>
      <c r="I31" s="9"/>
      <c r="J31" s="9"/>
      <c r="K31" s="9"/>
      <c r="L31" s="9"/>
    </row>
    <row r="32" spans="1:12" ht="21" customHeight="1">
      <c r="A32" s="8"/>
      <c r="B32" s="8"/>
      <c r="C32" s="8"/>
      <c r="D32" s="9"/>
      <c r="E32" s="9"/>
      <c r="F32" s="9"/>
      <c r="G32" s="9"/>
      <c r="H32" s="9"/>
      <c r="I32" s="9"/>
      <c r="J32" s="9"/>
      <c r="K32" s="9"/>
      <c r="L32" s="9"/>
    </row>
    <row r="33" spans="1:12" ht="21" customHeight="1">
      <c r="A33" s="8"/>
      <c r="B33" s="8"/>
      <c r="C33" s="8"/>
      <c r="D33" s="9"/>
      <c r="E33" s="9"/>
      <c r="F33" s="9"/>
      <c r="G33" s="9"/>
      <c r="H33" s="9"/>
      <c r="I33" s="9"/>
      <c r="J33" s="9"/>
      <c r="K33" s="9"/>
      <c r="L33" s="9"/>
    </row>
    <row r="34" spans="1:12" ht="21" customHeight="1">
      <c r="A34" s="8"/>
      <c r="B34" s="8"/>
      <c r="C34" s="8"/>
      <c r="D34" s="9"/>
      <c r="E34" s="9"/>
      <c r="F34" s="9"/>
      <c r="G34" s="9"/>
      <c r="H34" s="9"/>
      <c r="I34" s="9"/>
      <c r="J34" s="9"/>
      <c r="K34" s="9"/>
      <c r="L34" s="9"/>
    </row>
    <row r="35" spans="1:12" ht="21" customHeight="1">
      <c r="A35" s="8"/>
      <c r="B35" s="8"/>
      <c r="C35" s="8"/>
      <c r="D35" s="9"/>
      <c r="E35" s="9"/>
      <c r="F35" s="9"/>
      <c r="G35" s="9"/>
      <c r="H35" s="9"/>
      <c r="I35" s="9"/>
      <c r="J35" s="9"/>
      <c r="K35" s="9"/>
      <c r="L35" s="9"/>
    </row>
    <row r="36" spans="1:12" ht="21" customHeight="1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  <c r="L36" s="9"/>
    </row>
    <row r="37" spans="1:12" ht="21" customHeight="1">
      <c r="A37" s="8"/>
      <c r="B37" s="8"/>
      <c r="C37" s="8"/>
      <c r="D37" s="9"/>
      <c r="E37" s="9"/>
      <c r="F37" s="9"/>
      <c r="G37" s="9"/>
      <c r="H37" s="9"/>
      <c r="I37" s="9"/>
      <c r="J37" s="9"/>
      <c r="K37" s="9"/>
      <c r="L37" s="9"/>
    </row>
    <row r="38" spans="1:12" ht="21" customHeight="1">
      <c r="A38" s="8" t="s">
        <v>704</v>
      </c>
      <c r="B38" s="8"/>
      <c r="C38" s="8"/>
      <c r="D38" s="9"/>
      <c r="E38" s="9" t="s">
        <v>705</v>
      </c>
      <c r="F38" s="9"/>
      <c r="G38" s="9"/>
      <c r="H38" s="9"/>
      <c r="I38" s="9"/>
      <c r="J38" s="9"/>
      <c r="K38" s="9"/>
      <c r="L38" s="9"/>
    </row>
    <row r="39" spans="1:12" ht="21" customHeight="1">
      <c r="A39" s="8"/>
      <c r="B39" s="8"/>
      <c r="C39" s="8"/>
      <c r="D39" s="9"/>
      <c r="E39" s="9"/>
      <c r="F39" s="9"/>
      <c r="G39" s="9"/>
      <c r="H39" s="9"/>
      <c r="I39" s="9"/>
      <c r="J39" s="9"/>
      <c r="K39" s="9"/>
      <c r="L39" s="9"/>
    </row>
    <row r="40" spans="1:12" ht="21" customHeight="1">
      <c r="A40" s="8"/>
      <c r="B40" s="8"/>
      <c r="C40" s="8"/>
      <c r="D40" s="9"/>
      <c r="E40" s="9"/>
      <c r="F40" s="9"/>
      <c r="G40" s="9"/>
      <c r="H40" s="9"/>
      <c r="I40" s="9"/>
      <c r="J40" s="9"/>
      <c r="K40" s="9"/>
      <c r="L40" s="9"/>
    </row>
    <row r="41" spans="1:12" ht="21" customHeight="1">
      <c r="A41" s="8"/>
      <c r="B41" s="8"/>
      <c r="C41" s="8"/>
      <c r="D41" s="9"/>
      <c r="E41" s="9"/>
      <c r="F41" s="9"/>
      <c r="G41" s="9"/>
      <c r="H41" s="9"/>
      <c r="I41" s="9"/>
      <c r="J41" s="9"/>
      <c r="K41" s="9"/>
      <c r="L41" s="9"/>
    </row>
    <row r="42" spans="1:12" ht="21" customHeight="1">
      <c r="A42" s="8"/>
      <c r="B42" s="8"/>
      <c r="C42" s="8"/>
      <c r="D42" s="9"/>
      <c r="E42" s="9"/>
      <c r="F42" s="9"/>
      <c r="G42" s="9"/>
      <c r="H42" s="9"/>
      <c r="I42" s="9"/>
      <c r="J42" s="9"/>
      <c r="K42" s="9"/>
      <c r="L42" s="9"/>
    </row>
    <row r="43" spans="1:12" ht="21" customHeight="1">
      <c r="A43" s="8"/>
      <c r="B43" s="8"/>
      <c r="C43" s="8"/>
      <c r="D43" s="9"/>
      <c r="E43" s="9"/>
      <c r="F43" s="9"/>
      <c r="G43" s="9"/>
      <c r="H43" s="9"/>
      <c r="I43" s="9"/>
      <c r="J43" s="9"/>
      <c r="K43" s="9"/>
      <c r="L43" s="9"/>
    </row>
    <row r="44" spans="1:12" ht="21" customHeight="1">
      <c r="A44" s="8"/>
      <c r="B44" s="8"/>
      <c r="C44" s="8"/>
      <c r="D44" s="9"/>
      <c r="E44" s="9"/>
      <c r="F44" s="9"/>
      <c r="G44" s="9"/>
      <c r="H44" s="9"/>
      <c r="I44" s="9"/>
      <c r="J44" s="9"/>
      <c r="K44" s="9"/>
      <c r="L44" s="9"/>
    </row>
    <row r="45" spans="1:12" ht="21" customHeight="1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</row>
    <row r="46" spans="1:12" ht="21" customHeight="1">
      <c r="A46" s="8"/>
      <c r="B46" s="8"/>
      <c r="C46" s="8"/>
      <c r="D46" s="9"/>
      <c r="E46" s="9"/>
      <c r="F46" s="9"/>
      <c r="G46" s="9"/>
      <c r="H46" s="9"/>
      <c r="I46" s="9"/>
      <c r="J46" s="9"/>
      <c r="K46" s="9"/>
      <c r="L46" s="9"/>
    </row>
    <row r="47" spans="1:12" ht="21" customHeight="1">
      <c r="A47" s="8"/>
      <c r="B47" s="8"/>
      <c r="C47" s="8"/>
      <c r="D47" s="9"/>
      <c r="E47" s="9"/>
      <c r="F47" s="9"/>
      <c r="G47" s="9"/>
      <c r="H47" s="9"/>
      <c r="I47" s="9"/>
      <c r="J47" s="9"/>
      <c r="K47" s="9"/>
      <c r="L47" s="9"/>
    </row>
    <row r="48" spans="1:12" ht="21" customHeight="1">
      <c r="A48" s="8"/>
      <c r="B48" s="8"/>
      <c r="C48" s="8"/>
      <c r="D48" s="9"/>
      <c r="E48" s="9"/>
      <c r="F48" s="9"/>
      <c r="G48" s="9"/>
      <c r="H48" s="9"/>
      <c r="I48" s="9"/>
      <c r="J48" s="9"/>
      <c r="K48" s="9"/>
      <c r="L48" s="9"/>
    </row>
    <row r="49" spans="1:12" ht="21" customHeight="1">
      <c r="A49" s="8"/>
      <c r="B49" s="8"/>
      <c r="C49" s="8"/>
      <c r="D49" s="9"/>
      <c r="E49" s="9"/>
      <c r="F49" s="9"/>
      <c r="G49" s="9"/>
      <c r="H49" s="9"/>
      <c r="I49" s="9"/>
      <c r="J49" s="9"/>
      <c r="K49" s="9"/>
      <c r="L49" s="9"/>
    </row>
    <row r="50" spans="1:12" ht="21" customHeight="1">
      <c r="A50" s="8"/>
      <c r="B50" s="8"/>
      <c r="C50" s="8"/>
      <c r="D50" s="9"/>
      <c r="E50" s="9"/>
      <c r="F50" s="9"/>
      <c r="G50" s="9"/>
      <c r="H50" s="9"/>
      <c r="I50" s="9"/>
      <c r="J50" s="9"/>
      <c r="K50" s="9"/>
      <c r="L50" s="9"/>
    </row>
    <row r="51" spans="1:12" ht="21" customHeight="1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</row>
    <row r="52" spans="1:12" ht="21" customHeight="1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</row>
    <row r="53" spans="1:12" ht="21" customHeight="1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</row>
    <row r="54" spans="1:12" ht="21" customHeight="1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</row>
    <row r="55" spans="1:12" ht="21" customHeight="1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</row>
    <row r="56" spans="1:12" ht="21" customHeight="1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</row>
    <row r="57" spans="1:12" ht="21" customHeight="1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</row>
    <row r="58" spans="1:12" ht="21" customHeight="1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</row>
    <row r="59" spans="1:12" ht="21" customHeight="1">
      <c r="A59" s="8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</row>
    <row r="60" spans="1:12" ht="21" customHeight="1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</row>
    <row r="61" spans="1:12" ht="21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</row>
    <row r="62" spans="1:12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</row>
    <row r="63" spans="1:12" ht="21" customHeight="1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</row>
    <row r="64" spans="1:12" ht="21" customHeight="1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</row>
    <row r="65" spans="1:12" ht="21" customHeight="1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</row>
    <row r="66" spans="1:12" ht="21" customHeight="1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</row>
    <row r="67" spans="1:12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</row>
    <row r="68" spans="1:12" ht="21" customHeight="1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</row>
    <row r="69" spans="1:12" ht="21" customHeight="1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</row>
    <row r="70" spans="1:12" ht="21" customHeight="1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</row>
    <row r="71" spans="1:12" ht="21" customHeight="1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</row>
    <row r="72" spans="1:12" ht="21" customHeight="1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</row>
    <row r="73" spans="1:12" ht="21" customHeight="1">
      <c r="A73" s="8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</row>
    <row r="74" spans="1:12" ht="21" customHeight="1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</row>
    <row r="75" spans="1:12" ht="21" customHeight="1">
      <c r="A75" s="8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</row>
    <row r="76" spans="1:12" ht="21" customHeight="1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</row>
    <row r="77" spans="1:12" ht="21" customHeight="1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</row>
    <row r="78" spans="1:12" ht="21" customHeight="1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</row>
    <row r="79" spans="1:12" ht="21" customHeight="1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</row>
    <row r="80" spans="1:12" ht="21" customHeight="1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</row>
    <row r="81" spans="1:12" ht="21" customHeight="1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</row>
    <row r="82" spans="1:12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</row>
    <row r="83" spans="1:12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</row>
    <row r="84" spans="1:12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</row>
    <row r="85" spans="1:12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</row>
    <row r="86" spans="1:12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</row>
    <row r="87" spans="1:12" ht="21" customHeigh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</row>
    <row r="88" spans="1:12" ht="21" customHeight="1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</row>
    <row r="89" spans="1:12" ht="21" customHeight="1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</row>
    <row r="90" spans="1:12" ht="21" customHeight="1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</row>
    <row r="91" spans="1:12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</row>
    <row r="92" spans="1:12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</row>
    <row r="93" spans="1:12" ht="21" customHeight="1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</row>
    <row r="94" spans="1:12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</row>
    <row r="95" spans="1:12" ht="21" customHeight="1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</row>
    <row r="96" spans="1:12" ht="21" customHeight="1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</row>
    <row r="97" spans="1:12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</row>
    <row r="98" spans="1:12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</row>
    <row r="99" spans="1:12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</row>
    <row r="100" spans="1:12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21" customHeight="1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21" customHeight="1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21" customHeight="1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21" customHeight="1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21" customHeight="1">
      <c r="A121" s="8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21" customHeight="1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21" customHeight="1">
      <c r="A123" s="8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21" customHeight="1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21" customHeight="1">
      <c r="A125" s="8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21" customHeight="1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21" customHeight="1">
      <c r="A127" s="8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21" customHeight="1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21" customHeight="1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21" customHeight="1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21" customHeight="1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21" customHeight="1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21" customHeight="1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21" customHeight="1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21" customHeight="1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21" customHeight="1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21" customHeight="1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21" customHeight="1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21" customHeight="1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21" customHeight="1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21" customHeight="1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21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21" customHeight="1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21" customHeight="1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21" customHeight="1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21" customHeight="1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</row>
  </sheetData>
  <sheetProtection sheet="1" objects="1" scenarios="1"/>
  <phoneticPr fontId="11" type="noConversion"/>
  <conditionalFormatting sqref="D7:D31">
    <cfRule type="expression" dxfId="1" priority="1">
      <formula>D7="未通过"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4A3B8"/>
  </sheetPr>
  <dimension ref="A1:L180"/>
  <sheetViews>
    <sheetView showGridLines="0" workbookViewId="0"/>
  </sheetViews>
  <sheetFormatPr defaultRowHeight="14.25"/>
  <cols>
    <col min="1" max="1" width="24" style="10" customWidth="1"/>
    <col min="2" max="12" width="12" style="10" customWidth="1"/>
    <col min="13" max="16384" width="9" style="10"/>
  </cols>
  <sheetData>
    <row r="1" spans="1:12" ht="21" customHeight="1">
      <c r="A1" s="8"/>
      <c r="B1" s="8"/>
      <c r="C1" s="8"/>
      <c r="D1" s="9"/>
      <c r="E1" s="9"/>
      <c r="F1" s="9"/>
      <c r="G1" s="9"/>
      <c r="H1" s="9"/>
      <c r="I1" s="9"/>
      <c r="J1" s="9"/>
      <c r="K1" s="9"/>
      <c r="L1" s="9"/>
    </row>
    <row r="2" spans="1:12" ht="30" customHeight="1">
      <c r="A2" s="11" t="s">
        <v>706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</row>
    <row r="3" spans="1:12" ht="21" customHeight="1">
      <c r="A3" s="8"/>
      <c r="B3" s="8"/>
      <c r="C3" s="8"/>
      <c r="D3" s="9"/>
      <c r="E3" s="9"/>
      <c r="F3" s="9"/>
      <c r="G3" s="9"/>
      <c r="H3" s="9"/>
      <c r="I3" s="9"/>
      <c r="J3" s="9"/>
      <c r="K3" s="9"/>
      <c r="L3" s="9"/>
    </row>
    <row r="4" spans="1:12" ht="21" customHeight="1">
      <c r="A4" s="8"/>
      <c r="B4" s="8"/>
      <c r="C4" s="8"/>
      <c r="D4" s="9"/>
      <c r="E4" s="9"/>
      <c r="F4" s="9"/>
      <c r="G4" s="9"/>
      <c r="H4" s="9"/>
      <c r="I4" s="9"/>
      <c r="J4" s="9"/>
      <c r="K4" s="9"/>
      <c r="L4" s="9"/>
    </row>
    <row r="5" spans="1:12" ht="21" customHeight="1">
      <c r="A5" s="40" t="s">
        <v>707</v>
      </c>
      <c r="B5" s="41" t="s">
        <v>708</v>
      </c>
      <c r="C5" s="41"/>
      <c r="D5" s="42"/>
      <c r="E5" s="42"/>
      <c r="F5" s="42"/>
      <c r="G5" s="42"/>
      <c r="H5" s="42"/>
      <c r="I5" s="42"/>
      <c r="J5" s="42"/>
      <c r="K5" s="42"/>
      <c r="L5" s="42"/>
    </row>
    <row r="6" spans="1:12" ht="21" customHeight="1">
      <c r="A6" s="40"/>
      <c r="B6" s="41"/>
      <c r="C6" s="41"/>
      <c r="D6" s="42"/>
      <c r="E6" s="42"/>
      <c r="F6" s="42"/>
      <c r="G6" s="42"/>
      <c r="H6" s="42"/>
      <c r="I6" s="42"/>
      <c r="J6" s="42"/>
      <c r="K6" s="42"/>
      <c r="L6" s="42"/>
    </row>
    <row r="7" spans="1:12" ht="21" customHeight="1">
      <c r="A7" s="40" t="s">
        <v>709</v>
      </c>
      <c r="B7" s="26" t="s">
        <v>710</v>
      </c>
      <c r="C7" s="26"/>
      <c r="D7" s="27"/>
      <c r="E7" s="27"/>
      <c r="F7" s="27"/>
      <c r="G7" s="27"/>
      <c r="H7" s="27"/>
      <c r="I7" s="27"/>
      <c r="J7" s="27"/>
      <c r="K7" s="27"/>
      <c r="L7" s="27"/>
    </row>
    <row r="8" spans="1:12" ht="21" customHeight="1">
      <c r="A8" s="40"/>
      <c r="B8" s="26"/>
      <c r="C8" s="26"/>
      <c r="D8" s="27"/>
      <c r="E8" s="27"/>
      <c r="F8" s="27"/>
      <c r="G8" s="27"/>
      <c r="H8" s="27"/>
      <c r="I8" s="27"/>
      <c r="J8" s="27"/>
      <c r="K8" s="27"/>
      <c r="L8" s="27"/>
    </row>
    <row r="9" spans="1:12" ht="21" customHeight="1">
      <c r="A9" s="40" t="s">
        <v>711</v>
      </c>
      <c r="B9" s="41" t="s">
        <v>712</v>
      </c>
      <c r="C9" s="41"/>
      <c r="D9" s="42"/>
      <c r="E9" s="42"/>
      <c r="F9" s="42"/>
      <c r="G9" s="42"/>
      <c r="H9" s="42"/>
      <c r="I9" s="42"/>
      <c r="J9" s="42"/>
      <c r="K9" s="42"/>
      <c r="L9" s="42"/>
    </row>
    <row r="10" spans="1:12" ht="21" customHeight="1">
      <c r="A10" s="40"/>
      <c r="B10" s="41"/>
      <c r="C10" s="41"/>
      <c r="D10" s="42"/>
      <c r="E10" s="42"/>
      <c r="F10" s="42"/>
      <c r="G10" s="42"/>
      <c r="H10" s="42"/>
      <c r="I10" s="42"/>
      <c r="J10" s="42"/>
      <c r="K10" s="42"/>
      <c r="L10" s="42"/>
    </row>
    <row r="11" spans="1:12" ht="21" customHeight="1">
      <c r="A11" s="40" t="s">
        <v>713</v>
      </c>
      <c r="B11" s="26" t="s">
        <v>714</v>
      </c>
      <c r="C11" s="26"/>
      <c r="D11" s="27"/>
      <c r="E11" s="27"/>
      <c r="F11" s="27"/>
      <c r="G11" s="27"/>
      <c r="H11" s="27"/>
      <c r="I11" s="27"/>
      <c r="J11" s="27"/>
      <c r="K11" s="27"/>
      <c r="L11" s="27"/>
    </row>
    <row r="12" spans="1:12" ht="21" customHeight="1">
      <c r="A12" s="40"/>
      <c r="B12" s="26"/>
      <c r="C12" s="26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1" customHeight="1">
      <c r="A13" s="40" t="s">
        <v>2</v>
      </c>
      <c r="B13" s="41" t="s">
        <v>715</v>
      </c>
      <c r="C13" s="41"/>
      <c r="D13" s="42"/>
      <c r="E13" s="42"/>
      <c r="F13" s="42"/>
      <c r="G13" s="42"/>
      <c r="H13" s="42"/>
      <c r="I13" s="42"/>
      <c r="J13" s="42"/>
      <c r="K13" s="42"/>
      <c r="L13" s="42"/>
    </row>
    <row r="14" spans="1:12" ht="21" customHeight="1">
      <c r="A14" s="40"/>
      <c r="B14" s="41"/>
      <c r="C14" s="41"/>
      <c r="D14" s="42"/>
      <c r="E14" s="42"/>
      <c r="F14" s="42"/>
      <c r="G14" s="42"/>
      <c r="H14" s="42"/>
      <c r="I14" s="42"/>
      <c r="J14" s="42"/>
      <c r="K14" s="42"/>
      <c r="L14" s="42"/>
    </row>
    <row r="15" spans="1:12" ht="21" customHeight="1">
      <c r="A15" s="40" t="s">
        <v>716</v>
      </c>
      <c r="B15" s="26" t="s">
        <v>717</v>
      </c>
      <c r="C15" s="26"/>
      <c r="D15" s="27"/>
      <c r="E15" s="27"/>
      <c r="F15" s="27"/>
      <c r="G15" s="27"/>
      <c r="H15" s="27"/>
      <c r="I15" s="27"/>
      <c r="J15" s="27"/>
      <c r="K15" s="27"/>
      <c r="L15" s="27"/>
    </row>
    <row r="16" spans="1:12" ht="21" customHeight="1">
      <c r="A16" s="40"/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7"/>
    </row>
    <row r="17" spans="1:12" ht="21" customHeight="1">
      <c r="A17" s="40" t="s">
        <v>718</v>
      </c>
      <c r="B17" s="41" t="s">
        <v>719</v>
      </c>
      <c r="C17" s="41"/>
      <c r="D17" s="42"/>
      <c r="E17" s="42"/>
      <c r="F17" s="42"/>
      <c r="G17" s="42"/>
      <c r="H17" s="42"/>
      <c r="I17" s="42"/>
      <c r="J17" s="42"/>
      <c r="K17" s="42"/>
      <c r="L17" s="42"/>
    </row>
    <row r="18" spans="1:12" ht="21" customHeight="1">
      <c r="A18" s="40"/>
      <c r="B18" s="41"/>
      <c r="C18" s="41"/>
      <c r="D18" s="42"/>
      <c r="E18" s="42"/>
      <c r="F18" s="42"/>
      <c r="G18" s="42"/>
      <c r="H18" s="42"/>
      <c r="I18" s="42"/>
      <c r="J18" s="42"/>
      <c r="K18" s="42"/>
      <c r="L18" s="42"/>
    </row>
    <row r="19" spans="1:12" ht="21" customHeight="1">
      <c r="A19" s="40" t="s">
        <v>720</v>
      </c>
      <c r="B19" s="26" t="s">
        <v>721</v>
      </c>
      <c r="C19" s="26"/>
      <c r="D19" s="27"/>
      <c r="E19" s="27"/>
      <c r="F19" s="27"/>
      <c r="G19" s="27"/>
      <c r="H19" s="27"/>
      <c r="I19" s="27"/>
      <c r="J19" s="27"/>
      <c r="K19" s="27"/>
      <c r="L19" s="27"/>
    </row>
    <row r="20" spans="1:12" ht="21" customHeight="1">
      <c r="A20" s="40"/>
      <c r="B20" s="26"/>
      <c r="C20" s="26"/>
      <c r="D20" s="27"/>
      <c r="E20" s="27"/>
      <c r="F20" s="27"/>
      <c r="G20" s="27"/>
      <c r="H20" s="27"/>
      <c r="I20" s="27"/>
      <c r="J20" s="27"/>
      <c r="K20" s="27"/>
      <c r="L20" s="27"/>
    </row>
    <row r="21" spans="1:12" ht="21" customHeight="1">
      <c r="A21" s="40" t="s">
        <v>722</v>
      </c>
      <c r="B21" s="41" t="s">
        <v>723</v>
      </c>
      <c r="C21" s="41"/>
      <c r="D21" s="42"/>
      <c r="E21" s="42"/>
      <c r="F21" s="42"/>
      <c r="G21" s="42"/>
      <c r="H21" s="42"/>
      <c r="I21" s="42"/>
      <c r="J21" s="42"/>
      <c r="K21" s="42"/>
      <c r="L21" s="42"/>
    </row>
    <row r="22" spans="1:12" ht="21" customHeight="1">
      <c r="A22" s="40"/>
      <c r="B22" s="41"/>
      <c r="C22" s="41"/>
      <c r="D22" s="42"/>
      <c r="E22" s="42"/>
      <c r="F22" s="42"/>
      <c r="G22" s="42"/>
      <c r="H22" s="42"/>
      <c r="I22" s="42"/>
      <c r="J22" s="42"/>
      <c r="K22" s="42"/>
      <c r="L22" s="42"/>
    </row>
    <row r="23" spans="1:12" ht="21" customHeight="1">
      <c r="A23" s="40" t="s">
        <v>724</v>
      </c>
      <c r="B23" s="26" t="s">
        <v>725</v>
      </c>
      <c r="C23" s="26"/>
      <c r="D23" s="27"/>
      <c r="E23" s="27"/>
      <c r="F23" s="27"/>
      <c r="G23" s="27"/>
      <c r="H23" s="27"/>
      <c r="I23" s="27"/>
      <c r="J23" s="27"/>
      <c r="K23" s="27"/>
      <c r="L23" s="27"/>
    </row>
    <row r="24" spans="1:12" ht="21" customHeight="1">
      <c r="A24" s="40"/>
      <c r="B24" s="26"/>
      <c r="C24" s="26"/>
      <c r="D24" s="27"/>
      <c r="E24" s="27"/>
      <c r="F24" s="27"/>
      <c r="G24" s="27"/>
      <c r="H24" s="27"/>
      <c r="I24" s="27"/>
      <c r="J24" s="27"/>
      <c r="K24" s="27"/>
      <c r="L24" s="27"/>
    </row>
    <row r="25" spans="1:12" ht="21" customHeight="1">
      <c r="A25" s="40" t="s">
        <v>726</v>
      </c>
      <c r="B25" s="41" t="s">
        <v>727</v>
      </c>
      <c r="C25" s="41"/>
      <c r="D25" s="42"/>
      <c r="E25" s="42"/>
      <c r="F25" s="42"/>
      <c r="G25" s="42"/>
      <c r="H25" s="42"/>
      <c r="I25" s="42"/>
      <c r="J25" s="42"/>
      <c r="K25" s="42"/>
      <c r="L25" s="42"/>
    </row>
    <row r="26" spans="1:12" ht="21" customHeight="1">
      <c r="A26" s="40"/>
      <c r="B26" s="41"/>
      <c r="C26" s="41"/>
      <c r="D26" s="42"/>
      <c r="E26" s="42"/>
      <c r="F26" s="42"/>
      <c r="G26" s="42"/>
      <c r="H26" s="42"/>
      <c r="I26" s="42"/>
      <c r="J26" s="42"/>
      <c r="K26" s="42"/>
      <c r="L26" s="42"/>
    </row>
    <row r="27" spans="1:12" ht="21" customHeight="1">
      <c r="A27" s="40" t="s">
        <v>728</v>
      </c>
      <c r="B27" s="26" t="s">
        <v>729</v>
      </c>
      <c r="C27" s="26"/>
      <c r="D27" s="27"/>
      <c r="E27" s="27"/>
      <c r="F27" s="27"/>
      <c r="G27" s="27"/>
      <c r="H27" s="27"/>
      <c r="I27" s="27"/>
      <c r="J27" s="27"/>
      <c r="K27" s="27"/>
      <c r="L27" s="27"/>
    </row>
    <row r="28" spans="1:12" ht="21" customHeight="1">
      <c r="A28" s="40"/>
      <c r="B28" s="26"/>
      <c r="C28" s="26"/>
      <c r="D28" s="27"/>
      <c r="E28" s="27"/>
      <c r="F28" s="27"/>
      <c r="G28" s="27"/>
      <c r="H28" s="27"/>
      <c r="I28" s="27"/>
      <c r="J28" s="27"/>
      <c r="K28" s="27"/>
      <c r="L28" s="27"/>
    </row>
    <row r="29" spans="1:12" ht="21" customHeight="1">
      <c r="A29" s="40" t="s">
        <v>730</v>
      </c>
      <c r="B29" s="41" t="s">
        <v>731</v>
      </c>
      <c r="C29" s="41"/>
      <c r="D29" s="42"/>
      <c r="E29" s="42"/>
      <c r="F29" s="42"/>
      <c r="G29" s="42"/>
      <c r="H29" s="42"/>
      <c r="I29" s="42"/>
      <c r="J29" s="42"/>
      <c r="K29" s="42"/>
      <c r="L29" s="42"/>
    </row>
    <row r="30" spans="1:12" ht="21" customHeight="1">
      <c r="A30" s="40"/>
      <c r="B30" s="41"/>
      <c r="C30" s="41"/>
      <c r="D30" s="42"/>
      <c r="E30" s="42"/>
      <c r="F30" s="42"/>
      <c r="G30" s="42"/>
      <c r="H30" s="42"/>
      <c r="I30" s="42"/>
      <c r="J30" s="42"/>
      <c r="K30" s="42"/>
      <c r="L30" s="42"/>
    </row>
    <row r="31" spans="1:12" ht="21" customHeight="1">
      <c r="A31" s="40" t="s">
        <v>732</v>
      </c>
      <c r="B31" s="26" t="s">
        <v>733</v>
      </c>
      <c r="C31" s="26"/>
      <c r="D31" s="27"/>
      <c r="E31" s="27"/>
      <c r="F31" s="27"/>
      <c r="G31" s="27"/>
      <c r="H31" s="27"/>
      <c r="I31" s="27"/>
      <c r="J31" s="27"/>
      <c r="K31" s="27"/>
      <c r="L31" s="27"/>
    </row>
    <row r="32" spans="1:12" ht="21" customHeight="1">
      <c r="A32" s="40"/>
      <c r="B32" s="26"/>
      <c r="C32" s="26"/>
      <c r="D32" s="27"/>
      <c r="E32" s="27"/>
      <c r="F32" s="27"/>
      <c r="G32" s="27"/>
      <c r="H32" s="27"/>
      <c r="I32" s="27"/>
      <c r="J32" s="27"/>
      <c r="K32" s="27"/>
      <c r="L32" s="27"/>
    </row>
    <row r="33" spans="1:12" ht="21" customHeight="1">
      <c r="A33" s="40" t="s">
        <v>734</v>
      </c>
      <c r="B33" s="41" t="s">
        <v>735</v>
      </c>
      <c r="C33" s="41"/>
      <c r="D33" s="42"/>
      <c r="E33" s="42"/>
      <c r="F33" s="42"/>
      <c r="G33" s="42"/>
      <c r="H33" s="42"/>
      <c r="I33" s="42"/>
      <c r="J33" s="42"/>
      <c r="K33" s="42"/>
      <c r="L33" s="42"/>
    </row>
    <row r="34" spans="1:12" ht="21" customHeight="1">
      <c r="A34" s="40"/>
      <c r="B34" s="41"/>
      <c r="C34" s="41"/>
      <c r="D34" s="42"/>
      <c r="E34" s="42"/>
      <c r="F34" s="42"/>
      <c r="G34" s="42"/>
      <c r="H34" s="42"/>
      <c r="I34" s="42"/>
      <c r="J34" s="42"/>
      <c r="K34" s="42"/>
      <c r="L34" s="42"/>
    </row>
    <row r="35" spans="1:12" ht="21" customHeight="1">
      <c r="A35" s="40" t="s">
        <v>736</v>
      </c>
      <c r="B35" s="26" t="s">
        <v>737</v>
      </c>
      <c r="C35" s="26"/>
      <c r="D35" s="27"/>
      <c r="E35" s="27"/>
      <c r="F35" s="27"/>
      <c r="G35" s="27"/>
      <c r="H35" s="27"/>
      <c r="I35" s="27"/>
      <c r="J35" s="27"/>
      <c r="K35" s="27"/>
      <c r="L35" s="27"/>
    </row>
    <row r="36" spans="1:12" ht="21" customHeight="1">
      <c r="A36" s="40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7"/>
    </row>
    <row r="37" spans="1:12" ht="21" customHeight="1">
      <c r="A37" s="40" t="s">
        <v>738</v>
      </c>
      <c r="B37" s="41" t="s">
        <v>739</v>
      </c>
      <c r="C37" s="41"/>
      <c r="D37" s="42"/>
      <c r="E37" s="42"/>
      <c r="F37" s="42"/>
      <c r="G37" s="42"/>
      <c r="H37" s="42"/>
      <c r="I37" s="42"/>
      <c r="J37" s="42"/>
      <c r="K37" s="42"/>
      <c r="L37" s="42"/>
    </row>
    <row r="38" spans="1:12" ht="21" customHeight="1">
      <c r="A38" s="40"/>
      <c r="B38" s="41"/>
      <c r="C38" s="41"/>
      <c r="D38" s="42"/>
      <c r="E38" s="42"/>
      <c r="F38" s="42"/>
      <c r="G38" s="42"/>
      <c r="H38" s="42"/>
      <c r="I38" s="42"/>
      <c r="J38" s="42"/>
      <c r="K38" s="42"/>
      <c r="L38" s="42"/>
    </row>
    <row r="39" spans="1:12" ht="21" customHeight="1">
      <c r="A39" s="40" t="s">
        <v>740</v>
      </c>
      <c r="B39" s="26" t="s">
        <v>741</v>
      </c>
      <c r="C39" s="26"/>
      <c r="D39" s="27"/>
      <c r="E39" s="27"/>
      <c r="F39" s="27"/>
      <c r="G39" s="27"/>
      <c r="H39" s="27"/>
      <c r="I39" s="27"/>
      <c r="J39" s="27"/>
      <c r="K39" s="27"/>
      <c r="L39" s="27"/>
    </row>
    <row r="40" spans="1:12" ht="21" customHeight="1">
      <c r="A40" s="40"/>
      <c r="B40" s="26"/>
      <c r="C40" s="26"/>
      <c r="D40" s="27"/>
      <c r="E40" s="27"/>
      <c r="F40" s="27"/>
      <c r="G40" s="27"/>
      <c r="H40" s="27"/>
      <c r="I40" s="27"/>
      <c r="J40" s="27"/>
      <c r="K40" s="27"/>
      <c r="L40" s="27"/>
    </row>
    <row r="41" spans="1:12" ht="21" customHeight="1">
      <c r="A41" s="40" t="s">
        <v>742</v>
      </c>
      <c r="B41" s="41" t="s">
        <v>743</v>
      </c>
      <c r="C41" s="41"/>
      <c r="D41" s="42"/>
      <c r="E41" s="42"/>
      <c r="F41" s="42"/>
      <c r="G41" s="42"/>
      <c r="H41" s="42"/>
      <c r="I41" s="42"/>
      <c r="J41" s="42"/>
      <c r="K41" s="42"/>
      <c r="L41" s="42"/>
    </row>
    <row r="42" spans="1:12" ht="21" customHeight="1">
      <c r="A42" s="40"/>
      <c r="B42" s="41"/>
      <c r="C42" s="41"/>
      <c r="D42" s="42"/>
      <c r="E42" s="42"/>
      <c r="F42" s="42"/>
      <c r="G42" s="42"/>
      <c r="H42" s="42"/>
      <c r="I42" s="42"/>
      <c r="J42" s="42"/>
      <c r="K42" s="42"/>
      <c r="L42" s="42"/>
    </row>
    <row r="43" spans="1:12" ht="21" customHeight="1">
      <c r="A43" s="40" t="s">
        <v>744</v>
      </c>
      <c r="B43" s="26" t="s">
        <v>745</v>
      </c>
      <c r="C43" s="26"/>
      <c r="D43" s="27"/>
      <c r="E43" s="27"/>
      <c r="F43" s="27"/>
      <c r="G43" s="27"/>
      <c r="H43" s="27"/>
      <c r="I43" s="27"/>
      <c r="J43" s="27"/>
      <c r="K43" s="27"/>
      <c r="L43" s="27"/>
    </row>
    <row r="44" spans="1:12" ht="21" customHeight="1">
      <c r="A44" s="40"/>
      <c r="B44" s="26"/>
      <c r="C44" s="26"/>
      <c r="D44" s="27"/>
      <c r="E44" s="27"/>
      <c r="F44" s="27"/>
      <c r="G44" s="27"/>
      <c r="H44" s="27"/>
      <c r="I44" s="27"/>
      <c r="J44" s="27"/>
      <c r="K44" s="27"/>
      <c r="L44" s="27"/>
    </row>
    <row r="45" spans="1:12" ht="21" customHeight="1">
      <c r="A45" s="40" t="s">
        <v>746</v>
      </c>
      <c r="B45" s="41" t="s">
        <v>747</v>
      </c>
      <c r="C45" s="41"/>
      <c r="D45" s="42"/>
      <c r="E45" s="42"/>
      <c r="F45" s="42"/>
      <c r="G45" s="42"/>
      <c r="H45" s="42"/>
      <c r="I45" s="42"/>
      <c r="J45" s="42"/>
      <c r="K45" s="42"/>
      <c r="L45" s="42"/>
    </row>
    <row r="46" spans="1:12" ht="21" customHeight="1">
      <c r="A46" s="40"/>
      <c r="B46" s="41"/>
      <c r="C46" s="41"/>
      <c r="D46" s="42"/>
      <c r="E46" s="42"/>
      <c r="F46" s="42"/>
      <c r="G46" s="42"/>
      <c r="H46" s="42"/>
      <c r="I46" s="42"/>
      <c r="J46" s="42"/>
      <c r="K46" s="42"/>
      <c r="L46" s="42"/>
    </row>
    <row r="47" spans="1:12" ht="21" customHeight="1">
      <c r="A47" s="40" t="s">
        <v>748</v>
      </c>
      <c r="B47" s="26" t="s">
        <v>749</v>
      </c>
      <c r="C47" s="26"/>
      <c r="D47" s="27"/>
      <c r="E47" s="27"/>
      <c r="F47" s="27"/>
      <c r="G47" s="27"/>
      <c r="H47" s="27"/>
      <c r="I47" s="27"/>
      <c r="J47" s="27"/>
      <c r="K47" s="27"/>
      <c r="L47" s="27"/>
    </row>
    <row r="48" spans="1:12" ht="21" customHeight="1">
      <c r="A48" s="40"/>
      <c r="B48" s="26"/>
      <c r="C48" s="26"/>
      <c r="D48" s="27"/>
      <c r="E48" s="27"/>
      <c r="F48" s="27"/>
      <c r="G48" s="27"/>
      <c r="H48" s="27"/>
      <c r="I48" s="27"/>
      <c r="J48" s="27"/>
      <c r="K48" s="27"/>
      <c r="L48" s="27"/>
    </row>
    <row r="49" spans="1:12" ht="21" customHeight="1">
      <c r="A49" s="40" t="s">
        <v>750</v>
      </c>
      <c r="B49" s="41" t="s">
        <v>751</v>
      </c>
      <c r="C49" s="41"/>
      <c r="D49" s="42"/>
      <c r="E49" s="42"/>
      <c r="F49" s="42"/>
      <c r="G49" s="42"/>
      <c r="H49" s="42"/>
      <c r="I49" s="42"/>
      <c r="J49" s="42"/>
      <c r="K49" s="42"/>
      <c r="L49" s="42"/>
    </row>
    <row r="50" spans="1:12" ht="21" customHeight="1">
      <c r="A50" s="40"/>
      <c r="B50" s="41"/>
      <c r="C50" s="41"/>
      <c r="D50" s="42"/>
      <c r="E50" s="42"/>
      <c r="F50" s="42"/>
      <c r="G50" s="42"/>
      <c r="H50" s="42"/>
      <c r="I50" s="42"/>
      <c r="J50" s="42"/>
      <c r="K50" s="42"/>
      <c r="L50" s="42"/>
    </row>
    <row r="51" spans="1:12" ht="21" customHeight="1">
      <c r="A51" s="8"/>
      <c r="B51" s="8"/>
      <c r="C51" s="8"/>
      <c r="D51" s="9"/>
      <c r="E51" s="9"/>
      <c r="F51" s="9"/>
      <c r="G51" s="9"/>
      <c r="H51" s="9"/>
      <c r="I51" s="9"/>
      <c r="J51" s="9"/>
      <c r="K51" s="9"/>
      <c r="L51" s="9"/>
    </row>
    <row r="52" spans="1:12" ht="21" customHeight="1">
      <c r="A52" s="8"/>
      <c r="B52" s="8"/>
      <c r="C52" s="8"/>
      <c r="D52" s="9"/>
      <c r="E52" s="9"/>
      <c r="F52" s="9"/>
      <c r="G52" s="9"/>
      <c r="H52" s="9"/>
      <c r="I52" s="9"/>
      <c r="J52" s="9"/>
      <c r="K52" s="9"/>
      <c r="L52" s="9"/>
    </row>
    <row r="53" spans="1:12" ht="21" customHeight="1">
      <c r="A53" s="8"/>
      <c r="B53" s="8"/>
      <c r="C53" s="8"/>
      <c r="D53" s="9"/>
      <c r="E53" s="9"/>
      <c r="F53" s="9"/>
      <c r="G53" s="9"/>
      <c r="H53" s="9"/>
      <c r="I53" s="9"/>
      <c r="J53" s="9"/>
      <c r="K53" s="9"/>
      <c r="L53" s="9"/>
    </row>
    <row r="54" spans="1:12" ht="21" customHeight="1">
      <c r="A54" s="8"/>
      <c r="B54" s="8"/>
      <c r="C54" s="8"/>
      <c r="D54" s="9"/>
      <c r="E54" s="9"/>
      <c r="F54" s="9"/>
      <c r="G54" s="9"/>
      <c r="H54" s="9"/>
      <c r="I54" s="9"/>
      <c r="J54" s="9"/>
      <c r="K54" s="9"/>
      <c r="L54" s="9"/>
    </row>
    <row r="55" spans="1:12" ht="21" customHeight="1">
      <c r="A55" s="8"/>
      <c r="B55" s="8"/>
      <c r="C55" s="8"/>
      <c r="D55" s="9"/>
      <c r="E55" s="9"/>
      <c r="F55" s="9"/>
      <c r="G55" s="9"/>
      <c r="H55" s="9"/>
      <c r="I55" s="9"/>
      <c r="J55" s="9"/>
      <c r="K55" s="9"/>
      <c r="L55" s="9"/>
    </row>
    <row r="56" spans="1:12" ht="21" customHeight="1">
      <c r="A56" s="8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</row>
    <row r="57" spans="1:12" ht="21" customHeight="1">
      <c r="A57" s="8"/>
      <c r="B57" s="8"/>
      <c r="C57" s="8"/>
      <c r="D57" s="9"/>
      <c r="E57" s="9"/>
      <c r="F57" s="9"/>
      <c r="G57" s="9"/>
      <c r="H57" s="9"/>
      <c r="I57" s="9"/>
      <c r="J57" s="9"/>
      <c r="K57" s="9"/>
      <c r="L57" s="9"/>
    </row>
    <row r="58" spans="1:12" ht="21" customHeight="1">
      <c r="A58" s="8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</row>
    <row r="59" spans="1:12" ht="21" customHeight="1">
      <c r="A59" s="8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</row>
    <row r="60" spans="1:12" ht="21" customHeight="1">
      <c r="A60" s="8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</row>
    <row r="61" spans="1:12" ht="21" customHeight="1">
      <c r="A61" s="8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</row>
    <row r="62" spans="1:12" ht="21" customHeight="1">
      <c r="A62" s="8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</row>
    <row r="63" spans="1:12" ht="21" customHeight="1">
      <c r="A63" s="8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</row>
    <row r="64" spans="1:12" ht="21" customHeight="1">
      <c r="A64" s="8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</row>
    <row r="65" spans="1:12" ht="21" customHeight="1">
      <c r="A65" s="8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</row>
    <row r="66" spans="1:12" ht="21" customHeight="1">
      <c r="A66" s="8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</row>
    <row r="67" spans="1:12" ht="21" customHeight="1">
      <c r="A67" s="8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</row>
    <row r="68" spans="1:12" ht="21" customHeight="1">
      <c r="A68" s="8"/>
      <c r="B68" s="8"/>
      <c r="C68" s="8"/>
      <c r="D68" s="9"/>
      <c r="E68" s="9"/>
      <c r="F68" s="9"/>
      <c r="G68" s="9"/>
      <c r="H68" s="9"/>
      <c r="I68" s="9"/>
      <c r="J68" s="9"/>
      <c r="K68" s="9"/>
      <c r="L68" s="9"/>
    </row>
    <row r="69" spans="1:12" ht="21" customHeight="1">
      <c r="A69" s="8"/>
      <c r="B69" s="8"/>
      <c r="C69" s="8"/>
      <c r="D69" s="9"/>
      <c r="E69" s="9"/>
      <c r="F69" s="9"/>
      <c r="G69" s="9"/>
      <c r="H69" s="9"/>
      <c r="I69" s="9"/>
      <c r="J69" s="9"/>
      <c r="K69" s="9"/>
      <c r="L69" s="9"/>
    </row>
    <row r="70" spans="1:12" ht="21" customHeight="1">
      <c r="A70" s="8"/>
      <c r="B70" s="8"/>
      <c r="C70" s="8"/>
      <c r="D70" s="9"/>
      <c r="E70" s="9"/>
      <c r="F70" s="9"/>
      <c r="G70" s="9"/>
      <c r="H70" s="9"/>
      <c r="I70" s="9"/>
      <c r="J70" s="9"/>
      <c r="K70" s="9"/>
      <c r="L70" s="9"/>
    </row>
    <row r="71" spans="1:12" ht="21" customHeight="1">
      <c r="A71" s="8"/>
      <c r="B71" s="8"/>
      <c r="C71" s="8"/>
      <c r="D71" s="9"/>
      <c r="E71" s="9"/>
      <c r="F71" s="9"/>
      <c r="G71" s="9"/>
      <c r="H71" s="9"/>
      <c r="I71" s="9"/>
      <c r="J71" s="9"/>
      <c r="K71" s="9"/>
      <c r="L71" s="9"/>
    </row>
    <row r="72" spans="1:12" ht="21" customHeight="1">
      <c r="A72" s="8"/>
      <c r="B72" s="8"/>
      <c r="C72" s="8"/>
      <c r="D72" s="9"/>
      <c r="E72" s="9"/>
      <c r="F72" s="9"/>
      <c r="G72" s="9"/>
      <c r="H72" s="9"/>
      <c r="I72" s="9"/>
      <c r="J72" s="9"/>
      <c r="K72" s="9"/>
      <c r="L72" s="9"/>
    </row>
    <row r="73" spans="1:12" ht="21" customHeight="1">
      <c r="A73" s="8"/>
      <c r="B73" s="8"/>
      <c r="C73" s="8"/>
      <c r="D73" s="9"/>
      <c r="E73" s="9"/>
      <c r="F73" s="9"/>
      <c r="G73" s="9"/>
      <c r="H73" s="9"/>
      <c r="I73" s="9"/>
      <c r="J73" s="9"/>
      <c r="K73" s="9"/>
      <c r="L73" s="9"/>
    </row>
    <row r="74" spans="1:12" ht="21" customHeight="1">
      <c r="A74" s="8"/>
      <c r="B74" s="8"/>
      <c r="C74" s="8"/>
      <c r="D74" s="9"/>
      <c r="E74" s="9"/>
      <c r="F74" s="9"/>
      <c r="G74" s="9"/>
      <c r="H74" s="9"/>
      <c r="I74" s="9"/>
      <c r="J74" s="9"/>
      <c r="K74" s="9"/>
      <c r="L74" s="9"/>
    </row>
    <row r="75" spans="1:12" ht="21" customHeight="1">
      <c r="A75" s="8"/>
      <c r="B75" s="8"/>
      <c r="C75" s="8"/>
      <c r="D75" s="9"/>
      <c r="E75" s="9"/>
      <c r="F75" s="9"/>
      <c r="G75" s="9"/>
      <c r="H75" s="9"/>
      <c r="I75" s="9"/>
      <c r="J75" s="9"/>
      <c r="K75" s="9"/>
      <c r="L75" s="9"/>
    </row>
    <row r="76" spans="1:12" ht="21" customHeight="1">
      <c r="A76" s="8"/>
      <c r="B76" s="8"/>
      <c r="C76" s="8"/>
      <c r="D76" s="9"/>
      <c r="E76" s="9"/>
      <c r="F76" s="9"/>
      <c r="G76" s="9"/>
      <c r="H76" s="9"/>
      <c r="I76" s="9"/>
      <c r="J76" s="9"/>
      <c r="K76" s="9"/>
      <c r="L76" s="9"/>
    </row>
    <row r="77" spans="1:12" ht="21" customHeight="1">
      <c r="A77" s="8"/>
      <c r="B77" s="8"/>
      <c r="C77" s="8"/>
      <c r="D77" s="9"/>
      <c r="E77" s="9"/>
      <c r="F77" s="9"/>
      <c r="G77" s="9"/>
      <c r="H77" s="9"/>
      <c r="I77" s="9"/>
      <c r="J77" s="9"/>
      <c r="K77" s="9"/>
      <c r="L77" s="9"/>
    </row>
    <row r="78" spans="1:12" ht="21" customHeight="1">
      <c r="A78" s="8"/>
      <c r="B78" s="8"/>
      <c r="C78" s="8"/>
      <c r="D78" s="9"/>
      <c r="E78" s="9"/>
      <c r="F78" s="9"/>
      <c r="G78" s="9"/>
      <c r="H78" s="9"/>
      <c r="I78" s="9"/>
      <c r="J78" s="9"/>
      <c r="K78" s="9"/>
      <c r="L78" s="9"/>
    </row>
    <row r="79" spans="1:12" ht="21" customHeight="1">
      <c r="A79" s="8"/>
      <c r="B79" s="8"/>
      <c r="C79" s="8"/>
      <c r="D79" s="9"/>
      <c r="E79" s="9"/>
      <c r="F79" s="9"/>
      <c r="G79" s="9"/>
      <c r="H79" s="9"/>
      <c r="I79" s="9"/>
      <c r="J79" s="9"/>
      <c r="K79" s="9"/>
      <c r="L79" s="9"/>
    </row>
    <row r="80" spans="1:12" ht="21" customHeight="1">
      <c r="A80" s="8"/>
      <c r="B80" s="8"/>
      <c r="C80" s="8"/>
      <c r="D80" s="9"/>
      <c r="E80" s="9"/>
      <c r="F80" s="9"/>
      <c r="G80" s="9"/>
      <c r="H80" s="9"/>
      <c r="I80" s="9"/>
      <c r="J80" s="9"/>
      <c r="K80" s="9"/>
      <c r="L80" s="9"/>
    </row>
    <row r="81" spans="1:12" ht="21" customHeight="1">
      <c r="A81" s="8"/>
      <c r="B81" s="8"/>
      <c r="C81" s="8"/>
      <c r="D81" s="9"/>
      <c r="E81" s="9"/>
      <c r="F81" s="9"/>
      <c r="G81" s="9"/>
      <c r="H81" s="9"/>
      <c r="I81" s="9"/>
      <c r="J81" s="9"/>
      <c r="K81" s="9"/>
      <c r="L81" s="9"/>
    </row>
    <row r="82" spans="1:12" ht="21" customHeight="1">
      <c r="A82" s="8"/>
      <c r="B82" s="8"/>
      <c r="C82" s="8"/>
      <c r="D82" s="9"/>
      <c r="E82" s="9"/>
      <c r="F82" s="9"/>
      <c r="G82" s="9"/>
      <c r="H82" s="9"/>
      <c r="I82" s="9"/>
      <c r="J82" s="9"/>
      <c r="K82" s="9"/>
      <c r="L82" s="9"/>
    </row>
    <row r="83" spans="1:12" ht="21" customHeight="1">
      <c r="A83" s="8"/>
      <c r="B83" s="8"/>
      <c r="C83" s="8"/>
      <c r="D83" s="9"/>
      <c r="E83" s="9"/>
      <c r="F83" s="9"/>
      <c r="G83" s="9"/>
      <c r="H83" s="9"/>
      <c r="I83" s="9"/>
      <c r="J83" s="9"/>
      <c r="K83" s="9"/>
      <c r="L83" s="9"/>
    </row>
    <row r="84" spans="1:12" ht="21" customHeight="1">
      <c r="A84" s="8"/>
      <c r="B84" s="8"/>
      <c r="C84" s="8"/>
      <c r="D84" s="9"/>
      <c r="E84" s="9"/>
      <c r="F84" s="9"/>
      <c r="G84" s="9"/>
      <c r="H84" s="9"/>
      <c r="I84" s="9"/>
      <c r="J84" s="9"/>
      <c r="K84" s="9"/>
      <c r="L84" s="9"/>
    </row>
    <row r="85" spans="1:12" ht="21" customHeight="1">
      <c r="A85" s="8"/>
      <c r="B85" s="8"/>
      <c r="C85" s="8"/>
      <c r="D85" s="9"/>
      <c r="E85" s="9"/>
      <c r="F85" s="9"/>
      <c r="G85" s="9"/>
      <c r="H85" s="9"/>
      <c r="I85" s="9"/>
      <c r="J85" s="9"/>
      <c r="K85" s="9"/>
      <c r="L85" s="9"/>
    </row>
    <row r="86" spans="1:12" ht="21" customHeight="1">
      <c r="A86" s="8"/>
      <c r="B86" s="8"/>
      <c r="C86" s="8"/>
      <c r="D86" s="9"/>
      <c r="E86" s="9"/>
      <c r="F86" s="9"/>
      <c r="G86" s="9"/>
      <c r="H86" s="9"/>
      <c r="I86" s="9"/>
      <c r="J86" s="9"/>
      <c r="K86" s="9"/>
      <c r="L86" s="9"/>
    </row>
    <row r="87" spans="1:12" ht="21" customHeigh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  <c r="L87" s="9"/>
    </row>
    <row r="88" spans="1:12" ht="21" customHeight="1">
      <c r="A88" s="8"/>
      <c r="B88" s="8"/>
      <c r="C88" s="8"/>
      <c r="D88" s="9"/>
      <c r="E88" s="9"/>
      <c r="F88" s="9"/>
      <c r="G88" s="9"/>
      <c r="H88" s="9"/>
      <c r="I88" s="9"/>
      <c r="J88" s="9"/>
      <c r="K88" s="9"/>
      <c r="L88" s="9"/>
    </row>
    <row r="89" spans="1:12" ht="21" customHeight="1">
      <c r="A89" s="8"/>
      <c r="B89" s="8"/>
      <c r="C89" s="8"/>
      <c r="D89" s="9"/>
      <c r="E89" s="9"/>
      <c r="F89" s="9"/>
      <c r="G89" s="9"/>
      <c r="H89" s="9"/>
      <c r="I89" s="9"/>
      <c r="J89" s="9"/>
      <c r="K89" s="9"/>
      <c r="L89" s="9"/>
    </row>
    <row r="90" spans="1:12" ht="21" customHeight="1">
      <c r="A90" s="8"/>
      <c r="B90" s="8"/>
      <c r="C90" s="8"/>
      <c r="D90" s="9"/>
      <c r="E90" s="9"/>
      <c r="F90" s="9"/>
      <c r="G90" s="9"/>
      <c r="H90" s="9"/>
      <c r="I90" s="9"/>
      <c r="J90" s="9"/>
      <c r="K90" s="9"/>
      <c r="L90" s="9"/>
    </row>
    <row r="91" spans="1:12" ht="21" customHeight="1">
      <c r="A91" s="8"/>
      <c r="B91" s="8"/>
      <c r="C91" s="8"/>
      <c r="D91" s="9"/>
      <c r="E91" s="9"/>
      <c r="F91" s="9"/>
      <c r="G91" s="9"/>
      <c r="H91" s="9"/>
      <c r="I91" s="9"/>
      <c r="J91" s="9"/>
      <c r="K91" s="9"/>
      <c r="L91" s="9"/>
    </row>
    <row r="92" spans="1:12" ht="21" customHeight="1">
      <c r="A92" s="8"/>
      <c r="B92" s="8"/>
      <c r="C92" s="8"/>
      <c r="D92" s="9"/>
      <c r="E92" s="9"/>
      <c r="F92" s="9"/>
      <c r="G92" s="9"/>
      <c r="H92" s="9"/>
      <c r="I92" s="9"/>
      <c r="J92" s="9"/>
      <c r="K92" s="9"/>
      <c r="L92" s="9"/>
    </row>
    <row r="93" spans="1:12" ht="21" customHeight="1">
      <c r="A93" s="8"/>
      <c r="B93" s="8"/>
      <c r="C93" s="8"/>
      <c r="D93" s="9"/>
      <c r="E93" s="9"/>
      <c r="F93" s="9"/>
      <c r="G93" s="9"/>
      <c r="H93" s="9"/>
      <c r="I93" s="9"/>
      <c r="J93" s="9"/>
      <c r="K93" s="9"/>
      <c r="L93" s="9"/>
    </row>
    <row r="94" spans="1:12" ht="21" customHeight="1">
      <c r="A94" s="8"/>
      <c r="B94" s="8"/>
      <c r="C94" s="8"/>
      <c r="D94" s="9"/>
      <c r="E94" s="9"/>
      <c r="F94" s="9"/>
      <c r="G94" s="9"/>
      <c r="H94" s="9"/>
      <c r="I94" s="9"/>
      <c r="J94" s="9"/>
      <c r="K94" s="9"/>
      <c r="L94" s="9"/>
    </row>
    <row r="95" spans="1:12" ht="21" customHeight="1">
      <c r="A95" s="8"/>
      <c r="B95" s="8"/>
      <c r="C95" s="8"/>
      <c r="D95" s="9"/>
      <c r="E95" s="9"/>
      <c r="F95" s="9"/>
      <c r="G95" s="9"/>
      <c r="H95" s="9"/>
      <c r="I95" s="9"/>
      <c r="J95" s="9"/>
      <c r="K95" s="9"/>
      <c r="L95" s="9"/>
    </row>
    <row r="96" spans="1:12" ht="21" customHeight="1">
      <c r="A96" s="8"/>
      <c r="B96" s="8"/>
      <c r="C96" s="8"/>
      <c r="D96" s="9"/>
      <c r="E96" s="9"/>
      <c r="F96" s="9"/>
      <c r="G96" s="9"/>
      <c r="H96" s="9"/>
      <c r="I96" s="9"/>
      <c r="J96" s="9"/>
      <c r="K96" s="9"/>
      <c r="L96" s="9"/>
    </row>
    <row r="97" spans="1:12" ht="21" customHeight="1">
      <c r="A97" s="8"/>
      <c r="B97" s="8"/>
      <c r="C97" s="8"/>
      <c r="D97" s="9"/>
      <c r="E97" s="9"/>
      <c r="F97" s="9"/>
      <c r="G97" s="9"/>
      <c r="H97" s="9"/>
      <c r="I97" s="9"/>
      <c r="J97" s="9"/>
      <c r="K97" s="9"/>
      <c r="L97" s="9"/>
    </row>
    <row r="98" spans="1:12" ht="21" customHeight="1">
      <c r="A98" s="8"/>
      <c r="B98" s="8"/>
      <c r="C98" s="8"/>
      <c r="D98" s="9"/>
      <c r="E98" s="9"/>
      <c r="F98" s="9"/>
      <c r="G98" s="9"/>
      <c r="H98" s="9"/>
      <c r="I98" s="9"/>
      <c r="J98" s="9"/>
      <c r="K98" s="9"/>
      <c r="L98" s="9"/>
    </row>
    <row r="99" spans="1:12" ht="21" customHeight="1">
      <c r="A99" s="8"/>
      <c r="B99" s="8"/>
      <c r="C99" s="8"/>
      <c r="D99" s="9"/>
      <c r="E99" s="9"/>
      <c r="F99" s="9"/>
      <c r="G99" s="9"/>
      <c r="H99" s="9"/>
      <c r="I99" s="9"/>
      <c r="J99" s="9"/>
      <c r="K99" s="9"/>
      <c r="L99" s="9"/>
    </row>
    <row r="100" spans="1:12" ht="21" customHeight="1">
      <c r="A100" s="8"/>
      <c r="B100" s="8"/>
      <c r="C100" s="8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21" customHeight="1">
      <c r="A101" s="8"/>
      <c r="B101" s="8"/>
      <c r="C101" s="8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21" customHeight="1">
      <c r="A102" s="8"/>
      <c r="B102" s="8"/>
      <c r="C102" s="8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21" customHeight="1">
      <c r="A103" s="8"/>
      <c r="B103" s="8"/>
      <c r="C103" s="8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21" customHeight="1">
      <c r="A104" s="8"/>
      <c r="B104" s="8"/>
      <c r="C104" s="8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21" customHeight="1">
      <c r="A105" s="8"/>
      <c r="B105" s="8"/>
      <c r="C105" s="8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21" customHeight="1">
      <c r="A106" s="8"/>
      <c r="B106" s="8"/>
      <c r="C106" s="8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21" customHeight="1">
      <c r="A107" s="8"/>
      <c r="B107" s="8"/>
      <c r="C107" s="8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21" customHeight="1">
      <c r="A108" s="8"/>
      <c r="B108" s="8"/>
      <c r="C108" s="8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21" customHeight="1">
      <c r="A109" s="8"/>
      <c r="B109" s="8"/>
      <c r="C109" s="8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21" customHeight="1">
      <c r="A110" s="8"/>
      <c r="B110" s="8"/>
      <c r="C110" s="8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21" customHeight="1">
      <c r="A111" s="8"/>
      <c r="B111" s="8"/>
      <c r="C111" s="8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21" customHeight="1">
      <c r="A112" s="8"/>
      <c r="B112" s="8"/>
      <c r="C112" s="8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21" customHeight="1">
      <c r="A113" s="8"/>
      <c r="B113" s="8"/>
      <c r="C113" s="8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21" customHeight="1">
      <c r="A114" s="8"/>
      <c r="B114" s="8"/>
      <c r="C114" s="8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21" customHeight="1">
      <c r="A115" s="8"/>
      <c r="B115" s="8"/>
      <c r="C115" s="8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21" customHeight="1">
      <c r="A116" s="8"/>
      <c r="B116" s="8"/>
      <c r="C116" s="8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21" customHeight="1">
      <c r="A117" s="8"/>
      <c r="B117" s="8"/>
      <c r="C117" s="8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21" customHeight="1">
      <c r="A118" s="8"/>
      <c r="B118" s="8"/>
      <c r="C118" s="8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21" customHeight="1">
      <c r="A119" s="8"/>
      <c r="B119" s="8"/>
      <c r="C119" s="8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21" customHeight="1">
      <c r="A120" s="8"/>
      <c r="B120" s="8"/>
      <c r="C120" s="8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21" customHeight="1">
      <c r="A121" s="8"/>
      <c r="B121" s="8"/>
      <c r="C121" s="8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21" customHeight="1">
      <c r="A122" s="8"/>
      <c r="B122" s="8"/>
      <c r="C122" s="8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21" customHeight="1">
      <c r="A123" s="8"/>
      <c r="B123" s="8"/>
      <c r="C123" s="8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21" customHeight="1">
      <c r="A124" s="8"/>
      <c r="B124" s="8"/>
      <c r="C124" s="8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21" customHeight="1">
      <c r="A125" s="8"/>
      <c r="B125" s="8"/>
      <c r="C125" s="8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21" customHeight="1">
      <c r="A126" s="8"/>
      <c r="B126" s="8"/>
      <c r="C126" s="8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21" customHeight="1">
      <c r="A127" s="8"/>
      <c r="B127" s="8"/>
      <c r="C127" s="8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21" customHeight="1">
      <c r="A128" s="8"/>
      <c r="B128" s="8"/>
      <c r="C128" s="8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21" customHeight="1">
      <c r="A129" s="8"/>
      <c r="B129" s="8"/>
      <c r="C129" s="8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21" customHeight="1">
      <c r="A130" s="8"/>
      <c r="B130" s="8"/>
      <c r="C130" s="8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21" customHeight="1">
      <c r="A131" s="8"/>
      <c r="B131" s="8"/>
      <c r="C131" s="8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21" customHeight="1">
      <c r="A132" s="8"/>
      <c r="B132" s="8"/>
      <c r="C132" s="8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21" customHeight="1">
      <c r="A133" s="8"/>
      <c r="B133" s="8"/>
      <c r="C133" s="8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21" customHeight="1">
      <c r="A134" s="8"/>
      <c r="B134" s="8"/>
      <c r="C134" s="8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21" customHeight="1">
      <c r="A135" s="8"/>
      <c r="B135" s="8"/>
      <c r="C135" s="8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21" customHeight="1">
      <c r="A136" s="8"/>
      <c r="B136" s="8"/>
      <c r="C136" s="8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21" customHeight="1">
      <c r="A137" s="8"/>
      <c r="B137" s="8"/>
      <c r="C137" s="8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21" customHeight="1">
      <c r="A138" s="8"/>
      <c r="B138" s="8"/>
      <c r="C138" s="8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21" customHeight="1">
      <c r="A139" s="8"/>
      <c r="B139" s="8"/>
      <c r="C139" s="8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21" customHeight="1">
      <c r="A140" s="8"/>
      <c r="B140" s="8"/>
      <c r="C140" s="8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21" customHeight="1">
      <c r="A141" s="8"/>
      <c r="B141" s="8"/>
      <c r="C141" s="8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21" customHeight="1">
      <c r="A142" s="8"/>
      <c r="B142" s="8"/>
      <c r="C142" s="8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21" customHeight="1">
      <c r="A143" s="8"/>
      <c r="B143" s="8"/>
      <c r="C143" s="8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21" customHeight="1">
      <c r="A144" s="8"/>
      <c r="B144" s="8"/>
      <c r="C144" s="8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21" customHeight="1">
      <c r="A145" s="8"/>
      <c r="B145" s="8"/>
      <c r="C145" s="8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21" customHeight="1">
      <c r="A146" s="8"/>
      <c r="B146" s="8"/>
      <c r="C146" s="8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21" customHeight="1">
      <c r="A147" s="8"/>
      <c r="B147" s="8"/>
      <c r="C147" s="8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21" customHeight="1">
      <c r="A148" s="8"/>
      <c r="B148" s="8"/>
      <c r="C148" s="8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21" customHeight="1">
      <c r="A149" s="8"/>
      <c r="B149" s="8"/>
      <c r="C149" s="8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21" customHeight="1">
      <c r="A150" s="8"/>
      <c r="B150" s="8"/>
      <c r="C150" s="8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21" customHeight="1">
      <c r="A151" s="8"/>
      <c r="B151" s="8"/>
      <c r="C151" s="8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21" customHeight="1">
      <c r="A152" s="8"/>
      <c r="B152" s="8"/>
      <c r="C152" s="8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21" customHeight="1">
      <c r="A153" s="8"/>
      <c r="B153" s="8"/>
      <c r="C153" s="8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21" customHeight="1">
      <c r="A154" s="8"/>
      <c r="B154" s="8"/>
      <c r="C154" s="8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21" customHeight="1">
      <c r="A155" s="8"/>
      <c r="B155" s="8"/>
      <c r="C155" s="8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21" customHeight="1">
      <c r="A156" s="8"/>
      <c r="B156" s="8"/>
      <c r="C156" s="8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21" customHeight="1">
      <c r="A157" s="8"/>
      <c r="B157" s="8"/>
      <c r="C157" s="8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21" customHeight="1">
      <c r="A158" s="8"/>
      <c r="B158" s="8"/>
      <c r="C158" s="8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21" customHeight="1">
      <c r="A159" s="8"/>
      <c r="B159" s="8"/>
      <c r="C159" s="8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21" customHeight="1">
      <c r="A160" s="8"/>
      <c r="B160" s="8"/>
      <c r="C160" s="8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21" customHeight="1">
      <c r="A161" s="8"/>
      <c r="B161" s="8"/>
      <c r="C161" s="8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21" customHeight="1">
      <c r="A162" s="8"/>
      <c r="B162" s="8"/>
      <c r="C162" s="8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21" customHeight="1">
      <c r="A163" s="8"/>
      <c r="B163" s="8"/>
      <c r="C163" s="8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21" customHeight="1">
      <c r="A164" s="8"/>
      <c r="B164" s="8"/>
      <c r="C164" s="8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21" customHeight="1">
      <c r="A165" s="8"/>
      <c r="B165" s="8"/>
      <c r="C165" s="8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21" customHeight="1">
      <c r="A166" s="8"/>
      <c r="B166" s="8"/>
      <c r="C166" s="8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21" customHeight="1">
      <c r="A167" s="8"/>
      <c r="B167" s="8"/>
      <c r="C167" s="8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21" customHeight="1">
      <c r="A168" s="8"/>
      <c r="B168" s="8"/>
      <c r="C168" s="8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21" customHeight="1">
      <c r="A169" s="8"/>
      <c r="B169" s="8"/>
      <c r="C169" s="8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21" customHeight="1">
      <c r="A170" s="8"/>
      <c r="B170" s="8"/>
      <c r="C170" s="8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21" customHeight="1">
      <c r="A171" s="8"/>
      <c r="B171" s="8"/>
      <c r="C171" s="8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21" customHeight="1">
      <c r="A172" s="8"/>
      <c r="B172" s="8"/>
      <c r="C172" s="8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21" customHeight="1">
      <c r="A173" s="8"/>
      <c r="B173" s="8"/>
      <c r="C173" s="8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21" customHeight="1">
      <c r="A174" s="8"/>
      <c r="B174" s="8"/>
      <c r="C174" s="8"/>
      <c r="D174" s="9"/>
      <c r="E174" s="9"/>
      <c r="F174" s="9"/>
      <c r="G174" s="9"/>
      <c r="H174" s="9"/>
      <c r="I174" s="9"/>
      <c r="J174" s="9"/>
      <c r="K174" s="9"/>
      <c r="L174" s="9"/>
    </row>
    <row r="175" spans="1:12" ht="21" customHeight="1">
      <c r="A175" s="8"/>
      <c r="B175" s="8"/>
      <c r="C175" s="8"/>
      <c r="D175" s="9"/>
      <c r="E175" s="9"/>
      <c r="F175" s="9"/>
      <c r="G175" s="9"/>
      <c r="H175" s="9"/>
      <c r="I175" s="9"/>
      <c r="J175" s="9"/>
      <c r="K175" s="9"/>
      <c r="L175" s="9"/>
    </row>
    <row r="176" spans="1:12" ht="21" customHeight="1">
      <c r="A176" s="8"/>
      <c r="B176" s="8"/>
      <c r="C176" s="8"/>
      <c r="D176" s="9"/>
      <c r="E176" s="9"/>
      <c r="F176" s="9"/>
      <c r="G176" s="9"/>
      <c r="H176" s="9"/>
      <c r="I176" s="9"/>
      <c r="J176" s="9"/>
      <c r="K176" s="9"/>
      <c r="L176" s="9"/>
    </row>
    <row r="177" spans="1:12" ht="21" customHeight="1">
      <c r="A177" s="8"/>
      <c r="B177" s="8"/>
      <c r="C177" s="8"/>
      <c r="D177" s="9"/>
      <c r="E177" s="9"/>
      <c r="F177" s="9"/>
      <c r="G177" s="9"/>
      <c r="H177" s="9"/>
      <c r="I177" s="9"/>
      <c r="J177" s="9"/>
      <c r="K177" s="9"/>
      <c r="L177" s="9"/>
    </row>
    <row r="178" spans="1:12" ht="21" customHeight="1">
      <c r="A178" s="8"/>
      <c r="B178" s="8"/>
      <c r="C178" s="8"/>
      <c r="D178" s="9"/>
      <c r="E178" s="9"/>
      <c r="F178" s="9"/>
      <c r="G178" s="9"/>
      <c r="H178" s="9"/>
      <c r="I178" s="9"/>
      <c r="J178" s="9"/>
      <c r="K178" s="9"/>
      <c r="L178" s="9"/>
    </row>
    <row r="179" spans="1:12" ht="21" customHeight="1">
      <c r="A179" s="8"/>
      <c r="B179" s="8"/>
      <c r="C179" s="8"/>
      <c r="D179" s="9"/>
      <c r="E179" s="9"/>
      <c r="F179" s="9"/>
      <c r="G179" s="9"/>
      <c r="H179" s="9"/>
      <c r="I179" s="9"/>
      <c r="J179" s="9"/>
      <c r="K179" s="9"/>
      <c r="L179" s="9"/>
    </row>
    <row r="180" spans="1:12" ht="21" customHeight="1">
      <c r="A180" s="8"/>
      <c r="B180" s="8"/>
      <c r="C180" s="8"/>
      <c r="D180" s="9"/>
      <c r="E180" s="9"/>
      <c r="F180" s="9"/>
      <c r="G180" s="9"/>
      <c r="H180" s="9"/>
      <c r="I180" s="9"/>
      <c r="J180" s="9"/>
      <c r="K180" s="9"/>
      <c r="L180" s="9"/>
    </row>
  </sheetData>
  <sheetProtection sheet="1" objects="1" scenarios="1"/>
  <mergeCells count="46">
    <mergeCell ref="B47:L48"/>
    <mergeCell ref="A47:A48"/>
    <mergeCell ref="B49:L50"/>
    <mergeCell ref="A49:A50"/>
    <mergeCell ref="B41:L42"/>
    <mergeCell ref="A41:A42"/>
    <mergeCell ref="B43:L44"/>
    <mergeCell ref="A43:A44"/>
    <mergeCell ref="B45:L46"/>
    <mergeCell ref="A45:A46"/>
    <mergeCell ref="B35:L36"/>
    <mergeCell ref="A35:A36"/>
    <mergeCell ref="B37:L38"/>
    <mergeCell ref="A37:A38"/>
    <mergeCell ref="B39:L40"/>
    <mergeCell ref="A39:A40"/>
    <mergeCell ref="B29:L30"/>
    <mergeCell ref="A29:A30"/>
    <mergeCell ref="B31:L32"/>
    <mergeCell ref="A31:A32"/>
    <mergeCell ref="B33:L34"/>
    <mergeCell ref="A33:A34"/>
    <mergeCell ref="B23:L24"/>
    <mergeCell ref="A23:A24"/>
    <mergeCell ref="B25:L26"/>
    <mergeCell ref="A25:A26"/>
    <mergeCell ref="B27:L28"/>
    <mergeCell ref="A27:A28"/>
    <mergeCell ref="B17:L18"/>
    <mergeCell ref="A17:A18"/>
    <mergeCell ref="B19:L20"/>
    <mergeCell ref="A19:A20"/>
    <mergeCell ref="B21:L22"/>
    <mergeCell ref="A21:A22"/>
    <mergeCell ref="B11:L12"/>
    <mergeCell ref="A11:A12"/>
    <mergeCell ref="B13:L14"/>
    <mergeCell ref="A13:A14"/>
    <mergeCell ref="B15:L16"/>
    <mergeCell ref="A15:A16"/>
    <mergeCell ref="B5:L6"/>
    <mergeCell ref="A5:A6"/>
    <mergeCell ref="B7:L8"/>
    <mergeCell ref="A7:A8"/>
    <mergeCell ref="B9:L10"/>
    <mergeCell ref="A9:A10"/>
  </mergeCells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4"/>
  <sheetViews>
    <sheetView showGridLines="0" workbookViewId="0">
      <pane ySplit="10" topLeftCell="A11" activePane="bottomLeft" state="frozen"/>
      <selection pane="bottomLeft"/>
    </sheetView>
  </sheetViews>
  <sheetFormatPr defaultRowHeight="14.25"/>
  <cols>
    <col min="1" max="1" width="43" style="10" customWidth="1"/>
    <col min="2" max="7" width="20" style="10" customWidth="1"/>
    <col min="8" max="16384" width="9" style="10"/>
  </cols>
  <sheetData>
    <row r="1" spans="1:7" ht="23.1" customHeight="1">
      <c r="A1" s="8"/>
      <c r="B1" s="8"/>
      <c r="C1" s="8"/>
      <c r="D1" s="8"/>
      <c r="E1" s="8"/>
      <c r="F1" s="8"/>
      <c r="G1" s="8"/>
    </row>
    <row r="2" spans="1:7" ht="30" customHeight="1">
      <c r="A2" s="43" t="s">
        <v>752</v>
      </c>
      <c r="B2" s="43"/>
      <c r="C2" s="43"/>
      <c r="D2" s="43"/>
      <c r="E2" s="43"/>
      <c r="F2" s="43"/>
      <c r="G2" s="43"/>
    </row>
    <row r="3" spans="1:7" ht="23.1" customHeight="1">
      <c r="A3" s="8"/>
      <c r="B3" s="8"/>
      <c r="C3" s="8"/>
      <c r="D3" s="8"/>
      <c r="E3" s="8"/>
      <c r="F3" s="8"/>
      <c r="G3" s="8"/>
    </row>
    <row r="4" spans="1:7" ht="23.1" customHeight="1">
      <c r="A4" s="8"/>
      <c r="B4" s="8"/>
      <c r="C4" s="8"/>
      <c r="D4" s="8"/>
      <c r="E4" s="8"/>
      <c r="F4" s="8"/>
      <c r="G4" s="8"/>
    </row>
    <row r="5" spans="1:7" ht="23.1" customHeight="1">
      <c r="A5" s="8" t="s">
        <v>753</v>
      </c>
      <c r="B5" s="6"/>
      <c r="C5" s="8"/>
      <c r="D5" s="8"/>
      <c r="E5" s="8"/>
      <c r="F5" s="8"/>
      <c r="G5" s="8"/>
    </row>
    <row r="6" spans="1:7" ht="23.1" customHeight="1">
      <c r="A6" s="8" t="s">
        <v>754</v>
      </c>
      <c r="B6" s="6">
        <v>1</v>
      </c>
      <c r="C6" s="8"/>
      <c r="D6" s="8"/>
      <c r="E6" s="8"/>
      <c r="F6" s="8"/>
      <c r="G6" s="8"/>
    </row>
    <row r="7" spans="1:7" ht="23.1" customHeight="1">
      <c r="A7" s="8" t="s">
        <v>755</v>
      </c>
      <c r="B7" s="8">
        <f>IF(ISNUMBER(B5),B5,MATCH(MAX(INDEX(季度现金流!$D$1:$DT$200,77+110*(B6-1),0)),INDEX(季度现金流!$D$1:$DT$200,77+110*(B6-1),0),0)-1)</f>
        <v>12</v>
      </c>
      <c r="C7" s="8"/>
      <c r="D7" s="8"/>
      <c r="E7" s="8"/>
      <c r="F7" s="8"/>
      <c r="G7" s="8"/>
    </row>
    <row r="8" spans="1:7" ht="23.1" customHeight="1">
      <c r="A8" s="8" t="s">
        <v>756</v>
      </c>
      <c r="B8" s="8" t="str">
        <f>INDEX(季度计划!$D$5:$DT$5,1,B7+1)</f>
        <v>2029Q4</v>
      </c>
      <c r="C8" s="8"/>
      <c r="D8" s="8"/>
      <c r="E8" s="8"/>
      <c r="F8" s="8"/>
      <c r="G8" s="8"/>
    </row>
    <row r="9" spans="1:7" ht="23.1" customHeight="1">
      <c r="A9" s="8"/>
      <c r="B9" s="8"/>
      <c r="C9" s="8"/>
      <c r="D9" s="8"/>
      <c r="E9" s="8"/>
      <c r="F9" s="8"/>
      <c r="G9" s="8"/>
    </row>
    <row r="10" spans="1:7" ht="32.1" customHeight="1">
      <c r="A10" s="44" t="s">
        <v>757</v>
      </c>
      <c r="B10" s="44" t="s">
        <v>758</v>
      </c>
      <c r="C10" s="44" t="s">
        <v>759</v>
      </c>
      <c r="D10" s="44" t="s">
        <v>760</v>
      </c>
      <c r="E10" s="44" t="s">
        <v>761</v>
      </c>
      <c r="F10" s="44" t="s">
        <v>762</v>
      </c>
      <c r="G10" s="44" t="s">
        <v>763</v>
      </c>
    </row>
    <row r="11" spans="1:7" ht="23.1" customHeight="1">
      <c r="A11" s="8" t="s">
        <v>764</v>
      </c>
      <c r="B11" s="7">
        <v>0.33333333333333331</v>
      </c>
      <c r="C11" s="7">
        <v>0.33333333333333331</v>
      </c>
      <c r="D11" s="7">
        <v>0.33333333333333331</v>
      </c>
      <c r="E11" s="38">
        <f t="shared" ref="E11:E16" si="0">SUM(B11:D11)</f>
        <v>1</v>
      </c>
      <c r="F11" s="8"/>
      <c r="G11" s="8"/>
    </row>
    <row r="12" spans="1:7" ht="23.1" customHeight="1">
      <c r="A12" s="8" t="s">
        <v>765</v>
      </c>
      <c r="B12" s="7">
        <v>0.33333333333333331</v>
      </c>
      <c r="C12" s="7">
        <v>0.33333333333333331</v>
      </c>
      <c r="D12" s="7">
        <v>0.33333333333333331</v>
      </c>
      <c r="E12" s="38">
        <f t="shared" si="0"/>
        <v>1</v>
      </c>
      <c r="F12" s="8"/>
      <c r="G12" s="8"/>
    </row>
    <row r="13" spans="1:7" ht="23.1" customHeight="1">
      <c r="A13" s="8" t="s">
        <v>766</v>
      </c>
      <c r="B13" s="7">
        <v>0.33333333333333331</v>
      </c>
      <c r="C13" s="7">
        <v>0.33333333333333331</v>
      </c>
      <c r="D13" s="7">
        <v>0.33333333333333331</v>
      </c>
      <c r="E13" s="38">
        <f t="shared" si="0"/>
        <v>1</v>
      </c>
      <c r="F13" s="8"/>
      <c r="G13" s="8"/>
    </row>
    <row r="14" spans="1:7" ht="23.1" customHeight="1">
      <c r="A14" s="8" t="s">
        <v>767</v>
      </c>
      <c r="B14" s="7">
        <v>1</v>
      </c>
      <c r="C14" s="7">
        <v>0</v>
      </c>
      <c r="D14" s="7">
        <v>0</v>
      </c>
      <c r="E14" s="38">
        <f t="shared" si="0"/>
        <v>1</v>
      </c>
      <c r="F14" s="8"/>
      <c r="G14" s="8"/>
    </row>
    <row r="15" spans="1:7" ht="23.1" customHeight="1">
      <c r="A15" s="8" t="s">
        <v>768</v>
      </c>
      <c r="B15" s="7">
        <v>0</v>
      </c>
      <c r="C15" s="7">
        <v>0</v>
      </c>
      <c r="D15" s="7">
        <v>1</v>
      </c>
      <c r="E15" s="38">
        <f t="shared" si="0"/>
        <v>1</v>
      </c>
      <c r="F15" s="8"/>
      <c r="G15" s="8"/>
    </row>
    <row r="16" spans="1:7" ht="23.1" customHeight="1">
      <c r="A16" s="8" t="s">
        <v>769</v>
      </c>
      <c r="B16" s="7">
        <v>0</v>
      </c>
      <c r="C16" s="7">
        <v>0</v>
      </c>
      <c r="D16" s="7">
        <v>1</v>
      </c>
      <c r="E16" s="38">
        <f t="shared" si="0"/>
        <v>1</v>
      </c>
      <c r="F16" s="8"/>
      <c r="G16" s="8"/>
    </row>
    <row r="17" spans="1:7" ht="23.1" customHeight="1">
      <c r="A17" s="8"/>
      <c r="B17" s="8"/>
      <c r="C17" s="8"/>
      <c r="D17" s="8"/>
      <c r="E17" s="8"/>
      <c r="F17" s="8"/>
      <c r="G17" s="8"/>
    </row>
    <row r="18" spans="1:7" ht="23.1" customHeight="1">
      <c r="A18" s="8"/>
      <c r="B18" s="8"/>
      <c r="C18" s="8"/>
      <c r="D18" s="8"/>
      <c r="E18" s="8"/>
      <c r="F18" s="8"/>
      <c r="G18" s="8"/>
    </row>
    <row r="19" spans="1:7" ht="23.1" customHeight="1">
      <c r="A19" s="8"/>
      <c r="B19" s="8"/>
      <c r="C19" s="8"/>
      <c r="D19" s="8"/>
      <c r="E19" s="8"/>
      <c r="F19" s="8"/>
      <c r="G19" s="8"/>
    </row>
    <row r="20" spans="1:7" ht="23.1" customHeight="1">
      <c r="A20" s="8" t="s">
        <v>770</v>
      </c>
      <c r="B20" s="9">
        <f>IF($B$7=0,0,INDEX(季度现金流!$D$1:$DT$200,51+110*($B$6-1),MAX(1,MIN(121,$B$7+0))))</f>
        <v>0</v>
      </c>
      <c r="C20" s="9">
        <f>B28</f>
        <v>1449.1875</v>
      </c>
      <c r="D20" s="9">
        <f>C28</f>
        <v>876.1875</v>
      </c>
      <c r="E20" s="9"/>
      <c r="F20" s="9"/>
      <c r="G20" s="9"/>
    </row>
    <row r="21" spans="1:7" ht="23.1" customHeight="1">
      <c r="A21" s="8" t="s">
        <v>771</v>
      </c>
      <c r="B21" s="9">
        <f>(INDEX(季度经营税费!$D$1:$DT$200,68+110*($B$6-1),MAX(1,MIN(121,$B$7+1)))+IF(核心参数输入!$B$64=1,INDEX(季度经营税费!$D$1:$DT$200,59+110*($B$6-1),MAX(1,MIN(121,$B$7+1)))+INDEX(季度现金流!$D$1:$DT$200,17+110*($B$6-1),MAX(1,MIN(121,$B$7+1))),INDEX(季度现金流!$D$1:$DT$200,16+110*($B$6-1),MAX(1,MIN(121,$B$7+1)))))*B$11</f>
        <v>0</v>
      </c>
      <c r="C21" s="9">
        <f>(INDEX(季度经营税费!$D$1:$DT$200,68+110*($B$6-1),MAX(1,MIN(121,$B$7+1)))+IF(核心参数输入!$B$64=1,INDEX(季度经营税费!$D$1:$DT$200,59+110*($B$6-1),MAX(1,MIN(121,$B$7+1)))+INDEX(季度现金流!$D$1:$DT$200,17+110*($B$6-1),MAX(1,MIN(121,$B$7+1))),INDEX(季度现金流!$D$1:$DT$200,16+110*($B$6-1),MAX(1,MIN(121,$B$7+1)))))*C$11</f>
        <v>0</v>
      </c>
      <c r="D21" s="9">
        <f>(INDEX(季度经营税费!$D$1:$DT$200,68+110*($B$6-1),MAX(1,MIN(121,$B$7+1)))+IF(核心参数输入!$B$64=1,INDEX(季度经营税费!$D$1:$DT$200,59+110*($B$6-1),MAX(1,MIN(121,$B$7+1)))+INDEX(季度现金流!$D$1:$DT$200,17+110*($B$6-1),MAX(1,MIN(121,$B$7+1))),INDEX(季度现金流!$D$1:$DT$200,16+110*($B$6-1),MAX(1,MIN(121,$B$7+1)))))*D$11</f>
        <v>0</v>
      </c>
      <c r="E21" s="9">
        <f t="shared" ref="E21:E27" si="1">SUM(B21:D21)</f>
        <v>0</v>
      </c>
      <c r="F21" s="9">
        <f>INDEX(季度经营税费!$D$1:$DT$200,68+110*($B$6-1),MAX(1,MIN(121,$B$7+1)))+IF(核心参数输入!$B$64=1,INDEX(季度经营税费!$D$1:$DT$200,59+110*($B$6-1),MAX(1,MIN(121,$B$7+1)))+INDEX(季度现金流!$D$1:$DT$200,17+110*($B$6-1),MAX(1,MIN(121,$B$7+1))),INDEX(季度现金流!$D$1:$DT$200,16+110*($B$6-1),MAX(1,MIN(121,$B$7+1))))</f>
        <v>0</v>
      </c>
      <c r="G21" s="9">
        <f t="shared" ref="G21:G28" si="2">E21-F21</f>
        <v>0</v>
      </c>
    </row>
    <row r="22" spans="1:7" ht="23.1" customHeight="1">
      <c r="A22" s="8" t="s">
        <v>772</v>
      </c>
      <c r="B22" s="9">
        <f>(INDEX(季度经营税费!$D$1:$DT$200,69+110*($B$6-1),MAX(1,MIN(121,$B$7+1)))+IF(核心参数输入!$B$64=1,INDEX(季度经营税费!$D$1:$DT$200,65+110*($B$6-1),MAX(1,MIN(121,$B$7+1))),INDEX(季度经营税费!$D$1:$DT$200,64+110*($B$6-1),MAX(1,MIN(121,$B$7+1)))))*B$12</f>
        <v>0</v>
      </c>
      <c r="C22" s="9">
        <f>(INDEX(季度经营税费!$D$1:$DT$200,69+110*($B$6-1),MAX(1,MIN(121,$B$7+1)))+IF(核心参数输入!$B$64=1,INDEX(季度经营税费!$D$1:$DT$200,65+110*($B$6-1),MAX(1,MIN(121,$B$7+1))),INDEX(季度经营税费!$D$1:$DT$200,64+110*($B$6-1),MAX(1,MIN(121,$B$7+1)))))*C$12</f>
        <v>0</v>
      </c>
      <c r="D22" s="9">
        <f>(INDEX(季度经营税费!$D$1:$DT$200,69+110*($B$6-1),MAX(1,MIN(121,$B$7+1)))+IF(核心参数输入!$B$64=1,INDEX(季度经营税费!$D$1:$DT$200,65+110*($B$6-1),MAX(1,MIN(121,$B$7+1))),INDEX(季度经营税费!$D$1:$DT$200,64+110*($B$6-1),MAX(1,MIN(121,$B$7+1)))))*D$12</f>
        <v>0</v>
      </c>
      <c r="E22" s="9">
        <f t="shared" si="1"/>
        <v>0</v>
      </c>
      <c r="F22" s="9">
        <f>INDEX(季度经营税费!$D$1:$DT$200,69+110*($B$6-1),MAX(1,MIN(121,$B$7+1)))+IF(核心参数输入!$B$64=1,INDEX(季度经营税费!$D$1:$DT$200,65+110*($B$6-1),MAX(1,MIN(121,$B$7+1))),INDEX(季度经营税费!$D$1:$DT$200,64+110*($B$6-1),MAX(1,MIN(121,$B$7+1))))</f>
        <v>0</v>
      </c>
      <c r="G22" s="9">
        <f t="shared" si="2"/>
        <v>0</v>
      </c>
    </row>
    <row r="23" spans="1:7" ht="23.1" customHeight="1">
      <c r="A23" s="8" t="s">
        <v>773</v>
      </c>
      <c r="B23" s="9">
        <f>(INDEX(季度投融资!$D$1:$DT$200,51+110*($B$6-1),MAX(1,MIN(121,$B$7+1))))*B$12</f>
        <v>1323</v>
      </c>
      <c r="C23" s="9">
        <f>(INDEX(季度投融资!$D$1:$DT$200,51+110*($B$6-1),MAX(1,MIN(121,$B$7+1))))*C$12</f>
        <v>1323</v>
      </c>
      <c r="D23" s="9">
        <f>(INDEX(季度投融资!$D$1:$DT$200,51+110*($B$6-1),MAX(1,MIN(121,$B$7+1))))*D$12</f>
        <v>1323</v>
      </c>
      <c r="E23" s="9">
        <f t="shared" si="1"/>
        <v>3969</v>
      </c>
      <c r="F23" s="9">
        <f>INDEX(季度投融资!$D$1:$DT$200,51+110*($B$6-1),MAX(1,MIN(121,$B$7+1)))</f>
        <v>3969</v>
      </c>
      <c r="G23" s="9">
        <f t="shared" si="2"/>
        <v>0</v>
      </c>
    </row>
    <row r="24" spans="1:7" ht="23.1" customHeight="1">
      <c r="A24" s="8" t="s">
        <v>774</v>
      </c>
      <c r="B24" s="9">
        <f>(INDEX(季度投融资!$D$1:$DT$200,39+110*($B$6-1),MAX(1,MIN(121,$B$7+1))))*B$13</f>
        <v>750</v>
      </c>
      <c r="C24" s="9">
        <f>(INDEX(季度投融资!$D$1:$DT$200,39+110*($B$6-1),MAX(1,MIN(121,$B$7+1))))*C$13</f>
        <v>750</v>
      </c>
      <c r="D24" s="9">
        <f>(INDEX(季度投融资!$D$1:$DT$200,39+110*($B$6-1),MAX(1,MIN(121,$B$7+1))))*D$13</f>
        <v>750</v>
      </c>
      <c r="E24" s="9">
        <f t="shared" si="1"/>
        <v>2250</v>
      </c>
      <c r="F24" s="9">
        <f>INDEX(季度投融资!$D$1:$DT$200,39+110*($B$6-1),MAX(1,MIN(121,$B$7+1)))</f>
        <v>2250</v>
      </c>
      <c r="G24" s="9">
        <f t="shared" si="2"/>
        <v>0</v>
      </c>
    </row>
    <row r="25" spans="1:7" ht="23.1" customHeight="1">
      <c r="A25" s="8" t="s">
        <v>775</v>
      </c>
      <c r="B25" s="9">
        <f>(INDEX(季度现金流!$D$1:$DT$200,49+110*($B$6-1),MAX(1,MIN(121,$B$7+1))))*B$14</f>
        <v>2022.1875</v>
      </c>
      <c r="C25" s="9">
        <f>(INDEX(季度现金流!$D$1:$DT$200,49+110*($B$6-1),MAX(1,MIN(121,$B$7+1))))*C$14</f>
        <v>0</v>
      </c>
      <c r="D25" s="9">
        <f>(INDEX(季度现金流!$D$1:$DT$200,49+110*($B$6-1),MAX(1,MIN(121,$B$7+1))))*D$14</f>
        <v>0</v>
      </c>
      <c r="E25" s="9">
        <f t="shared" si="1"/>
        <v>2022.1875</v>
      </c>
      <c r="F25" s="9">
        <f>INDEX(季度现金流!$D$1:$DT$200,49+110*($B$6-1),MAX(1,MIN(121,$B$7+1)))</f>
        <v>2022.1875</v>
      </c>
      <c r="G25" s="9">
        <f t="shared" si="2"/>
        <v>0</v>
      </c>
    </row>
    <row r="26" spans="1:7" ht="23.1" customHeight="1">
      <c r="A26" s="8" t="s">
        <v>776</v>
      </c>
      <c r="B26" s="9">
        <f>(INDEX(季度投融资!$D$1:$DT$200,46+110*($B$6-1),MAX(1,MIN(121,$B$7+1)))+INDEX(季度投融资!$D$1:$DT$200,49+110*($B$6-1),MAX(1,MIN(121,$B$7+1))))*B$15</f>
        <v>0</v>
      </c>
      <c r="C26" s="9">
        <f>(INDEX(季度投融资!$D$1:$DT$200,46+110*($B$6-1),MAX(1,MIN(121,$B$7+1)))+INDEX(季度投融资!$D$1:$DT$200,49+110*($B$6-1),MAX(1,MIN(121,$B$7+1))))*C$15</f>
        <v>0</v>
      </c>
      <c r="D26" s="9">
        <f>(INDEX(季度投融资!$D$1:$DT$200,46+110*($B$6-1),MAX(1,MIN(121,$B$7+1)))+INDEX(季度投融资!$D$1:$DT$200,49+110*($B$6-1),MAX(1,MIN(121,$B$7+1))))*D$15</f>
        <v>303.1875</v>
      </c>
      <c r="E26" s="9">
        <f t="shared" si="1"/>
        <v>303.1875</v>
      </c>
      <c r="F26" s="9">
        <f>INDEX(季度投融资!$D$1:$DT$200,46+110*($B$6-1),MAX(1,MIN(121,$B$7+1)))+INDEX(季度投融资!$D$1:$DT$200,49+110*($B$6-1),MAX(1,MIN(121,$B$7+1)))</f>
        <v>303.1875</v>
      </c>
      <c r="G26" s="9">
        <f t="shared" si="2"/>
        <v>0</v>
      </c>
    </row>
    <row r="27" spans="1:7" ht="23.1" customHeight="1">
      <c r="A27" s="8" t="s">
        <v>777</v>
      </c>
      <c r="B27" s="9">
        <f>(INDEX(季度现金流!$D$1:$DT$200,50+110*($B$6-1),MAX(1,MIN(121,$B$7+1))))*B$16</f>
        <v>0</v>
      </c>
      <c r="C27" s="9">
        <f>(INDEX(季度现金流!$D$1:$DT$200,50+110*($B$6-1),MAX(1,MIN(121,$B$7+1))))*C$16</f>
        <v>0</v>
      </c>
      <c r="D27" s="9">
        <f>(INDEX(季度现金流!$D$1:$DT$200,50+110*($B$6-1),MAX(1,MIN(121,$B$7+1))))*D$16</f>
        <v>0</v>
      </c>
      <c r="E27" s="9">
        <f t="shared" si="1"/>
        <v>0</v>
      </c>
      <c r="F27" s="9">
        <f>INDEX(季度现金流!$D$1:$DT$200,50+110*($B$6-1),MAX(1,MIN(121,$B$7+1)))</f>
        <v>0</v>
      </c>
      <c r="G27" s="9">
        <f t="shared" si="2"/>
        <v>0</v>
      </c>
    </row>
    <row r="28" spans="1:7" ht="23.1" customHeight="1">
      <c r="A28" s="8" t="s">
        <v>778</v>
      </c>
      <c r="B28" s="9">
        <f>B20+B21-B22-B23+B24+B25-B26-B27</f>
        <v>1449.1875</v>
      </c>
      <c r="C28" s="9">
        <f>C20+C21-C22-C23+C24+C25-C26-C27</f>
        <v>876.1875</v>
      </c>
      <c r="D28" s="9">
        <f>D20+D21-D22-D23+D24+D25-D26-D27</f>
        <v>0</v>
      </c>
      <c r="E28" s="9">
        <f>D28</f>
        <v>0</v>
      </c>
      <c r="F28" s="9">
        <f>INDEX(季度现金流!$D$1:$DT$200,51+110*($B$6-1),MAX(1,MIN(121,$B$7+1)))</f>
        <v>0</v>
      </c>
      <c r="G28" s="9">
        <f t="shared" si="2"/>
        <v>0</v>
      </c>
    </row>
    <row r="29" spans="1:7" ht="23.1" customHeight="1">
      <c r="A29" s="8" t="s">
        <v>779</v>
      </c>
      <c r="B29" s="9">
        <f>MAX(0,-B28)</f>
        <v>0</v>
      </c>
      <c r="C29" s="9">
        <f>MAX(0,-C28)</f>
        <v>0</v>
      </c>
      <c r="D29" s="9">
        <f>MAX(0,-D28)</f>
        <v>0</v>
      </c>
      <c r="E29" s="9"/>
      <c r="F29" s="9"/>
      <c r="G29" s="9"/>
    </row>
    <row r="30" spans="1:7" ht="23.1" customHeight="1">
      <c r="A30" s="8"/>
      <c r="B30" s="9"/>
      <c r="C30" s="9"/>
      <c r="D30" s="9"/>
      <c r="E30" s="9"/>
      <c r="F30" s="9"/>
      <c r="G30" s="9"/>
    </row>
    <row r="31" spans="1:7" ht="23.1" customHeight="1">
      <c r="A31" s="8"/>
      <c r="B31" s="9"/>
      <c r="C31" s="9"/>
      <c r="D31" s="9"/>
      <c r="E31" s="9"/>
      <c r="F31" s="9"/>
      <c r="G31" s="9"/>
    </row>
    <row r="32" spans="1:7" ht="23.1" customHeight="1">
      <c r="A32" s="8"/>
      <c r="B32" s="9"/>
      <c r="C32" s="9"/>
      <c r="D32" s="9"/>
      <c r="E32" s="9"/>
      <c r="F32" s="9"/>
      <c r="G32" s="9"/>
    </row>
    <row r="33" spans="1:7" ht="23.1" customHeight="1">
      <c r="A33" s="8" t="s">
        <v>780</v>
      </c>
      <c r="B33" s="9">
        <f>MAX(B29:D29)</f>
        <v>0</v>
      </c>
      <c r="C33" s="9"/>
      <c r="D33" s="9"/>
      <c r="E33" s="9"/>
      <c r="F33" s="9"/>
      <c r="G33" s="9"/>
    </row>
    <row r="34" spans="1:7" ht="23.1" customHeight="1">
      <c r="A34" s="8" t="s">
        <v>781</v>
      </c>
      <c r="B34" s="9">
        <f>IF(AND(B7&gt;=1,B7&lt;=核心参数输入!$B$9*4,MIN(B11:D16)&gt;=0,MAX(B11:D16)&lt;=1,ABS(E11-1)&lt;0.000001,ABS(E12-1)&lt;0.000001,ABS(E13-1)&lt;0.000001,ABS(E14-1)&lt;0.000001,ABS(E15-1)&lt;0.000001,ABS(E16-1)&lt;0.000001,ABS(G28)&lt;0.01),1,0)</f>
        <v>1</v>
      </c>
      <c r="C34" s="9"/>
      <c r="D34" s="9"/>
      <c r="E34" s="9"/>
      <c r="F34" s="9"/>
      <c r="G34" s="9"/>
    </row>
    <row r="35" spans="1:7" ht="23.1" customHeight="1">
      <c r="A35" s="8" t="s">
        <v>782</v>
      </c>
      <c r="B35" s="8">
        <f>IF(AND(B34=1,B33&lt;=0.01),1,0)</f>
        <v>1</v>
      </c>
      <c r="C35" s="8"/>
      <c r="D35" s="8"/>
      <c r="E35" s="8"/>
      <c r="F35" s="8"/>
      <c r="G35" s="8"/>
    </row>
    <row r="36" spans="1:7" ht="23.1" customHeight="1">
      <c r="A36" s="8"/>
      <c r="B36" s="8"/>
      <c r="C36" s="8"/>
      <c r="D36" s="8"/>
      <c r="E36" s="8"/>
      <c r="F36" s="8"/>
      <c r="G36" s="8"/>
    </row>
    <row r="37" spans="1:7" ht="23.1" customHeight="1">
      <c r="A37" s="8"/>
      <c r="B37" s="8"/>
      <c r="C37" s="8"/>
      <c r="D37" s="8"/>
      <c r="E37" s="8"/>
      <c r="F37" s="8"/>
      <c r="G37" s="8"/>
    </row>
    <row r="38" spans="1:7" ht="23.1" customHeight="1">
      <c r="A38" s="28" t="s">
        <v>783</v>
      </c>
      <c r="B38" s="28"/>
      <c r="C38" s="28"/>
      <c r="D38" s="28"/>
      <c r="E38" s="28"/>
      <c r="F38" s="28"/>
      <c r="G38" s="28"/>
    </row>
    <row r="39" spans="1:7" ht="23.1" customHeight="1">
      <c r="A39" s="28"/>
      <c r="B39" s="28"/>
      <c r="C39" s="28"/>
      <c r="D39" s="28"/>
      <c r="E39" s="28"/>
      <c r="F39" s="28"/>
      <c r="G39" s="28"/>
    </row>
    <row r="40" spans="1:7" ht="23.1" customHeight="1">
      <c r="A40" s="28"/>
      <c r="B40" s="28"/>
      <c r="C40" s="28"/>
      <c r="D40" s="28"/>
      <c r="E40" s="28"/>
      <c r="F40" s="28"/>
      <c r="G40" s="28"/>
    </row>
    <row r="41" spans="1:7" ht="23.1" customHeight="1">
      <c r="A41" s="8"/>
      <c r="B41" s="8"/>
      <c r="C41" s="8"/>
      <c r="D41" s="8"/>
      <c r="E41" s="8"/>
      <c r="F41" s="8"/>
      <c r="G41" s="8"/>
    </row>
    <row r="42" spans="1:7" ht="23.1" customHeight="1">
      <c r="A42" s="8"/>
      <c r="B42" s="8"/>
      <c r="C42" s="8"/>
      <c r="D42" s="8"/>
      <c r="E42" s="8"/>
      <c r="F42" s="8"/>
      <c r="G42" s="8"/>
    </row>
    <row r="43" spans="1:7" ht="23.1" customHeight="1">
      <c r="A43" s="8"/>
      <c r="B43" s="8"/>
      <c r="C43" s="8"/>
      <c r="D43" s="8"/>
      <c r="E43" s="8"/>
      <c r="F43" s="8"/>
      <c r="G43" s="8"/>
    </row>
    <row r="44" spans="1:7" ht="23.1" customHeight="1">
      <c r="A44" s="8"/>
      <c r="B44" s="8"/>
      <c r="C44" s="8"/>
      <c r="D44" s="8"/>
      <c r="E44" s="8"/>
      <c r="F44" s="8"/>
      <c r="G44" s="8"/>
    </row>
  </sheetData>
  <sheetProtection sheet="1" objects="1" scenarios="1"/>
  <mergeCells count="1">
    <mergeCell ref="A38:G40"/>
  </mergeCells>
  <phoneticPr fontId="11" type="noConversion"/>
  <conditionalFormatting sqref="B29:D29">
    <cfRule type="cellIs" dxfId="0" priority="1" operator="greaterThan">
      <formula>0.01</formula>
    </cfRule>
  </conditionalFormatting>
  <dataValidations count="3">
    <dataValidation type="decimal" sqref="B11:D16" xr:uid="{00000000-0002-0000-0C00-000000000000}">
      <formula1>0</formula1>
      <formula2>1</formula2>
    </dataValidation>
    <dataValidation type="whole" sqref="B5" xr:uid="{00000000-0002-0000-0C00-000001000000}">
      <formula1>1</formula1>
      <formula2>120</formula2>
    </dataValidation>
    <dataValidation type="whole" sqref="B6" xr:uid="{00000000-0002-0000-0C00-000002000000}">
      <formula1>1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决策看板</vt:lpstr>
      <vt:lpstr>核心参数输入</vt:lpstr>
      <vt:lpstr>指标与情景</vt:lpstr>
      <vt:lpstr>年度汇总</vt:lpstr>
      <vt:lpstr>季度投融资</vt:lpstr>
      <vt:lpstr>季度经营税费</vt:lpstr>
      <vt:lpstr>季度现金流</vt:lpstr>
      <vt:lpstr>年度所得税</vt:lpstr>
      <vt:lpstr>季度计划</vt:lpstr>
      <vt:lpstr>敏感性与边界</vt:lpstr>
      <vt:lpstr>模型校验</vt:lpstr>
      <vt:lpstr>使用说明</vt:lpstr>
      <vt:lpstr>关键月份核对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HO</cp:lastModifiedBy>
  <dcterms:modified xsi:type="dcterms:W3CDTF">2026-10-17T10:55:17Z</dcterms:modified>
</cp:coreProperties>
</file>